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idence4-my.sharepoint.com/personal/frederik_esselink_providence_org/Documents/Desktop/Tmp/PEBA/"/>
    </mc:Choice>
  </mc:AlternateContent>
  <xr:revisionPtr revIDLastSave="595" documentId="8_{5EC96AEB-4B67-44DC-B15D-8E0F5D3B6A05}" xr6:coauthVersionLast="46" xr6:coauthVersionMax="46" xr10:uidLastSave="{7601488B-BFAE-465C-A3E2-A1C8124B85D6}"/>
  <bookViews>
    <workbookView xWindow="1800" yWindow="0" windowWidth="26430" windowHeight="16155" tabRatio="702" activeTab="3" xr2:uid="{00000000-000D-0000-FFFF-FFFF00000000}"/>
  </bookViews>
  <sheets>
    <sheet name="BvP" sheetId="11" r:id="rId1"/>
    <sheet name="Bat" sheetId="2" r:id="rId2"/>
    <sheet name="Pit" sheetId="1" r:id="rId3"/>
    <sheet name="Draft List" sheetId="3" r:id="rId4"/>
    <sheet name="Results37" sheetId="7" r:id="rId5"/>
    <sheet name="Con" sheetId="8" r:id="rId6"/>
    <sheet name="Salary Pivot" sheetId="10" r:id="rId7"/>
    <sheet name="COND" sheetId="4" r:id="rId8"/>
    <sheet name="Bonuses" sheetId="9" r:id="rId9"/>
    <sheet name="Sheet1" sheetId="12" r:id="rId10"/>
  </sheets>
  <definedNames>
    <definedName name="_xlnm._FilterDatabase" localSheetId="1" hidden="1">Bat!$A$4:$BB$537</definedName>
    <definedName name="_xlnm._FilterDatabase" localSheetId="5" hidden="1">Con!$A$4:$AE$20</definedName>
    <definedName name="_xlnm._FilterDatabase" localSheetId="3" hidden="1">'Draft List'!$A$4:$AD$1234</definedName>
    <definedName name="_xlnm._FilterDatabase" localSheetId="2" hidden="1">Pit!$A$4:$BL$676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5" i="1" l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Y5" i="3"/>
  <c r="BH5" i="1" s="1"/>
  <c r="Y6" i="3"/>
  <c r="BH6" i="1" s="1"/>
  <c r="Y7" i="3"/>
  <c r="BH7" i="1" s="1"/>
  <c r="Y8" i="3"/>
  <c r="Y9" i="3"/>
  <c r="BH8" i="1" s="1"/>
  <c r="Y10" i="3"/>
  <c r="BH9" i="1" s="1"/>
  <c r="Y14" i="3"/>
  <c r="BH10" i="1" s="1"/>
  <c r="Y11" i="3"/>
  <c r="BH11" i="1" s="1"/>
  <c r="Y12" i="3"/>
  <c r="BH12" i="1" s="1"/>
  <c r="Y13" i="3"/>
  <c r="AY6" i="2" s="1"/>
  <c r="Y15" i="3"/>
  <c r="BH13" i="1" s="1"/>
  <c r="Y16" i="3"/>
  <c r="AY7" i="2" s="1"/>
  <c r="Y20" i="3"/>
  <c r="BH14" i="1" s="1"/>
  <c r="Y17" i="3"/>
  <c r="BH15" i="1" s="1"/>
  <c r="Y23" i="3"/>
  <c r="AY8" i="2" s="1"/>
  <c r="Y18" i="3"/>
  <c r="AY9" i="2" s="1"/>
  <c r="Y21" i="3"/>
  <c r="BH16" i="1" s="1"/>
  <c r="Y22" i="3"/>
  <c r="BH17" i="1" s="1"/>
  <c r="Y27" i="3"/>
  <c r="BH18" i="1" s="1"/>
  <c r="Y19" i="3"/>
  <c r="BH19" i="1" s="1"/>
  <c r="Y25" i="3"/>
  <c r="BH20" i="1" s="1"/>
  <c r="Y26" i="3"/>
  <c r="BH21" i="1" s="1"/>
  <c r="Y28" i="3"/>
  <c r="AY10" i="2" s="1"/>
  <c r="Y31" i="3"/>
  <c r="AY11" i="2" s="1"/>
  <c r="Y24" i="3"/>
  <c r="BH22" i="1" s="1"/>
  <c r="Y30" i="3"/>
  <c r="BH23" i="1" s="1"/>
  <c r="Y29" i="3"/>
  <c r="AY12" i="2" s="1"/>
  <c r="Y38" i="3"/>
  <c r="BH24" i="1" s="1"/>
  <c r="Y33" i="3"/>
  <c r="BH25" i="1" s="1"/>
  <c r="Y34" i="3"/>
  <c r="BH26" i="1" s="1"/>
  <c r="Y35" i="3"/>
  <c r="BH27" i="1" s="1"/>
  <c r="Y36" i="3"/>
  <c r="BH28" i="1" s="1"/>
  <c r="Y32" i="3"/>
  <c r="BH29" i="1" s="1"/>
  <c r="Y40" i="3"/>
  <c r="BH30" i="1" s="1"/>
  <c r="Y37" i="3"/>
  <c r="BH31" i="1" s="1"/>
  <c r="Y42" i="3"/>
  <c r="AE42" i="3" s="1"/>
  <c r="Y43" i="3"/>
  <c r="BH33" i="1" s="1"/>
  <c r="Y46" i="3"/>
  <c r="BH34" i="1" s="1"/>
  <c r="Y41" i="3"/>
  <c r="BH35" i="1" s="1"/>
  <c r="Y44" i="3"/>
  <c r="AY13" i="2" s="1"/>
  <c r="Y49" i="3"/>
  <c r="AY14" i="2" s="1"/>
  <c r="Y50" i="3"/>
  <c r="AY15" i="2" s="1"/>
  <c r="Y47" i="3"/>
  <c r="BH36" i="1" s="1"/>
  <c r="Y48" i="3"/>
  <c r="Y45" i="3"/>
  <c r="BH38" i="1" s="1"/>
  <c r="Y52" i="3"/>
  <c r="BH39" i="1" s="1"/>
  <c r="Y51" i="3"/>
  <c r="BH40" i="1" s="1"/>
  <c r="Y39" i="3"/>
  <c r="AY16" i="2" s="1"/>
  <c r="Y55" i="3"/>
  <c r="BH41" i="1" s="1"/>
  <c r="Y56" i="3"/>
  <c r="AY17" i="2" s="1"/>
  <c r="Y53" i="3"/>
  <c r="AY18" i="2" s="1"/>
  <c r="Y54" i="3"/>
  <c r="BH42" i="1" s="1"/>
  <c r="Y63" i="3"/>
  <c r="AY19" i="2" s="1"/>
  <c r="Y64" i="3"/>
  <c r="AY20" i="2" s="1"/>
  <c r="Y65" i="3"/>
  <c r="AY21" i="2" s="1"/>
  <c r="Y59" i="3"/>
  <c r="BH43" i="1" s="1"/>
  <c r="Y69" i="3"/>
  <c r="AY23" i="2" s="1"/>
  <c r="Y70" i="3"/>
  <c r="AY26" i="2" s="1"/>
  <c r="Y71" i="3"/>
  <c r="AY27" i="2" s="1"/>
  <c r="Y72" i="3"/>
  <c r="AY25" i="2" s="1"/>
  <c r="Y73" i="3"/>
  <c r="AY22" i="2" s="1"/>
  <c r="Y74" i="3"/>
  <c r="AY29" i="2" s="1"/>
  <c r="Y75" i="3"/>
  <c r="AY24" i="2" s="1"/>
  <c r="Y76" i="3"/>
  <c r="AY28" i="2" s="1"/>
  <c r="Y77" i="3"/>
  <c r="AY30" i="2" s="1"/>
  <c r="Y58" i="3"/>
  <c r="BH44" i="1" s="1"/>
  <c r="Y61" i="3"/>
  <c r="BH45" i="1" s="1"/>
  <c r="Y66" i="3"/>
  <c r="AE66" i="3" s="1"/>
  <c r="Y62" i="3"/>
  <c r="AY31" i="2" s="1"/>
  <c r="Y57" i="3"/>
  <c r="BH47" i="1" s="1"/>
  <c r="Y60" i="3"/>
  <c r="BH48" i="1" s="1"/>
  <c r="Y78" i="3"/>
  <c r="AY32" i="2" s="1"/>
  <c r="Y79" i="3"/>
  <c r="BH49" i="1" s="1"/>
  <c r="Y80" i="3"/>
  <c r="BH50" i="1" s="1"/>
  <c r="Y67" i="3"/>
  <c r="BH51" i="1" s="1"/>
  <c r="Y68" i="3"/>
  <c r="BH52" i="1" s="1"/>
  <c r="Y81" i="3"/>
  <c r="AY35" i="2" s="1"/>
  <c r="Y82" i="3"/>
  <c r="AY46" i="2" s="1"/>
  <c r="Y83" i="3"/>
  <c r="AY34" i="2" s="1"/>
  <c r="Y84" i="3"/>
  <c r="AY36" i="2" s="1"/>
  <c r="Y85" i="3"/>
  <c r="AY37" i="2" s="1"/>
  <c r="Y86" i="3"/>
  <c r="AY44" i="2" s="1"/>
  <c r="Y87" i="3"/>
  <c r="AY33" i="2" s="1"/>
  <c r="Y88" i="3"/>
  <c r="AY38" i="2" s="1"/>
  <c r="Y89" i="3"/>
  <c r="AY39" i="2" s="1"/>
  <c r="Y90" i="3"/>
  <c r="AY41" i="2" s="1"/>
  <c r="Y91" i="3"/>
  <c r="AY43" i="2" s="1"/>
  <c r="Y92" i="3"/>
  <c r="AY40" i="2" s="1"/>
  <c r="Y93" i="3"/>
  <c r="AY42" i="2" s="1"/>
  <c r="Y94" i="3"/>
  <c r="AY45" i="2" s="1"/>
  <c r="Y96" i="3"/>
  <c r="BH53" i="1" s="1"/>
  <c r="Y97" i="3"/>
  <c r="AY47" i="2" s="1"/>
  <c r="Y98" i="3"/>
  <c r="AY49" i="2" s="1"/>
  <c r="Y99" i="3"/>
  <c r="AY48" i="2" s="1"/>
  <c r="Y100" i="3"/>
  <c r="AY50" i="2" s="1"/>
  <c r="Y113" i="3"/>
  <c r="BH54" i="1" s="1"/>
  <c r="Y101" i="3"/>
  <c r="AY51" i="2" s="1"/>
  <c r="Y102" i="3"/>
  <c r="BH55" i="1" s="1"/>
  <c r="Y111" i="3"/>
  <c r="BH56" i="1" s="1"/>
  <c r="Y117" i="3"/>
  <c r="Y112" i="3"/>
  <c r="AY52" i="2" s="1"/>
  <c r="Y95" i="3"/>
  <c r="AY53" i="2" s="1"/>
  <c r="Y116" i="3"/>
  <c r="BH57" i="1" s="1"/>
  <c r="Y118" i="3"/>
  <c r="BH58" i="1" s="1"/>
  <c r="Y123" i="3"/>
  <c r="BH59" i="1" s="1"/>
  <c r="Y103" i="3"/>
  <c r="AY57" i="2" s="1"/>
  <c r="Y104" i="3"/>
  <c r="AY56" i="2" s="1"/>
  <c r="Y105" i="3"/>
  <c r="AY54" i="2" s="1"/>
  <c r="Y106" i="3"/>
  <c r="AY58" i="2" s="1"/>
  <c r="Y107" i="3"/>
  <c r="AY55" i="2" s="1"/>
  <c r="Y108" i="3"/>
  <c r="AY59" i="2" s="1"/>
  <c r="Y109" i="3"/>
  <c r="AY60" i="2" s="1"/>
  <c r="Y119" i="3"/>
  <c r="BH60" i="1" s="1"/>
  <c r="Y150" i="3"/>
  <c r="AY61" i="2" s="1"/>
  <c r="Y115" i="3"/>
  <c r="BH61" i="1" s="1"/>
  <c r="Y121" i="3"/>
  <c r="BH62" i="1" s="1"/>
  <c r="Y128" i="3"/>
  <c r="BH63" i="1" s="1"/>
  <c r="Y140" i="3"/>
  <c r="AY62" i="2" s="1"/>
  <c r="Y124" i="3"/>
  <c r="BH64" i="1" s="1"/>
  <c r="Y133" i="3"/>
  <c r="BH65" i="1" s="1"/>
  <c r="Y125" i="3"/>
  <c r="BH66" i="1" s="1"/>
  <c r="Y126" i="3"/>
  <c r="BH67" i="1" s="1"/>
  <c r="Y134" i="3"/>
  <c r="BH68" i="1" s="1"/>
  <c r="Y114" i="3"/>
  <c r="AY63" i="2" s="1"/>
  <c r="Y127" i="3"/>
  <c r="BH69" i="1" s="1"/>
  <c r="Y130" i="3"/>
  <c r="BH70" i="1" s="1"/>
  <c r="Y158" i="3"/>
  <c r="AY64" i="2" s="1"/>
  <c r="Y132" i="3"/>
  <c r="AY65" i="2" s="1"/>
  <c r="Y149" i="3"/>
  <c r="AY66" i="2" s="1"/>
  <c r="Y110" i="3"/>
  <c r="AY67" i="2" s="1"/>
  <c r="Y153" i="3"/>
  <c r="AY68" i="2" s="1"/>
  <c r="Y120" i="3"/>
  <c r="Y136" i="3"/>
  <c r="BH71" i="1" s="1"/>
  <c r="Y137" i="3"/>
  <c r="BH72" i="1" s="1"/>
  <c r="Y138" i="3"/>
  <c r="BH73" i="1" s="1"/>
  <c r="Y139" i="3"/>
  <c r="AY70" i="2" s="1"/>
  <c r="Y131" i="3"/>
  <c r="BH74" i="1" s="1"/>
  <c r="Y122" i="3"/>
  <c r="AY71" i="2" s="1"/>
  <c r="Y142" i="3"/>
  <c r="BH75" i="1" s="1"/>
  <c r="Y129" i="3"/>
  <c r="BH76" i="1" s="1"/>
  <c r="Y156" i="3"/>
  <c r="BH78" i="1" s="1"/>
  <c r="Y152" i="3"/>
  <c r="BH79" i="1" s="1"/>
  <c r="Y151" i="3"/>
  <c r="AY72" i="2" s="1"/>
  <c r="Y143" i="3"/>
  <c r="BH80" i="1" s="1"/>
  <c r="Y145" i="3"/>
  <c r="BH81" i="1" s="1"/>
  <c r="Y135" i="3"/>
  <c r="BH82" i="1" s="1"/>
  <c r="Y166" i="3"/>
  <c r="AY73" i="2" s="1"/>
  <c r="Y154" i="3"/>
  <c r="BH83" i="1" s="1"/>
  <c r="Y155" i="3"/>
  <c r="BH84" i="1" s="1"/>
  <c r="Y165" i="3"/>
  <c r="BH85" i="1" s="1"/>
  <c r="Y141" i="3"/>
  <c r="AY74" i="2" s="1"/>
  <c r="Y157" i="3"/>
  <c r="BH86" i="1" s="1"/>
  <c r="Y188" i="3"/>
  <c r="AY75" i="2" s="1"/>
  <c r="Y144" i="3"/>
  <c r="AY76" i="2" s="1"/>
  <c r="Y146" i="3"/>
  <c r="BH87" i="1" s="1"/>
  <c r="Y147" i="3"/>
  <c r="BH88" i="1" s="1"/>
  <c r="Y173" i="3"/>
  <c r="AY77" i="2" s="1"/>
  <c r="Y192" i="3"/>
  <c r="AY78" i="2" s="1"/>
  <c r="Y148" i="3"/>
  <c r="AY79" i="2" s="1"/>
  <c r="Y159" i="3"/>
  <c r="BH89" i="1" s="1"/>
  <c r="Y169" i="3"/>
  <c r="BH108" i="1" s="1"/>
  <c r="Y163" i="3"/>
  <c r="BH90" i="1" s="1"/>
  <c r="Y161" i="3"/>
  <c r="AY80" i="2" s="1"/>
  <c r="Y164" i="3"/>
  <c r="Y178" i="3"/>
  <c r="AY82" i="2" s="1"/>
  <c r="Y167" i="3"/>
  <c r="AY83" i="2" s="1"/>
  <c r="Y184" i="3"/>
  <c r="BH91" i="1" s="1"/>
  <c r="Y175" i="3"/>
  <c r="BH92" i="1" s="1"/>
  <c r="Y168" i="3"/>
  <c r="AY84" i="2" s="1"/>
  <c r="Y177" i="3"/>
  <c r="BH93" i="1" s="1"/>
  <c r="Y162" i="3"/>
  <c r="BH94" i="1" s="1"/>
  <c r="Y171" i="3"/>
  <c r="Y172" i="3"/>
  <c r="AY86" i="2" s="1"/>
  <c r="Y174" i="3"/>
  <c r="AY87" i="2" s="1"/>
  <c r="Y194" i="3"/>
  <c r="AY89" i="2" s="1"/>
  <c r="Y195" i="3"/>
  <c r="AY88" i="2" s="1"/>
  <c r="Y160" i="3"/>
  <c r="AY90" i="2" s="1"/>
  <c r="Y176" i="3"/>
  <c r="BH95" i="1" s="1"/>
  <c r="Y179" i="3"/>
  <c r="BH96" i="1" s="1"/>
  <c r="Y200" i="3"/>
  <c r="AY91" i="2" s="1"/>
  <c r="Y181" i="3"/>
  <c r="AY92" i="2" s="1"/>
  <c r="Y182" i="3"/>
  <c r="BH97" i="1" s="1"/>
  <c r="Y201" i="3"/>
  <c r="AY93" i="2" s="1"/>
  <c r="Y202" i="3"/>
  <c r="AY94" i="2" s="1"/>
  <c r="Y203" i="3"/>
  <c r="AY95" i="2" s="1"/>
  <c r="Y205" i="3"/>
  <c r="AY96" i="2" s="1"/>
  <c r="Y185" i="3"/>
  <c r="BH98" i="1" s="1"/>
  <c r="Y207" i="3"/>
  <c r="AY97" i="2" s="1"/>
  <c r="Y198" i="3"/>
  <c r="BH99" i="1" s="1"/>
  <c r="Y209" i="3"/>
  <c r="AY98" i="2" s="1"/>
  <c r="Y187" i="3"/>
  <c r="BH100" i="1" s="1"/>
  <c r="Y170" i="3"/>
  <c r="AY99" i="2" s="1"/>
  <c r="Y210" i="3"/>
  <c r="AY100" i="2" s="1"/>
  <c r="Y189" i="3"/>
  <c r="AY101" i="2" s="1"/>
  <c r="Y211" i="3"/>
  <c r="AY102" i="2" s="1"/>
  <c r="Y212" i="3"/>
  <c r="Y190" i="3"/>
  <c r="BH101" i="1" s="1"/>
  <c r="Y255" i="3"/>
  <c r="AY104" i="2" s="1"/>
  <c r="Y183" i="3"/>
  <c r="BH102" i="1" s="1"/>
  <c r="Y193" i="3"/>
  <c r="AY105" i="2" s="1"/>
  <c r="Y196" i="3"/>
  <c r="BH103" i="1" s="1"/>
  <c r="Y197" i="3"/>
  <c r="BH104" i="1" s="1"/>
  <c r="Y180" i="3"/>
  <c r="AY106" i="2" s="1"/>
  <c r="Y242" i="3"/>
  <c r="AY107" i="2" s="1"/>
  <c r="Y204" i="3"/>
  <c r="BH105" i="1" s="1"/>
  <c r="Y223" i="3"/>
  <c r="BH106" i="1" s="1"/>
  <c r="Y224" i="3"/>
  <c r="BH107" i="1" s="1"/>
  <c r="Y206" i="3"/>
  <c r="AY108" i="2" s="1"/>
  <c r="Y186" i="3"/>
  <c r="AY109" i="2" s="1"/>
  <c r="Y272" i="3"/>
  <c r="AY110" i="2" s="1"/>
  <c r="Y213" i="3"/>
  <c r="AY111" i="2" s="1"/>
  <c r="Y214" i="3"/>
  <c r="AY112" i="2" s="1"/>
  <c r="Y215" i="3"/>
  <c r="AY113" i="2" s="1"/>
  <c r="Y216" i="3"/>
  <c r="AY116" i="2" s="1"/>
  <c r="Y217" i="3"/>
  <c r="AY114" i="2" s="1"/>
  <c r="Y218" i="3"/>
  <c r="AY115" i="2" s="1"/>
  <c r="Y219" i="3"/>
  <c r="AY118" i="2" s="1"/>
  <c r="Y220" i="3"/>
  <c r="AY117" i="2" s="1"/>
  <c r="Y191" i="3"/>
  <c r="AY119" i="2" s="1"/>
  <c r="Y222" i="3"/>
  <c r="BH109" i="1" s="1"/>
  <c r="Y225" i="3"/>
  <c r="AY121" i="2" s="1"/>
  <c r="Y226" i="3"/>
  <c r="AY120" i="2" s="1"/>
  <c r="Y208" i="3"/>
  <c r="BH110" i="1" s="1"/>
  <c r="Y227" i="3"/>
  <c r="BH135" i="1" s="1"/>
  <c r="Y228" i="3"/>
  <c r="BH111" i="1" s="1"/>
  <c r="Y229" i="3"/>
  <c r="AY122" i="2" s="1"/>
  <c r="Y230" i="3"/>
  <c r="AY123" i="2" s="1"/>
  <c r="Y199" i="3"/>
  <c r="Y231" i="3"/>
  <c r="AY125" i="2" s="1"/>
  <c r="Y245" i="3"/>
  <c r="AY126" i="2" s="1"/>
  <c r="Y246" i="3"/>
  <c r="AY127" i="2" s="1"/>
  <c r="Y268" i="3"/>
  <c r="AY128" i="2" s="1"/>
  <c r="Y247" i="3"/>
  <c r="AY129" i="2" s="1"/>
  <c r="Y262" i="3"/>
  <c r="BH112" i="1" s="1"/>
  <c r="Y250" i="3"/>
  <c r="AY130" i="2" s="1"/>
  <c r="Y251" i="3"/>
  <c r="Y252" i="3"/>
  <c r="AY132" i="2" s="1"/>
  <c r="Y265" i="3"/>
  <c r="BH113" i="1" s="1"/>
  <c r="Y253" i="3"/>
  <c r="AY133" i="2" s="1"/>
  <c r="Y221" i="3"/>
  <c r="AY134" i="2" s="1"/>
  <c r="Y256" i="3"/>
  <c r="BH114" i="1" s="1"/>
  <c r="Y257" i="3"/>
  <c r="AY135" i="2" s="1"/>
  <c r="Y284" i="3"/>
  <c r="AY136" i="2" s="1"/>
  <c r="Y288" i="3"/>
  <c r="AY137" i="2" s="1"/>
  <c r="Y258" i="3"/>
  <c r="BH115" i="1" s="1"/>
  <c r="Y248" i="3"/>
  <c r="BH116" i="1" s="1"/>
  <c r="Y269" i="3"/>
  <c r="BH139" i="1" s="1"/>
  <c r="Y259" i="3"/>
  <c r="BH117" i="1" s="1"/>
  <c r="Y260" i="3"/>
  <c r="BH118" i="1" s="1"/>
  <c r="Y232" i="3"/>
  <c r="AY143" i="2" s="1"/>
  <c r="Y233" i="3"/>
  <c r="AY146" i="2" s="1"/>
  <c r="Y234" i="3"/>
  <c r="AY138" i="2" s="1"/>
  <c r="Y235" i="3"/>
  <c r="AY140" i="2" s="1"/>
  <c r="Y236" i="3"/>
  <c r="AY142" i="2" s="1"/>
  <c r="Y237" i="3"/>
  <c r="AY144" i="2" s="1"/>
  <c r="Y238" i="3"/>
  <c r="AY145" i="2" s="1"/>
  <c r="Y239" i="3"/>
  <c r="AY147" i="2" s="1"/>
  <c r="Y240" i="3"/>
  <c r="AY139" i="2" s="1"/>
  <c r="Y241" i="3"/>
  <c r="AY141" i="2" s="1"/>
  <c r="Y280" i="3"/>
  <c r="AE280" i="3" s="1"/>
  <c r="Y254" i="3"/>
  <c r="BH120" i="1" s="1"/>
  <c r="Y243" i="3"/>
  <c r="AY148" i="2" s="1"/>
  <c r="Y244" i="3"/>
  <c r="AY149" i="2" s="1"/>
  <c r="Y267" i="3"/>
  <c r="BH121" i="1" s="1"/>
  <c r="Y285" i="3"/>
  <c r="BH122" i="1" s="1"/>
  <c r="Y287" i="3"/>
  <c r="BH123" i="1" s="1"/>
  <c r="Y270" i="3"/>
  <c r="AY150" i="2" s="1"/>
  <c r="Y271" i="3"/>
  <c r="AY151" i="2" s="1"/>
  <c r="Y273" i="3"/>
  <c r="AY152" i="2" s="1"/>
  <c r="Y263" i="3"/>
  <c r="BH154" i="1" s="1"/>
  <c r="Y275" i="3"/>
  <c r="AY153" i="2" s="1"/>
  <c r="Y274" i="3"/>
  <c r="BH124" i="1" s="1"/>
  <c r="Y276" i="3"/>
  <c r="AY154" i="2" s="1"/>
  <c r="Y278" i="3"/>
  <c r="AY155" i="2" s="1"/>
  <c r="Y264" i="3"/>
  <c r="BH125" i="1" s="1"/>
  <c r="Y279" i="3"/>
  <c r="AY156" i="2" s="1"/>
  <c r="Y306" i="3"/>
  <c r="AY157" i="2" s="1"/>
  <c r="Y281" i="3"/>
  <c r="AY158" i="2" s="1"/>
  <c r="Y266" i="3"/>
  <c r="BH126" i="1" s="1"/>
  <c r="Y309" i="3"/>
  <c r="AY159" i="2" s="1"/>
  <c r="Y286" i="3"/>
  <c r="AY160" i="2" s="1"/>
  <c r="Y290" i="3"/>
  <c r="BH127" i="1" s="1"/>
  <c r="Y292" i="3"/>
  <c r="AY161" i="2" s="1"/>
  <c r="Y293" i="3"/>
  <c r="AY162" i="2" s="1"/>
  <c r="Y291" i="3"/>
  <c r="BH128" i="1" s="1"/>
  <c r="Y304" i="3"/>
  <c r="BH129" i="1" s="1"/>
  <c r="Y277" i="3"/>
  <c r="BH130" i="1" s="1"/>
  <c r="Y317" i="3"/>
  <c r="AY163" i="2" s="1"/>
  <c r="Y305" i="3"/>
  <c r="BH131" i="1" s="1"/>
  <c r="Y294" i="3"/>
  <c r="AY164" i="2" s="1"/>
  <c r="Y322" i="3"/>
  <c r="AY165" i="2" s="1"/>
  <c r="Y323" i="3"/>
  <c r="AY166" i="2" s="1"/>
  <c r="Y282" i="3"/>
  <c r="BH132" i="1" s="1"/>
  <c r="Y295" i="3"/>
  <c r="BH133" i="1" s="1"/>
  <c r="Y327" i="3"/>
  <c r="AY167" i="2" s="1"/>
  <c r="Y297" i="3"/>
  <c r="AY168" i="2" s="1"/>
  <c r="Y372" i="3"/>
  <c r="AY169" i="2" s="1"/>
  <c r="Y299" i="3"/>
  <c r="AY170" i="2" s="1"/>
  <c r="Y249" i="3"/>
  <c r="AY171" i="2" s="1"/>
  <c r="Y300" i="3"/>
  <c r="AE300" i="3" s="1"/>
  <c r="Y302" i="3"/>
  <c r="AY172" i="2" s="1"/>
  <c r="Y331" i="3"/>
  <c r="AY173" i="2" s="1"/>
  <c r="Y315" i="3"/>
  <c r="BH136" i="1" s="1"/>
  <c r="Y283" i="3"/>
  <c r="AY174" i="2" s="1"/>
  <c r="Y310" i="3"/>
  <c r="AY175" i="2" s="1"/>
  <c r="Y311" i="3"/>
  <c r="AY176" i="2" s="1"/>
  <c r="Y312" i="3"/>
  <c r="AY177" i="2" s="1"/>
  <c r="Y347" i="3"/>
  <c r="AY178" i="2" s="1"/>
  <c r="Y289" i="3"/>
  <c r="AY179" i="2" s="1"/>
  <c r="Y261" i="3"/>
  <c r="AY180" i="2" s="1"/>
  <c r="Y314" i="3"/>
  <c r="AY181" i="2" s="1"/>
  <c r="Y357" i="3"/>
  <c r="AY182" i="2" s="1"/>
  <c r="Y318" i="3"/>
  <c r="AY183" i="2" s="1"/>
  <c r="Y321" i="3"/>
  <c r="AY184" i="2" s="1"/>
  <c r="Y296" i="3"/>
  <c r="AY185" i="2" s="1"/>
  <c r="Y319" i="3"/>
  <c r="BH137" i="1" s="1"/>
  <c r="Y329" i="3"/>
  <c r="AY186" i="2" s="1"/>
  <c r="Y298" i="3"/>
  <c r="BH138" i="1" s="1"/>
  <c r="Y352" i="3"/>
  <c r="BH140" i="1" s="1"/>
  <c r="Y303" i="3"/>
  <c r="AY187" i="2" s="1"/>
  <c r="Y381" i="3"/>
  <c r="AY188" i="2" s="1"/>
  <c r="Y353" i="3"/>
  <c r="BH141" i="1" s="1"/>
  <c r="Y356" i="3"/>
  <c r="BH142" i="1" s="1"/>
  <c r="Y335" i="3"/>
  <c r="Y336" i="3"/>
  <c r="AY190" i="2" s="1"/>
  <c r="Y334" i="3"/>
  <c r="BH143" i="1" s="1"/>
  <c r="Y338" i="3"/>
  <c r="AY191" i="2" s="1"/>
  <c r="Y339" i="3"/>
  <c r="AY192" i="2" s="1"/>
  <c r="Y337" i="3"/>
  <c r="BH144" i="1" s="1"/>
  <c r="Y340" i="3"/>
  <c r="AY193" i="2" s="1"/>
  <c r="Y307" i="3"/>
  <c r="AY194" i="2" s="1"/>
  <c r="Y308" i="3"/>
  <c r="AY195" i="2" s="1"/>
  <c r="Y341" i="3"/>
  <c r="AY196" i="2" s="1"/>
  <c r="Y342" i="3"/>
  <c r="AY197" i="2" s="1"/>
  <c r="Y343" i="3"/>
  <c r="AY198" i="2" s="1"/>
  <c r="Y345" i="3"/>
  <c r="AY199" i="2" s="1"/>
  <c r="Y344" i="3"/>
  <c r="BH145" i="1" s="1"/>
  <c r="Y346" i="3"/>
  <c r="AY200" i="2" s="1"/>
  <c r="Y326" i="3"/>
  <c r="BH146" i="1" s="1"/>
  <c r="Y389" i="3"/>
  <c r="AY201" i="2" s="1"/>
  <c r="Y313" i="3"/>
  <c r="AY202" i="2" s="1"/>
  <c r="Y348" i="3"/>
  <c r="AY203" i="2" s="1"/>
  <c r="Y350" i="3"/>
  <c r="AY204" i="2" s="1"/>
  <c r="Y330" i="3"/>
  <c r="BH147" i="1" s="1"/>
  <c r="Y373" i="3"/>
  <c r="BH148" i="1" s="1"/>
  <c r="Y351" i="3"/>
  <c r="BH149" i="1" s="1"/>
  <c r="Y378" i="3"/>
  <c r="BH150" i="1" s="1"/>
  <c r="Y379" i="3"/>
  <c r="BH151" i="1" s="1"/>
  <c r="Y354" i="3"/>
  <c r="AY205" i="2" s="1"/>
  <c r="Y332" i="3"/>
  <c r="BH152" i="1" s="1"/>
  <c r="Y316" i="3"/>
  <c r="BH153" i="1" s="1"/>
  <c r="Y358" i="3"/>
  <c r="BH155" i="1" s="1"/>
  <c r="Y359" i="3"/>
  <c r="BH156" i="1" s="1"/>
  <c r="Y324" i="3"/>
  <c r="AY206" i="2" s="1"/>
  <c r="Y365" i="3"/>
  <c r="AY207" i="2" s="1"/>
  <c r="Y367" i="3"/>
  <c r="Y368" i="3"/>
  <c r="AY209" i="2" s="1"/>
  <c r="Y328" i="3"/>
  <c r="AY210" i="2" s="1"/>
  <c r="Y366" i="3"/>
  <c r="BH157" i="1" s="1"/>
  <c r="Y369" i="3"/>
  <c r="BH158" i="1" s="1"/>
  <c r="Y370" i="3"/>
  <c r="BH159" i="1" s="1"/>
  <c r="Y386" i="3"/>
  <c r="BH160" i="1" s="1"/>
  <c r="Y390" i="3"/>
  <c r="BH161" i="1" s="1"/>
  <c r="Y301" i="3"/>
  <c r="Y391" i="3"/>
  <c r="BH162" i="1" s="1"/>
  <c r="Y382" i="3"/>
  <c r="AY212" i="2" s="1"/>
  <c r="Y418" i="3"/>
  <c r="AY213" i="2" s="1"/>
  <c r="Y383" i="3"/>
  <c r="BH163" i="1" s="1"/>
  <c r="Y360" i="3"/>
  <c r="BH164" i="1" s="1"/>
  <c r="Y384" i="3"/>
  <c r="BH165" i="1" s="1"/>
  <c r="Y402" i="3"/>
  <c r="BH166" i="1" s="1"/>
  <c r="Y371" i="3"/>
  <c r="BH167" i="1" s="1"/>
  <c r="Y428" i="3"/>
  <c r="AY214" i="2" s="1"/>
  <c r="Y387" i="3"/>
  <c r="BH168" i="1" s="1"/>
  <c r="Y349" i="3"/>
  <c r="AY215" i="2" s="1"/>
  <c r="Y394" i="3"/>
  <c r="AY216" i="2" s="1"/>
  <c r="Y395" i="3"/>
  <c r="AY217" i="2" s="1"/>
  <c r="Y355" i="3"/>
  <c r="AY218" i="2" s="1"/>
  <c r="Y412" i="3"/>
  <c r="BH169" i="1" s="1"/>
  <c r="Y375" i="3"/>
  <c r="BH170" i="1" s="1"/>
  <c r="Y414" i="3"/>
  <c r="BH171" i="1" s="1"/>
  <c r="Y377" i="3"/>
  <c r="BH172" i="1" s="1"/>
  <c r="Y380" i="3"/>
  <c r="BH173" i="1" s="1"/>
  <c r="Y396" i="3"/>
  <c r="BH174" i="1" s="1"/>
  <c r="Y397" i="3"/>
  <c r="BH175" i="1" s="1"/>
  <c r="Y438" i="3"/>
  <c r="AY219" i="2" s="1"/>
  <c r="Y361" i="3"/>
  <c r="AY220" i="2" s="1"/>
  <c r="Y362" i="3"/>
  <c r="Y363" i="3"/>
  <c r="AY222" i="2" s="1"/>
  <c r="Y320" i="3"/>
  <c r="AY223" i="2" s="1"/>
  <c r="Y364" i="3"/>
  <c r="AY224" i="2" s="1"/>
  <c r="Y403" i="3"/>
  <c r="AY225" i="2" s="1"/>
  <c r="Y325" i="3"/>
  <c r="AY226" i="2" s="1"/>
  <c r="Y423" i="3"/>
  <c r="BH235" i="1" s="1"/>
  <c r="Y385" i="3"/>
  <c r="BH176" i="1" s="1"/>
  <c r="Y405" i="3"/>
  <c r="AY227" i="2" s="1"/>
  <c r="Y407" i="3"/>
  <c r="AY228" i="2" s="1"/>
  <c r="Y408" i="3"/>
  <c r="AY229" i="2" s="1"/>
  <c r="Y388" i="3"/>
  <c r="BH177" i="1" s="1"/>
  <c r="Y374" i="3"/>
  <c r="AY230" i="2" s="1"/>
  <c r="Y333" i="3"/>
  <c r="AY231" i="2" s="1"/>
  <c r="Y411" i="3"/>
  <c r="BH178" i="1" s="1"/>
  <c r="Y415" i="3"/>
  <c r="BH179" i="1" s="1"/>
  <c r="Y417" i="3"/>
  <c r="BH180" i="1" s="1"/>
  <c r="Y461" i="3"/>
  <c r="AY232" i="2" s="1"/>
  <c r="Y398" i="3"/>
  <c r="BH181" i="1" s="1"/>
  <c r="Y420" i="3"/>
  <c r="BH182" i="1" s="1"/>
  <c r="Y401" i="3"/>
  <c r="BH183" i="1" s="1"/>
  <c r="Y426" i="3"/>
  <c r="AY233" i="2" s="1"/>
  <c r="Y442" i="3"/>
  <c r="BH184" i="1" s="1"/>
  <c r="Y470" i="3"/>
  <c r="BH185" i="1" s="1"/>
  <c r="Y406" i="3"/>
  <c r="BH186" i="1" s="1"/>
  <c r="Y427" i="3"/>
  <c r="BH187" i="1" s="1"/>
  <c r="Y392" i="3"/>
  <c r="AY234" i="2" s="1"/>
  <c r="Y430" i="3"/>
  <c r="BH188" i="1" s="1"/>
  <c r="Y410" i="3"/>
  <c r="BH189" i="1" s="1"/>
  <c r="Y433" i="3"/>
  <c r="AY235" i="2" s="1"/>
  <c r="Y435" i="3"/>
  <c r="AY236" i="2" s="1"/>
  <c r="Y432" i="3"/>
  <c r="BH267" i="1" s="1"/>
  <c r="Y474" i="3"/>
  <c r="AY237" i="2" s="1"/>
  <c r="Y436" i="3"/>
  <c r="AY238" i="2" s="1"/>
  <c r="Y393" i="3"/>
  <c r="BH190" i="1" s="1"/>
  <c r="Y416" i="3"/>
  <c r="BH191" i="1" s="1"/>
  <c r="Y475" i="3"/>
  <c r="AY239" i="2" s="1"/>
  <c r="Y439" i="3"/>
  <c r="AY240" i="2" s="1"/>
  <c r="Y476" i="3"/>
  <c r="AY241" i="2" s="1"/>
  <c r="Y400" i="3"/>
  <c r="AY242" i="2" s="1"/>
  <c r="Y441" i="3"/>
  <c r="AY243" i="2" s="1"/>
  <c r="Y460" i="3"/>
  <c r="BH192" i="1" s="1"/>
  <c r="Y419" i="3"/>
  <c r="BH193" i="1" s="1"/>
  <c r="Y443" i="3"/>
  <c r="AY244" i="2" s="1"/>
  <c r="Y421" i="3"/>
  <c r="BH194" i="1" s="1"/>
  <c r="Y399" i="3"/>
  <c r="BH195" i="1" s="1"/>
  <c r="Y404" i="3"/>
  <c r="AY245" i="2" s="1"/>
  <c r="Y422" i="3"/>
  <c r="BH196" i="1" s="1"/>
  <c r="Y424" i="3"/>
  <c r="BH197" i="1" s="1"/>
  <c r="Y445" i="3"/>
  <c r="BH198" i="1" s="1"/>
  <c r="Y492" i="3"/>
  <c r="AY246" i="2" s="1"/>
  <c r="Y447" i="3"/>
  <c r="BH199" i="1" s="1"/>
  <c r="Y472" i="3"/>
  <c r="BH200" i="1" s="1"/>
  <c r="Y376" i="3"/>
  <c r="AY247" i="2" s="1"/>
  <c r="Y452" i="3"/>
  <c r="AY248" i="2" s="1"/>
  <c r="Y413" i="3"/>
  <c r="AY249" i="2" s="1"/>
  <c r="Y454" i="3"/>
  <c r="AY250" i="2" s="1"/>
  <c r="Y453" i="3"/>
  <c r="BH201" i="1" s="1"/>
  <c r="Y434" i="3"/>
  <c r="BH202" i="1" s="1"/>
  <c r="Y456" i="3"/>
  <c r="BH303" i="1" s="1"/>
  <c r="Y582" i="3"/>
  <c r="AY251" i="2" s="1"/>
  <c r="Y437" i="3"/>
  <c r="BH203" i="1" s="1"/>
  <c r="Y462" i="3"/>
  <c r="AY252" i="2" s="1"/>
  <c r="Y463" i="3"/>
  <c r="AY253" i="2" s="1"/>
  <c r="Y425" i="3"/>
  <c r="AY254" i="2" s="1"/>
  <c r="Y483" i="3"/>
  <c r="BH204" i="1" s="1"/>
  <c r="Y466" i="3"/>
  <c r="BH205" i="1" s="1"/>
  <c r="Y429" i="3"/>
  <c r="AY255" i="2" s="1"/>
  <c r="Y471" i="3"/>
  <c r="AY256" i="2" s="1"/>
  <c r="Y431" i="3"/>
  <c r="AY257" i="2" s="1"/>
  <c r="Y448" i="3"/>
  <c r="BH206" i="1" s="1"/>
  <c r="Y531" i="3"/>
  <c r="AY258" i="2" s="1"/>
  <c r="Y500" i="3"/>
  <c r="BH207" i="1" s="1"/>
  <c r="Y473" i="3"/>
  <c r="BH208" i="1" s="1"/>
  <c r="Y440" i="3"/>
  <c r="AY259" i="2" s="1"/>
  <c r="Y507" i="3"/>
  <c r="BH209" i="1" s="1"/>
  <c r="Y444" i="3"/>
  <c r="AY260" i="2" s="1"/>
  <c r="Y480" i="3"/>
  <c r="BH210" i="1" s="1"/>
  <c r="Y634" i="3"/>
  <c r="AY261" i="2" s="1"/>
  <c r="Y512" i="3"/>
  <c r="BH331" i="1" s="1"/>
  <c r="Y446" i="3"/>
  <c r="AY262" i="2" s="1"/>
  <c r="Y489" i="3"/>
  <c r="AY263" i="2" s="1"/>
  <c r="Y484" i="3"/>
  <c r="BH211" i="1" s="1"/>
  <c r="Y487" i="3"/>
  <c r="BH212" i="1" s="1"/>
  <c r="Y513" i="3"/>
  <c r="BH213" i="1" s="1"/>
  <c r="Y468" i="3"/>
  <c r="BH333" i="1" s="1"/>
  <c r="Y409" i="3"/>
  <c r="AY264" i="2" s="1"/>
  <c r="Y488" i="3"/>
  <c r="BH214" i="1" s="1"/>
  <c r="Y465" i="3"/>
  <c r="BH215" i="1" s="1"/>
  <c r="Y467" i="3"/>
  <c r="BH216" i="1" s="1"/>
  <c r="Y516" i="3"/>
  <c r="BH217" i="1" s="1"/>
  <c r="Y450" i="3"/>
  <c r="AY265" i="2" s="1"/>
  <c r="Y520" i="3"/>
  <c r="BH218" i="1" s="1"/>
  <c r="Y495" i="3"/>
  <c r="AY266" i="2" s="1"/>
  <c r="Y451" i="3"/>
  <c r="AY267" i="2" s="1"/>
  <c r="Y493" i="3"/>
  <c r="BH219" i="1" s="1"/>
  <c r="Y497" i="3"/>
  <c r="AY268" i="2" s="1"/>
  <c r="Y522" i="3"/>
  <c r="BH220" i="1" s="1"/>
  <c r="Y502" i="3"/>
  <c r="AY269" i="2" s="1"/>
  <c r="Y573" i="3"/>
  <c r="AY270" i="2" s="1"/>
  <c r="Y576" i="3"/>
  <c r="AY271" i="2" s="1"/>
  <c r="Y455" i="3"/>
  <c r="AY272" i="2" s="1"/>
  <c r="Y577" i="3"/>
  <c r="AY273" i="2" s="1"/>
  <c r="Y499" i="3"/>
  <c r="BH221" i="1" s="1"/>
  <c r="Y528" i="3"/>
  <c r="BH222" i="1" s="1"/>
  <c r="Y658" i="3"/>
  <c r="AY274" i="2" s="1"/>
  <c r="Y575" i="3"/>
  <c r="BH223" i="1" s="1"/>
  <c r="Y501" i="3"/>
  <c r="BH224" i="1" s="1"/>
  <c r="Y457" i="3"/>
  <c r="AY275" i="2" s="1"/>
  <c r="Y458" i="3"/>
  <c r="AY276" i="2" s="1"/>
  <c r="Y459" i="3"/>
  <c r="AY277" i="2" s="1"/>
  <c r="Y583" i="3"/>
  <c r="BH225" i="1" s="1"/>
  <c r="Y508" i="3"/>
  <c r="BH226" i="1" s="1"/>
  <c r="Y477" i="3"/>
  <c r="BH227" i="1" s="1"/>
  <c r="Y540" i="3"/>
  <c r="BH228" i="1" s="1"/>
  <c r="Y478" i="3"/>
  <c r="BH229" i="1" s="1"/>
  <c r="Y479" i="3"/>
  <c r="BH230" i="1" s="1"/>
  <c r="Y464" i="3"/>
  <c r="AY278" i="2" s="1"/>
  <c r="Y482" i="3"/>
  <c r="BH353" i="1" s="1"/>
  <c r="Y549" i="3"/>
  <c r="BH231" i="1" s="1"/>
  <c r="Y514" i="3"/>
  <c r="AY279" i="2" s="1"/>
  <c r="Y552" i="3"/>
  <c r="BH232" i="1" s="1"/>
  <c r="Y553" i="3"/>
  <c r="BH233" i="1" s="1"/>
  <c r="Y485" i="3"/>
  <c r="BH234" i="1" s="1"/>
  <c r="Y603" i="3"/>
  <c r="AY280" i="2" s="1"/>
  <c r="Y515" i="3"/>
  <c r="BH236" i="1" s="1"/>
  <c r="Y559" i="3"/>
  <c r="BH359" i="1" s="1"/>
  <c r="Y490" i="3"/>
  <c r="BH237" i="1" s="1"/>
  <c r="Y491" i="3"/>
  <c r="BH238" i="1" s="1"/>
  <c r="Y519" i="3"/>
  <c r="BH239" i="1" s="1"/>
  <c r="Y523" i="3"/>
  <c r="BH240" i="1" s="1"/>
  <c r="Y494" i="3"/>
  <c r="BH241" i="1" s="1"/>
  <c r="Y568" i="3"/>
  <c r="BH242" i="1" s="1"/>
  <c r="Y496" i="3"/>
  <c r="BH243" i="1" s="1"/>
  <c r="Y688" i="3"/>
  <c r="AY281" i="2" s="1"/>
  <c r="Y498" i="3"/>
  <c r="BH244" i="1" s="1"/>
  <c r="Y527" i="3"/>
  <c r="BH245" i="1" s="1"/>
  <c r="Y536" i="3"/>
  <c r="AY282" i="2" s="1"/>
  <c r="Y530" i="3"/>
  <c r="BH246" i="1" s="1"/>
  <c r="Y503" i="3"/>
  <c r="BH247" i="1" s="1"/>
  <c r="Y481" i="3"/>
  <c r="AY283" i="2" s="1"/>
  <c r="Y534" i="3"/>
  <c r="BH248" i="1" s="1"/>
  <c r="Y505" i="3"/>
  <c r="BH249" i="1" s="1"/>
  <c r="Y535" i="3"/>
  <c r="BH250" i="1" s="1"/>
  <c r="Y544" i="3"/>
  <c r="AY284" i="2" s="1"/>
  <c r="Y545" i="3"/>
  <c r="AY285" i="2" s="1"/>
  <c r="Y632" i="3"/>
  <c r="AY286" i="2" s="1"/>
  <c r="Y509" i="3"/>
  <c r="BH251" i="1" s="1"/>
  <c r="Y538" i="3"/>
  <c r="BH252" i="1" s="1"/>
  <c r="Y486" i="3"/>
  <c r="AY287" i="2" s="1"/>
  <c r="Y539" i="3"/>
  <c r="BH253" i="1" s="1"/>
  <c r="Y542" i="3"/>
  <c r="BH254" i="1" s="1"/>
  <c r="Y551" i="3"/>
  <c r="BH370" i="1" s="1"/>
  <c r="Y548" i="3"/>
  <c r="BH255" i="1" s="1"/>
  <c r="Y556" i="3"/>
  <c r="AY288" i="2" s="1"/>
  <c r="Y557" i="3"/>
  <c r="AY289" i="2" s="1"/>
  <c r="Y511" i="3"/>
  <c r="BH256" i="1" s="1"/>
  <c r="Y554" i="3"/>
  <c r="BH257" i="1" s="1"/>
  <c r="Y561" i="3"/>
  <c r="AY290" i="2" s="1"/>
  <c r="Y449" i="3"/>
  <c r="AY291" i="2" s="1"/>
  <c r="Y558" i="3"/>
  <c r="BH258" i="1" s="1"/>
  <c r="Y560" i="3"/>
  <c r="BH379" i="1" s="1"/>
  <c r="Y562" i="3"/>
  <c r="BH259" i="1" s="1"/>
  <c r="Y569" i="3"/>
  <c r="AY292" i="2" s="1"/>
  <c r="Y570" i="3"/>
  <c r="AY293" i="2" s="1"/>
  <c r="Y521" i="3"/>
  <c r="BH260" i="1" s="1"/>
  <c r="Y564" i="3"/>
  <c r="BH261" i="1" s="1"/>
  <c r="Y651" i="3"/>
  <c r="BH262" i="1" s="1"/>
  <c r="Y524" i="3"/>
  <c r="BH263" i="1" s="1"/>
  <c r="Y614" i="3"/>
  <c r="BH264" i="1" s="1"/>
  <c r="Y567" i="3"/>
  <c r="BH265" i="1" s="1"/>
  <c r="Y572" i="3"/>
  <c r="BH266" i="1" s="1"/>
  <c r="Y506" i="3"/>
  <c r="BH387" i="1" s="1"/>
  <c r="Y664" i="3"/>
  <c r="AY294" i="2" s="1"/>
  <c r="Y532" i="3"/>
  <c r="BH268" i="1" s="1"/>
  <c r="Y533" i="3"/>
  <c r="BH269" i="1" s="1"/>
  <c r="Y584" i="3"/>
  <c r="BH270" i="1" s="1"/>
  <c r="Y585" i="3"/>
  <c r="BH271" i="1" s="1"/>
  <c r="Y586" i="3"/>
  <c r="BH272" i="1" s="1"/>
  <c r="Y627" i="3"/>
  <c r="BH273" i="1" s="1"/>
  <c r="Y537" i="3"/>
  <c r="BH274" i="1" s="1"/>
  <c r="Y589" i="3"/>
  <c r="BH275" i="1" s="1"/>
  <c r="Y590" i="3"/>
  <c r="BH276" i="1" s="1"/>
  <c r="Y510" i="3"/>
  <c r="BH277" i="1" s="1"/>
  <c r="Y541" i="3"/>
  <c r="BH278" i="1" s="1"/>
  <c r="Y597" i="3"/>
  <c r="BH279" i="1" s="1"/>
  <c r="Y601" i="3"/>
  <c r="AY295" i="2" s="1"/>
  <c r="Y546" i="3"/>
  <c r="BH280" i="1" s="1"/>
  <c r="Y469" i="3"/>
  <c r="AY296" i="2" s="1"/>
  <c r="Y517" i="3"/>
  <c r="AY297" i="2" s="1"/>
  <c r="Y547" i="3"/>
  <c r="BH281" i="1" s="1"/>
  <c r="Y518" i="3"/>
  <c r="AY298" i="2" s="1"/>
  <c r="Y675" i="3"/>
  <c r="AY299" i="2" s="1"/>
  <c r="Y637" i="3"/>
  <c r="BH282" i="1" s="1"/>
  <c r="Y638" i="3"/>
  <c r="BH283" i="1" s="1"/>
  <c r="Y555" i="3"/>
  <c r="BH284" i="1" s="1"/>
  <c r="Y612" i="3"/>
  <c r="AY300" i="2" s="1"/>
  <c r="Y525" i="3"/>
  <c r="AY301" i="2" s="1"/>
  <c r="Y604" i="3"/>
  <c r="BH285" i="1" s="1"/>
  <c r="Y607" i="3"/>
  <c r="BH395" i="1" s="1"/>
  <c r="Y608" i="3"/>
  <c r="BH396" i="1" s="1"/>
  <c r="Y609" i="3"/>
  <c r="BH397" i="1" s="1"/>
  <c r="Y605" i="3"/>
  <c r="BH286" i="1" s="1"/>
  <c r="Y526" i="3"/>
  <c r="AY302" i="2" s="1"/>
  <c r="Y606" i="3"/>
  <c r="BH287" i="1" s="1"/>
  <c r="Y649" i="3"/>
  <c r="BH400" i="1" s="1"/>
  <c r="Y610" i="3"/>
  <c r="BH288" i="1" s="1"/>
  <c r="Y611" i="3"/>
  <c r="BH289" i="1" s="1"/>
  <c r="Y529" i="3"/>
  <c r="AY303" i="2" s="1"/>
  <c r="Y617" i="3"/>
  <c r="AY304" i="2" s="1"/>
  <c r="Y683" i="3"/>
  <c r="AY305" i="2" s="1"/>
  <c r="Y686" i="3"/>
  <c r="AY306" i="2" s="1"/>
  <c r="Y563" i="3"/>
  <c r="BH290" i="1" s="1"/>
  <c r="Y652" i="3"/>
  <c r="BH403" i="1" s="1"/>
  <c r="Y613" i="3"/>
  <c r="BH291" i="1" s="1"/>
  <c r="Y565" i="3"/>
  <c r="BH292" i="1" s="1"/>
  <c r="Y566" i="3"/>
  <c r="BH293" i="1" s="1"/>
  <c r="Y615" i="3"/>
  <c r="BH294" i="1" s="1"/>
  <c r="Y616" i="3"/>
  <c r="BH295" i="1" s="1"/>
  <c r="Y620" i="3"/>
  <c r="BH409" i="1" s="1"/>
  <c r="Y693" i="3"/>
  <c r="AY307" i="2" s="1"/>
  <c r="Y625" i="3"/>
  <c r="AY308" i="2" s="1"/>
  <c r="Y619" i="3"/>
  <c r="BH296" i="1" s="1"/>
  <c r="Y574" i="3"/>
  <c r="BH297" i="1" s="1"/>
  <c r="Y657" i="3"/>
  <c r="BH298" i="1" s="1"/>
  <c r="Y696" i="3"/>
  <c r="AY309" i="2" s="1"/>
  <c r="Y791" i="3"/>
  <c r="AY310" i="2" s="1"/>
  <c r="Y622" i="3"/>
  <c r="BH299" i="1" s="1"/>
  <c r="Y579" i="3"/>
  <c r="BH300" i="1" s="1"/>
  <c r="Y580" i="3"/>
  <c r="BH301" i="1" s="1"/>
  <c r="Y628" i="3"/>
  <c r="AY311" i="2" s="1"/>
  <c r="Y629" i="3"/>
  <c r="AY312" i="2" s="1"/>
  <c r="Y623" i="3"/>
  <c r="BH302" i="1" s="1"/>
  <c r="Y701" i="3"/>
  <c r="AY313" i="2" s="1"/>
  <c r="Y633" i="3"/>
  <c r="AY314" i="2" s="1"/>
  <c r="Y550" i="3"/>
  <c r="AY315" i="2" s="1"/>
  <c r="Y594" i="3"/>
  <c r="BH414" i="1" s="1"/>
  <c r="Y626" i="3"/>
  <c r="BH304" i="1" s="1"/>
  <c r="Y588" i="3"/>
  <c r="BH305" i="1" s="1"/>
  <c r="Y543" i="3"/>
  <c r="BH419" i="1" s="1"/>
  <c r="Y596" i="3"/>
  <c r="BH421" i="1" s="1"/>
  <c r="Y591" i="3"/>
  <c r="BH306" i="1" s="1"/>
  <c r="Y592" i="3"/>
  <c r="BH307" i="1" s="1"/>
  <c r="Y593" i="3"/>
  <c r="BH308" i="1" s="1"/>
  <c r="Y640" i="3"/>
  <c r="AY316" i="2" s="1"/>
  <c r="Y631" i="3"/>
  <c r="BH309" i="1" s="1"/>
  <c r="Y665" i="3"/>
  <c r="BH310" i="1" s="1"/>
  <c r="Y706" i="3"/>
  <c r="BH311" i="1" s="1"/>
  <c r="Y642" i="3"/>
  <c r="AY317" i="2" s="1"/>
  <c r="Y800" i="3"/>
  <c r="AY318" i="2" s="1"/>
  <c r="Y644" i="3"/>
  <c r="AY319" i="2" s="1"/>
  <c r="Y598" i="3"/>
  <c r="BH312" i="1" s="1"/>
  <c r="Y599" i="3"/>
  <c r="BH313" i="1" s="1"/>
  <c r="Y639" i="3"/>
  <c r="BH314" i="1" s="1"/>
  <c r="Y641" i="3"/>
  <c r="BH315" i="1" s="1"/>
  <c r="Y643" i="3"/>
  <c r="BH316" i="1" s="1"/>
  <c r="Y645" i="3"/>
  <c r="BH317" i="1" s="1"/>
  <c r="Y678" i="3"/>
  <c r="BH318" i="1" s="1"/>
  <c r="Y602" i="3"/>
  <c r="BH319" i="1" s="1"/>
  <c r="Y818" i="3"/>
  <c r="AY320" i="2" s="1"/>
  <c r="Y504" i="3"/>
  <c r="AY321" i="2" s="1"/>
  <c r="Y650" i="3"/>
  <c r="BH320" i="1" s="1"/>
  <c r="Y741" i="3"/>
  <c r="AY322" i="2" s="1"/>
  <c r="Y682" i="3"/>
  <c r="BH321" i="1" s="1"/>
  <c r="Y747" i="3"/>
  <c r="AY323" i="2" s="1"/>
  <c r="Y653" i="3"/>
  <c r="BH322" i="1" s="1"/>
  <c r="Y587" i="3"/>
  <c r="AY324" i="2" s="1"/>
  <c r="Y571" i="3"/>
  <c r="BH323" i="1" s="1"/>
  <c r="Y660" i="3"/>
  <c r="BH438" i="1" s="1"/>
  <c r="Y595" i="3"/>
  <c r="AY325" i="2" s="1"/>
  <c r="Y578" i="3"/>
  <c r="BH324" i="1" s="1"/>
  <c r="Y661" i="3"/>
  <c r="BH325" i="1" s="1"/>
  <c r="Y662" i="3"/>
  <c r="BH326" i="1" s="1"/>
  <c r="Y600" i="3"/>
  <c r="AY326" i="2" s="1"/>
  <c r="Y697" i="3"/>
  <c r="BH327" i="1" s="1"/>
  <c r="Y668" i="3"/>
  <c r="AY327" i="2" s="1"/>
  <c r="Y700" i="3"/>
  <c r="BH446" i="1" s="1"/>
  <c r="Y670" i="3"/>
  <c r="AY328" i="2" s="1"/>
  <c r="Y635" i="3"/>
  <c r="BH449" i="1" s="1"/>
  <c r="Y630" i="3"/>
  <c r="BH328" i="1" s="1"/>
  <c r="Y666" i="3"/>
  <c r="BH329" i="1" s="1"/>
  <c r="Y669" i="3"/>
  <c r="BH330" i="1" s="1"/>
  <c r="Y636" i="3"/>
  <c r="BH332" i="1" s="1"/>
  <c r="Y673" i="3"/>
  <c r="BH452" i="1" s="1"/>
  <c r="Y648" i="3"/>
  <c r="BH453" i="1" s="1"/>
  <c r="Y646" i="3"/>
  <c r="BH334" i="1" s="1"/>
  <c r="Y726" i="3"/>
  <c r="BH335" i="1" s="1"/>
  <c r="Y729" i="3"/>
  <c r="BH336" i="1" s="1"/>
  <c r="Y684" i="3"/>
  <c r="AY330" i="2" s="1"/>
  <c r="Y685" i="3"/>
  <c r="AY329" i="2" s="1"/>
  <c r="Y679" i="3"/>
  <c r="BH337" i="1" s="1"/>
  <c r="Y733" i="3"/>
  <c r="BH456" i="1" s="1"/>
  <c r="Y780" i="3"/>
  <c r="AY331" i="2" s="1"/>
  <c r="Y734" i="3"/>
  <c r="BH338" i="1" s="1"/>
  <c r="Y681" i="3"/>
  <c r="BH339" i="1" s="1"/>
  <c r="Y740" i="3"/>
  <c r="BH340" i="1" s="1"/>
  <c r="Y654" i="3"/>
  <c r="BH341" i="1" s="1"/>
  <c r="Y618" i="3"/>
  <c r="BH342" i="1" s="1"/>
  <c r="Y742" i="3"/>
  <c r="BH343" i="1" s="1"/>
  <c r="Y655" i="3"/>
  <c r="BH344" i="1" s="1"/>
  <c r="Y656" i="3"/>
  <c r="BH345" i="1" s="1"/>
  <c r="Y689" i="3"/>
  <c r="BH346" i="1" s="1"/>
  <c r="Y798" i="3"/>
  <c r="AY332" i="2" s="1"/>
  <c r="Y621" i="3"/>
  <c r="BH347" i="1" s="1"/>
  <c r="Y692" i="3"/>
  <c r="BH348" i="1" s="1"/>
  <c r="Y751" i="3"/>
  <c r="BH467" i="1" s="1"/>
  <c r="Y624" i="3"/>
  <c r="BH349" i="1" s="1"/>
  <c r="Y797" i="3"/>
  <c r="BH350" i="1" s="1"/>
  <c r="Y702" i="3"/>
  <c r="BH470" i="1" s="1"/>
  <c r="Y710" i="3"/>
  <c r="AY333" i="2" s="1"/>
  <c r="Y647" i="3"/>
  <c r="AY334" i="2" s="1"/>
  <c r="Y707" i="3"/>
  <c r="BH351" i="1" s="1"/>
  <c r="Y667" i="3"/>
  <c r="BH352" i="1" s="1"/>
  <c r="Y721" i="3"/>
  <c r="AY335" i="2" s="1"/>
  <c r="Y724" i="3"/>
  <c r="AY336" i="2" s="1"/>
  <c r="Y713" i="3"/>
  <c r="BH475" i="1" s="1"/>
  <c r="Y725" i="3"/>
  <c r="AY337" i="2" s="1"/>
  <c r="Y727" i="3"/>
  <c r="AY338" i="2" s="1"/>
  <c r="Y728" i="3"/>
  <c r="AY339" i="2" s="1"/>
  <c r="Y674" i="3"/>
  <c r="BH476" i="1" s="1"/>
  <c r="Y715" i="3"/>
  <c r="BH478" i="1" s="1"/>
  <c r="Y672" i="3"/>
  <c r="BH354" i="1" s="1"/>
  <c r="Y819" i="3"/>
  <c r="AY340" i="2" s="1"/>
  <c r="Y722" i="3"/>
  <c r="BH481" i="1" s="1"/>
  <c r="Y821" i="3"/>
  <c r="AY341" i="2" s="1"/>
  <c r="Y735" i="3"/>
  <c r="AY342" i="2" s="1"/>
  <c r="Y737" i="3"/>
  <c r="AY343" i="2" s="1"/>
  <c r="Y717" i="3"/>
  <c r="BH355" i="1" s="1"/>
  <c r="Y718" i="3"/>
  <c r="BH356" i="1" s="1"/>
  <c r="Y719" i="3"/>
  <c r="BH357" i="1" s="1"/>
  <c r="Y677" i="3"/>
  <c r="BH358" i="1" s="1"/>
  <c r="Y825" i="3"/>
  <c r="AY344" i="2" s="1"/>
  <c r="Y769" i="3"/>
  <c r="BH360" i="1" s="1"/>
  <c r="Y817" i="3"/>
  <c r="BH484" i="1" s="1"/>
  <c r="Y581" i="3"/>
  <c r="AY345" i="2" s="1"/>
  <c r="Y680" i="3"/>
  <c r="BH485" i="1" s="1"/>
  <c r="Y743" i="3"/>
  <c r="AY346" i="2" s="1"/>
  <c r="Y744" i="3"/>
  <c r="AY347" i="2" s="1"/>
  <c r="Y746" i="3"/>
  <c r="AY348" i="2" s="1"/>
  <c r="Y749" i="3"/>
  <c r="AY349" i="2" s="1"/>
  <c r="Y750" i="3"/>
  <c r="AY350" i="2" s="1"/>
  <c r="Y738" i="3"/>
  <c r="BH361" i="1" s="1"/>
  <c r="Y663" i="3"/>
  <c r="AY351" i="2" s="1"/>
  <c r="Y753" i="3"/>
  <c r="AY352" i="2" s="1"/>
  <c r="Y782" i="3"/>
  <c r="BH362" i="1" s="1"/>
  <c r="Y787" i="3"/>
  <c r="BH363" i="1" s="1"/>
  <c r="Y745" i="3"/>
  <c r="BH364" i="1" s="1"/>
  <c r="Y690" i="3"/>
  <c r="BH365" i="1" s="1"/>
  <c r="Y789" i="3"/>
  <c r="BH366" i="1" s="1"/>
  <c r="Y755" i="3"/>
  <c r="BH491" i="1" s="1"/>
  <c r="Y757" i="3"/>
  <c r="AY353" i="2" s="1"/>
  <c r="Y695" i="3"/>
  <c r="BH367" i="1" s="1"/>
  <c r="Y796" i="3"/>
  <c r="BH368" i="1" s="1"/>
  <c r="Y848" i="3"/>
  <c r="AY354" i="2" s="1"/>
  <c r="Y704" i="3"/>
  <c r="BH493" i="1" s="1"/>
  <c r="Y703" i="3"/>
  <c r="BH369" i="1" s="1"/>
  <c r="Y759" i="3"/>
  <c r="BH371" i="1" s="1"/>
  <c r="Y767" i="3"/>
  <c r="AY355" i="2" s="1"/>
  <c r="Y802" i="3"/>
  <c r="BH372" i="1" s="1"/>
  <c r="Y805" i="3"/>
  <c r="BH373" i="1" s="1"/>
  <c r="Y709" i="3"/>
  <c r="BH374" i="1" s="1"/>
  <c r="Y671" i="3"/>
  <c r="BH375" i="1" s="1"/>
  <c r="Y761" i="3"/>
  <c r="BH376" i="1" s="1"/>
  <c r="Y711" i="3"/>
  <c r="BH377" i="1" s="1"/>
  <c r="Y712" i="3"/>
  <c r="BH378" i="1" s="1"/>
  <c r="Y763" i="3"/>
  <c r="BH499" i="1" s="1"/>
  <c r="Y765" i="3"/>
  <c r="BH380" i="1" s="1"/>
  <c r="Y766" i="3"/>
  <c r="BH381" i="1" s="1"/>
  <c r="Y778" i="3"/>
  <c r="AY356" i="2" s="1"/>
  <c r="Y814" i="3"/>
  <c r="BH382" i="1" s="1"/>
  <c r="Y687" i="3"/>
  <c r="AY357" i="2" s="1"/>
  <c r="Y768" i="3"/>
  <c r="BH383" i="1" s="1"/>
  <c r="Y730" i="3"/>
  <c r="BH384" i="1" s="1"/>
  <c r="Y783" i="3"/>
  <c r="AY358" i="2" s="1"/>
  <c r="Y691" i="3"/>
  <c r="AY359" i="2" s="1"/>
  <c r="Y770" i="3"/>
  <c r="BH385" i="1" s="1"/>
  <c r="Y694" i="3"/>
  <c r="AY360" i="2" s="1"/>
  <c r="Y698" i="3"/>
  <c r="AY361" i="2" s="1"/>
  <c r="Y699" i="3"/>
  <c r="AY362" i="2" s="1"/>
  <c r="Y830" i="3"/>
  <c r="BH386" i="1" s="1"/>
  <c r="Y785" i="3"/>
  <c r="BH507" i="1" s="1"/>
  <c r="Y891" i="3"/>
  <c r="AY363" i="2" s="1"/>
  <c r="Y748" i="3"/>
  <c r="BH388" i="1" s="1"/>
  <c r="Y708" i="3"/>
  <c r="AY364" i="2" s="1"/>
  <c r="Y754" i="3"/>
  <c r="BH389" i="1" s="1"/>
  <c r="Y843" i="3"/>
  <c r="BH390" i="1" s="1"/>
  <c r="Y801" i="3"/>
  <c r="AY365" i="2" s="1"/>
  <c r="Y804" i="3"/>
  <c r="AY366" i="2" s="1"/>
  <c r="Y890" i="3"/>
  <c r="BH508" i="1" s="1"/>
  <c r="Y714" i="3"/>
  <c r="AY367" i="2" s="1"/>
  <c r="Y807" i="3"/>
  <c r="AY368" i="2" s="1"/>
  <c r="Y906" i="3"/>
  <c r="AY369" i="2" s="1"/>
  <c r="Y799" i="3"/>
  <c r="BH391" i="1" s="1"/>
  <c r="Y809" i="3"/>
  <c r="AY370" i="2" s="1"/>
  <c r="Y705" i="3"/>
  <c r="BH392" i="1" s="1"/>
  <c r="Y849" i="3"/>
  <c r="BH514" i="1" s="1"/>
  <c r="Y732" i="3"/>
  <c r="AY371" i="2" s="1"/>
  <c r="Y764" i="3"/>
  <c r="BH516" i="1" s="1"/>
  <c r="Y808" i="3"/>
  <c r="BH393" i="1" s="1"/>
  <c r="Y736" i="3"/>
  <c r="AY372" i="2" s="1"/>
  <c r="Y739" i="3"/>
  <c r="AY373" i="2" s="1"/>
  <c r="Y716" i="3"/>
  <c r="BH394" i="1" s="1"/>
  <c r="Y828" i="3"/>
  <c r="AY374" i="2" s="1"/>
  <c r="Y720" i="3"/>
  <c r="BH398" i="1" s="1"/>
  <c r="Y860" i="3"/>
  <c r="BH399" i="1" s="1"/>
  <c r="Y659" i="3"/>
  <c r="AY375" i="2" s="1"/>
  <c r="Y774" i="3"/>
  <c r="BH519" i="1" s="1"/>
  <c r="Y822" i="3"/>
  <c r="BH401" i="1" s="1"/>
  <c r="Y926" i="3"/>
  <c r="AY376" i="2" s="1"/>
  <c r="Y731" i="3"/>
  <c r="BH402" i="1" s="1"/>
  <c r="Y752" i="3"/>
  <c r="AY377" i="2" s="1"/>
  <c r="Y771" i="3"/>
  <c r="BH404" i="1" s="1"/>
  <c r="Y824" i="3"/>
  <c r="BH405" i="1" s="1"/>
  <c r="Y826" i="3"/>
  <c r="BH406" i="1" s="1"/>
  <c r="Y870" i="3"/>
  <c r="BH407" i="1" s="1"/>
  <c r="Y838" i="3"/>
  <c r="AY378" i="2" s="1"/>
  <c r="Y784" i="3"/>
  <c r="BH523" i="1" s="1"/>
  <c r="Y776" i="3"/>
  <c r="BH408" i="1" s="1"/>
  <c r="Y786" i="3"/>
  <c r="BH524" i="1" s="1"/>
  <c r="Y788" i="3"/>
  <c r="BH525" i="1" s="1"/>
  <c r="Y878" i="3"/>
  <c r="BH410" i="1" s="1"/>
  <c r="Y756" i="3"/>
  <c r="AY379" i="2" s="1"/>
  <c r="Y835" i="3"/>
  <c r="BH411" i="1" s="1"/>
  <c r="Y760" i="3"/>
  <c r="AY380" i="2" s="1"/>
  <c r="Y790" i="3"/>
  <c r="BH412" i="1" s="1"/>
  <c r="Y792" i="3"/>
  <c r="BH413" i="1" s="1"/>
  <c r="Y793" i="3"/>
  <c r="BH415" i="1" s="1"/>
  <c r="Y840" i="3"/>
  <c r="BH416" i="1" s="1"/>
  <c r="Y841" i="3"/>
  <c r="BH417" i="1" s="1"/>
  <c r="Y842" i="3"/>
  <c r="BH418" i="1" s="1"/>
  <c r="Y794" i="3"/>
  <c r="BH420" i="1" s="1"/>
  <c r="Y676" i="3"/>
  <c r="AY381" i="2" s="1"/>
  <c r="Y850" i="3"/>
  <c r="AY382" i="2" s="1"/>
  <c r="Y851" i="3"/>
  <c r="AY383" i="2" s="1"/>
  <c r="Y896" i="3"/>
  <c r="BH422" i="1" s="1"/>
  <c r="Y864" i="3"/>
  <c r="AY384" i="2" s="1"/>
  <c r="Y866" i="3"/>
  <c r="AY385" i="2" s="1"/>
  <c r="Y905" i="3"/>
  <c r="BH532" i="1" s="1"/>
  <c r="Y867" i="3"/>
  <c r="AY386" i="2" s="1"/>
  <c r="Y803" i="3"/>
  <c r="BH423" i="1" s="1"/>
  <c r="Y806" i="3"/>
  <c r="BH424" i="1" s="1"/>
  <c r="Y772" i="3"/>
  <c r="AY387" i="2" s="1"/>
  <c r="Y773" i="3"/>
  <c r="AY388" i="2" s="1"/>
  <c r="Y853" i="3"/>
  <c r="BH425" i="1" s="1"/>
  <c r="Y775" i="3"/>
  <c r="AY389" i="2" s="1"/>
  <c r="Y869" i="3"/>
  <c r="AY390" i="2" s="1"/>
  <c r="Y779" i="3"/>
  <c r="AY391" i="2" s="1"/>
  <c r="Y762" i="3"/>
  <c r="BH426" i="1" s="1"/>
  <c r="Y858" i="3"/>
  <c r="BH427" i="1" s="1"/>
  <c r="Y810" i="3"/>
  <c r="BH428" i="1" s="1"/>
  <c r="Y859" i="3"/>
  <c r="BH429" i="1" s="1"/>
  <c r="Y781" i="3"/>
  <c r="AY392" i="2" s="1"/>
  <c r="Y813" i="3"/>
  <c r="BH430" i="1" s="1"/>
  <c r="Y865" i="3"/>
  <c r="BH431" i="1" s="1"/>
  <c r="Y815" i="3"/>
  <c r="BH432" i="1" s="1"/>
  <c r="Y816" i="3"/>
  <c r="BH433" i="1" s="1"/>
  <c r="Y820" i="3"/>
  <c r="BH434" i="1" s="1"/>
  <c r="Y823" i="3"/>
  <c r="BH435" i="1" s="1"/>
  <c r="Y871" i="3"/>
  <c r="BH538" i="1" s="1"/>
  <c r="Y884" i="3"/>
  <c r="AY394" i="2" s="1"/>
  <c r="Y885" i="3"/>
  <c r="AY393" i="2" s="1"/>
  <c r="Y888" i="3"/>
  <c r="AY395" i="2" s="1"/>
  <c r="Y829" i="3"/>
  <c r="BH436" i="1" s="1"/>
  <c r="Y777" i="3"/>
  <c r="BH437" i="1" s="1"/>
  <c r="Y882" i="3"/>
  <c r="BH539" i="1" s="1"/>
  <c r="Y833" i="3"/>
  <c r="BH439" i="1" s="1"/>
  <c r="Y880" i="3"/>
  <c r="BH440" i="1" s="1"/>
  <c r="Y834" i="3"/>
  <c r="BH441" i="1" s="1"/>
  <c r="Y795" i="3"/>
  <c r="BH540" i="1" s="1"/>
  <c r="Y836" i="3"/>
  <c r="BH442" i="1" s="1"/>
  <c r="Y881" i="3"/>
  <c r="BH443" i="1" s="1"/>
  <c r="Y883" i="3"/>
  <c r="BH444" i="1" s="1"/>
  <c r="Y964" i="3"/>
  <c r="AY396" i="2" s="1"/>
  <c r="Y889" i="3"/>
  <c r="BH541" i="1" s="1"/>
  <c r="Y886" i="3"/>
  <c r="BH445" i="1" s="1"/>
  <c r="Y902" i="3"/>
  <c r="AY397" i="2" s="1"/>
  <c r="Y904" i="3"/>
  <c r="AY398" i="2" s="1"/>
  <c r="Y893" i="3"/>
  <c r="BH447" i="1" s="1"/>
  <c r="Y811" i="3"/>
  <c r="AY399" i="2" s="1"/>
  <c r="Y812" i="3"/>
  <c r="AY400" i="2" s="1"/>
  <c r="Y723" i="3"/>
  <c r="AY401" i="2" s="1"/>
  <c r="Y845" i="3"/>
  <c r="BH448" i="1" s="1"/>
  <c r="Y895" i="3"/>
  <c r="BH450" i="1" s="1"/>
  <c r="Y847" i="3"/>
  <c r="BH451" i="1" s="1"/>
  <c r="Y916" i="3"/>
  <c r="AY402" i="2" s="1"/>
  <c r="Y944" i="3"/>
  <c r="BH546" i="1" s="1"/>
  <c r="Y982" i="3"/>
  <c r="AY403" i="2" s="1"/>
  <c r="Y831" i="3"/>
  <c r="AY404" i="2" s="1"/>
  <c r="Y868" i="3"/>
  <c r="BH548" i="1" s="1"/>
  <c r="Y923" i="3"/>
  <c r="AY405" i="2" s="1"/>
  <c r="Y947" i="3"/>
  <c r="BH454" i="1" s="1"/>
  <c r="Y832" i="3"/>
  <c r="AY406" i="2" s="1"/>
  <c r="Y915" i="3"/>
  <c r="BH455" i="1" s="1"/>
  <c r="Y827" i="3"/>
  <c r="BH550" i="1" s="1"/>
  <c r="Y837" i="3"/>
  <c r="AY407" i="2" s="1"/>
  <c r="Y920" i="3"/>
  <c r="BH553" i="1" s="1"/>
  <c r="Y922" i="3"/>
  <c r="BH554" i="1" s="1"/>
  <c r="Y919" i="3"/>
  <c r="BH457" i="1" s="1"/>
  <c r="Y839" i="3"/>
  <c r="AY408" i="2" s="1"/>
  <c r="Y954" i="3"/>
  <c r="BH458" i="1" s="1"/>
  <c r="Y998" i="3"/>
  <c r="AY409" i="2" s="1"/>
  <c r="Y930" i="3"/>
  <c r="AY410" i="2" s="1"/>
  <c r="Y921" i="3"/>
  <c r="BH459" i="1" s="1"/>
  <c r="Y844" i="3"/>
  <c r="AY411" i="2" s="1"/>
  <c r="Y846" i="3"/>
  <c r="AY412" i="2" s="1"/>
  <c r="Y872" i="3"/>
  <c r="BH460" i="1" s="1"/>
  <c r="Y874" i="3"/>
  <c r="BH461" i="1" s="1"/>
  <c r="Y958" i="3"/>
  <c r="BH462" i="1" s="1"/>
  <c r="Y758" i="3"/>
  <c r="AY413" i="2" s="1"/>
  <c r="Y875" i="3"/>
  <c r="BH463" i="1" s="1"/>
  <c r="Y876" i="3"/>
  <c r="BH464" i="1" s="1"/>
  <c r="Y877" i="3"/>
  <c r="BH465" i="1" s="1"/>
  <c r="Y960" i="3"/>
  <c r="BH557" i="1" s="1"/>
  <c r="Y927" i="3"/>
  <c r="BH466" i="1" s="1"/>
  <c r="Y939" i="3"/>
  <c r="AY414" i="2" s="1"/>
  <c r="Y929" i="3"/>
  <c r="BH468" i="1" s="1"/>
  <c r="Y887" i="3"/>
  <c r="BH469" i="1" s="1"/>
  <c r="Y852" i="3"/>
  <c r="AY415" i="2" s="1"/>
  <c r="Y932" i="3"/>
  <c r="BH471" i="1" s="1"/>
  <c r="Y854" i="3"/>
  <c r="AY416" i="2" s="1"/>
  <c r="Y856" i="3"/>
  <c r="AY417" i="2" s="1"/>
  <c r="Y857" i="3"/>
  <c r="AY418" i="2" s="1"/>
  <c r="Y892" i="3"/>
  <c r="BH472" i="1" s="1"/>
  <c r="Y894" i="3"/>
  <c r="BH473" i="1" s="1"/>
  <c r="Y861" i="3"/>
  <c r="AY420" i="2" s="1"/>
  <c r="Y862" i="3"/>
  <c r="AY419" i="2" s="1"/>
  <c r="Y863" i="3"/>
  <c r="AY421" i="2" s="1"/>
  <c r="Y898" i="3"/>
  <c r="BH474" i="1" s="1"/>
  <c r="Y901" i="3"/>
  <c r="BH477" i="1" s="1"/>
  <c r="Y855" i="3"/>
  <c r="BH568" i="1" s="1"/>
  <c r="Y903" i="3"/>
  <c r="BH479" i="1" s="1"/>
  <c r="Y909" i="3"/>
  <c r="BH569" i="1" s="1"/>
  <c r="Y1016" i="3"/>
  <c r="AY422" i="2" s="1"/>
  <c r="Y953" i="3"/>
  <c r="AY423" i="2" s="1"/>
  <c r="Y973" i="3"/>
  <c r="BH480" i="1" s="1"/>
  <c r="Y908" i="3"/>
  <c r="BH482" i="1" s="1"/>
  <c r="Y946" i="3"/>
  <c r="BH574" i="1" s="1"/>
  <c r="Y873" i="3"/>
  <c r="AY424" i="2" s="1"/>
  <c r="Y910" i="3"/>
  <c r="BH483" i="1" s="1"/>
  <c r="Y948" i="3"/>
  <c r="BH578" i="1" s="1"/>
  <c r="Y917" i="3"/>
  <c r="BH486" i="1" s="1"/>
  <c r="Y1020" i="3"/>
  <c r="AY425" i="2" s="1"/>
  <c r="Y918" i="3"/>
  <c r="BH487" i="1" s="1"/>
  <c r="Y951" i="3"/>
  <c r="BH488" i="1" s="1"/>
  <c r="Y955" i="3"/>
  <c r="BH489" i="1" s="1"/>
  <c r="Y879" i="3"/>
  <c r="BH579" i="1" s="1"/>
  <c r="Y897" i="3"/>
  <c r="AY426" i="2" s="1"/>
  <c r="Y961" i="3"/>
  <c r="BH584" i="1" s="1"/>
  <c r="Y959" i="3"/>
  <c r="BH490" i="1" s="1"/>
  <c r="Y899" i="3"/>
  <c r="AY427" i="2" s="1"/>
  <c r="Y928" i="3"/>
  <c r="BH492" i="1" s="1"/>
  <c r="Y931" i="3"/>
  <c r="BH586" i="1" s="1"/>
  <c r="Y907" i="3"/>
  <c r="AY428" i="2" s="1"/>
  <c r="Y911" i="3"/>
  <c r="AY429" i="2" s="1"/>
  <c r="Y912" i="3"/>
  <c r="AY430" i="2" s="1"/>
  <c r="Y913" i="3"/>
  <c r="AY431" i="2" s="1"/>
  <c r="Y914" i="3"/>
  <c r="AY432" i="2" s="1"/>
  <c r="Y936" i="3"/>
  <c r="BH494" i="1" s="1"/>
  <c r="Y969" i="3"/>
  <c r="BH590" i="1" s="1"/>
  <c r="Y966" i="3"/>
  <c r="BH495" i="1" s="1"/>
  <c r="Y979" i="3"/>
  <c r="AY433" i="2" s="1"/>
  <c r="Y981" i="3"/>
  <c r="AY434" i="2" s="1"/>
  <c r="Y900" i="3"/>
  <c r="BH496" i="1" s="1"/>
  <c r="Y1009" i="3"/>
  <c r="BH497" i="1" s="1"/>
  <c r="Y940" i="3"/>
  <c r="BH498" i="1" s="1"/>
  <c r="Y983" i="3"/>
  <c r="AY435" i="2" s="1"/>
  <c r="Y984" i="3"/>
  <c r="AY436" i="2" s="1"/>
  <c r="Y986" i="3"/>
  <c r="AY437" i="2" s="1"/>
  <c r="Y941" i="3"/>
  <c r="BH500" i="1" s="1"/>
  <c r="Y942" i="3"/>
  <c r="BH501" i="1" s="1"/>
  <c r="Y924" i="3"/>
  <c r="AY438" i="2" s="1"/>
  <c r="Y945" i="3"/>
  <c r="BH502" i="1" s="1"/>
  <c r="Y1011" i="3"/>
  <c r="BH503" i="1" s="1"/>
  <c r="Y925" i="3"/>
  <c r="AY439" i="2" s="1"/>
  <c r="Y993" i="3"/>
  <c r="AY440" i="2" s="1"/>
  <c r="Y994" i="3"/>
  <c r="AY441" i="2" s="1"/>
  <c r="Y996" i="3"/>
  <c r="AY442" i="2" s="1"/>
  <c r="Y952" i="3"/>
  <c r="BH593" i="1" s="1"/>
  <c r="Y997" i="3"/>
  <c r="AY443" i="2" s="1"/>
  <c r="Y950" i="3"/>
  <c r="BH504" i="1" s="1"/>
  <c r="Y985" i="3"/>
  <c r="BH505" i="1" s="1"/>
  <c r="Y957" i="3"/>
  <c r="BH595" i="1" s="1"/>
  <c r="Y990" i="3"/>
  <c r="BH506" i="1" s="1"/>
  <c r="Y933" i="3"/>
  <c r="AY444" i="2" s="1"/>
  <c r="Y1000" i="3"/>
  <c r="AY445" i="2" s="1"/>
  <c r="Y995" i="3"/>
  <c r="BH596" i="1" s="1"/>
  <c r="Y937" i="3"/>
  <c r="AY446" i="2" s="1"/>
  <c r="Y938" i="3"/>
  <c r="AY447" i="2" s="1"/>
  <c r="Y999" i="3"/>
  <c r="BH598" i="1" s="1"/>
  <c r="Y1006" i="3"/>
  <c r="AY448" i="2" s="1"/>
  <c r="Y1010" i="3"/>
  <c r="AY449" i="2" s="1"/>
  <c r="Y943" i="3"/>
  <c r="AY450" i="2" s="1"/>
  <c r="Y1002" i="3"/>
  <c r="BH509" i="1" s="1"/>
  <c r="Y1026" i="3"/>
  <c r="BH510" i="1" s="1"/>
  <c r="Y962" i="3"/>
  <c r="BH511" i="1" s="1"/>
  <c r="Y967" i="3"/>
  <c r="BH602" i="1" s="1"/>
  <c r="Y968" i="3"/>
  <c r="BH603" i="1" s="1"/>
  <c r="Y934" i="3"/>
  <c r="BH512" i="1" s="1"/>
  <c r="Y1030" i="3"/>
  <c r="BH513" i="1" s="1"/>
  <c r="Y965" i="3"/>
  <c r="BH515" i="1" s="1"/>
  <c r="Y1104" i="3"/>
  <c r="AY451" i="2" s="1"/>
  <c r="Y1015" i="3"/>
  <c r="AY452" i="2" s="1"/>
  <c r="Y1018" i="3"/>
  <c r="AY453" i="2" s="1"/>
  <c r="Y974" i="3"/>
  <c r="BH607" i="1" s="1"/>
  <c r="Y956" i="3"/>
  <c r="AY454" i="2" s="1"/>
  <c r="Y971" i="3"/>
  <c r="BH517" i="1" s="1"/>
  <c r="Y975" i="3"/>
  <c r="BH518" i="1" s="1"/>
  <c r="Y1014" i="3"/>
  <c r="BH520" i="1" s="1"/>
  <c r="Y987" i="3"/>
  <c r="BH613" i="1" s="1"/>
  <c r="Y988" i="3"/>
  <c r="BH614" i="1" s="1"/>
  <c r="Y1021" i="3"/>
  <c r="AY455" i="2" s="1"/>
  <c r="Y1017" i="3"/>
  <c r="BH521" i="1" s="1"/>
  <c r="Y991" i="3"/>
  <c r="BH617" i="1" s="1"/>
  <c r="Y1023" i="3"/>
  <c r="AY456" i="2" s="1"/>
  <c r="Y992" i="3"/>
  <c r="BH618" i="1" s="1"/>
  <c r="Y1038" i="3"/>
  <c r="BH522" i="1" s="1"/>
  <c r="Y963" i="3"/>
  <c r="AY457" i="2" s="1"/>
  <c r="Y1044" i="3"/>
  <c r="BH526" i="1" s="1"/>
  <c r="Y1032" i="3"/>
  <c r="AY458" i="2" s="1"/>
  <c r="Y970" i="3"/>
  <c r="AY459" i="2" s="1"/>
  <c r="Y972" i="3"/>
  <c r="AY460" i="2" s="1"/>
  <c r="Y1028" i="3"/>
  <c r="BH625" i="1" s="1"/>
  <c r="Y1048" i="3"/>
  <c r="BH527" i="1" s="1"/>
  <c r="Y1049" i="3"/>
  <c r="BH626" i="1" s="1"/>
  <c r="Y1001" i="3"/>
  <c r="BH528" i="1" s="1"/>
  <c r="Y976" i="3"/>
  <c r="AY461" i="2" s="1"/>
  <c r="Y1050" i="3"/>
  <c r="BH529" i="1" s="1"/>
  <c r="Y977" i="3"/>
  <c r="AY462" i="2" s="1"/>
  <c r="Y978" i="3"/>
  <c r="AY463" i="2" s="1"/>
  <c r="Y1035" i="3"/>
  <c r="AY464" i="2" s="1"/>
  <c r="Y1005" i="3"/>
  <c r="BH530" i="1" s="1"/>
  <c r="Y1076" i="3"/>
  <c r="BH531" i="1" s="1"/>
  <c r="Y1033" i="3"/>
  <c r="BH629" i="1" s="1"/>
  <c r="Y1007" i="3"/>
  <c r="BH533" i="1" s="1"/>
  <c r="Y1008" i="3"/>
  <c r="BH534" i="1" s="1"/>
  <c r="Y989" i="3"/>
  <c r="AY465" i="2" s="1"/>
  <c r="Y980" i="3"/>
  <c r="BH630" i="1" s="1"/>
  <c r="Y1012" i="3"/>
  <c r="BH535" i="1" s="1"/>
  <c r="Y1040" i="3"/>
  <c r="AY466" i="2" s="1"/>
  <c r="Y1036" i="3"/>
  <c r="BH536" i="1" s="1"/>
  <c r="Y1037" i="3"/>
  <c r="BH537" i="1" s="1"/>
  <c r="Y935" i="3"/>
  <c r="AY467" i="2" s="1"/>
  <c r="Y1061" i="3"/>
  <c r="BH633" i="1" s="1"/>
  <c r="Y1003" i="3"/>
  <c r="AY468" i="2" s="1"/>
  <c r="Y1004" i="3"/>
  <c r="BH636" i="1" s="1"/>
  <c r="Y1024" i="3"/>
  <c r="BH542" i="1" s="1"/>
  <c r="Y1100" i="3"/>
  <c r="AY469" i="2" s="1"/>
  <c r="Y1054" i="3"/>
  <c r="AY470" i="2" s="1"/>
  <c r="Y1027" i="3"/>
  <c r="BH543" i="1" s="1"/>
  <c r="Y1013" i="3"/>
  <c r="AY471" i="2" s="1"/>
  <c r="Y949" i="3"/>
  <c r="AY472" i="2" s="1"/>
  <c r="Y1074" i="3"/>
  <c r="BH638" i="1" s="1"/>
  <c r="Y1031" i="3"/>
  <c r="BH544" i="1" s="1"/>
  <c r="Y1073" i="3"/>
  <c r="BH545" i="1" s="1"/>
  <c r="Y1034" i="3"/>
  <c r="BH547" i="1" s="1"/>
  <c r="Y1107" i="3"/>
  <c r="AY473" i="2" s="1"/>
  <c r="Y1084" i="3"/>
  <c r="BH549" i="1" s="1"/>
  <c r="Y1057" i="3"/>
  <c r="BH551" i="1" s="1"/>
  <c r="Y1058" i="3"/>
  <c r="BH552" i="1" s="1"/>
  <c r="Y1066" i="3"/>
  <c r="AY474" i="2" s="1"/>
  <c r="Y1060" i="3"/>
  <c r="BH555" i="1" s="1"/>
  <c r="Y1019" i="3"/>
  <c r="BH556" i="1" s="1"/>
  <c r="Y1029" i="3"/>
  <c r="AY475" i="2" s="1"/>
  <c r="Y1043" i="3"/>
  <c r="BH641" i="1" s="1"/>
  <c r="Y1075" i="3"/>
  <c r="AY476" i="2" s="1"/>
  <c r="Y1041" i="3"/>
  <c r="BH558" i="1" s="1"/>
  <c r="Y1064" i="3"/>
  <c r="BH559" i="1" s="1"/>
  <c r="Y1065" i="3"/>
  <c r="BH560" i="1" s="1"/>
  <c r="Y1042" i="3"/>
  <c r="BH561" i="1" s="1"/>
  <c r="Y1022" i="3"/>
  <c r="BH562" i="1" s="1"/>
  <c r="Y1046" i="3"/>
  <c r="BH563" i="1" s="1"/>
  <c r="Y1025" i="3"/>
  <c r="BH564" i="1" s="1"/>
  <c r="Y1068" i="3"/>
  <c r="BH565" i="1" s="1"/>
  <c r="Y1080" i="3"/>
  <c r="AY477" i="2" s="1"/>
  <c r="Y1070" i="3"/>
  <c r="BH566" i="1" s="1"/>
  <c r="Y1051" i="3"/>
  <c r="BH567" i="1" s="1"/>
  <c r="Y1098" i="3"/>
  <c r="BH570" i="1" s="1"/>
  <c r="Y1077" i="3"/>
  <c r="BH571" i="1" s="1"/>
  <c r="Y1052" i="3"/>
  <c r="BH572" i="1" s="1"/>
  <c r="Y1053" i="3"/>
  <c r="BH573" i="1" s="1"/>
  <c r="Y1078" i="3"/>
  <c r="BH575" i="1" s="1"/>
  <c r="Y1039" i="3"/>
  <c r="AY478" i="2" s="1"/>
  <c r="Y1079" i="3"/>
  <c r="BH576" i="1" s="1"/>
  <c r="Y1081" i="3"/>
  <c r="BH577" i="1" s="1"/>
  <c r="Y1047" i="3"/>
  <c r="AY479" i="2" s="1"/>
  <c r="Y1130" i="3"/>
  <c r="AY480" i="2" s="1"/>
  <c r="Y1085" i="3"/>
  <c r="BH580" i="1" s="1"/>
  <c r="Y1086" i="3"/>
  <c r="BH581" i="1" s="1"/>
  <c r="Y1087" i="3"/>
  <c r="BH582" i="1" s="1"/>
  <c r="Y1088" i="3"/>
  <c r="BH583" i="1" s="1"/>
  <c r="Y1095" i="3"/>
  <c r="AY481" i="2" s="1"/>
  <c r="Y1113" i="3"/>
  <c r="BH585" i="1" s="1"/>
  <c r="Y1045" i="3"/>
  <c r="BH646" i="1" s="1"/>
  <c r="Y1063" i="3"/>
  <c r="BH587" i="1" s="1"/>
  <c r="Y1067" i="3"/>
  <c r="BH588" i="1" s="1"/>
  <c r="Y1069" i="3"/>
  <c r="BH589" i="1" s="1"/>
  <c r="Y1055" i="3"/>
  <c r="AY482" i="2" s="1"/>
  <c r="Y1096" i="3"/>
  <c r="BH647" i="1" s="1"/>
  <c r="Y1059" i="3"/>
  <c r="AY483" i="2" s="1"/>
  <c r="Y1118" i="3"/>
  <c r="BH648" i="1" s="1"/>
  <c r="Y1142" i="3"/>
  <c r="AY484" i="2" s="1"/>
  <c r="Y1072" i="3"/>
  <c r="BH591" i="1" s="1"/>
  <c r="Y1082" i="3"/>
  <c r="BH650" i="1" s="1"/>
  <c r="Y1101" i="3"/>
  <c r="BH592" i="1" s="1"/>
  <c r="Y1122" i="3"/>
  <c r="BH651" i="1" s="1"/>
  <c r="Y1056" i="3"/>
  <c r="BH594" i="1" s="1"/>
  <c r="Y1106" i="3"/>
  <c r="BH597" i="1" s="1"/>
  <c r="Y1091" i="3"/>
  <c r="BH654" i="1" s="1"/>
  <c r="Y1089" i="3"/>
  <c r="BH599" i="1" s="1"/>
  <c r="Y1092" i="3"/>
  <c r="BH655" i="1" s="1"/>
  <c r="Y1062" i="3"/>
  <c r="BH600" i="1" s="1"/>
  <c r="Y1116" i="3"/>
  <c r="BH601" i="1" s="1"/>
  <c r="Y1117" i="3"/>
  <c r="BH656" i="1" s="1"/>
  <c r="Y1093" i="3"/>
  <c r="BH604" i="1" s="1"/>
  <c r="Y1094" i="3"/>
  <c r="BH605" i="1" s="1"/>
  <c r="Y1097" i="3"/>
  <c r="BH606" i="1" s="1"/>
  <c r="Y1119" i="3"/>
  <c r="BH608" i="1" s="1"/>
  <c r="Y1120" i="3"/>
  <c r="BH609" i="1" s="1"/>
  <c r="Y1126" i="3"/>
  <c r="AY485" i="2" s="1"/>
  <c r="Y1099" i="3"/>
  <c r="BH610" i="1" s="1"/>
  <c r="Y1102" i="3"/>
  <c r="BH611" i="1" s="1"/>
  <c r="Y1103" i="3"/>
  <c r="BH612" i="1" s="1"/>
  <c r="Y1090" i="3"/>
  <c r="AY486" i="2" s="1"/>
  <c r="Y1141" i="3"/>
  <c r="BH615" i="1" s="1"/>
  <c r="Y1083" i="3"/>
  <c r="BH616" i="1" s="1"/>
  <c r="Y1125" i="3"/>
  <c r="BH658" i="1" s="1"/>
  <c r="Y1105" i="3"/>
  <c r="BH619" i="1" s="1"/>
  <c r="Y1136" i="3"/>
  <c r="AY487" i="2" s="1"/>
  <c r="Y1108" i="3"/>
  <c r="BH620" i="1" s="1"/>
  <c r="Y1109" i="3"/>
  <c r="BH621" i="1" s="1"/>
  <c r="Y1110" i="3"/>
  <c r="BH622" i="1" s="1"/>
  <c r="Y1144" i="3"/>
  <c r="BH623" i="1" s="1"/>
  <c r="Y1128" i="3"/>
  <c r="BH624" i="1" s="1"/>
  <c r="Y1115" i="3"/>
  <c r="BH659" i="1" s="1"/>
  <c r="Y1137" i="3"/>
  <c r="AY488" i="2" s="1"/>
  <c r="Y1132" i="3"/>
  <c r="BH627" i="1" s="1"/>
  <c r="Y1133" i="3"/>
  <c r="BH628" i="1" s="1"/>
  <c r="Y1139" i="3"/>
  <c r="AY489" i="2" s="1"/>
  <c r="Y1151" i="3"/>
  <c r="BH631" i="1" s="1"/>
  <c r="Y1114" i="3"/>
  <c r="AY490" i="2" s="1"/>
  <c r="Y1124" i="3"/>
  <c r="BH632" i="1" s="1"/>
  <c r="Y1071" i="3"/>
  <c r="AY491" i="2" s="1"/>
  <c r="Y1145" i="3"/>
  <c r="BH662" i="1" s="1"/>
  <c r="Y1149" i="3"/>
  <c r="AY492" i="2" s="1"/>
  <c r="Y1150" i="3"/>
  <c r="AY493" i="2" s="1"/>
  <c r="Y1111" i="3"/>
  <c r="BH634" i="1" s="1"/>
  <c r="Y1112" i="3"/>
  <c r="BH635" i="1" s="1"/>
  <c r="Y1121" i="3"/>
  <c r="AY494" i="2" s="1"/>
  <c r="Y1129" i="3"/>
  <c r="BH637" i="1" s="1"/>
  <c r="Y1147" i="3"/>
  <c r="BH663" i="1" s="1"/>
  <c r="Y1177" i="3"/>
  <c r="AY495" i="2" s="1"/>
  <c r="Y1134" i="3"/>
  <c r="BH664" i="1" s="1"/>
  <c r="Y1123" i="3"/>
  <c r="AY496" i="2" s="1"/>
  <c r="Y1152" i="3"/>
  <c r="AY497" i="2" s="1"/>
  <c r="Y1153" i="3"/>
  <c r="AY498" i="2" s="1"/>
  <c r="Y1154" i="3"/>
  <c r="AY499" i="2" s="1"/>
  <c r="Y1135" i="3"/>
  <c r="BH639" i="1" s="1"/>
  <c r="Y1157" i="3"/>
  <c r="AY500" i="2" s="1"/>
  <c r="Y1163" i="3"/>
  <c r="BH666" i="1" s="1"/>
  <c r="Y1160" i="3"/>
  <c r="AY501" i="2" s="1"/>
  <c r="Y1138" i="3"/>
  <c r="BH640" i="1" s="1"/>
  <c r="Y1131" i="3"/>
  <c r="AY502" i="2" s="1"/>
  <c r="Y1168" i="3"/>
  <c r="BH642" i="1" s="1"/>
  <c r="Y1190" i="3"/>
  <c r="AY503" i="2" s="1"/>
  <c r="Y1159" i="3"/>
  <c r="BH643" i="1" s="1"/>
  <c r="Y1164" i="3"/>
  <c r="AY504" i="2" s="1"/>
  <c r="Y1140" i="3"/>
  <c r="AY505" i="2" s="1"/>
  <c r="Y1143" i="3"/>
  <c r="AY506" i="2" s="1"/>
  <c r="Y1155" i="3"/>
  <c r="BH644" i="1" s="1"/>
  <c r="Y1146" i="3"/>
  <c r="AY507" i="2" s="1"/>
  <c r="Y1156" i="3"/>
  <c r="BH645" i="1" s="1"/>
  <c r="Y1172" i="3"/>
  <c r="AY508" i="2" s="1"/>
  <c r="Y1173" i="3"/>
  <c r="AY509" i="2" s="1"/>
  <c r="Y1199" i="3"/>
  <c r="AY510" i="2" s="1"/>
  <c r="Y1174" i="3"/>
  <c r="AY511" i="2" s="1"/>
  <c r="Y1175" i="3"/>
  <c r="AY512" i="2" s="1"/>
  <c r="Y1171" i="3"/>
  <c r="BH649" i="1" s="1"/>
  <c r="Y1179" i="3"/>
  <c r="AY513" i="2" s="1"/>
  <c r="Y1127" i="3"/>
  <c r="AY514" i="2" s="1"/>
  <c r="Y1158" i="3"/>
  <c r="AY515" i="2" s="1"/>
  <c r="Y1161" i="3"/>
  <c r="AY516" i="2" s="1"/>
  <c r="Y1184" i="3"/>
  <c r="AY517" i="2" s="1"/>
  <c r="Y1181" i="3"/>
  <c r="BH652" i="1" s="1"/>
  <c r="Y1183" i="3"/>
  <c r="BH653" i="1" s="1"/>
  <c r="Y1162" i="3"/>
  <c r="AY518" i="2" s="1"/>
  <c r="Y1191" i="3"/>
  <c r="AY519" i="2" s="1"/>
  <c r="Y1165" i="3"/>
  <c r="AY520" i="2" s="1"/>
  <c r="Y1166" i="3"/>
  <c r="AY521" i="2" s="1"/>
  <c r="Y1169" i="3"/>
  <c r="BH657" i="1" s="1"/>
  <c r="Y1176" i="3"/>
  <c r="BH671" i="1" s="1"/>
  <c r="Y1167" i="3"/>
  <c r="AY522" i="2" s="1"/>
  <c r="Y1195" i="3"/>
  <c r="AY523" i="2" s="1"/>
  <c r="Y1197" i="3"/>
  <c r="AY524" i="2" s="1"/>
  <c r="Y1148" i="3"/>
  <c r="AY525" i="2" s="1"/>
  <c r="Y1201" i="3"/>
  <c r="AY526" i="2" s="1"/>
  <c r="Y1189" i="3"/>
  <c r="BH660" i="1" s="1"/>
  <c r="Y1182" i="3"/>
  <c r="AY527" i="2" s="1"/>
  <c r="Y1206" i="3"/>
  <c r="AY528" i="2" s="1"/>
  <c r="Y1185" i="3"/>
  <c r="AY529" i="2" s="1"/>
  <c r="Y1186" i="3"/>
  <c r="AY530" i="2" s="1"/>
  <c r="Y1187" i="3"/>
  <c r="AY531" i="2" s="1"/>
  <c r="Y1203" i="3"/>
  <c r="BH661" i="1" s="1"/>
  <c r="Y1188" i="3"/>
  <c r="AY532" i="2" s="1"/>
  <c r="Y1192" i="3"/>
  <c r="AY533" i="2" s="1"/>
  <c r="Y1193" i="3"/>
  <c r="AY535" i="2" s="1"/>
  <c r="Y1194" i="3"/>
  <c r="AY534" i="2" s="1"/>
  <c r="Y1198" i="3"/>
  <c r="BH665" i="1" s="1"/>
  <c r="Y1224" i="3"/>
  <c r="AY536" i="2" s="1"/>
  <c r="Y1200" i="3"/>
  <c r="BH667" i="1" s="1"/>
  <c r="Y1212" i="3"/>
  <c r="AY537" i="2" s="1"/>
  <c r="Y1170" i="3"/>
  <c r="AY538" i="2" s="1"/>
  <c r="Y1210" i="3"/>
  <c r="BH668" i="1" s="1"/>
  <c r="Y1196" i="3"/>
  <c r="BH672" i="1" s="1"/>
  <c r="Y1204" i="3"/>
  <c r="BH673" i="1" s="1"/>
  <c r="Y1202" i="3"/>
  <c r="AY539" i="2" s="1"/>
  <c r="Y1178" i="3"/>
  <c r="AY540" i="2" s="1"/>
  <c r="Y1180" i="3"/>
  <c r="AY541" i="2" s="1"/>
  <c r="Y1208" i="3"/>
  <c r="BH674" i="1" s="1"/>
  <c r="Y1221" i="3"/>
  <c r="AY542" i="2" s="1"/>
  <c r="Y1205" i="3"/>
  <c r="AY543" i="2" s="1"/>
  <c r="Y1218" i="3"/>
  <c r="BH675" i="1" s="1"/>
  <c r="Y1209" i="3"/>
  <c r="BH669" i="1" s="1"/>
  <c r="Y1207" i="3"/>
  <c r="AY544" i="2" s="1"/>
  <c r="Y1211" i="3"/>
  <c r="AY545" i="2" s="1"/>
  <c r="Y1213" i="3"/>
  <c r="AY546" i="2" s="1"/>
  <c r="Y1214" i="3"/>
  <c r="AY547" i="2" s="1"/>
  <c r="Y1216" i="3"/>
  <c r="AY548" i="2" s="1"/>
  <c r="Y1222" i="3"/>
  <c r="BH670" i="1" s="1"/>
  <c r="Y1228" i="3"/>
  <c r="AY549" i="2" s="1"/>
  <c r="Y1219" i="3"/>
  <c r="AY550" i="2" s="1"/>
  <c r="Y1223" i="3"/>
  <c r="AY551" i="2" s="1"/>
  <c r="Y1225" i="3"/>
  <c r="AY552" i="2" s="1"/>
  <c r="Y1226" i="3"/>
  <c r="AY553" i="2" s="1"/>
  <c r="Y1227" i="3"/>
  <c r="AY554" i="2" s="1"/>
  <c r="Y1215" i="3"/>
  <c r="AY555" i="2" s="1"/>
  <c r="Y1217" i="3"/>
  <c r="AY556" i="2" s="1"/>
  <c r="Y1220" i="3"/>
  <c r="AY557" i="2" s="1"/>
  <c r="Y1229" i="3"/>
  <c r="AY558" i="2" s="1"/>
  <c r="Y1230" i="3"/>
  <c r="AY559" i="2" s="1"/>
  <c r="Y1231" i="3"/>
  <c r="AY560" i="2" s="1"/>
  <c r="Y1232" i="3"/>
  <c r="AY561" i="2" s="1"/>
  <c r="Y1233" i="3"/>
  <c r="AY562" i="2" s="1"/>
  <c r="Y1234" i="3"/>
  <c r="BH676" i="1" s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Z5" i="3"/>
  <c r="BI5" i="1" s="1"/>
  <c r="Z6" i="3"/>
  <c r="BI6" i="1" s="1"/>
  <c r="Z7" i="3"/>
  <c r="BI7" i="1" s="1"/>
  <c r="Z8" i="3"/>
  <c r="AZ5" i="2" s="1"/>
  <c r="Z9" i="3"/>
  <c r="BI8" i="1" s="1"/>
  <c r="Z10" i="3"/>
  <c r="BI9" i="1" s="1"/>
  <c r="Z14" i="3"/>
  <c r="BI10" i="1" s="1"/>
  <c r="Z11" i="3"/>
  <c r="BI11" i="1" s="1"/>
  <c r="Z12" i="3"/>
  <c r="BI12" i="1" s="1"/>
  <c r="Z13" i="3"/>
  <c r="AZ6" i="2" s="1"/>
  <c r="Z15" i="3"/>
  <c r="BI13" i="1" s="1"/>
  <c r="Z16" i="3"/>
  <c r="AZ7" i="2" s="1"/>
  <c r="Z20" i="3"/>
  <c r="BI14" i="1" s="1"/>
  <c r="Z17" i="3"/>
  <c r="BI15" i="1" s="1"/>
  <c r="Z23" i="3"/>
  <c r="AZ8" i="2" s="1"/>
  <c r="Z18" i="3"/>
  <c r="AZ9" i="2" s="1"/>
  <c r="Z21" i="3"/>
  <c r="BI16" i="1" s="1"/>
  <c r="Z22" i="3"/>
  <c r="BI17" i="1" s="1"/>
  <c r="Z27" i="3"/>
  <c r="BI18" i="1" s="1"/>
  <c r="Z19" i="3"/>
  <c r="BI19" i="1" s="1"/>
  <c r="Z25" i="3"/>
  <c r="BI20" i="1" s="1"/>
  <c r="Z26" i="3"/>
  <c r="BI21" i="1" s="1"/>
  <c r="Z28" i="3"/>
  <c r="AZ10" i="2" s="1"/>
  <c r="Z31" i="3"/>
  <c r="AZ11" i="2" s="1"/>
  <c r="Z24" i="3"/>
  <c r="BI22" i="1" s="1"/>
  <c r="Z30" i="3"/>
  <c r="BI23" i="1" s="1"/>
  <c r="Z29" i="3"/>
  <c r="AZ12" i="2" s="1"/>
  <c r="Z38" i="3"/>
  <c r="BI24" i="1" s="1"/>
  <c r="Z33" i="3"/>
  <c r="BI25" i="1" s="1"/>
  <c r="Z34" i="3"/>
  <c r="BI26" i="1" s="1"/>
  <c r="Z35" i="3"/>
  <c r="BI27" i="1" s="1"/>
  <c r="Z36" i="3"/>
  <c r="BI28" i="1" s="1"/>
  <c r="Z32" i="3"/>
  <c r="BI29" i="1" s="1"/>
  <c r="Z40" i="3"/>
  <c r="BI30" i="1" s="1"/>
  <c r="Z37" i="3"/>
  <c r="BI31" i="1" s="1"/>
  <c r="Z42" i="3"/>
  <c r="BI32" i="1" s="1"/>
  <c r="Z43" i="3"/>
  <c r="BI33" i="1" s="1"/>
  <c r="Z46" i="3"/>
  <c r="BI34" i="1" s="1"/>
  <c r="Z41" i="3"/>
  <c r="BI35" i="1" s="1"/>
  <c r="Z44" i="3"/>
  <c r="AZ13" i="2" s="1"/>
  <c r="Z49" i="3"/>
  <c r="AZ14" i="2" s="1"/>
  <c r="Z50" i="3"/>
  <c r="AZ15" i="2" s="1"/>
  <c r="Z47" i="3"/>
  <c r="BI36" i="1" s="1"/>
  <c r="Z48" i="3"/>
  <c r="BI37" i="1" s="1"/>
  <c r="Z45" i="3"/>
  <c r="BI38" i="1" s="1"/>
  <c r="Z52" i="3"/>
  <c r="BI39" i="1" s="1"/>
  <c r="Z51" i="3"/>
  <c r="BI40" i="1" s="1"/>
  <c r="Z39" i="3"/>
  <c r="AZ16" i="2" s="1"/>
  <c r="Z55" i="3"/>
  <c r="BI41" i="1" s="1"/>
  <c r="Z56" i="3"/>
  <c r="AZ17" i="2" s="1"/>
  <c r="Z53" i="3"/>
  <c r="AZ18" i="2" s="1"/>
  <c r="Z54" i="3"/>
  <c r="BI42" i="1" s="1"/>
  <c r="Z63" i="3"/>
  <c r="AZ19" i="2" s="1"/>
  <c r="Z64" i="3"/>
  <c r="AZ20" i="2" s="1"/>
  <c r="Z65" i="3"/>
  <c r="AZ21" i="2" s="1"/>
  <c r="Z59" i="3"/>
  <c r="BI43" i="1" s="1"/>
  <c r="Z69" i="3"/>
  <c r="AZ23" i="2" s="1"/>
  <c r="Z70" i="3"/>
  <c r="AZ26" i="2" s="1"/>
  <c r="Z71" i="3"/>
  <c r="AZ27" i="2" s="1"/>
  <c r="Z72" i="3"/>
  <c r="AZ25" i="2" s="1"/>
  <c r="Z73" i="3"/>
  <c r="AZ22" i="2" s="1"/>
  <c r="Z74" i="3"/>
  <c r="AZ29" i="2" s="1"/>
  <c r="Z75" i="3"/>
  <c r="AZ24" i="2" s="1"/>
  <c r="Z76" i="3"/>
  <c r="AZ28" i="2" s="1"/>
  <c r="Z77" i="3"/>
  <c r="AZ30" i="2" s="1"/>
  <c r="Z58" i="3"/>
  <c r="BI44" i="1" s="1"/>
  <c r="Z61" i="3"/>
  <c r="BI45" i="1" s="1"/>
  <c r="Z66" i="3"/>
  <c r="BI46" i="1" s="1"/>
  <c r="Z62" i="3"/>
  <c r="AZ31" i="2" s="1"/>
  <c r="Z57" i="3"/>
  <c r="BI47" i="1" s="1"/>
  <c r="Z60" i="3"/>
  <c r="BI48" i="1" s="1"/>
  <c r="Z78" i="3"/>
  <c r="AZ32" i="2" s="1"/>
  <c r="Z79" i="3"/>
  <c r="BI49" i="1" s="1"/>
  <c r="Z80" i="3"/>
  <c r="BI50" i="1" s="1"/>
  <c r="Z67" i="3"/>
  <c r="BI51" i="1" s="1"/>
  <c r="Z68" i="3"/>
  <c r="BI52" i="1" s="1"/>
  <c r="Z81" i="3"/>
  <c r="AZ35" i="2" s="1"/>
  <c r="Z82" i="3"/>
  <c r="AZ46" i="2" s="1"/>
  <c r="Z83" i="3"/>
  <c r="AZ34" i="2" s="1"/>
  <c r="Z84" i="3"/>
  <c r="AZ36" i="2" s="1"/>
  <c r="Z85" i="3"/>
  <c r="AZ37" i="2" s="1"/>
  <c r="Z86" i="3"/>
  <c r="AZ44" i="2" s="1"/>
  <c r="Z87" i="3"/>
  <c r="AZ33" i="2" s="1"/>
  <c r="Z88" i="3"/>
  <c r="AZ38" i="2" s="1"/>
  <c r="Z89" i="3"/>
  <c r="AZ39" i="2" s="1"/>
  <c r="Z90" i="3"/>
  <c r="AZ41" i="2" s="1"/>
  <c r="Z91" i="3"/>
  <c r="AZ43" i="2" s="1"/>
  <c r="Z92" i="3"/>
  <c r="AZ40" i="2" s="1"/>
  <c r="Z93" i="3"/>
  <c r="AZ42" i="2" s="1"/>
  <c r="Z94" i="3"/>
  <c r="AZ45" i="2" s="1"/>
  <c r="Z96" i="3"/>
  <c r="BI53" i="1" s="1"/>
  <c r="Z97" i="3"/>
  <c r="AZ47" i="2" s="1"/>
  <c r="Z98" i="3"/>
  <c r="AZ49" i="2" s="1"/>
  <c r="Z99" i="3"/>
  <c r="AZ48" i="2" s="1"/>
  <c r="Z100" i="3"/>
  <c r="AZ50" i="2" s="1"/>
  <c r="Z113" i="3"/>
  <c r="BI54" i="1" s="1"/>
  <c r="Z101" i="3"/>
  <c r="AZ51" i="2" s="1"/>
  <c r="Z102" i="3"/>
  <c r="BI55" i="1" s="1"/>
  <c r="Z111" i="3"/>
  <c r="BI56" i="1" s="1"/>
  <c r="Z117" i="3"/>
  <c r="BI77" i="1" s="1"/>
  <c r="Z112" i="3"/>
  <c r="AZ52" i="2" s="1"/>
  <c r="Z95" i="3"/>
  <c r="AZ53" i="2" s="1"/>
  <c r="Z116" i="3"/>
  <c r="BI57" i="1" s="1"/>
  <c r="Z118" i="3"/>
  <c r="BI58" i="1" s="1"/>
  <c r="Z123" i="3"/>
  <c r="BI59" i="1" s="1"/>
  <c r="Z103" i="3"/>
  <c r="AZ57" i="2" s="1"/>
  <c r="Z104" i="3"/>
  <c r="AZ56" i="2" s="1"/>
  <c r="Z105" i="3"/>
  <c r="AZ54" i="2" s="1"/>
  <c r="Z106" i="3"/>
  <c r="AZ58" i="2" s="1"/>
  <c r="Z107" i="3"/>
  <c r="AZ55" i="2" s="1"/>
  <c r="Z108" i="3"/>
  <c r="AZ59" i="2" s="1"/>
  <c r="Z109" i="3"/>
  <c r="AZ60" i="2" s="1"/>
  <c r="Z119" i="3"/>
  <c r="BI60" i="1" s="1"/>
  <c r="Z150" i="3"/>
  <c r="AZ61" i="2" s="1"/>
  <c r="Z115" i="3"/>
  <c r="BI61" i="1" s="1"/>
  <c r="Z121" i="3"/>
  <c r="BI62" i="1" s="1"/>
  <c r="Z128" i="3"/>
  <c r="BI63" i="1" s="1"/>
  <c r="Z140" i="3"/>
  <c r="AZ62" i="2" s="1"/>
  <c r="Z124" i="3"/>
  <c r="BI64" i="1" s="1"/>
  <c r="Z133" i="3"/>
  <c r="BI65" i="1" s="1"/>
  <c r="Z125" i="3"/>
  <c r="BI66" i="1" s="1"/>
  <c r="Z126" i="3"/>
  <c r="BI67" i="1" s="1"/>
  <c r="Z134" i="3"/>
  <c r="BI68" i="1" s="1"/>
  <c r="Z114" i="3"/>
  <c r="AZ63" i="2" s="1"/>
  <c r="Z127" i="3"/>
  <c r="BI69" i="1" s="1"/>
  <c r="Z130" i="3"/>
  <c r="BI70" i="1" s="1"/>
  <c r="Z158" i="3"/>
  <c r="AZ64" i="2" s="1"/>
  <c r="Z132" i="3"/>
  <c r="AZ65" i="2" s="1"/>
  <c r="Z149" i="3"/>
  <c r="AZ66" i="2" s="1"/>
  <c r="Z110" i="3"/>
  <c r="AZ67" i="2" s="1"/>
  <c r="Z153" i="3"/>
  <c r="AZ68" i="2" s="1"/>
  <c r="Z120" i="3"/>
  <c r="AZ69" i="2" s="1"/>
  <c r="Z136" i="3"/>
  <c r="BI71" i="1" s="1"/>
  <c r="Z137" i="3"/>
  <c r="BI72" i="1" s="1"/>
  <c r="Z138" i="3"/>
  <c r="BI73" i="1" s="1"/>
  <c r="Z139" i="3"/>
  <c r="AZ70" i="2" s="1"/>
  <c r="Z131" i="3"/>
  <c r="BI74" i="1" s="1"/>
  <c r="Z122" i="3"/>
  <c r="AZ71" i="2" s="1"/>
  <c r="Z142" i="3"/>
  <c r="BI75" i="1" s="1"/>
  <c r="Z129" i="3"/>
  <c r="BI76" i="1" s="1"/>
  <c r="Z156" i="3"/>
  <c r="BI78" i="1" s="1"/>
  <c r="Z152" i="3"/>
  <c r="BI79" i="1" s="1"/>
  <c r="Z151" i="3"/>
  <c r="AZ72" i="2" s="1"/>
  <c r="Z143" i="3"/>
  <c r="BI80" i="1" s="1"/>
  <c r="Z145" i="3"/>
  <c r="BI81" i="1" s="1"/>
  <c r="Z135" i="3"/>
  <c r="BI82" i="1" s="1"/>
  <c r="Z166" i="3"/>
  <c r="AZ73" i="2" s="1"/>
  <c r="Z154" i="3"/>
  <c r="BI83" i="1" s="1"/>
  <c r="Z155" i="3"/>
  <c r="BI84" i="1" s="1"/>
  <c r="Z165" i="3"/>
  <c r="BI85" i="1" s="1"/>
  <c r="Z141" i="3"/>
  <c r="AZ74" i="2" s="1"/>
  <c r="Z157" i="3"/>
  <c r="BI86" i="1" s="1"/>
  <c r="Z188" i="3"/>
  <c r="AZ75" i="2" s="1"/>
  <c r="Z144" i="3"/>
  <c r="AZ76" i="2" s="1"/>
  <c r="Z146" i="3"/>
  <c r="BI87" i="1" s="1"/>
  <c r="Z147" i="3"/>
  <c r="BI88" i="1" s="1"/>
  <c r="Z173" i="3"/>
  <c r="AZ77" i="2" s="1"/>
  <c r="Z192" i="3"/>
  <c r="AZ78" i="2" s="1"/>
  <c r="Z148" i="3"/>
  <c r="AZ79" i="2" s="1"/>
  <c r="Z159" i="3"/>
  <c r="BI89" i="1" s="1"/>
  <c r="Z169" i="3"/>
  <c r="BI108" i="1" s="1"/>
  <c r="Z163" i="3"/>
  <c r="BI90" i="1" s="1"/>
  <c r="Z161" i="3"/>
  <c r="AZ80" i="2" s="1"/>
  <c r="Z164" i="3"/>
  <c r="AZ81" i="2" s="1"/>
  <c r="Z178" i="3"/>
  <c r="AZ82" i="2" s="1"/>
  <c r="Z167" i="3"/>
  <c r="AZ83" i="2" s="1"/>
  <c r="Z184" i="3"/>
  <c r="BI91" i="1" s="1"/>
  <c r="Z175" i="3"/>
  <c r="BI92" i="1" s="1"/>
  <c r="Z168" i="3"/>
  <c r="AZ84" i="2" s="1"/>
  <c r="Z177" i="3"/>
  <c r="BI93" i="1" s="1"/>
  <c r="Z162" i="3"/>
  <c r="BI94" i="1" s="1"/>
  <c r="Z171" i="3"/>
  <c r="AZ85" i="2" s="1"/>
  <c r="Z172" i="3"/>
  <c r="AZ86" i="2" s="1"/>
  <c r="Z174" i="3"/>
  <c r="AZ87" i="2" s="1"/>
  <c r="Z194" i="3"/>
  <c r="AZ89" i="2" s="1"/>
  <c r="Z195" i="3"/>
  <c r="AZ88" i="2" s="1"/>
  <c r="Z160" i="3"/>
  <c r="AZ90" i="2" s="1"/>
  <c r="Z176" i="3"/>
  <c r="BI95" i="1" s="1"/>
  <c r="Z179" i="3"/>
  <c r="BI96" i="1" s="1"/>
  <c r="Z200" i="3"/>
  <c r="AZ91" i="2" s="1"/>
  <c r="Z181" i="3"/>
  <c r="AZ92" i="2" s="1"/>
  <c r="Z182" i="3"/>
  <c r="BI97" i="1" s="1"/>
  <c r="Z201" i="3"/>
  <c r="AZ93" i="2" s="1"/>
  <c r="Z202" i="3"/>
  <c r="AZ94" i="2" s="1"/>
  <c r="Z203" i="3"/>
  <c r="AZ95" i="2" s="1"/>
  <c r="Z205" i="3"/>
  <c r="AZ96" i="2" s="1"/>
  <c r="Z185" i="3"/>
  <c r="BI98" i="1" s="1"/>
  <c r="Z207" i="3"/>
  <c r="AZ97" i="2" s="1"/>
  <c r="Z198" i="3"/>
  <c r="BI99" i="1" s="1"/>
  <c r="Z209" i="3"/>
  <c r="AZ98" i="2" s="1"/>
  <c r="Z187" i="3"/>
  <c r="BI100" i="1" s="1"/>
  <c r="Z170" i="3"/>
  <c r="AZ99" i="2" s="1"/>
  <c r="Z210" i="3"/>
  <c r="AZ100" i="2" s="1"/>
  <c r="Z189" i="3"/>
  <c r="AZ101" i="2" s="1"/>
  <c r="Z211" i="3"/>
  <c r="AZ102" i="2" s="1"/>
  <c r="Z212" i="3"/>
  <c r="AZ103" i="2" s="1"/>
  <c r="Z190" i="3"/>
  <c r="BI101" i="1" s="1"/>
  <c r="Z255" i="3"/>
  <c r="AZ104" i="2" s="1"/>
  <c r="Z183" i="3"/>
  <c r="BI102" i="1" s="1"/>
  <c r="Z193" i="3"/>
  <c r="AZ105" i="2" s="1"/>
  <c r="Z196" i="3"/>
  <c r="BI103" i="1" s="1"/>
  <c r="Z197" i="3"/>
  <c r="BI104" i="1" s="1"/>
  <c r="Z180" i="3"/>
  <c r="AZ106" i="2" s="1"/>
  <c r="Z242" i="3"/>
  <c r="AZ107" i="2" s="1"/>
  <c r="Z204" i="3"/>
  <c r="BI105" i="1" s="1"/>
  <c r="Z223" i="3"/>
  <c r="BI106" i="1" s="1"/>
  <c r="Z224" i="3"/>
  <c r="BI107" i="1" s="1"/>
  <c r="Z206" i="3"/>
  <c r="AZ108" i="2" s="1"/>
  <c r="Z186" i="3"/>
  <c r="AZ109" i="2" s="1"/>
  <c r="Z272" i="3"/>
  <c r="AZ110" i="2" s="1"/>
  <c r="Z213" i="3"/>
  <c r="AZ111" i="2" s="1"/>
  <c r="Z214" i="3"/>
  <c r="AZ112" i="2" s="1"/>
  <c r="Z215" i="3"/>
  <c r="AZ113" i="2" s="1"/>
  <c r="Z216" i="3"/>
  <c r="AZ116" i="2" s="1"/>
  <c r="Z217" i="3"/>
  <c r="AZ114" i="2" s="1"/>
  <c r="Z218" i="3"/>
  <c r="AZ115" i="2" s="1"/>
  <c r="Z219" i="3"/>
  <c r="AZ118" i="2" s="1"/>
  <c r="Z220" i="3"/>
  <c r="AZ117" i="2" s="1"/>
  <c r="Z191" i="3"/>
  <c r="AZ119" i="2" s="1"/>
  <c r="Z222" i="3"/>
  <c r="BI109" i="1" s="1"/>
  <c r="Z225" i="3"/>
  <c r="AZ121" i="2" s="1"/>
  <c r="Z226" i="3"/>
  <c r="AZ120" i="2" s="1"/>
  <c r="Z208" i="3"/>
  <c r="BI110" i="1" s="1"/>
  <c r="Z227" i="3"/>
  <c r="BI135" i="1" s="1"/>
  <c r="Z228" i="3"/>
  <c r="BI111" i="1" s="1"/>
  <c r="Z229" i="3"/>
  <c r="AZ122" i="2" s="1"/>
  <c r="Z230" i="3"/>
  <c r="AZ123" i="2" s="1"/>
  <c r="Z199" i="3"/>
  <c r="AZ124" i="2" s="1"/>
  <c r="Z231" i="3"/>
  <c r="AZ125" i="2" s="1"/>
  <c r="Z245" i="3"/>
  <c r="AZ126" i="2" s="1"/>
  <c r="Z246" i="3"/>
  <c r="AZ127" i="2" s="1"/>
  <c r="Z268" i="3"/>
  <c r="AZ128" i="2" s="1"/>
  <c r="Z247" i="3"/>
  <c r="AZ129" i="2" s="1"/>
  <c r="Z262" i="3"/>
  <c r="BI112" i="1" s="1"/>
  <c r="Z250" i="3"/>
  <c r="AZ130" i="2" s="1"/>
  <c r="Z251" i="3"/>
  <c r="AZ131" i="2" s="1"/>
  <c r="Z252" i="3"/>
  <c r="AZ132" i="2" s="1"/>
  <c r="Z265" i="3"/>
  <c r="BI113" i="1" s="1"/>
  <c r="Z253" i="3"/>
  <c r="AZ133" i="2" s="1"/>
  <c r="Z221" i="3"/>
  <c r="AZ134" i="2" s="1"/>
  <c r="Z256" i="3"/>
  <c r="BI114" i="1" s="1"/>
  <c r="Z257" i="3"/>
  <c r="AZ135" i="2" s="1"/>
  <c r="Z284" i="3"/>
  <c r="AZ136" i="2" s="1"/>
  <c r="Z288" i="3"/>
  <c r="AZ137" i="2" s="1"/>
  <c r="Z258" i="3"/>
  <c r="BI115" i="1" s="1"/>
  <c r="Z248" i="3"/>
  <c r="BI116" i="1" s="1"/>
  <c r="Z269" i="3"/>
  <c r="BI139" i="1" s="1"/>
  <c r="Z259" i="3"/>
  <c r="BI117" i="1" s="1"/>
  <c r="Z260" i="3"/>
  <c r="BI118" i="1" s="1"/>
  <c r="Z232" i="3"/>
  <c r="AZ143" i="2" s="1"/>
  <c r="Z233" i="3"/>
  <c r="AZ146" i="2" s="1"/>
  <c r="Z234" i="3"/>
  <c r="AZ138" i="2" s="1"/>
  <c r="Z235" i="3"/>
  <c r="AZ140" i="2" s="1"/>
  <c r="Z236" i="3"/>
  <c r="AZ142" i="2" s="1"/>
  <c r="Z237" i="3"/>
  <c r="AZ144" i="2" s="1"/>
  <c r="Z238" i="3"/>
  <c r="AZ145" i="2" s="1"/>
  <c r="Z239" i="3"/>
  <c r="AZ147" i="2" s="1"/>
  <c r="Z240" i="3"/>
  <c r="AZ139" i="2" s="1"/>
  <c r="Z241" i="3"/>
  <c r="AZ141" i="2" s="1"/>
  <c r="Z280" i="3"/>
  <c r="BI119" i="1" s="1"/>
  <c r="Z254" i="3"/>
  <c r="BI120" i="1" s="1"/>
  <c r="Z243" i="3"/>
  <c r="AZ148" i="2" s="1"/>
  <c r="Z244" i="3"/>
  <c r="AZ149" i="2" s="1"/>
  <c r="Z267" i="3"/>
  <c r="BI121" i="1" s="1"/>
  <c r="Z285" i="3"/>
  <c r="BI122" i="1" s="1"/>
  <c r="Z287" i="3"/>
  <c r="BI123" i="1" s="1"/>
  <c r="Z270" i="3"/>
  <c r="AZ150" i="2" s="1"/>
  <c r="Z271" i="3"/>
  <c r="AZ151" i="2" s="1"/>
  <c r="Z273" i="3"/>
  <c r="AZ152" i="2" s="1"/>
  <c r="Z263" i="3"/>
  <c r="BI154" i="1" s="1"/>
  <c r="Z275" i="3"/>
  <c r="AZ153" i="2" s="1"/>
  <c r="Z274" i="3"/>
  <c r="BI124" i="1" s="1"/>
  <c r="Z276" i="3"/>
  <c r="AZ154" i="2" s="1"/>
  <c r="Z278" i="3"/>
  <c r="AZ155" i="2" s="1"/>
  <c r="Z264" i="3"/>
  <c r="BI125" i="1" s="1"/>
  <c r="Z279" i="3"/>
  <c r="AZ156" i="2" s="1"/>
  <c r="Z306" i="3"/>
  <c r="AZ157" i="2" s="1"/>
  <c r="Z281" i="3"/>
  <c r="AZ158" i="2" s="1"/>
  <c r="Z266" i="3"/>
  <c r="BI126" i="1" s="1"/>
  <c r="Z309" i="3"/>
  <c r="AZ159" i="2" s="1"/>
  <c r="Z286" i="3"/>
  <c r="AZ160" i="2" s="1"/>
  <c r="Z290" i="3"/>
  <c r="BI127" i="1" s="1"/>
  <c r="Z292" i="3"/>
  <c r="AZ161" i="2" s="1"/>
  <c r="Z293" i="3"/>
  <c r="AZ162" i="2" s="1"/>
  <c r="Z291" i="3"/>
  <c r="BI128" i="1" s="1"/>
  <c r="Z304" i="3"/>
  <c r="BI129" i="1" s="1"/>
  <c r="Z277" i="3"/>
  <c r="BI130" i="1" s="1"/>
  <c r="Z317" i="3"/>
  <c r="AZ163" i="2" s="1"/>
  <c r="Z305" i="3"/>
  <c r="BI131" i="1" s="1"/>
  <c r="Z294" i="3"/>
  <c r="AZ164" i="2" s="1"/>
  <c r="Z322" i="3"/>
  <c r="AZ165" i="2" s="1"/>
  <c r="Z323" i="3"/>
  <c r="AZ166" i="2" s="1"/>
  <c r="Z282" i="3"/>
  <c r="BI132" i="1" s="1"/>
  <c r="Z295" i="3"/>
  <c r="BI133" i="1" s="1"/>
  <c r="Z327" i="3"/>
  <c r="AZ167" i="2" s="1"/>
  <c r="Z297" i="3"/>
  <c r="AZ168" i="2" s="1"/>
  <c r="Z372" i="3"/>
  <c r="AZ169" i="2" s="1"/>
  <c r="Z299" i="3"/>
  <c r="AZ170" i="2" s="1"/>
  <c r="Z249" i="3"/>
  <c r="AZ171" i="2" s="1"/>
  <c r="Z300" i="3"/>
  <c r="BI134" i="1" s="1"/>
  <c r="Z302" i="3"/>
  <c r="AZ172" i="2" s="1"/>
  <c r="Z331" i="3"/>
  <c r="AZ173" i="2" s="1"/>
  <c r="Z315" i="3"/>
  <c r="BI136" i="1" s="1"/>
  <c r="Z283" i="3"/>
  <c r="AZ174" i="2" s="1"/>
  <c r="Z310" i="3"/>
  <c r="AZ175" i="2" s="1"/>
  <c r="Z311" i="3"/>
  <c r="AZ176" i="2" s="1"/>
  <c r="Z312" i="3"/>
  <c r="AZ177" i="2" s="1"/>
  <c r="Z347" i="3"/>
  <c r="AZ178" i="2" s="1"/>
  <c r="Z289" i="3"/>
  <c r="AZ179" i="2" s="1"/>
  <c r="Z261" i="3"/>
  <c r="AZ180" i="2" s="1"/>
  <c r="Z314" i="3"/>
  <c r="AZ181" i="2" s="1"/>
  <c r="Z357" i="3"/>
  <c r="AZ182" i="2" s="1"/>
  <c r="Z318" i="3"/>
  <c r="AZ183" i="2" s="1"/>
  <c r="Z321" i="3"/>
  <c r="AZ184" i="2" s="1"/>
  <c r="Z296" i="3"/>
  <c r="AZ185" i="2" s="1"/>
  <c r="Z319" i="3"/>
  <c r="BI137" i="1" s="1"/>
  <c r="Z329" i="3"/>
  <c r="AZ186" i="2" s="1"/>
  <c r="Z298" i="3"/>
  <c r="BI138" i="1" s="1"/>
  <c r="Z352" i="3"/>
  <c r="BI140" i="1" s="1"/>
  <c r="Z303" i="3"/>
  <c r="AZ187" i="2" s="1"/>
  <c r="Z381" i="3"/>
  <c r="AZ188" i="2" s="1"/>
  <c r="Z353" i="3"/>
  <c r="BI141" i="1" s="1"/>
  <c r="Z356" i="3"/>
  <c r="BI142" i="1" s="1"/>
  <c r="Z335" i="3"/>
  <c r="AZ189" i="2" s="1"/>
  <c r="Z336" i="3"/>
  <c r="AZ190" i="2" s="1"/>
  <c r="Z334" i="3"/>
  <c r="BI143" i="1" s="1"/>
  <c r="Z338" i="3"/>
  <c r="AZ191" i="2" s="1"/>
  <c r="Z339" i="3"/>
  <c r="AZ192" i="2" s="1"/>
  <c r="Z337" i="3"/>
  <c r="BI144" i="1" s="1"/>
  <c r="Z340" i="3"/>
  <c r="AZ193" i="2" s="1"/>
  <c r="Z307" i="3"/>
  <c r="AZ194" i="2" s="1"/>
  <c r="Z308" i="3"/>
  <c r="AZ195" i="2" s="1"/>
  <c r="Z341" i="3"/>
  <c r="AZ196" i="2" s="1"/>
  <c r="Z342" i="3"/>
  <c r="AZ197" i="2" s="1"/>
  <c r="Z343" i="3"/>
  <c r="AZ198" i="2" s="1"/>
  <c r="Z345" i="3"/>
  <c r="AZ199" i="2" s="1"/>
  <c r="Z344" i="3"/>
  <c r="BI145" i="1" s="1"/>
  <c r="Z346" i="3"/>
  <c r="AZ200" i="2" s="1"/>
  <c r="Z326" i="3"/>
  <c r="BI146" i="1" s="1"/>
  <c r="Z389" i="3"/>
  <c r="AZ201" i="2" s="1"/>
  <c r="Z313" i="3"/>
  <c r="AZ202" i="2" s="1"/>
  <c r="Z348" i="3"/>
  <c r="AZ203" i="2" s="1"/>
  <c r="Z350" i="3"/>
  <c r="AZ204" i="2" s="1"/>
  <c r="Z330" i="3"/>
  <c r="BI147" i="1" s="1"/>
  <c r="Z373" i="3"/>
  <c r="BI148" i="1" s="1"/>
  <c r="Z351" i="3"/>
  <c r="BI149" i="1" s="1"/>
  <c r="Z378" i="3"/>
  <c r="BI150" i="1" s="1"/>
  <c r="Z379" i="3"/>
  <c r="BI151" i="1" s="1"/>
  <c r="Z354" i="3"/>
  <c r="AZ205" i="2" s="1"/>
  <c r="Z332" i="3"/>
  <c r="BI152" i="1" s="1"/>
  <c r="Z316" i="3"/>
  <c r="BI153" i="1" s="1"/>
  <c r="Z358" i="3"/>
  <c r="BI155" i="1" s="1"/>
  <c r="Z359" i="3"/>
  <c r="BI156" i="1" s="1"/>
  <c r="Z324" i="3"/>
  <c r="AZ206" i="2" s="1"/>
  <c r="Z365" i="3"/>
  <c r="AZ207" i="2" s="1"/>
  <c r="Z367" i="3"/>
  <c r="AZ208" i="2" s="1"/>
  <c r="Z368" i="3"/>
  <c r="AZ209" i="2" s="1"/>
  <c r="Z328" i="3"/>
  <c r="AZ210" i="2" s="1"/>
  <c r="Z366" i="3"/>
  <c r="BI157" i="1" s="1"/>
  <c r="Z369" i="3"/>
  <c r="BI158" i="1" s="1"/>
  <c r="Z370" i="3"/>
  <c r="BI159" i="1" s="1"/>
  <c r="Z386" i="3"/>
  <c r="BI160" i="1" s="1"/>
  <c r="Z390" i="3"/>
  <c r="BI161" i="1" s="1"/>
  <c r="Z301" i="3"/>
  <c r="AZ211" i="2" s="1"/>
  <c r="Z391" i="3"/>
  <c r="BI162" i="1" s="1"/>
  <c r="Z382" i="3"/>
  <c r="AZ212" i="2" s="1"/>
  <c r="Z418" i="3"/>
  <c r="AZ213" i="2" s="1"/>
  <c r="Z383" i="3"/>
  <c r="BI163" i="1" s="1"/>
  <c r="Z360" i="3"/>
  <c r="BI164" i="1" s="1"/>
  <c r="Z384" i="3"/>
  <c r="BI165" i="1" s="1"/>
  <c r="Z402" i="3"/>
  <c r="BI166" i="1" s="1"/>
  <c r="Z371" i="3"/>
  <c r="BI167" i="1" s="1"/>
  <c r="Z428" i="3"/>
  <c r="AZ214" i="2" s="1"/>
  <c r="Z387" i="3"/>
  <c r="BI168" i="1" s="1"/>
  <c r="Z349" i="3"/>
  <c r="AZ215" i="2" s="1"/>
  <c r="Z394" i="3"/>
  <c r="AZ216" i="2" s="1"/>
  <c r="Z395" i="3"/>
  <c r="AZ217" i="2" s="1"/>
  <c r="Z355" i="3"/>
  <c r="AZ218" i="2" s="1"/>
  <c r="Z412" i="3"/>
  <c r="BI169" i="1" s="1"/>
  <c r="Z375" i="3"/>
  <c r="BI170" i="1" s="1"/>
  <c r="Z414" i="3"/>
  <c r="BI171" i="1" s="1"/>
  <c r="Z377" i="3"/>
  <c r="BI172" i="1" s="1"/>
  <c r="Z380" i="3"/>
  <c r="BI173" i="1" s="1"/>
  <c r="Z396" i="3"/>
  <c r="BI174" i="1" s="1"/>
  <c r="Z397" i="3"/>
  <c r="BI175" i="1" s="1"/>
  <c r="Z438" i="3"/>
  <c r="AZ219" i="2" s="1"/>
  <c r="Z361" i="3"/>
  <c r="AZ220" i="2" s="1"/>
  <c r="Z362" i="3"/>
  <c r="AZ221" i="2" s="1"/>
  <c r="Z363" i="3"/>
  <c r="AZ222" i="2" s="1"/>
  <c r="Z320" i="3"/>
  <c r="AZ223" i="2" s="1"/>
  <c r="Z364" i="3"/>
  <c r="AZ224" i="2" s="1"/>
  <c r="Z403" i="3"/>
  <c r="AZ225" i="2" s="1"/>
  <c r="Z325" i="3"/>
  <c r="AZ226" i="2" s="1"/>
  <c r="Z423" i="3"/>
  <c r="BI235" i="1" s="1"/>
  <c r="Z385" i="3"/>
  <c r="BI176" i="1" s="1"/>
  <c r="Z405" i="3"/>
  <c r="AZ227" i="2" s="1"/>
  <c r="Z407" i="3"/>
  <c r="AZ228" i="2" s="1"/>
  <c r="Z408" i="3"/>
  <c r="AZ229" i="2" s="1"/>
  <c r="Z388" i="3"/>
  <c r="BI177" i="1" s="1"/>
  <c r="Z374" i="3"/>
  <c r="AZ230" i="2" s="1"/>
  <c r="Z333" i="3"/>
  <c r="AZ231" i="2" s="1"/>
  <c r="Z411" i="3"/>
  <c r="BI178" i="1" s="1"/>
  <c r="Z415" i="3"/>
  <c r="BI179" i="1" s="1"/>
  <c r="Z417" i="3"/>
  <c r="BI180" i="1" s="1"/>
  <c r="Z461" i="3"/>
  <c r="AZ232" i="2" s="1"/>
  <c r="Z398" i="3"/>
  <c r="BI181" i="1" s="1"/>
  <c r="Z420" i="3"/>
  <c r="BI182" i="1" s="1"/>
  <c r="Z401" i="3"/>
  <c r="BI183" i="1" s="1"/>
  <c r="Z426" i="3"/>
  <c r="AZ233" i="2" s="1"/>
  <c r="Z442" i="3"/>
  <c r="BI184" i="1" s="1"/>
  <c r="Z470" i="3"/>
  <c r="BI185" i="1" s="1"/>
  <c r="Z406" i="3"/>
  <c r="BI186" i="1" s="1"/>
  <c r="Z427" i="3"/>
  <c r="BI187" i="1" s="1"/>
  <c r="Z392" i="3"/>
  <c r="AZ234" i="2" s="1"/>
  <c r="Z430" i="3"/>
  <c r="BI188" i="1" s="1"/>
  <c r="Z410" i="3"/>
  <c r="BI189" i="1" s="1"/>
  <c r="Z433" i="3"/>
  <c r="AZ235" i="2" s="1"/>
  <c r="Z435" i="3"/>
  <c r="AZ236" i="2" s="1"/>
  <c r="Z432" i="3"/>
  <c r="BI267" i="1" s="1"/>
  <c r="Z474" i="3"/>
  <c r="AZ237" i="2" s="1"/>
  <c r="Z436" i="3"/>
  <c r="AZ238" i="2" s="1"/>
  <c r="Z393" i="3"/>
  <c r="BI190" i="1" s="1"/>
  <c r="Z416" i="3"/>
  <c r="BI191" i="1" s="1"/>
  <c r="Z475" i="3"/>
  <c r="AZ239" i="2" s="1"/>
  <c r="Z439" i="3"/>
  <c r="AZ240" i="2" s="1"/>
  <c r="Z476" i="3"/>
  <c r="AZ241" i="2" s="1"/>
  <c r="Z400" i="3"/>
  <c r="AZ242" i="2" s="1"/>
  <c r="Z441" i="3"/>
  <c r="AZ243" i="2" s="1"/>
  <c r="Z460" i="3"/>
  <c r="BI192" i="1" s="1"/>
  <c r="Z419" i="3"/>
  <c r="BI193" i="1" s="1"/>
  <c r="Z443" i="3"/>
  <c r="AZ244" i="2" s="1"/>
  <c r="Z421" i="3"/>
  <c r="BI194" i="1" s="1"/>
  <c r="Z399" i="3"/>
  <c r="BI195" i="1" s="1"/>
  <c r="Z404" i="3"/>
  <c r="AZ245" i="2" s="1"/>
  <c r="Z422" i="3"/>
  <c r="BI196" i="1" s="1"/>
  <c r="Z424" i="3"/>
  <c r="BI197" i="1" s="1"/>
  <c r="Z445" i="3"/>
  <c r="BI198" i="1" s="1"/>
  <c r="Z492" i="3"/>
  <c r="AZ246" i="2" s="1"/>
  <c r="Z447" i="3"/>
  <c r="BI199" i="1" s="1"/>
  <c r="Z472" i="3"/>
  <c r="BI200" i="1" s="1"/>
  <c r="Z376" i="3"/>
  <c r="AZ247" i="2" s="1"/>
  <c r="Z452" i="3"/>
  <c r="AZ248" i="2" s="1"/>
  <c r="Z413" i="3"/>
  <c r="AZ249" i="2" s="1"/>
  <c r="Z454" i="3"/>
  <c r="AZ250" i="2" s="1"/>
  <c r="Z453" i="3"/>
  <c r="BI201" i="1" s="1"/>
  <c r="Z434" i="3"/>
  <c r="BI202" i="1" s="1"/>
  <c r="Z456" i="3"/>
  <c r="BI303" i="1" s="1"/>
  <c r="Z582" i="3"/>
  <c r="AZ251" i="2" s="1"/>
  <c r="Z437" i="3"/>
  <c r="BI203" i="1" s="1"/>
  <c r="Z462" i="3"/>
  <c r="AZ252" i="2" s="1"/>
  <c r="Z463" i="3"/>
  <c r="AZ253" i="2" s="1"/>
  <c r="Z425" i="3"/>
  <c r="AZ254" i="2" s="1"/>
  <c r="Z483" i="3"/>
  <c r="BI204" i="1" s="1"/>
  <c r="Z466" i="3"/>
  <c r="BI205" i="1" s="1"/>
  <c r="Z429" i="3"/>
  <c r="AZ255" i="2" s="1"/>
  <c r="Z471" i="3"/>
  <c r="AZ256" i="2" s="1"/>
  <c r="Z431" i="3"/>
  <c r="AZ257" i="2" s="1"/>
  <c r="Z448" i="3"/>
  <c r="BI206" i="1" s="1"/>
  <c r="Z531" i="3"/>
  <c r="AZ258" i="2" s="1"/>
  <c r="Z500" i="3"/>
  <c r="BI207" i="1" s="1"/>
  <c r="Z473" i="3"/>
  <c r="BI208" i="1" s="1"/>
  <c r="Z440" i="3"/>
  <c r="AZ259" i="2" s="1"/>
  <c r="Z507" i="3"/>
  <c r="BI209" i="1" s="1"/>
  <c r="Z444" i="3"/>
  <c r="AZ260" i="2" s="1"/>
  <c r="Z480" i="3"/>
  <c r="BI210" i="1" s="1"/>
  <c r="Z634" i="3"/>
  <c r="AZ261" i="2" s="1"/>
  <c r="Z512" i="3"/>
  <c r="BI331" i="1" s="1"/>
  <c r="Z446" i="3"/>
  <c r="AZ262" i="2" s="1"/>
  <c r="Z489" i="3"/>
  <c r="AZ263" i="2" s="1"/>
  <c r="Z484" i="3"/>
  <c r="BI211" i="1" s="1"/>
  <c r="Z487" i="3"/>
  <c r="BI212" i="1" s="1"/>
  <c r="Z513" i="3"/>
  <c r="BI213" i="1" s="1"/>
  <c r="Z468" i="3"/>
  <c r="BI333" i="1" s="1"/>
  <c r="Z409" i="3"/>
  <c r="AZ264" i="2" s="1"/>
  <c r="Z488" i="3"/>
  <c r="BI214" i="1" s="1"/>
  <c r="Z465" i="3"/>
  <c r="BI215" i="1" s="1"/>
  <c r="Z467" i="3"/>
  <c r="BI216" i="1" s="1"/>
  <c r="Z516" i="3"/>
  <c r="BI217" i="1" s="1"/>
  <c r="Z450" i="3"/>
  <c r="AZ265" i="2" s="1"/>
  <c r="Z520" i="3"/>
  <c r="BI218" i="1" s="1"/>
  <c r="Z495" i="3"/>
  <c r="AZ266" i="2" s="1"/>
  <c r="Z451" i="3"/>
  <c r="AZ267" i="2" s="1"/>
  <c r="Z493" i="3"/>
  <c r="BI219" i="1" s="1"/>
  <c r="Z497" i="3"/>
  <c r="AZ268" i="2" s="1"/>
  <c r="Z522" i="3"/>
  <c r="BI220" i="1" s="1"/>
  <c r="Z502" i="3"/>
  <c r="AZ269" i="2" s="1"/>
  <c r="Z573" i="3"/>
  <c r="AZ270" i="2" s="1"/>
  <c r="Z576" i="3"/>
  <c r="AZ271" i="2" s="1"/>
  <c r="Z455" i="3"/>
  <c r="AZ272" i="2" s="1"/>
  <c r="Z577" i="3"/>
  <c r="AZ273" i="2" s="1"/>
  <c r="Z499" i="3"/>
  <c r="BI221" i="1" s="1"/>
  <c r="Z528" i="3"/>
  <c r="BI222" i="1" s="1"/>
  <c r="Z658" i="3"/>
  <c r="AZ274" i="2" s="1"/>
  <c r="Z575" i="3"/>
  <c r="BI223" i="1" s="1"/>
  <c r="Z501" i="3"/>
  <c r="BI224" i="1" s="1"/>
  <c r="Z457" i="3"/>
  <c r="AZ275" i="2" s="1"/>
  <c r="Z458" i="3"/>
  <c r="AZ276" i="2" s="1"/>
  <c r="Z459" i="3"/>
  <c r="AZ277" i="2" s="1"/>
  <c r="Z583" i="3"/>
  <c r="BI225" i="1" s="1"/>
  <c r="Z508" i="3"/>
  <c r="BI226" i="1" s="1"/>
  <c r="Z477" i="3"/>
  <c r="BI227" i="1" s="1"/>
  <c r="Z540" i="3"/>
  <c r="BI228" i="1" s="1"/>
  <c r="Z478" i="3"/>
  <c r="BI229" i="1" s="1"/>
  <c r="Z479" i="3"/>
  <c r="BI230" i="1" s="1"/>
  <c r="Z464" i="3"/>
  <c r="AZ278" i="2" s="1"/>
  <c r="Z482" i="3"/>
  <c r="BI353" i="1" s="1"/>
  <c r="Z549" i="3"/>
  <c r="BI231" i="1" s="1"/>
  <c r="Z514" i="3"/>
  <c r="AZ279" i="2" s="1"/>
  <c r="Z552" i="3"/>
  <c r="BI232" i="1" s="1"/>
  <c r="Z553" i="3"/>
  <c r="BI233" i="1" s="1"/>
  <c r="Z485" i="3"/>
  <c r="BI234" i="1" s="1"/>
  <c r="Z603" i="3"/>
  <c r="AZ280" i="2" s="1"/>
  <c r="Z515" i="3"/>
  <c r="BI236" i="1" s="1"/>
  <c r="Z559" i="3"/>
  <c r="BI359" i="1" s="1"/>
  <c r="Z490" i="3"/>
  <c r="BI237" i="1" s="1"/>
  <c r="Z491" i="3"/>
  <c r="BI238" i="1" s="1"/>
  <c r="Z519" i="3"/>
  <c r="BI239" i="1" s="1"/>
  <c r="Z523" i="3"/>
  <c r="BI240" i="1" s="1"/>
  <c r="Z494" i="3"/>
  <c r="BI241" i="1" s="1"/>
  <c r="Z568" i="3"/>
  <c r="BI242" i="1" s="1"/>
  <c r="Z496" i="3"/>
  <c r="BI243" i="1" s="1"/>
  <c r="Z688" i="3"/>
  <c r="AZ281" i="2" s="1"/>
  <c r="Z498" i="3"/>
  <c r="BI244" i="1" s="1"/>
  <c r="Z527" i="3"/>
  <c r="BI245" i="1" s="1"/>
  <c r="Z536" i="3"/>
  <c r="AZ282" i="2" s="1"/>
  <c r="Z530" i="3"/>
  <c r="BI246" i="1" s="1"/>
  <c r="Z503" i="3"/>
  <c r="BI247" i="1" s="1"/>
  <c r="Z481" i="3"/>
  <c r="AZ283" i="2" s="1"/>
  <c r="Z534" i="3"/>
  <c r="BI248" i="1" s="1"/>
  <c r="Z505" i="3"/>
  <c r="BI249" i="1" s="1"/>
  <c r="Z535" i="3"/>
  <c r="BI250" i="1" s="1"/>
  <c r="Z544" i="3"/>
  <c r="AZ284" i="2" s="1"/>
  <c r="Z545" i="3"/>
  <c r="AZ285" i="2" s="1"/>
  <c r="Z632" i="3"/>
  <c r="AZ286" i="2" s="1"/>
  <c r="Z509" i="3"/>
  <c r="BI251" i="1" s="1"/>
  <c r="Z538" i="3"/>
  <c r="BI252" i="1" s="1"/>
  <c r="Z486" i="3"/>
  <c r="AZ287" i="2" s="1"/>
  <c r="Z539" i="3"/>
  <c r="BI253" i="1" s="1"/>
  <c r="Z542" i="3"/>
  <c r="BI254" i="1" s="1"/>
  <c r="Z551" i="3"/>
  <c r="BI370" i="1" s="1"/>
  <c r="Z548" i="3"/>
  <c r="BI255" i="1" s="1"/>
  <c r="Z556" i="3"/>
  <c r="AZ288" i="2" s="1"/>
  <c r="Z557" i="3"/>
  <c r="AZ289" i="2" s="1"/>
  <c r="Z511" i="3"/>
  <c r="BI256" i="1" s="1"/>
  <c r="Z554" i="3"/>
  <c r="BI257" i="1" s="1"/>
  <c r="Z561" i="3"/>
  <c r="AZ290" i="2" s="1"/>
  <c r="Z449" i="3"/>
  <c r="AZ291" i="2" s="1"/>
  <c r="Z558" i="3"/>
  <c r="BI258" i="1" s="1"/>
  <c r="Z560" i="3"/>
  <c r="BI379" i="1" s="1"/>
  <c r="Z562" i="3"/>
  <c r="BI259" i="1" s="1"/>
  <c r="Z569" i="3"/>
  <c r="AZ292" i="2" s="1"/>
  <c r="Z570" i="3"/>
  <c r="AZ293" i="2" s="1"/>
  <c r="Z521" i="3"/>
  <c r="BI260" i="1" s="1"/>
  <c r="Z564" i="3"/>
  <c r="BI261" i="1" s="1"/>
  <c r="Z651" i="3"/>
  <c r="BI262" i="1" s="1"/>
  <c r="Z524" i="3"/>
  <c r="BI263" i="1" s="1"/>
  <c r="Z614" i="3"/>
  <c r="BI264" i="1" s="1"/>
  <c r="Z567" i="3"/>
  <c r="BI265" i="1" s="1"/>
  <c r="Z572" i="3"/>
  <c r="BI266" i="1" s="1"/>
  <c r="Z506" i="3"/>
  <c r="BI387" i="1" s="1"/>
  <c r="Z664" i="3"/>
  <c r="AZ294" i="2" s="1"/>
  <c r="Z532" i="3"/>
  <c r="BI268" i="1" s="1"/>
  <c r="Z533" i="3"/>
  <c r="BI269" i="1" s="1"/>
  <c r="Z584" i="3"/>
  <c r="BI270" i="1" s="1"/>
  <c r="Z585" i="3"/>
  <c r="BI271" i="1" s="1"/>
  <c r="Z586" i="3"/>
  <c r="BI272" i="1" s="1"/>
  <c r="Z627" i="3"/>
  <c r="BI273" i="1" s="1"/>
  <c r="Z537" i="3"/>
  <c r="BI274" i="1" s="1"/>
  <c r="Z589" i="3"/>
  <c r="BI275" i="1" s="1"/>
  <c r="Z590" i="3"/>
  <c r="BI276" i="1" s="1"/>
  <c r="Z510" i="3"/>
  <c r="BI277" i="1" s="1"/>
  <c r="Z541" i="3"/>
  <c r="BI278" i="1" s="1"/>
  <c r="Z597" i="3"/>
  <c r="BI279" i="1" s="1"/>
  <c r="Z601" i="3"/>
  <c r="AZ295" i="2" s="1"/>
  <c r="Z546" i="3"/>
  <c r="BI280" i="1" s="1"/>
  <c r="Z469" i="3"/>
  <c r="AZ296" i="2" s="1"/>
  <c r="Z517" i="3"/>
  <c r="AZ297" i="2" s="1"/>
  <c r="Z547" i="3"/>
  <c r="BI281" i="1" s="1"/>
  <c r="Z518" i="3"/>
  <c r="AZ298" i="2" s="1"/>
  <c r="Z675" i="3"/>
  <c r="AZ299" i="2" s="1"/>
  <c r="Z637" i="3"/>
  <c r="BI282" i="1" s="1"/>
  <c r="Z638" i="3"/>
  <c r="BI283" i="1" s="1"/>
  <c r="Z555" i="3"/>
  <c r="BI284" i="1" s="1"/>
  <c r="Z612" i="3"/>
  <c r="AZ300" i="2" s="1"/>
  <c r="Z525" i="3"/>
  <c r="AZ301" i="2" s="1"/>
  <c r="Z604" i="3"/>
  <c r="BI285" i="1" s="1"/>
  <c r="Z607" i="3"/>
  <c r="BI395" i="1" s="1"/>
  <c r="Z608" i="3"/>
  <c r="BI396" i="1" s="1"/>
  <c r="Z609" i="3"/>
  <c r="BI397" i="1" s="1"/>
  <c r="Z605" i="3"/>
  <c r="BI286" i="1" s="1"/>
  <c r="Z526" i="3"/>
  <c r="AZ302" i="2" s="1"/>
  <c r="Z606" i="3"/>
  <c r="BI287" i="1" s="1"/>
  <c r="Z649" i="3"/>
  <c r="BI400" i="1" s="1"/>
  <c r="Z610" i="3"/>
  <c r="BI288" i="1" s="1"/>
  <c r="Z611" i="3"/>
  <c r="BI289" i="1" s="1"/>
  <c r="Z529" i="3"/>
  <c r="AZ303" i="2" s="1"/>
  <c r="Z617" i="3"/>
  <c r="AZ304" i="2" s="1"/>
  <c r="Z683" i="3"/>
  <c r="AZ305" i="2" s="1"/>
  <c r="Z686" i="3"/>
  <c r="AZ306" i="2" s="1"/>
  <c r="Z563" i="3"/>
  <c r="BI290" i="1" s="1"/>
  <c r="Z652" i="3"/>
  <c r="BI403" i="1" s="1"/>
  <c r="Z613" i="3"/>
  <c r="BI291" i="1" s="1"/>
  <c r="Z565" i="3"/>
  <c r="BI292" i="1" s="1"/>
  <c r="Z566" i="3"/>
  <c r="BI293" i="1" s="1"/>
  <c r="Z615" i="3"/>
  <c r="BI294" i="1" s="1"/>
  <c r="Z616" i="3"/>
  <c r="BI295" i="1" s="1"/>
  <c r="Z620" i="3"/>
  <c r="BI409" i="1" s="1"/>
  <c r="Z693" i="3"/>
  <c r="AZ307" i="2" s="1"/>
  <c r="Z625" i="3"/>
  <c r="AZ308" i="2" s="1"/>
  <c r="Z619" i="3"/>
  <c r="BI296" i="1" s="1"/>
  <c r="Z574" i="3"/>
  <c r="BI297" i="1" s="1"/>
  <c r="Z657" i="3"/>
  <c r="BI298" i="1" s="1"/>
  <c r="Z696" i="3"/>
  <c r="AZ309" i="2" s="1"/>
  <c r="Z791" i="3"/>
  <c r="AZ310" i="2" s="1"/>
  <c r="Z622" i="3"/>
  <c r="BI299" i="1" s="1"/>
  <c r="Z579" i="3"/>
  <c r="BI300" i="1" s="1"/>
  <c r="Z580" i="3"/>
  <c r="BI301" i="1" s="1"/>
  <c r="Z628" i="3"/>
  <c r="AZ311" i="2" s="1"/>
  <c r="Z629" i="3"/>
  <c r="AZ312" i="2" s="1"/>
  <c r="Z623" i="3"/>
  <c r="BI302" i="1" s="1"/>
  <c r="Z701" i="3"/>
  <c r="AZ313" i="2" s="1"/>
  <c r="Z633" i="3"/>
  <c r="AZ314" i="2" s="1"/>
  <c r="Z550" i="3"/>
  <c r="AZ315" i="2" s="1"/>
  <c r="Z594" i="3"/>
  <c r="BI414" i="1" s="1"/>
  <c r="Z626" i="3"/>
  <c r="BI304" i="1" s="1"/>
  <c r="Z588" i="3"/>
  <c r="BI305" i="1" s="1"/>
  <c r="Z543" i="3"/>
  <c r="BI419" i="1" s="1"/>
  <c r="Z596" i="3"/>
  <c r="BI421" i="1" s="1"/>
  <c r="Z591" i="3"/>
  <c r="BI306" i="1" s="1"/>
  <c r="Z592" i="3"/>
  <c r="BI307" i="1" s="1"/>
  <c r="Z593" i="3"/>
  <c r="BI308" i="1" s="1"/>
  <c r="Z640" i="3"/>
  <c r="AZ316" i="2" s="1"/>
  <c r="Z631" i="3"/>
  <c r="BI309" i="1" s="1"/>
  <c r="Z665" i="3"/>
  <c r="BI310" i="1" s="1"/>
  <c r="Z706" i="3"/>
  <c r="BI311" i="1" s="1"/>
  <c r="Z642" i="3"/>
  <c r="AZ317" i="2" s="1"/>
  <c r="Z800" i="3"/>
  <c r="AZ318" i="2" s="1"/>
  <c r="Z644" i="3"/>
  <c r="AZ319" i="2" s="1"/>
  <c r="Z598" i="3"/>
  <c r="BI312" i="1" s="1"/>
  <c r="Z599" i="3"/>
  <c r="BI313" i="1" s="1"/>
  <c r="Z639" i="3"/>
  <c r="BI314" i="1" s="1"/>
  <c r="Z641" i="3"/>
  <c r="BI315" i="1" s="1"/>
  <c r="Z643" i="3"/>
  <c r="BI316" i="1" s="1"/>
  <c r="Z645" i="3"/>
  <c r="BI317" i="1" s="1"/>
  <c r="Z678" i="3"/>
  <c r="BI318" i="1" s="1"/>
  <c r="Z602" i="3"/>
  <c r="BI319" i="1" s="1"/>
  <c r="Z818" i="3"/>
  <c r="AZ320" i="2" s="1"/>
  <c r="Z504" i="3"/>
  <c r="AZ321" i="2" s="1"/>
  <c r="Z650" i="3"/>
  <c r="BI320" i="1" s="1"/>
  <c r="Z741" i="3"/>
  <c r="AZ322" i="2" s="1"/>
  <c r="Z682" i="3"/>
  <c r="BI321" i="1" s="1"/>
  <c r="Z747" i="3"/>
  <c r="AZ323" i="2" s="1"/>
  <c r="Z653" i="3"/>
  <c r="BI322" i="1" s="1"/>
  <c r="Z587" i="3"/>
  <c r="AZ324" i="2" s="1"/>
  <c r="Z571" i="3"/>
  <c r="BI323" i="1" s="1"/>
  <c r="Z660" i="3"/>
  <c r="BI438" i="1" s="1"/>
  <c r="Z595" i="3"/>
  <c r="AZ325" i="2" s="1"/>
  <c r="Z578" i="3"/>
  <c r="BI324" i="1" s="1"/>
  <c r="Z661" i="3"/>
  <c r="BI325" i="1" s="1"/>
  <c r="Z662" i="3"/>
  <c r="BI326" i="1" s="1"/>
  <c r="Z600" i="3"/>
  <c r="AZ326" i="2" s="1"/>
  <c r="Z697" i="3"/>
  <c r="BI327" i="1" s="1"/>
  <c r="Z668" i="3"/>
  <c r="AZ327" i="2" s="1"/>
  <c r="Z700" i="3"/>
  <c r="BI446" i="1" s="1"/>
  <c r="Z670" i="3"/>
  <c r="AZ328" i="2" s="1"/>
  <c r="Z635" i="3"/>
  <c r="BI449" i="1" s="1"/>
  <c r="Z630" i="3"/>
  <c r="BI328" i="1" s="1"/>
  <c r="Z666" i="3"/>
  <c r="BI329" i="1" s="1"/>
  <c r="Z669" i="3"/>
  <c r="BI330" i="1" s="1"/>
  <c r="Z636" i="3"/>
  <c r="BI332" i="1" s="1"/>
  <c r="Z673" i="3"/>
  <c r="BI452" i="1" s="1"/>
  <c r="Z648" i="3"/>
  <c r="BI453" i="1" s="1"/>
  <c r="Z646" i="3"/>
  <c r="BI334" i="1" s="1"/>
  <c r="Z726" i="3"/>
  <c r="BI335" i="1" s="1"/>
  <c r="Z729" i="3"/>
  <c r="BI336" i="1" s="1"/>
  <c r="Z684" i="3"/>
  <c r="AZ330" i="2" s="1"/>
  <c r="Z685" i="3"/>
  <c r="AZ329" i="2" s="1"/>
  <c r="Z679" i="3"/>
  <c r="BI337" i="1" s="1"/>
  <c r="Z733" i="3"/>
  <c r="BI456" i="1" s="1"/>
  <c r="Z780" i="3"/>
  <c r="AZ331" i="2" s="1"/>
  <c r="Z734" i="3"/>
  <c r="BI338" i="1" s="1"/>
  <c r="Z681" i="3"/>
  <c r="BI339" i="1" s="1"/>
  <c r="Z740" i="3"/>
  <c r="BI340" i="1" s="1"/>
  <c r="Z654" i="3"/>
  <c r="BI341" i="1" s="1"/>
  <c r="Z618" i="3"/>
  <c r="BI342" i="1" s="1"/>
  <c r="Z742" i="3"/>
  <c r="BI343" i="1" s="1"/>
  <c r="Z655" i="3"/>
  <c r="BI344" i="1" s="1"/>
  <c r="Z656" i="3"/>
  <c r="BI345" i="1" s="1"/>
  <c r="Z689" i="3"/>
  <c r="BI346" i="1" s="1"/>
  <c r="Z798" i="3"/>
  <c r="AZ332" i="2" s="1"/>
  <c r="Z621" i="3"/>
  <c r="BI347" i="1" s="1"/>
  <c r="Z692" i="3"/>
  <c r="BI348" i="1" s="1"/>
  <c r="Z751" i="3"/>
  <c r="BI467" i="1" s="1"/>
  <c r="Z624" i="3"/>
  <c r="BI349" i="1" s="1"/>
  <c r="Z797" i="3"/>
  <c r="BI350" i="1" s="1"/>
  <c r="Z702" i="3"/>
  <c r="BI470" i="1" s="1"/>
  <c r="Z710" i="3"/>
  <c r="AZ333" i="2" s="1"/>
  <c r="Z647" i="3"/>
  <c r="AZ334" i="2" s="1"/>
  <c r="Z707" i="3"/>
  <c r="BI351" i="1" s="1"/>
  <c r="Z667" i="3"/>
  <c r="BI352" i="1" s="1"/>
  <c r="Z721" i="3"/>
  <c r="AZ335" i="2" s="1"/>
  <c r="Z724" i="3"/>
  <c r="AZ336" i="2" s="1"/>
  <c r="Z713" i="3"/>
  <c r="BI475" i="1" s="1"/>
  <c r="Z725" i="3"/>
  <c r="AZ337" i="2" s="1"/>
  <c r="Z727" i="3"/>
  <c r="AZ338" i="2" s="1"/>
  <c r="Z728" i="3"/>
  <c r="AZ339" i="2" s="1"/>
  <c r="Z674" i="3"/>
  <c r="BI476" i="1" s="1"/>
  <c r="Z715" i="3"/>
  <c r="BI478" i="1" s="1"/>
  <c r="Z672" i="3"/>
  <c r="BI354" i="1" s="1"/>
  <c r="Z819" i="3"/>
  <c r="AZ340" i="2" s="1"/>
  <c r="Z722" i="3"/>
  <c r="BI481" i="1" s="1"/>
  <c r="Z821" i="3"/>
  <c r="AZ341" i="2" s="1"/>
  <c r="Z735" i="3"/>
  <c r="AZ342" i="2" s="1"/>
  <c r="Z737" i="3"/>
  <c r="AZ343" i="2" s="1"/>
  <c r="Z717" i="3"/>
  <c r="BI355" i="1" s="1"/>
  <c r="Z718" i="3"/>
  <c r="BI356" i="1" s="1"/>
  <c r="Z719" i="3"/>
  <c r="BI357" i="1" s="1"/>
  <c r="Z677" i="3"/>
  <c r="BI358" i="1" s="1"/>
  <c r="Z825" i="3"/>
  <c r="AZ344" i="2" s="1"/>
  <c r="Z769" i="3"/>
  <c r="BI360" i="1" s="1"/>
  <c r="Z817" i="3"/>
  <c r="BI484" i="1" s="1"/>
  <c r="Z581" i="3"/>
  <c r="AZ345" i="2" s="1"/>
  <c r="Z680" i="3"/>
  <c r="BI485" i="1" s="1"/>
  <c r="Z743" i="3"/>
  <c r="AZ346" i="2" s="1"/>
  <c r="Z744" i="3"/>
  <c r="AZ347" i="2" s="1"/>
  <c r="Z746" i="3"/>
  <c r="AZ348" i="2" s="1"/>
  <c r="Z749" i="3"/>
  <c r="AZ349" i="2" s="1"/>
  <c r="Z750" i="3"/>
  <c r="AZ350" i="2" s="1"/>
  <c r="Z738" i="3"/>
  <c r="BI361" i="1" s="1"/>
  <c r="Z663" i="3"/>
  <c r="AZ351" i="2" s="1"/>
  <c r="Z753" i="3"/>
  <c r="AZ352" i="2" s="1"/>
  <c r="Z782" i="3"/>
  <c r="BI362" i="1" s="1"/>
  <c r="Z787" i="3"/>
  <c r="BI363" i="1" s="1"/>
  <c r="Z745" i="3"/>
  <c r="BI364" i="1" s="1"/>
  <c r="Z690" i="3"/>
  <c r="BI365" i="1" s="1"/>
  <c r="Z789" i="3"/>
  <c r="BI366" i="1" s="1"/>
  <c r="Z755" i="3"/>
  <c r="BI491" i="1" s="1"/>
  <c r="Z757" i="3"/>
  <c r="AZ353" i="2" s="1"/>
  <c r="Z695" i="3"/>
  <c r="BI367" i="1" s="1"/>
  <c r="Z796" i="3"/>
  <c r="BI368" i="1" s="1"/>
  <c r="Z848" i="3"/>
  <c r="AZ354" i="2" s="1"/>
  <c r="Z704" i="3"/>
  <c r="BI493" i="1" s="1"/>
  <c r="Z703" i="3"/>
  <c r="BI369" i="1" s="1"/>
  <c r="Z759" i="3"/>
  <c r="BI371" i="1" s="1"/>
  <c r="Z767" i="3"/>
  <c r="AZ355" i="2" s="1"/>
  <c r="Z802" i="3"/>
  <c r="BI372" i="1" s="1"/>
  <c r="Z805" i="3"/>
  <c r="BI373" i="1" s="1"/>
  <c r="Z709" i="3"/>
  <c r="BI374" i="1" s="1"/>
  <c r="Z671" i="3"/>
  <c r="BI375" i="1" s="1"/>
  <c r="Z761" i="3"/>
  <c r="BI376" i="1" s="1"/>
  <c r="Z711" i="3"/>
  <c r="BI377" i="1" s="1"/>
  <c r="Z712" i="3"/>
  <c r="BI378" i="1" s="1"/>
  <c r="Z763" i="3"/>
  <c r="BI499" i="1" s="1"/>
  <c r="Z765" i="3"/>
  <c r="BI380" i="1" s="1"/>
  <c r="Z766" i="3"/>
  <c r="BI381" i="1" s="1"/>
  <c r="Z778" i="3"/>
  <c r="AZ356" i="2" s="1"/>
  <c r="Z814" i="3"/>
  <c r="BI382" i="1" s="1"/>
  <c r="Z687" i="3"/>
  <c r="AZ357" i="2" s="1"/>
  <c r="Z768" i="3"/>
  <c r="BI383" i="1" s="1"/>
  <c r="Z730" i="3"/>
  <c r="BI384" i="1" s="1"/>
  <c r="Z783" i="3"/>
  <c r="AZ358" i="2" s="1"/>
  <c r="Z691" i="3"/>
  <c r="AZ359" i="2" s="1"/>
  <c r="Z770" i="3"/>
  <c r="BI385" i="1" s="1"/>
  <c r="Z694" i="3"/>
  <c r="AZ360" i="2" s="1"/>
  <c r="Z698" i="3"/>
  <c r="AZ361" i="2" s="1"/>
  <c r="Z699" i="3"/>
  <c r="AZ362" i="2" s="1"/>
  <c r="Z830" i="3"/>
  <c r="BI386" i="1" s="1"/>
  <c r="Z785" i="3"/>
  <c r="BI507" i="1" s="1"/>
  <c r="Z891" i="3"/>
  <c r="AZ363" i="2" s="1"/>
  <c r="Z748" i="3"/>
  <c r="BI388" i="1" s="1"/>
  <c r="Z708" i="3"/>
  <c r="AZ364" i="2" s="1"/>
  <c r="Z754" i="3"/>
  <c r="BI389" i="1" s="1"/>
  <c r="Z843" i="3"/>
  <c r="BI390" i="1" s="1"/>
  <c r="Z801" i="3"/>
  <c r="AZ365" i="2" s="1"/>
  <c r="Z804" i="3"/>
  <c r="AZ366" i="2" s="1"/>
  <c r="Z890" i="3"/>
  <c r="BI508" i="1" s="1"/>
  <c r="Z714" i="3"/>
  <c r="AZ367" i="2" s="1"/>
  <c r="Z807" i="3"/>
  <c r="AZ368" i="2" s="1"/>
  <c r="Z906" i="3"/>
  <c r="AZ369" i="2" s="1"/>
  <c r="Z799" i="3"/>
  <c r="BI391" i="1" s="1"/>
  <c r="Z809" i="3"/>
  <c r="AZ370" i="2" s="1"/>
  <c r="Z705" i="3"/>
  <c r="BI392" i="1" s="1"/>
  <c r="Z849" i="3"/>
  <c r="BI514" i="1" s="1"/>
  <c r="Z732" i="3"/>
  <c r="AZ371" i="2" s="1"/>
  <c r="Z764" i="3"/>
  <c r="BI516" i="1" s="1"/>
  <c r="Z808" i="3"/>
  <c r="BI393" i="1" s="1"/>
  <c r="Z736" i="3"/>
  <c r="AZ372" i="2" s="1"/>
  <c r="Z739" i="3"/>
  <c r="AZ373" i="2" s="1"/>
  <c r="Z716" i="3"/>
  <c r="BI394" i="1" s="1"/>
  <c r="Z828" i="3"/>
  <c r="AZ374" i="2" s="1"/>
  <c r="Z720" i="3"/>
  <c r="BI398" i="1" s="1"/>
  <c r="Z860" i="3"/>
  <c r="BI399" i="1" s="1"/>
  <c r="Z659" i="3"/>
  <c r="AZ375" i="2" s="1"/>
  <c r="Z774" i="3"/>
  <c r="BI519" i="1" s="1"/>
  <c r="Z822" i="3"/>
  <c r="BI401" i="1" s="1"/>
  <c r="Z926" i="3"/>
  <c r="AZ376" i="2" s="1"/>
  <c r="Z731" i="3"/>
  <c r="BI402" i="1" s="1"/>
  <c r="Z752" i="3"/>
  <c r="AZ377" i="2" s="1"/>
  <c r="Z771" i="3"/>
  <c r="BI404" i="1" s="1"/>
  <c r="Z824" i="3"/>
  <c r="BI405" i="1" s="1"/>
  <c r="Z826" i="3"/>
  <c r="BI406" i="1" s="1"/>
  <c r="Z870" i="3"/>
  <c r="BI407" i="1" s="1"/>
  <c r="Z838" i="3"/>
  <c r="AZ378" i="2" s="1"/>
  <c r="Z784" i="3"/>
  <c r="BI523" i="1" s="1"/>
  <c r="Z776" i="3"/>
  <c r="BI408" i="1" s="1"/>
  <c r="Z786" i="3"/>
  <c r="BI524" i="1" s="1"/>
  <c r="Z788" i="3"/>
  <c r="BI525" i="1" s="1"/>
  <c r="Z878" i="3"/>
  <c r="BI410" i="1" s="1"/>
  <c r="Z756" i="3"/>
  <c r="AZ379" i="2" s="1"/>
  <c r="Z835" i="3"/>
  <c r="BI411" i="1" s="1"/>
  <c r="Z760" i="3"/>
  <c r="AZ380" i="2" s="1"/>
  <c r="Z790" i="3"/>
  <c r="BI412" i="1" s="1"/>
  <c r="Z792" i="3"/>
  <c r="BI413" i="1" s="1"/>
  <c r="Z793" i="3"/>
  <c r="BI415" i="1" s="1"/>
  <c r="Z840" i="3"/>
  <c r="BI416" i="1" s="1"/>
  <c r="Z841" i="3"/>
  <c r="BI417" i="1" s="1"/>
  <c r="Z842" i="3"/>
  <c r="BI418" i="1" s="1"/>
  <c r="Z794" i="3"/>
  <c r="BI420" i="1" s="1"/>
  <c r="Z676" i="3"/>
  <c r="AZ381" i="2" s="1"/>
  <c r="Z850" i="3"/>
  <c r="AZ382" i="2" s="1"/>
  <c r="Z851" i="3"/>
  <c r="AZ383" i="2" s="1"/>
  <c r="Z896" i="3"/>
  <c r="BI422" i="1" s="1"/>
  <c r="Z864" i="3"/>
  <c r="AZ384" i="2" s="1"/>
  <c r="Z866" i="3"/>
  <c r="AZ385" i="2" s="1"/>
  <c r="Z905" i="3"/>
  <c r="BI532" i="1" s="1"/>
  <c r="Z867" i="3"/>
  <c r="AZ386" i="2" s="1"/>
  <c r="Z803" i="3"/>
  <c r="BI423" i="1" s="1"/>
  <c r="Z806" i="3"/>
  <c r="BI424" i="1" s="1"/>
  <c r="Z772" i="3"/>
  <c r="AZ387" i="2" s="1"/>
  <c r="Z773" i="3"/>
  <c r="AZ388" i="2" s="1"/>
  <c r="Z853" i="3"/>
  <c r="BI425" i="1" s="1"/>
  <c r="Z775" i="3"/>
  <c r="AZ389" i="2" s="1"/>
  <c r="Z869" i="3"/>
  <c r="AZ390" i="2" s="1"/>
  <c r="Z779" i="3"/>
  <c r="AZ391" i="2" s="1"/>
  <c r="Z762" i="3"/>
  <c r="BI426" i="1" s="1"/>
  <c r="Z858" i="3"/>
  <c r="BI427" i="1" s="1"/>
  <c r="Z810" i="3"/>
  <c r="BI428" i="1" s="1"/>
  <c r="Z859" i="3"/>
  <c r="BI429" i="1" s="1"/>
  <c r="Z781" i="3"/>
  <c r="AZ392" i="2" s="1"/>
  <c r="Z813" i="3"/>
  <c r="BI430" i="1" s="1"/>
  <c r="Z865" i="3"/>
  <c r="BI431" i="1" s="1"/>
  <c r="Z815" i="3"/>
  <c r="BI432" i="1" s="1"/>
  <c r="Z816" i="3"/>
  <c r="BI433" i="1" s="1"/>
  <c r="Z820" i="3"/>
  <c r="BI434" i="1" s="1"/>
  <c r="Z823" i="3"/>
  <c r="BI435" i="1" s="1"/>
  <c r="Z871" i="3"/>
  <c r="BI538" i="1" s="1"/>
  <c r="Z884" i="3"/>
  <c r="AZ394" i="2" s="1"/>
  <c r="Z885" i="3"/>
  <c r="AZ393" i="2" s="1"/>
  <c r="Z888" i="3"/>
  <c r="AZ395" i="2" s="1"/>
  <c r="Z829" i="3"/>
  <c r="BI436" i="1" s="1"/>
  <c r="Z777" i="3"/>
  <c r="BI437" i="1" s="1"/>
  <c r="Z882" i="3"/>
  <c r="BI539" i="1" s="1"/>
  <c r="Z833" i="3"/>
  <c r="BI439" i="1" s="1"/>
  <c r="Z880" i="3"/>
  <c r="BI440" i="1" s="1"/>
  <c r="Z834" i="3"/>
  <c r="BI441" i="1" s="1"/>
  <c r="Z795" i="3"/>
  <c r="BI540" i="1" s="1"/>
  <c r="Z836" i="3"/>
  <c r="BI442" i="1" s="1"/>
  <c r="Z881" i="3"/>
  <c r="BI443" i="1" s="1"/>
  <c r="Z883" i="3"/>
  <c r="BI444" i="1" s="1"/>
  <c r="Z964" i="3"/>
  <c r="AZ396" i="2" s="1"/>
  <c r="Z889" i="3"/>
  <c r="BI541" i="1" s="1"/>
  <c r="Z886" i="3"/>
  <c r="BI445" i="1" s="1"/>
  <c r="Z902" i="3"/>
  <c r="AZ397" i="2" s="1"/>
  <c r="Z904" i="3"/>
  <c r="AZ398" i="2" s="1"/>
  <c r="Z893" i="3"/>
  <c r="BI447" i="1" s="1"/>
  <c r="Z811" i="3"/>
  <c r="AZ399" i="2" s="1"/>
  <c r="Z812" i="3"/>
  <c r="AZ400" i="2" s="1"/>
  <c r="Z723" i="3"/>
  <c r="AZ401" i="2" s="1"/>
  <c r="Z845" i="3"/>
  <c r="BI448" i="1" s="1"/>
  <c r="Z895" i="3"/>
  <c r="BI450" i="1" s="1"/>
  <c r="Z847" i="3"/>
  <c r="BI451" i="1" s="1"/>
  <c r="Z916" i="3"/>
  <c r="AZ402" i="2" s="1"/>
  <c r="Z944" i="3"/>
  <c r="BI546" i="1" s="1"/>
  <c r="Z982" i="3"/>
  <c r="AZ403" i="2" s="1"/>
  <c r="Z831" i="3"/>
  <c r="AZ404" i="2" s="1"/>
  <c r="Z868" i="3"/>
  <c r="BI548" i="1" s="1"/>
  <c r="Z923" i="3"/>
  <c r="AZ405" i="2" s="1"/>
  <c r="Z947" i="3"/>
  <c r="BI454" i="1" s="1"/>
  <c r="Z832" i="3"/>
  <c r="AZ406" i="2" s="1"/>
  <c r="Z915" i="3"/>
  <c r="BI455" i="1" s="1"/>
  <c r="Z827" i="3"/>
  <c r="BI550" i="1" s="1"/>
  <c r="Z837" i="3"/>
  <c r="AZ407" i="2" s="1"/>
  <c r="Z920" i="3"/>
  <c r="BI553" i="1" s="1"/>
  <c r="Z922" i="3"/>
  <c r="BI554" i="1" s="1"/>
  <c r="Z919" i="3"/>
  <c r="BI457" i="1" s="1"/>
  <c r="Z839" i="3"/>
  <c r="AZ408" i="2" s="1"/>
  <c r="Z954" i="3"/>
  <c r="BI458" i="1" s="1"/>
  <c r="Z998" i="3"/>
  <c r="AZ409" i="2" s="1"/>
  <c r="Z930" i="3"/>
  <c r="AZ410" i="2" s="1"/>
  <c r="Z921" i="3"/>
  <c r="BI459" i="1" s="1"/>
  <c r="Z844" i="3"/>
  <c r="AZ411" i="2" s="1"/>
  <c r="Z846" i="3"/>
  <c r="AZ412" i="2" s="1"/>
  <c r="Z872" i="3"/>
  <c r="BI460" i="1" s="1"/>
  <c r="Z874" i="3"/>
  <c r="BI461" i="1" s="1"/>
  <c r="Z958" i="3"/>
  <c r="BI462" i="1" s="1"/>
  <c r="Z758" i="3"/>
  <c r="AZ413" i="2" s="1"/>
  <c r="Z875" i="3"/>
  <c r="BI463" i="1" s="1"/>
  <c r="Z876" i="3"/>
  <c r="BI464" i="1" s="1"/>
  <c r="Z877" i="3"/>
  <c r="BI465" i="1" s="1"/>
  <c r="Z960" i="3"/>
  <c r="BI557" i="1" s="1"/>
  <c r="Z927" i="3"/>
  <c r="BI466" i="1" s="1"/>
  <c r="Z939" i="3"/>
  <c r="AZ414" i="2" s="1"/>
  <c r="Z929" i="3"/>
  <c r="BI468" i="1" s="1"/>
  <c r="Z887" i="3"/>
  <c r="BI469" i="1" s="1"/>
  <c r="Z852" i="3"/>
  <c r="AZ415" i="2" s="1"/>
  <c r="Z932" i="3"/>
  <c r="BI471" i="1" s="1"/>
  <c r="Z854" i="3"/>
  <c r="AZ416" i="2" s="1"/>
  <c r="Z856" i="3"/>
  <c r="AZ417" i="2" s="1"/>
  <c r="Z857" i="3"/>
  <c r="AZ418" i="2" s="1"/>
  <c r="Z892" i="3"/>
  <c r="BI472" i="1" s="1"/>
  <c r="Z894" i="3"/>
  <c r="BI473" i="1" s="1"/>
  <c r="Z861" i="3"/>
  <c r="AZ420" i="2" s="1"/>
  <c r="Z862" i="3"/>
  <c r="AZ419" i="2" s="1"/>
  <c r="Z863" i="3"/>
  <c r="AZ421" i="2" s="1"/>
  <c r="Z898" i="3"/>
  <c r="BI474" i="1" s="1"/>
  <c r="Z901" i="3"/>
  <c r="BI477" i="1" s="1"/>
  <c r="Z855" i="3"/>
  <c r="BI568" i="1" s="1"/>
  <c r="Z903" i="3"/>
  <c r="BI479" i="1" s="1"/>
  <c r="Z909" i="3"/>
  <c r="BI569" i="1" s="1"/>
  <c r="Z1016" i="3"/>
  <c r="AZ422" i="2" s="1"/>
  <c r="Z953" i="3"/>
  <c r="AZ423" i="2" s="1"/>
  <c r="Z973" i="3"/>
  <c r="BI480" i="1" s="1"/>
  <c r="Z908" i="3"/>
  <c r="BI482" i="1" s="1"/>
  <c r="Z946" i="3"/>
  <c r="BI574" i="1" s="1"/>
  <c r="Z873" i="3"/>
  <c r="AZ424" i="2" s="1"/>
  <c r="Z910" i="3"/>
  <c r="BI483" i="1" s="1"/>
  <c r="Z948" i="3"/>
  <c r="BI578" i="1" s="1"/>
  <c r="Z917" i="3"/>
  <c r="BI486" i="1" s="1"/>
  <c r="Z1020" i="3"/>
  <c r="AZ425" i="2" s="1"/>
  <c r="Z918" i="3"/>
  <c r="BI487" i="1" s="1"/>
  <c r="Z951" i="3"/>
  <c r="BI488" i="1" s="1"/>
  <c r="Z955" i="3"/>
  <c r="BI489" i="1" s="1"/>
  <c r="Z879" i="3"/>
  <c r="BI579" i="1" s="1"/>
  <c r="Z897" i="3"/>
  <c r="AZ426" i="2" s="1"/>
  <c r="Z961" i="3"/>
  <c r="BI584" i="1" s="1"/>
  <c r="Z959" i="3"/>
  <c r="BI490" i="1" s="1"/>
  <c r="Z899" i="3"/>
  <c r="AZ427" i="2" s="1"/>
  <c r="Z928" i="3"/>
  <c r="BI492" i="1" s="1"/>
  <c r="Z931" i="3"/>
  <c r="BI586" i="1" s="1"/>
  <c r="Z907" i="3"/>
  <c r="AZ428" i="2" s="1"/>
  <c r="Z911" i="3"/>
  <c r="AZ429" i="2" s="1"/>
  <c r="Z912" i="3"/>
  <c r="AZ430" i="2" s="1"/>
  <c r="Z913" i="3"/>
  <c r="AZ431" i="2" s="1"/>
  <c r="Z914" i="3"/>
  <c r="AZ432" i="2" s="1"/>
  <c r="Z936" i="3"/>
  <c r="BI494" i="1" s="1"/>
  <c r="Z969" i="3"/>
  <c r="BI590" i="1" s="1"/>
  <c r="Z966" i="3"/>
  <c r="BI495" i="1" s="1"/>
  <c r="Z979" i="3"/>
  <c r="AZ433" i="2" s="1"/>
  <c r="Z981" i="3"/>
  <c r="AZ434" i="2" s="1"/>
  <c r="Z900" i="3"/>
  <c r="BI496" i="1" s="1"/>
  <c r="Z1009" i="3"/>
  <c r="BI497" i="1" s="1"/>
  <c r="Z940" i="3"/>
  <c r="BI498" i="1" s="1"/>
  <c r="Z983" i="3"/>
  <c r="AZ435" i="2" s="1"/>
  <c r="Z984" i="3"/>
  <c r="AZ436" i="2" s="1"/>
  <c r="Z986" i="3"/>
  <c r="AZ437" i="2" s="1"/>
  <c r="Z941" i="3"/>
  <c r="BI500" i="1" s="1"/>
  <c r="Z942" i="3"/>
  <c r="BI501" i="1" s="1"/>
  <c r="Z924" i="3"/>
  <c r="AZ438" i="2" s="1"/>
  <c r="Z945" i="3"/>
  <c r="BI502" i="1" s="1"/>
  <c r="Z1011" i="3"/>
  <c r="BI503" i="1" s="1"/>
  <c r="Z925" i="3"/>
  <c r="AZ439" i="2" s="1"/>
  <c r="Z993" i="3"/>
  <c r="AZ440" i="2" s="1"/>
  <c r="Z994" i="3"/>
  <c r="AZ441" i="2" s="1"/>
  <c r="Z996" i="3"/>
  <c r="AZ442" i="2" s="1"/>
  <c r="Z952" i="3"/>
  <c r="BI593" i="1" s="1"/>
  <c r="Z997" i="3"/>
  <c r="AZ443" i="2" s="1"/>
  <c r="Z950" i="3"/>
  <c r="BI504" i="1" s="1"/>
  <c r="Z985" i="3"/>
  <c r="BI505" i="1" s="1"/>
  <c r="Z957" i="3"/>
  <c r="BI595" i="1" s="1"/>
  <c r="Z990" i="3"/>
  <c r="BI506" i="1" s="1"/>
  <c r="Z933" i="3"/>
  <c r="AZ444" i="2" s="1"/>
  <c r="Z1000" i="3"/>
  <c r="AZ445" i="2" s="1"/>
  <c r="Z995" i="3"/>
  <c r="BI596" i="1" s="1"/>
  <c r="Z937" i="3"/>
  <c r="AZ446" i="2" s="1"/>
  <c r="Z938" i="3"/>
  <c r="AZ447" i="2" s="1"/>
  <c r="Z999" i="3"/>
  <c r="BI598" i="1" s="1"/>
  <c r="Z1006" i="3"/>
  <c r="AZ448" i="2" s="1"/>
  <c r="Z1010" i="3"/>
  <c r="AZ449" i="2" s="1"/>
  <c r="Z943" i="3"/>
  <c r="AZ450" i="2" s="1"/>
  <c r="Z1002" i="3"/>
  <c r="BI509" i="1" s="1"/>
  <c r="Z1026" i="3"/>
  <c r="BI510" i="1" s="1"/>
  <c r="Z962" i="3"/>
  <c r="BI511" i="1" s="1"/>
  <c r="Z967" i="3"/>
  <c r="BI602" i="1" s="1"/>
  <c r="Z968" i="3"/>
  <c r="BI603" i="1" s="1"/>
  <c r="Z934" i="3"/>
  <c r="BI512" i="1" s="1"/>
  <c r="Z1030" i="3"/>
  <c r="BI513" i="1" s="1"/>
  <c r="Z965" i="3"/>
  <c r="BI515" i="1" s="1"/>
  <c r="Z1104" i="3"/>
  <c r="AZ451" i="2" s="1"/>
  <c r="Z1015" i="3"/>
  <c r="AZ452" i="2" s="1"/>
  <c r="Z1018" i="3"/>
  <c r="AZ453" i="2" s="1"/>
  <c r="Z974" i="3"/>
  <c r="BI607" i="1" s="1"/>
  <c r="Z956" i="3"/>
  <c r="AZ454" i="2" s="1"/>
  <c r="Z971" i="3"/>
  <c r="BI517" i="1" s="1"/>
  <c r="Z975" i="3"/>
  <c r="BI518" i="1" s="1"/>
  <c r="Z1014" i="3"/>
  <c r="BI520" i="1" s="1"/>
  <c r="Z987" i="3"/>
  <c r="BI613" i="1" s="1"/>
  <c r="Z988" i="3"/>
  <c r="BI614" i="1" s="1"/>
  <c r="Z1021" i="3"/>
  <c r="AZ455" i="2" s="1"/>
  <c r="Z1017" i="3"/>
  <c r="BI521" i="1" s="1"/>
  <c r="Z991" i="3"/>
  <c r="BI617" i="1" s="1"/>
  <c r="Z1023" i="3"/>
  <c r="AZ456" i="2" s="1"/>
  <c r="Z992" i="3"/>
  <c r="BI618" i="1" s="1"/>
  <c r="Z1038" i="3"/>
  <c r="BI522" i="1" s="1"/>
  <c r="Z963" i="3"/>
  <c r="AZ457" i="2" s="1"/>
  <c r="Z1044" i="3"/>
  <c r="BI526" i="1" s="1"/>
  <c r="Z1032" i="3"/>
  <c r="AZ458" i="2" s="1"/>
  <c r="Z970" i="3"/>
  <c r="AZ459" i="2" s="1"/>
  <c r="Z972" i="3"/>
  <c r="AZ460" i="2" s="1"/>
  <c r="Z1028" i="3"/>
  <c r="BI625" i="1" s="1"/>
  <c r="Z1048" i="3"/>
  <c r="BI527" i="1" s="1"/>
  <c r="Z1049" i="3"/>
  <c r="BI626" i="1" s="1"/>
  <c r="Z1001" i="3"/>
  <c r="BI528" i="1" s="1"/>
  <c r="Z976" i="3"/>
  <c r="AZ461" i="2" s="1"/>
  <c r="Z1050" i="3"/>
  <c r="BI529" i="1" s="1"/>
  <c r="Z977" i="3"/>
  <c r="AZ462" i="2" s="1"/>
  <c r="Z978" i="3"/>
  <c r="AZ463" i="2" s="1"/>
  <c r="Z1035" i="3"/>
  <c r="AZ464" i="2" s="1"/>
  <c r="Z1005" i="3"/>
  <c r="BI530" i="1" s="1"/>
  <c r="Z1076" i="3"/>
  <c r="BI531" i="1" s="1"/>
  <c r="Z1033" i="3"/>
  <c r="BI629" i="1" s="1"/>
  <c r="Z1007" i="3"/>
  <c r="BI533" i="1" s="1"/>
  <c r="Z1008" i="3"/>
  <c r="BI534" i="1" s="1"/>
  <c r="Z989" i="3"/>
  <c r="AZ465" i="2" s="1"/>
  <c r="Z980" i="3"/>
  <c r="BI630" i="1" s="1"/>
  <c r="Z1012" i="3"/>
  <c r="BI535" i="1" s="1"/>
  <c r="Z1040" i="3"/>
  <c r="AZ466" i="2" s="1"/>
  <c r="Z1036" i="3"/>
  <c r="BI536" i="1" s="1"/>
  <c r="Z1037" i="3"/>
  <c r="BI537" i="1" s="1"/>
  <c r="Z935" i="3"/>
  <c r="AZ467" i="2" s="1"/>
  <c r="Z1061" i="3"/>
  <c r="BI633" i="1" s="1"/>
  <c r="Z1003" i="3"/>
  <c r="AZ468" i="2" s="1"/>
  <c r="Z1004" i="3"/>
  <c r="BI636" i="1" s="1"/>
  <c r="Z1024" i="3"/>
  <c r="BI542" i="1" s="1"/>
  <c r="Z1100" i="3"/>
  <c r="AZ469" i="2" s="1"/>
  <c r="Z1054" i="3"/>
  <c r="AZ470" i="2" s="1"/>
  <c r="Z1027" i="3"/>
  <c r="BI543" i="1" s="1"/>
  <c r="Z1013" i="3"/>
  <c r="AZ471" i="2" s="1"/>
  <c r="Z949" i="3"/>
  <c r="AZ472" i="2" s="1"/>
  <c r="Z1074" i="3"/>
  <c r="BI638" i="1" s="1"/>
  <c r="Z1031" i="3"/>
  <c r="BI544" i="1" s="1"/>
  <c r="Z1073" i="3"/>
  <c r="BI545" i="1" s="1"/>
  <c r="Z1034" i="3"/>
  <c r="BI547" i="1" s="1"/>
  <c r="Z1107" i="3"/>
  <c r="AZ473" i="2" s="1"/>
  <c r="Z1084" i="3"/>
  <c r="BI549" i="1" s="1"/>
  <c r="Z1057" i="3"/>
  <c r="BI551" i="1" s="1"/>
  <c r="Z1058" i="3"/>
  <c r="BI552" i="1" s="1"/>
  <c r="Z1066" i="3"/>
  <c r="AZ474" i="2" s="1"/>
  <c r="Z1060" i="3"/>
  <c r="BI555" i="1" s="1"/>
  <c r="Z1019" i="3"/>
  <c r="BI556" i="1" s="1"/>
  <c r="Z1029" i="3"/>
  <c r="AZ475" i="2" s="1"/>
  <c r="Z1043" i="3"/>
  <c r="BI641" i="1" s="1"/>
  <c r="Z1075" i="3"/>
  <c r="AZ476" i="2" s="1"/>
  <c r="Z1041" i="3"/>
  <c r="BI558" i="1" s="1"/>
  <c r="Z1064" i="3"/>
  <c r="BI559" i="1" s="1"/>
  <c r="Z1065" i="3"/>
  <c r="BI560" i="1" s="1"/>
  <c r="Z1042" i="3"/>
  <c r="BI561" i="1" s="1"/>
  <c r="Z1022" i="3"/>
  <c r="BI562" i="1" s="1"/>
  <c r="Z1046" i="3"/>
  <c r="BI563" i="1" s="1"/>
  <c r="Z1025" i="3"/>
  <c r="BI564" i="1" s="1"/>
  <c r="Z1068" i="3"/>
  <c r="BI565" i="1" s="1"/>
  <c r="Z1080" i="3"/>
  <c r="AZ477" i="2" s="1"/>
  <c r="Z1070" i="3"/>
  <c r="BI566" i="1" s="1"/>
  <c r="Z1051" i="3"/>
  <c r="BI567" i="1" s="1"/>
  <c r="Z1098" i="3"/>
  <c r="BI570" i="1" s="1"/>
  <c r="Z1077" i="3"/>
  <c r="BI571" i="1" s="1"/>
  <c r="Z1052" i="3"/>
  <c r="BI572" i="1" s="1"/>
  <c r="Z1053" i="3"/>
  <c r="BI573" i="1" s="1"/>
  <c r="Z1078" i="3"/>
  <c r="BI575" i="1" s="1"/>
  <c r="Z1039" i="3"/>
  <c r="AZ478" i="2" s="1"/>
  <c r="Z1079" i="3"/>
  <c r="BI576" i="1" s="1"/>
  <c r="Z1081" i="3"/>
  <c r="BI577" i="1" s="1"/>
  <c r="Z1047" i="3"/>
  <c r="AZ479" i="2" s="1"/>
  <c r="Z1130" i="3"/>
  <c r="AZ480" i="2" s="1"/>
  <c r="Z1085" i="3"/>
  <c r="BI580" i="1" s="1"/>
  <c r="Z1086" i="3"/>
  <c r="BI581" i="1" s="1"/>
  <c r="Z1087" i="3"/>
  <c r="BI582" i="1" s="1"/>
  <c r="Z1088" i="3"/>
  <c r="BI583" i="1" s="1"/>
  <c r="Z1095" i="3"/>
  <c r="AZ481" i="2" s="1"/>
  <c r="Z1113" i="3"/>
  <c r="BI585" i="1" s="1"/>
  <c r="Z1045" i="3"/>
  <c r="BI646" i="1" s="1"/>
  <c r="Z1063" i="3"/>
  <c r="BI587" i="1" s="1"/>
  <c r="Z1067" i="3"/>
  <c r="BI588" i="1" s="1"/>
  <c r="Z1069" i="3"/>
  <c r="BI589" i="1" s="1"/>
  <c r="Z1055" i="3"/>
  <c r="AZ482" i="2" s="1"/>
  <c r="Z1096" i="3"/>
  <c r="BI647" i="1" s="1"/>
  <c r="Z1059" i="3"/>
  <c r="AZ483" i="2" s="1"/>
  <c r="Z1118" i="3"/>
  <c r="BI648" i="1" s="1"/>
  <c r="Z1142" i="3"/>
  <c r="AZ484" i="2" s="1"/>
  <c r="Z1072" i="3"/>
  <c r="BI591" i="1" s="1"/>
  <c r="Z1082" i="3"/>
  <c r="BI650" i="1" s="1"/>
  <c r="Z1101" i="3"/>
  <c r="BI592" i="1" s="1"/>
  <c r="Z1122" i="3"/>
  <c r="BI651" i="1" s="1"/>
  <c r="Z1056" i="3"/>
  <c r="BI594" i="1" s="1"/>
  <c r="Z1106" i="3"/>
  <c r="BI597" i="1" s="1"/>
  <c r="Z1091" i="3"/>
  <c r="BI654" i="1" s="1"/>
  <c r="Z1089" i="3"/>
  <c r="BI599" i="1" s="1"/>
  <c r="Z1092" i="3"/>
  <c r="BI655" i="1" s="1"/>
  <c r="Z1062" i="3"/>
  <c r="BI600" i="1" s="1"/>
  <c r="Z1116" i="3"/>
  <c r="BI601" i="1" s="1"/>
  <c r="Z1117" i="3"/>
  <c r="BI656" i="1" s="1"/>
  <c r="Z1093" i="3"/>
  <c r="BI604" i="1" s="1"/>
  <c r="Z1094" i="3"/>
  <c r="BI605" i="1" s="1"/>
  <c r="Z1097" i="3"/>
  <c r="BI606" i="1" s="1"/>
  <c r="Z1119" i="3"/>
  <c r="BI608" i="1" s="1"/>
  <c r="Z1120" i="3"/>
  <c r="BI609" i="1" s="1"/>
  <c r="Z1126" i="3"/>
  <c r="AZ485" i="2" s="1"/>
  <c r="Z1099" i="3"/>
  <c r="BI610" i="1" s="1"/>
  <c r="Z1102" i="3"/>
  <c r="BI611" i="1" s="1"/>
  <c r="Z1103" i="3"/>
  <c r="BI612" i="1" s="1"/>
  <c r="Z1090" i="3"/>
  <c r="AZ486" i="2" s="1"/>
  <c r="Z1141" i="3"/>
  <c r="BI615" i="1" s="1"/>
  <c r="Z1083" i="3"/>
  <c r="BI616" i="1" s="1"/>
  <c r="Z1125" i="3"/>
  <c r="BI658" i="1" s="1"/>
  <c r="Z1105" i="3"/>
  <c r="BI619" i="1" s="1"/>
  <c r="Z1136" i="3"/>
  <c r="AZ487" i="2" s="1"/>
  <c r="Z1108" i="3"/>
  <c r="BI620" i="1" s="1"/>
  <c r="Z1109" i="3"/>
  <c r="BI621" i="1" s="1"/>
  <c r="Z1110" i="3"/>
  <c r="BI622" i="1" s="1"/>
  <c r="Z1144" i="3"/>
  <c r="BI623" i="1" s="1"/>
  <c r="Z1128" i="3"/>
  <c r="BI624" i="1" s="1"/>
  <c r="Z1115" i="3"/>
  <c r="BI659" i="1" s="1"/>
  <c r="Z1137" i="3"/>
  <c r="AZ488" i="2" s="1"/>
  <c r="Z1132" i="3"/>
  <c r="BI627" i="1" s="1"/>
  <c r="Z1133" i="3"/>
  <c r="BI628" i="1" s="1"/>
  <c r="Z1139" i="3"/>
  <c r="AZ489" i="2" s="1"/>
  <c r="Z1151" i="3"/>
  <c r="BI631" i="1" s="1"/>
  <c r="Z1114" i="3"/>
  <c r="AZ490" i="2" s="1"/>
  <c r="Z1124" i="3"/>
  <c r="BI632" i="1" s="1"/>
  <c r="Z1071" i="3"/>
  <c r="AZ491" i="2" s="1"/>
  <c r="Z1145" i="3"/>
  <c r="BI662" i="1" s="1"/>
  <c r="Z1149" i="3"/>
  <c r="AZ492" i="2" s="1"/>
  <c r="Z1150" i="3"/>
  <c r="AZ493" i="2" s="1"/>
  <c r="Z1111" i="3"/>
  <c r="BI634" i="1" s="1"/>
  <c r="Z1112" i="3"/>
  <c r="BI635" i="1" s="1"/>
  <c r="Z1121" i="3"/>
  <c r="AZ494" i="2" s="1"/>
  <c r="Z1129" i="3"/>
  <c r="BI637" i="1" s="1"/>
  <c r="Z1147" i="3"/>
  <c r="BI663" i="1" s="1"/>
  <c r="Z1177" i="3"/>
  <c r="AZ495" i="2" s="1"/>
  <c r="Z1134" i="3"/>
  <c r="BI664" i="1" s="1"/>
  <c r="Z1123" i="3"/>
  <c r="AZ496" i="2" s="1"/>
  <c r="Z1152" i="3"/>
  <c r="AZ497" i="2" s="1"/>
  <c r="Z1153" i="3"/>
  <c r="AZ498" i="2" s="1"/>
  <c r="Z1154" i="3"/>
  <c r="AZ499" i="2" s="1"/>
  <c r="Z1135" i="3"/>
  <c r="BI639" i="1" s="1"/>
  <c r="Z1157" i="3"/>
  <c r="AZ500" i="2" s="1"/>
  <c r="Z1163" i="3"/>
  <c r="BI666" i="1" s="1"/>
  <c r="Z1160" i="3"/>
  <c r="AZ501" i="2" s="1"/>
  <c r="Z1138" i="3"/>
  <c r="BI640" i="1" s="1"/>
  <c r="Z1131" i="3"/>
  <c r="AZ502" i="2" s="1"/>
  <c r="Z1168" i="3"/>
  <c r="BI642" i="1" s="1"/>
  <c r="Z1190" i="3"/>
  <c r="AZ503" i="2" s="1"/>
  <c r="Z1159" i="3"/>
  <c r="BI643" i="1" s="1"/>
  <c r="Z1164" i="3"/>
  <c r="AZ504" i="2" s="1"/>
  <c r="Z1140" i="3"/>
  <c r="AZ505" i="2" s="1"/>
  <c r="Z1143" i="3"/>
  <c r="AZ506" i="2" s="1"/>
  <c r="Z1155" i="3"/>
  <c r="BI644" i="1" s="1"/>
  <c r="Z1146" i="3"/>
  <c r="AZ507" i="2" s="1"/>
  <c r="Z1156" i="3"/>
  <c r="BI645" i="1" s="1"/>
  <c r="Z1172" i="3"/>
  <c r="AZ508" i="2" s="1"/>
  <c r="Z1173" i="3"/>
  <c r="AZ509" i="2" s="1"/>
  <c r="Z1199" i="3"/>
  <c r="AZ510" i="2" s="1"/>
  <c r="Z1174" i="3"/>
  <c r="AZ511" i="2" s="1"/>
  <c r="Z1175" i="3"/>
  <c r="AZ512" i="2" s="1"/>
  <c r="Z1171" i="3"/>
  <c r="BI649" i="1" s="1"/>
  <c r="Z1179" i="3"/>
  <c r="AZ513" i="2" s="1"/>
  <c r="Z1127" i="3"/>
  <c r="AZ514" i="2" s="1"/>
  <c r="Z1158" i="3"/>
  <c r="AZ515" i="2" s="1"/>
  <c r="Z1161" i="3"/>
  <c r="AZ516" i="2" s="1"/>
  <c r="Z1184" i="3"/>
  <c r="AZ517" i="2" s="1"/>
  <c r="Z1181" i="3"/>
  <c r="BI652" i="1" s="1"/>
  <c r="Z1183" i="3"/>
  <c r="BI653" i="1" s="1"/>
  <c r="Z1162" i="3"/>
  <c r="AZ518" i="2" s="1"/>
  <c r="Z1191" i="3"/>
  <c r="AZ519" i="2" s="1"/>
  <c r="Z1165" i="3"/>
  <c r="AZ520" i="2" s="1"/>
  <c r="Z1166" i="3"/>
  <c r="AZ521" i="2" s="1"/>
  <c r="Z1169" i="3"/>
  <c r="BI657" i="1" s="1"/>
  <c r="Z1176" i="3"/>
  <c r="BI671" i="1" s="1"/>
  <c r="Z1167" i="3"/>
  <c r="AZ522" i="2" s="1"/>
  <c r="Z1195" i="3"/>
  <c r="AZ523" i="2" s="1"/>
  <c r="Z1197" i="3"/>
  <c r="AZ524" i="2" s="1"/>
  <c r="Z1148" i="3"/>
  <c r="AZ525" i="2" s="1"/>
  <c r="Z1201" i="3"/>
  <c r="AZ526" i="2" s="1"/>
  <c r="Z1189" i="3"/>
  <c r="BI660" i="1" s="1"/>
  <c r="Z1182" i="3"/>
  <c r="AZ527" i="2" s="1"/>
  <c r="Z1206" i="3"/>
  <c r="AZ528" i="2" s="1"/>
  <c r="Z1185" i="3"/>
  <c r="AZ529" i="2" s="1"/>
  <c r="Z1186" i="3"/>
  <c r="AZ530" i="2" s="1"/>
  <c r="Z1187" i="3"/>
  <c r="AZ531" i="2" s="1"/>
  <c r="Z1203" i="3"/>
  <c r="BI661" i="1" s="1"/>
  <c r="Z1188" i="3"/>
  <c r="AZ532" i="2" s="1"/>
  <c r="Z1192" i="3"/>
  <c r="AZ533" i="2" s="1"/>
  <c r="Z1193" i="3"/>
  <c r="AZ535" i="2" s="1"/>
  <c r="Z1194" i="3"/>
  <c r="AZ534" i="2" s="1"/>
  <c r="Z1198" i="3"/>
  <c r="BI665" i="1" s="1"/>
  <c r="Z1224" i="3"/>
  <c r="AZ536" i="2" s="1"/>
  <c r="Z1200" i="3"/>
  <c r="BI667" i="1" s="1"/>
  <c r="Z1212" i="3"/>
  <c r="AZ537" i="2" s="1"/>
  <c r="Z1170" i="3"/>
  <c r="AZ538" i="2" s="1"/>
  <c r="Z1210" i="3"/>
  <c r="BI668" i="1" s="1"/>
  <c r="Z1196" i="3"/>
  <c r="BI672" i="1" s="1"/>
  <c r="Z1204" i="3"/>
  <c r="BI673" i="1" s="1"/>
  <c r="Z1202" i="3"/>
  <c r="AZ539" i="2" s="1"/>
  <c r="Z1178" i="3"/>
  <c r="AZ540" i="2" s="1"/>
  <c r="Z1180" i="3"/>
  <c r="AZ541" i="2" s="1"/>
  <c r="Z1208" i="3"/>
  <c r="BI674" i="1" s="1"/>
  <c r="Z1221" i="3"/>
  <c r="AZ542" i="2" s="1"/>
  <c r="Z1205" i="3"/>
  <c r="AZ543" i="2" s="1"/>
  <c r="Z1218" i="3"/>
  <c r="BI675" i="1" s="1"/>
  <c r="Z1209" i="3"/>
  <c r="BI669" i="1" s="1"/>
  <c r="Z1207" i="3"/>
  <c r="AZ544" i="2" s="1"/>
  <c r="Z1211" i="3"/>
  <c r="AZ545" i="2" s="1"/>
  <c r="Z1213" i="3"/>
  <c r="AZ546" i="2" s="1"/>
  <c r="Z1214" i="3"/>
  <c r="AZ547" i="2" s="1"/>
  <c r="Z1216" i="3"/>
  <c r="AZ548" i="2" s="1"/>
  <c r="Z1222" i="3"/>
  <c r="BI670" i="1" s="1"/>
  <c r="Z1228" i="3"/>
  <c r="AZ549" i="2" s="1"/>
  <c r="Z1219" i="3"/>
  <c r="AZ550" i="2" s="1"/>
  <c r="Z1223" i="3"/>
  <c r="AZ551" i="2" s="1"/>
  <c r="Z1225" i="3"/>
  <c r="AZ552" i="2" s="1"/>
  <c r="Z1226" i="3"/>
  <c r="AZ553" i="2" s="1"/>
  <c r="Z1227" i="3"/>
  <c r="AZ554" i="2" s="1"/>
  <c r="Z1215" i="3"/>
  <c r="AZ555" i="2" s="1"/>
  <c r="Z1217" i="3"/>
  <c r="AZ556" i="2" s="1"/>
  <c r="Z1220" i="3"/>
  <c r="AZ557" i="2" s="1"/>
  <c r="Z1229" i="3"/>
  <c r="AZ558" i="2" s="1"/>
  <c r="Z1230" i="3"/>
  <c r="AZ559" i="2" s="1"/>
  <c r="Z1231" i="3"/>
  <c r="AZ560" i="2" s="1"/>
  <c r="Z1232" i="3"/>
  <c r="AZ561" i="2" s="1"/>
  <c r="Z1233" i="3"/>
  <c r="AZ562" i="2" s="1"/>
  <c r="Z1234" i="3"/>
  <c r="BI676" i="1" s="1"/>
  <c r="AB5" i="3"/>
  <c r="BK5" i="1" s="1"/>
  <c r="AB6" i="3"/>
  <c r="BK6" i="1" s="1"/>
  <c r="AB7" i="3"/>
  <c r="BK7" i="1" s="1"/>
  <c r="AB8" i="3"/>
  <c r="BB5" i="2" s="1"/>
  <c r="AB9" i="3"/>
  <c r="BK8" i="1" s="1"/>
  <c r="AB10" i="3"/>
  <c r="BK9" i="1" s="1"/>
  <c r="AB14" i="3"/>
  <c r="BK10" i="1" s="1"/>
  <c r="AB11" i="3"/>
  <c r="BK11" i="1" s="1"/>
  <c r="AB12" i="3"/>
  <c r="BK12" i="1" s="1"/>
  <c r="AB13" i="3"/>
  <c r="BB6" i="2" s="1"/>
  <c r="AB15" i="3"/>
  <c r="BK13" i="1" s="1"/>
  <c r="AB16" i="3"/>
  <c r="BB7" i="2" s="1"/>
  <c r="AB20" i="3"/>
  <c r="BK14" i="1" s="1"/>
  <c r="AB17" i="3"/>
  <c r="BK15" i="1" s="1"/>
  <c r="AB23" i="3"/>
  <c r="BB8" i="2" s="1"/>
  <c r="AB18" i="3"/>
  <c r="BB9" i="2" s="1"/>
  <c r="AB21" i="3"/>
  <c r="BK16" i="1" s="1"/>
  <c r="AB22" i="3"/>
  <c r="BK17" i="1" s="1"/>
  <c r="AB27" i="3"/>
  <c r="BK18" i="1" s="1"/>
  <c r="AB19" i="3"/>
  <c r="BK19" i="1" s="1"/>
  <c r="AB25" i="3"/>
  <c r="BK20" i="1" s="1"/>
  <c r="AB26" i="3"/>
  <c r="BK21" i="1" s="1"/>
  <c r="AB28" i="3"/>
  <c r="BB10" i="2" s="1"/>
  <c r="AB31" i="3"/>
  <c r="BB11" i="2" s="1"/>
  <c r="AB24" i="3"/>
  <c r="BK22" i="1" s="1"/>
  <c r="AB30" i="3"/>
  <c r="BK23" i="1" s="1"/>
  <c r="AB29" i="3"/>
  <c r="BB12" i="2" s="1"/>
  <c r="AB38" i="3"/>
  <c r="BK24" i="1" s="1"/>
  <c r="AB33" i="3"/>
  <c r="BK25" i="1" s="1"/>
  <c r="AB34" i="3"/>
  <c r="BK26" i="1" s="1"/>
  <c r="AB35" i="3"/>
  <c r="BK27" i="1" s="1"/>
  <c r="AB36" i="3"/>
  <c r="BK28" i="1" s="1"/>
  <c r="AB32" i="3"/>
  <c r="BK29" i="1" s="1"/>
  <c r="AB40" i="3"/>
  <c r="BK30" i="1" s="1"/>
  <c r="AB37" i="3"/>
  <c r="BK31" i="1" s="1"/>
  <c r="AB42" i="3"/>
  <c r="BK32" i="1" s="1"/>
  <c r="AB43" i="3"/>
  <c r="BK33" i="1" s="1"/>
  <c r="AB46" i="3"/>
  <c r="BK34" i="1" s="1"/>
  <c r="AB41" i="3"/>
  <c r="BK35" i="1" s="1"/>
  <c r="AB44" i="3"/>
  <c r="BB13" i="2" s="1"/>
  <c r="AB49" i="3"/>
  <c r="BB14" i="2" s="1"/>
  <c r="AB50" i="3"/>
  <c r="BB15" i="2" s="1"/>
  <c r="AB47" i="3"/>
  <c r="BK36" i="1" s="1"/>
  <c r="AB48" i="3"/>
  <c r="BK37" i="1" s="1"/>
  <c r="AB45" i="3"/>
  <c r="BK38" i="1" s="1"/>
  <c r="AB52" i="3"/>
  <c r="BK39" i="1" s="1"/>
  <c r="AB51" i="3"/>
  <c r="BK40" i="1" s="1"/>
  <c r="AB39" i="3"/>
  <c r="BB16" i="2" s="1"/>
  <c r="AB55" i="3"/>
  <c r="BK41" i="1" s="1"/>
  <c r="AB56" i="3"/>
  <c r="BB17" i="2" s="1"/>
  <c r="AB53" i="3"/>
  <c r="BB18" i="2" s="1"/>
  <c r="AB54" i="3"/>
  <c r="BK42" i="1" s="1"/>
  <c r="AB63" i="3"/>
  <c r="BB19" i="2" s="1"/>
  <c r="AB64" i="3"/>
  <c r="BB20" i="2" s="1"/>
  <c r="AB65" i="3"/>
  <c r="BB21" i="2" s="1"/>
  <c r="AB59" i="3"/>
  <c r="BK43" i="1" s="1"/>
  <c r="AB69" i="3"/>
  <c r="BB23" i="2" s="1"/>
  <c r="AB70" i="3"/>
  <c r="BB26" i="2" s="1"/>
  <c r="AB71" i="3"/>
  <c r="BB27" i="2" s="1"/>
  <c r="AB72" i="3"/>
  <c r="BB25" i="2" s="1"/>
  <c r="AB73" i="3"/>
  <c r="BB22" i="2" s="1"/>
  <c r="AB74" i="3"/>
  <c r="BB29" i="2" s="1"/>
  <c r="AB75" i="3"/>
  <c r="BB24" i="2" s="1"/>
  <c r="AB76" i="3"/>
  <c r="BB28" i="2" s="1"/>
  <c r="AB77" i="3"/>
  <c r="BB30" i="2" s="1"/>
  <c r="AB58" i="3"/>
  <c r="BK44" i="1" s="1"/>
  <c r="AB61" i="3"/>
  <c r="BK45" i="1" s="1"/>
  <c r="AB66" i="3"/>
  <c r="BK46" i="1" s="1"/>
  <c r="AB62" i="3"/>
  <c r="BB31" i="2" s="1"/>
  <c r="AB57" i="3"/>
  <c r="BK47" i="1" s="1"/>
  <c r="AB60" i="3"/>
  <c r="BK48" i="1" s="1"/>
  <c r="AB78" i="3"/>
  <c r="BB32" i="2" s="1"/>
  <c r="AB79" i="3"/>
  <c r="BK49" i="1" s="1"/>
  <c r="AB80" i="3"/>
  <c r="BK50" i="1" s="1"/>
  <c r="AB67" i="3"/>
  <c r="BK51" i="1" s="1"/>
  <c r="AB68" i="3"/>
  <c r="BK52" i="1" s="1"/>
  <c r="AB81" i="3"/>
  <c r="BB35" i="2" s="1"/>
  <c r="AB82" i="3"/>
  <c r="BB46" i="2" s="1"/>
  <c r="AB83" i="3"/>
  <c r="BB34" i="2" s="1"/>
  <c r="AB84" i="3"/>
  <c r="BB36" i="2" s="1"/>
  <c r="AB85" i="3"/>
  <c r="BB37" i="2" s="1"/>
  <c r="AB86" i="3"/>
  <c r="BB44" i="2" s="1"/>
  <c r="AB87" i="3"/>
  <c r="BB33" i="2" s="1"/>
  <c r="AB88" i="3"/>
  <c r="BB38" i="2" s="1"/>
  <c r="AB89" i="3"/>
  <c r="BB39" i="2" s="1"/>
  <c r="AB90" i="3"/>
  <c r="BB41" i="2" s="1"/>
  <c r="AB91" i="3"/>
  <c r="BB43" i="2" s="1"/>
  <c r="AB92" i="3"/>
  <c r="BB40" i="2" s="1"/>
  <c r="AB93" i="3"/>
  <c r="BB42" i="2" s="1"/>
  <c r="AB94" i="3"/>
  <c r="BB45" i="2" s="1"/>
  <c r="AB96" i="3"/>
  <c r="BK53" i="1" s="1"/>
  <c r="AB97" i="3"/>
  <c r="BB47" i="2" s="1"/>
  <c r="AB98" i="3"/>
  <c r="BB49" i="2" s="1"/>
  <c r="AB99" i="3"/>
  <c r="BB48" i="2" s="1"/>
  <c r="AB100" i="3"/>
  <c r="BB50" i="2" s="1"/>
  <c r="AB113" i="3"/>
  <c r="BK54" i="1" s="1"/>
  <c r="AB101" i="3"/>
  <c r="BB51" i="2" s="1"/>
  <c r="AB102" i="3"/>
  <c r="BK55" i="1" s="1"/>
  <c r="AB111" i="3"/>
  <c r="BK56" i="1" s="1"/>
  <c r="AB117" i="3"/>
  <c r="BK77" i="1" s="1"/>
  <c r="AB112" i="3"/>
  <c r="BB52" i="2" s="1"/>
  <c r="AB95" i="3"/>
  <c r="BB53" i="2" s="1"/>
  <c r="AB116" i="3"/>
  <c r="BK57" i="1" s="1"/>
  <c r="AB118" i="3"/>
  <c r="BK58" i="1" s="1"/>
  <c r="AB123" i="3"/>
  <c r="BK59" i="1" s="1"/>
  <c r="AB103" i="3"/>
  <c r="BB57" i="2" s="1"/>
  <c r="AB104" i="3"/>
  <c r="BB56" i="2" s="1"/>
  <c r="AB105" i="3"/>
  <c r="BB54" i="2" s="1"/>
  <c r="AB106" i="3"/>
  <c r="BB58" i="2" s="1"/>
  <c r="AB107" i="3"/>
  <c r="BB55" i="2" s="1"/>
  <c r="AB108" i="3"/>
  <c r="BB59" i="2" s="1"/>
  <c r="AB109" i="3"/>
  <c r="BB60" i="2" s="1"/>
  <c r="AB119" i="3"/>
  <c r="BK60" i="1" s="1"/>
  <c r="AB150" i="3"/>
  <c r="BB61" i="2" s="1"/>
  <c r="AB115" i="3"/>
  <c r="BK61" i="1" s="1"/>
  <c r="AB121" i="3"/>
  <c r="BK62" i="1" s="1"/>
  <c r="AB128" i="3"/>
  <c r="BK63" i="1" s="1"/>
  <c r="AB140" i="3"/>
  <c r="BB62" i="2" s="1"/>
  <c r="AB124" i="3"/>
  <c r="BK64" i="1" s="1"/>
  <c r="AB133" i="3"/>
  <c r="BK65" i="1" s="1"/>
  <c r="AB125" i="3"/>
  <c r="BK66" i="1" s="1"/>
  <c r="AB126" i="3"/>
  <c r="BK67" i="1" s="1"/>
  <c r="AB134" i="3"/>
  <c r="BK68" i="1" s="1"/>
  <c r="AB114" i="3"/>
  <c r="BB63" i="2" s="1"/>
  <c r="AB127" i="3"/>
  <c r="BK69" i="1" s="1"/>
  <c r="AB130" i="3"/>
  <c r="BK70" i="1" s="1"/>
  <c r="AB158" i="3"/>
  <c r="BB64" i="2" s="1"/>
  <c r="AB132" i="3"/>
  <c r="BB65" i="2" s="1"/>
  <c r="AB149" i="3"/>
  <c r="BB66" i="2" s="1"/>
  <c r="AB110" i="3"/>
  <c r="BB67" i="2" s="1"/>
  <c r="AB153" i="3"/>
  <c r="BB68" i="2" s="1"/>
  <c r="AB120" i="3"/>
  <c r="BB69" i="2" s="1"/>
  <c r="AB136" i="3"/>
  <c r="BK71" i="1" s="1"/>
  <c r="AB137" i="3"/>
  <c r="BK72" i="1" s="1"/>
  <c r="AB138" i="3"/>
  <c r="BK73" i="1" s="1"/>
  <c r="AB139" i="3"/>
  <c r="BB70" i="2" s="1"/>
  <c r="AB131" i="3"/>
  <c r="BK74" i="1" s="1"/>
  <c r="AB122" i="3"/>
  <c r="BB71" i="2" s="1"/>
  <c r="AB142" i="3"/>
  <c r="BK75" i="1" s="1"/>
  <c r="AB129" i="3"/>
  <c r="BK76" i="1" s="1"/>
  <c r="AB156" i="3"/>
  <c r="BK78" i="1" s="1"/>
  <c r="AB152" i="3"/>
  <c r="BK79" i="1" s="1"/>
  <c r="AB151" i="3"/>
  <c r="BB72" i="2" s="1"/>
  <c r="AB143" i="3"/>
  <c r="BK80" i="1" s="1"/>
  <c r="AB145" i="3"/>
  <c r="BK81" i="1" s="1"/>
  <c r="AB135" i="3"/>
  <c r="BK82" i="1" s="1"/>
  <c r="AB166" i="3"/>
  <c r="BB73" i="2" s="1"/>
  <c r="AB154" i="3"/>
  <c r="BK83" i="1" s="1"/>
  <c r="AB155" i="3"/>
  <c r="BK84" i="1" s="1"/>
  <c r="AB165" i="3"/>
  <c r="BK85" i="1" s="1"/>
  <c r="AB141" i="3"/>
  <c r="BB74" i="2" s="1"/>
  <c r="AB157" i="3"/>
  <c r="BK86" i="1" s="1"/>
  <c r="AB188" i="3"/>
  <c r="BB75" i="2" s="1"/>
  <c r="AB144" i="3"/>
  <c r="BB76" i="2" s="1"/>
  <c r="AB146" i="3"/>
  <c r="BK87" i="1" s="1"/>
  <c r="AB147" i="3"/>
  <c r="BK88" i="1" s="1"/>
  <c r="AB173" i="3"/>
  <c r="BB77" i="2" s="1"/>
  <c r="AB192" i="3"/>
  <c r="BB78" i="2" s="1"/>
  <c r="AB148" i="3"/>
  <c r="BB79" i="2" s="1"/>
  <c r="AB159" i="3"/>
  <c r="BK89" i="1" s="1"/>
  <c r="AB169" i="3"/>
  <c r="BK108" i="1" s="1"/>
  <c r="AB163" i="3"/>
  <c r="BK90" i="1" s="1"/>
  <c r="AB161" i="3"/>
  <c r="BB80" i="2" s="1"/>
  <c r="AB164" i="3"/>
  <c r="BB81" i="2" s="1"/>
  <c r="AB178" i="3"/>
  <c r="BB82" i="2" s="1"/>
  <c r="AB167" i="3"/>
  <c r="BB83" i="2" s="1"/>
  <c r="AB184" i="3"/>
  <c r="BK91" i="1" s="1"/>
  <c r="AB175" i="3"/>
  <c r="BK92" i="1" s="1"/>
  <c r="AB168" i="3"/>
  <c r="BB84" i="2" s="1"/>
  <c r="AB177" i="3"/>
  <c r="BK93" i="1" s="1"/>
  <c r="AB162" i="3"/>
  <c r="BK94" i="1" s="1"/>
  <c r="AB171" i="3"/>
  <c r="BB85" i="2" s="1"/>
  <c r="AB172" i="3"/>
  <c r="BB86" i="2" s="1"/>
  <c r="AB174" i="3"/>
  <c r="BB87" i="2" s="1"/>
  <c r="AB194" i="3"/>
  <c r="BB89" i="2" s="1"/>
  <c r="AB195" i="3"/>
  <c r="BB88" i="2" s="1"/>
  <c r="AB160" i="3"/>
  <c r="BB90" i="2" s="1"/>
  <c r="AB176" i="3"/>
  <c r="BK95" i="1" s="1"/>
  <c r="AB179" i="3"/>
  <c r="BK96" i="1" s="1"/>
  <c r="AB200" i="3"/>
  <c r="BB91" i="2" s="1"/>
  <c r="AB181" i="3"/>
  <c r="BB92" i="2" s="1"/>
  <c r="AB182" i="3"/>
  <c r="BK97" i="1" s="1"/>
  <c r="AB201" i="3"/>
  <c r="BB93" i="2" s="1"/>
  <c r="AB202" i="3"/>
  <c r="BB94" i="2" s="1"/>
  <c r="AB203" i="3"/>
  <c r="BB95" i="2" s="1"/>
  <c r="AB205" i="3"/>
  <c r="BB96" i="2" s="1"/>
  <c r="AB185" i="3"/>
  <c r="BK98" i="1" s="1"/>
  <c r="AB207" i="3"/>
  <c r="BB97" i="2" s="1"/>
  <c r="AB198" i="3"/>
  <c r="BK99" i="1" s="1"/>
  <c r="AB209" i="3"/>
  <c r="BB98" i="2" s="1"/>
  <c r="AB187" i="3"/>
  <c r="BK100" i="1" s="1"/>
  <c r="AB170" i="3"/>
  <c r="BB99" i="2" s="1"/>
  <c r="AB210" i="3"/>
  <c r="BB100" i="2" s="1"/>
  <c r="AB189" i="3"/>
  <c r="BB101" i="2" s="1"/>
  <c r="AB211" i="3"/>
  <c r="BB102" i="2" s="1"/>
  <c r="AB212" i="3"/>
  <c r="BB103" i="2" s="1"/>
  <c r="AB190" i="3"/>
  <c r="BK101" i="1" s="1"/>
  <c r="AB255" i="3"/>
  <c r="BB104" i="2" s="1"/>
  <c r="AB183" i="3"/>
  <c r="BK102" i="1" s="1"/>
  <c r="AB193" i="3"/>
  <c r="BB105" i="2" s="1"/>
  <c r="AB196" i="3"/>
  <c r="BK103" i="1" s="1"/>
  <c r="AB197" i="3"/>
  <c r="BK104" i="1" s="1"/>
  <c r="AB180" i="3"/>
  <c r="BB106" i="2" s="1"/>
  <c r="AB242" i="3"/>
  <c r="BB107" i="2" s="1"/>
  <c r="AB204" i="3"/>
  <c r="BK105" i="1" s="1"/>
  <c r="AB223" i="3"/>
  <c r="BK106" i="1" s="1"/>
  <c r="AB224" i="3"/>
  <c r="BK107" i="1" s="1"/>
  <c r="AB206" i="3"/>
  <c r="BB108" i="2" s="1"/>
  <c r="AB186" i="3"/>
  <c r="BB109" i="2" s="1"/>
  <c r="AB272" i="3"/>
  <c r="BB110" i="2" s="1"/>
  <c r="AB213" i="3"/>
  <c r="BB111" i="2" s="1"/>
  <c r="AB214" i="3"/>
  <c r="BB112" i="2" s="1"/>
  <c r="AB215" i="3"/>
  <c r="BB113" i="2" s="1"/>
  <c r="AB216" i="3"/>
  <c r="BB116" i="2" s="1"/>
  <c r="AB217" i="3"/>
  <c r="BB114" i="2" s="1"/>
  <c r="AB218" i="3"/>
  <c r="BB115" i="2" s="1"/>
  <c r="AB219" i="3"/>
  <c r="BB118" i="2" s="1"/>
  <c r="AB220" i="3"/>
  <c r="BB117" i="2" s="1"/>
  <c r="AB191" i="3"/>
  <c r="BB119" i="2" s="1"/>
  <c r="AB222" i="3"/>
  <c r="BK109" i="1" s="1"/>
  <c r="AB225" i="3"/>
  <c r="BB121" i="2" s="1"/>
  <c r="AB226" i="3"/>
  <c r="BB120" i="2" s="1"/>
  <c r="AB208" i="3"/>
  <c r="BK110" i="1" s="1"/>
  <c r="AB227" i="3"/>
  <c r="BK135" i="1" s="1"/>
  <c r="AB228" i="3"/>
  <c r="BK111" i="1" s="1"/>
  <c r="AB229" i="3"/>
  <c r="BB122" i="2" s="1"/>
  <c r="AB230" i="3"/>
  <c r="BB123" i="2" s="1"/>
  <c r="AB199" i="3"/>
  <c r="BB124" i="2" s="1"/>
  <c r="AB231" i="3"/>
  <c r="BB125" i="2" s="1"/>
  <c r="AB245" i="3"/>
  <c r="BB126" i="2" s="1"/>
  <c r="AB246" i="3"/>
  <c r="BB127" i="2" s="1"/>
  <c r="AB268" i="3"/>
  <c r="BB128" i="2" s="1"/>
  <c r="AB247" i="3"/>
  <c r="BB129" i="2" s="1"/>
  <c r="AB262" i="3"/>
  <c r="BK112" i="1" s="1"/>
  <c r="AB250" i="3"/>
  <c r="BB130" i="2" s="1"/>
  <c r="AB251" i="3"/>
  <c r="BB131" i="2" s="1"/>
  <c r="AB252" i="3"/>
  <c r="BB132" i="2" s="1"/>
  <c r="AB265" i="3"/>
  <c r="BK113" i="1" s="1"/>
  <c r="AB253" i="3"/>
  <c r="BB133" i="2" s="1"/>
  <c r="AB221" i="3"/>
  <c r="BB134" i="2" s="1"/>
  <c r="AB256" i="3"/>
  <c r="BK114" i="1" s="1"/>
  <c r="AB257" i="3"/>
  <c r="BB135" i="2" s="1"/>
  <c r="AB284" i="3"/>
  <c r="BB136" i="2" s="1"/>
  <c r="AB288" i="3"/>
  <c r="BB137" i="2" s="1"/>
  <c r="AB258" i="3"/>
  <c r="BK115" i="1" s="1"/>
  <c r="AB248" i="3"/>
  <c r="BK116" i="1" s="1"/>
  <c r="AB269" i="3"/>
  <c r="BK139" i="1" s="1"/>
  <c r="AB259" i="3"/>
  <c r="BK117" i="1" s="1"/>
  <c r="AB260" i="3"/>
  <c r="BK118" i="1" s="1"/>
  <c r="AB232" i="3"/>
  <c r="BB143" i="2" s="1"/>
  <c r="AB233" i="3"/>
  <c r="BB146" i="2" s="1"/>
  <c r="AB234" i="3"/>
  <c r="BB138" i="2" s="1"/>
  <c r="AB235" i="3"/>
  <c r="BB140" i="2" s="1"/>
  <c r="AB236" i="3"/>
  <c r="BB142" i="2" s="1"/>
  <c r="AB237" i="3"/>
  <c r="BB144" i="2" s="1"/>
  <c r="AB238" i="3"/>
  <c r="BB145" i="2" s="1"/>
  <c r="AB239" i="3"/>
  <c r="BB147" i="2" s="1"/>
  <c r="AB240" i="3"/>
  <c r="BB139" i="2" s="1"/>
  <c r="AB241" i="3"/>
  <c r="BB141" i="2" s="1"/>
  <c r="AB280" i="3"/>
  <c r="BK119" i="1" s="1"/>
  <c r="AB254" i="3"/>
  <c r="BK120" i="1" s="1"/>
  <c r="AB243" i="3"/>
  <c r="BB148" i="2" s="1"/>
  <c r="AB244" i="3"/>
  <c r="BB149" i="2" s="1"/>
  <c r="AB267" i="3"/>
  <c r="BK121" i="1" s="1"/>
  <c r="AB285" i="3"/>
  <c r="BK122" i="1" s="1"/>
  <c r="AB287" i="3"/>
  <c r="BK123" i="1" s="1"/>
  <c r="AB270" i="3"/>
  <c r="BB150" i="2" s="1"/>
  <c r="AB271" i="3"/>
  <c r="BB151" i="2" s="1"/>
  <c r="AB273" i="3"/>
  <c r="BB152" i="2" s="1"/>
  <c r="AB263" i="3"/>
  <c r="BK154" i="1" s="1"/>
  <c r="AB275" i="3"/>
  <c r="BB153" i="2" s="1"/>
  <c r="AB274" i="3"/>
  <c r="BK124" i="1" s="1"/>
  <c r="AB276" i="3"/>
  <c r="BB154" i="2" s="1"/>
  <c r="AB278" i="3"/>
  <c r="BB155" i="2" s="1"/>
  <c r="AB264" i="3"/>
  <c r="BK125" i="1" s="1"/>
  <c r="AB279" i="3"/>
  <c r="BB156" i="2" s="1"/>
  <c r="AB306" i="3"/>
  <c r="BB157" i="2" s="1"/>
  <c r="AB281" i="3"/>
  <c r="BB158" i="2" s="1"/>
  <c r="AB266" i="3"/>
  <c r="BK126" i="1" s="1"/>
  <c r="AB309" i="3"/>
  <c r="BB159" i="2" s="1"/>
  <c r="AB286" i="3"/>
  <c r="BB160" i="2" s="1"/>
  <c r="AB290" i="3"/>
  <c r="BK127" i="1" s="1"/>
  <c r="AB292" i="3"/>
  <c r="BB161" i="2" s="1"/>
  <c r="AB293" i="3"/>
  <c r="BB162" i="2" s="1"/>
  <c r="AB291" i="3"/>
  <c r="BK128" i="1" s="1"/>
  <c r="AB304" i="3"/>
  <c r="BK129" i="1" s="1"/>
  <c r="AB277" i="3"/>
  <c r="BK130" i="1" s="1"/>
  <c r="AB317" i="3"/>
  <c r="BB163" i="2" s="1"/>
  <c r="AB305" i="3"/>
  <c r="BK131" i="1" s="1"/>
  <c r="AB294" i="3"/>
  <c r="BB164" i="2" s="1"/>
  <c r="AB322" i="3"/>
  <c r="BB165" i="2" s="1"/>
  <c r="AB323" i="3"/>
  <c r="BB166" i="2" s="1"/>
  <c r="AB282" i="3"/>
  <c r="BK132" i="1" s="1"/>
  <c r="AB295" i="3"/>
  <c r="BK133" i="1" s="1"/>
  <c r="AB327" i="3"/>
  <c r="BB167" i="2" s="1"/>
  <c r="AB297" i="3"/>
  <c r="BB168" i="2" s="1"/>
  <c r="AB372" i="3"/>
  <c r="BB169" i="2" s="1"/>
  <c r="AB299" i="3"/>
  <c r="BB170" i="2" s="1"/>
  <c r="AB249" i="3"/>
  <c r="BB171" i="2" s="1"/>
  <c r="AB300" i="3"/>
  <c r="BK134" i="1" s="1"/>
  <c r="AB302" i="3"/>
  <c r="BB172" i="2" s="1"/>
  <c r="AB331" i="3"/>
  <c r="BB173" i="2" s="1"/>
  <c r="AB315" i="3"/>
  <c r="BK136" i="1" s="1"/>
  <c r="AB283" i="3"/>
  <c r="BB174" i="2" s="1"/>
  <c r="AB310" i="3"/>
  <c r="BB175" i="2" s="1"/>
  <c r="AB311" i="3"/>
  <c r="BB176" i="2" s="1"/>
  <c r="AB312" i="3"/>
  <c r="BB177" i="2" s="1"/>
  <c r="AB347" i="3"/>
  <c r="BB178" i="2" s="1"/>
  <c r="AB289" i="3"/>
  <c r="BB179" i="2" s="1"/>
  <c r="AB261" i="3"/>
  <c r="BB180" i="2" s="1"/>
  <c r="AB314" i="3"/>
  <c r="BB181" i="2" s="1"/>
  <c r="AB357" i="3"/>
  <c r="BB182" i="2" s="1"/>
  <c r="AB318" i="3"/>
  <c r="BB183" i="2" s="1"/>
  <c r="AB321" i="3"/>
  <c r="BB184" i="2" s="1"/>
  <c r="AB296" i="3"/>
  <c r="BB185" i="2" s="1"/>
  <c r="AB319" i="3"/>
  <c r="BK137" i="1" s="1"/>
  <c r="AB329" i="3"/>
  <c r="BB186" i="2" s="1"/>
  <c r="AB298" i="3"/>
  <c r="BK138" i="1" s="1"/>
  <c r="AB352" i="3"/>
  <c r="BK140" i="1" s="1"/>
  <c r="AB303" i="3"/>
  <c r="BB187" i="2" s="1"/>
  <c r="AB381" i="3"/>
  <c r="BB188" i="2" s="1"/>
  <c r="AB353" i="3"/>
  <c r="BK141" i="1" s="1"/>
  <c r="AB356" i="3"/>
  <c r="BK142" i="1" s="1"/>
  <c r="AB335" i="3"/>
  <c r="BB189" i="2" s="1"/>
  <c r="AB336" i="3"/>
  <c r="BB190" i="2" s="1"/>
  <c r="AB334" i="3"/>
  <c r="BK143" i="1" s="1"/>
  <c r="AB338" i="3"/>
  <c r="BB191" i="2" s="1"/>
  <c r="AB339" i="3"/>
  <c r="BB192" i="2" s="1"/>
  <c r="AB337" i="3"/>
  <c r="BK144" i="1" s="1"/>
  <c r="AB340" i="3"/>
  <c r="BB193" i="2" s="1"/>
  <c r="AB307" i="3"/>
  <c r="BB194" i="2" s="1"/>
  <c r="AB308" i="3"/>
  <c r="BB195" i="2" s="1"/>
  <c r="AB341" i="3"/>
  <c r="BB196" i="2" s="1"/>
  <c r="AB342" i="3"/>
  <c r="BB197" i="2" s="1"/>
  <c r="AB343" i="3"/>
  <c r="BB198" i="2" s="1"/>
  <c r="AB345" i="3"/>
  <c r="BB199" i="2" s="1"/>
  <c r="AB344" i="3"/>
  <c r="BK145" i="1" s="1"/>
  <c r="AB346" i="3"/>
  <c r="BB200" i="2" s="1"/>
  <c r="AB326" i="3"/>
  <c r="BK146" i="1" s="1"/>
  <c r="AB389" i="3"/>
  <c r="BB201" i="2" s="1"/>
  <c r="AB313" i="3"/>
  <c r="BB202" i="2" s="1"/>
  <c r="AB348" i="3"/>
  <c r="BB203" i="2" s="1"/>
  <c r="AB350" i="3"/>
  <c r="BB204" i="2" s="1"/>
  <c r="AB330" i="3"/>
  <c r="BK147" i="1" s="1"/>
  <c r="AB373" i="3"/>
  <c r="BK148" i="1" s="1"/>
  <c r="AB351" i="3"/>
  <c r="BK149" i="1" s="1"/>
  <c r="AB378" i="3"/>
  <c r="BK150" i="1" s="1"/>
  <c r="AB379" i="3"/>
  <c r="BK151" i="1" s="1"/>
  <c r="AB354" i="3"/>
  <c r="BB205" i="2" s="1"/>
  <c r="AB332" i="3"/>
  <c r="BK152" i="1" s="1"/>
  <c r="AB316" i="3"/>
  <c r="BK153" i="1" s="1"/>
  <c r="AB358" i="3"/>
  <c r="BK155" i="1" s="1"/>
  <c r="AB359" i="3"/>
  <c r="BK156" i="1" s="1"/>
  <c r="AB324" i="3"/>
  <c r="BB206" i="2" s="1"/>
  <c r="AB365" i="3"/>
  <c r="BB207" i="2" s="1"/>
  <c r="AB367" i="3"/>
  <c r="BB208" i="2" s="1"/>
  <c r="AB368" i="3"/>
  <c r="BB209" i="2" s="1"/>
  <c r="AB328" i="3"/>
  <c r="BB210" i="2" s="1"/>
  <c r="AB366" i="3"/>
  <c r="BK157" i="1" s="1"/>
  <c r="AB369" i="3"/>
  <c r="BK158" i="1" s="1"/>
  <c r="AB370" i="3"/>
  <c r="BK159" i="1" s="1"/>
  <c r="AB386" i="3"/>
  <c r="BK160" i="1" s="1"/>
  <c r="AB390" i="3"/>
  <c r="BK161" i="1" s="1"/>
  <c r="AB301" i="3"/>
  <c r="BB211" i="2" s="1"/>
  <c r="AB391" i="3"/>
  <c r="BK162" i="1" s="1"/>
  <c r="AB382" i="3"/>
  <c r="BB212" i="2" s="1"/>
  <c r="AB418" i="3"/>
  <c r="BB213" i="2" s="1"/>
  <c r="AB383" i="3"/>
  <c r="BK163" i="1" s="1"/>
  <c r="AB360" i="3"/>
  <c r="BK164" i="1" s="1"/>
  <c r="AB384" i="3"/>
  <c r="BK165" i="1" s="1"/>
  <c r="AB402" i="3"/>
  <c r="BK166" i="1" s="1"/>
  <c r="AB371" i="3"/>
  <c r="BK167" i="1" s="1"/>
  <c r="AB428" i="3"/>
  <c r="BB214" i="2" s="1"/>
  <c r="AB387" i="3"/>
  <c r="BK168" i="1" s="1"/>
  <c r="AB349" i="3"/>
  <c r="BB215" i="2" s="1"/>
  <c r="AB394" i="3"/>
  <c r="BB216" i="2" s="1"/>
  <c r="AB395" i="3"/>
  <c r="BB217" i="2" s="1"/>
  <c r="AB355" i="3"/>
  <c r="BB218" i="2" s="1"/>
  <c r="AB412" i="3"/>
  <c r="BK169" i="1" s="1"/>
  <c r="AB375" i="3"/>
  <c r="BK170" i="1" s="1"/>
  <c r="AB414" i="3"/>
  <c r="BK171" i="1" s="1"/>
  <c r="AB377" i="3"/>
  <c r="BK172" i="1" s="1"/>
  <c r="AB380" i="3"/>
  <c r="BK173" i="1" s="1"/>
  <c r="AB396" i="3"/>
  <c r="BK174" i="1" s="1"/>
  <c r="AB397" i="3"/>
  <c r="BK175" i="1" s="1"/>
  <c r="AB438" i="3"/>
  <c r="BB219" i="2" s="1"/>
  <c r="AB361" i="3"/>
  <c r="BB220" i="2" s="1"/>
  <c r="AB362" i="3"/>
  <c r="BB221" i="2" s="1"/>
  <c r="AB363" i="3"/>
  <c r="BB222" i="2" s="1"/>
  <c r="AB320" i="3"/>
  <c r="BB223" i="2" s="1"/>
  <c r="AB364" i="3"/>
  <c r="BB224" i="2" s="1"/>
  <c r="AB403" i="3"/>
  <c r="BB225" i="2" s="1"/>
  <c r="AB325" i="3"/>
  <c r="BB226" i="2" s="1"/>
  <c r="AB423" i="3"/>
  <c r="BK235" i="1" s="1"/>
  <c r="AB385" i="3"/>
  <c r="BK176" i="1" s="1"/>
  <c r="AB405" i="3"/>
  <c r="BB227" i="2" s="1"/>
  <c r="AB407" i="3"/>
  <c r="BB228" i="2" s="1"/>
  <c r="AB408" i="3"/>
  <c r="BB229" i="2" s="1"/>
  <c r="AB388" i="3"/>
  <c r="BK177" i="1" s="1"/>
  <c r="AB374" i="3"/>
  <c r="BB230" i="2" s="1"/>
  <c r="AB333" i="3"/>
  <c r="BB231" i="2" s="1"/>
  <c r="AB411" i="3"/>
  <c r="BK178" i="1" s="1"/>
  <c r="AB415" i="3"/>
  <c r="BK179" i="1" s="1"/>
  <c r="AB417" i="3"/>
  <c r="BK180" i="1" s="1"/>
  <c r="AB461" i="3"/>
  <c r="BB232" i="2" s="1"/>
  <c r="AB398" i="3"/>
  <c r="BK181" i="1" s="1"/>
  <c r="AB420" i="3"/>
  <c r="BK182" i="1" s="1"/>
  <c r="AB401" i="3"/>
  <c r="BK183" i="1" s="1"/>
  <c r="AB426" i="3"/>
  <c r="BB233" i="2" s="1"/>
  <c r="AB442" i="3"/>
  <c r="BK184" i="1" s="1"/>
  <c r="AB470" i="3"/>
  <c r="BK185" i="1" s="1"/>
  <c r="AB406" i="3"/>
  <c r="BK186" i="1" s="1"/>
  <c r="AB427" i="3"/>
  <c r="BK187" i="1" s="1"/>
  <c r="AB392" i="3"/>
  <c r="BB234" i="2" s="1"/>
  <c r="AB430" i="3"/>
  <c r="BK188" i="1" s="1"/>
  <c r="AB410" i="3"/>
  <c r="BK189" i="1" s="1"/>
  <c r="AB433" i="3"/>
  <c r="BB235" i="2" s="1"/>
  <c r="AB435" i="3"/>
  <c r="BB236" i="2" s="1"/>
  <c r="AB432" i="3"/>
  <c r="BK267" i="1" s="1"/>
  <c r="AB474" i="3"/>
  <c r="BB237" i="2" s="1"/>
  <c r="AB436" i="3"/>
  <c r="BB238" i="2" s="1"/>
  <c r="AB393" i="3"/>
  <c r="BK190" i="1" s="1"/>
  <c r="AB416" i="3"/>
  <c r="BK191" i="1" s="1"/>
  <c r="AB475" i="3"/>
  <c r="BB239" i="2" s="1"/>
  <c r="AB439" i="3"/>
  <c r="BB240" i="2" s="1"/>
  <c r="AB476" i="3"/>
  <c r="BB241" i="2" s="1"/>
  <c r="AB400" i="3"/>
  <c r="BB242" i="2" s="1"/>
  <c r="AB441" i="3"/>
  <c r="BB243" i="2" s="1"/>
  <c r="AB460" i="3"/>
  <c r="BK192" i="1" s="1"/>
  <c r="AB419" i="3"/>
  <c r="BK193" i="1" s="1"/>
  <c r="AB443" i="3"/>
  <c r="BB244" i="2" s="1"/>
  <c r="AB421" i="3"/>
  <c r="BK194" i="1" s="1"/>
  <c r="AB399" i="3"/>
  <c r="BK195" i="1" s="1"/>
  <c r="AB404" i="3"/>
  <c r="BB245" i="2" s="1"/>
  <c r="AB422" i="3"/>
  <c r="BK196" i="1" s="1"/>
  <c r="AB424" i="3"/>
  <c r="BK197" i="1" s="1"/>
  <c r="AB445" i="3"/>
  <c r="BK198" i="1" s="1"/>
  <c r="AB492" i="3"/>
  <c r="BB246" i="2" s="1"/>
  <c r="AB447" i="3"/>
  <c r="BK199" i="1" s="1"/>
  <c r="AB472" i="3"/>
  <c r="BK200" i="1" s="1"/>
  <c r="AB376" i="3"/>
  <c r="BB247" i="2" s="1"/>
  <c r="AB452" i="3"/>
  <c r="BB248" i="2" s="1"/>
  <c r="AB413" i="3"/>
  <c r="BB249" i="2" s="1"/>
  <c r="AB454" i="3"/>
  <c r="BB250" i="2" s="1"/>
  <c r="AB453" i="3"/>
  <c r="BK201" i="1" s="1"/>
  <c r="AB434" i="3"/>
  <c r="BK202" i="1" s="1"/>
  <c r="AB456" i="3"/>
  <c r="BK303" i="1" s="1"/>
  <c r="AB582" i="3"/>
  <c r="BB251" i="2" s="1"/>
  <c r="AB437" i="3"/>
  <c r="BK203" i="1" s="1"/>
  <c r="AB462" i="3"/>
  <c r="BB252" i="2" s="1"/>
  <c r="AB463" i="3"/>
  <c r="BB253" i="2" s="1"/>
  <c r="AB425" i="3"/>
  <c r="BB254" i="2" s="1"/>
  <c r="AB483" i="3"/>
  <c r="BK204" i="1" s="1"/>
  <c r="AB466" i="3"/>
  <c r="BK205" i="1" s="1"/>
  <c r="AB429" i="3"/>
  <c r="BB255" i="2" s="1"/>
  <c r="AB471" i="3"/>
  <c r="BB256" i="2" s="1"/>
  <c r="AB431" i="3"/>
  <c r="BB257" i="2" s="1"/>
  <c r="AB448" i="3"/>
  <c r="BK206" i="1" s="1"/>
  <c r="AB531" i="3"/>
  <c r="BB258" i="2" s="1"/>
  <c r="AB500" i="3"/>
  <c r="BK207" i="1" s="1"/>
  <c r="AB473" i="3"/>
  <c r="BK208" i="1" s="1"/>
  <c r="AB440" i="3"/>
  <c r="BB259" i="2" s="1"/>
  <c r="AB507" i="3"/>
  <c r="BK209" i="1" s="1"/>
  <c r="AB444" i="3"/>
  <c r="BB260" i="2" s="1"/>
  <c r="AB480" i="3"/>
  <c r="BK210" i="1" s="1"/>
  <c r="AB634" i="3"/>
  <c r="BB261" i="2" s="1"/>
  <c r="AB512" i="3"/>
  <c r="BK331" i="1" s="1"/>
  <c r="AB446" i="3"/>
  <c r="BB262" i="2" s="1"/>
  <c r="AB489" i="3"/>
  <c r="BB263" i="2" s="1"/>
  <c r="AB484" i="3"/>
  <c r="BK211" i="1" s="1"/>
  <c r="AB487" i="3"/>
  <c r="BK212" i="1" s="1"/>
  <c r="AB513" i="3"/>
  <c r="BK213" i="1" s="1"/>
  <c r="AB468" i="3"/>
  <c r="BK333" i="1" s="1"/>
  <c r="AB409" i="3"/>
  <c r="BB264" i="2" s="1"/>
  <c r="AB488" i="3"/>
  <c r="BK214" i="1" s="1"/>
  <c r="AB465" i="3"/>
  <c r="BK215" i="1" s="1"/>
  <c r="AB467" i="3"/>
  <c r="BK216" i="1" s="1"/>
  <c r="AB516" i="3"/>
  <c r="BK217" i="1" s="1"/>
  <c r="AB450" i="3"/>
  <c r="BB265" i="2" s="1"/>
  <c r="AB520" i="3"/>
  <c r="BK218" i="1" s="1"/>
  <c r="AB495" i="3"/>
  <c r="BB266" i="2" s="1"/>
  <c r="AB451" i="3"/>
  <c r="BB267" i="2" s="1"/>
  <c r="AB493" i="3"/>
  <c r="BK219" i="1" s="1"/>
  <c r="AB497" i="3"/>
  <c r="BB268" i="2" s="1"/>
  <c r="AB522" i="3"/>
  <c r="BK220" i="1" s="1"/>
  <c r="AB502" i="3"/>
  <c r="BB269" i="2" s="1"/>
  <c r="AB573" i="3"/>
  <c r="BB270" i="2" s="1"/>
  <c r="AB576" i="3"/>
  <c r="BB271" i="2" s="1"/>
  <c r="AB455" i="3"/>
  <c r="BB272" i="2" s="1"/>
  <c r="AB577" i="3"/>
  <c r="BB273" i="2" s="1"/>
  <c r="AB499" i="3"/>
  <c r="BK221" i="1" s="1"/>
  <c r="AB528" i="3"/>
  <c r="BK222" i="1" s="1"/>
  <c r="AB658" i="3"/>
  <c r="BB274" i="2" s="1"/>
  <c r="AB575" i="3"/>
  <c r="BK223" i="1" s="1"/>
  <c r="AB501" i="3"/>
  <c r="BK224" i="1" s="1"/>
  <c r="AB457" i="3"/>
  <c r="BB275" i="2" s="1"/>
  <c r="AB458" i="3"/>
  <c r="BB276" i="2" s="1"/>
  <c r="AB459" i="3"/>
  <c r="BB277" i="2" s="1"/>
  <c r="AB583" i="3"/>
  <c r="BK225" i="1" s="1"/>
  <c r="AB508" i="3"/>
  <c r="BK226" i="1" s="1"/>
  <c r="AB477" i="3"/>
  <c r="BK227" i="1" s="1"/>
  <c r="AB540" i="3"/>
  <c r="BK228" i="1" s="1"/>
  <c r="AB478" i="3"/>
  <c r="BK229" i="1" s="1"/>
  <c r="AB479" i="3"/>
  <c r="BK230" i="1" s="1"/>
  <c r="AB464" i="3"/>
  <c r="BB278" i="2" s="1"/>
  <c r="AB482" i="3"/>
  <c r="BK353" i="1" s="1"/>
  <c r="AB549" i="3"/>
  <c r="BK231" i="1" s="1"/>
  <c r="AB514" i="3"/>
  <c r="BB279" i="2" s="1"/>
  <c r="AB552" i="3"/>
  <c r="BK232" i="1" s="1"/>
  <c r="AB553" i="3"/>
  <c r="BK233" i="1" s="1"/>
  <c r="AB485" i="3"/>
  <c r="BK234" i="1" s="1"/>
  <c r="AB603" i="3"/>
  <c r="BB280" i="2" s="1"/>
  <c r="AB515" i="3"/>
  <c r="BK236" i="1" s="1"/>
  <c r="AB559" i="3"/>
  <c r="BK359" i="1" s="1"/>
  <c r="AB490" i="3"/>
  <c r="BK237" i="1" s="1"/>
  <c r="AB491" i="3"/>
  <c r="BK238" i="1" s="1"/>
  <c r="AB519" i="3"/>
  <c r="BK239" i="1" s="1"/>
  <c r="AB523" i="3"/>
  <c r="BK240" i="1" s="1"/>
  <c r="AB494" i="3"/>
  <c r="BK241" i="1" s="1"/>
  <c r="AB568" i="3"/>
  <c r="BK242" i="1" s="1"/>
  <c r="AB496" i="3"/>
  <c r="BK243" i="1" s="1"/>
  <c r="AB688" i="3"/>
  <c r="BB281" i="2" s="1"/>
  <c r="AB498" i="3"/>
  <c r="BK244" i="1" s="1"/>
  <c r="AB527" i="3"/>
  <c r="BK245" i="1" s="1"/>
  <c r="AB536" i="3"/>
  <c r="BB282" i="2" s="1"/>
  <c r="AB530" i="3"/>
  <c r="BK246" i="1" s="1"/>
  <c r="AB503" i="3"/>
  <c r="BK247" i="1" s="1"/>
  <c r="AB481" i="3"/>
  <c r="BB283" i="2" s="1"/>
  <c r="AB534" i="3"/>
  <c r="BK248" i="1" s="1"/>
  <c r="AB505" i="3"/>
  <c r="BK249" i="1" s="1"/>
  <c r="AB535" i="3"/>
  <c r="BK250" i="1" s="1"/>
  <c r="AB544" i="3"/>
  <c r="BB284" i="2" s="1"/>
  <c r="AB545" i="3"/>
  <c r="BB285" i="2" s="1"/>
  <c r="AB632" i="3"/>
  <c r="BB286" i="2" s="1"/>
  <c r="AB509" i="3"/>
  <c r="BK251" i="1" s="1"/>
  <c r="AB538" i="3"/>
  <c r="BK252" i="1" s="1"/>
  <c r="AB486" i="3"/>
  <c r="BB287" i="2" s="1"/>
  <c r="AB539" i="3"/>
  <c r="BK253" i="1" s="1"/>
  <c r="AB542" i="3"/>
  <c r="BK254" i="1" s="1"/>
  <c r="AB551" i="3"/>
  <c r="BK370" i="1" s="1"/>
  <c r="AB548" i="3"/>
  <c r="BK255" i="1" s="1"/>
  <c r="AB556" i="3"/>
  <c r="BB288" i="2" s="1"/>
  <c r="AB557" i="3"/>
  <c r="BB289" i="2" s="1"/>
  <c r="AB511" i="3"/>
  <c r="BK256" i="1" s="1"/>
  <c r="AB554" i="3"/>
  <c r="BK257" i="1" s="1"/>
  <c r="AB561" i="3"/>
  <c r="BB290" i="2" s="1"/>
  <c r="AB449" i="3"/>
  <c r="BB291" i="2" s="1"/>
  <c r="AB558" i="3"/>
  <c r="BK258" i="1" s="1"/>
  <c r="AB560" i="3"/>
  <c r="BK379" i="1" s="1"/>
  <c r="AB562" i="3"/>
  <c r="BK259" i="1" s="1"/>
  <c r="AB569" i="3"/>
  <c r="BB292" i="2" s="1"/>
  <c r="AB570" i="3"/>
  <c r="BB293" i="2" s="1"/>
  <c r="AB521" i="3"/>
  <c r="BK260" i="1" s="1"/>
  <c r="AB564" i="3"/>
  <c r="BK261" i="1" s="1"/>
  <c r="AB651" i="3"/>
  <c r="BK262" i="1" s="1"/>
  <c r="AB524" i="3"/>
  <c r="BK263" i="1" s="1"/>
  <c r="AB614" i="3"/>
  <c r="BK264" i="1" s="1"/>
  <c r="AB567" i="3"/>
  <c r="BK265" i="1" s="1"/>
  <c r="AB572" i="3"/>
  <c r="BK266" i="1" s="1"/>
  <c r="AB506" i="3"/>
  <c r="BK387" i="1" s="1"/>
  <c r="AB664" i="3"/>
  <c r="BB294" i="2" s="1"/>
  <c r="AB532" i="3"/>
  <c r="BK268" i="1" s="1"/>
  <c r="AB533" i="3"/>
  <c r="BK269" i="1" s="1"/>
  <c r="AB584" i="3"/>
  <c r="BK270" i="1" s="1"/>
  <c r="AB585" i="3"/>
  <c r="BK271" i="1" s="1"/>
  <c r="AB586" i="3"/>
  <c r="BK272" i="1" s="1"/>
  <c r="AB627" i="3"/>
  <c r="BK273" i="1" s="1"/>
  <c r="AB537" i="3"/>
  <c r="BK274" i="1" s="1"/>
  <c r="AB589" i="3"/>
  <c r="BK275" i="1" s="1"/>
  <c r="AB590" i="3"/>
  <c r="BK276" i="1" s="1"/>
  <c r="AB510" i="3"/>
  <c r="BK277" i="1" s="1"/>
  <c r="AB541" i="3"/>
  <c r="BK278" i="1" s="1"/>
  <c r="AB597" i="3"/>
  <c r="BK279" i="1" s="1"/>
  <c r="AB601" i="3"/>
  <c r="BB295" i="2" s="1"/>
  <c r="AB546" i="3"/>
  <c r="BK280" i="1" s="1"/>
  <c r="AB469" i="3"/>
  <c r="BB296" i="2" s="1"/>
  <c r="AB517" i="3"/>
  <c r="BB297" i="2" s="1"/>
  <c r="AB547" i="3"/>
  <c r="BK281" i="1" s="1"/>
  <c r="AB518" i="3"/>
  <c r="BB298" i="2" s="1"/>
  <c r="AB675" i="3"/>
  <c r="BB299" i="2" s="1"/>
  <c r="AB637" i="3"/>
  <c r="BK282" i="1" s="1"/>
  <c r="AB638" i="3"/>
  <c r="BK283" i="1" s="1"/>
  <c r="AB555" i="3"/>
  <c r="BK284" i="1" s="1"/>
  <c r="AB612" i="3"/>
  <c r="BB300" i="2" s="1"/>
  <c r="AB525" i="3"/>
  <c r="BB301" i="2" s="1"/>
  <c r="AB604" i="3"/>
  <c r="BK285" i="1" s="1"/>
  <c r="AB607" i="3"/>
  <c r="BK395" i="1" s="1"/>
  <c r="AB608" i="3"/>
  <c r="BK396" i="1" s="1"/>
  <c r="AB609" i="3"/>
  <c r="BK397" i="1" s="1"/>
  <c r="AB605" i="3"/>
  <c r="BK286" i="1" s="1"/>
  <c r="AB526" i="3"/>
  <c r="BB302" i="2" s="1"/>
  <c r="AB606" i="3"/>
  <c r="BK287" i="1" s="1"/>
  <c r="AB649" i="3"/>
  <c r="BK400" i="1" s="1"/>
  <c r="AB610" i="3"/>
  <c r="BK288" i="1" s="1"/>
  <c r="AB611" i="3"/>
  <c r="BK289" i="1" s="1"/>
  <c r="AB529" i="3"/>
  <c r="BB303" i="2" s="1"/>
  <c r="AB617" i="3"/>
  <c r="BB304" i="2" s="1"/>
  <c r="AB683" i="3"/>
  <c r="BB305" i="2" s="1"/>
  <c r="AB686" i="3"/>
  <c r="BB306" i="2" s="1"/>
  <c r="AB563" i="3"/>
  <c r="BK290" i="1" s="1"/>
  <c r="AB652" i="3"/>
  <c r="BK403" i="1" s="1"/>
  <c r="AB613" i="3"/>
  <c r="BK291" i="1" s="1"/>
  <c r="AB565" i="3"/>
  <c r="BK292" i="1" s="1"/>
  <c r="AB566" i="3"/>
  <c r="BK293" i="1" s="1"/>
  <c r="AB615" i="3"/>
  <c r="BK294" i="1" s="1"/>
  <c r="AB616" i="3"/>
  <c r="BK295" i="1" s="1"/>
  <c r="AB620" i="3"/>
  <c r="BK409" i="1" s="1"/>
  <c r="AB693" i="3"/>
  <c r="BB307" i="2" s="1"/>
  <c r="AB625" i="3"/>
  <c r="BB308" i="2" s="1"/>
  <c r="AB619" i="3"/>
  <c r="BK296" i="1" s="1"/>
  <c r="AB574" i="3"/>
  <c r="BK297" i="1" s="1"/>
  <c r="AB657" i="3"/>
  <c r="BK298" i="1" s="1"/>
  <c r="AB696" i="3"/>
  <c r="BB309" i="2" s="1"/>
  <c r="AB791" i="3"/>
  <c r="BB310" i="2" s="1"/>
  <c r="AB622" i="3"/>
  <c r="BK299" i="1" s="1"/>
  <c r="AB579" i="3"/>
  <c r="BK300" i="1" s="1"/>
  <c r="AB580" i="3"/>
  <c r="BK301" i="1" s="1"/>
  <c r="AB628" i="3"/>
  <c r="BB311" i="2" s="1"/>
  <c r="AB629" i="3"/>
  <c r="BB312" i="2" s="1"/>
  <c r="AB623" i="3"/>
  <c r="BK302" i="1" s="1"/>
  <c r="AB701" i="3"/>
  <c r="BB313" i="2" s="1"/>
  <c r="AB633" i="3"/>
  <c r="BB314" i="2" s="1"/>
  <c r="AB550" i="3"/>
  <c r="BB315" i="2" s="1"/>
  <c r="AB594" i="3"/>
  <c r="BK414" i="1" s="1"/>
  <c r="AB626" i="3"/>
  <c r="BK304" i="1" s="1"/>
  <c r="AB588" i="3"/>
  <c r="BK305" i="1" s="1"/>
  <c r="AB543" i="3"/>
  <c r="BK419" i="1" s="1"/>
  <c r="AB596" i="3"/>
  <c r="BK421" i="1" s="1"/>
  <c r="AB591" i="3"/>
  <c r="BK306" i="1" s="1"/>
  <c r="AB592" i="3"/>
  <c r="BK307" i="1" s="1"/>
  <c r="AB593" i="3"/>
  <c r="BK308" i="1" s="1"/>
  <c r="AB640" i="3"/>
  <c r="BB316" i="2" s="1"/>
  <c r="AB631" i="3"/>
  <c r="BK309" i="1" s="1"/>
  <c r="AB665" i="3"/>
  <c r="BK310" i="1" s="1"/>
  <c r="AB706" i="3"/>
  <c r="BK311" i="1" s="1"/>
  <c r="AB642" i="3"/>
  <c r="BB317" i="2" s="1"/>
  <c r="AB800" i="3"/>
  <c r="BB318" i="2" s="1"/>
  <c r="AB644" i="3"/>
  <c r="BB319" i="2" s="1"/>
  <c r="AB598" i="3"/>
  <c r="BK312" i="1" s="1"/>
  <c r="AB599" i="3"/>
  <c r="BK313" i="1" s="1"/>
  <c r="AB639" i="3"/>
  <c r="BK314" i="1" s="1"/>
  <c r="AB641" i="3"/>
  <c r="BK315" i="1" s="1"/>
  <c r="AB643" i="3"/>
  <c r="BK316" i="1" s="1"/>
  <c r="AB645" i="3"/>
  <c r="BK317" i="1" s="1"/>
  <c r="AB678" i="3"/>
  <c r="BK318" i="1" s="1"/>
  <c r="AB602" i="3"/>
  <c r="BK319" i="1" s="1"/>
  <c r="AB818" i="3"/>
  <c r="BB320" i="2" s="1"/>
  <c r="AB504" i="3"/>
  <c r="BB321" i="2" s="1"/>
  <c r="AB650" i="3"/>
  <c r="BK320" i="1" s="1"/>
  <c r="AB741" i="3"/>
  <c r="BB322" i="2" s="1"/>
  <c r="AB682" i="3"/>
  <c r="BK321" i="1" s="1"/>
  <c r="AB747" i="3"/>
  <c r="BB323" i="2" s="1"/>
  <c r="AB653" i="3"/>
  <c r="BK322" i="1" s="1"/>
  <c r="AB587" i="3"/>
  <c r="BB324" i="2" s="1"/>
  <c r="AB571" i="3"/>
  <c r="BK323" i="1" s="1"/>
  <c r="AB660" i="3"/>
  <c r="BK438" i="1" s="1"/>
  <c r="AB595" i="3"/>
  <c r="BB325" i="2" s="1"/>
  <c r="AB578" i="3"/>
  <c r="BK324" i="1" s="1"/>
  <c r="AB661" i="3"/>
  <c r="BK325" i="1" s="1"/>
  <c r="AB662" i="3"/>
  <c r="BK326" i="1" s="1"/>
  <c r="AB600" i="3"/>
  <c r="BB326" i="2" s="1"/>
  <c r="AB697" i="3"/>
  <c r="BK327" i="1" s="1"/>
  <c r="AB668" i="3"/>
  <c r="BB327" i="2" s="1"/>
  <c r="AB700" i="3"/>
  <c r="BK446" i="1" s="1"/>
  <c r="AB670" i="3"/>
  <c r="BB328" i="2" s="1"/>
  <c r="AB635" i="3"/>
  <c r="BK449" i="1" s="1"/>
  <c r="AB630" i="3"/>
  <c r="BK328" i="1" s="1"/>
  <c r="AB666" i="3"/>
  <c r="BK329" i="1" s="1"/>
  <c r="AB669" i="3"/>
  <c r="BK330" i="1" s="1"/>
  <c r="AB636" i="3"/>
  <c r="BK332" i="1" s="1"/>
  <c r="AB673" i="3"/>
  <c r="BK452" i="1" s="1"/>
  <c r="AB648" i="3"/>
  <c r="BK453" i="1" s="1"/>
  <c r="AB646" i="3"/>
  <c r="BK334" i="1" s="1"/>
  <c r="AB726" i="3"/>
  <c r="BK335" i="1" s="1"/>
  <c r="AB729" i="3"/>
  <c r="BK336" i="1" s="1"/>
  <c r="AB684" i="3"/>
  <c r="BB330" i="2" s="1"/>
  <c r="AB685" i="3"/>
  <c r="BB329" i="2" s="1"/>
  <c r="AB679" i="3"/>
  <c r="BK337" i="1" s="1"/>
  <c r="AB733" i="3"/>
  <c r="BK456" i="1" s="1"/>
  <c r="AB780" i="3"/>
  <c r="BB331" i="2" s="1"/>
  <c r="AB734" i="3"/>
  <c r="BK338" i="1" s="1"/>
  <c r="AB681" i="3"/>
  <c r="BK339" i="1" s="1"/>
  <c r="AB740" i="3"/>
  <c r="BK340" i="1" s="1"/>
  <c r="AB654" i="3"/>
  <c r="BK341" i="1" s="1"/>
  <c r="AB618" i="3"/>
  <c r="BK342" i="1" s="1"/>
  <c r="AB742" i="3"/>
  <c r="BK343" i="1" s="1"/>
  <c r="AB655" i="3"/>
  <c r="BK344" i="1" s="1"/>
  <c r="AB656" i="3"/>
  <c r="BK345" i="1" s="1"/>
  <c r="AB689" i="3"/>
  <c r="BK346" i="1" s="1"/>
  <c r="AB798" i="3"/>
  <c r="BB332" i="2" s="1"/>
  <c r="AB621" i="3"/>
  <c r="BK347" i="1" s="1"/>
  <c r="AB692" i="3"/>
  <c r="BK348" i="1" s="1"/>
  <c r="AB751" i="3"/>
  <c r="BK467" i="1" s="1"/>
  <c r="AB624" i="3"/>
  <c r="BK349" i="1" s="1"/>
  <c r="AB797" i="3"/>
  <c r="BK350" i="1" s="1"/>
  <c r="AB702" i="3"/>
  <c r="BK470" i="1" s="1"/>
  <c r="AB710" i="3"/>
  <c r="BB333" i="2" s="1"/>
  <c r="AB647" i="3"/>
  <c r="BB334" i="2" s="1"/>
  <c r="AB707" i="3"/>
  <c r="BK351" i="1" s="1"/>
  <c r="AB667" i="3"/>
  <c r="BK352" i="1" s="1"/>
  <c r="AB721" i="3"/>
  <c r="BB335" i="2" s="1"/>
  <c r="AB724" i="3"/>
  <c r="BB336" i="2" s="1"/>
  <c r="AB713" i="3"/>
  <c r="BK475" i="1" s="1"/>
  <c r="AB725" i="3"/>
  <c r="BB337" i="2" s="1"/>
  <c r="AB727" i="3"/>
  <c r="BB338" i="2" s="1"/>
  <c r="AB728" i="3"/>
  <c r="BB339" i="2" s="1"/>
  <c r="AB674" i="3"/>
  <c r="BK476" i="1" s="1"/>
  <c r="AB715" i="3"/>
  <c r="BK478" i="1" s="1"/>
  <c r="AB672" i="3"/>
  <c r="BK354" i="1" s="1"/>
  <c r="AB819" i="3"/>
  <c r="BB340" i="2" s="1"/>
  <c r="AB722" i="3"/>
  <c r="BK481" i="1" s="1"/>
  <c r="AB821" i="3"/>
  <c r="BB341" i="2" s="1"/>
  <c r="AB735" i="3"/>
  <c r="BB342" i="2" s="1"/>
  <c r="AB737" i="3"/>
  <c r="BB343" i="2" s="1"/>
  <c r="AB717" i="3"/>
  <c r="BK355" i="1" s="1"/>
  <c r="AB718" i="3"/>
  <c r="BK356" i="1" s="1"/>
  <c r="AB719" i="3"/>
  <c r="BK357" i="1" s="1"/>
  <c r="AB677" i="3"/>
  <c r="BK358" i="1" s="1"/>
  <c r="AB825" i="3"/>
  <c r="BB344" i="2" s="1"/>
  <c r="AB769" i="3"/>
  <c r="BK360" i="1" s="1"/>
  <c r="AB817" i="3"/>
  <c r="BK484" i="1" s="1"/>
  <c r="AB581" i="3"/>
  <c r="BB345" i="2" s="1"/>
  <c r="AB680" i="3"/>
  <c r="BK485" i="1" s="1"/>
  <c r="AB743" i="3"/>
  <c r="BB346" i="2" s="1"/>
  <c r="AB744" i="3"/>
  <c r="BB347" i="2" s="1"/>
  <c r="AB746" i="3"/>
  <c r="BB348" i="2" s="1"/>
  <c r="AB749" i="3"/>
  <c r="BB349" i="2" s="1"/>
  <c r="AB750" i="3"/>
  <c r="BB350" i="2" s="1"/>
  <c r="AB738" i="3"/>
  <c r="BK361" i="1" s="1"/>
  <c r="AB663" i="3"/>
  <c r="BB351" i="2" s="1"/>
  <c r="AB753" i="3"/>
  <c r="BB352" i="2" s="1"/>
  <c r="AB782" i="3"/>
  <c r="BK362" i="1" s="1"/>
  <c r="AB787" i="3"/>
  <c r="BK363" i="1" s="1"/>
  <c r="AB745" i="3"/>
  <c r="BK364" i="1" s="1"/>
  <c r="AB690" i="3"/>
  <c r="BK365" i="1" s="1"/>
  <c r="AB789" i="3"/>
  <c r="BK366" i="1" s="1"/>
  <c r="AB755" i="3"/>
  <c r="BK491" i="1" s="1"/>
  <c r="AB757" i="3"/>
  <c r="BB353" i="2" s="1"/>
  <c r="AB695" i="3"/>
  <c r="BK367" i="1" s="1"/>
  <c r="AB796" i="3"/>
  <c r="BK368" i="1" s="1"/>
  <c r="AB848" i="3"/>
  <c r="BB354" i="2" s="1"/>
  <c r="AB704" i="3"/>
  <c r="BK493" i="1" s="1"/>
  <c r="AB703" i="3"/>
  <c r="BK369" i="1" s="1"/>
  <c r="AB759" i="3"/>
  <c r="BK371" i="1" s="1"/>
  <c r="AB767" i="3"/>
  <c r="BB355" i="2" s="1"/>
  <c r="AB802" i="3"/>
  <c r="BK372" i="1" s="1"/>
  <c r="AB805" i="3"/>
  <c r="BK373" i="1" s="1"/>
  <c r="AB709" i="3"/>
  <c r="BK374" i="1" s="1"/>
  <c r="AB671" i="3"/>
  <c r="BK375" i="1" s="1"/>
  <c r="AB761" i="3"/>
  <c r="BK376" i="1" s="1"/>
  <c r="AB711" i="3"/>
  <c r="BK377" i="1" s="1"/>
  <c r="AB712" i="3"/>
  <c r="BK378" i="1" s="1"/>
  <c r="AB763" i="3"/>
  <c r="BK499" i="1" s="1"/>
  <c r="AB765" i="3"/>
  <c r="BK380" i="1" s="1"/>
  <c r="AB766" i="3"/>
  <c r="BK381" i="1" s="1"/>
  <c r="AB778" i="3"/>
  <c r="BB356" i="2" s="1"/>
  <c r="AB814" i="3"/>
  <c r="BK382" i="1" s="1"/>
  <c r="AB687" i="3"/>
  <c r="BB357" i="2" s="1"/>
  <c r="AB768" i="3"/>
  <c r="BK383" i="1" s="1"/>
  <c r="AB730" i="3"/>
  <c r="BK384" i="1" s="1"/>
  <c r="AB783" i="3"/>
  <c r="BB358" i="2" s="1"/>
  <c r="AB691" i="3"/>
  <c r="BB359" i="2" s="1"/>
  <c r="AB770" i="3"/>
  <c r="BK385" i="1" s="1"/>
  <c r="AB694" i="3"/>
  <c r="BB360" i="2" s="1"/>
  <c r="AB698" i="3"/>
  <c r="BB361" i="2" s="1"/>
  <c r="AB699" i="3"/>
  <c r="BB362" i="2" s="1"/>
  <c r="AB830" i="3"/>
  <c r="BK386" i="1" s="1"/>
  <c r="AB785" i="3"/>
  <c r="BK507" i="1" s="1"/>
  <c r="AB891" i="3"/>
  <c r="BB363" i="2" s="1"/>
  <c r="AB748" i="3"/>
  <c r="BK388" i="1" s="1"/>
  <c r="AB708" i="3"/>
  <c r="BB364" i="2" s="1"/>
  <c r="AB754" i="3"/>
  <c r="BK389" i="1" s="1"/>
  <c r="AB843" i="3"/>
  <c r="BK390" i="1" s="1"/>
  <c r="AB801" i="3"/>
  <c r="BB365" i="2" s="1"/>
  <c r="AB804" i="3"/>
  <c r="BB366" i="2" s="1"/>
  <c r="AB890" i="3"/>
  <c r="BK508" i="1" s="1"/>
  <c r="AB714" i="3"/>
  <c r="BB367" i="2" s="1"/>
  <c r="AB807" i="3"/>
  <c r="BB368" i="2" s="1"/>
  <c r="AB906" i="3"/>
  <c r="BB369" i="2" s="1"/>
  <c r="AB799" i="3"/>
  <c r="BK391" i="1" s="1"/>
  <c r="AB809" i="3"/>
  <c r="BB370" i="2" s="1"/>
  <c r="AB705" i="3"/>
  <c r="BK392" i="1" s="1"/>
  <c r="AB849" i="3"/>
  <c r="BK514" i="1" s="1"/>
  <c r="AB732" i="3"/>
  <c r="BB371" i="2" s="1"/>
  <c r="AB764" i="3"/>
  <c r="BK516" i="1" s="1"/>
  <c r="AB808" i="3"/>
  <c r="BK393" i="1" s="1"/>
  <c r="AB736" i="3"/>
  <c r="BB372" i="2" s="1"/>
  <c r="AB739" i="3"/>
  <c r="BB373" i="2" s="1"/>
  <c r="AB716" i="3"/>
  <c r="BK394" i="1" s="1"/>
  <c r="AB828" i="3"/>
  <c r="BB374" i="2" s="1"/>
  <c r="AB720" i="3"/>
  <c r="BK398" i="1" s="1"/>
  <c r="AB860" i="3"/>
  <c r="BK399" i="1" s="1"/>
  <c r="AB659" i="3"/>
  <c r="BB375" i="2" s="1"/>
  <c r="AB774" i="3"/>
  <c r="BK519" i="1" s="1"/>
  <c r="AB822" i="3"/>
  <c r="BK401" i="1" s="1"/>
  <c r="AB926" i="3"/>
  <c r="BB376" i="2" s="1"/>
  <c r="AB731" i="3"/>
  <c r="BK402" i="1" s="1"/>
  <c r="AB752" i="3"/>
  <c r="BB377" i="2" s="1"/>
  <c r="AB771" i="3"/>
  <c r="BK404" i="1" s="1"/>
  <c r="AB824" i="3"/>
  <c r="BK405" i="1" s="1"/>
  <c r="AB826" i="3"/>
  <c r="BK406" i="1" s="1"/>
  <c r="AB870" i="3"/>
  <c r="BK407" i="1" s="1"/>
  <c r="AB838" i="3"/>
  <c r="BB378" i="2" s="1"/>
  <c r="AB784" i="3"/>
  <c r="BK523" i="1" s="1"/>
  <c r="AB776" i="3"/>
  <c r="BK408" i="1" s="1"/>
  <c r="AB786" i="3"/>
  <c r="BK524" i="1" s="1"/>
  <c r="AB788" i="3"/>
  <c r="BK525" i="1" s="1"/>
  <c r="AB878" i="3"/>
  <c r="BK410" i="1" s="1"/>
  <c r="AB756" i="3"/>
  <c r="BB379" i="2" s="1"/>
  <c r="AB835" i="3"/>
  <c r="BK411" i="1" s="1"/>
  <c r="AB760" i="3"/>
  <c r="BB380" i="2" s="1"/>
  <c r="AB790" i="3"/>
  <c r="BK412" i="1" s="1"/>
  <c r="AB792" i="3"/>
  <c r="BK413" i="1" s="1"/>
  <c r="AB793" i="3"/>
  <c r="BK415" i="1" s="1"/>
  <c r="AB840" i="3"/>
  <c r="BK416" i="1" s="1"/>
  <c r="AB841" i="3"/>
  <c r="BK417" i="1" s="1"/>
  <c r="AB842" i="3"/>
  <c r="BK418" i="1" s="1"/>
  <c r="AB794" i="3"/>
  <c r="BK420" i="1" s="1"/>
  <c r="AB676" i="3"/>
  <c r="BB381" i="2" s="1"/>
  <c r="AB850" i="3"/>
  <c r="BB382" i="2" s="1"/>
  <c r="AB851" i="3"/>
  <c r="BB383" i="2" s="1"/>
  <c r="AB896" i="3"/>
  <c r="BK422" i="1" s="1"/>
  <c r="AB864" i="3"/>
  <c r="BB384" i="2" s="1"/>
  <c r="AB866" i="3"/>
  <c r="BB385" i="2" s="1"/>
  <c r="AB905" i="3"/>
  <c r="BK532" i="1" s="1"/>
  <c r="AB867" i="3"/>
  <c r="BB386" i="2" s="1"/>
  <c r="AB803" i="3"/>
  <c r="BK423" i="1" s="1"/>
  <c r="AB806" i="3"/>
  <c r="BK424" i="1" s="1"/>
  <c r="AB772" i="3"/>
  <c r="BB387" i="2" s="1"/>
  <c r="AB773" i="3"/>
  <c r="BB388" i="2" s="1"/>
  <c r="AB853" i="3"/>
  <c r="BK425" i="1" s="1"/>
  <c r="AB775" i="3"/>
  <c r="BB389" i="2" s="1"/>
  <c r="AB869" i="3"/>
  <c r="BB390" i="2" s="1"/>
  <c r="AB779" i="3"/>
  <c r="BB391" i="2" s="1"/>
  <c r="AB762" i="3"/>
  <c r="BK426" i="1" s="1"/>
  <c r="AB858" i="3"/>
  <c r="BK427" i="1" s="1"/>
  <c r="AB810" i="3"/>
  <c r="BK428" i="1" s="1"/>
  <c r="AB859" i="3"/>
  <c r="BK429" i="1" s="1"/>
  <c r="AB781" i="3"/>
  <c r="BB392" i="2" s="1"/>
  <c r="AB813" i="3"/>
  <c r="BK430" i="1" s="1"/>
  <c r="AB865" i="3"/>
  <c r="BK431" i="1" s="1"/>
  <c r="AB815" i="3"/>
  <c r="BK432" i="1" s="1"/>
  <c r="AB816" i="3"/>
  <c r="BK433" i="1" s="1"/>
  <c r="AB820" i="3"/>
  <c r="BK434" i="1" s="1"/>
  <c r="AB823" i="3"/>
  <c r="BK435" i="1" s="1"/>
  <c r="AB871" i="3"/>
  <c r="BK538" i="1" s="1"/>
  <c r="AB884" i="3"/>
  <c r="BB394" i="2" s="1"/>
  <c r="AB885" i="3"/>
  <c r="BB393" i="2" s="1"/>
  <c r="AB888" i="3"/>
  <c r="BB395" i="2" s="1"/>
  <c r="AB829" i="3"/>
  <c r="BK436" i="1" s="1"/>
  <c r="AB777" i="3"/>
  <c r="BK437" i="1" s="1"/>
  <c r="AB882" i="3"/>
  <c r="BK539" i="1" s="1"/>
  <c r="AB833" i="3"/>
  <c r="BK439" i="1" s="1"/>
  <c r="AB880" i="3"/>
  <c r="BK440" i="1" s="1"/>
  <c r="AB834" i="3"/>
  <c r="BK441" i="1" s="1"/>
  <c r="AB795" i="3"/>
  <c r="BK540" i="1" s="1"/>
  <c r="AB836" i="3"/>
  <c r="BK442" i="1" s="1"/>
  <c r="AB881" i="3"/>
  <c r="BK443" i="1" s="1"/>
  <c r="AB883" i="3"/>
  <c r="BK444" i="1" s="1"/>
  <c r="AB964" i="3"/>
  <c r="BB396" i="2" s="1"/>
  <c r="AB889" i="3"/>
  <c r="BK541" i="1" s="1"/>
  <c r="AB886" i="3"/>
  <c r="BK445" i="1" s="1"/>
  <c r="AB902" i="3"/>
  <c r="BB397" i="2" s="1"/>
  <c r="AB904" i="3"/>
  <c r="BB398" i="2" s="1"/>
  <c r="AB893" i="3"/>
  <c r="BK447" i="1" s="1"/>
  <c r="AB811" i="3"/>
  <c r="BB399" i="2" s="1"/>
  <c r="AB812" i="3"/>
  <c r="BB400" i="2" s="1"/>
  <c r="AB723" i="3"/>
  <c r="BB401" i="2" s="1"/>
  <c r="AB845" i="3"/>
  <c r="BK448" i="1" s="1"/>
  <c r="AB895" i="3"/>
  <c r="BK450" i="1" s="1"/>
  <c r="AB847" i="3"/>
  <c r="BK451" i="1" s="1"/>
  <c r="AB916" i="3"/>
  <c r="BB402" i="2" s="1"/>
  <c r="AB944" i="3"/>
  <c r="BK546" i="1" s="1"/>
  <c r="AB982" i="3"/>
  <c r="BB403" i="2" s="1"/>
  <c r="AB831" i="3"/>
  <c r="BB404" i="2" s="1"/>
  <c r="AB868" i="3"/>
  <c r="BK548" i="1" s="1"/>
  <c r="AB923" i="3"/>
  <c r="BB405" i="2" s="1"/>
  <c r="AB947" i="3"/>
  <c r="BK454" i="1" s="1"/>
  <c r="AB832" i="3"/>
  <c r="BB406" i="2" s="1"/>
  <c r="AB915" i="3"/>
  <c r="BK455" i="1" s="1"/>
  <c r="AB827" i="3"/>
  <c r="BK550" i="1" s="1"/>
  <c r="AB837" i="3"/>
  <c r="BB407" i="2" s="1"/>
  <c r="AB920" i="3"/>
  <c r="BK553" i="1" s="1"/>
  <c r="AB922" i="3"/>
  <c r="BK554" i="1" s="1"/>
  <c r="AB919" i="3"/>
  <c r="BK457" i="1" s="1"/>
  <c r="AB839" i="3"/>
  <c r="BB408" i="2" s="1"/>
  <c r="AB954" i="3"/>
  <c r="BK458" i="1" s="1"/>
  <c r="AB998" i="3"/>
  <c r="BB409" i="2" s="1"/>
  <c r="AB930" i="3"/>
  <c r="BB410" i="2" s="1"/>
  <c r="AB921" i="3"/>
  <c r="BK459" i="1" s="1"/>
  <c r="AB844" i="3"/>
  <c r="BB411" i="2" s="1"/>
  <c r="AB846" i="3"/>
  <c r="BB412" i="2" s="1"/>
  <c r="AB872" i="3"/>
  <c r="BK460" i="1" s="1"/>
  <c r="AB874" i="3"/>
  <c r="BK461" i="1" s="1"/>
  <c r="AB958" i="3"/>
  <c r="BK462" i="1" s="1"/>
  <c r="AB758" i="3"/>
  <c r="BB413" i="2" s="1"/>
  <c r="AB875" i="3"/>
  <c r="BK463" i="1" s="1"/>
  <c r="AB876" i="3"/>
  <c r="BK464" i="1" s="1"/>
  <c r="AB877" i="3"/>
  <c r="BK465" i="1" s="1"/>
  <c r="AB960" i="3"/>
  <c r="BK557" i="1" s="1"/>
  <c r="AB927" i="3"/>
  <c r="BK466" i="1" s="1"/>
  <c r="AB939" i="3"/>
  <c r="BB414" i="2" s="1"/>
  <c r="AB929" i="3"/>
  <c r="BK468" i="1" s="1"/>
  <c r="AB887" i="3"/>
  <c r="BK469" i="1" s="1"/>
  <c r="AB852" i="3"/>
  <c r="BB415" i="2" s="1"/>
  <c r="AB932" i="3"/>
  <c r="BK471" i="1" s="1"/>
  <c r="AB854" i="3"/>
  <c r="BB416" i="2" s="1"/>
  <c r="AB856" i="3"/>
  <c r="BB417" i="2" s="1"/>
  <c r="AB857" i="3"/>
  <c r="BB418" i="2" s="1"/>
  <c r="AB892" i="3"/>
  <c r="BK472" i="1" s="1"/>
  <c r="AB894" i="3"/>
  <c r="BK473" i="1" s="1"/>
  <c r="AB861" i="3"/>
  <c r="BB420" i="2" s="1"/>
  <c r="AB862" i="3"/>
  <c r="BB419" i="2" s="1"/>
  <c r="AB863" i="3"/>
  <c r="BB421" i="2" s="1"/>
  <c r="AB898" i="3"/>
  <c r="BK474" i="1" s="1"/>
  <c r="AB901" i="3"/>
  <c r="BK477" i="1" s="1"/>
  <c r="AB855" i="3"/>
  <c r="BK568" i="1" s="1"/>
  <c r="AB903" i="3"/>
  <c r="BK479" i="1" s="1"/>
  <c r="AB909" i="3"/>
  <c r="BK569" i="1" s="1"/>
  <c r="AB1016" i="3"/>
  <c r="BB422" i="2" s="1"/>
  <c r="AB953" i="3"/>
  <c r="BB423" i="2" s="1"/>
  <c r="AB973" i="3"/>
  <c r="BK480" i="1" s="1"/>
  <c r="AB908" i="3"/>
  <c r="BK482" i="1" s="1"/>
  <c r="AB946" i="3"/>
  <c r="BK574" i="1" s="1"/>
  <c r="AB873" i="3"/>
  <c r="BB424" i="2" s="1"/>
  <c r="AB910" i="3"/>
  <c r="BK483" i="1" s="1"/>
  <c r="AB948" i="3"/>
  <c r="BK578" i="1" s="1"/>
  <c r="AB917" i="3"/>
  <c r="BK486" i="1" s="1"/>
  <c r="AB1020" i="3"/>
  <c r="BB425" i="2" s="1"/>
  <c r="AB918" i="3"/>
  <c r="BK487" i="1" s="1"/>
  <c r="AB951" i="3"/>
  <c r="BK488" i="1" s="1"/>
  <c r="AB955" i="3"/>
  <c r="BK489" i="1" s="1"/>
  <c r="AB879" i="3"/>
  <c r="BK579" i="1" s="1"/>
  <c r="AB897" i="3"/>
  <c r="BB426" i="2" s="1"/>
  <c r="AB961" i="3"/>
  <c r="BK584" i="1" s="1"/>
  <c r="AB959" i="3"/>
  <c r="BK490" i="1" s="1"/>
  <c r="AB899" i="3"/>
  <c r="BB427" i="2" s="1"/>
  <c r="AB928" i="3"/>
  <c r="BK492" i="1" s="1"/>
  <c r="AB931" i="3"/>
  <c r="BK586" i="1" s="1"/>
  <c r="AB907" i="3"/>
  <c r="BB428" i="2" s="1"/>
  <c r="AB911" i="3"/>
  <c r="BB429" i="2" s="1"/>
  <c r="AB912" i="3"/>
  <c r="BB430" i="2" s="1"/>
  <c r="AB913" i="3"/>
  <c r="BB431" i="2" s="1"/>
  <c r="AB914" i="3"/>
  <c r="BB432" i="2" s="1"/>
  <c r="AB936" i="3"/>
  <c r="BK494" i="1" s="1"/>
  <c r="AB969" i="3"/>
  <c r="BK590" i="1" s="1"/>
  <c r="AB966" i="3"/>
  <c r="BK495" i="1" s="1"/>
  <c r="AB979" i="3"/>
  <c r="BB433" i="2" s="1"/>
  <c r="AB981" i="3"/>
  <c r="BB434" i="2" s="1"/>
  <c r="AB900" i="3"/>
  <c r="BK496" i="1" s="1"/>
  <c r="AB1009" i="3"/>
  <c r="BK497" i="1" s="1"/>
  <c r="AB940" i="3"/>
  <c r="BK498" i="1" s="1"/>
  <c r="AB983" i="3"/>
  <c r="BB435" i="2" s="1"/>
  <c r="AB984" i="3"/>
  <c r="BB436" i="2" s="1"/>
  <c r="AB986" i="3"/>
  <c r="BB437" i="2" s="1"/>
  <c r="AB941" i="3"/>
  <c r="BK500" i="1" s="1"/>
  <c r="AB942" i="3"/>
  <c r="BK501" i="1" s="1"/>
  <c r="AB924" i="3"/>
  <c r="BB438" i="2" s="1"/>
  <c r="AB945" i="3"/>
  <c r="BK502" i="1" s="1"/>
  <c r="AB1011" i="3"/>
  <c r="BK503" i="1" s="1"/>
  <c r="AB925" i="3"/>
  <c r="BB439" i="2" s="1"/>
  <c r="AB993" i="3"/>
  <c r="BB440" i="2" s="1"/>
  <c r="AB994" i="3"/>
  <c r="BB441" i="2" s="1"/>
  <c r="AB996" i="3"/>
  <c r="BB442" i="2" s="1"/>
  <c r="AB952" i="3"/>
  <c r="BK593" i="1" s="1"/>
  <c r="AB997" i="3"/>
  <c r="BB443" i="2" s="1"/>
  <c r="AB950" i="3"/>
  <c r="BK504" i="1" s="1"/>
  <c r="AB985" i="3"/>
  <c r="BK505" i="1" s="1"/>
  <c r="AB957" i="3"/>
  <c r="BK595" i="1" s="1"/>
  <c r="AB990" i="3"/>
  <c r="BK506" i="1" s="1"/>
  <c r="AB933" i="3"/>
  <c r="BB444" i="2" s="1"/>
  <c r="AB1000" i="3"/>
  <c r="BB445" i="2" s="1"/>
  <c r="AB995" i="3"/>
  <c r="BK596" i="1" s="1"/>
  <c r="AB937" i="3"/>
  <c r="BB446" i="2" s="1"/>
  <c r="AB938" i="3"/>
  <c r="BB447" i="2" s="1"/>
  <c r="AB999" i="3"/>
  <c r="BK598" i="1" s="1"/>
  <c r="AB1006" i="3"/>
  <c r="BB448" i="2" s="1"/>
  <c r="AB1010" i="3"/>
  <c r="BB449" i="2" s="1"/>
  <c r="AB943" i="3"/>
  <c r="BB450" i="2" s="1"/>
  <c r="AB1002" i="3"/>
  <c r="BK509" i="1" s="1"/>
  <c r="AB1026" i="3"/>
  <c r="BK510" i="1" s="1"/>
  <c r="AB962" i="3"/>
  <c r="BK511" i="1" s="1"/>
  <c r="AB967" i="3"/>
  <c r="BK602" i="1" s="1"/>
  <c r="AB968" i="3"/>
  <c r="BK603" i="1" s="1"/>
  <c r="AB934" i="3"/>
  <c r="BK512" i="1" s="1"/>
  <c r="AB1030" i="3"/>
  <c r="BK513" i="1" s="1"/>
  <c r="AB965" i="3"/>
  <c r="BK515" i="1" s="1"/>
  <c r="AB1104" i="3"/>
  <c r="BB451" i="2" s="1"/>
  <c r="AB1015" i="3"/>
  <c r="BB452" i="2" s="1"/>
  <c r="AB1018" i="3"/>
  <c r="BB453" i="2" s="1"/>
  <c r="AB974" i="3"/>
  <c r="BK607" i="1" s="1"/>
  <c r="AB956" i="3"/>
  <c r="BB454" i="2" s="1"/>
  <c r="AB971" i="3"/>
  <c r="BK517" i="1" s="1"/>
  <c r="AB975" i="3"/>
  <c r="BK518" i="1" s="1"/>
  <c r="AB1014" i="3"/>
  <c r="BK520" i="1" s="1"/>
  <c r="AB987" i="3"/>
  <c r="BK613" i="1" s="1"/>
  <c r="AB988" i="3"/>
  <c r="BK614" i="1" s="1"/>
  <c r="AB1021" i="3"/>
  <c r="BB455" i="2" s="1"/>
  <c r="AB1017" i="3"/>
  <c r="BK521" i="1" s="1"/>
  <c r="AB991" i="3"/>
  <c r="BK617" i="1" s="1"/>
  <c r="AB1023" i="3"/>
  <c r="BB456" i="2" s="1"/>
  <c r="AB992" i="3"/>
  <c r="BK618" i="1" s="1"/>
  <c r="AB1038" i="3"/>
  <c r="BK522" i="1" s="1"/>
  <c r="AB963" i="3"/>
  <c r="BB457" i="2" s="1"/>
  <c r="AB1044" i="3"/>
  <c r="BK526" i="1" s="1"/>
  <c r="AB1032" i="3"/>
  <c r="BB458" i="2" s="1"/>
  <c r="AB970" i="3"/>
  <c r="BB459" i="2" s="1"/>
  <c r="AB972" i="3"/>
  <c r="BB460" i="2" s="1"/>
  <c r="AB1028" i="3"/>
  <c r="BK625" i="1" s="1"/>
  <c r="AB1048" i="3"/>
  <c r="BK527" i="1" s="1"/>
  <c r="AB1049" i="3"/>
  <c r="BK626" i="1" s="1"/>
  <c r="AB1001" i="3"/>
  <c r="BK528" i="1" s="1"/>
  <c r="AB976" i="3"/>
  <c r="BB461" i="2" s="1"/>
  <c r="AB1050" i="3"/>
  <c r="BK529" i="1" s="1"/>
  <c r="AB977" i="3"/>
  <c r="BB462" i="2" s="1"/>
  <c r="AB978" i="3"/>
  <c r="BB463" i="2" s="1"/>
  <c r="AB1035" i="3"/>
  <c r="BB464" i="2" s="1"/>
  <c r="AB1005" i="3"/>
  <c r="BK530" i="1" s="1"/>
  <c r="AB1076" i="3"/>
  <c r="BK531" i="1" s="1"/>
  <c r="AB1033" i="3"/>
  <c r="BK629" i="1" s="1"/>
  <c r="AB1007" i="3"/>
  <c r="BK533" i="1" s="1"/>
  <c r="AB1008" i="3"/>
  <c r="BK534" i="1" s="1"/>
  <c r="AB989" i="3"/>
  <c r="BB465" i="2" s="1"/>
  <c r="AB980" i="3"/>
  <c r="BK630" i="1" s="1"/>
  <c r="AB1012" i="3"/>
  <c r="BK535" i="1" s="1"/>
  <c r="AB1040" i="3"/>
  <c r="BB466" i="2" s="1"/>
  <c r="AB1036" i="3"/>
  <c r="BK536" i="1" s="1"/>
  <c r="AB1037" i="3"/>
  <c r="BK537" i="1" s="1"/>
  <c r="AB935" i="3"/>
  <c r="BB467" i="2" s="1"/>
  <c r="AB1061" i="3"/>
  <c r="BK633" i="1" s="1"/>
  <c r="AB1003" i="3"/>
  <c r="BB468" i="2" s="1"/>
  <c r="AB1004" i="3"/>
  <c r="BK636" i="1" s="1"/>
  <c r="AB1024" i="3"/>
  <c r="BK542" i="1" s="1"/>
  <c r="AB1100" i="3"/>
  <c r="BB469" i="2" s="1"/>
  <c r="AB1054" i="3"/>
  <c r="BB470" i="2" s="1"/>
  <c r="AB1027" i="3"/>
  <c r="BK543" i="1" s="1"/>
  <c r="AB1013" i="3"/>
  <c r="BB471" i="2" s="1"/>
  <c r="AB949" i="3"/>
  <c r="BB472" i="2" s="1"/>
  <c r="AB1074" i="3"/>
  <c r="BK638" i="1" s="1"/>
  <c r="AB1031" i="3"/>
  <c r="BK544" i="1" s="1"/>
  <c r="AB1073" i="3"/>
  <c r="BK545" i="1" s="1"/>
  <c r="AB1034" i="3"/>
  <c r="BK547" i="1" s="1"/>
  <c r="AB1107" i="3"/>
  <c r="BB473" i="2" s="1"/>
  <c r="AB1084" i="3"/>
  <c r="BK549" i="1" s="1"/>
  <c r="AB1057" i="3"/>
  <c r="BK551" i="1" s="1"/>
  <c r="AB1058" i="3"/>
  <c r="BK552" i="1" s="1"/>
  <c r="AB1066" i="3"/>
  <c r="BB474" i="2" s="1"/>
  <c r="AB1060" i="3"/>
  <c r="BK555" i="1" s="1"/>
  <c r="AB1019" i="3"/>
  <c r="BK556" i="1" s="1"/>
  <c r="AB1029" i="3"/>
  <c r="BB475" i="2" s="1"/>
  <c r="AB1043" i="3"/>
  <c r="BK641" i="1" s="1"/>
  <c r="AB1075" i="3"/>
  <c r="BB476" i="2" s="1"/>
  <c r="AB1041" i="3"/>
  <c r="BK558" i="1" s="1"/>
  <c r="AB1064" i="3"/>
  <c r="BK559" i="1" s="1"/>
  <c r="AB1065" i="3"/>
  <c r="BK560" i="1" s="1"/>
  <c r="AB1042" i="3"/>
  <c r="BK561" i="1" s="1"/>
  <c r="AB1022" i="3"/>
  <c r="BK562" i="1" s="1"/>
  <c r="AB1046" i="3"/>
  <c r="BK563" i="1" s="1"/>
  <c r="AB1025" i="3"/>
  <c r="BK564" i="1" s="1"/>
  <c r="AB1068" i="3"/>
  <c r="BK565" i="1" s="1"/>
  <c r="AB1080" i="3"/>
  <c r="BB477" i="2" s="1"/>
  <c r="AB1070" i="3"/>
  <c r="BK566" i="1" s="1"/>
  <c r="AB1051" i="3"/>
  <c r="BK567" i="1" s="1"/>
  <c r="AB1098" i="3"/>
  <c r="BK570" i="1" s="1"/>
  <c r="AB1077" i="3"/>
  <c r="BK571" i="1" s="1"/>
  <c r="AB1052" i="3"/>
  <c r="BK572" i="1" s="1"/>
  <c r="AB1053" i="3"/>
  <c r="BK573" i="1" s="1"/>
  <c r="AB1078" i="3"/>
  <c r="BK575" i="1" s="1"/>
  <c r="AB1039" i="3"/>
  <c r="BB478" i="2" s="1"/>
  <c r="AB1079" i="3"/>
  <c r="BK576" i="1" s="1"/>
  <c r="AB1081" i="3"/>
  <c r="BK577" i="1" s="1"/>
  <c r="AB1047" i="3"/>
  <c r="BB479" i="2" s="1"/>
  <c r="AB1130" i="3"/>
  <c r="BB480" i="2" s="1"/>
  <c r="AB1085" i="3"/>
  <c r="BK580" i="1" s="1"/>
  <c r="AB1086" i="3"/>
  <c r="BK581" i="1" s="1"/>
  <c r="AB1087" i="3"/>
  <c r="BK582" i="1" s="1"/>
  <c r="AB1088" i="3"/>
  <c r="BK583" i="1" s="1"/>
  <c r="AB1095" i="3"/>
  <c r="BB481" i="2" s="1"/>
  <c r="AB1113" i="3"/>
  <c r="BK585" i="1" s="1"/>
  <c r="AB1045" i="3"/>
  <c r="BK646" i="1" s="1"/>
  <c r="AB1063" i="3"/>
  <c r="BK587" i="1" s="1"/>
  <c r="AB1067" i="3"/>
  <c r="BK588" i="1" s="1"/>
  <c r="AB1069" i="3"/>
  <c r="BK589" i="1" s="1"/>
  <c r="AB1055" i="3"/>
  <c r="BB482" i="2" s="1"/>
  <c r="AB1096" i="3"/>
  <c r="BK647" i="1" s="1"/>
  <c r="AB1059" i="3"/>
  <c r="BB483" i="2" s="1"/>
  <c r="AB1118" i="3"/>
  <c r="BK648" i="1" s="1"/>
  <c r="AB1142" i="3"/>
  <c r="BB484" i="2" s="1"/>
  <c r="AB1072" i="3"/>
  <c r="BK591" i="1" s="1"/>
  <c r="AB1082" i="3"/>
  <c r="BK650" i="1" s="1"/>
  <c r="AB1101" i="3"/>
  <c r="BK592" i="1" s="1"/>
  <c r="AB1122" i="3"/>
  <c r="BK651" i="1" s="1"/>
  <c r="AB1056" i="3"/>
  <c r="BK594" i="1" s="1"/>
  <c r="AB1106" i="3"/>
  <c r="BK597" i="1" s="1"/>
  <c r="AB1091" i="3"/>
  <c r="BK654" i="1" s="1"/>
  <c r="AB1089" i="3"/>
  <c r="BK599" i="1" s="1"/>
  <c r="AB1092" i="3"/>
  <c r="BK655" i="1" s="1"/>
  <c r="AB1062" i="3"/>
  <c r="BK600" i="1" s="1"/>
  <c r="AB1116" i="3"/>
  <c r="BK601" i="1" s="1"/>
  <c r="AB1117" i="3"/>
  <c r="BK656" i="1" s="1"/>
  <c r="AB1093" i="3"/>
  <c r="BK604" i="1" s="1"/>
  <c r="AB1094" i="3"/>
  <c r="BK605" i="1" s="1"/>
  <c r="AB1097" i="3"/>
  <c r="BK606" i="1" s="1"/>
  <c r="AB1119" i="3"/>
  <c r="BK608" i="1" s="1"/>
  <c r="AB1120" i="3"/>
  <c r="BK609" i="1" s="1"/>
  <c r="AB1126" i="3"/>
  <c r="BB485" i="2" s="1"/>
  <c r="AB1099" i="3"/>
  <c r="BK610" i="1" s="1"/>
  <c r="AB1102" i="3"/>
  <c r="BK611" i="1" s="1"/>
  <c r="AB1103" i="3"/>
  <c r="BK612" i="1" s="1"/>
  <c r="AB1090" i="3"/>
  <c r="BB486" i="2" s="1"/>
  <c r="AB1141" i="3"/>
  <c r="BK615" i="1" s="1"/>
  <c r="AB1083" i="3"/>
  <c r="BK616" i="1" s="1"/>
  <c r="AB1125" i="3"/>
  <c r="BK658" i="1" s="1"/>
  <c r="AB1105" i="3"/>
  <c r="BK619" i="1" s="1"/>
  <c r="AB1136" i="3"/>
  <c r="BB487" i="2" s="1"/>
  <c r="AB1108" i="3"/>
  <c r="BK620" i="1" s="1"/>
  <c r="AB1109" i="3"/>
  <c r="BK621" i="1" s="1"/>
  <c r="AB1110" i="3"/>
  <c r="BK622" i="1" s="1"/>
  <c r="AB1144" i="3"/>
  <c r="BK623" i="1" s="1"/>
  <c r="AB1128" i="3"/>
  <c r="BK624" i="1" s="1"/>
  <c r="AB1115" i="3"/>
  <c r="BK659" i="1" s="1"/>
  <c r="AB1137" i="3"/>
  <c r="BB488" i="2" s="1"/>
  <c r="AB1132" i="3"/>
  <c r="BK627" i="1" s="1"/>
  <c r="AB1133" i="3"/>
  <c r="BK628" i="1" s="1"/>
  <c r="AB1139" i="3"/>
  <c r="BB489" i="2" s="1"/>
  <c r="AB1151" i="3"/>
  <c r="BK631" i="1" s="1"/>
  <c r="AB1114" i="3"/>
  <c r="BB490" i="2" s="1"/>
  <c r="AB1124" i="3"/>
  <c r="BK632" i="1" s="1"/>
  <c r="AB1071" i="3"/>
  <c r="BB491" i="2" s="1"/>
  <c r="AB1145" i="3"/>
  <c r="BK662" i="1" s="1"/>
  <c r="AB1149" i="3"/>
  <c r="BB492" i="2" s="1"/>
  <c r="AB1150" i="3"/>
  <c r="BB493" i="2" s="1"/>
  <c r="AB1111" i="3"/>
  <c r="BK634" i="1" s="1"/>
  <c r="AB1112" i="3"/>
  <c r="BK635" i="1" s="1"/>
  <c r="AB1121" i="3"/>
  <c r="BB494" i="2" s="1"/>
  <c r="AB1129" i="3"/>
  <c r="BK637" i="1" s="1"/>
  <c r="AB1147" i="3"/>
  <c r="BK663" i="1" s="1"/>
  <c r="AB1177" i="3"/>
  <c r="BB495" i="2" s="1"/>
  <c r="AB1134" i="3"/>
  <c r="BK664" i="1" s="1"/>
  <c r="AB1123" i="3"/>
  <c r="BB496" i="2" s="1"/>
  <c r="AB1152" i="3"/>
  <c r="BB497" i="2" s="1"/>
  <c r="AB1153" i="3"/>
  <c r="BB498" i="2" s="1"/>
  <c r="AB1154" i="3"/>
  <c r="BB499" i="2" s="1"/>
  <c r="AB1135" i="3"/>
  <c r="BK639" i="1" s="1"/>
  <c r="AB1157" i="3"/>
  <c r="BB500" i="2" s="1"/>
  <c r="AB1163" i="3"/>
  <c r="BK666" i="1" s="1"/>
  <c r="AB1160" i="3"/>
  <c r="BB501" i="2" s="1"/>
  <c r="AB1138" i="3"/>
  <c r="BK640" i="1" s="1"/>
  <c r="AB1131" i="3"/>
  <c r="BB502" i="2" s="1"/>
  <c r="AB1168" i="3"/>
  <c r="BK642" i="1" s="1"/>
  <c r="AB1190" i="3"/>
  <c r="BB503" i="2" s="1"/>
  <c r="AB1159" i="3"/>
  <c r="BK643" i="1" s="1"/>
  <c r="AB1164" i="3"/>
  <c r="BB504" i="2" s="1"/>
  <c r="AB1140" i="3"/>
  <c r="BB505" i="2" s="1"/>
  <c r="AB1143" i="3"/>
  <c r="BB506" i="2" s="1"/>
  <c r="AB1155" i="3"/>
  <c r="BK644" i="1" s="1"/>
  <c r="AB1146" i="3"/>
  <c r="BB507" i="2" s="1"/>
  <c r="AB1156" i="3"/>
  <c r="BK645" i="1" s="1"/>
  <c r="AB1172" i="3"/>
  <c r="BB508" i="2" s="1"/>
  <c r="AB1173" i="3"/>
  <c r="BB509" i="2" s="1"/>
  <c r="AB1199" i="3"/>
  <c r="BB510" i="2" s="1"/>
  <c r="AB1174" i="3"/>
  <c r="BB511" i="2" s="1"/>
  <c r="AB1175" i="3"/>
  <c r="BB512" i="2" s="1"/>
  <c r="AB1171" i="3"/>
  <c r="BK649" i="1" s="1"/>
  <c r="AB1179" i="3"/>
  <c r="BB513" i="2" s="1"/>
  <c r="AB1127" i="3"/>
  <c r="BB514" i="2" s="1"/>
  <c r="AB1158" i="3"/>
  <c r="BB515" i="2" s="1"/>
  <c r="AB1161" i="3"/>
  <c r="BB516" i="2" s="1"/>
  <c r="AB1184" i="3"/>
  <c r="BB517" i="2" s="1"/>
  <c r="AB1181" i="3"/>
  <c r="BK652" i="1" s="1"/>
  <c r="AB1183" i="3"/>
  <c r="BK653" i="1" s="1"/>
  <c r="AB1162" i="3"/>
  <c r="BB518" i="2" s="1"/>
  <c r="AB1191" i="3"/>
  <c r="BB519" i="2" s="1"/>
  <c r="AB1165" i="3"/>
  <c r="BB520" i="2" s="1"/>
  <c r="AB1166" i="3"/>
  <c r="BB521" i="2" s="1"/>
  <c r="AB1169" i="3"/>
  <c r="BK657" i="1" s="1"/>
  <c r="AB1176" i="3"/>
  <c r="BK671" i="1" s="1"/>
  <c r="AB1167" i="3"/>
  <c r="BB522" i="2" s="1"/>
  <c r="AB1195" i="3"/>
  <c r="BB523" i="2" s="1"/>
  <c r="AB1197" i="3"/>
  <c r="BB524" i="2" s="1"/>
  <c r="AB1148" i="3"/>
  <c r="BB525" i="2" s="1"/>
  <c r="AB1201" i="3"/>
  <c r="BB526" i="2" s="1"/>
  <c r="AB1189" i="3"/>
  <c r="BK660" i="1" s="1"/>
  <c r="AB1182" i="3"/>
  <c r="BB527" i="2" s="1"/>
  <c r="AB1206" i="3"/>
  <c r="BB528" i="2" s="1"/>
  <c r="AB1185" i="3"/>
  <c r="BB529" i="2" s="1"/>
  <c r="AB1186" i="3"/>
  <c r="BB530" i="2" s="1"/>
  <c r="AB1187" i="3"/>
  <c r="BB531" i="2" s="1"/>
  <c r="AB1203" i="3"/>
  <c r="BK661" i="1" s="1"/>
  <c r="AB1188" i="3"/>
  <c r="BB532" i="2" s="1"/>
  <c r="AB1192" i="3"/>
  <c r="BB533" i="2" s="1"/>
  <c r="AB1193" i="3"/>
  <c r="BB535" i="2" s="1"/>
  <c r="AB1194" i="3"/>
  <c r="BB534" i="2" s="1"/>
  <c r="AB1198" i="3"/>
  <c r="BK665" i="1" s="1"/>
  <c r="AB1224" i="3"/>
  <c r="BB536" i="2" s="1"/>
  <c r="AB1200" i="3"/>
  <c r="BK667" i="1" s="1"/>
  <c r="AB1212" i="3"/>
  <c r="BB537" i="2" s="1"/>
  <c r="AB1170" i="3"/>
  <c r="BB538" i="2" s="1"/>
  <c r="AB1210" i="3"/>
  <c r="BK668" i="1" s="1"/>
  <c r="AB1196" i="3"/>
  <c r="BK672" i="1" s="1"/>
  <c r="AB1204" i="3"/>
  <c r="BK673" i="1" s="1"/>
  <c r="AB1202" i="3"/>
  <c r="BB539" i="2" s="1"/>
  <c r="AB1178" i="3"/>
  <c r="BB540" i="2" s="1"/>
  <c r="AB1180" i="3"/>
  <c r="BB541" i="2" s="1"/>
  <c r="AB1208" i="3"/>
  <c r="BK674" i="1" s="1"/>
  <c r="AB1221" i="3"/>
  <c r="BB542" i="2" s="1"/>
  <c r="AB1205" i="3"/>
  <c r="BB543" i="2" s="1"/>
  <c r="AB1218" i="3"/>
  <c r="BK675" i="1" s="1"/>
  <c r="AB1209" i="3"/>
  <c r="BK669" i="1" s="1"/>
  <c r="AB1207" i="3"/>
  <c r="BB544" i="2" s="1"/>
  <c r="AB1211" i="3"/>
  <c r="BB545" i="2" s="1"/>
  <c r="AB1213" i="3"/>
  <c r="BB546" i="2" s="1"/>
  <c r="AB1214" i="3"/>
  <c r="BB547" i="2" s="1"/>
  <c r="AB1216" i="3"/>
  <c r="BB548" i="2" s="1"/>
  <c r="AB1222" i="3"/>
  <c r="BK670" i="1" s="1"/>
  <c r="AB1228" i="3"/>
  <c r="BB549" i="2" s="1"/>
  <c r="AB1219" i="3"/>
  <c r="BB550" i="2" s="1"/>
  <c r="AB1223" i="3"/>
  <c r="BB551" i="2" s="1"/>
  <c r="AB1225" i="3"/>
  <c r="BB552" i="2" s="1"/>
  <c r="AB1226" i="3"/>
  <c r="BB553" i="2" s="1"/>
  <c r="AB1227" i="3"/>
  <c r="BB554" i="2" s="1"/>
  <c r="AB1215" i="3"/>
  <c r="BB555" i="2" s="1"/>
  <c r="AB1217" i="3"/>
  <c r="BB556" i="2" s="1"/>
  <c r="AB1220" i="3"/>
  <c r="BB557" i="2" s="1"/>
  <c r="AB1229" i="3"/>
  <c r="BB558" i="2" s="1"/>
  <c r="AB1230" i="3"/>
  <c r="BB559" i="2" s="1"/>
  <c r="AB1231" i="3"/>
  <c r="BB560" i="2" s="1"/>
  <c r="AB1232" i="3"/>
  <c r="BB561" i="2" s="1"/>
  <c r="AB1233" i="3"/>
  <c r="BB562" i="2" s="1"/>
  <c r="AB1234" i="3"/>
  <c r="BK676" i="1" s="1"/>
  <c r="AA5" i="3"/>
  <c r="BJ5" i="1" s="1"/>
  <c r="AA6" i="3"/>
  <c r="BJ6" i="1" s="1"/>
  <c r="AA7" i="3"/>
  <c r="BJ7" i="1" s="1"/>
  <c r="AA8" i="3"/>
  <c r="BA5" i="2" s="1"/>
  <c r="AA9" i="3"/>
  <c r="BJ8" i="1" s="1"/>
  <c r="AA10" i="3"/>
  <c r="BJ9" i="1" s="1"/>
  <c r="AA14" i="3"/>
  <c r="BJ10" i="1" s="1"/>
  <c r="AA11" i="3"/>
  <c r="BJ11" i="1" s="1"/>
  <c r="AA12" i="3"/>
  <c r="BJ12" i="1" s="1"/>
  <c r="AA13" i="3"/>
  <c r="BA6" i="2" s="1"/>
  <c r="AA15" i="3"/>
  <c r="BJ13" i="1" s="1"/>
  <c r="AA16" i="3"/>
  <c r="BA7" i="2" s="1"/>
  <c r="AA20" i="3"/>
  <c r="BJ14" i="1" s="1"/>
  <c r="AA17" i="3"/>
  <c r="BJ15" i="1" s="1"/>
  <c r="AA23" i="3"/>
  <c r="BA8" i="2" s="1"/>
  <c r="AA18" i="3"/>
  <c r="BA9" i="2" s="1"/>
  <c r="AA21" i="3"/>
  <c r="BJ16" i="1" s="1"/>
  <c r="AA22" i="3"/>
  <c r="BJ17" i="1" s="1"/>
  <c r="AA27" i="3"/>
  <c r="BJ18" i="1" s="1"/>
  <c r="AA19" i="3"/>
  <c r="BJ19" i="1" s="1"/>
  <c r="AA25" i="3"/>
  <c r="BJ20" i="1" s="1"/>
  <c r="AA26" i="3"/>
  <c r="BJ21" i="1" s="1"/>
  <c r="AA28" i="3"/>
  <c r="BA10" i="2" s="1"/>
  <c r="AA31" i="3"/>
  <c r="BA11" i="2" s="1"/>
  <c r="AA24" i="3"/>
  <c r="BJ22" i="1" s="1"/>
  <c r="AA30" i="3"/>
  <c r="BJ23" i="1" s="1"/>
  <c r="AA29" i="3"/>
  <c r="BA12" i="2" s="1"/>
  <c r="AA38" i="3"/>
  <c r="BJ24" i="1" s="1"/>
  <c r="AA33" i="3"/>
  <c r="BJ25" i="1" s="1"/>
  <c r="AA34" i="3"/>
  <c r="BJ26" i="1" s="1"/>
  <c r="AA35" i="3"/>
  <c r="BJ27" i="1" s="1"/>
  <c r="AA36" i="3"/>
  <c r="BJ28" i="1" s="1"/>
  <c r="AA32" i="3"/>
  <c r="BJ29" i="1" s="1"/>
  <c r="AA40" i="3"/>
  <c r="BJ30" i="1" s="1"/>
  <c r="AA37" i="3"/>
  <c r="BJ31" i="1" s="1"/>
  <c r="AA42" i="3"/>
  <c r="BJ32" i="1" s="1"/>
  <c r="AA43" i="3"/>
  <c r="BJ33" i="1" s="1"/>
  <c r="AA46" i="3"/>
  <c r="BJ34" i="1" s="1"/>
  <c r="AA41" i="3"/>
  <c r="BJ35" i="1" s="1"/>
  <c r="AA44" i="3"/>
  <c r="BA13" i="2" s="1"/>
  <c r="AA49" i="3"/>
  <c r="BA14" i="2" s="1"/>
  <c r="AA50" i="3"/>
  <c r="BA15" i="2" s="1"/>
  <c r="AA47" i="3"/>
  <c r="BJ36" i="1" s="1"/>
  <c r="AA48" i="3"/>
  <c r="BJ37" i="1" s="1"/>
  <c r="AA45" i="3"/>
  <c r="BJ38" i="1" s="1"/>
  <c r="AA52" i="3"/>
  <c r="BJ39" i="1" s="1"/>
  <c r="AA51" i="3"/>
  <c r="BJ40" i="1" s="1"/>
  <c r="AA39" i="3"/>
  <c r="BA16" i="2" s="1"/>
  <c r="AA55" i="3"/>
  <c r="BJ41" i="1" s="1"/>
  <c r="AA56" i="3"/>
  <c r="BA17" i="2" s="1"/>
  <c r="AA53" i="3"/>
  <c r="BA18" i="2" s="1"/>
  <c r="AA54" i="3"/>
  <c r="BJ42" i="1" s="1"/>
  <c r="AA63" i="3"/>
  <c r="BA19" i="2" s="1"/>
  <c r="AA64" i="3"/>
  <c r="BA20" i="2" s="1"/>
  <c r="AA65" i="3"/>
  <c r="BA21" i="2" s="1"/>
  <c r="AA59" i="3"/>
  <c r="BJ43" i="1" s="1"/>
  <c r="AA69" i="3"/>
  <c r="BA23" i="2" s="1"/>
  <c r="AA70" i="3"/>
  <c r="BA26" i="2" s="1"/>
  <c r="AA71" i="3"/>
  <c r="BA27" i="2" s="1"/>
  <c r="AA72" i="3"/>
  <c r="BA25" i="2" s="1"/>
  <c r="AA73" i="3"/>
  <c r="BA22" i="2" s="1"/>
  <c r="AA74" i="3"/>
  <c r="BA29" i="2" s="1"/>
  <c r="AA75" i="3"/>
  <c r="BA24" i="2" s="1"/>
  <c r="AA76" i="3"/>
  <c r="BA28" i="2" s="1"/>
  <c r="AA77" i="3"/>
  <c r="BA30" i="2" s="1"/>
  <c r="AA58" i="3"/>
  <c r="BJ44" i="1" s="1"/>
  <c r="AA61" i="3"/>
  <c r="BJ45" i="1" s="1"/>
  <c r="AA66" i="3"/>
  <c r="BJ46" i="1" s="1"/>
  <c r="AA62" i="3"/>
  <c r="BA31" i="2" s="1"/>
  <c r="AA57" i="3"/>
  <c r="BJ47" i="1" s="1"/>
  <c r="AA60" i="3"/>
  <c r="BJ48" i="1" s="1"/>
  <c r="AA78" i="3"/>
  <c r="BA32" i="2" s="1"/>
  <c r="AA79" i="3"/>
  <c r="BJ49" i="1" s="1"/>
  <c r="AA80" i="3"/>
  <c r="BJ50" i="1" s="1"/>
  <c r="AA67" i="3"/>
  <c r="BJ51" i="1" s="1"/>
  <c r="AA68" i="3"/>
  <c r="BJ52" i="1" s="1"/>
  <c r="AA81" i="3"/>
  <c r="BA35" i="2" s="1"/>
  <c r="AA82" i="3"/>
  <c r="BA46" i="2" s="1"/>
  <c r="AA83" i="3"/>
  <c r="BA34" i="2" s="1"/>
  <c r="AA84" i="3"/>
  <c r="BA36" i="2" s="1"/>
  <c r="AA85" i="3"/>
  <c r="BA37" i="2" s="1"/>
  <c r="AA86" i="3"/>
  <c r="BA44" i="2" s="1"/>
  <c r="AA87" i="3"/>
  <c r="BA33" i="2" s="1"/>
  <c r="AA88" i="3"/>
  <c r="BA38" i="2" s="1"/>
  <c r="AA89" i="3"/>
  <c r="BA39" i="2" s="1"/>
  <c r="AA90" i="3"/>
  <c r="BA41" i="2" s="1"/>
  <c r="AA91" i="3"/>
  <c r="BA43" i="2" s="1"/>
  <c r="AA92" i="3"/>
  <c r="BA40" i="2" s="1"/>
  <c r="AA93" i="3"/>
  <c r="BA42" i="2" s="1"/>
  <c r="AA94" i="3"/>
  <c r="BA45" i="2" s="1"/>
  <c r="AA96" i="3"/>
  <c r="BJ53" i="1" s="1"/>
  <c r="AA97" i="3"/>
  <c r="BA47" i="2" s="1"/>
  <c r="AA98" i="3"/>
  <c r="BA49" i="2" s="1"/>
  <c r="AA99" i="3"/>
  <c r="BA48" i="2" s="1"/>
  <c r="AA100" i="3"/>
  <c r="BA50" i="2" s="1"/>
  <c r="AA113" i="3"/>
  <c r="BJ54" i="1" s="1"/>
  <c r="AA101" i="3"/>
  <c r="BA51" i="2" s="1"/>
  <c r="AA102" i="3"/>
  <c r="BJ55" i="1" s="1"/>
  <c r="AA111" i="3"/>
  <c r="BJ56" i="1" s="1"/>
  <c r="AA117" i="3"/>
  <c r="BJ77" i="1" s="1"/>
  <c r="AA112" i="3"/>
  <c r="BA52" i="2" s="1"/>
  <c r="AA95" i="3"/>
  <c r="BA53" i="2" s="1"/>
  <c r="AA116" i="3"/>
  <c r="BJ57" i="1" s="1"/>
  <c r="AA118" i="3"/>
  <c r="BJ58" i="1" s="1"/>
  <c r="AA123" i="3"/>
  <c r="BJ59" i="1" s="1"/>
  <c r="AA103" i="3"/>
  <c r="BA57" i="2" s="1"/>
  <c r="AA104" i="3"/>
  <c r="BA56" i="2" s="1"/>
  <c r="AA105" i="3"/>
  <c r="BA54" i="2" s="1"/>
  <c r="AA106" i="3"/>
  <c r="BA58" i="2" s="1"/>
  <c r="AA107" i="3"/>
  <c r="BA55" i="2" s="1"/>
  <c r="AA108" i="3"/>
  <c r="BA59" i="2" s="1"/>
  <c r="AA109" i="3"/>
  <c r="BA60" i="2" s="1"/>
  <c r="AA119" i="3"/>
  <c r="BJ60" i="1" s="1"/>
  <c r="AA150" i="3"/>
  <c r="BA61" i="2" s="1"/>
  <c r="AA115" i="3"/>
  <c r="BJ61" i="1" s="1"/>
  <c r="AA121" i="3"/>
  <c r="BJ62" i="1" s="1"/>
  <c r="AA128" i="3"/>
  <c r="BJ63" i="1" s="1"/>
  <c r="AA140" i="3"/>
  <c r="BA62" i="2" s="1"/>
  <c r="AA124" i="3"/>
  <c r="BJ64" i="1" s="1"/>
  <c r="AA133" i="3"/>
  <c r="BJ65" i="1" s="1"/>
  <c r="AA125" i="3"/>
  <c r="BJ66" i="1" s="1"/>
  <c r="AA126" i="3"/>
  <c r="BJ67" i="1" s="1"/>
  <c r="AA134" i="3"/>
  <c r="BJ68" i="1" s="1"/>
  <c r="AA114" i="3"/>
  <c r="BA63" i="2" s="1"/>
  <c r="AA127" i="3"/>
  <c r="BJ69" i="1" s="1"/>
  <c r="AA130" i="3"/>
  <c r="BJ70" i="1" s="1"/>
  <c r="AA158" i="3"/>
  <c r="BA64" i="2" s="1"/>
  <c r="AA132" i="3"/>
  <c r="BA65" i="2" s="1"/>
  <c r="AA149" i="3"/>
  <c r="BA66" i="2" s="1"/>
  <c r="AA110" i="3"/>
  <c r="BA67" i="2" s="1"/>
  <c r="AA153" i="3"/>
  <c r="BA68" i="2" s="1"/>
  <c r="AA120" i="3"/>
  <c r="BA69" i="2" s="1"/>
  <c r="AA136" i="3"/>
  <c r="BJ71" i="1" s="1"/>
  <c r="AA137" i="3"/>
  <c r="BJ72" i="1" s="1"/>
  <c r="AA138" i="3"/>
  <c r="BJ73" i="1" s="1"/>
  <c r="AA139" i="3"/>
  <c r="BA70" i="2" s="1"/>
  <c r="AA131" i="3"/>
  <c r="BJ74" i="1" s="1"/>
  <c r="AA122" i="3"/>
  <c r="BA71" i="2" s="1"/>
  <c r="AA142" i="3"/>
  <c r="BJ75" i="1" s="1"/>
  <c r="AA129" i="3"/>
  <c r="BJ76" i="1" s="1"/>
  <c r="AA156" i="3"/>
  <c r="BJ78" i="1" s="1"/>
  <c r="AA152" i="3"/>
  <c r="BJ79" i="1" s="1"/>
  <c r="AA151" i="3"/>
  <c r="BA72" i="2" s="1"/>
  <c r="AA143" i="3"/>
  <c r="BJ80" i="1" s="1"/>
  <c r="AA145" i="3"/>
  <c r="BJ81" i="1" s="1"/>
  <c r="AA135" i="3"/>
  <c r="BJ82" i="1" s="1"/>
  <c r="AA166" i="3"/>
  <c r="BA73" i="2" s="1"/>
  <c r="AA154" i="3"/>
  <c r="BJ83" i="1" s="1"/>
  <c r="AA155" i="3"/>
  <c r="BJ84" i="1" s="1"/>
  <c r="AA165" i="3"/>
  <c r="BJ85" i="1" s="1"/>
  <c r="AA141" i="3"/>
  <c r="BA74" i="2" s="1"/>
  <c r="AA157" i="3"/>
  <c r="BJ86" i="1" s="1"/>
  <c r="AA188" i="3"/>
  <c r="BA75" i="2" s="1"/>
  <c r="AA144" i="3"/>
  <c r="BA76" i="2" s="1"/>
  <c r="AA146" i="3"/>
  <c r="BJ87" i="1" s="1"/>
  <c r="AA147" i="3"/>
  <c r="BJ88" i="1" s="1"/>
  <c r="AA173" i="3"/>
  <c r="BA77" i="2" s="1"/>
  <c r="AA192" i="3"/>
  <c r="BA78" i="2" s="1"/>
  <c r="AA148" i="3"/>
  <c r="BA79" i="2" s="1"/>
  <c r="AA159" i="3"/>
  <c r="BJ89" i="1" s="1"/>
  <c r="AA169" i="3"/>
  <c r="BJ108" i="1" s="1"/>
  <c r="AA163" i="3"/>
  <c r="BJ90" i="1" s="1"/>
  <c r="AA161" i="3"/>
  <c r="BA80" i="2" s="1"/>
  <c r="AA164" i="3"/>
  <c r="BA81" i="2" s="1"/>
  <c r="AA178" i="3"/>
  <c r="BA82" i="2" s="1"/>
  <c r="AA167" i="3"/>
  <c r="BA83" i="2" s="1"/>
  <c r="AA184" i="3"/>
  <c r="BJ91" i="1" s="1"/>
  <c r="AA175" i="3"/>
  <c r="BJ92" i="1" s="1"/>
  <c r="AA168" i="3"/>
  <c r="BA84" i="2" s="1"/>
  <c r="AA177" i="3"/>
  <c r="BJ93" i="1" s="1"/>
  <c r="AA162" i="3"/>
  <c r="BJ94" i="1" s="1"/>
  <c r="AA171" i="3"/>
  <c r="BA85" i="2" s="1"/>
  <c r="AA172" i="3"/>
  <c r="BA86" i="2" s="1"/>
  <c r="AA174" i="3"/>
  <c r="BA87" i="2" s="1"/>
  <c r="AA194" i="3"/>
  <c r="BA89" i="2" s="1"/>
  <c r="AA195" i="3"/>
  <c r="BA88" i="2" s="1"/>
  <c r="AA160" i="3"/>
  <c r="BA90" i="2" s="1"/>
  <c r="AA176" i="3"/>
  <c r="BJ95" i="1" s="1"/>
  <c r="AA179" i="3"/>
  <c r="BJ96" i="1" s="1"/>
  <c r="AA200" i="3"/>
  <c r="BA91" i="2" s="1"/>
  <c r="AA181" i="3"/>
  <c r="BA92" i="2" s="1"/>
  <c r="AA182" i="3"/>
  <c r="BJ97" i="1" s="1"/>
  <c r="AA201" i="3"/>
  <c r="BA93" i="2" s="1"/>
  <c r="AA202" i="3"/>
  <c r="BA94" i="2" s="1"/>
  <c r="AA203" i="3"/>
  <c r="BA95" i="2" s="1"/>
  <c r="AA205" i="3"/>
  <c r="BA96" i="2" s="1"/>
  <c r="AA185" i="3"/>
  <c r="BJ98" i="1" s="1"/>
  <c r="AA207" i="3"/>
  <c r="BA97" i="2" s="1"/>
  <c r="AA198" i="3"/>
  <c r="BJ99" i="1" s="1"/>
  <c r="AA209" i="3"/>
  <c r="BA98" i="2" s="1"/>
  <c r="AA187" i="3"/>
  <c r="BJ100" i="1" s="1"/>
  <c r="AA170" i="3"/>
  <c r="BA99" i="2" s="1"/>
  <c r="AA210" i="3"/>
  <c r="BA100" i="2" s="1"/>
  <c r="AA189" i="3"/>
  <c r="BA101" i="2" s="1"/>
  <c r="AA211" i="3"/>
  <c r="BA102" i="2" s="1"/>
  <c r="AA212" i="3"/>
  <c r="BA103" i="2" s="1"/>
  <c r="AA190" i="3"/>
  <c r="BJ101" i="1" s="1"/>
  <c r="AA255" i="3"/>
  <c r="BA104" i="2" s="1"/>
  <c r="AA183" i="3"/>
  <c r="BJ102" i="1" s="1"/>
  <c r="AA193" i="3"/>
  <c r="BA105" i="2" s="1"/>
  <c r="AA196" i="3"/>
  <c r="BJ103" i="1" s="1"/>
  <c r="AA197" i="3"/>
  <c r="BJ104" i="1" s="1"/>
  <c r="AA180" i="3"/>
  <c r="BA106" i="2" s="1"/>
  <c r="AA242" i="3"/>
  <c r="BA107" i="2" s="1"/>
  <c r="AA204" i="3"/>
  <c r="BJ105" i="1" s="1"/>
  <c r="AA223" i="3"/>
  <c r="BJ106" i="1" s="1"/>
  <c r="AA224" i="3"/>
  <c r="BJ107" i="1" s="1"/>
  <c r="AA206" i="3"/>
  <c r="BA108" i="2" s="1"/>
  <c r="AA186" i="3"/>
  <c r="BA109" i="2" s="1"/>
  <c r="AA272" i="3"/>
  <c r="BA110" i="2" s="1"/>
  <c r="AA213" i="3"/>
  <c r="BA111" i="2" s="1"/>
  <c r="AA214" i="3"/>
  <c r="BA112" i="2" s="1"/>
  <c r="AA215" i="3"/>
  <c r="BA113" i="2" s="1"/>
  <c r="AA216" i="3"/>
  <c r="BA116" i="2" s="1"/>
  <c r="AA217" i="3"/>
  <c r="BA114" i="2" s="1"/>
  <c r="AA218" i="3"/>
  <c r="BA115" i="2" s="1"/>
  <c r="AA219" i="3"/>
  <c r="BA118" i="2" s="1"/>
  <c r="AA220" i="3"/>
  <c r="BA117" i="2" s="1"/>
  <c r="AA191" i="3"/>
  <c r="BA119" i="2" s="1"/>
  <c r="AA222" i="3"/>
  <c r="BJ109" i="1" s="1"/>
  <c r="AA225" i="3"/>
  <c r="BA121" i="2" s="1"/>
  <c r="AA226" i="3"/>
  <c r="BA120" i="2" s="1"/>
  <c r="AA208" i="3"/>
  <c r="BJ110" i="1" s="1"/>
  <c r="AA227" i="3"/>
  <c r="BJ135" i="1" s="1"/>
  <c r="AA228" i="3"/>
  <c r="BJ111" i="1" s="1"/>
  <c r="AA229" i="3"/>
  <c r="BA122" i="2" s="1"/>
  <c r="AA230" i="3"/>
  <c r="BA123" i="2" s="1"/>
  <c r="AA199" i="3"/>
  <c r="BA124" i="2" s="1"/>
  <c r="AA231" i="3"/>
  <c r="BA125" i="2" s="1"/>
  <c r="AA245" i="3"/>
  <c r="BA126" i="2" s="1"/>
  <c r="AA246" i="3"/>
  <c r="BA127" i="2" s="1"/>
  <c r="AA268" i="3"/>
  <c r="BA128" i="2" s="1"/>
  <c r="AA247" i="3"/>
  <c r="BA129" i="2" s="1"/>
  <c r="AA262" i="3"/>
  <c r="BJ112" i="1" s="1"/>
  <c r="AA250" i="3"/>
  <c r="BA130" i="2" s="1"/>
  <c r="AA251" i="3"/>
  <c r="BA131" i="2" s="1"/>
  <c r="AA252" i="3"/>
  <c r="BA132" i="2" s="1"/>
  <c r="AA265" i="3"/>
  <c r="BJ113" i="1" s="1"/>
  <c r="AA253" i="3"/>
  <c r="BA133" i="2" s="1"/>
  <c r="AA221" i="3"/>
  <c r="BA134" i="2" s="1"/>
  <c r="AA256" i="3"/>
  <c r="BJ114" i="1" s="1"/>
  <c r="AA257" i="3"/>
  <c r="BA135" i="2" s="1"/>
  <c r="AA284" i="3"/>
  <c r="BA136" i="2" s="1"/>
  <c r="AA288" i="3"/>
  <c r="BA137" i="2" s="1"/>
  <c r="AA258" i="3"/>
  <c r="BJ115" i="1" s="1"/>
  <c r="AA248" i="3"/>
  <c r="BJ116" i="1" s="1"/>
  <c r="AA269" i="3"/>
  <c r="BJ139" i="1" s="1"/>
  <c r="AA259" i="3"/>
  <c r="BJ117" i="1" s="1"/>
  <c r="AA260" i="3"/>
  <c r="BJ118" i="1" s="1"/>
  <c r="AA232" i="3"/>
  <c r="BA143" i="2" s="1"/>
  <c r="AA233" i="3"/>
  <c r="BA146" i="2" s="1"/>
  <c r="AA234" i="3"/>
  <c r="BA138" i="2" s="1"/>
  <c r="AA235" i="3"/>
  <c r="BA140" i="2" s="1"/>
  <c r="AA236" i="3"/>
  <c r="BA142" i="2" s="1"/>
  <c r="AA237" i="3"/>
  <c r="BA144" i="2" s="1"/>
  <c r="AA238" i="3"/>
  <c r="BA145" i="2" s="1"/>
  <c r="AA239" i="3"/>
  <c r="BA147" i="2" s="1"/>
  <c r="AA240" i="3"/>
  <c r="BA139" i="2" s="1"/>
  <c r="AA241" i="3"/>
  <c r="BA141" i="2" s="1"/>
  <c r="AA280" i="3"/>
  <c r="BJ119" i="1" s="1"/>
  <c r="AA254" i="3"/>
  <c r="BJ120" i="1" s="1"/>
  <c r="AA243" i="3"/>
  <c r="BA148" i="2" s="1"/>
  <c r="AA244" i="3"/>
  <c r="BA149" i="2" s="1"/>
  <c r="AA267" i="3"/>
  <c r="BJ121" i="1" s="1"/>
  <c r="AA285" i="3"/>
  <c r="BJ122" i="1" s="1"/>
  <c r="AA287" i="3"/>
  <c r="BJ123" i="1" s="1"/>
  <c r="AA270" i="3"/>
  <c r="BA150" i="2" s="1"/>
  <c r="AA271" i="3"/>
  <c r="BA151" i="2" s="1"/>
  <c r="AA273" i="3"/>
  <c r="BA152" i="2" s="1"/>
  <c r="AA263" i="3"/>
  <c r="BJ154" i="1" s="1"/>
  <c r="AA275" i="3"/>
  <c r="BA153" i="2" s="1"/>
  <c r="AA274" i="3"/>
  <c r="BJ124" i="1" s="1"/>
  <c r="AA276" i="3"/>
  <c r="BA154" i="2" s="1"/>
  <c r="AA278" i="3"/>
  <c r="BA155" i="2" s="1"/>
  <c r="AA264" i="3"/>
  <c r="BJ125" i="1" s="1"/>
  <c r="AA279" i="3"/>
  <c r="BA156" i="2" s="1"/>
  <c r="AA306" i="3"/>
  <c r="BA157" i="2" s="1"/>
  <c r="AA281" i="3"/>
  <c r="BA158" i="2" s="1"/>
  <c r="AA266" i="3"/>
  <c r="BJ126" i="1" s="1"/>
  <c r="AA309" i="3"/>
  <c r="BA159" i="2" s="1"/>
  <c r="AA286" i="3"/>
  <c r="BA160" i="2" s="1"/>
  <c r="AA290" i="3"/>
  <c r="BJ127" i="1" s="1"/>
  <c r="AA292" i="3"/>
  <c r="BA161" i="2" s="1"/>
  <c r="AA293" i="3"/>
  <c r="BA162" i="2" s="1"/>
  <c r="AA291" i="3"/>
  <c r="BJ128" i="1" s="1"/>
  <c r="AA304" i="3"/>
  <c r="BJ129" i="1" s="1"/>
  <c r="AA277" i="3"/>
  <c r="BJ130" i="1" s="1"/>
  <c r="AA317" i="3"/>
  <c r="BA163" i="2" s="1"/>
  <c r="AA305" i="3"/>
  <c r="BJ131" i="1" s="1"/>
  <c r="AA294" i="3"/>
  <c r="BA164" i="2" s="1"/>
  <c r="AA322" i="3"/>
  <c r="BA165" i="2" s="1"/>
  <c r="AA323" i="3"/>
  <c r="BA166" i="2" s="1"/>
  <c r="AA282" i="3"/>
  <c r="BJ132" i="1" s="1"/>
  <c r="AA295" i="3"/>
  <c r="BJ133" i="1" s="1"/>
  <c r="AA327" i="3"/>
  <c r="BA167" i="2" s="1"/>
  <c r="AA297" i="3"/>
  <c r="BA168" i="2" s="1"/>
  <c r="AA372" i="3"/>
  <c r="BA169" i="2" s="1"/>
  <c r="AA299" i="3"/>
  <c r="BA170" i="2" s="1"/>
  <c r="AA249" i="3"/>
  <c r="BA171" i="2" s="1"/>
  <c r="AA300" i="3"/>
  <c r="BJ134" i="1" s="1"/>
  <c r="AA302" i="3"/>
  <c r="BA172" i="2" s="1"/>
  <c r="AA331" i="3"/>
  <c r="BA173" i="2" s="1"/>
  <c r="AA315" i="3"/>
  <c r="BJ136" i="1" s="1"/>
  <c r="AA283" i="3"/>
  <c r="BA174" i="2" s="1"/>
  <c r="AA310" i="3"/>
  <c r="BA175" i="2" s="1"/>
  <c r="AA311" i="3"/>
  <c r="BA176" i="2" s="1"/>
  <c r="AA312" i="3"/>
  <c r="BA177" i="2" s="1"/>
  <c r="AA347" i="3"/>
  <c r="BA178" i="2" s="1"/>
  <c r="AA289" i="3"/>
  <c r="BA179" i="2" s="1"/>
  <c r="AA261" i="3"/>
  <c r="BA180" i="2" s="1"/>
  <c r="AA314" i="3"/>
  <c r="BA181" i="2" s="1"/>
  <c r="AA357" i="3"/>
  <c r="BA182" i="2" s="1"/>
  <c r="AA318" i="3"/>
  <c r="BA183" i="2" s="1"/>
  <c r="AA321" i="3"/>
  <c r="BA184" i="2" s="1"/>
  <c r="AA296" i="3"/>
  <c r="BA185" i="2" s="1"/>
  <c r="AA319" i="3"/>
  <c r="BJ137" i="1" s="1"/>
  <c r="AA329" i="3"/>
  <c r="BA186" i="2" s="1"/>
  <c r="AA298" i="3"/>
  <c r="BJ138" i="1" s="1"/>
  <c r="AA352" i="3"/>
  <c r="BJ140" i="1" s="1"/>
  <c r="AA303" i="3"/>
  <c r="BA187" i="2" s="1"/>
  <c r="AA381" i="3"/>
  <c r="BA188" i="2" s="1"/>
  <c r="AA353" i="3"/>
  <c r="BJ141" i="1" s="1"/>
  <c r="AA356" i="3"/>
  <c r="BJ142" i="1" s="1"/>
  <c r="AA335" i="3"/>
  <c r="BA189" i="2" s="1"/>
  <c r="AA336" i="3"/>
  <c r="BA190" i="2" s="1"/>
  <c r="AA334" i="3"/>
  <c r="BJ143" i="1" s="1"/>
  <c r="AA338" i="3"/>
  <c r="BA191" i="2" s="1"/>
  <c r="AA339" i="3"/>
  <c r="BA192" i="2" s="1"/>
  <c r="AA337" i="3"/>
  <c r="BJ144" i="1" s="1"/>
  <c r="AA340" i="3"/>
  <c r="BA193" i="2" s="1"/>
  <c r="AA307" i="3"/>
  <c r="BA194" i="2" s="1"/>
  <c r="AA308" i="3"/>
  <c r="BA195" i="2" s="1"/>
  <c r="AA341" i="3"/>
  <c r="BA196" i="2" s="1"/>
  <c r="AA342" i="3"/>
  <c r="BA197" i="2" s="1"/>
  <c r="AA343" i="3"/>
  <c r="BA198" i="2" s="1"/>
  <c r="AA345" i="3"/>
  <c r="BA199" i="2" s="1"/>
  <c r="AA344" i="3"/>
  <c r="BJ145" i="1" s="1"/>
  <c r="AA346" i="3"/>
  <c r="BA200" i="2" s="1"/>
  <c r="AA326" i="3"/>
  <c r="BJ146" i="1" s="1"/>
  <c r="AA389" i="3"/>
  <c r="BA201" i="2" s="1"/>
  <c r="AA313" i="3"/>
  <c r="BA202" i="2" s="1"/>
  <c r="AA348" i="3"/>
  <c r="BA203" i="2" s="1"/>
  <c r="AA350" i="3"/>
  <c r="BA204" i="2" s="1"/>
  <c r="AA330" i="3"/>
  <c r="BJ147" i="1" s="1"/>
  <c r="AA373" i="3"/>
  <c r="BJ148" i="1" s="1"/>
  <c r="AA351" i="3"/>
  <c r="BJ149" i="1" s="1"/>
  <c r="AA378" i="3"/>
  <c r="BJ150" i="1" s="1"/>
  <c r="AA379" i="3"/>
  <c r="BJ151" i="1" s="1"/>
  <c r="AA354" i="3"/>
  <c r="BA205" i="2" s="1"/>
  <c r="AA332" i="3"/>
  <c r="BJ152" i="1" s="1"/>
  <c r="AA316" i="3"/>
  <c r="BJ153" i="1" s="1"/>
  <c r="AA358" i="3"/>
  <c r="BJ155" i="1" s="1"/>
  <c r="AA359" i="3"/>
  <c r="BJ156" i="1" s="1"/>
  <c r="AA324" i="3"/>
  <c r="BA206" i="2" s="1"/>
  <c r="AA365" i="3"/>
  <c r="BA207" i="2" s="1"/>
  <c r="AA367" i="3"/>
  <c r="BA208" i="2" s="1"/>
  <c r="AA368" i="3"/>
  <c r="BA209" i="2" s="1"/>
  <c r="AA328" i="3"/>
  <c r="BA210" i="2" s="1"/>
  <c r="AA366" i="3"/>
  <c r="BJ157" i="1" s="1"/>
  <c r="AA369" i="3"/>
  <c r="BJ158" i="1" s="1"/>
  <c r="AA370" i="3"/>
  <c r="BJ159" i="1" s="1"/>
  <c r="AA386" i="3"/>
  <c r="BJ160" i="1" s="1"/>
  <c r="AA390" i="3"/>
  <c r="BJ161" i="1" s="1"/>
  <c r="AA301" i="3"/>
  <c r="BA211" i="2" s="1"/>
  <c r="AA391" i="3"/>
  <c r="BJ162" i="1" s="1"/>
  <c r="AA382" i="3"/>
  <c r="BA212" i="2" s="1"/>
  <c r="AA418" i="3"/>
  <c r="BA213" i="2" s="1"/>
  <c r="AA383" i="3"/>
  <c r="BJ163" i="1" s="1"/>
  <c r="AA360" i="3"/>
  <c r="BJ164" i="1" s="1"/>
  <c r="AA384" i="3"/>
  <c r="BJ165" i="1" s="1"/>
  <c r="AA402" i="3"/>
  <c r="BJ166" i="1" s="1"/>
  <c r="AA371" i="3"/>
  <c r="BJ167" i="1" s="1"/>
  <c r="AA428" i="3"/>
  <c r="BA214" i="2" s="1"/>
  <c r="AA387" i="3"/>
  <c r="BJ168" i="1" s="1"/>
  <c r="AA349" i="3"/>
  <c r="BA215" i="2" s="1"/>
  <c r="AA394" i="3"/>
  <c r="BA216" i="2" s="1"/>
  <c r="AA395" i="3"/>
  <c r="BA217" i="2" s="1"/>
  <c r="AA355" i="3"/>
  <c r="BA218" i="2" s="1"/>
  <c r="AA412" i="3"/>
  <c r="BJ169" i="1" s="1"/>
  <c r="AA375" i="3"/>
  <c r="BJ170" i="1" s="1"/>
  <c r="AA414" i="3"/>
  <c r="BJ171" i="1" s="1"/>
  <c r="AA377" i="3"/>
  <c r="BJ172" i="1" s="1"/>
  <c r="AA380" i="3"/>
  <c r="BJ173" i="1" s="1"/>
  <c r="AA396" i="3"/>
  <c r="BJ174" i="1" s="1"/>
  <c r="AA397" i="3"/>
  <c r="BJ175" i="1" s="1"/>
  <c r="AA438" i="3"/>
  <c r="BA219" i="2" s="1"/>
  <c r="AA361" i="3"/>
  <c r="BA220" i="2" s="1"/>
  <c r="AA362" i="3"/>
  <c r="BA221" i="2" s="1"/>
  <c r="AA363" i="3"/>
  <c r="BA222" i="2" s="1"/>
  <c r="AA320" i="3"/>
  <c r="BA223" i="2" s="1"/>
  <c r="AA364" i="3"/>
  <c r="BA224" i="2" s="1"/>
  <c r="AA403" i="3"/>
  <c r="BA225" i="2" s="1"/>
  <c r="AA325" i="3"/>
  <c r="BA226" i="2" s="1"/>
  <c r="AA423" i="3"/>
  <c r="BJ235" i="1" s="1"/>
  <c r="AA385" i="3"/>
  <c r="BJ176" i="1" s="1"/>
  <c r="AA405" i="3"/>
  <c r="BA227" i="2" s="1"/>
  <c r="AA407" i="3"/>
  <c r="BA228" i="2" s="1"/>
  <c r="AA408" i="3"/>
  <c r="BA229" i="2" s="1"/>
  <c r="AA388" i="3"/>
  <c r="BJ177" i="1" s="1"/>
  <c r="AA374" i="3"/>
  <c r="BA230" i="2" s="1"/>
  <c r="AA333" i="3"/>
  <c r="BA231" i="2" s="1"/>
  <c r="AA411" i="3"/>
  <c r="BJ178" i="1" s="1"/>
  <c r="AA415" i="3"/>
  <c r="BJ179" i="1" s="1"/>
  <c r="AA417" i="3"/>
  <c r="BJ180" i="1" s="1"/>
  <c r="AA461" i="3"/>
  <c r="BA232" i="2" s="1"/>
  <c r="AA398" i="3"/>
  <c r="BJ181" i="1" s="1"/>
  <c r="AA420" i="3"/>
  <c r="BJ182" i="1" s="1"/>
  <c r="AA401" i="3"/>
  <c r="BJ183" i="1" s="1"/>
  <c r="AA426" i="3"/>
  <c r="BA233" i="2" s="1"/>
  <c r="AA442" i="3"/>
  <c r="BJ184" i="1" s="1"/>
  <c r="AA470" i="3"/>
  <c r="BJ185" i="1" s="1"/>
  <c r="AA406" i="3"/>
  <c r="BJ186" i="1" s="1"/>
  <c r="AA427" i="3"/>
  <c r="BJ187" i="1" s="1"/>
  <c r="AA392" i="3"/>
  <c r="BA234" i="2" s="1"/>
  <c r="AA430" i="3"/>
  <c r="BJ188" i="1" s="1"/>
  <c r="AA410" i="3"/>
  <c r="BJ189" i="1" s="1"/>
  <c r="AA433" i="3"/>
  <c r="BA235" i="2" s="1"/>
  <c r="AA435" i="3"/>
  <c r="BA236" i="2" s="1"/>
  <c r="AA432" i="3"/>
  <c r="BJ267" i="1" s="1"/>
  <c r="AA474" i="3"/>
  <c r="BA237" i="2" s="1"/>
  <c r="AA436" i="3"/>
  <c r="BA238" i="2" s="1"/>
  <c r="AA393" i="3"/>
  <c r="BJ190" i="1" s="1"/>
  <c r="AA416" i="3"/>
  <c r="BJ191" i="1" s="1"/>
  <c r="AA475" i="3"/>
  <c r="BA239" i="2" s="1"/>
  <c r="AA439" i="3"/>
  <c r="BA240" i="2" s="1"/>
  <c r="AA476" i="3"/>
  <c r="BA241" i="2" s="1"/>
  <c r="AA400" i="3"/>
  <c r="BA242" i="2" s="1"/>
  <c r="AA441" i="3"/>
  <c r="BA243" i="2" s="1"/>
  <c r="AA460" i="3"/>
  <c r="BJ192" i="1" s="1"/>
  <c r="AA419" i="3"/>
  <c r="BJ193" i="1" s="1"/>
  <c r="AA443" i="3"/>
  <c r="BA244" i="2" s="1"/>
  <c r="AA421" i="3"/>
  <c r="BJ194" i="1" s="1"/>
  <c r="AA399" i="3"/>
  <c r="BJ195" i="1" s="1"/>
  <c r="AA404" i="3"/>
  <c r="BA245" i="2" s="1"/>
  <c r="AA422" i="3"/>
  <c r="BJ196" i="1" s="1"/>
  <c r="AA424" i="3"/>
  <c r="BJ197" i="1" s="1"/>
  <c r="AA445" i="3"/>
  <c r="BJ198" i="1" s="1"/>
  <c r="AA492" i="3"/>
  <c r="BA246" i="2" s="1"/>
  <c r="AA447" i="3"/>
  <c r="BJ199" i="1" s="1"/>
  <c r="AA472" i="3"/>
  <c r="BJ200" i="1" s="1"/>
  <c r="AA376" i="3"/>
  <c r="BA247" i="2" s="1"/>
  <c r="AA452" i="3"/>
  <c r="BA248" i="2" s="1"/>
  <c r="AA413" i="3"/>
  <c r="BA249" i="2" s="1"/>
  <c r="AA454" i="3"/>
  <c r="BA250" i="2" s="1"/>
  <c r="AA453" i="3"/>
  <c r="BJ201" i="1" s="1"/>
  <c r="AA434" i="3"/>
  <c r="BJ202" i="1" s="1"/>
  <c r="AA456" i="3"/>
  <c r="BJ303" i="1" s="1"/>
  <c r="AA582" i="3"/>
  <c r="BA251" i="2" s="1"/>
  <c r="AA437" i="3"/>
  <c r="BJ203" i="1" s="1"/>
  <c r="AA462" i="3"/>
  <c r="BA252" i="2" s="1"/>
  <c r="AA463" i="3"/>
  <c r="BA253" i="2" s="1"/>
  <c r="AA425" i="3"/>
  <c r="BA254" i="2" s="1"/>
  <c r="AA483" i="3"/>
  <c r="BJ204" i="1" s="1"/>
  <c r="AA466" i="3"/>
  <c r="BJ205" i="1" s="1"/>
  <c r="AA429" i="3"/>
  <c r="BA255" i="2" s="1"/>
  <c r="AA471" i="3"/>
  <c r="BA256" i="2" s="1"/>
  <c r="AA431" i="3"/>
  <c r="BA257" i="2" s="1"/>
  <c r="AA448" i="3"/>
  <c r="BJ206" i="1" s="1"/>
  <c r="AA531" i="3"/>
  <c r="BA258" i="2" s="1"/>
  <c r="AA500" i="3"/>
  <c r="BJ207" i="1" s="1"/>
  <c r="AA473" i="3"/>
  <c r="BJ208" i="1" s="1"/>
  <c r="AA440" i="3"/>
  <c r="BA259" i="2" s="1"/>
  <c r="AA507" i="3"/>
  <c r="BJ209" i="1" s="1"/>
  <c r="AA444" i="3"/>
  <c r="BA260" i="2" s="1"/>
  <c r="AA480" i="3"/>
  <c r="BJ210" i="1" s="1"/>
  <c r="AA634" i="3"/>
  <c r="BA261" i="2" s="1"/>
  <c r="AA512" i="3"/>
  <c r="BJ331" i="1" s="1"/>
  <c r="AA446" i="3"/>
  <c r="BA262" i="2" s="1"/>
  <c r="AA489" i="3"/>
  <c r="BA263" i="2" s="1"/>
  <c r="AA484" i="3"/>
  <c r="BJ211" i="1" s="1"/>
  <c r="AA487" i="3"/>
  <c r="BJ212" i="1" s="1"/>
  <c r="AA513" i="3"/>
  <c r="BJ213" i="1" s="1"/>
  <c r="AA468" i="3"/>
  <c r="BJ333" i="1" s="1"/>
  <c r="AA409" i="3"/>
  <c r="BA264" i="2" s="1"/>
  <c r="AA488" i="3"/>
  <c r="BJ214" i="1" s="1"/>
  <c r="AA465" i="3"/>
  <c r="BJ215" i="1" s="1"/>
  <c r="AA467" i="3"/>
  <c r="BJ216" i="1" s="1"/>
  <c r="AA516" i="3"/>
  <c r="BJ217" i="1" s="1"/>
  <c r="AA450" i="3"/>
  <c r="BA265" i="2" s="1"/>
  <c r="AA520" i="3"/>
  <c r="BJ218" i="1" s="1"/>
  <c r="AA495" i="3"/>
  <c r="BA266" i="2" s="1"/>
  <c r="AA451" i="3"/>
  <c r="BA267" i="2" s="1"/>
  <c r="AA493" i="3"/>
  <c r="BJ219" i="1" s="1"/>
  <c r="AA497" i="3"/>
  <c r="BA268" i="2" s="1"/>
  <c r="AA522" i="3"/>
  <c r="BJ220" i="1" s="1"/>
  <c r="AA502" i="3"/>
  <c r="BA269" i="2" s="1"/>
  <c r="AA573" i="3"/>
  <c r="BA270" i="2" s="1"/>
  <c r="AA576" i="3"/>
  <c r="BA271" i="2" s="1"/>
  <c r="AA455" i="3"/>
  <c r="BA272" i="2" s="1"/>
  <c r="AA577" i="3"/>
  <c r="BA273" i="2" s="1"/>
  <c r="AA499" i="3"/>
  <c r="BJ221" i="1" s="1"/>
  <c r="AA528" i="3"/>
  <c r="BJ222" i="1" s="1"/>
  <c r="AA658" i="3"/>
  <c r="BA274" i="2" s="1"/>
  <c r="AA575" i="3"/>
  <c r="BJ223" i="1" s="1"/>
  <c r="AA501" i="3"/>
  <c r="BJ224" i="1" s="1"/>
  <c r="AA457" i="3"/>
  <c r="BA275" i="2" s="1"/>
  <c r="AA458" i="3"/>
  <c r="BA276" i="2" s="1"/>
  <c r="AA459" i="3"/>
  <c r="BA277" i="2" s="1"/>
  <c r="AA583" i="3"/>
  <c r="BJ225" i="1" s="1"/>
  <c r="AA508" i="3"/>
  <c r="BJ226" i="1" s="1"/>
  <c r="AA477" i="3"/>
  <c r="BJ227" i="1" s="1"/>
  <c r="AA540" i="3"/>
  <c r="BJ228" i="1" s="1"/>
  <c r="AA478" i="3"/>
  <c r="BJ229" i="1" s="1"/>
  <c r="AA479" i="3"/>
  <c r="BJ230" i="1" s="1"/>
  <c r="AA464" i="3"/>
  <c r="BA278" i="2" s="1"/>
  <c r="AA482" i="3"/>
  <c r="BJ353" i="1" s="1"/>
  <c r="AA549" i="3"/>
  <c r="BJ231" i="1" s="1"/>
  <c r="AA514" i="3"/>
  <c r="BA279" i="2" s="1"/>
  <c r="AA552" i="3"/>
  <c r="BJ232" i="1" s="1"/>
  <c r="AA553" i="3"/>
  <c r="BJ233" i="1" s="1"/>
  <c r="AA485" i="3"/>
  <c r="BJ234" i="1" s="1"/>
  <c r="AA603" i="3"/>
  <c r="BA280" i="2" s="1"/>
  <c r="AA515" i="3"/>
  <c r="BJ236" i="1" s="1"/>
  <c r="AA559" i="3"/>
  <c r="BJ359" i="1" s="1"/>
  <c r="AA490" i="3"/>
  <c r="BJ237" i="1" s="1"/>
  <c r="AA491" i="3"/>
  <c r="BJ238" i="1" s="1"/>
  <c r="AA519" i="3"/>
  <c r="BJ239" i="1" s="1"/>
  <c r="AA523" i="3"/>
  <c r="BJ240" i="1" s="1"/>
  <c r="AA494" i="3"/>
  <c r="BJ241" i="1" s="1"/>
  <c r="AA568" i="3"/>
  <c r="BJ242" i="1" s="1"/>
  <c r="AA496" i="3"/>
  <c r="BJ243" i="1" s="1"/>
  <c r="AA688" i="3"/>
  <c r="BA281" i="2" s="1"/>
  <c r="AA498" i="3"/>
  <c r="BJ244" i="1" s="1"/>
  <c r="AA527" i="3"/>
  <c r="BJ245" i="1" s="1"/>
  <c r="AA536" i="3"/>
  <c r="BA282" i="2" s="1"/>
  <c r="AA530" i="3"/>
  <c r="BJ246" i="1" s="1"/>
  <c r="AA503" i="3"/>
  <c r="BJ247" i="1" s="1"/>
  <c r="AA481" i="3"/>
  <c r="BA283" i="2" s="1"/>
  <c r="AA534" i="3"/>
  <c r="BJ248" i="1" s="1"/>
  <c r="AA505" i="3"/>
  <c r="BJ249" i="1" s="1"/>
  <c r="AA535" i="3"/>
  <c r="BJ250" i="1" s="1"/>
  <c r="AA544" i="3"/>
  <c r="BA284" i="2" s="1"/>
  <c r="AA545" i="3"/>
  <c r="BA285" i="2" s="1"/>
  <c r="AA632" i="3"/>
  <c r="BA286" i="2" s="1"/>
  <c r="AA509" i="3"/>
  <c r="BJ251" i="1" s="1"/>
  <c r="AA538" i="3"/>
  <c r="BJ252" i="1" s="1"/>
  <c r="AA486" i="3"/>
  <c r="BA287" i="2" s="1"/>
  <c r="AA539" i="3"/>
  <c r="BJ253" i="1" s="1"/>
  <c r="AA542" i="3"/>
  <c r="BJ254" i="1" s="1"/>
  <c r="AA551" i="3"/>
  <c r="BJ370" i="1" s="1"/>
  <c r="AA548" i="3"/>
  <c r="BJ255" i="1" s="1"/>
  <c r="AA556" i="3"/>
  <c r="BA288" i="2" s="1"/>
  <c r="AA557" i="3"/>
  <c r="BA289" i="2" s="1"/>
  <c r="AA511" i="3"/>
  <c r="BJ256" i="1" s="1"/>
  <c r="AA554" i="3"/>
  <c r="BJ257" i="1" s="1"/>
  <c r="AA561" i="3"/>
  <c r="BA290" i="2" s="1"/>
  <c r="AA449" i="3"/>
  <c r="BA291" i="2" s="1"/>
  <c r="AA558" i="3"/>
  <c r="BJ258" i="1" s="1"/>
  <c r="AA560" i="3"/>
  <c r="BJ379" i="1" s="1"/>
  <c r="AA562" i="3"/>
  <c r="BJ259" i="1" s="1"/>
  <c r="AA569" i="3"/>
  <c r="BA292" i="2" s="1"/>
  <c r="AA570" i="3"/>
  <c r="BA293" i="2" s="1"/>
  <c r="AA521" i="3"/>
  <c r="BJ260" i="1" s="1"/>
  <c r="AA564" i="3"/>
  <c r="BJ261" i="1" s="1"/>
  <c r="AA651" i="3"/>
  <c r="BJ262" i="1" s="1"/>
  <c r="AA524" i="3"/>
  <c r="BJ263" i="1" s="1"/>
  <c r="AA614" i="3"/>
  <c r="BJ264" i="1" s="1"/>
  <c r="AA567" i="3"/>
  <c r="BJ265" i="1" s="1"/>
  <c r="AA572" i="3"/>
  <c r="BJ266" i="1" s="1"/>
  <c r="AA506" i="3"/>
  <c r="BJ387" i="1" s="1"/>
  <c r="AA664" i="3"/>
  <c r="BA294" i="2" s="1"/>
  <c r="AA532" i="3"/>
  <c r="BJ268" i="1" s="1"/>
  <c r="AA533" i="3"/>
  <c r="BJ269" i="1" s="1"/>
  <c r="AA584" i="3"/>
  <c r="BJ270" i="1" s="1"/>
  <c r="AA585" i="3"/>
  <c r="BJ271" i="1" s="1"/>
  <c r="AA586" i="3"/>
  <c r="BJ272" i="1" s="1"/>
  <c r="AA627" i="3"/>
  <c r="BJ273" i="1" s="1"/>
  <c r="AA537" i="3"/>
  <c r="BJ274" i="1" s="1"/>
  <c r="AA589" i="3"/>
  <c r="BJ275" i="1" s="1"/>
  <c r="AA590" i="3"/>
  <c r="BJ276" i="1" s="1"/>
  <c r="AA510" i="3"/>
  <c r="BJ277" i="1" s="1"/>
  <c r="AA541" i="3"/>
  <c r="BJ278" i="1" s="1"/>
  <c r="AA597" i="3"/>
  <c r="BJ279" i="1" s="1"/>
  <c r="AA601" i="3"/>
  <c r="BA295" i="2" s="1"/>
  <c r="AA546" i="3"/>
  <c r="BJ280" i="1" s="1"/>
  <c r="AA469" i="3"/>
  <c r="BA296" i="2" s="1"/>
  <c r="AA517" i="3"/>
  <c r="BA297" i="2" s="1"/>
  <c r="AA547" i="3"/>
  <c r="BJ281" i="1" s="1"/>
  <c r="AA518" i="3"/>
  <c r="BA298" i="2" s="1"/>
  <c r="AA675" i="3"/>
  <c r="BA299" i="2" s="1"/>
  <c r="AA637" i="3"/>
  <c r="BJ282" i="1" s="1"/>
  <c r="AA638" i="3"/>
  <c r="BJ283" i="1" s="1"/>
  <c r="AA555" i="3"/>
  <c r="BJ284" i="1" s="1"/>
  <c r="AA612" i="3"/>
  <c r="BA300" i="2" s="1"/>
  <c r="AA525" i="3"/>
  <c r="BA301" i="2" s="1"/>
  <c r="AA604" i="3"/>
  <c r="BJ285" i="1" s="1"/>
  <c r="AA607" i="3"/>
  <c r="BJ395" i="1" s="1"/>
  <c r="AA608" i="3"/>
  <c r="BJ396" i="1" s="1"/>
  <c r="AA609" i="3"/>
  <c r="BJ397" i="1" s="1"/>
  <c r="AA605" i="3"/>
  <c r="BJ286" i="1" s="1"/>
  <c r="AA526" i="3"/>
  <c r="BA302" i="2" s="1"/>
  <c r="AA606" i="3"/>
  <c r="BJ287" i="1" s="1"/>
  <c r="AA649" i="3"/>
  <c r="BJ400" i="1" s="1"/>
  <c r="AA610" i="3"/>
  <c r="BJ288" i="1" s="1"/>
  <c r="AA611" i="3"/>
  <c r="BJ289" i="1" s="1"/>
  <c r="AA529" i="3"/>
  <c r="BA303" i="2" s="1"/>
  <c r="AA617" i="3"/>
  <c r="BA304" i="2" s="1"/>
  <c r="AA683" i="3"/>
  <c r="BA305" i="2" s="1"/>
  <c r="AA686" i="3"/>
  <c r="BA306" i="2" s="1"/>
  <c r="AA563" i="3"/>
  <c r="BJ290" i="1" s="1"/>
  <c r="AA652" i="3"/>
  <c r="BJ403" i="1" s="1"/>
  <c r="AA613" i="3"/>
  <c r="BJ291" i="1" s="1"/>
  <c r="AA565" i="3"/>
  <c r="BJ292" i="1" s="1"/>
  <c r="AA566" i="3"/>
  <c r="BJ293" i="1" s="1"/>
  <c r="AA615" i="3"/>
  <c r="BJ294" i="1" s="1"/>
  <c r="AA616" i="3"/>
  <c r="BJ295" i="1" s="1"/>
  <c r="AA620" i="3"/>
  <c r="BJ409" i="1" s="1"/>
  <c r="AA693" i="3"/>
  <c r="BA307" i="2" s="1"/>
  <c r="AA625" i="3"/>
  <c r="BA308" i="2" s="1"/>
  <c r="AA619" i="3"/>
  <c r="BJ296" i="1" s="1"/>
  <c r="AA574" i="3"/>
  <c r="BJ297" i="1" s="1"/>
  <c r="AA657" i="3"/>
  <c r="BJ298" i="1" s="1"/>
  <c r="AA696" i="3"/>
  <c r="BA309" i="2" s="1"/>
  <c r="AA791" i="3"/>
  <c r="BA310" i="2" s="1"/>
  <c r="AA622" i="3"/>
  <c r="BJ299" i="1" s="1"/>
  <c r="AA579" i="3"/>
  <c r="BJ300" i="1" s="1"/>
  <c r="AA580" i="3"/>
  <c r="BJ301" i="1" s="1"/>
  <c r="AA628" i="3"/>
  <c r="BA311" i="2" s="1"/>
  <c r="AA629" i="3"/>
  <c r="BA312" i="2" s="1"/>
  <c r="AA623" i="3"/>
  <c r="BJ302" i="1" s="1"/>
  <c r="AA701" i="3"/>
  <c r="BA313" i="2" s="1"/>
  <c r="AA633" i="3"/>
  <c r="BA314" i="2" s="1"/>
  <c r="AA550" i="3"/>
  <c r="BA315" i="2" s="1"/>
  <c r="AA594" i="3"/>
  <c r="BJ414" i="1" s="1"/>
  <c r="AA626" i="3"/>
  <c r="BJ304" i="1" s="1"/>
  <c r="AA588" i="3"/>
  <c r="BJ305" i="1" s="1"/>
  <c r="AA543" i="3"/>
  <c r="BJ419" i="1" s="1"/>
  <c r="AA596" i="3"/>
  <c r="BJ421" i="1" s="1"/>
  <c r="AA591" i="3"/>
  <c r="BJ306" i="1" s="1"/>
  <c r="AA592" i="3"/>
  <c r="BJ307" i="1" s="1"/>
  <c r="AA593" i="3"/>
  <c r="BJ308" i="1" s="1"/>
  <c r="AA640" i="3"/>
  <c r="BA316" i="2" s="1"/>
  <c r="AA631" i="3"/>
  <c r="BJ309" i="1" s="1"/>
  <c r="AA665" i="3"/>
  <c r="BJ310" i="1" s="1"/>
  <c r="AA706" i="3"/>
  <c r="BJ311" i="1" s="1"/>
  <c r="AA642" i="3"/>
  <c r="BA317" i="2" s="1"/>
  <c r="AA800" i="3"/>
  <c r="BA318" i="2" s="1"/>
  <c r="AA644" i="3"/>
  <c r="BA319" i="2" s="1"/>
  <c r="AA598" i="3"/>
  <c r="BJ312" i="1" s="1"/>
  <c r="AA599" i="3"/>
  <c r="BJ313" i="1" s="1"/>
  <c r="AA639" i="3"/>
  <c r="BJ314" i="1" s="1"/>
  <c r="AA641" i="3"/>
  <c r="BJ315" i="1" s="1"/>
  <c r="AA643" i="3"/>
  <c r="BJ316" i="1" s="1"/>
  <c r="AA645" i="3"/>
  <c r="BJ317" i="1" s="1"/>
  <c r="AA678" i="3"/>
  <c r="BJ318" i="1" s="1"/>
  <c r="AA602" i="3"/>
  <c r="BJ319" i="1" s="1"/>
  <c r="AA818" i="3"/>
  <c r="BA320" i="2" s="1"/>
  <c r="AA504" i="3"/>
  <c r="BA321" i="2" s="1"/>
  <c r="AA650" i="3"/>
  <c r="BJ320" i="1" s="1"/>
  <c r="AA741" i="3"/>
  <c r="BA322" i="2" s="1"/>
  <c r="AA682" i="3"/>
  <c r="BJ321" i="1" s="1"/>
  <c r="AA747" i="3"/>
  <c r="BA323" i="2" s="1"/>
  <c r="AA653" i="3"/>
  <c r="BJ322" i="1" s="1"/>
  <c r="AA587" i="3"/>
  <c r="BA324" i="2" s="1"/>
  <c r="AA571" i="3"/>
  <c r="BJ323" i="1" s="1"/>
  <c r="AA660" i="3"/>
  <c r="BJ438" i="1" s="1"/>
  <c r="AA595" i="3"/>
  <c r="BA325" i="2" s="1"/>
  <c r="AA578" i="3"/>
  <c r="BJ324" i="1" s="1"/>
  <c r="AA661" i="3"/>
  <c r="BJ325" i="1" s="1"/>
  <c r="AA662" i="3"/>
  <c r="BJ326" i="1" s="1"/>
  <c r="AA600" i="3"/>
  <c r="BA326" i="2" s="1"/>
  <c r="AA697" i="3"/>
  <c r="BJ327" i="1" s="1"/>
  <c r="AA668" i="3"/>
  <c r="BA327" i="2" s="1"/>
  <c r="AA700" i="3"/>
  <c r="BJ446" i="1" s="1"/>
  <c r="AA670" i="3"/>
  <c r="BA328" i="2" s="1"/>
  <c r="AA635" i="3"/>
  <c r="BJ449" i="1" s="1"/>
  <c r="AA630" i="3"/>
  <c r="BJ328" i="1" s="1"/>
  <c r="AA666" i="3"/>
  <c r="BJ329" i="1" s="1"/>
  <c r="AA669" i="3"/>
  <c r="BJ330" i="1" s="1"/>
  <c r="AA636" i="3"/>
  <c r="BJ332" i="1" s="1"/>
  <c r="AA673" i="3"/>
  <c r="BJ452" i="1" s="1"/>
  <c r="AA648" i="3"/>
  <c r="BJ453" i="1" s="1"/>
  <c r="AA646" i="3"/>
  <c r="BJ334" i="1" s="1"/>
  <c r="AA726" i="3"/>
  <c r="BJ335" i="1" s="1"/>
  <c r="AA729" i="3"/>
  <c r="BJ336" i="1" s="1"/>
  <c r="AA684" i="3"/>
  <c r="BA330" i="2" s="1"/>
  <c r="AA685" i="3"/>
  <c r="BA329" i="2" s="1"/>
  <c r="AA679" i="3"/>
  <c r="BJ337" i="1" s="1"/>
  <c r="AA733" i="3"/>
  <c r="BJ456" i="1" s="1"/>
  <c r="AA780" i="3"/>
  <c r="BA331" i="2" s="1"/>
  <c r="AA734" i="3"/>
  <c r="BJ338" i="1" s="1"/>
  <c r="AA681" i="3"/>
  <c r="BJ339" i="1" s="1"/>
  <c r="AA740" i="3"/>
  <c r="BJ340" i="1" s="1"/>
  <c r="AA654" i="3"/>
  <c r="BJ341" i="1" s="1"/>
  <c r="AA618" i="3"/>
  <c r="BJ342" i="1" s="1"/>
  <c r="AA742" i="3"/>
  <c r="BJ343" i="1" s="1"/>
  <c r="AA655" i="3"/>
  <c r="BJ344" i="1" s="1"/>
  <c r="AA656" i="3"/>
  <c r="BJ345" i="1" s="1"/>
  <c r="AA689" i="3"/>
  <c r="BJ346" i="1" s="1"/>
  <c r="AA798" i="3"/>
  <c r="BA332" i="2" s="1"/>
  <c r="AA621" i="3"/>
  <c r="BJ347" i="1" s="1"/>
  <c r="AA692" i="3"/>
  <c r="BJ348" i="1" s="1"/>
  <c r="AA751" i="3"/>
  <c r="BJ467" i="1" s="1"/>
  <c r="AA624" i="3"/>
  <c r="BJ349" i="1" s="1"/>
  <c r="AA797" i="3"/>
  <c r="BJ350" i="1" s="1"/>
  <c r="AA702" i="3"/>
  <c r="BJ470" i="1" s="1"/>
  <c r="AA710" i="3"/>
  <c r="BA333" i="2" s="1"/>
  <c r="AA647" i="3"/>
  <c r="BA334" i="2" s="1"/>
  <c r="AA707" i="3"/>
  <c r="BJ351" i="1" s="1"/>
  <c r="AA667" i="3"/>
  <c r="BJ352" i="1" s="1"/>
  <c r="AA721" i="3"/>
  <c r="BA335" i="2" s="1"/>
  <c r="AA724" i="3"/>
  <c r="BA336" i="2" s="1"/>
  <c r="AA713" i="3"/>
  <c r="BJ475" i="1" s="1"/>
  <c r="AA725" i="3"/>
  <c r="BA337" i="2" s="1"/>
  <c r="AA727" i="3"/>
  <c r="BA338" i="2" s="1"/>
  <c r="AA728" i="3"/>
  <c r="BA339" i="2" s="1"/>
  <c r="AA674" i="3"/>
  <c r="BJ476" i="1" s="1"/>
  <c r="AA715" i="3"/>
  <c r="BJ478" i="1" s="1"/>
  <c r="AA672" i="3"/>
  <c r="BJ354" i="1" s="1"/>
  <c r="AA819" i="3"/>
  <c r="BA340" i="2" s="1"/>
  <c r="AA722" i="3"/>
  <c r="BJ481" i="1" s="1"/>
  <c r="AA821" i="3"/>
  <c r="BA341" i="2" s="1"/>
  <c r="AA735" i="3"/>
  <c r="BA342" i="2" s="1"/>
  <c r="AA737" i="3"/>
  <c r="BA343" i="2" s="1"/>
  <c r="AA717" i="3"/>
  <c r="BJ355" i="1" s="1"/>
  <c r="AA718" i="3"/>
  <c r="BJ356" i="1" s="1"/>
  <c r="AA719" i="3"/>
  <c r="BJ357" i="1" s="1"/>
  <c r="AA677" i="3"/>
  <c r="BJ358" i="1" s="1"/>
  <c r="AA825" i="3"/>
  <c r="BA344" i="2" s="1"/>
  <c r="AA769" i="3"/>
  <c r="BJ360" i="1" s="1"/>
  <c r="AA817" i="3"/>
  <c r="BJ484" i="1" s="1"/>
  <c r="AA581" i="3"/>
  <c r="BA345" i="2" s="1"/>
  <c r="AA680" i="3"/>
  <c r="BJ485" i="1" s="1"/>
  <c r="AA743" i="3"/>
  <c r="BA346" i="2" s="1"/>
  <c r="AA744" i="3"/>
  <c r="BA347" i="2" s="1"/>
  <c r="AA746" i="3"/>
  <c r="BA348" i="2" s="1"/>
  <c r="AA749" i="3"/>
  <c r="BA349" i="2" s="1"/>
  <c r="AA750" i="3"/>
  <c r="BA350" i="2" s="1"/>
  <c r="AA738" i="3"/>
  <c r="BJ361" i="1" s="1"/>
  <c r="AA663" i="3"/>
  <c r="BA351" i="2" s="1"/>
  <c r="AA753" i="3"/>
  <c r="BA352" i="2" s="1"/>
  <c r="AA782" i="3"/>
  <c r="BJ362" i="1" s="1"/>
  <c r="AA787" i="3"/>
  <c r="BJ363" i="1" s="1"/>
  <c r="AA745" i="3"/>
  <c r="BJ364" i="1" s="1"/>
  <c r="AA690" i="3"/>
  <c r="BJ365" i="1" s="1"/>
  <c r="AA789" i="3"/>
  <c r="BJ366" i="1" s="1"/>
  <c r="AA755" i="3"/>
  <c r="BJ491" i="1" s="1"/>
  <c r="AA757" i="3"/>
  <c r="BA353" i="2" s="1"/>
  <c r="AA695" i="3"/>
  <c r="BJ367" i="1" s="1"/>
  <c r="AA796" i="3"/>
  <c r="BJ368" i="1" s="1"/>
  <c r="AA848" i="3"/>
  <c r="BA354" i="2" s="1"/>
  <c r="AA704" i="3"/>
  <c r="BJ493" i="1" s="1"/>
  <c r="AA703" i="3"/>
  <c r="BJ369" i="1" s="1"/>
  <c r="AA759" i="3"/>
  <c r="BJ371" i="1" s="1"/>
  <c r="AA767" i="3"/>
  <c r="BA355" i="2" s="1"/>
  <c r="AA802" i="3"/>
  <c r="BJ372" i="1" s="1"/>
  <c r="AA805" i="3"/>
  <c r="BJ373" i="1" s="1"/>
  <c r="AA709" i="3"/>
  <c r="BJ374" i="1" s="1"/>
  <c r="AA671" i="3"/>
  <c r="BJ375" i="1" s="1"/>
  <c r="AA761" i="3"/>
  <c r="BJ376" i="1" s="1"/>
  <c r="AA711" i="3"/>
  <c r="BJ377" i="1" s="1"/>
  <c r="AA712" i="3"/>
  <c r="BJ378" i="1" s="1"/>
  <c r="AA763" i="3"/>
  <c r="BJ499" i="1" s="1"/>
  <c r="AA765" i="3"/>
  <c r="BJ380" i="1" s="1"/>
  <c r="AA766" i="3"/>
  <c r="BJ381" i="1" s="1"/>
  <c r="AA778" i="3"/>
  <c r="BA356" i="2" s="1"/>
  <c r="AA814" i="3"/>
  <c r="BJ382" i="1" s="1"/>
  <c r="AA687" i="3"/>
  <c r="BA357" i="2" s="1"/>
  <c r="AA768" i="3"/>
  <c r="BJ383" i="1" s="1"/>
  <c r="AA730" i="3"/>
  <c r="BJ384" i="1" s="1"/>
  <c r="AA783" i="3"/>
  <c r="BA358" i="2" s="1"/>
  <c r="AA691" i="3"/>
  <c r="BA359" i="2" s="1"/>
  <c r="AA770" i="3"/>
  <c r="BJ385" i="1" s="1"/>
  <c r="AA694" i="3"/>
  <c r="BA360" i="2" s="1"/>
  <c r="AA698" i="3"/>
  <c r="BA361" i="2" s="1"/>
  <c r="AA699" i="3"/>
  <c r="BA362" i="2" s="1"/>
  <c r="AA830" i="3"/>
  <c r="BJ386" i="1" s="1"/>
  <c r="AA785" i="3"/>
  <c r="BJ507" i="1" s="1"/>
  <c r="AA891" i="3"/>
  <c r="BA363" i="2" s="1"/>
  <c r="AA748" i="3"/>
  <c r="BJ388" i="1" s="1"/>
  <c r="AA708" i="3"/>
  <c r="BA364" i="2" s="1"/>
  <c r="AA754" i="3"/>
  <c r="BJ389" i="1" s="1"/>
  <c r="AA843" i="3"/>
  <c r="BJ390" i="1" s="1"/>
  <c r="AA801" i="3"/>
  <c r="BA365" i="2" s="1"/>
  <c r="AA804" i="3"/>
  <c r="BA366" i="2" s="1"/>
  <c r="AA890" i="3"/>
  <c r="BJ508" i="1" s="1"/>
  <c r="AA714" i="3"/>
  <c r="BA367" i="2" s="1"/>
  <c r="AA807" i="3"/>
  <c r="BA368" i="2" s="1"/>
  <c r="AA906" i="3"/>
  <c r="BA369" i="2" s="1"/>
  <c r="AA799" i="3"/>
  <c r="BJ391" i="1" s="1"/>
  <c r="AA809" i="3"/>
  <c r="BA370" i="2" s="1"/>
  <c r="AA705" i="3"/>
  <c r="BJ392" i="1" s="1"/>
  <c r="AA849" i="3"/>
  <c r="BJ514" i="1" s="1"/>
  <c r="AA732" i="3"/>
  <c r="BA371" i="2" s="1"/>
  <c r="AA764" i="3"/>
  <c r="BJ516" i="1" s="1"/>
  <c r="AA808" i="3"/>
  <c r="BJ393" i="1" s="1"/>
  <c r="AA736" i="3"/>
  <c r="BA372" i="2" s="1"/>
  <c r="AA739" i="3"/>
  <c r="BA373" i="2" s="1"/>
  <c r="AA716" i="3"/>
  <c r="BJ394" i="1" s="1"/>
  <c r="AA828" i="3"/>
  <c r="BA374" i="2" s="1"/>
  <c r="AA720" i="3"/>
  <c r="BJ398" i="1" s="1"/>
  <c r="AA860" i="3"/>
  <c r="BJ399" i="1" s="1"/>
  <c r="AA659" i="3"/>
  <c r="BA375" i="2" s="1"/>
  <c r="AA774" i="3"/>
  <c r="BJ519" i="1" s="1"/>
  <c r="AA822" i="3"/>
  <c r="BJ401" i="1" s="1"/>
  <c r="AA926" i="3"/>
  <c r="BA376" i="2" s="1"/>
  <c r="AA731" i="3"/>
  <c r="BJ402" i="1" s="1"/>
  <c r="AA752" i="3"/>
  <c r="BA377" i="2" s="1"/>
  <c r="AA771" i="3"/>
  <c r="BJ404" i="1" s="1"/>
  <c r="AA824" i="3"/>
  <c r="BJ405" i="1" s="1"/>
  <c r="AA826" i="3"/>
  <c r="BJ406" i="1" s="1"/>
  <c r="AA870" i="3"/>
  <c r="BJ407" i="1" s="1"/>
  <c r="AA838" i="3"/>
  <c r="BA378" i="2" s="1"/>
  <c r="AA784" i="3"/>
  <c r="BJ523" i="1" s="1"/>
  <c r="AA776" i="3"/>
  <c r="BJ408" i="1" s="1"/>
  <c r="AA786" i="3"/>
  <c r="BJ524" i="1" s="1"/>
  <c r="AA788" i="3"/>
  <c r="BJ525" i="1" s="1"/>
  <c r="AA878" i="3"/>
  <c r="BJ410" i="1" s="1"/>
  <c r="AA756" i="3"/>
  <c r="BA379" i="2" s="1"/>
  <c r="AA835" i="3"/>
  <c r="BJ411" i="1" s="1"/>
  <c r="AA760" i="3"/>
  <c r="BA380" i="2" s="1"/>
  <c r="AA790" i="3"/>
  <c r="BJ412" i="1" s="1"/>
  <c r="AA792" i="3"/>
  <c r="BJ413" i="1" s="1"/>
  <c r="AA793" i="3"/>
  <c r="BJ415" i="1" s="1"/>
  <c r="AA840" i="3"/>
  <c r="BJ416" i="1" s="1"/>
  <c r="AA841" i="3"/>
  <c r="BJ417" i="1" s="1"/>
  <c r="AA842" i="3"/>
  <c r="BJ418" i="1" s="1"/>
  <c r="AA794" i="3"/>
  <c r="BJ420" i="1" s="1"/>
  <c r="AA676" i="3"/>
  <c r="BA381" i="2" s="1"/>
  <c r="AA850" i="3"/>
  <c r="BA382" i="2" s="1"/>
  <c r="AA851" i="3"/>
  <c r="BA383" i="2" s="1"/>
  <c r="AA896" i="3"/>
  <c r="BJ422" i="1" s="1"/>
  <c r="AA864" i="3"/>
  <c r="BA384" i="2" s="1"/>
  <c r="AA866" i="3"/>
  <c r="BA385" i="2" s="1"/>
  <c r="AA905" i="3"/>
  <c r="BJ532" i="1" s="1"/>
  <c r="AA867" i="3"/>
  <c r="BA386" i="2" s="1"/>
  <c r="AA803" i="3"/>
  <c r="BJ423" i="1" s="1"/>
  <c r="AA806" i="3"/>
  <c r="BJ424" i="1" s="1"/>
  <c r="AA772" i="3"/>
  <c r="BA387" i="2" s="1"/>
  <c r="AA773" i="3"/>
  <c r="BA388" i="2" s="1"/>
  <c r="AA853" i="3"/>
  <c r="BJ425" i="1" s="1"/>
  <c r="AA775" i="3"/>
  <c r="BA389" i="2" s="1"/>
  <c r="AA869" i="3"/>
  <c r="BA390" i="2" s="1"/>
  <c r="AA779" i="3"/>
  <c r="BA391" i="2" s="1"/>
  <c r="AA762" i="3"/>
  <c r="BJ426" i="1" s="1"/>
  <c r="AA858" i="3"/>
  <c r="BJ427" i="1" s="1"/>
  <c r="AA810" i="3"/>
  <c r="BJ428" i="1" s="1"/>
  <c r="AA859" i="3"/>
  <c r="BJ429" i="1" s="1"/>
  <c r="AA781" i="3"/>
  <c r="BA392" i="2" s="1"/>
  <c r="AA813" i="3"/>
  <c r="BJ430" i="1" s="1"/>
  <c r="AA865" i="3"/>
  <c r="BJ431" i="1" s="1"/>
  <c r="AA815" i="3"/>
  <c r="BJ432" i="1" s="1"/>
  <c r="AA816" i="3"/>
  <c r="BJ433" i="1" s="1"/>
  <c r="AA820" i="3"/>
  <c r="BJ434" i="1" s="1"/>
  <c r="AA823" i="3"/>
  <c r="BJ435" i="1" s="1"/>
  <c r="AA871" i="3"/>
  <c r="BJ538" i="1" s="1"/>
  <c r="AA884" i="3"/>
  <c r="BA394" i="2" s="1"/>
  <c r="AA885" i="3"/>
  <c r="BA393" i="2" s="1"/>
  <c r="AA888" i="3"/>
  <c r="BA395" i="2" s="1"/>
  <c r="AA829" i="3"/>
  <c r="BJ436" i="1" s="1"/>
  <c r="AA777" i="3"/>
  <c r="BJ437" i="1" s="1"/>
  <c r="AA882" i="3"/>
  <c r="BJ539" i="1" s="1"/>
  <c r="AA833" i="3"/>
  <c r="BJ439" i="1" s="1"/>
  <c r="AA880" i="3"/>
  <c r="BJ440" i="1" s="1"/>
  <c r="AA834" i="3"/>
  <c r="BJ441" i="1" s="1"/>
  <c r="AA795" i="3"/>
  <c r="BJ540" i="1" s="1"/>
  <c r="AA836" i="3"/>
  <c r="BJ442" i="1" s="1"/>
  <c r="AA881" i="3"/>
  <c r="BJ443" i="1" s="1"/>
  <c r="AA883" i="3"/>
  <c r="BJ444" i="1" s="1"/>
  <c r="AA964" i="3"/>
  <c r="BA396" i="2" s="1"/>
  <c r="AA889" i="3"/>
  <c r="BJ541" i="1" s="1"/>
  <c r="AA886" i="3"/>
  <c r="BJ445" i="1" s="1"/>
  <c r="AA902" i="3"/>
  <c r="BA397" i="2" s="1"/>
  <c r="AA904" i="3"/>
  <c r="BA398" i="2" s="1"/>
  <c r="AA893" i="3"/>
  <c r="BJ447" i="1" s="1"/>
  <c r="AA811" i="3"/>
  <c r="BA399" i="2" s="1"/>
  <c r="AA812" i="3"/>
  <c r="BA400" i="2" s="1"/>
  <c r="AA723" i="3"/>
  <c r="BA401" i="2" s="1"/>
  <c r="AA845" i="3"/>
  <c r="BJ448" i="1" s="1"/>
  <c r="AA895" i="3"/>
  <c r="BJ450" i="1" s="1"/>
  <c r="AA847" i="3"/>
  <c r="BJ451" i="1" s="1"/>
  <c r="AA916" i="3"/>
  <c r="BA402" i="2" s="1"/>
  <c r="AA944" i="3"/>
  <c r="BJ546" i="1" s="1"/>
  <c r="AA982" i="3"/>
  <c r="BA403" i="2" s="1"/>
  <c r="AA831" i="3"/>
  <c r="BA404" i="2" s="1"/>
  <c r="AA868" i="3"/>
  <c r="BJ548" i="1" s="1"/>
  <c r="AA923" i="3"/>
  <c r="BA405" i="2" s="1"/>
  <c r="AA947" i="3"/>
  <c r="BJ454" i="1" s="1"/>
  <c r="AA832" i="3"/>
  <c r="BA406" i="2" s="1"/>
  <c r="AA915" i="3"/>
  <c r="BJ455" i="1" s="1"/>
  <c r="AA827" i="3"/>
  <c r="BJ550" i="1" s="1"/>
  <c r="AA837" i="3"/>
  <c r="BA407" i="2" s="1"/>
  <c r="AA920" i="3"/>
  <c r="BJ553" i="1" s="1"/>
  <c r="AA922" i="3"/>
  <c r="BJ554" i="1" s="1"/>
  <c r="AA919" i="3"/>
  <c r="BJ457" i="1" s="1"/>
  <c r="AA839" i="3"/>
  <c r="BA408" i="2" s="1"/>
  <c r="AA954" i="3"/>
  <c r="BJ458" i="1" s="1"/>
  <c r="AA998" i="3"/>
  <c r="BA409" i="2" s="1"/>
  <c r="AA930" i="3"/>
  <c r="BA410" i="2" s="1"/>
  <c r="AA921" i="3"/>
  <c r="BJ459" i="1" s="1"/>
  <c r="AA844" i="3"/>
  <c r="BA411" i="2" s="1"/>
  <c r="AA846" i="3"/>
  <c r="BA412" i="2" s="1"/>
  <c r="AA872" i="3"/>
  <c r="BJ460" i="1" s="1"/>
  <c r="AA874" i="3"/>
  <c r="BJ461" i="1" s="1"/>
  <c r="AA958" i="3"/>
  <c r="BJ462" i="1" s="1"/>
  <c r="AA758" i="3"/>
  <c r="BA413" i="2" s="1"/>
  <c r="AA875" i="3"/>
  <c r="BJ463" i="1" s="1"/>
  <c r="AA876" i="3"/>
  <c r="BJ464" i="1" s="1"/>
  <c r="AA877" i="3"/>
  <c r="BJ465" i="1" s="1"/>
  <c r="AA960" i="3"/>
  <c r="BJ557" i="1" s="1"/>
  <c r="AA927" i="3"/>
  <c r="BJ466" i="1" s="1"/>
  <c r="AA939" i="3"/>
  <c r="BA414" i="2" s="1"/>
  <c r="AA929" i="3"/>
  <c r="BJ468" i="1" s="1"/>
  <c r="AA887" i="3"/>
  <c r="BJ469" i="1" s="1"/>
  <c r="AA852" i="3"/>
  <c r="BA415" i="2" s="1"/>
  <c r="AA932" i="3"/>
  <c r="BJ471" i="1" s="1"/>
  <c r="AA854" i="3"/>
  <c r="BA416" i="2" s="1"/>
  <c r="AA856" i="3"/>
  <c r="BA417" i="2" s="1"/>
  <c r="AA857" i="3"/>
  <c r="BA418" i="2" s="1"/>
  <c r="AA892" i="3"/>
  <c r="BJ472" i="1" s="1"/>
  <c r="AA894" i="3"/>
  <c r="BJ473" i="1" s="1"/>
  <c r="AA861" i="3"/>
  <c r="BA420" i="2" s="1"/>
  <c r="AA862" i="3"/>
  <c r="BA419" i="2" s="1"/>
  <c r="AA863" i="3"/>
  <c r="BA421" i="2" s="1"/>
  <c r="AA898" i="3"/>
  <c r="BJ474" i="1" s="1"/>
  <c r="AA901" i="3"/>
  <c r="BJ477" i="1" s="1"/>
  <c r="AA855" i="3"/>
  <c r="BJ568" i="1" s="1"/>
  <c r="AA903" i="3"/>
  <c r="BJ479" i="1" s="1"/>
  <c r="AA909" i="3"/>
  <c r="BJ569" i="1" s="1"/>
  <c r="AA1016" i="3"/>
  <c r="BA422" i="2" s="1"/>
  <c r="AA953" i="3"/>
  <c r="BA423" i="2" s="1"/>
  <c r="AA973" i="3"/>
  <c r="BJ480" i="1" s="1"/>
  <c r="AA908" i="3"/>
  <c r="BJ482" i="1" s="1"/>
  <c r="AA946" i="3"/>
  <c r="BJ574" i="1" s="1"/>
  <c r="AA873" i="3"/>
  <c r="BA424" i="2" s="1"/>
  <c r="AA910" i="3"/>
  <c r="BJ483" i="1" s="1"/>
  <c r="AA948" i="3"/>
  <c r="BJ578" i="1" s="1"/>
  <c r="AA917" i="3"/>
  <c r="BJ486" i="1" s="1"/>
  <c r="AA1020" i="3"/>
  <c r="BA425" i="2" s="1"/>
  <c r="AA918" i="3"/>
  <c r="BJ487" i="1" s="1"/>
  <c r="AA951" i="3"/>
  <c r="BJ488" i="1" s="1"/>
  <c r="AA955" i="3"/>
  <c r="BJ489" i="1" s="1"/>
  <c r="AA879" i="3"/>
  <c r="BJ579" i="1" s="1"/>
  <c r="AA897" i="3"/>
  <c r="BA426" i="2" s="1"/>
  <c r="AA961" i="3"/>
  <c r="BJ584" i="1" s="1"/>
  <c r="AA959" i="3"/>
  <c r="BJ490" i="1" s="1"/>
  <c r="AA899" i="3"/>
  <c r="BA427" i="2" s="1"/>
  <c r="AA928" i="3"/>
  <c r="BJ492" i="1" s="1"/>
  <c r="AA931" i="3"/>
  <c r="BJ586" i="1" s="1"/>
  <c r="AA907" i="3"/>
  <c r="BA428" i="2" s="1"/>
  <c r="AA911" i="3"/>
  <c r="BA429" i="2" s="1"/>
  <c r="AA912" i="3"/>
  <c r="BA430" i="2" s="1"/>
  <c r="AA913" i="3"/>
  <c r="BA431" i="2" s="1"/>
  <c r="AA914" i="3"/>
  <c r="BA432" i="2" s="1"/>
  <c r="AA936" i="3"/>
  <c r="BJ494" i="1" s="1"/>
  <c r="AA969" i="3"/>
  <c r="BJ590" i="1" s="1"/>
  <c r="AA966" i="3"/>
  <c r="BJ495" i="1" s="1"/>
  <c r="AA979" i="3"/>
  <c r="BA433" i="2" s="1"/>
  <c r="AA981" i="3"/>
  <c r="BA434" i="2" s="1"/>
  <c r="AA900" i="3"/>
  <c r="BJ496" i="1" s="1"/>
  <c r="AA1009" i="3"/>
  <c r="BJ497" i="1" s="1"/>
  <c r="AA940" i="3"/>
  <c r="BJ498" i="1" s="1"/>
  <c r="AA983" i="3"/>
  <c r="BA435" i="2" s="1"/>
  <c r="AA984" i="3"/>
  <c r="BA436" i="2" s="1"/>
  <c r="AA986" i="3"/>
  <c r="BA437" i="2" s="1"/>
  <c r="AA941" i="3"/>
  <c r="BJ500" i="1" s="1"/>
  <c r="AA942" i="3"/>
  <c r="BJ501" i="1" s="1"/>
  <c r="AA924" i="3"/>
  <c r="BA438" i="2" s="1"/>
  <c r="AA945" i="3"/>
  <c r="BJ502" i="1" s="1"/>
  <c r="AA1011" i="3"/>
  <c r="BJ503" i="1" s="1"/>
  <c r="AA925" i="3"/>
  <c r="BA439" i="2" s="1"/>
  <c r="AA993" i="3"/>
  <c r="BA440" i="2" s="1"/>
  <c r="AA994" i="3"/>
  <c r="BA441" i="2" s="1"/>
  <c r="AA996" i="3"/>
  <c r="BA442" i="2" s="1"/>
  <c r="AA952" i="3"/>
  <c r="BJ593" i="1" s="1"/>
  <c r="AA997" i="3"/>
  <c r="BA443" i="2" s="1"/>
  <c r="AA950" i="3"/>
  <c r="BJ504" i="1" s="1"/>
  <c r="AA985" i="3"/>
  <c r="BJ505" i="1" s="1"/>
  <c r="AA957" i="3"/>
  <c r="BJ595" i="1" s="1"/>
  <c r="AA990" i="3"/>
  <c r="BJ506" i="1" s="1"/>
  <c r="AA933" i="3"/>
  <c r="BA444" i="2" s="1"/>
  <c r="AA1000" i="3"/>
  <c r="BA445" i="2" s="1"/>
  <c r="AA995" i="3"/>
  <c r="BJ596" i="1" s="1"/>
  <c r="AA937" i="3"/>
  <c r="BA446" i="2" s="1"/>
  <c r="AA938" i="3"/>
  <c r="BA447" i="2" s="1"/>
  <c r="AA999" i="3"/>
  <c r="BJ598" i="1" s="1"/>
  <c r="AA1006" i="3"/>
  <c r="BA448" i="2" s="1"/>
  <c r="AA1010" i="3"/>
  <c r="BA449" i="2" s="1"/>
  <c r="AA943" i="3"/>
  <c r="BA450" i="2" s="1"/>
  <c r="AA1002" i="3"/>
  <c r="BJ509" i="1" s="1"/>
  <c r="AA1026" i="3"/>
  <c r="BJ510" i="1" s="1"/>
  <c r="AA962" i="3"/>
  <c r="BJ511" i="1" s="1"/>
  <c r="AA967" i="3"/>
  <c r="BJ602" i="1" s="1"/>
  <c r="AA968" i="3"/>
  <c r="BJ603" i="1" s="1"/>
  <c r="AA934" i="3"/>
  <c r="BJ512" i="1" s="1"/>
  <c r="AA1030" i="3"/>
  <c r="BJ513" i="1" s="1"/>
  <c r="AA965" i="3"/>
  <c r="BJ515" i="1" s="1"/>
  <c r="AA1104" i="3"/>
  <c r="BA451" i="2" s="1"/>
  <c r="AA1015" i="3"/>
  <c r="BA452" i="2" s="1"/>
  <c r="AA1018" i="3"/>
  <c r="BA453" i="2" s="1"/>
  <c r="AA974" i="3"/>
  <c r="BJ607" i="1" s="1"/>
  <c r="AA956" i="3"/>
  <c r="BA454" i="2" s="1"/>
  <c r="AA971" i="3"/>
  <c r="BJ517" i="1" s="1"/>
  <c r="AA975" i="3"/>
  <c r="BJ518" i="1" s="1"/>
  <c r="AA1014" i="3"/>
  <c r="BJ520" i="1" s="1"/>
  <c r="AA987" i="3"/>
  <c r="BJ613" i="1" s="1"/>
  <c r="AA988" i="3"/>
  <c r="BJ614" i="1" s="1"/>
  <c r="AA1021" i="3"/>
  <c r="BA455" i="2" s="1"/>
  <c r="AA1017" i="3"/>
  <c r="BJ521" i="1" s="1"/>
  <c r="AA991" i="3"/>
  <c r="BJ617" i="1" s="1"/>
  <c r="AA1023" i="3"/>
  <c r="BA456" i="2" s="1"/>
  <c r="AA992" i="3"/>
  <c r="BJ618" i="1" s="1"/>
  <c r="AA1038" i="3"/>
  <c r="BJ522" i="1" s="1"/>
  <c r="AA963" i="3"/>
  <c r="BA457" i="2" s="1"/>
  <c r="AA1044" i="3"/>
  <c r="BJ526" i="1" s="1"/>
  <c r="AA1032" i="3"/>
  <c r="BA458" i="2" s="1"/>
  <c r="AA970" i="3"/>
  <c r="BA459" i="2" s="1"/>
  <c r="AA972" i="3"/>
  <c r="BA460" i="2" s="1"/>
  <c r="AA1028" i="3"/>
  <c r="BJ625" i="1" s="1"/>
  <c r="AA1048" i="3"/>
  <c r="BJ527" i="1" s="1"/>
  <c r="AA1049" i="3"/>
  <c r="BJ626" i="1" s="1"/>
  <c r="AA1001" i="3"/>
  <c r="BJ528" i="1" s="1"/>
  <c r="AA976" i="3"/>
  <c r="BA461" i="2" s="1"/>
  <c r="AA1050" i="3"/>
  <c r="BJ529" i="1" s="1"/>
  <c r="AA977" i="3"/>
  <c r="BA462" i="2" s="1"/>
  <c r="AA978" i="3"/>
  <c r="BA463" i="2" s="1"/>
  <c r="AA1035" i="3"/>
  <c r="BA464" i="2" s="1"/>
  <c r="AA1005" i="3"/>
  <c r="BJ530" i="1" s="1"/>
  <c r="AA1076" i="3"/>
  <c r="BJ531" i="1" s="1"/>
  <c r="AA1033" i="3"/>
  <c r="BJ629" i="1" s="1"/>
  <c r="AA1007" i="3"/>
  <c r="BJ533" i="1" s="1"/>
  <c r="AA1008" i="3"/>
  <c r="BJ534" i="1" s="1"/>
  <c r="AA989" i="3"/>
  <c r="BA465" i="2" s="1"/>
  <c r="AA980" i="3"/>
  <c r="BJ630" i="1" s="1"/>
  <c r="AA1012" i="3"/>
  <c r="BJ535" i="1" s="1"/>
  <c r="AA1040" i="3"/>
  <c r="BA466" i="2" s="1"/>
  <c r="AA1036" i="3"/>
  <c r="BJ536" i="1" s="1"/>
  <c r="AA1037" i="3"/>
  <c r="BJ537" i="1" s="1"/>
  <c r="AA935" i="3"/>
  <c r="BA467" i="2" s="1"/>
  <c r="AA1061" i="3"/>
  <c r="BJ633" i="1" s="1"/>
  <c r="AA1003" i="3"/>
  <c r="BA468" i="2" s="1"/>
  <c r="AA1004" i="3"/>
  <c r="BJ636" i="1" s="1"/>
  <c r="AA1024" i="3"/>
  <c r="BJ542" i="1" s="1"/>
  <c r="AA1100" i="3"/>
  <c r="BA469" i="2" s="1"/>
  <c r="AA1054" i="3"/>
  <c r="BA470" i="2" s="1"/>
  <c r="AA1027" i="3"/>
  <c r="BJ543" i="1" s="1"/>
  <c r="AA1013" i="3"/>
  <c r="BA471" i="2" s="1"/>
  <c r="AA949" i="3"/>
  <c r="BA472" i="2" s="1"/>
  <c r="AA1074" i="3"/>
  <c r="BJ638" i="1" s="1"/>
  <c r="AA1031" i="3"/>
  <c r="BJ544" i="1" s="1"/>
  <c r="AA1073" i="3"/>
  <c r="BJ545" i="1" s="1"/>
  <c r="AA1034" i="3"/>
  <c r="BJ547" i="1" s="1"/>
  <c r="AA1107" i="3"/>
  <c r="BA473" i="2" s="1"/>
  <c r="AA1084" i="3"/>
  <c r="BJ549" i="1" s="1"/>
  <c r="AA1057" i="3"/>
  <c r="BJ551" i="1" s="1"/>
  <c r="AA1058" i="3"/>
  <c r="BJ552" i="1" s="1"/>
  <c r="AA1066" i="3"/>
  <c r="BA474" i="2" s="1"/>
  <c r="AA1060" i="3"/>
  <c r="BJ555" i="1" s="1"/>
  <c r="AA1019" i="3"/>
  <c r="BJ556" i="1" s="1"/>
  <c r="AA1029" i="3"/>
  <c r="BA475" i="2" s="1"/>
  <c r="AA1043" i="3"/>
  <c r="BJ641" i="1" s="1"/>
  <c r="AA1075" i="3"/>
  <c r="BA476" i="2" s="1"/>
  <c r="AA1041" i="3"/>
  <c r="BJ558" i="1" s="1"/>
  <c r="AA1064" i="3"/>
  <c r="BJ559" i="1" s="1"/>
  <c r="AA1065" i="3"/>
  <c r="BJ560" i="1" s="1"/>
  <c r="AA1042" i="3"/>
  <c r="BJ561" i="1" s="1"/>
  <c r="AA1022" i="3"/>
  <c r="BJ562" i="1" s="1"/>
  <c r="AA1046" i="3"/>
  <c r="BJ563" i="1" s="1"/>
  <c r="AA1025" i="3"/>
  <c r="BJ564" i="1" s="1"/>
  <c r="AA1068" i="3"/>
  <c r="BJ565" i="1" s="1"/>
  <c r="AA1080" i="3"/>
  <c r="BA477" i="2" s="1"/>
  <c r="AA1070" i="3"/>
  <c r="BJ566" i="1" s="1"/>
  <c r="AA1051" i="3"/>
  <c r="BJ567" i="1" s="1"/>
  <c r="AA1098" i="3"/>
  <c r="BJ570" i="1" s="1"/>
  <c r="AA1077" i="3"/>
  <c r="BJ571" i="1" s="1"/>
  <c r="AA1052" i="3"/>
  <c r="BJ572" i="1" s="1"/>
  <c r="AA1053" i="3"/>
  <c r="BJ573" i="1" s="1"/>
  <c r="AA1078" i="3"/>
  <c r="BJ575" i="1" s="1"/>
  <c r="AA1039" i="3"/>
  <c r="BA478" i="2" s="1"/>
  <c r="AA1079" i="3"/>
  <c r="BJ576" i="1" s="1"/>
  <c r="AA1081" i="3"/>
  <c r="BJ577" i="1" s="1"/>
  <c r="AA1047" i="3"/>
  <c r="BA479" i="2" s="1"/>
  <c r="AA1130" i="3"/>
  <c r="BA480" i="2" s="1"/>
  <c r="AA1085" i="3"/>
  <c r="BJ580" i="1" s="1"/>
  <c r="AA1086" i="3"/>
  <c r="BJ581" i="1" s="1"/>
  <c r="AA1087" i="3"/>
  <c r="BJ582" i="1" s="1"/>
  <c r="AA1088" i="3"/>
  <c r="BJ583" i="1" s="1"/>
  <c r="AA1095" i="3"/>
  <c r="BA481" i="2" s="1"/>
  <c r="AA1113" i="3"/>
  <c r="BJ585" i="1" s="1"/>
  <c r="AA1045" i="3"/>
  <c r="BJ646" i="1" s="1"/>
  <c r="AA1063" i="3"/>
  <c r="BJ587" i="1" s="1"/>
  <c r="AA1067" i="3"/>
  <c r="BJ588" i="1" s="1"/>
  <c r="AA1069" i="3"/>
  <c r="BJ589" i="1" s="1"/>
  <c r="AA1055" i="3"/>
  <c r="BA482" i="2" s="1"/>
  <c r="AA1096" i="3"/>
  <c r="BJ647" i="1" s="1"/>
  <c r="AA1059" i="3"/>
  <c r="BA483" i="2" s="1"/>
  <c r="AA1118" i="3"/>
  <c r="BJ648" i="1" s="1"/>
  <c r="AA1142" i="3"/>
  <c r="BA484" i="2" s="1"/>
  <c r="AA1072" i="3"/>
  <c r="BJ591" i="1" s="1"/>
  <c r="AA1082" i="3"/>
  <c r="BJ650" i="1" s="1"/>
  <c r="AA1101" i="3"/>
  <c r="BJ592" i="1" s="1"/>
  <c r="AA1122" i="3"/>
  <c r="BJ651" i="1" s="1"/>
  <c r="AA1056" i="3"/>
  <c r="BJ594" i="1" s="1"/>
  <c r="AA1106" i="3"/>
  <c r="BJ597" i="1" s="1"/>
  <c r="AA1091" i="3"/>
  <c r="BJ654" i="1" s="1"/>
  <c r="AA1089" i="3"/>
  <c r="BJ599" i="1" s="1"/>
  <c r="AA1092" i="3"/>
  <c r="BJ655" i="1" s="1"/>
  <c r="AA1062" i="3"/>
  <c r="BJ600" i="1" s="1"/>
  <c r="AA1116" i="3"/>
  <c r="BJ601" i="1" s="1"/>
  <c r="AA1117" i="3"/>
  <c r="BJ656" i="1" s="1"/>
  <c r="AA1093" i="3"/>
  <c r="BJ604" i="1" s="1"/>
  <c r="AA1094" i="3"/>
  <c r="BJ605" i="1" s="1"/>
  <c r="AA1097" i="3"/>
  <c r="BJ606" i="1" s="1"/>
  <c r="AA1119" i="3"/>
  <c r="BJ608" i="1" s="1"/>
  <c r="AA1120" i="3"/>
  <c r="BJ609" i="1" s="1"/>
  <c r="AA1126" i="3"/>
  <c r="BA485" i="2" s="1"/>
  <c r="AA1099" i="3"/>
  <c r="BJ610" i="1" s="1"/>
  <c r="AA1102" i="3"/>
  <c r="BJ611" i="1" s="1"/>
  <c r="AA1103" i="3"/>
  <c r="BJ612" i="1" s="1"/>
  <c r="AA1090" i="3"/>
  <c r="BA486" i="2" s="1"/>
  <c r="AA1141" i="3"/>
  <c r="BJ615" i="1" s="1"/>
  <c r="AA1083" i="3"/>
  <c r="BJ616" i="1" s="1"/>
  <c r="AA1125" i="3"/>
  <c r="BJ658" i="1" s="1"/>
  <c r="AA1105" i="3"/>
  <c r="BJ619" i="1" s="1"/>
  <c r="AA1136" i="3"/>
  <c r="BA487" i="2" s="1"/>
  <c r="AA1108" i="3"/>
  <c r="BJ620" i="1" s="1"/>
  <c r="AA1109" i="3"/>
  <c r="BJ621" i="1" s="1"/>
  <c r="AA1110" i="3"/>
  <c r="BJ622" i="1" s="1"/>
  <c r="AA1144" i="3"/>
  <c r="BJ623" i="1" s="1"/>
  <c r="AA1128" i="3"/>
  <c r="BJ624" i="1" s="1"/>
  <c r="AA1115" i="3"/>
  <c r="BJ659" i="1" s="1"/>
  <c r="AA1137" i="3"/>
  <c r="BA488" i="2" s="1"/>
  <c r="AA1132" i="3"/>
  <c r="BJ627" i="1" s="1"/>
  <c r="AA1133" i="3"/>
  <c r="BJ628" i="1" s="1"/>
  <c r="AA1139" i="3"/>
  <c r="BA489" i="2" s="1"/>
  <c r="AA1151" i="3"/>
  <c r="BJ631" i="1" s="1"/>
  <c r="AA1114" i="3"/>
  <c r="BA490" i="2" s="1"/>
  <c r="AA1124" i="3"/>
  <c r="BJ632" i="1" s="1"/>
  <c r="AA1071" i="3"/>
  <c r="BA491" i="2" s="1"/>
  <c r="AA1145" i="3"/>
  <c r="BJ662" i="1" s="1"/>
  <c r="AA1149" i="3"/>
  <c r="BA492" i="2" s="1"/>
  <c r="AA1150" i="3"/>
  <c r="BA493" i="2" s="1"/>
  <c r="AA1111" i="3"/>
  <c r="BJ634" i="1" s="1"/>
  <c r="AA1112" i="3"/>
  <c r="BJ635" i="1" s="1"/>
  <c r="AA1121" i="3"/>
  <c r="BA494" i="2" s="1"/>
  <c r="AA1129" i="3"/>
  <c r="BJ637" i="1" s="1"/>
  <c r="AA1147" i="3"/>
  <c r="BJ663" i="1" s="1"/>
  <c r="AA1177" i="3"/>
  <c r="BA495" i="2" s="1"/>
  <c r="AA1134" i="3"/>
  <c r="BJ664" i="1" s="1"/>
  <c r="AA1123" i="3"/>
  <c r="BA496" i="2" s="1"/>
  <c r="AA1152" i="3"/>
  <c r="BA497" i="2" s="1"/>
  <c r="AA1153" i="3"/>
  <c r="BA498" i="2" s="1"/>
  <c r="AA1154" i="3"/>
  <c r="BA499" i="2" s="1"/>
  <c r="AA1135" i="3"/>
  <c r="BJ639" i="1" s="1"/>
  <c r="AA1157" i="3"/>
  <c r="BA500" i="2" s="1"/>
  <c r="AA1163" i="3"/>
  <c r="BJ666" i="1" s="1"/>
  <c r="AA1160" i="3"/>
  <c r="BA501" i="2" s="1"/>
  <c r="AA1138" i="3"/>
  <c r="BJ640" i="1" s="1"/>
  <c r="AA1131" i="3"/>
  <c r="BA502" i="2" s="1"/>
  <c r="AA1168" i="3"/>
  <c r="BJ642" i="1" s="1"/>
  <c r="AA1190" i="3"/>
  <c r="BA503" i="2" s="1"/>
  <c r="AA1159" i="3"/>
  <c r="BJ643" i="1" s="1"/>
  <c r="AA1164" i="3"/>
  <c r="BA504" i="2" s="1"/>
  <c r="AA1140" i="3"/>
  <c r="BA505" i="2" s="1"/>
  <c r="AA1143" i="3"/>
  <c r="BA506" i="2" s="1"/>
  <c r="AA1155" i="3"/>
  <c r="BJ644" i="1" s="1"/>
  <c r="AA1146" i="3"/>
  <c r="BA507" i="2" s="1"/>
  <c r="AA1156" i="3"/>
  <c r="BJ645" i="1" s="1"/>
  <c r="AA1172" i="3"/>
  <c r="BA508" i="2" s="1"/>
  <c r="AA1173" i="3"/>
  <c r="BA509" i="2" s="1"/>
  <c r="AA1199" i="3"/>
  <c r="BA510" i="2" s="1"/>
  <c r="AA1174" i="3"/>
  <c r="BA511" i="2" s="1"/>
  <c r="AA1175" i="3"/>
  <c r="BA512" i="2" s="1"/>
  <c r="AA1171" i="3"/>
  <c r="BJ649" i="1" s="1"/>
  <c r="AA1179" i="3"/>
  <c r="BA513" i="2" s="1"/>
  <c r="AA1127" i="3"/>
  <c r="BA514" i="2" s="1"/>
  <c r="AA1158" i="3"/>
  <c r="BA515" i="2" s="1"/>
  <c r="AA1161" i="3"/>
  <c r="BA516" i="2" s="1"/>
  <c r="AA1184" i="3"/>
  <c r="BA517" i="2" s="1"/>
  <c r="AA1181" i="3"/>
  <c r="BJ652" i="1" s="1"/>
  <c r="AA1183" i="3"/>
  <c r="BJ653" i="1" s="1"/>
  <c r="AA1162" i="3"/>
  <c r="BA518" i="2" s="1"/>
  <c r="AA1191" i="3"/>
  <c r="BA519" i="2" s="1"/>
  <c r="AA1165" i="3"/>
  <c r="BA520" i="2" s="1"/>
  <c r="AA1166" i="3"/>
  <c r="BA521" i="2" s="1"/>
  <c r="AA1169" i="3"/>
  <c r="BJ657" i="1" s="1"/>
  <c r="AA1176" i="3"/>
  <c r="BJ671" i="1" s="1"/>
  <c r="AA1167" i="3"/>
  <c r="BA522" i="2" s="1"/>
  <c r="AA1195" i="3"/>
  <c r="BA523" i="2" s="1"/>
  <c r="AA1197" i="3"/>
  <c r="BA524" i="2" s="1"/>
  <c r="AA1148" i="3"/>
  <c r="BA525" i="2" s="1"/>
  <c r="AA1201" i="3"/>
  <c r="BA526" i="2" s="1"/>
  <c r="AA1189" i="3"/>
  <c r="BJ660" i="1" s="1"/>
  <c r="AA1182" i="3"/>
  <c r="BA527" i="2" s="1"/>
  <c r="AA1206" i="3"/>
  <c r="BA528" i="2" s="1"/>
  <c r="AA1185" i="3"/>
  <c r="BA529" i="2" s="1"/>
  <c r="AA1186" i="3"/>
  <c r="BA530" i="2" s="1"/>
  <c r="AA1187" i="3"/>
  <c r="BA531" i="2" s="1"/>
  <c r="AA1203" i="3"/>
  <c r="BJ661" i="1" s="1"/>
  <c r="AA1188" i="3"/>
  <c r="BA532" i="2" s="1"/>
  <c r="AA1192" i="3"/>
  <c r="BA533" i="2" s="1"/>
  <c r="AA1193" i="3"/>
  <c r="BA535" i="2" s="1"/>
  <c r="AA1194" i="3"/>
  <c r="BA534" i="2" s="1"/>
  <c r="AA1198" i="3"/>
  <c r="BJ665" i="1" s="1"/>
  <c r="AA1224" i="3"/>
  <c r="BA536" i="2" s="1"/>
  <c r="AA1200" i="3"/>
  <c r="BJ667" i="1" s="1"/>
  <c r="AA1212" i="3"/>
  <c r="BA537" i="2" s="1"/>
  <c r="AA1170" i="3"/>
  <c r="BA538" i="2" s="1"/>
  <c r="AA1210" i="3"/>
  <c r="BJ668" i="1" s="1"/>
  <c r="AA1196" i="3"/>
  <c r="BJ672" i="1" s="1"/>
  <c r="AA1204" i="3"/>
  <c r="BJ673" i="1" s="1"/>
  <c r="AA1202" i="3"/>
  <c r="BA539" i="2" s="1"/>
  <c r="AA1178" i="3"/>
  <c r="BA540" i="2" s="1"/>
  <c r="AA1180" i="3"/>
  <c r="BA541" i="2" s="1"/>
  <c r="AA1208" i="3"/>
  <c r="BJ674" i="1" s="1"/>
  <c r="AA1221" i="3"/>
  <c r="BA542" i="2" s="1"/>
  <c r="AA1205" i="3"/>
  <c r="BA543" i="2" s="1"/>
  <c r="AA1218" i="3"/>
  <c r="BJ675" i="1" s="1"/>
  <c r="AA1209" i="3"/>
  <c r="BJ669" i="1" s="1"/>
  <c r="AA1207" i="3"/>
  <c r="BA544" i="2" s="1"/>
  <c r="AA1211" i="3"/>
  <c r="BA545" i="2" s="1"/>
  <c r="AA1213" i="3"/>
  <c r="BA546" i="2" s="1"/>
  <c r="AA1214" i="3"/>
  <c r="BA547" i="2" s="1"/>
  <c r="AA1216" i="3"/>
  <c r="BA548" i="2" s="1"/>
  <c r="AA1222" i="3"/>
  <c r="BJ670" i="1" s="1"/>
  <c r="AA1228" i="3"/>
  <c r="BA549" i="2" s="1"/>
  <c r="AA1219" i="3"/>
  <c r="BA550" i="2" s="1"/>
  <c r="AA1223" i="3"/>
  <c r="BA551" i="2" s="1"/>
  <c r="AA1225" i="3"/>
  <c r="BA552" i="2" s="1"/>
  <c r="AA1226" i="3"/>
  <c r="BA553" i="2" s="1"/>
  <c r="AA1227" i="3"/>
  <c r="BA554" i="2" s="1"/>
  <c r="AA1215" i="3"/>
  <c r="BA555" i="2" s="1"/>
  <c r="AA1217" i="3"/>
  <c r="BA556" i="2" s="1"/>
  <c r="AA1220" i="3"/>
  <c r="BA557" i="2" s="1"/>
  <c r="AA1229" i="3"/>
  <c r="BA558" i="2" s="1"/>
  <c r="AA1230" i="3"/>
  <c r="BA559" i="2" s="1"/>
  <c r="AA1231" i="3"/>
  <c r="BA560" i="2" s="1"/>
  <c r="AA1232" i="3"/>
  <c r="BA561" i="2" s="1"/>
  <c r="AA1233" i="3"/>
  <c r="BA562" i="2" s="1"/>
  <c r="AA1234" i="3"/>
  <c r="BJ676" i="1" s="1"/>
  <c r="AE105" i="3"/>
  <c r="AE323" i="3"/>
  <c r="AE439" i="3"/>
  <c r="AE376" i="3"/>
  <c r="AE431" i="3"/>
  <c r="AE468" i="3"/>
  <c r="AE455" i="3"/>
  <c r="AE464" i="3"/>
  <c r="AE496" i="3"/>
  <c r="AE486" i="3"/>
  <c r="B101" i="3"/>
  <c r="B464" i="3"/>
  <c r="B318" i="3"/>
  <c r="B856" i="3"/>
  <c r="B65" i="3"/>
  <c r="B199" i="3"/>
  <c r="B361" i="3"/>
  <c r="B819" i="3"/>
  <c r="B62" i="3"/>
  <c r="B164" i="3"/>
  <c r="B200" i="3"/>
  <c r="B144" i="3"/>
  <c r="B675" i="3"/>
  <c r="B1148" i="3"/>
  <c r="B502" i="3"/>
  <c r="B240" i="3"/>
  <c r="B161" i="3"/>
  <c r="B339" i="3"/>
  <c r="B342" i="3"/>
  <c r="B93" i="3"/>
  <c r="B343" i="3"/>
  <c r="B64" i="3"/>
  <c r="B94" i="3"/>
  <c r="B120" i="3"/>
  <c r="B122" i="3"/>
  <c r="B446" i="3"/>
  <c r="B394" i="3"/>
  <c r="B634" i="3"/>
  <c r="B407" i="3"/>
  <c r="B44" i="3"/>
  <c r="B693" i="3"/>
  <c r="B899" i="3"/>
  <c r="B308" i="3"/>
  <c r="B404" i="3"/>
  <c r="B1130" i="3"/>
  <c r="B245" i="3"/>
  <c r="B933" i="3"/>
  <c r="B454" i="3"/>
  <c r="B294" i="3"/>
  <c r="B78" i="3"/>
  <c r="B1212" i="3"/>
  <c r="B577" i="3"/>
  <c r="B160" i="3"/>
  <c r="B1054" i="3"/>
  <c r="B23" i="3"/>
  <c r="B601" i="3"/>
  <c r="B481" i="3"/>
  <c r="B809" i="3"/>
  <c r="B324" i="3"/>
  <c r="B349" i="3"/>
  <c r="B299" i="3"/>
  <c r="B272" i="3"/>
  <c r="B320" i="3"/>
  <c r="B736" i="3"/>
  <c r="B56" i="3"/>
  <c r="B937" i="3"/>
  <c r="B205" i="3"/>
  <c r="B170" i="3"/>
  <c r="B573" i="3"/>
  <c r="B518" i="3"/>
  <c r="B1080" i="3"/>
  <c r="B691" i="3"/>
  <c r="B75" i="3"/>
  <c r="B293" i="3"/>
  <c r="B325" i="3"/>
  <c r="B732" i="3"/>
  <c r="B529" i="3"/>
  <c r="B821" i="3"/>
  <c r="B322" i="3"/>
  <c r="B229" i="3"/>
  <c r="B186" i="3"/>
  <c r="B413" i="3"/>
  <c r="B212" i="3"/>
  <c r="B696" i="3"/>
  <c r="B1182" i="3"/>
  <c r="B376" i="3"/>
  <c r="B312" i="3"/>
  <c r="B150" i="3"/>
  <c r="B286" i="3"/>
  <c r="B514" i="3"/>
  <c r="B935" i="3"/>
  <c r="B403" i="3"/>
  <c r="B346" i="3"/>
  <c r="B193" i="3"/>
  <c r="B49" i="3"/>
  <c r="B701" i="3"/>
  <c r="B984" i="3"/>
  <c r="B831" i="3"/>
  <c r="B132" i="3"/>
  <c r="B714" i="3"/>
  <c r="B612" i="3"/>
  <c r="B338" i="3"/>
  <c r="B151" i="3"/>
  <c r="B306" i="3"/>
  <c r="B531" i="3"/>
  <c r="B443" i="3"/>
  <c r="B252" i="3"/>
  <c r="B347" i="3"/>
  <c r="B569" i="3"/>
  <c r="B336" i="3"/>
  <c r="B462" i="3"/>
  <c r="B76" i="3"/>
  <c r="B721" i="3"/>
  <c r="B241" i="3"/>
  <c r="B440" i="3"/>
  <c r="B77" i="3"/>
  <c r="B180" i="3"/>
  <c r="B220" i="3"/>
  <c r="C101" i="3"/>
  <c r="G101" i="3" s="1"/>
  <c r="C464" i="3"/>
  <c r="G464" i="3" s="1"/>
  <c r="C318" i="3"/>
  <c r="G318" i="3" s="1"/>
  <c r="C856" i="3"/>
  <c r="G856" i="3" s="1"/>
  <c r="C65" i="3"/>
  <c r="G65" i="3" s="1"/>
  <c r="C199" i="3"/>
  <c r="G199" i="3" s="1"/>
  <c r="C361" i="3"/>
  <c r="G361" i="3" s="1"/>
  <c r="C819" i="3"/>
  <c r="G819" i="3" s="1"/>
  <c r="C62" i="3"/>
  <c r="G62" i="3" s="1"/>
  <c r="C164" i="3"/>
  <c r="C200" i="3"/>
  <c r="C144" i="3"/>
  <c r="G144" i="3" s="1"/>
  <c r="C675" i="3"/>
  <c r="G675" i="3" s="1"/>
  <c r="C1148" i="3"/>
  <c r="G1148" i="3" s="1"/>
  <c r="C502" i="3"/>
  <c r="G502" i="3" s="1"/>
  <c r="C240" i="3"/>
  <c r="G240" i="3" s="1"/>
  <c r="C161" i="3"/>
  <c r="C339" i="3"/>
  <c r="G339" i="3" s="1"/>
  <c r="C342" i="3"/>
  <c r="C93" i="3"/>
  <c r="G93" i="3" s="1"/>
  <c r="C343" i="3"/>
  <c r="C64" i="3"/>
  <c r="G64" i="3" s="1"/>
  <c r="C94" i="3"/>
  <c r="G94" i="3" s="1"/>
  <c r="C120" i="3"/>
  <c r="G120" i="3" s="1"/>
  <c r="C122" i="3"/>
  <c r="G122" i="3" s="1"/>
  <c r="C446" i="3"/>
  <c r="C394" i="3"/>
  <c r="G394" i="3" s="1"/>
  <c r="C634" i="3"/>
  <c r="G634" i="3" s="1"/>
  <c r="C407" i="3"/>
  <c r="G407" i="3" s="1"/>
  <c r="C44" i="3"/>
  <c r="G44" i="3" s="1"/>
  <c r="C693" i="3"/>
  <c r="C899" i="3"/>
  <c r="G899" i="3" s="1"/>
  <c r="C308" i="3"/>
  <c r="G308" i="3" s="1"/>
  <c r="C404" i="3"/>
  <c r="C1130" i="3"/>
  <c r="G1130" i="3" s="1"/>
  <c r="C245" i="3"/>
  <c r="C933" i="3"/>
  <c r="G933" i="3" s="1"/>
  <c r="C454" i="3"/>
  <c r="G454" i="3" s="1"/>
  <c r="C294" i="3"/>
  <c r="G294" i="3" s="1"/>
  <c r="C78" i="3"/>
  <c r="G78" i="3" s="1"/>
  <c r="C1212" i="3"/>
  <c r="G1212" i="3" s="1"/>
  <c r="C577" i="3"/>
  <c r="C160" i="3"/>
  <c r="G160" i="3" s="1"/>
  <c r="C1054" i="3"/>
  <c r="G1054" i="3" s="1"/>
  <c r="C23" i="3"/>
  <c r="G23" i="3" s="1"/>
  <c r="C601" i="3"/>
  <c r="G601" i="3" s="1"/>
  <c r="C481" i="3"/>
  <c r="G481" i="3" s="1"/>
  <c r="C809" i="3"/>
  <c r="G809" i="3" s="1"/>
  <c r="C324" i="3"/>
  <c r="C349" i="3"/>
  <c r="G349" i="3" s="1"/>
  <c r="C299" i="3"/>
  <c r="C272" i="3"/>
  <c r="G272" i="3" s="1"/>
  <c r="C320" i="3"/>
  <c r="C736" i="3"/>
  <c r="G736" i="3" s="1"/>
  <c r="C56" i="3"/>
  <c r="G56" i="3" s="1"/>
  <c r="C937" i="3"/>
  <c r="G937" i="3" s="1"/>
  <c r="C205" i="3"/>
  <c r="C170" i="3"/>
  <c r="G170" i="3" s="1"/>
  <c r="C573" i="3"/>
  <c r="G573" i="3" s="1"/>
  <c r="C518" i="3"/>
  <c r="G518" i="3" s="1"/>
  <c r="C1080" i="3"/>
  <c r="G1080" i="3" s="1"/>
  <c r="C691" i="3"/>
  <c r="H691" i="3" s="1"/>
  <c r="C75" i="3"/>
  <c r="G75" i="3" s="1"/>
  <c r="C293" i="3"/>
  <c r="G293" i="3" s="1"/>
  <c r="C325" i="3"/>
  <c r="G325" i="3" s="1"/>
  <c r="C732" i="3"/>
  <c r="G732" i="3" s="1"/>
  <c r="C529" i="3"/>
  <c r="C821" i="3"/>
  <c r="G821" i="3" s="1"/>
  <c r="C322" i="3"/>
  <c r="C229" i="3"/>
  <c r="G229" i="3" s="1"/>
  <c r="C186" i="3"/>
  <c r="G186" i="3" s="1"/>
  <c r="C413" i="3"/>
  <c r="G413" i="3" s="1"/>
  <c r="C212" i="3"/>
  <c r="G212" i="3" s="1"/>
  <c r="C696" i="3"/>
  <c r="G696" i="3" s="1"/>
  <c r="C1182" i="3"/>
  <c r="G1182" i="3" s="1"/>
  <c r="C376" i="3"/>
  <c r="G376" i="3" s="1"/>
  <c r="C312" i="3"/>
  <c r="T312" i="3" s="1"/>
  <c r="W312" i="3" s="1"/>
  <c r="C150" i="3"/>
  <c r="V150" i="3" s="1"/>
  <c r="C286" i="3"/>
  <c r="G286" i="3" s="1"/>
  <c r="C514" i="3"/>
  <c r="G514" i="3" s="1"/>
  <c r="C935" i="3"/>
  <c r="G935" i="3" s="1"/>
  <c r="C403" i="3"/>
  <c r="G403" i="3" s="1"/>
  <c r="C346" i="3"/>
  <c r="G346" i="3" s="1"/>
  <c r="C193" i="3"/>
  <c r="G193" i="3" s="1"/>
  <c r="C49" i="3"/>
  <c r="G49" i="3" s="1"/>
  <c r="C701" i="3"/>
  <c r="G701" i="3" s="1"/>
  <c r="C984" i="3"/>
  <c r="G984" i="3" s="1"/>
  <c r="C831" i="3"/>
  <c r="G831" i="3" s="1"/>
  <c r="C132" i="3"/>
  <c r="G132" i="3" s="1"/>
  <c r="C714" i="3"/>
  <c r="G714" i="3" s="1"/>
  <c r="C612" i="3"/>
  <c r="G612" i="3" s="1"/>
  <c r="C338" i="3"/>
  <c r="G338" i="3" s="1"/>
  <c r="C151" i="3"/>
  <c r="G151" i="3" s="1"/>
  <c r="C306" i="3"/>
  <c r="G306" i="3" s="1"/>
  <c r="C531" i="3"/>
  <c r="G531" i="3" s="1"/>
  <c r="C443" i="3"/>
  <c r="G443" i="3" s="1"/>
  <c r="C252" i="3"/>
  <c r="G252" i="3" s="1"/>
  <c r="C347" i="3"/>
  <c r="C569" i="3"/>
  <c r="G569" i="3" s="1"/>
  <c r="C336" i="3"/>
  <c r="C462" i="3"/>
  <c r="V462" i="3" s="1"/>
  <c r="C76" i="3"/>
  <c r="G76" i="3" s="1"/>
  <c r="C721" i="3"/>
  <c r="G721" i="3" s="1"/>
  <c r="C241" i="3"/>
  <c r="G241" i="3" s="1"/>
  <c r="C440" i="3"/>
  <c r="G440" i="3" s="1"/>
  <c r="C77" i="3"/>
  <c r="G77" i="3" s="1"/>
  <c r="C180" i="3"/>
  <c r="G180" i="3" s="1"/>
  <c r="C220" i="3"/>
  <c r="G220" i="3" s="1"/>
  <c r="T101" i="3"/>
  <c r="W101" i="3" s="1"/>
  <c r="T318" i="3"/>
  <c r="W318" i="3" s="1"/>
  <c r="T65" i="3"/>
  <c r="W65" i="3" s="1"/>
  <c r="T361" i="3"/>
  <c r="W361" i="3" s="1"/>
  <c r="T819" i="3"/>
  <c r="W819" i="3" s="1"/>
  <c r="T62" i="3"/>
  <c r="W62" i="3" s="1"/>
  <c r="T200" i="3"/>
  <c r="W200" i="3" s="1"/>
  <c r="T675" i="3"/>
  <c r="W675" i="3" s="1"/>
  <c r="T1148" i="3"/>
  <c r="W1148" i="3" s="1"/>
  <c r="T502" i="3"/>
  <c r="W502" i="3" s="1"/>
  <c r="T240" i="3"/>
  <c r="W240" i="3" s="1"/>
  <c r="T161" i="3"/>
  <c r="W161" i="3" s="1"/>
  <c r="T342" i="3"/>
  <c r="W342" i="3" s="1"/>
  <c r="T343" i="3"/>
  <c r="W343" i="3" s="1"/>
  <c r="T94" i="3"/>
  <c r="W94" i="3" s="1"/>
  <c r="T120" i="3"/>
  <c r="W120" i="3" s="1"/>
  <c r="T122" i="3"/>
  <c r="W122" i="3" s="1"/>
  <c r="T446" i="3"/>
  <c r="W446" i="3" s="1"/>
  <c r="T394" i="3"/>
  <c r="W394" i="3" s="1"/>
  <c r="T407" i="3"/>
  <c r="W407" i="3" s="1"/>
  <c r="T693" i="3"/>
  <c r="W693" i="3" s="1"/>
  <c r="T899" i="3"/>
  <c r="W899" i="3" s="1"/>
  <c r="T308" i="3"/>
  <c r="W308" i="3" s="1"/>
  <c r="T1130" i="3"/>
  <c r="W1130" i="3" s="1"/>
  <c r="T933" i="3"/>
  <c r="W933" i="3" s="1"/>
  <c r="T294" i="3"/>
  <c r="W294" i="3" s="1"/>
  <c r="T1212" i="3"/>
  <c r="W1212" i="3" s="1"/>
  <c r="T160" i="3"/>
  <c r="W160" i="3" s="1"/>
  <c r="T23" i="3"/>
  <c r="W23" i="3" s="1"/>
  <c r="T601" i="3"/>
  <c r="W601" i="3" s="1"/>
  <c r="T481" i="3"/>
  <c r="W481" i="3" s="1"/>
  <c r="T809" i="3"/>
  <c r="W809" i="3" s="1"/>
  <c r="T324" i="3"/>
  <c r="W324" i="3" s="1"/>
  <c r="T299" i="3"/>
  <c r="W299" i="3" s="1"/>
  <c r="T320" i="3"/>
  <c r="W320" i="3" s="1"/>
  <c r="T56" i="3"/>
  <c r="W56" i="3" s="1"/>
  <c r="T937" i="3"/>
  <c r="W937" i="3" s="1"/>
  <c r="T205" i="3"/>
  <c r="W205" i="3" s="1"/>
  <c r="T573" i="3"/>
  <c r="W573" i="3" s="1"/>
  <c r="T1080" i="3"/>
  <c r="W1080" i="3" s="1"/>
  <c r="T75" i="3"/>
  <c r="W75" i="3" s="1"/>
  <c r="T325" i="3"/>
  <c r="W325" i="3" s="1"/>
  <c r="T529" i="3"/>
  <c r="W529" i="3" s="1"/>
  <c r="T186" i="3"/>
  <c r="W186" i="3" s="1"/>
  <c r="T212" i="3"/>
  <c r="W212" i="3" s="1"/>
  <c r="T1182" i="3"/>
  <c r="W1182" i="3" s="1"/>
  <c r="T286" i="3"/>
  <c r="W286" i="3" s="1"/>
  <c r="T935" i="3"/>
  <c r="W935" i="3" s="1"/>
  <c r="T346" i="3"/>
  <c r="W346" i="3" s="1"/>
  <c r="T701" i="3"/>
  <c r="W701" i="3" s="1"/>
  <c r="T984" i="3"/>
  <c r="W984" i="3" s="1"/>
  <c r="T831" i="3"/>
  <c r="W831" i="3" s="1"/>
  <c r="T132" i="3"/>
  <c r="W132" i="3" s="1"/>
  <c r="T612" i="3"/>
  <c r="W612" i="3" s="1"/>
  <c r="T252" i="3"/>
  <c r="W252" i="3" s="1"/>
  <c r="T241" i="3"/>
  <c r="W241" i="3" s="1"/>
  <c r="T440" i="3"/>
  <c r="W440" i="3" s="1"/>
  <c r="U101" i="3"/>
  <c r="U318" i="3"/>
  <c r="U65" i="3"/>
  <c r="U361" i="3"/>
  <c r="U819" i="3"/>
  <c r="U62" i="3"/>
  <c r="U200" i="3"/>
  <c r="U675" i="3"/>
  <c r="U502" i="3"/>
  <c r="U240" i="3"/>
  <c r="U161" i="3"/>
  <c r="U342" i="3"/>
  <c r="U343" i="3"/>
  <c r="U94" i="3"/>
  <c r="U120" i="3"/>
  <c r="U122" i="3"/>
  <c r="U394" i="3"/>
  <c r="U407" i="3"/>
  <c r="U693" i="3"/>
  <c r="U899" i="3"/>
  <c r="U308" i="3"/>
  <c r="U1130" i="3"/>
  <c r="U933" i="3"/>
  <c r="U294" i="3"/>
  <c r="U78" i="3"/>
  <c r="U1212" i="3"/>
  <c r="U160" i="3"/>
  <c r="U23" i="3"/>
  <c r="U481" i="3"/>
  <c r="U809" i="3"/>
  <c r="U324" i="3"/>
  <c r="U299" i="3"/>
  <c r="U320" i="3"/>
  <c r="U56" i="3"/>
  <c r="U937" i="3"/>
  <c r="U205" i="3"/>
  <c r="U573" i="3"/>
  <c r="U518" i="3"/>
  <c r="U75" i="3"/>
  <c r="U293" i="3"/>
  <c r="U325" i="3"/>
  <c r="U529" i="3"/>
  <c r="U322" i="3"/>
  <c r="U186" i="3"/>
  <c r="U212" i="3"/>
  <c r="U286" i="3"/>
  <c r="U514" i="3"/>
  <c r="U935" i="3"/>
  <c r="U346" i="3"/>
  <c r="U49" i="3"/>
  <c r="U984" i="3"/>
  <c r="U831" i="3"/>
  <c r="U132" i="3"/>
  <c r="U612" i="3"/>
  <c r="U531" i="3"/>
  <c r="U252" i="3"/>
  <c r="U462" i="3"/>
  <c r="U721" i="3"/>
  <c r="U440" i="3"/>
  <c r="U180" i="3"/>
  <c r="V101" i="3"/>
  <c r="V318" i="3"/>
  <c r="V65" i="3"/>
  <c r="V361" i="3"/>
  <c r="V819" i="3"/>
  <c r="V62" i="3"/>
  <c r="V200" i="3"/>
  <c r="V675" i="3"/>
  <c r="V502" i="3"/>
  <c r="V240" i="3"/>
  <c r="V161" i="3"/>
  <c r="V342" i="3"/>
  <c r="V343" i="3"/>
  <c r="V94" i="3"/>
  <c r="V120" i="3"/>
  <c r="V122" i="3"/>
  <c r="V394" i="3"/>
  <c r="V407" i="3"/>
  <c r="V693" i="3"/>
  <c r="V899" i="3"/>
  <c r="V308" i="3"/>
  <c r="V1130" i="3"/>
  <c r="V933" i="3"/>
  <c r="V294" i="3"/>
  <c r="V78" i="3"/>
  <c r="V1212" i="3"/>
  <c r="V160" i="3"/>
  <c r="V1054" i="3"/>
  <c r="V23" i="3"/>
  <c r="V481" i="3"/>
  <c r="V809" i="3"/>
  <c r="V324" i="3"/>
  <c r="V299" i="3"/>
  <c r="V320" i="3"/>
  <c r="V56" i="3"/>
  <c r="V937" i="3"/>
  <c r="V205" i="3"/>
  <c r="V573" i="3"/>
  <c r="V1080" i="3"/>
  <c r="V75" i="3"/>
  <c r="V293" i="3"/>
  <c r="V325" i="3"/>
  <c r="V529" i="3"/>
  <c r="V322" i="3"/>
  <c r="V229" i="3"/>
  <c r="V186" i="3"/>
  <c r="V413" i="3"/>
  <c r="V212" i="3"/>
  <c r="V1182" i="3"/>
  <c r="V312" i="3"/>
  <c r="V286" i="3"/>
  <c r="V514" i="3"/>
  <c r="V935" i="3"/>
  <c r="V346" i="3"/>
  <c r="V49" i="3"/>
  <c r="V984" i="3"/>
  <c r="V132" i="3"/>
  <c r="V612" i="3"/>
  <c r="V151" i="3"/>
  <c r="V531" i="3"/>
  <c r="V443" i="3"/>
  <c r="V252" i="3"/>
  <c r="V569" i="3"/>
  <c r="V721" i="3"/>
  <c r="V440" i="3"/>
  <c r="V180" i="3"/>
  <c r="V220" i="3"/>
  <c r="B5" i="3"/>
  <c r="B6" i="3"/>
  <c r="B7" i="3"/>
  <c r="B9" i="3"/>
  <c r="B10" i="3"/>
  <c r="B14" i="3"/>
  <c r="B11" i="3"/>
  <c r="B12" i="3"/>
  <c r="B15" i="3"/>
  <c r="B20" i="3"/>
  <c r="B17" i="3"/>
  <c r="B21" i="3"/>
  <c r="B22" i="3"/>
  <c r="B27" i="3"/>
  <c r="B19" i="3"/>
  <c r="B25" i="3"/>
  <c r="B26" i="3"/>
  <c r="B24" i="3"/>
  <c r="B30" i="3"/>
  <c r="B38" i="3"/>
  <c r="B33" i="3"/>
  <c r="B34" i="3"/>
  <c r="B35" i="3"/>
  <c r="B36" i="3"/>
  <c r="B32" i="3"/>
  <c r="B40" i="3"/>
  <c r="B37" i="3"/>
  <c r="B42" i="3"/>
  <c r="B43" i="3"/>
  <c r="B46" i="3"/>
  <c r="B41" i="3"/>
  <c r="B47" i="3"/>
  <c r="B48" i="3"/>
  <c r="B45" i="3"/>
  <c r="B52" i="3"/>
  <c r="B51" i="3"/>
  <c r="B55" i="3"/>
  <c r="B54" i="3"/>
  <c r="B59" i="3"/>
  <c r="B58" i="3"/>
  <c r="B61" i="3"/>
  <c r="B66" i="3"/>
  <c r="B57" i="3"/>
  <c r="B60" i="3"/>
  <c r="B79" i="3"/>
  <c r="B80" i="3"/>
  <c r="B67" i="3"/>
  <c r="B68" i="3"/>
  <c r="B96" i="3"/>
  <c r="B113" i="3"/>
  <c r="B102" i="3"/>
  <c r="B111" i="3"/>
  <c r="B116" i="3"/>
  <c r="B118" i="3"/>
  <c r="B123" i="3"/>
  <c r="B119" i="3"/>
  <c r="B115" i="3"/>
  <c r="B121" i="3"/>
  <c r="B128" i="3"/>
  <c r="B124" i="3"/>
  <c r="B133" i="3"/>
  <c r="B125" i="3"/>
  <c r="B126" i="3"/>
  <c r="B134" i="3"/>
  <c r="B127" i="3"/>
  <c r="B130" i="3"/>
  <c r="B136" i="3"/>
  <c r="B137" i="3"/>
  <c r="B138" i="3"/>
  <c r="B131" i="3"/>
  <c r="B142" i="3"/>
  <c r="B129" i="3"/>
  <c r="B117" i="3"/>
  <c r="B156" i="3"/>
  <c r="B152" i="3"/>
  <c r="B143" i="3"/>
  <c r="B145" i="3"/>
  <c r="B135" i="3"/>
  <c r="B154" i="3"/>
  <c r="B155" i="3"/>
  <c r="B165" i="3"/>
  <c r="B157" i="3"/>
  <c r="B146" i="3"/>
  <c r="B147" i="3"/>
  <c r="B159" i="3"/>
  <c r="B163" i="3"/>
  <c r="B184" i="3"/>
  <c r="B175" i="3"/>
  <c r="B177" i="3"/>
  <c r="B162" i="3"/>
  <c r="B176" i="3"/>
  <c r="B179" i="3"/>
  <c r="B182" i="3"/>
  <c r="B185" i="3"/>
  <c r="B198" i="3"/>
  <c r="B187" i="3"/>
  <c r="B190" i="3"/>
  <c r="B183" i="3"/>
  <c r="B196" i="3"/>
  <c r="B197" i="3"/>
  <c r="B204" i="3"/>
  <c r="B223" i="3"/>
  <c r="B224" i="3"/>
  <c r="B169" i="3"/>
  <c r="B222" i="3"/>
  <c r="B208" i="3"/>
  <c r="B228" i="3"/>
  <c r="B262" i="3"/>
  <c r="B265" i="3"/>
  <c r="B256" i="3"/>
  <c r="B258" i="3"/>
  <c r="B248" i="3"/>
  <c r="B259" i="3"/>
  <c r="B260" i="3"/>
  <c r="B280" i="3"/>
  <c r="B254" i="3"/>
  <c r="B267" i="3"/>
  <c r="B285" i="3"/>
  <c r="B287" i="3"/>
  <c r="B274" i="3"/>
  <c r="B264" i="3"/>
  <c r="B266" i="3"/>
  <c r="B290" i="3"/>
  <c r="B291" i="3"/>
  <c r="B304" i="3"/>
  <c r="B277" i="3"/>
  <c r="B305" i="3"/>
  <c r="B282" i="3"/>
  <c r="B295" i="3"/>
  <c r="B300" i="3"/>
  <c r="B227" i="3"/>
  <c r="B315" i="3"/>
  <c r="B319" i="3"/>
  <c r="B298" i="3"/>
  <c r="B269" i="3"/>
  <c r="B352" i="3"/>
  <c r="B353" i="3"/>
  <c r="B356" i="3"/>
  <c r="B334" i="3"/>
  <c r="B337" i="3"/>
  <c r="B344" i="3"/>
  <c r="B326" i="3"/>
  <c r="B330" i="3"/>
  <c r="B373" i="3"/>
  <c r="B351" i="3"/>
  <c r="B378" i="3"/>
  <c r="B379" i="3"/>
  <c r="B332" i="3"/>
  <c r="B316" i="3"/>
  <c r="B263" i="3"/>
  <c r="B358" i="3"/>
  <c r="B359" i="3"/>
  <c r="B366" i="3"/>
  <c r="B369" i="3"/>
  <c r="B370" i="3"/>
  <c r="B386" i="3"/>
  <c r="B390" i="3"/>
  <c r="B391" i="3"/>
  <c r="B383" i="3"/>
  <c r="B360" i="3"/>
  <c r="B384" i="3"/>
  <c r="B402" i="3"/>
  <c r="B371" i="3"/>
  <c r="B387" i="3"/>
  <c r="B412" i="3"/>
  <c r="B375" i="3"/>
  <c r="B414" i="3"/>
  <c r="B377" i="3"/>
  <c r="B380" i="3"/>
  <c r="B396" i="3"/>
  <c r="B397" i="3"/>
  <c r="B385" i="3"/>
  <c r="B388" i="3"/>
  <c r="B411" i="3"/>
  <c r="B415" i="3"/>
  <c r="B417" i="3"/>
  <c r="B398" i="3"/>
  <c r="B420" i="3"/>
  <c r="B401" i="3"/>
  <c r="B442" i="3"/>
  <c r="B470" i="3"/>
  <c r="B406" i="3"/>
  <c r="B427" i="3"/>
  <c r="B430" i="3"/>
  <c r="B410" i="3"/>
  <c r="B393" i="3"/>
  <c r="B416" i="3"/>
  <c r="B460" i="3"/>
  <c r="B419" i="3"/>
  <c r="B421" i="3"/>
  <c r="B399" i="3"/>
  <c r="B422" i="3"/>
  <c r="B424" i="3"/>
  <c r="B445" i="3"/>
  <c r="B447" i="3"/>
  <c r="B472" i="3"/>
  <c r="B453" i="3"/>
  <c r="B434" i="3"/>
  <c r="B437" i="3"/>
  <c r="B483" i="3"/>
  <c r="B466" i="3"/>
  <c r="B448" i="3"/>
  <c r="B500" i="3"/>
  <c r="B473" i="3"/>
  <c r="B507" i="3"/>
  <c r="B480" i="3"/>
  <c r="B484" i="3"/>
  <c r="B487" i="3"/>
  <c r="B513" i="3"/>
  <c r="B488" i="3"/>
  <c r="B465" i="3"/>
  <c r="B467" i="3"/>
  <c r="B516" i="3"/>
  <c r="B520" i="3"/>
  <c r="B493" i="3"/>
  <c r="B522" i="3"/>
  <c r="B499" i="3"/>
  <c r="B528" i="3"/>
  <c r="B575" i="3"/>
  <c r="B501" i="3"/>
  <c r="B583" i="3"/>
  <c r="B508" i="3"/>
  <c r="B477" i="3"/>
  <c r="B540" i="3"/>
  <c r="B478" i="3"/>
  <c r="B479" i="3"/>
  <c r="B549" i="3"/>
  <c r="B552" i="3"/>
  <c r="B553" i="3"/>
  <c r="B485" i="3"/>
  <c r="B423" i="3"/>
  <c r="B515" i="3"/>
  <c r="B490" i="3"/>
  <c r="B491" i="3"/>
  <c r="B519" i="3"/>
  <c r="B523" i="3"/>
  <c r="B494" i="3"/>
  <c r="B568" i="3"/>
  <c r="B496" i="3"/>
  <c r="B498" i="3"/>
  <c r="B527" i="3"/>
  <c r="B530" i="3"/>
  <c r="B503" i="3"/>
  <c r="B534" i="3"/>
  <c r="B505" i="3"/>
  <c r="B535" i="3"/>
  <c r="B509" i="3"/>
  <c r="B538" i="3"/>
  <c r="B539" i="3"/>
  <c r="B542" i="3"/>
  <c r="B548" i="3"/>
  <c r="B511" i="3"/>
  <c r="B554" i="3"/>
  <c r="B558" i="3"/>
  <c r="B562" i="3"/>
  <c r="B521" i="3"/>
  <c r="B564" i="3"/>
  <c r="B651" i="3"/>
  <c r="B524" i="3"/>
  <c r="B614" i="3"/>
  <c r="B567" i="3"/>
  <c r="B572" i="3"/>
  <c r="B432" i="3"/>
  <c r="B532" i="3"/>
  <c r="B533" i="3"/>
  <c r="B584" i="3"/>
  <c r="B585" i="3"/>
  <c r="B586" i="3"/>
  <c r="B627" i="3"/>
  <c r="B537" i="3"/>
  <c r="B589" i="3"/>
  <c r="B590" i="3"/>
  <c r="B510" i="3"/>
  <c r="B541" i="3"/>
  <c r="B597" i="3"/>
  <c r="B546" i="3"/>
  <c r="B547" i="3"/>
  <c r="B637" i="3"/>
  <c r="B638" i="3"/>
  <c r="B555" i="3"/>
  <c r="B604" i="3"/>
  <c r="B605" i="3"/>
  <c r="B606" i="3"/>
  <c r="B610" i="3"/>
  <c r="B611" i="3"/>
  <c r="B563" i="3"/>
  <c r="B613" i="3"/>
  <c r="B565" i="3"/>
  <c r="B566" i="3"/>
  <c r="B615" i="3"/>
  <c r="B616" i="3"/>
  <c r="B619" i="3"/>
  <c r="B574" i="3"/>
  <c r="B657" i="3"/>
  <c r="B622" i="3"/>
  <c r="B579" i="3"/>
  <c r="B580" i="3"/>
  <c r="B623" i="3"/>
  <c r="B456" i="3"/>
  <c r="B626" i="3"/>
  <c r="B588" i="3"/>
  <c r="B591" i="3"/>
  <c r="B592" i="3"/>
  <c r="B593" i="3"/>
  <c r="B631" i="3"/>
  <c r="B665" i="3"/>
  <c r="B706" i="3"/>
  <c r="B598" i="3"/>
  <c r="B599" i="3"/>
  <c r="B639" i="3"/>
  <c r="B641" i="3"/>
  <c r="B643" i="3"/>
  <c r="B645" i="3"/>
  <c r="B678" i="3"/>
  <c r="B602" i="3"/>
  <c r="B650" i="3"/>
  <c r="B682" i="3"/>
  <c r="B653" i="3"/>
  <c r="B571" i="3"/>
  <c r="B578" i="3"/>
  <c r="B661" i="3"/>
  <c r="B662" i="3"/>
  <c r="B697" i="3"/>
  <c r="B630" i="3"/>
  <c r="B666" i="3"/>
  <c r="B669" i="3"/>
  <c r="B512" i="3"/>
  <c r="B636" i="3"/>
  <c r="B468" i="3"/>
  <c r="B646" i="3"/>
  <c r="B726" i="3"/>
  <c r="B729" i="3"/>
  <c r="B679" i="3"/>
  <c r="B734" i="3"/>
  <c r="B681" i="3"/>
  <c r="B740" i="3"/>
  <c r="B654" i="3"/>
  <c r="B618" i="3"/>
  <c r="B742" i="3"/>
  <c r="B655" i="3"/>
  <c r="B656" i="3"/>
  <c r="B689" i="3"/>
  <c r="B621" i="3"/>
  <c r="B692" i="3"/>
  <c r="B624" i="3"/>
  <c r="B797" i="3"/>
  <c r="B707" i="3"/>
  <c r="B667" i="3"/>
  <c r="B482" i="3"/>
  <c r="B672" i="3"/>
  <c r="B717" i="3"/>
  <c r="B718" i="3"/>
  <c r="B719" i="3"/>
  <c r="B677" i="3"/>
  <c r="B559" i="3"/>
  <c r="B769" i="3"/>
  <c r="B738" i="3"/>
  <c r="B782" i="3"/>
  <c r="B787" i="3"/>
  <c r="B745" i="3"/>
  <c r="B690" i="3"/>
  <c r="B789" i="3"/>
  <c r="B695" i="3"/>
  <c r="B796" i="3"/>
  <c r="B703" i="3"/>
  <c r="B551" i="3"/>
  <c r="B759" i="3"/>
  <c r="B802" i="3"/>
  <c r="B805" i="3"/>
  <c r="B709" i="3"/>
  <c r="B671" i="3"/>
  <c r="B761" i="3"/>
  <c r="B711" i="3"/>
  <c r="B712" i="3"/>
  <c r="B560" i="3"/>
  <c r="B765" i="3"/>
  <c r="B766" i="3"/>
  <c r="B814" i="3"/>
  <c r="B768" i="3"/>
  <c r="B730" i="3"/>
  <c r="B770" i="3"/>
  <c r="B830" i="3"/>
  <c r="B506" i="3"/>
  <c r="B748" i="3"/>
  <c r="B754" i="3"/>
  <c r="B843" i="3"/>
  <c r="B799" i="3"/>
  <c r="B705" i="3"/>
  <c r="B808" i="3"/>
  <c r="B716" i="3"/>
  <c r="B607" i="3"/>
  <c r="B608" i="3"/>
  <c r="B609" i="3"/>
  <c r="B720" i="3"/>
  <c r="B860" i="3"/>
  <c r="B649" i="3"/>
  <c r="B822" i="3"/>
  <c r="B731" i="3"/>
  <c r="B652" i="3"/>
  <c r="B771" i="3"/>
  <c r="B824" i="3"/>
  <c r="B826" i="3"/>
  <c r="B870" i="3"/>
  <c r="B776" i="3"/>
  <c r="B620" i="3"/>
  <c r="B878" i="3"/>
  <c r="B835" i="3"/>
  <c r="B790" i="3"/>
  <c r="B792" i="3"/>
  <c r="B594" i="3"/>
  <c r="B793" i="3"/>
  <c r="B840" i="3"/>
  <c r="B841" i="3"/>
  <c r="B842" i="3"/>
  <c r="B543" i="3"/>
  <c r="B794" i="3"/>
  <c r="B596" i="3"/>
  <c r="B896" i="3"/>
  <c r="B803" i="3"/>
  <c r="B806" i="3"/>
  <c r="B853" i="3"/>
  <c r="B762" i="3"/>
  <c r="B858" i="3"/>
  <c r="B810" i="3"/>
  <c r="B859" i="3"/>
  <c r="B813" i="3"/>
  <c r="B865" i="3"/>
  <c r="B815" i="3"/>
  <c r="B816" i="3"/>
  <c r="B820" i="3"/>
  <c r="B823" i="3"/>
  <c r="B829" i="3"/>
  <c r="B777" i="3"/>
  <c r="B660" i="3"/>
  <c r="B833" i="3"/>
  <c r="B880" i="3"/>
  <c r="B834" i="3"/>
  <c r="B836" i="3"/>
  <c r="B881" i="3"/>
  <c r="B883" i="3"/>
  <c r="B886" i="3"/>
  <c r="B700" i="3"/>
  <c r="B893" i="3"/>
  <c r="B845" i="3"/>
  <c r="B635" i="3"/>
  <c r="B895" i="3"/>
  <c r="B847" i="3"/>
  <c r="B673" i="3"/>
  <c r="B648" i="3"/>
  <c r="B947" i="3"/>
  <c r="B915" i="3"/>
  <c r="B733" i="3"/>
  <c r="B919" i="3"/>
  <c r="B954" i="3"/>
  <c r="B921" i="3"/>
  <c r="B872" i="3"/>
  <c r="B874" i="3"/>
  <c r="B958" i="3"/>
  <c r="B875" i="3"/>
  <c r="B876" i="3"/>
  <c r="B877" i="3"/>
  <c r="B927" i="3"/>
  <c r="B751" i="3"/>
  <c r="B929" i="3"/>
  <c r="B887" i="3"/>
  <c r="B702" i="3"/>
  <c r="B932" i="3"/>
  <c r="B892" i="3"/>
  <c r="B894" i="3"/>
  <c r="B898" i="3"/>
  <c r="B713" i="3"/>
  <c r="B674" i="3"/>
  <c r="B901" i="3"/>
  <c r="B715" i="3"/>
  <c r="B903" i="3"/>
  <c r="B973" i="3"/>
  <c r="B722" i="3"/>
  <c r="B908" i="3"/>
  <c r="B910" i="3"/>
  <c r="B817" i="3"/>
  <c r="B680" i="3"/>
  <c r="B917" i="3"/>
  <c r="B918" i="3"/>
  <c r="B951" i="3"/>
  <c r="B955" i="3"/>
  <c r="B959" i="3"/>
  <c r="B755" i="3"/>
  <c r="B928" i="3"/>
  <c r="B704" i="3"/>
  <c r="B936" i="3"/>
  <c r="B966" i="3"/>
  <c r="B900" i="3"/>
  <c r="B1009" i="3"/>
  <c r="B940" i="3"/>
  <c r="B763" i="3"/>
  <c r="B941" i="3"/>
  <c r="B942" i="3"/>
  <c r="B945" i="3"/>
  <c r="B1011" i="3"/>
  <c r="B950" i="3"/>
  <c r="B985" i="3"/>
  <c r="B990" i="3"/>
  <c r="B785" i="3"/>
  <c r="B890" i="3"/>
  <c r="B1002" i="3"/>
  <c r="B1026" i="3"/>
  <c r="B962" i="3"/>
  <c r="B934" i="3"/>
  <c r="B1030" i="3"/>
  <c r="B849" i="3"/>
  <c r="B965" i="3"/>
  <c r="B764" i="3"/>
  <c r="B971" i="3"/>
  <c r="B975" i="3"/>
  <c r="B774" i="3"/>
  <c r="B1014" i="3"/>
  <c r="B1017" i="3"/>
  <c r="B1038" i="3"/>
  <c r="B784" i="3"/>
  <c r="B786" i="3"/>
  <c r="B788" i="3"/>
  <c r="B1044" i="3"/>
  <c r="B1048" i="3"/>
  <c r="B1001" i="3"/>
  <c r="B1050" i="3"/>
  <c r="B1005" i="3"/>
  <c r="B1076" i="3"/>
  <c r="B905" i="3"/>
  <c r="B1007" i="3"/>
  <c r="B1008" i="3"/>
  <c r="B1012" i="3"/>
  <c r="B1036" i="3"/>
  <c r="B1037" i="3"/>
  <c r="B871" i="3"/>
  <c r="B882" i="3"/>
  <c r="B795" i="3"/>
  <c r="B889" i="3"/>
  <c r="B1024" i="3"/>
  <c r="B1027" i="3"/>
  <c r="B1031" i="3"/>
  <c r="B1073" i="3"/>
  <c r="B944" i="3"/>
  <c r="B1034" i="3"/>
  <c r="B868" i="3"/>
  <c r="B1084" i="3"/>
  <c r="B827" i="3"/>
  <c r="B1057" i="3"/>
  <c r="B1058" i="3"/>
  <c r="B920" i="3"/>
  <c r="B922" i="3"/>
  <c r="B1060" i="3"/>
  <c r="B1019" i="3"/>
  <c r="B960" i="3"/>
  <c r="B1041" i="3"/>
  <c r="B1064" i="3"/>
  <c r="B1065" i="3"/>
  <c r="B1042" i="3"/>
  <c r="B1022" i="3"/>
  <c r="B1046" i="3"/>
  <c r="B1025" i="3"/>
  <c r="B1068" i="3"/>
  <c r="B1070" i="3"/>
  <c r="B1051" i="3"/>
  <c r="B855" i="3"/>
  <c r="B909" i="3"/>
  <c r="B1098" i="3"/>
  <c r="B1077" i="3"/>
  <c r="B1052" i="3"/>
  <c r="B1053" i="3"/>
  <c r="B946" i="3"/>
  <c r="B1078" i="3"/>
  <c r="B1079" i="3"/>
  <c r="B1081" i="3"/>
  <c r="B948" i="3"/>
  <c r="B879" i="3"/>
  <c r="B1085" i="3"/>
  <c r="B1086" i="3"/>
  <c r="B1087" i="3"/>
  <c r="B1088" i="3"/>
  <c r="B961" i="3"/>
  <c r="B1113" i="3"/>
  <c r="B931" i="3"/>
  <c r="B1063" i="3"/>
  <c r="B1067" i="3"/>
  <c r="B1069" i="3"/>
  <c r="B969" i="3"/>
  <c r="B1072" i="3"/>
  <c r="B1101" i="3"/>
  <c r="B952" i="3"/>
  <c r="B1056" i="3"/>
  <c r="B957" i="3"/>
  <c r="B995" i="3"/>
  <c r="B1106" i="3"/>
  <c r="B999" i="3"/>
  <c r="B1089" i="3"/>
  <c r="B1062" i="3"/>
  <c r="B1116" i="3"/>
  <c r="B967" i="3"/>
  <c r="B968" i="3"/>
  <c r="B1093" i="3"/>
  <c r="B1094" i="3"/>
  <c r="B1097" i="3"/>
  <c r="B974" i="3"/>
  <c r="B1119" i="3"/>
  <c r="B1120" i="3"/>
  <c r="B1099" i="3"/>
  <c r="B1102" i="3"/>
  <c r="B1103" i="3"/>
  <c r="B987" i="3"/>
  <c r="B988" i="3"/>
  <c r="B1141" i="3"/>
  <c r="B1083" i="3"/>
  <c r="B991" i="3"/>
  <c r="B992" i="3"/>
  <c r="B1105" i="3"/>
  <c r="B1108" i="3"/>
  <c r="B1109" i="3"/>
  <c r="B1110" i="3"/>
  <c r="B1144" i="3"/>
  <c r="B1128" i="3"/>
  <c r="B1028" i="3"/>
  <c r="B1049" i="3"/>
  <c r="B1132" i="3"/>
  <c r="B1133" i="3"/>
  <c r="B1033" i="3"/>
  <c r="B980" i="3"/>
  <c r="B1151" i="3"/>
  <c r="B1124" i="3"/>
  <c r="B1061" i="3"/>
  <c r="B1111" i="3"/>
  <c r="B1112" i="3"/>
  <c r="B1004" i="3"/>
  <c r="B1129" i="3"/>
  <c r="B1074" i="3"/>
  <c r="B1135" i="3"/>
  <c r="B1138" i="3"/>
  <c r="B1043" i="3"/>
  <c r="B1168" i="3"/>
  <c r="B1159" i="3"/>
  <c r="B1155" i="3"/>
  <c r="B1156" i="3"/>
  <c r="B1045" i="3"/>
  <c r="B1096" i="3"/>
  <c r="B1118" i="3"/>
  <c r="B1171" i="3"/>
  <c r="B1082" i="3"/>
  <c r="B1122" i="3"/>
  <c r="B1181" i="3"/>
  <c r="B1183" i="3"/>
  <c r="B1091" i="3"/>
  <c r="B1092" i="3"/>
  <c r="B1117" i="3"/>
  <c r="B1169" i="3"/>
  <c r="B1125" i="3"/>
  <c r="B1115" i="3"/>
  <c r="B1189" i="3"/>
  <c r="B1203" i="3"/>
  <c r="B1145" i="3"/>
  <c r="B1147" i="3"/>
  <c r="B1134" i="3"/>
  <c r="B1198" i="3"/>
  <c r="B1163" i="3"/>
  <c r="B1200" i="3"/>
  <c r="B1210" i="3"/>
  <c r="B1209" i="3"/>
  <c r="B1222" i="3"/>
  <c r="B1176" i="3"/>
  <c r="B1196" i="3"/>
  <c r="B1204" i="3"/>
  <c r="B1208" i="3"/>
  <c r="B1218" i="3"/>
  <c r="B1234" i="3"/>
  <c r="B261" i="3"/>
  <c r="B279" i="3"/>
  <c r="B497" i="3"/>
  <c r="B425" i="3"/>
  <c r="B659" i="3"/>
  <c r="B852" i="3"/>
  <c r="B1184" i="3"/>
  <c r="B916" i="3"/>
  <c r="B1150" i="3"/>
  <c r="B1137" i="3"/>
  <c r="B171" i="3"/>
  <c r="B1220" i="3"/>
  <c r="B311" i="3"/>
  <c r="B869" i="3"/>
  <c r="B1195" i="3"/>
  <c r="B1152" i="3"/>
  <c r="B1029" i="3"/>
  <c r="B804" i="3"/>
  <c r="B284" i="3"/>
  <c r="B1164" i="3"/>
  <c r="B851" i="3"/>
  <c r="B374" i="3"/>
  <c r="B1213" i="3"/>
  <c r="B372" i="3"/>
  <c r="B1231" i="3"/>
  <c r="B837" i="3"/>
  <c r="B911" i="3"/>
  <c r="B1226" i="3"/>
  <c r="B708" i="3"/>
  <c r="B1172" i="3"/>
  <c r="B536" i="3"/>
  <c r="B913" i="3"/>
  <c r="B381" i="3"/>
  <c r="B979" i="3"/>
  <c r="B1224" i="3"/>
  <c r="B1177" i="3"/>
  <c r="B405" i="3"/>
  <c r="B409" i="3"/>
  <c r="B757" i="3"/>
  <c r="B1143" i="3"/>
  <c r="B640" i="3"/>
  <c r="B1214" i="3"/>
  <c r="B1160" i="3"/>
  <c r="B686" i="3"/>
  <c r="B1018" i="3"/>
  <c r="B983" i="3"/>
  <c r="B997" i="3"/>
  <c r="B743" i="3"/>
  <c r="B268" i="3"/>
  <c r="B504" i="3"/>
  <c r="B1187" i="3"/>
  <c r="B1059" i="3"/>
  <c r="B1075" i="3"/>
  <c r="B1188" i="3"/>
  <c r="B727" i="3"/>
  <c r="B213" i="3"/>
  <c r="B861" i="3"/>
  <c r="B1190" i="3"/>
  <c r="B31" i="3"/>
  <c r="B348" i="3"/>
  <c r="B1221" i="3"/>
  <c r="B684" i="3"/>
  <c r="B1121" i="3"/>
  <c r="B1015" i="3"/>
  <c r="B1225" i="3"/>
  <c r="B314" i="3"/>
  <c r="B357" i="3"/>
  <c r="B452" i="3"/>
  <c r="B986" i="3"/>
  <c r="B1197" i="3"/>
  <c r="B345" i="3"/>
  <c r="B1180" i="3"/>
  <c r="B981" i="3"/>
  <c r="B1010" i="3"/>
  <c r="B735" i="3"/>
  <c r="B545" i="3"/>
  <c r="B275" i="3"/>
  <c r="B408" i="3"/>
  <c r="B1216" i="3"/>
  <c r="B1149" i="3"/>
  <c r="B658" i="3"/>
  <c r="B112" i="3"/>
  <c r="B395" i="3"/>
  <c r="B550" i="3"/>
  <c r="B1107" i="3"/>
  <c r="B839" i="3"/>
  <c r="B1139" i="3"/>
  <c r="B996" i="3"/>
  <c r="B737" i="3"/>
  <c r="B924" i="3"/>
  <c r="B1153" i="3"/>
  <c r="B230" i="3"/>
  <c r="B81" i="3"/>
  <c r="B1154" i="3"/>
  <c r="B867" i="3"/>
  <c r="B747" i="3"/>
  <c r="B963" i="3"/>
  <c r="B1178" i="3"/>
  <c r="B69" i="3"/>
  <c r="B354" i="3"/>
  <c r="B818" i="3"/>
  <c r="B471" i="3"/>
  <c r="B214" i="3"/>
  <c r="B429" i="3"/>
  <c r="B441" i="3"/>
  <c r="B474" i="3"/>
  <c r="B863" i="3"/>
  <c r="B486" i="3"/>
  <c r="B215" i="3"/>
  <c r="B977" i="3"/>
  <c r="B70" i="3"/>
  <c r="B327" i="3"/>
  <c r="B1032" i="3"/>
  <c r="B753" i="3"/>
  <c r="B103" i="3"/>
  <c r="B389" i="3"/>
  <c r="B71" i="3"/>
  <c r="B938" i="3"/>
  <c r="B749" i="3"/>
  <c r="B884" i="3"/>
  <c r="B178" i="3"/>
  <c r="B1165" i="3"/>
  <c r="B998" i="3"/>
  <c r="B866" i="3"/>
  <c r="B232" i="3"/>
  <c r="B1006" i="3"/>
  <c r="B192" i="3"/>
  <c r="B209" i="3"/>
  <c r="B233" i="3"/>
  <c r="B82" i="3"/>
  <c r="B964" i="3"/>
  <c r="B297" i="3"/>
  <c r="B752" i="3"/>
  <c r="B364" i="3"/>
  <c r="B53" i="3"/>
  <c r="B458" i="3"/>
  <c r="B1206" i="3"/>
  <c r="B989" i="3"/>
  <c r="B257" i="3"/>
  <c r="B811" i="3"/>
  <c r="B435" i="3"/>
  <c r="B340" i="3"/>
  <c r="B167" i="3"/>
  <c r="B582" i="3"/>
  <c r="B1179" i="3"/>
  <c r="B1233" i="3"/>
  <c r="B1157" i="3"/>
  <c r="B428" i="3"/>
  <c r="B1223" i="3"/>
  <c r="B310" i="3"/>
  <c r="B457" i="3"/>
  <c r="B341" i="3"/>
  <c r="B902" i="3"/>
  <c r="B642" i="3"/>
  <c r="B943" i="3"/>
  <c r="B758" i="3"/>
  <c r="B1013" i="3"/>
  <c r="B760" i="3"/>
  <c r="B807" i="3"/>
  <c r="B355" i="3"/>
  <c r="B561" i="3"/>
  <c r="B854" i="3"/>
  <c r="B242" i="3"/>
  <c r="B756" i="3"/>
  <c r="B173" i="3"/>
  <c r="B39" i="3"/>
  <c r="B628" i="3"/>
  <c r="B907" i="3"/>
  <c r="B329" i="3"/>
  <c r="B926" i="3"/>
  <c r="B365" i="3"/>
  <c r="B688" i="3"/>
  <c r="B1003" i="3"/>
  <c r="B331" i="3"/>
  <c r="B247" i="3"/>
  <c r="B906" i="3"/>
  <c r="B897" i="3"/>
  <c r="B16" i="3"/>
  <c r="B1201" i="3"/>
  <c r="B683" i="3"/>
  <c r="B392" i="3"/>
  <c r="B141" i="3"/>
  <c r="B725" i="3"/>
  <c r="B1071" i="3"/>
  <c r="B864" i="3"/>
  <c r="B982" i="3"/>
  <c r="B104" i="3"/>
  <c r="B1047" i="3"/>
  <c r="B225" i="3"/>
  <c r="B644" i="3"/>
  <c r="B923" i="3"/>
  <c r="B570" i="3"/>
  <c r="B1035" i="3"/>
  <c r="B850" i="3"/>
  <c r="B1217" i="3"/>
  <c r="B292" i="3"/>
  <c r="B647" i="3"/>
  <c r="B956" i="3"/>
  <c r="B307" i="3"/>
  <c r="B382" i="3"/>
  <c r="B1202" i="3"/>
  <c r="B335" i="3"/>
  <c r="B1211" i="3"/>
  <c r="B685" i="3"/>
  <c r="B433" i="3"/>
  <c r="B739" i="3"/>
  <c r="B253" i="3"/>
  <c r="B1021" i="3"/>
  <c r="B100" i="3"/>
  <c r="B431" i="3"/>
  <c r="B632" i="3"/>
  <c r="B1207" i="3"/>
  <c r="B302" i="3"/>
  <c r="B273" i="3"/>
  <c r="B29" i="3"/>
  <c r="B8" i="3"/>
  <c r="B904" i="3"/>
  <c r="B972" i="3"/>
  <c r="B191" i="3"/>
  <c r="B912" i="3"/>
  <c r="B1228" i="3"/>
  <c r="B476" i="3"/>
  <c r="B744" i="3"/>
  <c r="B576" i="3"/>
  <c r="B323" i="3"/>
  <c r="B891" i="3"/>
  <c r="B1199" i="3"/>
  <c r="B83" i="3"/>
  <c r="B783" i="3"/>
  <c r="B84" i="3"/>
  <c r="B201" i="3"/>
  <c r="B85" i="3"/>
  <c r="B105" i="3"/>
  <c r="B231" i="3"/>
  <c r="B271" i="3"/>
  <c r="B72" i="3"/>
  <c r="B400" i="3"/>
  <c r="B194" i="3"/>
  <c r="B556" i="3"/>
  <c r="B211" i="3"/>
  <c r="B463" i="3"/>
  <c r="B844" i="3"/>
  <c r="B106" i="3"/>
  <c r="B202" i="3"/>
  <c r="B203" i="3"/>
  <c r="B216" i="3"/>
  <c r="B255" i="3"/>
  <c r="B86" i="3"/>
  <c r="B670" i="3"/>
  <c r="B455" i="3"/>
  <c r="B914" i="3"/>
  <c r="B772" i="3"/>
  <c r="B168" i="3"/>
  <c r="B1230" i="3"/>
  <c r="B888" i="3"/>
  <c r="B838" i="3"/>
  <c r="B1173" i="3"/>
  <c r="B848" i="3"/>
  <c r="B321" i="3"/>
  <c r="B581" i="3"/>
  <c r="B87" i="3"/>
  <c r="B363" i="3"/>
  <c r="B625" i="3"/>
  <c r="B444" i="3"/>
  <c r="B1114" i="3"/>
  <c r="B862" i="3"/>
  <c r="B1136" i="3"/>
  <c r="B993" i="3"/>
  <c r="B1232" i="3"/>
  <c r="B800" i="3"/>
  <c r="B633" i="3"/>
  <c r="B779" i="3"/>
  <c r="B617" i="3"/>
  <c r="B1000" i="3"/>
  <c r="B846" i="3"/>
  <c r="B663" i="3"/>
  <c r="B828" i="3"/>
  <c r="B1123" i="3"/>
  <c r="B246" i="3"/>
  <c r="B781" i="3"/>
  <c r="B1020" i="3"/>
  <c r="B1023" i="3"/>
  <c r="B1215" i="3"/>
  <c r="B181" i="3"/>
  <c r="B587" i="3"/>
  <c r="B289" i="3"/>
  <c r="B459" i="3"/>
  <c r="B1191" i="3"/>
  <c r="B296" i="3"/>
  <c r="B418" i="3"/>
  <c r="B517" i="3"/>
  <c r="B723" i="3"/>
  <c r="B1039" i="3"/>
  <c r="B676" i="3"/>
  <c r="B1167" i="3"/>
  <c r="B1090" i="3"/>
  <c r="B976" i="3"/>
  <c r="B1227" i="3"/>
  <c r="B812" i="3"/>
  <c r="B438" i="3"/>
  <c r="B1175" i="3"/>
  <c r="B978" i="3"/>
  <c r="B687" i="3"/>
  <c r="B526" i="3"/>
  <c r="B1066" i="3"/>
  <c r="B801" i="3"/>
  <c r="B1174" i="3"/>
  <c r="B328" i="3"/>
  <c r="B970" i="3"/>
  <c r="B953" i="3"/>
  <c r="B1131" i="3"/>
  <c r="B174" i="3"/>
  <c r="B1126" i="3"/>
  <c r="B1095" i="3"/>
  <c r="B664" i="3"/>
  <c r="B278" i="3"/>
  <c r="B1219" i="3"/>
  <c r="B1142" i="3"/>
  <c r="B1229" i="3"/>
  <c r="B1161" i="3"/>
  <c r="B1127" i="3"/>
  <c r="B110" i="3"/>
  <c r="B767" i="3"/>
  <c r="B1205" i="3"/>
  <c r="B1193" i="3"/>
  <c r="B250" i="3"/>
  <c r="B857" i="3"/>
  <c r="B1166" i="3"/>
  <c r="B1185" i="3"/>
  <c r="B1192" i="3"/>
  <c r="B362" i="3"/>
  <c r="B780" i="3"/>
  <c r="B243" i="3"/>
  <c r="B195" i="3"/>
  <c r="B226" i="3"/>
  <c r="B724" i="3"/>
  <c r="B149" i="3"/>
  <c r="B97" i="3"/>
  <c r="B73" i="3"/>
  <c r="B350" i="3"/>
  <c r="B88" i="3"/>
  <c r="B89" i="3"/>
  <c r="B791" i="3"/>
  <c r="B166" i="3"/>
  <c r="B107" i="3"/>
  <c r="B885" i="3"/>
  <c r="B234" i="3"/>
  <c r="B249" i="3"/>
  <c r="B930" i="3"/>
  <c r="B603" i="3"/>
  <c r="B217" i="3"/>
  <c r="B303" i="3"/>
  <c r="B495" i="3"/>
  <c r="B74" i="3"/>
  <c r="B668" i="3"/>
  <c r="B90" i="3"/>
  <c r="B63" i="3"/>
  <c r="B235" i="3"/>
  <c r="B218" i="3"/>
  <c r="B773" i="3"/>
  <c r="B206" i="3"/>
  <c r="B236" i="3"/>
  <c r="B237" i="3"/>
  <c r="B108" i="3"/>
  <c r="B98" i="3"/>
  <c r="B368" i="3"/>
  <c r="B238" i="3"/>
  <c r="B91" i="3"/>
  <c r="B746" i="3"/>
  <c r="B239" i="3"/>
  <c r="B109" i="3"/>
  <c r="B219" i="3"/>
  <c r="B699" i="3"/>
  <c r="B710" i="3"/>
  <c r="B1100" i="3"/>
  <c r="B153" i="3"/>
  <c r="B221" i="3"/>
  <c r="B698" i="3"/>
  <c r="B283" i="3"/>
  <c r="B694" i="3"/>
  <c r="B1140" i="3"/>
  <c r="B210" i="3"/>
  <c r="B276" i="3"/>
  <c r="B489" i="3"/>
  <c r="B251" i="3"/>
  <c r="B426" i="3"/>
  <c r="B50" i="3"/>
  <c r="B114" i="3"/>
  <c r="B825" i="3"/>
  <c r="B728" i="3"/>
  <c r="B1158" i="3"/>
  <c r="B600" i="3"/>
  <c r="B189" i="3"/>
  <c r="B461" i="3"/>
  <c r="B309" i="3"/>
  <c r="B158" i="3"/>
  <c r="B1040" i="3"/>
  <c r="B778" i="3"/>
  <c r="B449" i="3"/>
  <c r="B436" i="3"/>
  <c r="B270" i="3"/>
  <c r="B451" i="3"/>
  <c r="B99" i="3"/>
  <c r="B92" i="3"/>
  <c r="B317" i="3"/>
  <c r="B939" i="3"/>
  <c r="B207" i="3"/>
  <c r="B741" i="3"/>
  <c r="B1146" i="3"/>
  <c r="B544" i="3"/>
  <c r="B281" i="3"/>
  <c r="B148" i="3"/>
  <c r="B595" i="3"/>
  <c r="B450" i="3"/>
  <c r="B1104" i="3"/>
  <c r="B629" i="3"/>
  <c r="B832" i="3"/>
  <c r="B439" i="3"/>
  <c r="B301" i="3"/>
  <c r="B188" i="3"/>
  <c r="B1055" i="3"/>
  <c r="B288" i="3"/>
  <c r="B13" i="3"/>
  <c r="B798" i="3"/>
  <c r="B244" i="3"/>
  <c r="B333" i="3"/>
  <c r="B775" i="3"/>
  <c r="B475" i="3"/>
  <c r="B172" i="3"/>
  <c r="B925" i="3"/>
  <c r="B1170" i="3"/>
  <c r="B873" i="3"/>
  <c r="B367" i="3"/>
  <c r="B18" i="3"/>
  <c r="B140" i="3"/>
  <c r="B492" i="3"/>
  <c r="B1186" i="3"/>
  <c r="B994" i="3"/>
  <c r="B750" i="3"/>
  <c r="B1016" i="3"/>
  <c r="B139" i="3"/>
  <c r="B28" i="3"/>
  <c r="B557" i="3"/>
  <c r="B949" i="3"/>
  <c r="B95" i="3"/>
  <c r="B1162" i="3"/>
  <c r="B469" i="3"/>
  <c r="B313" i="3"/>
  <c r="B525" i="3"/>
  <c r="B1194" i="3"/>
  <c r="C5" i="3"/>
  <c r="G5" i="3" s="1"/>
  <c r="C6" i="3"/>
  <c r="G6" i="3" s="1"/>
  <c r="C7" i="3"/>
  <c r="G7" i="3" s="1"/>
  <c r="C9" i="3"/>
  <c r="G9" i="3" s="1"/>
  <c r="C10" i="3"/>
  <c r="G10" i="3" s="1"/>
  <c r="C14" i="3"/>
  <c r="G14" i="3" s="1"/>
  <c r="C11" i="3"/>
  <c r="G11" i="3" s="1"/>
  <c r="C12" i="3"/>
  <c r="G12" i="3" s="1"/>
  <c r="C15" i="3"/>
  <c r="G15" i="3" s="1"/>
  <c r="C20" i="3"/>
  <c r="G20" i="3" s="1"/>
  <c r="C17" i="3"/>
  <c r="G17" i="3" s="1"/>
  <c r="C21" i="3"/>
  <c r="G21" i="3" s="1"/>
  <c r="C22" i="3"/>
  <c r="G22" i="3" s="1"/>
  <c r="C27" i="3"/>
  <c r="G27" i="3" s="1"/>
  <c r="C19" i="3"/>
  <c r="C25" i="3"/>
  <c r="G25" i="3" s="1"/>
  <c r="C26" i="3"/>
  <c r="G26" i="3" s="1"/>
  <c r="C24" i="3"/>
  <c r="G24" i="3" s="1"/>
  <c r="C30" i="3"/>
  <c r="G30" i="3" s="1"/>
  <c r="C38" i="3"/>
  <c r="G38" i="3" s="1"/>
  <c r="C33" i="3"/>
  <c r="G33" i="3" s="1"/>
  <c r="C34" i="3"/>
  <c r="G34" i="3" s="1"/>
  <c r="C35" i="3"/>
  <c r="G35" i="3" s="1"/>
  <c r="C36" i="3"/>
  <c r="G36" i="3" s="1"/>
  <c r="C32" i="3"/>
  <c r="G32" i="3" s="1"/>
  <c r="C40" i="3"/>
  <c r="G40" i="3" s="1"/>
  <c r="C37" i="3"/>
  <c r="G37" i="3" s="1"/>
  <c r="C42" i="3"/>
  <c r="G42" i="3" s="1"/>
  <c r="C43" i="3"/>
  <c r="G43" i="3" s="1"/>
  <c r="C46" i="3"/>
  <c r="G46" i="3" s="1"/>
  <c r="C41" i="3"/>
  <c r="G41" i="3" s="1"/>
  <c r="C47" i="3"/>
  <c r="G47" i="3" s="1"/>
  <c r="C48" i="3"/>
  <c r="G48" i="3" s="1"/>
  <c r="C45" i="3"/>
  <c r="G45" i="3" s="1"/>
  <c r="C52" i="3"/>
  <c r="G52" i="3" s="1"/>
  <c r="C51" i="3"/>
  <c r="G51" i="3" s="1"/>
  <c r="C55" i="3"/>
  <c r="G55" i="3" s="1"/>
  <c r="C54" i="3"/>
  <c r="G54" i="3" s="1"/>
  <c r="C59" i="3"/>
  <c r="G59" i="3" s="1"/>
  <c r="C58" i="3"/>
  <c r="C61" i="3"/>
  <c r="G61" i="3" s="1"/>
  <c r="C66" i="3"/>
  <c r="G66" i="3" s="1"/>
  <c r="C57" i="3"/>
  <c r="G57" i="3" s="1"/>
  <c r="C60" i="3"/>
  <c r="G60" i="3" s="1"/>
  <c r="C79" i="3"/>
  <c r="G79" i="3" s="1"/>
  <c r="C80" i="3"/>
  <c r="G80" i="3" s="1"/>
  <c r="C67" i="3"/>
  <c r="G67" i="3" s="1"/>
  <c r="C68" i="3"/>
  <c r="G68" i="3" s="1"/>
  <c r="C96" i="3"/>
  <c r="G96" i="3" s="1"/>
  <c r="C113" i="3"/>
  <c r="G113" i="3" s="1"/>
  <c r="C102" i="3"/>
  <c r="G102" i="3" s="1"/>
  <c r="C111" i="3"/>
  <c r="G111" i="3" s="1"/>
  <c r="C116" i="3"/>
  <c r="G116" i="3" s="1"/>
  <c r="C118" i="3"/>
  <c r="G118" i="3" s="1"/>
  <c r="C123" i="3"/>
  <c r="G123" i="3" s="1"/>
  <c r="C119" i="3"/>
  <c r="G119" i="3" s="1"/>
  <c r="C115" i="3"/>
  <c r="G115" i="3" s="1"/>
  <c r="C121" i="3"/>
  <c r="G121" i="3" s="1"/>
  <c r="C128" i="3"/>
  <c r="G128" i="3" s="1"/>
  <c r="C124" i="3"/>
  <c r="G124" i="3" s="1"/>
  <c r="C133" i="3"/>
  <c r="G133" i="3" s="1"/>
  <c r="C125" i="3"/>
  <c r="G125" i="3" s="1"/>
  <c r="C126" i="3"/>
  <c r="C134" i="3"/>
  <c r="G134" i="3" s="1"/>
  <c r="C127" i="3"/>
  <c r="G127" i="3" s="1"/>
  <c r="C130" i="3"/>
  <c r="G130" i="3" s="1"/>
  <c r="C136" i="3"/>
  <c r="G136" i="3" s="1"/>
  <c r="C137" i="3"/>
  <c r="G137" i="3" s="1"/>
  <c r="C138" i="3"/>
  <c r="G138" i="3" s="1"/>
  <c r="C131" i="3"/>
  <c r="G131" i="3" s="1"/>
  <c r="C142" i="3"/>
  <c r="G142" i="3" s="1"/>
  <c r="C129" i="3"/>
  <c r="G129" i="3" s="1"/>
  <c r="C117" i="3"/>
  <c r="G117" i="3" s="1"/>
  <c r="C156" i="3"/>
  <c r="G156" i="3" s="1"/>
  <c r="C152" i="3"/>
  <c r="G152" i="3" s="1"/>
  <c r="C143" i="3"/>
  <c r="G143" i="3" s="1"/>
  <c r="C145" i="3"/>
  <c r="G145" i="3" s="1"/>
  <c r="C135" i="3"/>
  <c r="G135" i="3" s="1"/>
  <c r="C154" i="3"/>
  <c r="C155" i="3"/>
  <c r="G155" i="3" s="1"/>
  <c r="C165" i="3"/>
  <c r="G165" i="3" s="1"/>
  <c r="C157" i="3"/>
  <c r="G157" i="3" s="1"/>
  <c r="C146" i="3"/>
  <c r="G146" i="3" s="1"/>
  <c r="C147" i="3"/>
  <c r="G147" i="3" s="1"/>
  <c r="C159" i="3"/>
  <c r="G159" i="3" s="1"/>
  <c r="C163" i="3"/>
  <c r="G163" i="3" s="1"/>
  <c r="C184" i="3"/>
  <c r="G184" i="3" s="1"/>
  <c r="C175" i="3"/>
  <c r="G175" i="3" s="1"/>
  <c r="C177" i="3"/>
  <c r="G177" i="3" s="1"/>
  <c r="C162" i="3"/>
  <c r="G162" i="3" s="1"/>
  <c r="C176" i="3"/>
  <c r="G176" i="3" s="1"/>
  <c r="C179" i="3"/>
  <c r="G179" i="3" s="1"/>
  <c r="C182" i="3"/>
  <c r="G182" i="3" s="1"/>
  <c r="C185" i="3"/>
  <c r="G185" i="3" s="1"/>
  <c r="C198" i="3"/>
  <c r="G198" i="3" s="1"/>
  <c r="C187" i="3"/>
  <c r="G187" i="3" s="1"/>
  <c r="C190" i="3"/>
  <c r="G190" i="3" s="1"/>
  <c r="C183" i="3"/>
  <c r="G183" i="3" s="1"/>
  <c r="C196" i="3"/>
  <c r="G196" i="3" s="1"/>
  <c r="C197" i="3"/>
  <c r="G197" i="3" s="1"/>
  <c r="C204" i="3"/>
  <c r="G204" i="3" s="1"/>
  <c r="C223" i="3"/>
  <c r="G223" i="3" s="1"/>
  <c r="C224" i="3"/>
  <c r="G224" i="3" s="1"/>
  <c r="C169" i="3"/>
  <c r="G169" i="3" s="1"/>
  <c r="C222" i="3"/>
  <c r="G222" i="3" s="1"/>
  <c r="C208" i="3"/>
  <c r="G208" i="3" s="1"/>
  <c r="C228" i="3"/>
  <c r="G228" i="3" s="1"/>
  <c r="C262" i="3"/>
  <c r="G262" i="3" s="1"/>
  <c r="C265" i="3"/>
  <c r="G265" i="3" s="1"/>
  <c r="C256" i="3"/>
  <c r="G256" i="3" s="1"/>
  <c r="C258" i="3"/>
  <c r="G258" i="3" s="1"/>
  <c r="C248" i="3"/>
  <c r="G248" i="3" s="1"/>
  <c r="C259" i="3"/>
  <c r="G259" i="3" s="1"/>
  <c r="C260" i="3"/>
  <c r="G260" i="3" s="1"/>
  <c r="C280" i="3"/>
  <c r="G280" i="3" s="1"/>
  <c r="C254" i="3"/>
  <c r="G254" i="3" s="1"/>
  <c r="C267" i="3"/>
  <c r="G267" i="3" s="1"/>
  <c r="C285" i="3"/>
  <c r="G285" i="3" s="1"/>
  <c r="C287" i="3"/>
  <c r="G287" i="3" s="1"/>
  <c r="C274" i="3"/>
  <c r="G274" i="3" s="1"/>
  <c r="C264" i="3"/>
  <c r="G264" i="3" s="1"/>
  <c r="C266" i="3"/>
  <c r="G266" i="3" s="1"/>
  <c r="C290" i="3"/>
  <c r="G290" i="3" s="1"/>
  <c r="C291" i="3"/>
  <c r="G291" i="3" s="1"/>
  <c r="C304" i="3"/>
  <c r="G304" i="3" s="1"/>
  <c r="C277" i="3"/>
  <c r="G277" i="3" s="1"/>
  <c r="C305" i="3"/>
  <c r="G305" i="3" s="1"/>
  <c r="C282" i="3"/>
  <c r="G282" i="3" s="1"/>
  <c r="C295" i="3"/>
  <c r="G295" i="3" s="1"/>
  <c r="C300" i="3"/>
  <c r="G300" i="3" s="1"/>
  <c r="C227" i="3"/>
  <c r="G227" i="3" s="1"/>
  <c r="C315" i="3"/>
  <c r="G315" i="3" s="1"/>
  <c r="C319" i="3"/>
  <c r="G319" i="3" s="1"/>
  <c r="C298" i="3"/>
  <c r="G298" i="3" s="1"/>
  <c r="C269" i="3"/>
  <c r="G269" i="3" s="1"/>
  <c r="C352" i="3"/>
  <c r="G352" i="3" s="1"/>
  <c r="C353" i="3"/>
  <c r="G353" i="3" s="1"/>
  <c r="C356" i="3"/>
  <c r="G356" i="3" s="1"/>
  <c r="C334" i="3"/>
  <c r="G334" i="3" s="1"/>
  <c r="C337" i="3"/>
  <c r="G337" i="3" s="1"/>
  <c r="C344" i="3"/>
  <c r="G344" i="3" s="1"/>
  <c r="C326" i="3"/>
  <c r="G326" i="3" s="1"/>
  <c r="C330" i="3"/>
  <c r="G330" i="3" s="1"/>
  <c r="C373" i="3"/>
  <c r="G373" i="3" s="1"/>
  <c r="C351" i="3"/>
  <c r="G351" i="3" s="1"/>
  <c r="C378" i="3"/>
  <c r="G378" i="3" s="1"/>
  <c r="C379" i="3"/>
  <c r="G379" i="3" s="1"/>
  <c r="C332" i="3"/>
  <c r="G332" i="3" s="1"/>
  <c r="C316" i="3"/>
  <c r="G316" i="3" s="1"/>
  <c r="C263" i="3"/>
  <c r="G263" i="3" s="1"/>
  <c r="C358" i="3"/>
  <c r="G358" i="3" s="1"/>
  <c r="C359" i="3"/>
  <c r="G359" i="3" s="1"/>
  <c r="C366" i="3"/>
  <c r="G366" i="3" s="1"/>
  <c r="C369" i="3"/>
  <c r="G369" i="3" s="1"/>
  <c r="C370" i="3"/>
  <c r="G370" i="3" s="1"/>
  <c r="C386" i="3"/>
  <c r="G386" i="3" s="1"/>
  <c r="C390" i="3"/>
  <c r="G390" i="3" s="1"/>
  <c r="C391" i="3"/>
  <c r="G391" i="3" s="1"/>
  <c r="C383" i="3"/>
  <c r="G383" i="3" s="1"/>
  <c r="C360" i="3"/>
  <c r="G360" i="3" s="1"/>
  <c r="C384" i="3"/>
  <c r="G384" i="3" s="1"/>
  <c r="C402" i="3"/>
  <c r="G402" i="3" s="1"/>
  <c r="C371" i="3"/>
  <c r="G371" i="3" s="1"/>
  <c r="C387" i="3"/>
  <c r="G387" i="3" s="1"/>
  <c r="C412" i="3"/>
  <c r="G412" i="3" s="1"/>
  <c r="C375" i="3"/>
  <c r="G375" i="3" s="1"/>
  <c r="C414" i="3"/>
  <c r="G414" i="3" s="1"/>
  <c r="C377" i="3"/>
  <c r="G377" i="3" s="1"/>
  <c r="C380" i="3"/>
  <c r="G380" i="3" s="1"/>
  <c r="C396" i="3"/>
  <c r="G396" i="3" s="1"/>
  <c r="C397" i="3"/>
  <c r="G397" i="3" s="1"/>
  <c r="C385" i="3"/>
  <c r="G385" i="3" s="1"/>
  <c r="C388" i="3"/>
  <c r="G388" i="3" s="1"/>
  <c r="C411" i="3"/>
  <c r="G411" i="3" s="1"/>
  <c r="C415" i="3"/>
  <c r="G415" i="3" s="1"/>
  <c r="C417" i="3"/>
  <c r="G417" i="3" s="1"/>
  <c r="C398" i="3"/>
  <c r="G398" i="3" s="1"/>
  <c r="C420" i="3"/>
  <c r="G420" i="3" s="1"/>
  <c r="C401" i="3"/>
  <c r="G401" i="3" s="1"/>
  <c r="C442" i="3"/>
  <c r="G442" i="3" s="1"/>
  <c r="C470" i="3"/>
  <c r="G470" i="3" s="1"/>
  <c r="C406" i="3"/>
  <c r="G406" i="3" s="1"/>
  <c r="C427" i="3"/>
  <c r="G427" i="3" s="1"/>
  <c r="C430" i="3"/>
  <c r="G430" i="3" s="1"/>
  <c r="C410" i="3"/>
  <c r="G410" i="3" s="1"/>
  <c r="C393" i="3"/>
  <c r="G393" i="3" s="1"/>
  <c r="C416" i="3"/>
  <c r="G416" i="3" s="1"/>
  <c r="C460" i="3"/>
  <c r="G460" i="3" s="1"/>
  <c r="C419" i="3"/>
  <c r="G419" i="3" s="1"/>
  <c r="C421" i="3"/>
  <c r="G421" i="3" s="1"/>
  <c r="C399" i="3"/>
  <c r="G399" i="3" s="1"/>
  <c r="C422" i="3"/>
  <c r="G422" i="3" s="1"/>
  <c r="C424" i="3"/>
  <c r="G424" i="3" s="1"/>
  <c r="C445" i="3"/>
  <c r="G445" i="3" s="1"/>
  <c r="C447" i="3"/>
  <c r="G447" i="3" s="1"/>
  <c r="C472" i="3"/>
  <c r="G472" i="3" s="1"/>
  <c r="C453" i="3"/>
  <c r="G453" i="3" s="1"/>
  <c r="C434" i="3"/>
  <c r="G434" i="3" s="1"/>
  <c r="C437" i="3"/>
  <c r="G437" i="3" s="1"/>
  <c r="C483" i="3"/>
  <c r="G483" i="3" s="1"/>
  <c r="C466" i="3"/>
  <c r="G466" i="3" s="1"/>
  <c r="C448" i="3"/>
  <c r="G448" i="3" s="1"/>
  <c r="C500" i="3"/>
  <c r="G500" i="3" s="1"/>
  <c r="C473" i="3"/>
  <c r="G473" i="3" s="1"/>
  <c r="C507" i="3"/>
  <c r="G507" i="3" s="1"/>
  <c r="C480" i="3"/>
  <c r="G480" i="3" s="1"/>
  <c r="C484" i="3"/>
  <c r="G484" i="3" s="1"/>
  <c r="C487" i="3"/>
  <c r="G487" i="3" s="1"/>
  <c r="C513" i="3"/>
  <c r="G513" i="3" s="1"/>
  <c r="C488" i="3"/>
  <c r="G488" i="3" s="1"/>
  <c r="C465" i="3"/>
  <c r="G465" i="3" s="1"/>
  <c r="C467" i="3"/>
  <c r="G467" i="3" s="1"/>
  <c r="C516" i="3"/>
  <c r="G516" i="3" s="1"/>
  <c r="C520" i="3"/>
  <c r="G520" i="3" s="1"/>
  <c r="C493" i="3"/>
  <c r="G493" i="3" s="1"/>
  <c r="C522" i="3"/>
  <c r="G522" i="3" s="1"/>
  <c r="C499" i="3"/>
  <c r="G499" i="3" s="1"/>
  <c r="C528" i="3"/>
  <c r="G528" i="3" s="1"/>
  <c r="C575" i="3"/>
  <c r="G575" i="3" s="1"/>
  <c r="C501" i="3"/>
  <c r="G501" i="3" s="1"/>
  <c r="C583" i="3"/>
  <c r="G583" i="3" s="1"/>
  <c r="C508" i="3"/>
  <c r="G508" i="3" s="1"/>
  <c r="C477" i="3"/>
  <c r="G477" i="3" s="1"/>
  <c r="C540" i="3"/>
  <c r="G540" i="3" s="1"/>
  <c r="C478" i="3"/>
  <c r="G478" i="3" s="1"/>
  <c r="C479" i="3"/>
  <c r="G479" i="3" s="1"/>
  <c r="C549" i="3"/>
  <c r="G549" i="3" s="1"/>
  <c r="C552" i="3"/>
  <c r="G552" i="3" s="1"/>
  <c r="C553" i="3"/>
  <c r="G553" i="3" s="1"/>
  <c r="C485" i="3"/>
  <c r="G485" i="3" s="1"/>
  <c r="C423" i="3"/>
  <c r="G423" i="3" s="1"/>
  <c r="C515" i="3"/>
  <c r="G515" i="3" s="1"/>
  <c r="C490" i="3"/>
  <c r="G490" i="3" s="1"/>
  <c r="C491" i="3"/>
  <c r="G491" i="3" s="1"/>
  <c r="C519" i="3"/>
  <c r="G519" i="3" s="1"/>
  <c r="C523" i="3"/>
  <c r="G523" i="3" s="1"/>
  <c r="C494" i="3"/>
  <c r="G494" i="3" s="1"/>
  <c r="C568" i="3"/>
  <c r="G568" i="3" s="1"/>
  <c r="C496" i="3"/>
  <c r="G496" i="3" s="1"/>
  <c r="C498" i="3"/>
  <c r="G498" i="3" s="1"/>
  <c r="C527" i="3"/>
  <c r="G527" i="3" s="1"/>
  <c r="C530" i="3"/>
  <c r="G530" i="3" s="1"/>
  <c r="C503" i="3"/>
  <c r="G503" i="3" s="1"/>
  <c r="C534" i="3"/>
  <c r="G534" i="3" s="1"/>
  <c r="C505" i="3"/>
  <c r="G505" i="3" s="1"/>
  <c r="C535" i="3"/>
  <c r="G535" i="3" s="1"/>
  <c r="C509" i="3"/>
  <c r="G509" i="3" s="1"/>
  <c r="C538" i="3"/>
  <c r="G538" i="3" s="1"/>
  <c r="C539" i="3"/>
  <c r="G539" i="3" s="1"/>
  <c r="C542" i="3"/>
  <c r="G542" i="3" s="1"/>
  <c r="C548" i="3"/>
  <c r="G548" i="3" s="1"/>
  <c r="C511" i="3"/>
  <c r="G511" i="3" s="1"/>
  <c r="C554" i="3"/>
  <c r="G554" i="3" s="1"/>
  <c r="C558" i="3"/>
  <c r="G558" i="3" s="1"/>
  <c r="C562" i="3"/>
  <c r="G562" i="3" s="1"/>
  <c r="C521" i="3"/>
  <c r="G521" i="3" s="1"/>
  <c r="C564" i="3"/>
  <c r="G564" i="3" s="1"/>
  <c r="C651" i="3"/>
  <c r="G651" i="3" s="1"/>
  <c r="C524" i="3"/>
  <c r="G524" i="3" s="1"/>
  <c r="C614" i="3"/>
  <c r="G614" i="3" s="1"/>
  <c r="C567" i="3"/>
  <c r="G567" i="3" s="1"/>
  <c r="C572" i="3"/>
  <c r="G572" i="3" s="1"/>
  <c r="C432" i="3"/>
  <c r="G432" i="3" s="1"/>
  <c r="C532" i="3"/>
  <c r="G532" i="3" s="1"/>
  <c r="C533" i="3"/>
  <c r="G533" i="3" s="1"/>
  <c r="C584" i="3"/>
  <c r="G584" i="3" s="1"/>
  <c r="C585" i="3"/>
  <c r="G585" i="3" s="1"/>
  <c r="C586" i="3"/>
  <c r="G586" i="3" s="1"/>
  <c r="C627" i="3"/>
  <c r="G627" i="3" s="1"/>
  <c r="C537" i="3"/>
  <c r="G537" i="3" s="1"/>
  <c r="C589" i="3"/>
  <c r="G589" i="3" s="1"/>
  <c r="C590" i="3"/>
  <c r="G590" i="3" s="1"/>
  <c r="C510" i="3"/>
  <c r="G510" i="3" s="1"/>
  <c r="C541" i="3"/>
  <c r="G541" i="3" s="1"/>
  <c r="C597" i="3"/>
  <c r="G597" i="3" s="1"/>
  <c r="C546" i="3"/>
  <c r="G546" i="3" s="1"/>
  <c r="C547" i="3"/>
  <c r="G547" i="3" s="1"/>
  <c r="C637" i="3"/>
  <c r="G637" i="3" s="1"/>
  <c r="C638" i="3"/>
  <c r="G638" i="3" s="1"/>
  <c r="C555" i="3"/>
  <c r="G555" i="3" s="1"/>
  <c r="C604" i="3"/>
  <c r="G604" i="3" s="1"/>
  <c r="C605" i="3"/>
  <c r="G605" i="3" s="1"/>
  <c r="C606" i="3"/>
  <c r="G606" i="3" s="1"/>
  <c r="C610" i="3"/>
  <c r="G610" i="3" s="1"/>
  <c r="C611" i="3"/>
  <c r="G611" i="3" s="1"/>
  <c r="C563" i="3"/>
  <c r="G563" i="3" s="1"/>
  <c r="C613" i="3"/>
  <c r="G613" i="3" s="1"/>
  <c r="C565" i="3"/>
  <c r="G565" i="3" s="1"/>
  <c r="C566" i="3"/>
  <c r="G566" i="3" s="1"/>
  <c r="C615" i="3"/>
  <c r="G615" i="3" s="1"/>
  <c r="C616" i="3"/>
  <c r="G616" i="3" s="1"/>
  <c r="C619" i="3"/>
  <c r="G619" i="3" s="1"/>
  <c r="C574" i="3"/>
  <c r="G574" i="3" s="1"/>
  <c r="C657" i="3"/>
  <c r="G657" i="3" s="1"/>
  <c r="C622" i="3"/>
  <c r="G622" i="3" s="1"/>
  <c r="C579" i="3"/>
  <c r="G579" i="3" s="1"/>
  <c r="C580" i="3"/>
  <c r="G580" i="3" s="1"/>
  <c r="C623" i="3"/>
  <c r="G623" i="3" s="1"/>
  <c r="C456" i="3"/>
  <c r="G456" i="3" s="1"/>
  <c r="C626" i="3"/>
  <c r="G626" i="3" s="1"/>
  <c r="C588" i="3"/>
  <c r="G588" i="3" s="1"/>
  <c r="C591" i="3"/>
  <c r="G591" i="3" s="1"/>
  <c r="C592" i="3"/>
  <c r="G592" i="3" s="1"/>
  <c r="C593" i="3"/>
  <c r="G593" i="3" s="1"/>
  <c r="C631" i="3"/>
  <c r="G631" i="3" s="1"/>
  <c r="C665" i="3"/>
  <c r="G665" i="3" s="1"/>
  <c r="C706" i="3"/>
  <c r="G706" i="3" s="1"/>
  <c r="C598" i="3"/>
  <c r="G598" i="3" s="1"/>
  <c r="C599" i="3"/>
  <c r="G599" i="3" s="1"/>
  <c r="C639" i="3"/>
  <c r="G639" i="3" s="1"/>
  <c r="C641" i="3"/>
  <c r="G641" i="3" s="1"/>
  <c r="C643" i="3"/>
  <c r="G643" i="3" s="1"/>
  <c r="C645" i="3"/>
  <c r="G645" i="3" s="1"/>
  <c r="C678" i="3"/>
  <c r="G678" i="3" s="1"/>
  <c r="C602" i="3"/>
  <c r="G602" i="3" s="1"/>
  <c r="C650" i="3"/>
  <c r="G650" i="3" s="1"/>
  <c r="C682" i="3"/>
  <c r="G682" i="3" s="1"/>
  <c r="C653" i="3"/>
  <c r="G653" i="3" s="1"/>
  <c r="C571" i="3"/>
  <c r="G571" i="3" s="1"/>
  <c r="C578" i="3"/>
  <c r="G578" i="3" s="1"/>
  <c r="C661" i="3"/>
  <c r="G661" i="3" s="1"/>
  <c r="C662" i="3"/>
  <c r="G662" i="3" s="1"/>
  <c r="C697" i="3"/>
  <c r="G697" i="3" s="1"/>
  <c r="C630" i="3"/>
  <c r="G630" i="3" s="1"/>
  <c r="C666" i="3"/>
  <c r="G666" i="3" s="1"/>
  <c r="C669" i="3"/>
  <c r="G669" i="3" s="1"/>
  <c r="C512" i="3"/>
  <c r="G512" i="3" s="1"/>
  <c r="C636" i="3"/>
  <c r="G636" i="3" s="1"/>
  <c r="C468" i="3"/>
  <c r="G468" i="3" s="1"/>
  <c r="C646" i="3"/>
  <c r="G646" i="3" s="1"/>
  <c r="C726" i="3"/>
  <c r="G726" i="3" s="1"/>
  <c r="C729" i="3"/>
  <c r="G729" i="3" s="1"/>
  <c r="C679" i="3"/>
  <c r="G679" i="3" s="1"/>
  <c r="C734" i="3"/>
  <c r="G734" i="3" s="1"/>
  <c r="C681" i="3"/>
  <c r="G681" i="3" s="1"/>
  <c r="C740" i="3"/>
  <c r="G740" i="3" s="1"/>
  <c r="C654" i="3"/>
  <c r="G654" i="3" s="1"/>
  <c r="C618" i="3"/>
  <c r="G618" i="3" s="1"/>
  <c r="C742" i="3"/>
  <c r="G742" i="3" s="1"/>
  <c r="C655" i="3"/>
  <c r="G655" i="3" s="1"/>
  <c r="C656" i="3"/>
  <c r="G656" i="3" s="1"/>
  <c r="C689" i="3"/>
  <c r="G689" i="3" s="1"/>
  <c r="C621" i="3"/>
  <c r="G621" i="3" s="1"/>
  <c r="C692" i="3"/>
  <c r="G692" i="3" s="1"/>
  <c r="C624" i="3"/>
  <c r="G624" i="3" s="1"/>
  <c r="C797" i="3"/>
  <c r="G797" i="3" s="1"/>
  <c r="C707" i="3"/>
  <c r="G707" i="3" s="1"/>
  <c r="C667" i="3"/>
  <c r="G667" i="3" s="1"/>
  <c r="C482" i="3"/>
  <c r="G482" i="3" s="1"/>
  <c r="C672" i="3"/>
  <c r="G672" i="3" s="1"/>
  <c r="C717" i="3"/>
  <c r="G717" i="3" s="1"/>
  <c r="C718" i="3"/>
  <c r="G718" i="3" s="1"/>
  <c r="C719" i="3"/>
  <c r="G719" i="3" s="1"/>
  <c r="C677" i="3"/>
  <c r="G677" i="3" s="1"/>
  <c r="C559" i="3"/>
  <c r="G559" i="3" s="1"/>
  <c r="C769" i="3"/>
  <c r="G769" i="3" s="1"/>
  <c r="C738" i="3"/>
  <c r="G738" i="3" s="1"/>
  <c r="C782" i="3"/>
  <c r="G782" i="3" s="1"/>
  <c r="C787" i="3"/>
  <c r="G787" i="3" s="1"/>
  <c r="C745" i="3"/>
  <c r="G745" i="3" s="1"/>
  <c r="C690" i="3"/>
  <c r="G690" i="3" s="1"/>
  <c r="C789" i="3"/>
  <c r="G789" i="3" s="1"/>
  <c r="C695" i="3"/>
  <c r="G695" i="3" s="1"/>
  <c r="C796" i="3"/>
  <c r="G796" i="3" s="1"/>
  <c r="C703" i="3"/>
  <c r="G703" i="3" s="1"/>
  <c r="C551" i="3"/>
  <c r="G551" i="3" s="1"/>
  <c r="C759" i="3"/>
  <c r="G759" i="3" s="1"/>
  <c r="C802" i="3"/>
  <c r="G802" i="3" s="1"/>
  <c r="C805" i="3"/>
  <c r="G805" i="3" s="1"/>
  <c r="C709" i="3"/>
  <c r="G709" i="3" s="1"/>
  <c r="C671" i="3"/>
  <c r="G671" i="3" s="1"/>
  <c r="C761" i="3"/>
  <c r="G761" i="3" s="1"/>
  <c r="C711" i="3"/>
  <c r="G711" i="3" s="1"/>
  <c r="C712" i="3"/>
  <c r="G712" i="3" s="1"/>
  <c r="C560" i="3"/>
  <c r="G560" i="3" s="1"/>
  <c r="C765" i="3"/>
  <c r="G765" i="3" s="1"/>
  <c r="C766" i="3"/>
  <c r="G766" i="3" s="1"/>
  <c r="C814" i="3"/>
  <c r="G814" i="3" s="1"/>
  <c r="C768" i="3"/>
  <c r="G768" i="3" s="1"/>
  <c r="C730" i="3"/>
  <c r="G730" i="3" s="1"/>
  <c r="C770" i="3"/>
  <c r="G770" i="3" s="1"/>
  <c r="C830" i="3"/>
  <c r="G830" i="3" s="1"/>
  <c r="C506" i="3"/>
  <c r="G506" i="3" s="1"/>
  <c r="C748" i="3"/>
  <c r="G748" i="3" s="1"/>
  <c r="C754" i="3"/>
  <c r="G754" i="3" s="1"/>
  <c r="C843" i="3"/>
  <c r="G843" i="3" s="1"/>
  <c r="C799" i="3"/>
  <c r="G799" i="3" s="1"/>
  <c r="C705" i="3"/>
  <c r="G705" i="3" s="1"/>
  <c r="C808" i="3"/>
  <c r="G808" i="3" s="1"/>
  <c r="C716" i="3"/>
  <c r="G716" i="3" s="1"/>
  <c r="C607" i="3"/>
  <c r="G607" i="3" s="1"/>
  <c r="C608" i="3"/>
  <c r="G608" i="3" s="1"/>
  <c r="C609" i="3"/>
  <c r="G609" i="3" s="1"/>
  <c r="C720" i="3"/>
  <c r="G720" i="3" s="1"/>
  <c r="C860" i="3"/>
  <c r="G860" i="3" s="1"/>
  <c r="C649" i="3"/>
  <c r="G649" i="3" s="1"/>
  <c r="C822" i="3"/>
  <c r="G822" i="3" s="1"/>
  <c r="C731" i="3"/>
  <c r="G731" i="3" s="1"/>
  <c r="C652" i="3"/>
  <c r="G652" i="3" s="1"/>
  <c r="C771" i="3"/>
  <c r="G771" i="3" s="1"/>
  <c r="C824" i="3"/>
  <c r="G824" i="3" s="1"/>
  <c r="C826" i="3"/>
  <c r="G826" i="3" s="1"/>
  <c r="C870" i="3"/>
  <c r="G870" i="3" s="1"/>
  <c r="C776" i="3"/>
  <c r="G776" i="3" s="1"/>
  <c r="C620" i="3"/>
  <c r="G620" i="3" s="1"/>
  <c r="C878" i="3"/>
  <c r="G878" i="3" s="1"/>
  <c r="C835" i="3"/>
  <c r="G835" i="3" s="1"/>
  <c r="C790" i="3"/>
  <c r="G790" i="3" s="1"/>
  <c r="C792" i="3"/>
  <c r="G792" i="3" s="1"/>
  <c r="C594" i="3"/>
  <c r="G594" i="3" s="1"/>
  <c r="C793" i="3"/>
  <c r="G793" i="3" s="1"/>
  <c r="C840" i="3"/>
  <c r="G840" i="3" s="1"/>
  <c r="C841" i="3"/>
  <c r="G841" i="3" s="1"/>
  <c r="C842" i="3"/>
  <c r="G842" i="3" s="1"/>
  <c r="C543" i="3"/>
  <c r="G543" i="3" s="1"/>
  <c r="C794" i="3"/>
  <c r="G794" i="3" s="1"/>
  <c r="C596" i="3"/>
  <c r="G596" i="3" s="1"/>
  <c r="C896" i="3"/>
  <c r="G896" i="3" s="1"/>
  <c r="C803" i="3"/>
  <c r="G803" i="3" s="1"/>
  <c r="C806" i="3"/>
  <c r="G806" i="3" s="1"/>
  <c r="C853" i="3"/>
  <c r="G853" i="3" s="1"/>
  <c r="C762" i="3"/>
  <c r="G762" i="3" s="1"/>
  <c r="C858" i="3"/>
  <c r="G858" i="3" s="1"/>
  <c r="C810" i="3"/>
  <c r="G810" i="3" s="1"/>
  <c r="C859" i="3"/>
  <c r="G859" i="3" s="1"/>
  <c r="C813" i="3"/>
  <c r="G813" i="3" s="1"/>
  <c r="C865" i="3"/>
  <c r="G865" i="3" s="1"/>
  <c r="C815" i="3"/>
  <c r="G815" i="3" s="1"/>
  <c r="C816" i="3"/>
  <c r="G816" i="3" s="1"/>
  <c r="C820" i="3"/>
  <c r="G820" i="3" s="1"/>
  <c r="C823" i="3"/>
  <c r="G823" i="3" s="1"/>
  <c r="C829" i="3"/>
  <c r="G829" i="3" s="1"/>
  <c r="C777" i="3"/>
  <c r="G777" i="3" s="1"/>
  <c r="C660" i="3"/>
  <c r="G660" i="3" s="1"/>
  <c r="C833" i="3"/>
  <c r="G833" i="3" s="1"/>
  <c r="C880" i="3"/>
  <c r="G880" i="3" s="1"/>
  <c r="C834" i="3"/>
  <c r="G834" i="3" s="1"/>
  <c r="C836" i="3"/>
  <c r="G836" i="3" s="1"/>
  <c r="C881" i="3"/>
  <c r="G881" i="3" s="1"/>
  <c r="C883" i="3"/>
  <c r="G883" i="3" s="1"/>
  <c r="C886" i="3"/>
  <c r="G886" i="3" s="1"/>
  <c r="C700" i="3"/>
  <c r="G700" i="3" s="1"/>
  <c r="C893" i="3"/>
  <c r="G893" i="3" s="1"/>
  <c r="C845" i="3"/>
  <c r="G845" i="3" s="1"/>
  <c r="C635" i="3"/>
  <c r="G635" i="3" s="1"/>
  <c r="C895" i="3"/>
  <c r="G895" i="3" s="1"/>
  <c r="C847" i="3"/>
  <c r="G847" i="3" s="1"/>
  <c r="C673" i="3"/>
  <c r="G673" i="3" s="1"/>
  <c r="C648" i="3"/>
  <c r="G648" i="3" s="1"/>
  <c r="C947" i="3"/>
  <c r="G947" i="3" s="1"/>
  <c r="C915" i="3"/>
  <c r="G915" i="3" s="1"/>
  <c r="C733" i="3"/>
  <c r="G733" i="3" s="1"/>
  <c r="C919" i="3"/>
  <c r="G919" i="3" s="1"/>
  <c r="C954" i="3"/>
  <c r="G954" i="3" s="1"/>
  <c r="C921" i="3"/>
  <c r="G921" i="3" s="1"/>
  <c r="C872" i="3"/>
  <c r="G872" i="3" s="1"/>
  <c r="C874" i="3"/>
  <c r="G874" i="3" s="1"/>
  <c r="C958" i="3"/>
  <c r="G958" i="3" s="1"/>
  <c r="C875" i="3"/>
  <c r="G875" i="3" s="1"/>
  <c r="C876" i="3"/>
  <c r="G876" i="3" s="1"/>
  <c r="C877" i="3"/>
  <c r="G877" i="3" s="1"/>
  <c r="C927" i="3"/>
  <c r="G927" i="3" s="1"/>
  <c r="C751" i="3"/>
  <c r="G751" i="3" s="1"/>
  <c r="C929" i="3"/>
  <c r="G929" i="3" s="1"/>
  <c r="C887" i="3"/>
  <c r="G887" i="3" s="1"/>
  <c r="C702" i="3"/>
  <c r="G702" i="3" s="1"/>
  <c r="C932" i="3"/>
  <c r="G932" i="3" s="1"/>
  <c r="C892" i="3"/>
  <c r="G892" i="3" s="1"/>
  <c r="C894" i="3"/>
  <c r="G894" i="3" s="1"/>
  <c r="C898" i="3"/>
  <c r="G898" i="3" s="1"/>
  <c r="C713" i="3"/>
  <c r="G713" i="3" s="1"/>
  <c r="C674" i="3"/>
  <c r="G674" i="3" s="1"/>
  <c r="C901" i="3"/>
  <c r="G901" i="3" s="1"/>
  <c r="C715" i="3"/>
  <c r="G715" i="3" s="1"/>
  <c r="C903" i="3"/>
  <c r="G903" i="3" s="1"/>
  <c r="C973" i="3"/>
  <c r="G973" i="3" s="1"/>
  <c r="C722" i="3"/>
  <c r="G722" i="3" s="1"/>
  <c r="C908" i="3"/>
  <c r="G908" i="3" s="1"/>
  <c r="C910" i="3"/>
  <c r="G910" i="3" s="1"/>
  <c r="C817" i="3"/>
  <c r="G817" i="3" s="1"/>
  <c r="C680" i="3"/>
  <c r="G680" i="3" s="1"/>
  <c r="C917" i="3"/>
  <c r="G917" i="3" s="1"/>
  <c r="C918" i="3"/>
  <c r="G918" i="3" s="1"/>
  <c r="C951" i="3"/>
  <c r="G951" i="3" s="1"/>
  <c r="C955" i="3"/>
  <c r="G955" i="3" s="1"/>
  <c r="C959" i="3"/>
  <c r="G959" i="3" s="1"/>
  <c r="C755" i="3"/>
  <c r="G755" i="3" s="1"/>
  <c r="C928" i="3"/>
  <c r="G928" i="3" s="1"/>
  <c r="C704" i="3"/>
  <c r="G704" i="3" s="1"/>
  <c r="C936" i="3"/>
  <c r="G936" i="3" s="1"/>
  <c r="C966" i="3"/>
  <c r="G966" i="3" s="1"/>
  <c r="C900" i="3"/>
  <c r="G900" i="3" s="1"/>
  <c r="C1009" i="3"/>
  <c r="G1009" i="3" s="1"/>
  <c r="C940" i="3"/>
  <c r="G940" i="3" s="1"/>
  <c r="C763" i="3"/>
  <c r="G763" i="3" s="1"/>
  <c r="C941" i="3"/>
  <c r="G941" i="3" s="1"/>
  <c r="C942" i="3"/>
  <c r="G942" i="3" s="1"/>
  <c r="C945" i="3"/>
  <c r="G945" i="3" s="1"/>
  <c r="C1011" i="3"/>
  <c r="G1011" i="3" s="1"/>
  <c r="C950" i="3"/>
  <c r="G950" i="3" s="1"/>
  <c r="C985" i="3"/>
  <c r="G985" i="3" s="1"/>
  <c r="C990" i="3"/>
  <c r="G990" i="3" s="1"/>
  <c r="C785" i="3"/>
  <c r="G785" i="3" s="1"/>
  <c r="C890" i="3"/>
  <c r="G890" i="3" s="1"/>
  <c r="C1002" i="3"/>
  <c r="G1002" i="3" s="1"/>
  <c r="C1026" i="3"/>
  <c r="G1026" i="3" s="1"/>
  <c r="C962" i="3"/>
  <c r="G962" i="3" s="1"/>
  <c r="C934" i="3"/>
  <c r="G934" i="3" s="1"/>
  <c r="C1030" i="3"/>
  <c r="G1030" i="3" s="1"/>
  <c r="C849" i="3"/>
  <c r="G849" i="3" s="1"/>
  <c r="C965" i="3"/>
  <c r="G965" i="3" s="1"/>
  <c r="C764" i="3"/>
  <c r="G764" i="3" s="1"/>
  <c r="C971" i="3"/>
  <c r="G971" i="3" s="1"/>
  <c r="C975" i="3"/>
  <c r="G975" i="3" s="1"/>
  <c r="C774" i="3"/>
  <c r="G774" i="3" s="1"/>
  <c r="C1014" i="3"/>
  <c r="G1014" i="3" s="1"/>
  <c r="C1017" i="3"/>
  <c r="G1017" i="3" s="1"/>
  <c r="C1038" i="3"/>
  <c r="G1038" i="3" s="1"/>
  <c r="C784" i="3"/>
  <c r="G784" i="3" s="1"/>
  <c r="C786" i="3"/>
  <c r="G786" i="3" s="1"/>
  <c r="C788" i="3"/>
  <c r="G788" i="3" s="1"/>
  <c r="C1044" i="3"/>
  <c r="G1044" i="3" s="1"/>
  <c r="C1048" i="3"/>
  <c r="G1048" i="3" s="1"/>
  <c r="C1001" i="3"/>
  <c r="G1001" i="3" s="1"/>
  <c r="C1050" i="3"/>
  <c r="G1050" i="3" s="1"/>
  <c r="C1005" i="3"/>
  <c r="G1005" i="3" s="1"/>
  <c r="C1076" i="3"/>
  <c r="G1076" i="3" s="1"/>
  <c r="C905" i="3"/>
  <c r="G905" i="3" s="1"/>
  <c r="C1007" i="3"/>
  <c r="G1007" i="3" s="1"/>
  <c r="C1008" i="3"/>
  <c r="G1008" i="3" s="1"/>
  <c r="C1012" i="3"/>
  <c r="G1012" i="3" s="1"/>
  <c r="C1036" i="3"/>
  <c r="G1036" i="3" s="1"/>
  <c r="C1037" i="3"/>
  <c r="G1037" i="3" s="1"/>
  <c r="C871" i="3"/>
  <c r="G871" i="3" s="1"/>
  <c r="C882" i="3"/>
  <c r="G882" i="3" s="1"/>
  <c r="C795" i="3"/>
  <c r="G795" i="3" s="1"/>
  <c r="C889" i="3"/>
  <c r="G889" i="3" s="1"/>
  <c r="C1024" i="3"/>
  <c r="G1024" i="3" s="1"/>
  <c r="C1027" i="3"/>
  <c r="G1027" i="3" s="1"/>
  <c r="C1031" i="3"/>
  <c r="G1031" i="3" s="1"/>
  <c r="C1073" i="3"/>
  <c r="G1073" i="3" s="1"/>
  <c r="C944" i="3"/>
  <c r="G944" i="3" s="1"/>
  <c r="C1034" i="3"/>
  <c r="G1034" i="3" s="1"/>
  <c r="C868" i="3"/>
  <c r="G868" i="3" s="1"/>
  <c r="C1084" i="3"/>
  <c r="G1084" i="3" s="1"/>
  <c r="C827" i="3"/>
  <c r="G827" i="3" s="1"/>
  <c r="C1057" i="3"/>
  <c r="G1057" i="3" s="1"/>
  <c r="C1058" i="3"/>
  <c r="G1058" i="3" s="1"/>
  <c r="C920" i="3"/>
  <c r="G920" i="3" s="1"/>
  <c r="C922" i="3"/>
  <c r="G922" i="3" s="1"/>
  <c r="C1060" i="3"/>
  <c r="G1060" i="3" s="1"/>
  <c r="C1019" i="3"/>
  <c r="G1019" i="3" s="1"/>
  <c r="C960" i="3"/>
  <c r="G960" i="3" s="1"/>
  <c r="C1041" i="3"/>
  <c r="G1041" i="3" s="1"/>
  <c r="C1064" i="3"/>
  <c r="G1064" i="3" s="1"/>
  <c r="C1065" i="3"/>
  <c r="G1065" i="3" s="1"/>
  <c r="C1042" i="3"/>
  <c r="G1042" i="3" s="1"/>
  <c r="C1022" i="3"/>
  <c r="G1022" i="3" s="1"/>
  <c r="C1046" i="3"/>
  <c r="G1046" i="3" s="1"/>
  <c r="C1025" i="3"/>
  <c r="G1025" i="3" s="1"/>
  <c r="C1068" i="3"/>
  <c r="G1068" i="3" s="1"/>
  <c r="C1070" i="3"/>
  <c r="G1070" i="3" s="1"/>
  <c r="C1051" i="3"/>
  <c r="G1051" i="3" s="1"/>
  <c r="C855" i="3"/>
  <c r="G855" i="3" s="1"/>
  <c r="C909" i="3"/>
  <c r="G909" i="3" s="1"/>
  <c r="C1098" i="3"/>
  <c r="G1098" i="3" s="1"/>
  <c r="C1077" i="3"/>
  <c r="G1077" i="3" s="1"/>
  <c r="C1052" i="3"/>
  <c r="G1052" i="3" s="1"/>
  <c r="C1053" i="3"/>
  <c r="G1053" i="3" s="1"/>
  <c r="C946" i="3"/>
  <c r="G946" i="3" s="1"/>
  <c r="C1078" i="3"/>
  <c r="G1078" i="3" s="1"/>
  <c r="C1079" i="3"/>
  <c r="G1079" i="3" s="1"/>
  <c r="C1081" i="3"/>
  <c r="G1081" i="3" s="1"/>
  <c r="C948" i="3"/>
  <c r="G948" i="3" s="1"/>
  <c r="C879" i="3"/>
  <c r="G879" i="3" s="1"/>
  <c r="C1085" i="3"/>
  <c r="G1085" i="3" s="1"/>
  <c r="C1086" i="3"/>
  <c r="G1086" i="3" s="1"/>
  <c r="C1087" i="3"/>
  <c r="G1087" i="3" s="1"/>
  <c r="C1088" i="3"/>
  <c r="G1088" i="3" s="1"/>
  <c r="C961" i="3"/>
  <c r="G961" i="3" s="1"/>
  <c r="C1113" i="3"/>
  <c r="G1113" i="3" s="1"/>
  <c r="C931" i="3"/>
  <c r="G931" i="3" s="1"/>
  <c r="C1063" i="3"/>
  <c r="G1063" i="3" s="1"/>
  <c r="C1067" i="3"/>
  <c r="G1067" i="3" s="1"/>
  <c r="C1069" i="3"/>
  <c r="G1069" i="3" s="1"/>
  <c r="C969" i="3"/>
  <c r="G969" i="3" s="1"/>
  <c r="C1072" i="3"/>
  <c r="G1072" i="3" s="1"/>
  <c r="C1101" i="3"/>
  <c r="G1101" i="3" s="1"/>
  <c r="C952" i="3"/>
  <c r="G952" i="3" s="1"/>
  <c r="C1056" i="3"/>
  <c r="G1056" i="3" s="1"/>
  <c r="C957" i="3"/>
  <c r="G957" i="3" s="1"/>
  <c r="C995" i="3"/>
  <c r="G995" i="3" s="1"/>
  <c r="C1106" i="3"/>
  <c r="G1106" i="3" s="1"/>
  <c r="C999" i="3"/>
  <c r="G999" i="3" s="1"/>
  <c r="C1089" i="3"/>
  <c r="G1089" i="3" s="1"/>
  <c r="C1062" i="3"/>
  <c r="G1062" i="3" s="1"/>
  <c r="C1116" i="3"/>
  <c r="G1116" i="3" s="1"/>
  <c r="C967" i="3"/>
  <c r="G967" i="3" s="1"/>
  <c r="C968" i="3"/>
  <c r="G968" i="3" s="1"/>
  <c r="C1093" i="3"/>
  <c r="G1093" i="3" s="1"/>
  <c r="C1094" i="3"/>
  <c r="G1094" i="3" s="1"/>
  <c r="C1097" i="3"/>
  <c r="G1097" i="3" s="1"/>
  <c r="C974" i="3"/>
  <c r="G974" i="3" s="1"/>
  <c r="C1119" i="3"/>
  <c r="G1119" i="3" s="1"/>
  <c r="C1120" i="3"/>
  <c r="G1120" i="3" s="1"/>
  <c r="C1099" i="3"/>
  <c r="G1099" i="3" s="1"/>
  <c r="C1102" i="3"/>
  <c r="G1102" i="3" s="1"/>
  <c r="C1103" i="3"/>
  <c r="G1103" i="3" s="1"/>
  <c r="C987" i="3"/>
  <c r="G987" i="3" s="1"/>
  <c r="C988" i="3"/>
  <c r="G988" i="3" s="1"/>
  <c r="C1141" i="3"/>
  <c r="G1141" i="3" s="1"/>
  <c r="C1083" i="3"/>
  <c r="G1083" i="3" s="1"/>
  <c r="C991" i="3"/>
  <c r="G991" i="3" s="1"/>
  <c r="C992" i="3"/>
  <c r="G992" i="3" s="1"/>
  <c r="C1105" i="3"/>
  <c r="G1105" i="3" s="1"/>
  <c r="C1108" i="3"/>
  <c r="G1108" i="3" s="1"/>
  <c r="C1109" i="3"/>
  <c r="G1109" i="3" s="1"/>
  <c r="C1110" i="3"/>
  <c r="G1110" i="3" s="1"/>
  <c r="C1144" i="3"/>
  <c r="G1144" i="3" s="1"/>
  <c r="C1128" i="3"/>
  <c r="G1128" i="3" s="1"/>
  <c r="C1028" i="3"/>
  <c r="G1028" i="3" s="1"/>
  <c r="C1049" i="3"/>
  <c r="G1049" i="3" s="1"/>
  <c r="C1132" i="3"/>
  <c r="G1132" i="3" s="1"/>
  <c r="C1133" i="3"/>
  <c r="G1133" i="3" s="1"/>
  <c r="C1033" i="3"/>
  <c r="G1033" i="3" s="1"/>
  <c r="C980" i="3"/>
  <c r="G980" i="3" s="1"/>
  <c r="C1151" i="3"/>
  <c r="G1151" i="3" s="1"/>
  <c r="C1124" i="3"/>
  <c r="G1124" i="3" s="1"/>
  <c r="C1061" i="3"/>
  <c r="G1061" i="3" s="1"/>
  <c r="C1111" i="3"/>
  <c r="G1111" i="3" s="1"/>
  <c r="C1112" i="3"/>
  <c r="G1112" i="3" s="1"/>
  <c r="C1004" i="3"/>
  <c r="G1004" i="3" s="1"/>
  <c r="C1129" i="3"/>
  <c r="G1129" i="3" s="1"/>
  <c r="C1074" i="3"/>
  <c r="G1074" i="3" s="1"/>
  <c r="C1135" i="3"/>
  <c r="G1135" i="3" s="1"/>
  <c r="C1138" i="3"/>
  <c r="G1138" i="3" s="1"/>
  <c r="C1043" i="3"/>
  <c r="G1043" i="3" s="1"/>
  <c r="C1168" i="3"/>
  <c r="G1168" i="3" s="1"/>
  <c r="C1159" i="3"/>
  <c r="G1159" i="3" s="1"/>
  <c r="C1155" i="3"/>
  <c r="G1155" i="3" s="1"/>
  <c r="C1156" i="3"/>
  <c r="G1156" i="3" s="1"/>
  <c r="C1045" i="3"/>
  <c r="G1045" i="3" s="1"/>
  <c r="C1096" i="3"/>
  <c r="G1096" i="3" s="1"/>
  <c r="C1118" i="3"/>
  <c r="G1118" i="3" s="1"/>
  <c r="C1171" i="3"/>
  <c r="G1171" i="3" s="1"/>
  <c r="C1082" i="3"/>
  <c r="G1082" i="3" s="1"/>
  <c r="C1122" i="3"/>
  <c r="G1122" i="3" s="1"/>
  <c r="C1181" i="3"/>
  <c r="G1181" i="3" s="1"/>
  <c r="C1183" i="3"/>
  <c r="G1183" i="3" s="1"/>
  <c r="C1091" i="3"/>
  <c r="G1091" i="3" s="1"/>
  <c r="C1092" i="3"/>
  <c r="G1092" i="3" s="1"/>
  <c r="C1117" i="3"/>
  <c r="G1117" i="3" s="1"/>
  <c r="C1169" i="3"/>
  <c r="G1169" i="3" s="1"/>
  <c r="C1125" i="3"/>
  <c r="G1125" i="3" s="1"/>
  <c r="C1115" i="3"/>
  <c r="G1115" i="3" s="1"/>
  <c r="C1189" i="3"/>
  <c r="G1189" i="3" s="1"/>
  <c r="C1203" i="3"/>
  <c r="G1203" i="3" s="1"/>
  <c r="C1145" i="3"/>
  <c r="G1145" i="3" s="1"/>
  <c r="C1147" i="3"/>
  <c r="G1147" i="3" s="1"/>
  <c r="C1134" i="3"/>
  <c r="G1134" i="3" s="1"/>
  <c r="C1198" i="3"/>
  <c r="G1198" i="3" s="1"/>
  <c r="C1163" i="3"/>
  <c r="G1163" i="3" s="1"/>
  <c r="C1200" i="3"/>
  <c r="G1200" i="3" s="1"/>
  <c r="C1210" i="3"/>
  <c r="G1210" i="3" s="1"/>
  <c r="C1209" i="3"/>
  <c r="G1209" i="3" s="1"/>
  <c r="C1222" i="3"/>
  <c r="G1222" i="3" s="1"/>
  <c r="C1176" i="3"/>
  <c r="G1176" i="3" s="1"/>
  <c r="C1196" i="3"/>
  <c r="G1196" i="3" s="1"/>
  <c r="C1204" i="3"/>
  <c r="G1204" i="3" s="1"/>
  <c r="C1208" i="3"/>
  <c r="G1208" i="3" s="1"/>
  <c r="C1218" i="3"/>
  <c r="G1218" i="3" s="1"/>
  <c r="C1234" i="3"/>
  <c r="G1234" i="3" s="1"/>
  <c r="C261" i="3"/>
  <c r="G261" i="3" s="1"/>
  <c r="C279" i="3"/>
  <c r="G279" i="3" s="1"/>
  <c r="C497" i="3"/>
  <c r="G497" i="3" s="1"/>
  <c r="C425" i="3"/>
  <c r="G425" i="3" s="1"/>
  <c r="C659" i="3"/>
  <c r="G659" i="3" s="1"/>
  <c r="C852" i="3"/>
  <c r="G852" i="3" s="1"/>
  <c r="C1184" i="3"/>
  <c r="G1184" i="3" s="1"/>
  <c r="C916" i="3"/>
  <c r="G916" i="3" s="1"/>
  <c r="C1150" i="3"/>
  <c r="G1150" i="3" s="1"/>
  <c r="C1137" i="3"/>
  <c r="G1137" i="3" s="1"/>
  <c r="C171" i="3"/>
  <c r="G171" i="3" s="1"/>
  <c r="C1220" i="3"/>
  <c r="G1220" i="3" s="1"/>
  <c r="C311" i="3"/>
  <c r="G311" i="3" s="1"/>
  <c r="C869" i="3"/>
  <c r="G869" i="3" s="1"/>
  <c r="C1195" i="3"/>
  <c r="G1195" i="3" s="1"/>
  <c r="C1152" i="3"/>
  <c r="G1152" i="3" s="1"/>
  <c r="C1029" i="3"/>
  <c r="G1029" i="3" s="1"/>
  <c r="C804" i="3"/>
  <c r="G804" i="3" s="1"/>
  <c r="C284" i="3"/>
  <c r="G284" i="3" s="1"/>
  <c r="C1164" i="3"/>
  <c r="G1164" i="3" s="1"/>
  <c r="C851" i="3"/>
  <c r="G851" i="3" s="1"/>
  <c r="C374" i="3"/>
  <c r="G374" i="3" s="1"/>
  <c r="C1213" i="3"/>
  <c r="G1213" i="3" s="1"/>
  <c r="C372" i="3"/>
  <c r="G372" i="3" s="1"/>
  <c r="C1231" i="3"/>
  <c r="G1231" i="3" s="1"/>
  <c r="C837" i="3"/>
  <c r="G837" i="3" s="1"/>
  <c r="C911" i="3"/>
  <c r="G911" i="3" s="1"/>
  <c r="C1226" i="3"/>
  <c r="G1226" i="3" s="1"/>
  <c r="C708" i="3"/>
  <c r="G708" i="3" s="1"/>
  <c r="C1172" i="3"/>
  <c r="G1172" i="3" s="1"/>
  <c r="C536" i="3"/>
  <c r="G536" i="3" s="1"/>
  <c r="C913" i="3"/>
  <c r="G913" i="3" s="1"/>
  <c r="C381" i="3"/>
  <c r="G381" i="3" s="1"/>
  <c r="C979" i="3"/>
  <c r="G979" i="3" s="1"/>
  <c r="C1224" i="3"/>
  <c r="G1224" i="3" s="1"/>
  <c r="C1177" i="3"/>
  <c r="G1177" i="3" s="1"/>
  <c r="C405" i="3"/>
  <c r="G405" i="3" s="1"/>
  <c r="C409" i="3"/>
  <c r="G409" i="3" s="1"/>
  <c r="C757" i="3"/>
  <c r="G757" i="3" s="1"/>
  <c r="C1143" i="3"/>
  <c r="G1143" i="3" s="1"/>
  <c r="C640" i="3"/>
  <c r="G640" i="3" s="1"/>
  <c r="C1214" i="3"/>
  <c r="G1214" i="3" s="1"/>
  <c r="C1160" i="3"/>
  <c r="G1160" i="3" s="1"/>
  <c r="C686" i="3"/>
  <c r="G686" i="3" s="1"/>
  <c r="C1018" i="3"/>
  <c r="G1018" i="3" s="1"/>
  <c r="C983" i="3"/>
  <c r="G983" i="3" s="1"/>
  <c r="C997" i="3"/>
  <c r="G997" i="3" s="1"/>
  <c r="C743" i="3"/>
  <c r="G743" i="3" s="1"/>
  <c r="C268" i="3"/>
  <c r="G268" i="3" s="1"/>
  <c r="C504" i="3"/>
  <c r="G504" i="3" s="1"/>
  <c r="C1187" i="3"/>
  <c r="G1187" i="3" s="1"/>
  <c r="C1059" i="3"/>
  <c r="G1059" i="3" s="1"/>
  <c r="C1075" i="3"/>
  <c r="G1075" i="3" s="1"/>
  <c r="C1188" i="3"/>
  <c r="G1188" i="3" s="1"/>
  <c r="C727" i="3"/>
  <c r="G727" i="3" s="1"/>
  <c r="C213" i="3"/>
  <c r="G213" i="3" s="1"/>
  <c r="C861" i="3"/>
  <c r="G861" i="3" s="1"/>
  <c r="C1190" i="3"/>
  <c r="G1190" i="3" s="1"/>
  <c r="C31" i="3"/>
  <c r="G31" i="3" s="1"/>
  <c r="C348" i="3"/>
  <c r="G348" i="3" s="1"/>
  <c r="C1221" i="3"/>
  <c r="G1221" i="3" s="1"/>
  <c r="C684" i="3"/>
  <c r="G684" i="3" s="1"/>
  <c r="C1121" i="3"/>
  <c r="G1121" i="3" s="1"/>
  <c r="C1015" i="3"/>
  <c r="G1015" i="3" s="1"/>
  <c r="C1225" i="3"/>
  <c r="G1225" i="3" s="1"/>
  <c r="C314" i="3"/>
  <c r="G314" i="3" s="1"/>
  <c r="C357" i="3"/>
  <c r="G357" i="3" s="1"/>
  <c r="C452" i="3"/>
  <c r="G452" i="3" s="1"/>
  <c r="C986" i="3"/>
  <c r="G986" i="3" s="1"/>
  <c r="C1197" i="3"/>
  <c r="G1197" i="3" s="1"/>
  <c r="C345" i="3"/>
  <c r="G345" i="3" s="1"/>
  <c r="C1180" i="3"/>
  <c r="G1180" i="3" s="1"/>
  <c r="C981" i="3"/>
  <c r="G981" i="3" s="1"/>
  <c r="C1010" i="3"/>
  <c r="G1010" i="3" s="1"/>
  <c r="C735" i="3"/>
  <c r="G735" i="3" s="1"/>
  <c r="C545" i="3"/>
  <c r="G545" i="3" s="1"/>
  <c r="C275" i="3"/>
  <c r="G275" i="3" s="1"/>
  <c r="C408" i="3"/>
  <c r="G408" i="3" s="1"/>
  <c r="C1216" i="3"/>
  <c r="G1216" i="3" s="1"/>
  <c r="C1149" i="3"/>
  <c r="G1149" i="3" s="1"/>
  <c r="C658" i="3"/>
  <c r="G658" i="3" s="1"/>
  <c r="C112" i="3"/>
  <c r="G112" i="3" s="1"/>
  <c r="C395" i="3"/>
  <c r="G395" i="3" s="1"/>
  <c r="C550" i="3"/>
  <c r="G550" i="3" s="1"/>
  <c r="C1107" i="3"/>
  <c r="G1107" i="3" s="1"/>
  <c r="C839" i="3"/>
  <c r="G839" i="3" s="1"/>
  <c r="C1139" i="3"/>
  <c r="G1139" i="3" s="1"/>
  <c r="C996" i="3"/>
  <c r="G996" i="3" s="1"/>
  <c r="C737" i="3"/>
  <c r="G737" i="3" s="1"/>
  <c r="C924" i="3"/>
  <c r="G924" i="3" s="1"/>
  <c r="C1153" i="3"/>
  <c r="G1153" i="3" s="1"/>
  <c r="C230" i="3"/>
  <c r="G230" i="3" s="1"/>
  <c r="C81" i="3"/>
  <c r="G81" i="3" s="1"/>
  <c r="C1154" i="3"/>
  <c r="G1154" i="3" s="1"/>
  <c r="C867" i="3"/>
  <c r="G867" i="3" s="1"/>
  <c r="C747" i="3"/>
  <c r="G747" i="3" s="1"/>
  <c r="C963" i="3"/>
  <c r="G963" i="3" s="1"/>
  <c r="C1178" i="3"/>
  <c r="G1178" i="3" s="1"/>
  <c r="C69" i="3"/>
  <c r="G69" i="3" s="1"/>
  <c r="C354" i="3"/>
  <c r="G354" i="3" s="1"/>
  <c r="C818" i="3"/>
  <c r="G818" i="3" s="1"/>
  <c r="C471" i="3"/>
  <c r="G471" i="3" s="1"/>
  <c r="C214" i="3"/>
  <c r="G214" i="3" s="1"/>
  <c r="C429" i="3"/>
  <c r="G429" i="3" s="1"/>
  <c r="C441" i="3"/>
  <c r="G441" i="3" s="1"/>
  <c r="C474" i="3"/>
  <c r="G474" i="3" s="1"/>
  <c r="C863" i="3"/>
  <c r="G863" i="3" s="1"/>
  <c r="C486" i="3"/>
  <c r="G486" i="3" s="1"/>
  <c r="C215" i="3"/>
  <c r="G215" i="3" s="1"/>
  <c r="C977" i="3"/>
  <c r="G977" i="3" s="1"/>
  <c r="C70" i="3"/>
  <c r="G70" i="3" s="1"/>
  <c r="C327" i="3"/>
  <c r="G327" i="3" s="1"/>
  <c r="C1032" i="3"/>
  <c r="G1032" i="3" s="1"/>
  <c r="C753" i="3"/>
  <c r="G753" i="3" s="1"/>
  <c r="C103" i="3"/>
  <c r="G103" i="3" s="1"/>
  <c r="C389" i="3"/>
  <c r="G389" i="3" s="1"/>
  <c r="C71" i="3"/>
  <c r="G71" i="3" s="1"/>
  <c r="C938" i="3"/>
  <c r="G938" i="3" s="1"/>
  <c r="C749" i="3"/>
  <c r="G749" i="3" s="1"/>
  <c r="C884" i="3"/>
  <c r="G884" i="3" s="1"/>
  <c r="C178" i="3"/>
  <c r="G178" i="3" s="1"/>
  <c r="C1165" i="3"/>
  <c r="G1165" i="3" s="1"/>
  <c r="C998" i="3"/>
  <c r="G998" i="3" s="1"/>
  <c r="C866" i="3"/>
  <c r="G866" i="3" s="1"/>
  <c r="C232" i="3"/>
  <c r="G232" i="3" s="1"/>
  <c r="C1006" i="3"/>
  <c r="G1006" i="3" s="1"/>
  <c r="C192" i="3"/>
  <c r="G192" i="3" s="1"/>
  <c r="C209" i="3"/>
  <c r="G209" i="3" s="1"/>
  <c r="C233" i="3"/>
  <c r="G233" i="3" s="1"/>
  <c r="C82" i="3"/>
  <c r="G82" i="3" s="1"/>
  <c r="C964" i="3"/>
  <c r="G964" i="3" s="1"/>
  <c r="C297" i="3"/>
  <c r="G297" i="3" s="1"/>
  <c r="C752" i="3"/>
  <c r="G752" i="3" s="1"/>
  <c r="C364" i="3"/>
  <c r="G364" i="3" s="1"/>
  <c r="C53" i="3"/>
  <c r="G53" i="3" s="1"/>
  <c r="C458" i="3"/>
  <c r="G458" i="3" s="1"/>
  <c r="C1206" i="3"/>
  <c r="G1206" i="3" s="1"/>
  <c r="C989" i="3"/>
  <c r="G989" i="3" s="1"/>
  <c r="C257" i="3"/>
  <c r="G257" i="3" s="1"/>
  <c r="C811" i="3"/>
  <c r="G811" i="3" s="1"/>
  <c r="C435" i="3"/>
  <c r="G435" i="3" s="1"/>
  <c r="C340" i="3"/>
  <c r="G340" i="3" s="1"/>
  <c r="C167" i="3"/>
  <c r="G167" i="3" s="1"/>
  <c r="C582" i="3"/>
  <c r="G582" i="3" s="1"/>
  <c r="C1179" i="3"/>
  <c r="G1179" i="3" s="1"/>
  <c r="C1233" i="3"/>
  <c r="G1233" i="3" s="1"/>
  <c r="C1157" i="3"/>
  <c r="G1157" i="3" s="1"/>
  <c r="C428" i="3"/>
  <c r="G428" i="3" s="1"/>
  <c r="C1223" i="3"/>
  <c r="G1223" i="3" s="1"/>
  <c r="C310" i="3"/>
  <c r="G310" i="3" s="1"/>
  <c r="C457" i="3"/>
  <c r="G457" i="3" s="1"/>
  <c r="C341" i="3"/>
  <c r="G341" i="3" s="1"/>
  <c r="C902" i="3"/>
  <c r="G902" i="3" s="1"/>
  <c r="C642" i="3"/>
  <c r="G642" i="3" s="1"/>
  <c r="C943" i="3"/>
  <c r="G943" i="3" s="1"/>
  <c r="C758" i="3"/>
  <c r="G758" i="3" s="1"/>
  <c r="C1013" i="3"/>
  <c r="G1013" i="3" s="1"/>
  <c r="C760" i="3"/>
  <c r="G760" i="3" s="1"/>
  <c r="C807" i="3"/>
  <c r="G807" i="3" s="1"/>
  <c r="C355" i="3"/>
  <c r="G355" i="3" s="1"/>
  <c r="C561" i="3"/>
  <c r="G561" i="3" s="1"/>
  <c r="C854" i="3"/>
  <c r="G854" i="3" s="1"/>
  <c r="C242" i="3"/>
  <c r="G242" i="3" s="1"/>
  <c r="C756" i="3"/>
  <c r="G756" i="3" s="1"/>
  <c r="C173" i="3"/>
  <c r="G173" i="3" s="1"/>
  <c r="C39" i="3"/>
  <c r="G39" i="3" s="1"/>
  <c r="C628" i="3"/>
  <c r="G628" i="3" s="1"/>
  <c r="C907" i="3"/>
  <c r="G907" i="3" s="1"/>
  <c r="C329" i="3"/>
  <c r="G329" i="3" s="1"/>
  <c r="C926" i="3"/>
  <c r="G926" i="3" s="1"/>
  <c r="C365" i="3"/>
  <c r="G365" i="3" s="1"/>
  <c r="C688" i="3"/>
  <c r="G688" i="3" s="1"/>
  <c r="C1003" i="3"/>
  <c r="G1003" i="3" s="1"/>
  <c r="C331" i="3"/>
  <c r="G331" i="3" s="1"/>
  <c r="C247" i="3"/>
  <c r="G247" i="3" s="1"/>
  <c r="C906" i="3"/>
  <c r="G906" i="3" s="1"/>
  <c r="C897" i="3"/>
  <c r="G897" i="3" s="1"/>
  <c r="C16" i="3"/>
  <c r="G16" i="3" s="1"/>
  <c r="C1201" i="3"/>
  <c r="G1201" i="3" s="1"/>
  <c r="C683" i="3"/>
  <c r="G683" i="3" s="1"/>
  <c r="C392" i="3"/>
  <c r="G392" i="3" s="1"/>
  <c r="C141" i="3"/>
  <c r="G141" i="3" s="1"/>
  <c r="C725" i="3"/>
  <c r="G725" i="3" s="1"/>
  <c r="C1071" i="3"/>
  <c r="G1071" i="3" s="1"/>
  <c r="C864" i="3"/>
  <c r="G864" i="3" s="1"/>
  <c r="C982" i="3"/>
  <c r="G982" i="3" s="1"/>
  <c r="C104" i="3"/>
  <c r="G104" i="3" s="1"/>
  <c r="C1047" i="3"/>
  <c r="G1047" i="3" s="1"/>
  <c r="C225" i="3"/>
  <c r="G225" i="3" s="1"/>
  <c r="C644" i="3"/>
  <c r="G644" i="3" s="1"/>
  <c r="C923" i="3"/>
  <c r="G923" i="3" s="1"/>
  <c r="C570" i="3"/>
  <c r="G570" i="3" s="1"/>
  <c r="C1035" i="3"/>
  <c r="G1035" i="3" s="1"/>
  <c r="C850" i="3"/>
  <c r="G850" i="3" s="1"/>
  <c r="C1217" i="3"/>
  <c r="G1217" i="3" s="1"/>
  <c r="C292" i="3"/>
  <c r="G292" i="3" s="1"/>
  <c r="C647" i="3"/>
  <c r="G647" i="3" s="1"/>
  <c r="C956" i="3"/>
  <c r="G956" i="3" s="1"/>
  <c r="C307" i="3"/>
  <c r="G307" i="3" s="1"/>
  <c r="C382" i="3"/>
  <c r="G382" i="3" s="1"/>
  <c r="C1202" i="3"/>
  <c r="G1202" i="3" s="1"/>
  <c r="C335" i="3"/>
  <c r="G335" i="3" s="1"/>
  <c r="C1211" i="3"/>
  <c r="G1211" i="3" s="1"/>
  <c r="C685" i="3"/>
  <c r="G685" i="3" s="1"/>
  <c r="C433" i="3"/>
  <c r="G433" i="3" s="1"/>
  <c r="C739" i="3"/>
  <c r="G739" i="3" s="1"/>
  <c r="C253" i="3"/>
  <c r="G253" i="3" s="1"/>
  <c r="C1021" i="3"/>
  <c r="G1021" i="3" s="1"/>
  <c r="C100" i="3"/>
  <c r="G100" i="3" s="1"/>
  <c r="C431" i="3"/>
  <c r="G431" i="3" s="1"/>
  <c r="C632" i="3"/>
  <c r="G632" i="3" s="1"/>
  <c r="C1207" i="3"/>
  <c r="G1207" i="3" s="1"/>
  <c r="C302" i="3"/>
  <c r="G302" i="3" s="1"/>
  <c r="C273" i="3"/>
  <c r="G273" i="3" s="1"/>
  <c r="C29" i="3"/>
  <c r="G29" i="3" s="1"/>
  <c r="C8" i="3"/>
  <c r="G8" i="3" s="1"/>
  <c r="C904" i="3"/>
  <c r="G904" i="3" s="1"/>
  <c r="C972" i="3"/>
  <c r="G972" i="3" s="1"/>
  <c r="C191" i="3"/>
  <c r="G191" i="3" s="1"/>
  <c r="C912" i="3"/>
  <c r="G912" i="3" s="1"/>
  <c r="C1228" i="3"/>
  <c r="G1228" i="3" s="1"/>
  <c r="C476" i="3"/>
  <c r="G476" i="3" s="1"/>
  <c r="C744" i="3"/>
  <c r="G744" i="3" s="1"/>
  <c r="C576" i="3"/>
  <c r="G576" i="3" s="1"/>
  <c r="C323" i="3"/>
  <c r="G323" i="3" s="1"/>
  <c r="C891" i="3"/>
  <c r="G891" i="3" s="1"/>
  <c r="C1199" i="3"/>
  <c r="G1199" i="3" s="1"/>
  <c r="C83" i="3"/>
  <c r="G83" i="3" s="1"/>
  <c r="C783" i="3"/>
  <c r="G783" i="3" s="1"/>
  <c r="C84" i="3"/>
  <c r="G84" i="3" s="1"/>
  <c r="C201" i="3"/>
  <c r="G201" i="3" s="1"/>
  <c r="C85" i="3"/>
  <c r="G85" i="3" s="1"/>
  <c r="C105" i="3"/>
  <c r="G105" i="3" s="1"/>
  <c r="C231" i="3"/>
  <c r="G231" i="3" s="1"/>
  <c r="C271" i="3"/>
  <c r="G271" i="3" s="1"/>
  <c r="C72" i="3"/>
  <c r="G72" i="3" s="1"/>
  <c r="C400" i="3"/>
  <c r="G400" i="3" s="1"/>
  <c r="C194" i="3"/>
  <c r="G194" i="3" s="1"/>
  <c r="C556" i="3"/>
  <c r="G556" i="3" s="1"/>
  <c r="C211" i="3"/>
  <c r="G211" i="3" s="1"/>
  <c r="C463" i="3"/>
  <c r="G463" i="3" s="1"/>
  <c r="C844" i="3"/>
  <c r="G844" i="3" s="1"/>
  <c r="C106" i="3"/>
  <c r="G106" i="3" s="1"/>
  <c r="C202" i="3"/>
  <c r="G202" i="3" s="1"/>
  <c r="C203" i="3"/>
  <c r="G203" i="3" s="1"/>
  <c r="C216" i="3"/>
  <c r="G216" i="3" s="1"/>
  <c r="C255" i="3"/>
  <c r="G255" i="3" s="1"/>
  <c r="C86" i="3"/>
  <c r="G86" i="3" s="1"/>
  <c r="C670" i="3"/>
  <c r="G670" i="3" s="1"/>
  <c r="C455" i="3"/>
  <c r="G455" i="3" s="1"/>
  <c r="C914" i="3"/>
  <c r="G914" i="3" s="1"/>
  <c r="C772" i="3"/>
  <c r="G772" i="3" s="1"/>
  <c r="C168" i="3"/>
  <c r="G168" i="3" s="1"/>
  <c r="C1230" i="3"/>
  <c r="G1230" i="3" s="1"/>
  <c r="C888" i="3"/>
  <c r="G888" i="3" s="1"/>
  <c r="C838" i="3"/>
  <c r="G838" i="3" s="1"/>
  <c r="C1173" i="3"/>
  <c r="G1173" i="3" s="1"/>
  <c r="C848" i="3"/>
  <c r="G848" i="3" s="1"/>
  <c r="C321" i="3"/>
  <c r="G321" i="3" s="1"/>
  <c r="C581" i="3"/>
  <c r="G581" i="3" s="1"/>
  <c r="C87" i="3"/>
  <c r="G87" i="3" s="1"/>
  <c r="C363" i="3"/>
  <c r="G363" i="3" s="1"/>
  <c r="C625" i="3"/>
  <c r="G625" i="3" s="1"/>
  <c r="C444" i="3"/>
  <c r="G444" i="3" s="1"/>
  <c r="C1114" i="3"/>
  <c r="G1114" i="3" s="1"/>
  <c r="C862" i="3"/>
  <c r="G862" i="3" s="1"/>
  <c r="C1136" i="3"/>
  <c r="G1136" i="3" s="1"/>
  <c r="C993" i="3"/>
  <c r="G993" i="3" s="1"/>
  <c r="C1232" i="3"/>
  <c r="G1232" i="3" s="1"/>
  <c r="C800" i="3"/>
  <c r="G800" i="3" s="1"/>
  <c r="C633" i="3"/>
  <c r="G633" i="3" s="1"/>
  <c r="C779" i="3"/>
  <c r="G779" i="3" s="1"/>
  <c r="C617" i="3"/>
  <c r="G617" i="3" s="1"/>
  <c r="C1000" i="3"/>
  <c r="G1000" i="3" s="1"/>
  <c r="C846" i="3"/>
  <c r="G846" i="3" s="1"/>
  <c r="C663" i="3"/>
  <c r="G663" i="3" s="1"/>
  <c r="C828" i="3"/>
  <c r="G828" i="3" s="1"/>
  <c r="C1123" i="3"/>
  <c r="G1123" i="3" s="1"/>
  <c r="C246" i="3"/>
  <c r="G246" i="3" s="1"/>
  <c r="C781" i="3"/>
  <c r="G781" i="3" s="1"/>
  <c r="C1020" i="3"/>
  <c r="G1020" i="3" s="1"/>
  <c r="C1023" i="3"/>
  <c r="G1023" i="3" s="1"/>
  <c r="C1215" i="3"/>
  <c r="G1215" i="3" s="1"/>
  <c r="C181" i="3"/>
  <c r="G181" i="3" s="1"/>
  <c r="C587" i="3"/>
  <c r="G587" i="3" s="1"/>
  <c r="C289" i="3"/>
  <c r="G289" i="3" s="1"/>
  <c r="C459" i="3"/>
  <c r="G459" i="3" s="1"/>
  <c r="C1191" i="3"/>
  <c r="G1191" i="3" s="1"/>
  <c r="C296" i="3"/>
  <c r="G296" i="3" s="1"/>
  <c r="C418" i="3"/>
  <c r="G418" i="3" s="1"/>
  <c r="C517" i="3"/>
  <c r="G517" i="3" s="1"/>
  <c r="C723" i="3"/>
  <c r="G723" i="3" s="1"/>
  <c r="C1039" i="3"/>
  <c r="G1039" i="3" s="1"/>
  <c r="C676" i="3"/>
  <c r="G676" i="3" s="1"/>
  <c r="C1167" i="3"/>
  <c r="G1167" i="3" s="1"/>
  <c r="C1090" i="3"/>
  <c r="G1090" i="3" s="1"/>
  <c r="C976" i="3"/>
  <c r="G976" i="3" s="1"/>
  <c r="C1227" i="3"/>
  <c r="G1227" i="3" s="1"/>
  <c r="C812" i="3"/>
  <c r="G812" i="3" s="1"/>
  <c r="C438" i="3"/>
  <c r="G438" i="3" s="1"/>
  <c r="C1175" i="3"/>
  <c r="G1175" i="3" s="1"/>
  <c r="C978" i="3"/>
  <c r="G978" i="3" s="1"/>
  <c r="C687" i="3"/>
  <c r="G687" i="3" s="1"/>
  <c r="C526" i="3"/>
  <c r="G526" i="3" s="1"/>
  <c r="C1066" i="3"/>
  <c r="G1066" i="3" s="1"/>
  <c r="C801" i="3"/>
  <c r="G801" i="3" s="1"/>
  <c r="C1174" i="3"/>
  <c r="G1174" i="3" s="1"/>
  <c r="C328" i="3"/>
  <c r="G328" i="3" s="1"/>
  <c r="C970" i="3"/>
  <c r="G970" i="3" s="1"/>
  <c r="C953" i="3"/>
  <c r="G953" i="3" s="1"/>
  <c r="C1131" i="3"/>
  <c r="G1131" i="3" s="1"/>
  <c r="C174" i="3"/>
  <c r="G174" i="3" s="1"/>
  <c r="C1126" i="3"/>
  <c r="G1126" i="3" s="1"/>
  <c r="C1095" i="3"/>
  <c r="G1095" i="3" s="1"/>
  <c r="C664" i="3"/>
  <c r="G664" i="3" s="1"/>
  <c r="C278" i="3"/>
  <c r="G278" i="3" s="1"/>
  <c r="C1219" i="3"/>
  <c r="G1219" i="3" s="1"/>
  <c r="C1142" i="3"/>
  <c r="G1142" i="3" s="1"/>
  <c r="C1229" i="3"/>
  <c r="G1229" i="3" s="1"/>
  <c r="C1161" i="3"/>
  <c r="G1161" i="3" s="1"/>
  <c r="C1127" i="3"/>
  <c r="G1127" i="3" s="1"/>
  <c r="C110" i="3"/>
  <c r="G110" i="3" s="1"/>
  <c r="C767" i="3"/>
  <c r="G767" i="3" s="1"/>
  <c r="C1205" i="3"/>
  <c r="G1205" i="3" s="1"/>
  <c r="C1193" i="3"/>
  <c r="G1193" i="3" s="1"/>
  <c r="C250" i="3"/>
  <c r="G250" i="3" s="1"/>
  <c r="C857" i="3"/>
  <c r="G857" i="3" s="1"/>
  <c r="C1166" i="3"/>
  <c r="G1166" i="3" s="1"/>
  <c r="C1185" i="3"/>
  <c r="G1185" i="3" s="1"/>
  <c r="C1192" i="3"/>
  <c r="G1192" i="3" s="1"/>
  <c r="C362" i="3"/>
  <c r="G362" i="3" s="1"/>
  <c r="C780" i="3"/>
  <c r="G780" i="3" s="1"/>
  <c r="C243" i="3"/>
  <c r="G243" i="3" s="1"/>
  <c r="C195" i="3"/>
  <c r="G195" i="3" s="1"/>
  <c r="C226" i="3"/>
  <c r="G226" i="3" s="1"/>
  <c r="C724" i="3"/>
  <c r="G724" i="3" s="1"/>
  <c r="C149" i="3"/>
  <c r="G149" i="3" s="1"/>
  <c r="C97" i="3"/>
  <c r="G97" i="3" s="1"/>
  <c r="C73" i="3"/>
  <c r="G73" i="3" s="1"/>
  <c r="C350" i="3"/>
  <c r="G350" i="3" s="1"/>
  <c r="C88" i="3"/>
  <c r="G88" i="3" s="1"/>
  <c r="C89" i="3"/>
  <c r="G89" i="3" s="1"/>
  <c r="C791" i="3"/>
  <c r="G791" i="3" s="1"/>
  <c r="C166" i="3"/>
  <c r="G166" i="3" s="1"/>
  <c r="C107" i="3"/>
  <c r="G107" i="3" s="1"/>
  <c r="C885" i="3"/>
  <c r="G885" i="3" s="1"/>
  <c r="C234" i="3"/>
  <c r="G234" i="3" s="1"/>
  <c r="C249" i="3"/>
  <c r="G249" i="3" s="1"/>
  <c r="C930" i="3"/>
  <c r="G930" i="3" s="1"/>
  <c r="C603" i="3"/>
  <c r="G603" i="3" s="1"/>
  <c r="C217" i="3"/>
  <c r="G217" i="3" s="1"/>
  <c r="C303" i="3"/>
  <c r="G303" i="3" s="1"/>
  <c r="C495" i="3"/>
  <c r="G495" i="3" s="1"/>
  <c r="C74" i="3"/>
  <c r="G74" i="3" s="1"/>
  <c r="C668" i="3"/>
  <c r="G668" i="3" s="1"/>
  <c r="C90" i="3"/>
  <c r="G90" i="3" s="1"/>
  <c r="C63" i="3"/>
  <c r="G63" i="3" s="1"/>
  <c r="C235" i="3"/>
  <c r="G235" i="3" s="1"/>
  <c r="C218" i="3"/>
  <c r="G218" i="3" s="1"/>
  <c r="C773" i="3"/>
  <c r="G773" i="3" s="1"/>
  <c r="C206" i="3"/>
  <c r="G206" i="3" s="1"/>
  <c r="C236" i="3"/>
  <c r="G236" i="3" s="1"/>
  <c r="C237" i="3"/>
  <c r="G237" i="3" s="1"/>
  <c r="C108" i="3"/>
  <c r="G108" i="3" s="1"/>
  <c r="C98" i="3"/>
  <c r="G98" i="3" s="1"/>
  <c r="C368" i="3"/>
  <c r="G368" i="3" s="1"/>
  <c r="C238" i="3"/>
  <c r="G238" i="3" s="1"/>
  <c r="C91" i="3"/>
  <c r="G91" i="3" s="1"/>
  <c r="C746" i="3"/>
  <c r="G746" i="3" s="1"/>
  <c r="C239" i="3"/>
  <c r="G239" i="3" s="1"/>
  <c r="C109" i="3"/>
  <c r="G109" i="3" s="1"/>
  <c r="C219" i="3"/>
  <c r="G219" i="3" s="1"/>
  <c r="C699" i="3"/>
  <c r="G699" i="3" s="1"/>
  <c r="C710" i="3"/>
  <c r="G710" i="3" s="1"/>
  <c r="C1100" i="3"/>
  <c r="G1100" i="3" s="1"/>
  <c r="C153" i="3"/>
  <c r="G153" i="3" s="1"/>
  <c r="C221" i="3"/>
  <c r="G221" i="3" s="1"/>
  <c r="C698" i="3"/>
  <c r="G698" i="3" s="1"/>
  <c r="C283" i="3"/>
  <c r="G283" i="3" s="1"/>
  <c r="C694" i="3"/>
  <c r="G694" i="3" s="1"/>
  <c r="C1140" i="3"/>
  <c r="G1140" i="3" s="1"/>
  <c r="C210" i="3"/>
  <c r="G210" i="3" s="1"/>
  <c r="C276" i="3"/>
  <c r="G276" i="3" s="1"/>
  <c r="C489" i="3"/>
  <c r="G489" i="3" s="1"/>
  <c r="C251" i="3"/>
  <c r="G251" i="3" s="1"/>
  <c r="C426" i="3"/>
  <c r="G426" i="3" s="1"/>
  <c r="C50" i="3"/>
  <c r="G50" i="3" s="1"/>
  <c r="C114" i="3"/>
  <c r="G114" i="3" s="1"/>
  <c r="C825" i="3"/>
  <c r="G825" i="3" s="1"/>
  <c r="C728" i="3"/>
  <c r="G728" i="3" s="1"/>
  <c r="C1158" i="3"/>
  <c r="G1158" i="3" s="1"/>
  <c r="C600" i="3"/>
  <c r="G600" i="3" s="1"/>
  <c r="C189" i="3"/>
  <c r="G189" i="3" s="1"/>
  <c r="C461" i="3"/>
  <c r="G461" i="3" s="1"/>
  <c r="C309" i="3"/>
  <c r="G309" i="3" s="1"/>
  <c r="C158" i="3"/>
  <c r="G158" i="3" s="1"/>
  <c r="C1040" i="3"/>
  <c r="G1040" i="3" s="1"/>
  <c r="C778" i="3"/>
  <c r="G778" i="3" s="1"/>
  <c r="C449" i="3"/>
  <c r="G449" i="3" s="1"/>
  <c r="C436" i="3"/>
  <c r="G436" i="3" s="1"/>
  <c r="C270" i="3"/>
  <c r="G270" i="3" s="1"/>
  <c r="C451" i="3"/>
  <c r="G451" i="3" s="1"/>
  <c r="C99" i="3"/>
  <c r="G99" i="3" s="1"/>
  <c r="C92" i="3"/>
  <c r="G92" i="3" s="1"/>
  <c r="C317" i="3"/>
  <c r="G317" i="3" s="1"/>
  <c r="C939" i="3"/>
  <c r="G939" i="3" s="1"/>
  <c r="C207" i="3"/>
  <c r="G207" i="3" s="1"/>
  <c r="C741" i="3"/>
  <c r="G741" i="3" s="1"/>
  <c r="C1146" i="3"/>
  <c r="G1146" i="3" s="1"/>
  <c r="C544" i="3"/>
  <c r="G544" i="3" s="1"/>
  <c r="C281" i="3"/>
  <c r="G281" i="3" s="1"/>
  <c r="C148" i="3"/>
  <c r="G148" i="3" s="1"/>
  <c r="C595" i="3"/>
  <c r="G595" i="3" s="1"/>
  <c r="C450" i="3"/>
  <c r="G450" i="3" s="1"/>
  <c r="C1104" i="3"/>
  <c r="G1104" i="3" s="1"/>
  <c r="C629" i="3"/>
  <c r="G629" i="3" s="1"/>
  <c r="C832" i="3"/>
  <c r="G832" i="3" s="1"/>
  <c r="C439" i="3"/>
  <c r="G439" i="3" s="1"/>
  <c r="C301" i="3"/>
  <c r="G301" i="3" s="1"/>
  <c r="C188" i="3"/>
  <c r="G188" i="3" s="1"/>
  <c r="C1055" i="3"/>
  <c r="G1055" i="3" s="1"/>
  <c r="C288" i="3"/>
  <c r="G288" i="3" s="1"/>
  <c r="C13" i="3"/>
  <c r="G13" i="3" s="1"/>
  <c r="C798" i="3"/>
  <c r="G798" i="3" s="1"/>
  <c r="C244" i="3"/>
  <c r="G244" i="3" s="1"/>
  <c r="C333" i="3"/>
  <c r="G333" i="3" s="1"/>
  <c r="C775" i="3"/>
  <c r="G775" i="3" s="1"/>
  <c r="C475" i="3"/>
  <c r="G475" i="3" s="1"/>
  <c r="C172" i="3"/>
  <c r="G172" i="3" s="1"/>
  <c r="C925" i="3"/>
  <c r="G925" i="3" s="1"/>
  <c r="C1170" i="3"/>
  <c r="G1170" i="3" s="1"/>
  <c r="C873" i="3"/>
  <c r="G873" i="3" s="1"/>
  <c r="C367" i="3"/>
  <c r="G367" i="3" s="1"/>
  <c r="C18" i="3"/>
  <c r="G18" i="3" s="1"/>
  <c r="C140" i="3"/>
  <c r="G140" i="3" s="1"/>
  <c r="C492" i="3"/>
  <c r="G492" i="3" s="1"/>
  <c r="C1186" i="3"/>
  <c r="G1186" i="3" s="1"/>
  <c r="C994" i="3"/>
  <c r="G994" i="3" s="1"/>
  <c r="C750" i="3"/>
  <c r="G750" i="3" s="1"/>
  <c r="C1016" i="3"/>
  <c r="G1016" i="3" s="1"/>
  <c r="C139" i="3"/>
  <c r="G139" i="3" s="1"/>
  <c r="C28" i="3"/>
  <c r="G28" i="3" s="1"/>
  <c r="C557" i="3"/>
  <c r="G557" i="3" s="1"/>
  <c r="C949" i="3"/>
  <c r="G949" i="3" s="1"/>
  <c r="C95" i="3"/>
  <c r="G95" i="3" s="1"/>
  <c r="C1162" i="3"/>
  <c r="G1162" i="3" s="1"/>
  <c r="C469" i="3"/>
  <c r="G469" i="3" s="1"/>
  <c r="C313" i="3"/>
  <c r="G313" i="3" s="1"/>
  <c r="C525" i="3"/>
  <c r="G525" i="3" s="1"/>
  <c r="C1194" i="3"/>
  <c r="G1194" i="3" s="1"/>
  <c r="T40" i="11"/>
  <c r="T39" i="11"/>
  <c r="T41" i="11"/>
  <c r="S40" i="11"/>
  <c r="S39" i="11"/>
  <c r="S41" i="11"/>
  <c r="R40" i="11"/>
  <c r="R39" i="11"/>
  <c r="R41" i="11"/>
  <c r="Q40" i="11"/>
  <c r="Q39" i="11"/>
  <c r="Q41" i="11"/>
  <c r="P40" i="11"/>
  <c r="P39" i="11"/>
  <c r="P41" i="11"/>
  <c r="O40" i="11"/>
  <c r="O39" i="11"/>
  <c r="O41" i="11"/>
  <c r="AU648" i="1"/>
  <c r="AU395" i="1"/>
  <c r="AU525" i="1"/>
  <c r="AU541" i="1"/>
  <c r="AU379" i="1"/>
  <c r="AU396" i="1"/>
  <c r="AU303" i="1"/>
  <c r="AU675" i="1"/>
  <c r="AU481" i="1"/>
  <c r="AU77" i="1"/>
  <c r="AU598" i="1"/>
  <c r="AU603" i="1"/>
  <c r="AU613" i="1"/>
  <c r="AU607" i="1"/>
  <c r="AU662" i="1"/>
  <c r="AU331" i="1"/>
  <c r="AU596" i="1"/>
  <c r="AU651" i="1"/>
  <c r="AU403" i="1"/>
  <c r="AU674" i="1"/>
  <c r="AU476" i="1"/>
  <c r="AU568" i="1"/>
  <c r="AU516" i="1"/>
  <c r="AU397" i="1"/>
  <c r="AU409" i="1"/>
  <c r="AU626" i="1"/>
  <c r="AU540" i="1"/>
  <c r="AU456" i="1"/>
  <c r="AU659" i="1"/>
  <c r="AU646" i="1"/>
  <c r="AU548" i="1"/>
  <c r="AU507" i="1"/>
  <c r="AU579" i="1"/>
  <c r="AU438" i="1"/>
  <c r="AU400" i="1"/>
  <c r="AU638" i="1"/>
  <c r="AU491" i="1"/>
  <c r="AU514" i="1"/>
  <c r="AU452" i="1"/>
  <c r="AU658" i="1"/>
  <c r="AU446" i="1"/>
  <c r="AU135" i="1"/>
  <c r="AU499" i="1"/>
  <c r="AU546" i="1"/>
  <c r="AU630" i="1"/>
  <c r="AU647" i="1"/>
  <c r="AU475" i="1"/>
  <c r="AU625" i="1"/>
  <c r="AU453" i="1"/>
  <c r="AU359" i="1"/>
  <c r="AU617" i="1"/>
  <c r="AU655" i="1"/>
  <c r="AU666" i="1"/>
  <c r="AU235" i="1"/>
  <c r="AU553" i="1"/>
  <c r="AU353" i="1"/>
  <c r="AU590" i="1"/>
  <c r="AU508" i="1"/>
  <c r="AU578" i="1"/>
  <c r="AU333" i="1"/>
  <c r="AU595" i="1"/>
  <c r="AU663" i="1"/>
  <c r="AU387" i="1"/>
  <c r="AU449" i="1"/>
  <c r="AU550" i="1"/>
  <c r="AU569" i="1"/>
  <c r="AU629" i="1"/>
  <c r="AU370" i="1"/>
  <c r="AU139" i="1"/>
  <c r="AU493" i="1"/>
  <c r="AU557" i="1"/>
  <c r="AU485" i="1"/>
  <c r="AU421" i="1"/>
  <c r="AU602" i="1"/>
  <c r="AU538" i="1"/>
  <c r="AU108" i="1"/>
  <c r="AU584" i="1"/>
  <c r="AU664" i="1"/>
  <c r="AU673" i="1"/>
  <c r="AU524" i="1"/>
  <c r="AU574" i="1"/>
  <c r="AU478" i="1"/>
  <c r="AU154" i="1"/>
  <c r="AU654" i="1"/>
  <c r="AU650" i="1"/>
  <c r="AU636" i="1"/>
  <c r="AU523" i="1"/>
  <c r="AU414" i="1"/>
  <c r="AU586" i="1"/>
  <c r="AU618" i="1"/>
  <c r="AU672" i="1"/>
  <c r="AU554" i="1"/>
  <c r="AU614" i="1"/>
  <c r="AU593" i="1"/>
  <c r="AU470" i="1"/>
  <c r="AU467" i="1"/>
  <c r="AU671" i="1"/>
  <c r="AU656" i="1"/>
  <c r="AU419" i="1"/>
  <c r="AU633" i="1"/>
  <c r="AU484" i="1"/>
  <c r="AU539" i="1"/>
  <c r="AU641" i="1"/>
  <c r="AU532" i="1"/>
  <c r="AU519" i="1"/>
  <c r="AU267" i="1"/>
  <c r="AV648" i="1"/>
  <c r="AV395" i="1"/>
  <c r="AV525" i="1"/>
  <c r="AV541" i="1"/>
  <c r="AV379" i="1"/>
  <c r="AV396" i="1"/>
  <c r="AV303" i="1"/>
  <c r="AV675" i="1"/>
  <c r="AV481" i="1"/>
  <c r="AV77" i="1"/>
  <c r="AV598" i="1"/>
  <c r="AV603" i="1"/>
  <c r="AV613" i="1"/>
  <c r="AV607" i="1"/>
  <c r="AV662" i="1"/>
  <c r="AV331" i="1"/>
  <c r="AV596" i="1"/>
  <c r="AV651" i="1"/>
  <c r="AV403" i="1"/>
  <c r="AV674" i="1"/>
  <c r="AV476" i="1"/>
  <c r="AV568" i="1"/>
  <c r="AV516" i="1"/>
  <c r="AV397" i="1"/>
  <c r="AV409" i="1"/>
  <c r="AV626" i="1"/>
  <c r="AV540" i="1"/>
  <c r="AV456" i="1"/>
  <c r="AV659" i="1"/>
  <c r="AV646" i="1"/>
  <c r="AV548" i="1"/>
  <c r="AV507" i="1"/>
  <c r="AV579" i="1"/>
  <c r="AV438" i="1"/>
  <c r="AV400" i="1"/>
  <c r="AV638" i="1"/>
  <c r="AV491" i="1"/>
  <c r="AV514" i="1"/>
  <c r="AV452" i="1"/>
  <c r="AV658" i="1"/>
  <c r="AV446" i="1"/>
  <c r="AV135" i="1"/>
  <c r="AV499" i="1"/>
  <c r="AV546" i="1"/>
  <c r="AV630" i="1"/>
  <c r="AV647" i="1"/>
  <c r="AV475" i="1"/>
  <c r="AV625" i="1"/>
  <c r="AV453" i="1"/>
  <c r="AV359" i="1"/>
  <c r="AV617" i="1"/>
  <c r="AV655" i="1"/>
  <c r="AV666" i="1"/>
  <c r="AV235" i="1"/>
  <c r="AV553" i="1"/>
  <c r="AV353" i="1"/>
  <c r="AV590" i="1"/>
  <c r="AV508" i="1"/>
  <c r="AV578" i="1"/>
  <c r="AV333" i="1"/>
  <c r="AV595" i="1"/>
  <c r="AV663" i="1"/>
  <c r="AV387" i="1"/>
  <c r="AV449" i="1"/>
  <c r="AV550" i="1"/>
  <c r="AV569" i="1"/>
  <c r="AV629" i="1"/>
  <c r="AV370" i="1"/>
  <c r="AV139" i="1"/>
  <c r="AV493" i="1"/>
  <c r="AV557" i="1"/>
  <c r="AV485" i="1"/>
  <c r="AV421" i="1"/>
  <c r="AV602" i="1"/>
  <c r="AV538" i="1"/>
  <c r="AV108" i="1"/>
  <c r="AV584" i="1"/>
  <c r="AV664" i="1"/>
  <c r="AV673" i="1"/>
  <c r="AV524" i="1"/>
  <c r="AV574" i="1"/>
  <c r="AV478" i="1"/>
  <c r="AV154" i="1"/>
  <c r="AV654" i="1"/>
  <c r="AV650" i="1"/>
  <c r="AV636" i="1"/>
  <c r="AV523" i="1"/>
  <c r="AV414" i="1"/>
  <c r="AV586" i="1"/>
  <c r="AV618" i="1"/>
  <c r="AV672" i="1"/>
  <c r="AV554" i="1"/>
  <c r="AV614" i="1"/>
  <c r="AV593" i="1"/>
  <c r="AV470" i="1"/>
  <c r="AV467" i="1"/>
  <c r="AV671" i="1"/>
  <c r="AV656" i="1"/>
  <c r="AV419" i="1"/>
  <c r="AV633" i="1"/>
  <c r="AV484" i="1"/>
  <c r="AV539" i="1"/>
  <c r="AV641" i="1"/>
  <c r="AV532" i="1"/>
  <c r="AV519" i="1"/>
  <c r="AV267" i="1"/>
  <c r="AW648" i="1"/>
  <c r="AW395" i="1"/>
  <c r="AW525" i="1"/>
  <c r="AW541" i="1"/>
  <c r="AW379" i="1"/>
  <c r="AW396" i="1"/>
  <c r="AW303" i="1"/>
  <c r="AW675" i="1"/>
  <c r="AW481" i="1"/>
  <c r="AW77" i="1"/>
  <c r="AW598" i="1"/>
  <c r="AW603" i="1"/>
  <c r="AW613" i="1"/>
  <c r="AW607" i="1"/>
  <c r="AW662" i="1"/>
  <c r="AW331" i="1"/>
  <c r="AW596" i="1"/>
  <c r="AW651" i="1"/>
  <c r="AW403" i="1"/>
  <c r="AW674" i="1"/>
  <c r="AW476" i="1"/>
  <c r="AW568" i="1"/>
  <c r="AW516" i="1"/>
  <c r="AW397" i="1"/>
  <c r="AW409" i="1"/>
  <c r="AW626" i="1"/>
  <c r="AW540" i="1"/>
  <c r="AW456" i="1"/>
  <c r="AW659" i="1"/>
  <c r="AW646" i="1"/>
  <c r="AW548" i="1"/>
  <c r="AW507" i="1"/>
  <c r="AW579" i="1"/>
  <c r="AW438" i="1"/>
  <c r="AW400" i="1"/>
  <c r="AW638" i="1"/>
  <c r="AW491" i="1"/>
  <c r="AW514" i="1"/>
  <c r="AW452" i="1"/>
  <c r="AW658" i="1"/>
  <c r="AW446" i="1"/>
  <c r="AW135" i="1"/>
  <c r="AW499" i="1"/>
  <c r="AW546" i="1"/>
  <c r="AW630" i="1"/>
  <c r="AW647" i="1"/>
  <c r="AW475" i="1"/>
  <c r="AW625" i="1"/>
  <c r="AW453" i="1"/>
  <c r="AW359" i="1"/>
  <c r="AW617" i="1"/>
  <c r="AW655" i="1"/>
  <c r="AW666" i="1"/>
  <c r="AW235" i="1"/>
  <c r="AW553" i="1"/>
  <c r="AW353" i="1"/>
  <c r="AW590" i="1"/>
  <c r="AW508" i="1"/>
  <c r="AW578" i="1"/>
  <c r="AW333" i="1"/>
  <c r="AW595" i="1"/>
  <c r="AW663" i="1"/>
  <c r="AW387" i="1"/>
  <c r="AW449" i="1"/>
  <c r="AW550" i="1"/>
  <c r="AW569" i="1"/>
  <c r="AW629" i="1"/>
  <c r="AW370" i="1"/>
  <c r="AW139" i="1"/>
  <c r="AW493" i="1"/>
  <c r="AW557" i="1"/>
  <c r="AW485" i="1"/>
  <c r="AW421" i="1"/>
  <c r="AW602" i="1"/>
  <c r="AW538" i="1"/>
  <c r="AW108" i="1"/>
  <c r="AW584" i="1"/>
  <c r="AW664" i="1"/>
  <c r="AW673" i="1"/>
  <c r="AW524" i="1"/>
  <c r="AW574" i="1"/>
  <c r="AW478" i="1"/>
  <c r="AW154" i="1"/>
  <c r="AW654" i="1"/>
  <c r="AW650" i="1"/>
  <c r="AW636" i="1"/>
  <c r="AW523" i="1"/>
  <c r="AW414" i="1"/>
  <c r="AW586" i="1"/>
  <c r="AW618" i="1"/>
  <c r="AW672" i="1"/>
  <c r="AW554" i="1"/>
  <c r="AW614" i="1"/>
  <c r="AW593" i="1"/>
  <c r="AW470" i="1"/>
  <c r="AW467" i="1"/>
  <c r="AW671" i="1"/>
  <c r="AW656" i="1"/>
  <c r="AW419" i="1"/>
  <c r="AW633" i="1"/>
  <c r="AW484" i="1"/>
  <c r="AW539" i="1"/>
  <c r="AW641" i="1"/>
  <c r="AW532" i="1"/>
  <c r="AW519" i="1"/>
  <c r="AW267" i="1"/>
  <c r="AX648" i="1"/>
  <c r="AX395" i="1"/>
  <c r="AX525" i="1"/>
  <c r="AX541" i="1"/>
  <c r="AX379" i="1"/>
  <c r="AX396" i="1"/>
  <c r="AX303" i="1"/>
  <c r="AX675" i="1"/>
  <c r="AX481" i="1"/>
  <c r="AX77" i="1"/>
  <c r="AX598" i="1"/>
  <c r="AX603" i="1"/>
  <c r="AX613" i="1"/>
  <c r="AX607" i="1"/>
  <c r="AX662" i="1"/>
  <c r="AX331" i="1"/>
  <c r="AX596" i="1"/>
  <c r="AX651" i="1"/>
  <c r="AX403" i="1"/>
  <c r="AX674" i="1"/>
  <c r="AX476" i="1"/>
  <c r="AX568" i="1"/>
  <c r="AX516" i="1"/>
  <c r="AX397" i="1"/>
  <c r="AX409" i="1"/>
  <c r="AX626" i="1"/>
  <c r="AX540" i="1"/>
  <c r="AX456" i="1"/>
  <c r="AX659" i="1"/>
  <c r="AX646" i="1"/>
  <c r="AX548" i="1"/>
  <c r="AX507" i="1"/>
  <c r="AX579" i="1"/>
  <c r="AX438" i="1"/>
  <c r="AX400" i="1"/>
  <c r="AX638" i="1"/>
  <c r="AX491" i="1"/>
  <c r="AX514" i="1"/>
  <c r="AX452" i="1"/>
  <c r="AX658" i="1"/>
  <c r="AX446" i="1"/>
  <c r="AX135" i="1"/>
  <c r="AX499" i="1"/>
  <c r="AX546" i="1"/>
  <c r="AX630" i="1"/>
  <c r="AX647" i="1"/>
  <c r="AX475" i="1"/>
  <c r="AX625" i="1"/>
  <c r="AX453" i="1"/>
  <c r="AX359" i="1"/>
  <c r="AX617" i="1"/>
  <c r="AX655" i="1"/>
  <c r="AX666" i="1"/>
  <c r="AX235" i="1"/>
  <c r="AX553" i="1"/>
  <c r="AX353" i="1"/>
  <c r="AX590" i="1"/>
  <c r="AX508" i="1"/>
  <c r="AX578" i="1"/>
  <c r="AX333" i="1"/>
  <c r="AX595" i="1"/>
  <c r="AX663" i="1"/>
  <c r="AX387" i="1"/>
  <c r="AX449" i="1"/>
  <c r="AX550" i="1"/>
  <c r="AX569" i="1"/>
  <c r="AX629" i="1"/>
  <c r="AX370" i="1"/>
  <c r="AX139" i="1"/>
  <c r="AX493" i="1"/>
  <c r="AX557" i="1"/>
  <c r="AX485" i="1"/>
  <c r="AX421" i="1"/>
  <c r="AX602" i="1"/>
  <c r="AX538" i="1"/>
  <c r="AX108" i="1"/>
  <c r="AX584" i="1"/>
  <c r="AX664" i="1"/>
  <c r="AX673" i="1"/>
  <c r="AX524" i="1"/>
  <c r="AX574" i="1"/>
  <c r="AX478" i="1"/>
  <c r="AX154" i="1"/>
  <c r="AX654" i="1"/>
  <c r="AX650" i="1"/>
  <c r="AX636" i="1"/>
  <c r="AX523" i="1"/>
  <c r="AX414" i="1"/>
  <c r="AX586" i="1"/>
  <c r="AX618" i="1"/>
  <c r="AX672" i="1"/>
  <c r="AX554" i="1"/>
  <c r="AX614" i="1"/>
  <c r="AX593" i="1"/>
  <c r="AX470" i="1"/>
  <c r="AX467" i="1"/>
  <c r="AX671" i="1"/>
  <c r="AX656" i="1"/>
  <c r="AX419" i="1"/>
  <c r="AX633" i="1"/>
  <c r="AX484" i="1"/>
  <c r="AX539" i="1"/>
  <c r="AX641" i="1"/>
  <c r="AX532" i="1"/>
  <c r="AX519" i="1"/>
  <c r="AX267" i="1"/>
  <c r="AY648" i="1"/>
  <c r="AY395" i="1"/>
  <c r="AY525" i="1"/>
  <c r="AY541" i="1"/>
  <c r="AY379" i="1"/>
  <c r="AY396" i="1"/>
  <c r="AY303" i="1"/>
  <c r="AY675" i="1"/>
  <c r="AY481" i="1"/>
  <c r="AY77" i="1"/>
  <c r="AY598" i="1"/>
  <c r="AY603" i="1"/>
  <c r="AY613" i="1"/>
  <c r="AY607" i="1"/>
  <c r="AY662" i="1"/>
  <c r="AY331" i="1"/>
  <c r="AY596" i="1"/>
  <c r="AY651" i="1"/>
  <c r="AY403" i="1"/>
  <c r="AY674" i="1"/>
  <c r="AY476" i="1"/>
  <c r="AY568" i="1"/>
  <c r="AY516" i="1"/>
  <c r="AY397" i="1"/>
  <c r="AY409" i="1"/>
  <c r="AY626" i="1"/>
  <c r="AY540" i="1"/>
  <c r="AY456" i="1"/>
  <c r="AY659" i="1"/>
  <c r="AY646" i="1"/>
  <c r="AY548" i="1"/>
  <c r="AY507" i="1"/>
  <c r="AY579" i="1"/>
  <c r="AY438" i="1"/>
  <c r="AY400" i="1"/>
  <c r="AY638" i="1"/>
  <c r="AY491" i="1"/>
  <c r="AY514" i="1"/>
  <c r="AY452" i="1"/>
  <c r="AY658" i="1"/>
  <c r="AY446" i="1"/>
  <c r="AY135" i="1"/>
  <c r="AY499" i="1"/>
  <c r="AY546" i="1"/>
  <c r="AY630" i="1"/>
  <c r="AY647" i="1"/>
  <c r="AY475" i="1"/>
  <c r="AY625" i="1"/>
  <c r="AY453" i="1"/>
  <c r="AY359" i="1"/>
  <c r="AY617" i="1"/>
  <c r="AY655" i="1"/>
  <c r="AY666" i="1"/>
  <c r="AY235" i="1"/>
  <c r="AY553" i="1"/>
  <c r="AY353" i="1"/>
  <c r="AY590" i="1"/>
  <c r="AY508" i="1"/>
  <c r="AY578" i="1"/>
  <c r="AY333" i="1"/>
  <c r="AY595" i="1"/>
  <c r="AY663" i="1"/>
  <c r="AY387" i="1"/>
  <c r="AY449" i="1"/>
  <c r="AY550" i="1"/>
  <c r="AY569" i="1"/>
  <c r="AY629" i="1"/>
  <c r="AY370" i="1"/>
  <c r="AY139" i="1"/>
  <c r="AY493" i="1"/>
  <c r="AY557" i="1"/>
  <c r="AY485" i="1"/>
  <c r="AY421" i="1"/>
  <c r="AY602" i="1"/>
  <c r="AY538" i="1"/>
  <c r="AY108" i="1"/>
  <c r="AY584" i="1"/>
  <c r="AY664" i="1"/>
  <c r="AY673" i="1"/>
  <c r="AY524" i="1"/>
  <c r="AY574" i="1"/>
  <c r="AY478" i="1"/>
  <c r="AY154" i="1"/>
  <c r="AY654" i="1"/>
  <c r="AY650" i="1"/>
  <c r="AY636" i="1"/>
  <c r="AY523" i="1"/>
  <c r="AY414" i="1"/>
  <c r="AY586" i="1"/>
  <c r="AY618" i="1"/>
  <c r="AY672" i="1"/>
  <c r="AY554" i="1"/>
  <c r="AY614" i="1"/>
  <c r="AY593" i="1"/>
  <c r="AY470" i="1"/>
  <c r="AY467" i="1"/>
  <c r="AY671" i="1"/>
  <c r="AY656" i="1"/>
  <c r="AY419" i="1"/>
  <c r="AY633" i="1"/>
  <c r="AY484" i="1"/>
  <c r="AY539" i="1"/>
  <c r="AY641" i="1"/>
  <c r="AY532" i="1"/>
  <c r="AY519" i="1"/>
  <c r="AY267" i="1"/>
  <c r="BF648" i="1"/>
  <c r="BF395" i="1"/>
  <c r="BF525" i="1"/>
  <c r="BF541" i="1"/>
  <c r="BF379" i="1"/>
  <c r="BF396" i="1"/>
  <c r="BF303" i="1"/>
  <c r="BF675" i="1"/>
  <c r="BF481" i="1"/>
  <c r="BF77" i="1"/>
  <c r="BF598" i="1"/>
  <c r="BF603" i="1"/>
  <c r="BF613" i="1"/>
  <c r="BF607" i="1"/>
  <c r="BF662" i="1"/>
  <c r="BF331" i="1"/>
  <c r="BF596" i="1"/>
  <c r="BF651" i="1"/>
  <c r="BF403" i="1"/>
  <c r="BF674" i="1"/>
  <c r="BF476" i="1"/>
  <c r="BF568" i="1"/>
  <c r="BF516" i="1"/>
  <c r="BF397" i="1"/>
  <c r="BF409" i="1"/>
  <c r="BF626" i="1"/>
  <c r="BF540" i="1"/>
  <c r="BF456" i="1"/>
  <c r="BF659" i="1"/>
  <c r="BF646" i="1"/>
  <c r="BF548" i="1"/>
  <c r="BF507" i="1"/>
  <c r="BF579" i="1"/>
  <c r="BF438" i="1"/>
  <c r="BF400" i="1"/>
  <c r="BF638" i="1"/>
  <c r="BF491" i="1"/>
  <c r="BF514" i="1"/>
  <c r="BF452" i="1"/>
  <c r="BF658" i="1"/>
  <c r="BF446" i="1"/>
  <c r="BF135" i="1"/>
  <c r="BF499" i="1"/>
  <c r="BF546" i="1"/>
  <c r="BF630" i="1"/>
  <c r="BF647" i="1"/>
  <c r="BF475" i="1"/>
  <c r="BF625" i="1"/>
  <c r="BF453" i="1"/>
  <c r="BF359" i="1"/>
  <c r="BF617" i="1"/>
  <c r="BF655" i="1"/>
  <c r="BF666" i="1"/>
  <c r="BF235" i="1"/>
  <c r="BF553" i="1"/>
  <c r="BF353" i="1"/>
  <c r="BF590" i="1"/>
  <c r="BF508" i="1"/>
  <c r="BF578" i="1"/>
  <c r="BF333" i="1"/>
  <c r="BF595" i="1"/>
  <c r="BF663" i="1"/>
  <c r="BF387" i="1"/>
  <c r="BF449" i="1"/>
  <c r="BF550" i="1"/>
  <c r="BF569" i="1"/>
  <c r="BF629" i="1"/>
  <c r="BF370" i="1"/>
  <c r="BF139" i="1"/>
  <c r="BF493" i="1"/>
  <c r="BF557" i="1"/>
  <c r="BF485" i="1"/>
  <c r="BF421" i="1"/>
  <c r="BF602" i="1"/>
  <c r="BF538" i="1"/>
  <c r="BF108" i="1"/>
  <c r="BF584" i="1"/>
  <c r="BF664" i="1"/>
  <c r="BF673" i="1"/>
  <c r="BF524" i="1"/>
  <c r="BF574" i="1"/>
  <c r="BF478" i="1"/>
  <c r="BF154" i="1"/>
  <c r="BF654" i="1"/>
  <c r="BF650" i="1"/>
  <c r="BF636" i="1"/>
  <c r="BF523" i="1"/>
  <c r="BF414" i="1"/>
  <c r="BF586" i="1"/>
  <c r="BF618" i="1"/>
  <c r="BF672" i="1"/>
  <c r="BF554" i="1"/>
  <c r="BF614" i="1"/>
  <c r="BF593" i="1"/>
  <c r="BF470" i="1"/>
  <c r="BF467" i="1"/>
  <c r="BF671" i="1"/>
  <c r="BF656" i="1"/>
  <c r="BF419" i="1"/>
  <c r="BF633" i="1"/>
  <c r="BF484" i="1"/>
  <c r="BF539" i="1"/>
  <c r="BF641" i="1"/>
  <c r="BF532" i="1"/>
  <c r="BF519" i="1"/>
  <c r="BF267" i="1"/>
  <c r="U10" i="3"/>
  <c r="AW95" i="2"/>
  <c r="AW108" i="2"/>
  <c r="AW142" i="2"/>
  <c r="AW116" i="2"/>
  <c r="AW143" i="2"/>
  <c r="AW121" i="2"/>
  <c r="AW144" i="2"/>
  <c r="AW59" i="2"/>
  <c r="AW49" i="2"/>
  <c r="AW78" i="2"/>
  <c r="AW145" i="2"/>
  <c r="AW98" i="2"/>
  <c r="AW43" i="2"/>
  <c r="AW146" i="2"/>
  <c r="AW44" i="2"/>
  <c r="AW20" i="2"/>
  <c r="AW45" i="2"/>
  <c r="AW46" i="2"/>
  <c r="AW30" i="2"/>
  <c r="AW117" i="2"/>
  <c r="AW147" i="2"/>
  <c r="AW60" i="2"/>
  <c r="AW118" i="2"/>
  <c r="AW33" i="2"/>
  <c r="AW111" i="2"/>
  <c r="AW148" i="2"/>
  <c r="AW34" i="2"/>
  <c r="AW88" i="2"/>
  <c r="AW120" i="2"/>
  <c r="AW35" i="2"/>
  <c r="AW36" i="2"/>
  <c r="AW47" i="2"/>
  <c r="AW93" i="2"/>
  <c r="AW22" i="2"/>
  <c r="AW37" i="2"/>
  <c r="AW23" i="2"/>
  <c r="AW38" i="2"/>
  <c r="AW112" i="2"/>
  <c r="AW24" i="2"/>
  <c r="AW39" i="2"/>
  <c r="AW54" i="2"/>
  <c r="AW48" i="2"/>
  <c r="AW40" i="2"/>
  <c r="AW55" i="2"/>
  <c r="AW138" i="2"/>
  <c r="AW113" i="2"/>
  <c r="AW25" i="2"/>
  <c r="AW171" i="2"/>
  <c r="AW26" i="2"/>
  <c r="AW89" i="2"/>
  <c r="AW56" i="2"/>
  <c r="AW57" i="2"/>
  <c r="AW27" i="2"/>
  <c r="AW114" i="2"/>
  <c r="AW28" i="2"/>
  <c r="AW29" i="2"/>
  <c r="AW41" i="2"/>
  <c r="AW139" i="2"/>
  <c r="AW19" i="2"/>
  <c r="AW140" i="2"/>
  <c r="AW141" i="2"/>
  <c r="AW58" i="2"/>
  <c r="AW115" i="2"/>
  <c r="AW94" i="2"/>
  <c r="AW42" i="2"/>
  <c r="B2" i="2"/>
  <c r="B2" i="1"/>
  <c r="B1" i="1"/>
  <c r="B1" i="2"/>
  <c r="K3" i="2"/>
  <c r="J3" i="2"/>
  <c r="J3" i="1"/>
  <c r="K3" i="1"/>
  <c r="AE117" i="3" l="1"/>
  <c r="BH77" i="1"/>
  <c r="AE48" i="3"/>
  <c r="BH37" i="1"/>
  <c r="BH119" i="1"/>
  <c r="BH32" i="1"/>
  <c r="AC844" i="3"/>
  <c r="BH134" i="1"/>
  <c r="BH46" i="1"/>
  <c r="AE362" i="3"/>
  <c r="AY221" i="2"/>
  <c r="AE301" i="3"/>
  <c r="AY211" i="2"/>
  <c r="AE367" i="3"/>
  <c r="AY208" i="2"/>
  <c r="AE335" i="3"/>
  <c r="AY189" i="2"/>
  <c r="AE251" i="3"/>
  <c r="AY131" i="2"/>
  <c r="AE199" i="3"/>
  <c r="AY124" i="2"/>
  <c r="AE212" i="3"/>
  <c r="AY103" i="2"/>
  <c r="AE171" i="3"/>
  <c r="AY85" i="2"/>
  <c r="AE164" i="3"/>
  <c r="AY81" i="2"/>
  <c r="AE120" i="3"/>
  <c r="AY69" i="2"/>
  <c r="AE8" i="3"/>
  <c r="AY5" i="2"/>
  <c r="V76" i="3"/>
  <c r="V454" i="3"/>
  <c r="V199" i="3"/>
  <c r="U76" i="3"/>
  <c r="U413" i="3"/>
  <c r="U691" i="3"/>
  <c r="U44" i="3"/>
  <c r="T721" i="3"/>
  <c r="W721" i="3" s="1"/>
  <c r="V831" i="3"/>
  <c r="V601" i="3"/>
  <c r="U701" i="3"/>
  <c r="T76" i="3"/>
  <c r="W76" i="3" s="1"/>
  <c r="T736" i="3"/>
  <c r="W736" i="3" s="1"/>
  <c r="T64" i="3"/>
  <c r="W64" i="3" s="1"/>
  <c r="V1148" i="3"/>
  <c r="U229" i="3"/>
  <c r="U454" i="3"/>
  <c r="U199" i="3"/>
  <c r="T514" i="3"/>
  <c r="W514" i="3" s="1"/>
  <c r="T44" i="3"/>
  <c r="W44" i="3" s="1"/>
  <c r="V701" i="3"/>
  <c r="V736" i="3"/>
  <c r="T691" i="3"/>
  <c r="W691" i="3" s="1"/>
  <c r="V64" i="3"/>
  <c r="U306" i="3"/>
  <c r="U601" i="3"/>
  <c r="U1148" i="3"/>
  <c r="T454" i="3"/>
  <c r="W454" i="3" s="1"/>
  <c r="V306" i="3"/>
  <c r="V691" i="3"/>
  <c r="T199" i="3"/>
  <c r="W199" i="3" s="1"/>
  <c r="V241" i="3"/>
  <c r="V44" i="3"/>
  <c r="U241" i="3"/>
  <c r="U736" i="3"/>
  <c r="U64" i="3"/>
  <c r="T413" i="3"/>
  <c r="W413" i="3" s="1"/>
  <c r="T531" i="3"/>
  <c r="W531" i="3" s="1"/>
  <c r="U1182" i="3"/>
  <c r="T180" i="3"/>
  <c r="W180" i="3" s="1"/>
  <c r="U569" i="3"/>
  <c r="T293" i="3"/>
  <c r="W293" i="3" s="1"/>
  <c r="T78" i="3"/>
  <c r="W78" i="3" s="1"/>
  <c r="U443" i="3"/>
  <c r="T443" i="3"/>
  <c r="W443" i="3" s="1"/>
  <c r="I529" i="3"/>
  <c r="G529" i="3"/>
  <c r="H299" i="3"/>
  <c r="G299" i="3"/>
  <c r="G342" i="3"/>
  <c r="I342" i="3"/>
  <c r="I200" i="3"/>
  <c r="G200" i="3"/>
  <c r="G691" i="3"/>
  <c r="I347" i="3"/>
  <c r="G347" i="3"/>
  <c r="H577" i="3"/>
  <c r="G577" i="3"/>
  <c r="H404" i="3"/>
  <c r="G404" i="3"/>
  <c r="I446" i="3"/>
  <c r="G446" i="3"/>
  <c r="I164" i="3"/>
  <c r="G164" i="3"/>
  <c r="I205" i="3"/>
  <c r="G205" i="3"/>
  <c r="I324" i="3"/>
  <c r="G324" i="3"/>
  <c r="I161" i="3"/>
  <c r="G161" i="3"/>
  <c r="I693" i="3"/>
  <c r="G693" i="3"/>
  <c r="H58" i="3"/>
  <c r="G58" i="3"/>
  <c r="T150" i="3"/>
  <c r="W150" i="3" s="1"/>
  <c r="G150" i="3"/>
  <c r="I154" i="3"/>
  <c r="G154" i="3"/>
  <c r="H126" i="3"/>
  <c r="G126" i="3"/>
  <c r="I19" i="3"/>
  <c r="G19" i="3"/>
  <c r="H462" i="3"/>
  <c r="G462" i="3"/>
  <c r="U312" i="3"/>
  <c r="G312" i="3"/>
  <c r="T322" i="3"/>
  <c r="W322" i="3" s="1"/>
  <c r="G322" i="3"/>
  <c r="I320" i="3"/>
  <c r="G320" i="3"/>
  <c r="I343" i="3"/>
  <c r="G343" i="3"/>
  <c r="AE1230" i="3"/>
  <c r="AC1230" i="3"/>
  <c r="AE1223" i="3"/>
  <c r="AC1223" i="3"/>
  <c r="AE1207" i="3"/>
  <c r="AC1207" i="3"/>
  <c r="AE1202" i="3"/>
  <c r="AC1202" i="3"/>
  <c r="AE1198" i="3"/>
  <c r="AC1198" i="3"/>
  <c r="I336" i="3"/>
  <c r="G336" i="3"/>
  <c r="I245" i="3"/>
  <c r="G245" i="3"/>
  <c r="I819" i="3"/>
  <c r="AE1217" i="3"/>
  <c r="AC1217" i="3"/>
  <c r="AE1222" i="3"/>
  <c r="AC1222" i="3"/>
  <c r="AE1205" i="3"/>
  <c r="AC1205" i="3"/>
  <c r="AE1210" i="3"/>
  <c r="AC1210" i="3"/>
  <c r="AE1192" i="3"/>
  <c r="AC1192" i="3"/>
  <c r="AE1189" i="3"/>
  <c r="AC1189" i="3"/>
  <c r="AE1166" i="3"/>
  <c r="AC1166" i="3"/>
  <c r="AE1158" i="3"/>
  <c r="AC1158" i="3"/>
  <c r="AE1172" i="3"/>
  <c r="AC1172" i="3"/>
  <c r="AE1190" i="3"/>
  <c r="AC1190" i="3"/>
  <c r="AE1154" i="3"/>
  <c r="AC1154" i="3"/>
  <c r="AE1121" i="3"/>
  <c r="AC1121" i="3"/>
  <c r="AE1114" i="3"/>
  <c r="AC1114" i="3"/>
  <c r="AE1144" i="3"/>
  <c r="AC1144" i="3"/>
  <c r="AE1141" i="3"/>
  <c r="AC1141" i="3"/>
  <c r="AE1097" i="3"/>
  <c r="AC1097" i="3"/>
  <c r="AE1091" i="3"/>
  <c r="AC1091" i="3"/>
  <c r="AE1118" i="3"/>
  <c r="AC1118" i="3"/>
  <c r="AE1113" i="3"/>
  <c r="AC1113" i="3"/>
  <c r="AE1081" i="3"/>
  <c r="AC1081" i="3"/>
  <c r="AE1051" i="3"/>
  <c r="AC1051" i="3"/>
  <c r="AE1065" i="3"/>
  <c r="AC1065" i="3"/>
  <c r="AE1066" i="3"/>
  <c r="AC1066" i="3"/>
  <c r="AE1074" i="3"/>
  <c r="AC1074" i="3"/>
  <c r="AE1003" i="3"/>
  <c r="AC1003" i="3"/>
  <c r="AE989" i="3"/>
  <c r="AC989" i="3"/>
  <c r="AE977" i="3"/>
  <c r="AC977" i="3"/>
  <c r="AE970" i="3"/>
  <c r="AC970" i="3"/>
  <c r="AE1017" i="3"/>
  <c r="AC1017" i="3"/>
  <c r="AE974" i="3"/>
  <c r="AC974" i="3"/>
  <c r="AE967" i="3"/>
  <c r="AC967" i="3"/>
  <c r="AE938" i="3"/>
  <c r="AC938" i="3"/>
  <c r="AE950" i="3"/>
  <c r="AC950" i="3"/>
  <c r="AE945" i="3"/>
  <c r="AC945" i="3"/>
  <c r="AE1009" i="3"/>
  <c r="AC1009" i="3"/>
  <c r="AE913" i="3"/>
  <c r="AC913" i="3"/>
  <c r="AE961" i="3"/>
  <c r="AC961" i="3"/>
  <c r="AE948" i="3"/>
  <c r="AC948" i="3"/>
  <c r="AE909" i="3"/>
  <c r="AC909" i="3"/>
  <c r="AE894" i="3"/>
  <c r="AC894" i="3"/>
  <c r="AE929" i="3"/>
  <c r="AC929" i="3"/>
  <c r="AE958" i="3"/>
  <c r="AC958" i="3"/>
  <c r="AE954" i="3"/>
  <c r="AC954" i="3"/>
  <c r="AE832" i="3"/>
  <c r="AC832" i="3"/>
  <c r="AE847" i="3"/>
  <c r="AC847" i="3"/>
  <c r="AE902" i="3"/>
  <c r="AC902" i="3"/>
  <c r="AE834" i="3"/>
  <c r="AC834" i="3"/>
  <c r="AE884" i="3"/>
  <c r="AC884" i="3"/>
  <c r="AE781" i="3"/>
  <c r="AC781" i="3"/>
  <c r="AE853" i="3"/>
  <c r="AC853" i="3"/>
  <c r="AE864" i="3"/>
  <c r="AC864" i="3"/>
  <c r="AE840" i="3"/>
  <c r="AC840" i="3"/>
  <c r="AE788" i="3"/>
  <c r="AC788" i="3"/>
  <c r="AE771" i="3"/>
  <c r="AC771" i="3"/>
  <c r="AE720" i="3"/>
  <c r="AC720" i="3"/>
  <c r="AE849" i="3"/>
  <c r="AC849" i="3"/>
  <c r="AE804" i="3"/>
  <c r="AC804" i="3"/>
  <c r="AE830" i="3"/>
  <c r="AC830" i="3"/>
  <c r="AE768" i="3"/>
  <c r="AC768" i="3"/>
  <c r="AE711" i="3"/>
  <c r="AC711" i="3"/>
  <c r="AE703" i="3"/>
  <c r="AC703" i="3"/>
  <c r="AE690" i="3"/>
  <c r="AC690" i="3"/>
  <c r="AE749" i="3"/>
  <c r="AC749" i="3"/>
  <c r="AE825" i="3"/>
  <c r="AC825" i="3"/>
  <c r="AE722" i="3"/>
  <c r="AC722" i="3"/>
  <c r="AE713" i="3"/>
  <c r="AC713" i="3"/>
  <c r="AE797" i="3"/>
  <c r="AC797" i="3"/>
  <c r="AE655" i="3"/>
  <c r="AC655" i="3"/>
  <c r="AE733" i="3"/>
  <c r="AC733" i="3"/>
  <c r="AE673" i="3"/>
  <c r="AC673" i="3"/>
  <c r="AE668" i="3"/>
  <c r="AC668" i="3"/>
  <c r="AE571" i="3"/>
  <c r="AC571" i="3"/>
  <c r="AE818" i="3"/>
  <c r="AC818" i="3"/>
  <c r="AE598" i="3"/>
  <c r="AC598" i="3"/>
  <c r="AE593" i="3"/>
  <c r="AC593" i="3"/>
  <c r="AE550" i="3"/>
  <c r="AC550" i="3"/>
  <c r="AE622" i="3"/>
  <c r="AC622" i="3"/>
  <c r="AE620" i="3"/>
  <c r="AC620" i="3"/>
  <c r="AE686" i="3"/>
  <c r="AC686" i="3"/>
  <c r="AE526" i="3"/>
  <c r="AC526" i="3"/>
  <c r="AE555" i="3"/>
  <c r="AC555" i="3"/>
  <c r="AE546" i="3"/>
  <c r="AC546" i="3"/>
  <c r="AE627" i="3"/>
  <c r="AC627" i="3"/>
  <c r="AE572" i="3"/>
  <c r="AC572" i="3"/>
  <c r="AE569" i="3"/>
  <c r="AC569" i="3"/>
  <c r="AE557" i="3"/>
  <c r="AC557" i="3"/>
  <c r="AE509" i="3"/>
  <c r="AC509" i="3"/>
  <c r="AE503" i="3"/>
  <c r="AC503" i="3"/>
  <c r="AE494" i="3"/>
  <c r="AC494" i="3"/>
  <c r="AE485" i="3"/>
  <c r="AC485" i="3"/>
  <c r="AE478" i="3"/>
  <c r="AC478" i="3"/>
  <c r="AE501" i="3"/>
  <c r="AC501" i="3"/>
  <c r="AE573" i="3"/>
  <c r="AC573" i="3"/>
  <c r="AE450" i="3"/>
  <c r="AC450" i="3"/>
  <c r="AE487" i="3"/>
  <c r="AC487" i="3"/>
  <c r="AE507" i="3"/>
  <c r="AC507" i="3"/>
  <c r="AE429" i="3"/>
  <c r="AC429" i="3"/>
  <c r="AE456" i="3"/>
  <c r="AC456" i="3"/>
  <c r="AE447" i="3"/>
  <c r="AC447" i="3"/>
  <c r="AE443" i="3"/>
  <c r="AC443" i="3"/>
  <c r="AE416" i="3"/>
  <c r="AC416" i="3"/>
  <c r="AE430" i="3"/>
  <c r="AC430" i="3"/>
  <c r="AE420" i="3"/>
  <c r="AC420" i="3"/>
  <c r="AE388" i="3"/>
  <c r="AC388" i="3"/>
  <c r="AE364" i="3"/>
  <c r="AC364" i="3"/>
  <c r="AE380" i="3"/>
  <c r="AC380" i="3"/>
  <c r="AE349" i="3"/>
  <c r="AC349" i="3"/>
  <c r="AE418" i="3"/>
  <c r="AC418" i="3"/>
  <c r="AE366" i="3"/>
  <c r="AC366" i="3"/>
  <c r="AE316" i="3"/>
  <c r="AC316" i="3"/>
  <c r="AE350" i="3"/>
  <c r="AC350" i="3"/>
  <c r="AE343" i="3"/>
  <c r="AC343" i="3"/>
  <c r="AE338" i="3"/>
  <c r="AC338" i="3"/>
  <c r="AE352" i="3"/>
  <c r="AC352" i="3"/>
  <c r="AE314" i="3"/>
  <c r="AC314" i="3"/>
  <c r="AE315" i="3"/>
  <c r="AC315" i="3"/>
  <c r="AE327" i="3"/>
  <c r="AC327" i="3"/>
  <c r="AE277" i="3"/>
  <c r="AC277" i="3"/>
  <c r="AE266" i="3"/>
  <c r="AC266" i="3"/>
  <c r="AE275" i="3"/>
  <c r="AC275" i="3"/>
  <c r="AE244" i="3"/>
  <c r="AC244" i="3"/>
  <c r="AE237" i="3"/>
  <c r="AC237" i="3"/>
  <c r="AE269" i="3"/>
  <c r="AC269" i="3"/>
  <c r="AE253" i="3"/>
  <c r="AC253" i="3"/>
  <c r="AE246" i="3"/>
  <c r="AC246" i="3"/>
  <c r="AE208" i="3"/>
  <c r="AC208" i="3"/>
  <c r="AE217" i="3"/>
  <c r="AC217" i="3"/>
  <c r="AE224" i="3"/>
  <c r="AC224" i="3"/>
  <c r="AE183" i="3"/>
  <c r="AC183" i="3"/>
  <c r="AE187" i="3"/>
  <c r="AC187" i="3"/>
  <c r="AE201" i="3"/>
  <c r="AC201" i="3"/>
  <c r="AE194" i="3"/>
  <c r="AC194" i="3"/>
  <c r="AE184" i="3"/>
  <c r="AC184" i="3"/>
  <c r="AE148" i="3"/>
  <c r="AC148" i="3"/>
  <c r="AE141" i="3"/>
  <c r="AC141" i="3"/>
  <c r="AE151" i="3"/>
  <c r="AC151" i="3"/>
  <c r="AE138" i="3"/>
  <c r="AC138" i="3"/>
  <c r="AE158" i="3"/>
  <c r="AC158" i="3"/>
  <c r="AE124" i="3"/>
  <c r="AC124" i="3"/>
  <c r="AE108" i="3"/>
  <c r="AC108" i="3"/>
  <c r="AE116" i="3"/>
  <c r="AC116" i="3"/>
  <c r="AE100" i="3"/>
  <c r="AC100" i="3"/>
  <c r="AE91" i="3"/>
  <c r="AC91" i="3"/>
  <c r="AE83" i="3"/>
  <c r="AC83" i="3"/>
  <c r="AE60" i="3"/>
  <c r="AC60" i="3"/>
  <c r="AE75" i="3"/>
  <c r="AC75" i="3"/>
  <c r="AE65" i="3"/>
  <c r="AC65" i="3"/>
  <c r="AE51" i="3"/>
  <c r="AC51" i="3"/>
  <c r="AE41" i="3"/>
  <c r="AC41" i="3"/>
  <c r="AE35" i="3"/>
  <c r="AC35" i="3"/>
  <c r="AE28" i="3"/>
  <c r="AC28" i="3"/>
  <c r="AE23" i="3"/>
  <c r="AC23" i="3"/>
  <c r="AE14" i="3"/>
  <c r="AC14" i="3"/>
  <c r="AE1234" i="3"/>
  <c r="AC1234" i="3"/>
  <c r="AE1215" i="3"/>
  <c r="AC1215" i="3"/>
  <c r="AE1216" i="3"/>
  <c r="AC1216" i="3"/>
  <c r="AE1221" i="3"/>
  <c r="AC1221" i="3"/>
  <c r="AE1170" i="3"/>
  <c r="AC1170" i="3"/>
  <c r="AE1188" i="3"/>
  <c r="AC1188" i="3"/>
  <c r="AE1201" i="3"/>
  <c r="AC1201" i="3"/>
  <c r="AE1165" i="3"/>
  <c r="AC1165" i="3"/>
  <c r="AE1127" i="3"/>
  <c r="AC1127" i="3"/>
  <c r="AE1156" i="3"/>
  <c r="AC1156" i="3"/>
  <c r="AE1168" i="3"/>
  <c r="AC1168" i="3"/>
  <c r="AE1153" i="3"/>
  <c r="AC1153" i="3"/>
  <c r="AE1112" i="3"/>
  <c r="AC1112" i="3"/>
  <c r="AE1151" i="3"/>
  <c r="AC1151" i="3"/>
  <c r="AE1110" i="3"/>
  <c r="AC1110" i="3"/>
  <c r="AE1090" i="3"/>
  <c r="AC1090" i="3"/>
  <c r="AE1094" i="3"/>
  <c r="AC1094" i="3"/>
  <c r="AE1106" i="3"/>
  <c r="AC1106" i="3"/>
  <c r="AE1059" i="3"/>
  <c r="AC1059" i="3"/>
  <c r="AE1095" i="3"/>
  <c r="AC1095" i="3"/>
  <c r="AE1079" i="3"/>
  <c r="AC1079" i="3"/>
  <c r="AE1070" i="3"/>
  <c r="AC1070" i="3"/>
  <c r="AE1064" i="3"/>
  <c r="AC1064" i="3"/>
  <c r="AE1233" i="3"/>
  <c r="AC1233" i="3"/>
  <c r="AE1227" i="3"/>
  <c r="AC1227" i="3"/>
  <c r="AE1214" i="3"/>
  <c r="AC1214" i="3"/>
  <c r="AE1208" i="3"/>
  <c r="AC1208" i="3"/>
  <c r="AE1212" i="3"/>
  <c r="AC1212" i="3"/>
  <c r="AE1203" i="3"/>
  <c r="AC1203" i="3"/>
  <c r="AE1148" i="3"/>
  <c r="AC1148" i="3"/>
  <c r="AE1191" i="3"/>
  <c r="AC1191" i="3"/>
  <c r="AE1179" i="3"/>
  <c r="AC1179" i="3"/>
  <c r="AE1146" i="3"/>
  <c r="AC1146" i="3"/>
  <c r="AE1131" i="3"/>
  <c r="AC1131" i="3"/>
  <c r="AE1152" i="3"/>
  <c r="AC1152" i="3"/>
  <c r="AE1111" i="3"/>
  <c r="AC1111" i="3"/>
  <c r="AE1139" i="3"/>
  <c r="AC1139" i="3"/>
  <c r="AE1109" i="3"/>
  <c r="AC1109" i="3"/>
  <c r="AE1103" i="3"/>
  <c r="AC1103" i="3"/>
  <c r="AE1093" i="3"/>
  <c r="AC1093" i="3"/>
  <c r="AE1056" i="3"/>
  <c r="AC1056" i="3"/>
  <c r="AE1096" i="3"/>
  <c r="AC1096" i="3"/>
  <c r="AE1088" i="3"/>
  <c r="AC1088" i="3"/>
  <c r="AE1039" i="3"/>
  <c r="AC1039" i="3"/>
  <c r="AE1080" i="3"/>
  <c r="AC1080" i="3"/>
  <c r="AE1041" i="3"/>
  <c r="AC1041" i="3"/>
  <c r="AE1057" i="3"/>
  <c r="AC1057" i="3"/>
  <c r="AE1013" i="3"/>
  <c r="AC1013" i="3"/>
  <c r="AE935" i="3"/>
  <c r="AC935" i="3"/>
  <c r="AE1007" i="3"/>
  <c r="AC1007" i="3"/>
  <c r="AE976" i="3"/>
  <c r="AC976" i="3"/>
  <c r="AE1044" i="3"/>
  <c r="AC1044" i="3"/>
  <c r="AE988" i="3"/>
  <c r="AC988" i="3"/>
  <c r="AE1015" i="3"/>
  <c r="AC1015" i="3"/>
  <c r="AE1026" i="3"/>
  <c r="AC1026" i="3"/>
  <c r="AE995" i="3"/>
  <c r="AC995" i="3"/>
  <c r="AE952" i="3"/>
  <c r="AC952" i="3"/>
  <c r="AE942" i="3"/>
  <c r="AC942" i="3"/>
  <c r="AE981" i="3"/>
  <c r="AC981" i="3"/>
  <c r="AE911" i="3"/>
  <c r="AC911" i="3"/>
  <c r="AE879" i="3"/>
  <c r="AC879" i="3"/>
  <c r="AE873" i="3"/>
  <c r="AC873" i="3"/>
  <c r="AE855" i="3"/>
  <c r="AC855" i="3"/>
  <c r="AE857" i="3"/>
  <c r="AC857" i="3"/>
  <c r="AE927" i="3"/>
  <c r="AC927" i="3"/>
  <c r="AE872" i="3"/>
  <c r="AC872" i="3"/>
  <c r="AE919" i="3"/>
  <c r="AC919" i="3"/>
  <c r="AE923" i="3"/>
  <c r="AC923" i="3"/>
  <c r="AE845" i="3"/>
  <c r="AC845" i="3"/>
  <c r="AE889" i="3"/>
  <c r="AC889" i="3"/>
  <c r="AE833" i="3"/>
  <c r="AC833" i="3"/>
  <c r="AE823" i="3"/>
  <c r="AC823" i="3"/>
  <c r="AE810" i="3"/>
  <c r="AC810" i="3"/>
  <c r="AE772" i="3"/>
  <c r="AC772" i="3"/>
  <c r="AE851" i="3"/>
  <c r="AC851" i="3"/>
  <c r="AE792" i="3"/>
  <c r="AC792" i="3"/>
  <c r="AE776" i="3"/>
  <c r="AC776" i="3"/>
  <c r="AE731" i="3"/>
  <c r="AC731" i="3"/>
  <c r="AE716" i="3"/>
  <c r="AC716" i="3"/>
  <c r="AE809" i="3"/>
  <c r="AC809" i="3"/>
  <c r="AE843" i="3"/>
  <c r="AC843" i="3"/>
  <c r="AE698" i="3"/>
  <c r="AC698" i="3"/>
  <c r="AE814" i="3"/>
  <c r="AC814" i="3"/>
  <c r="AE671" i="3"/>
  <c r="AC671" i="3"/>
  <c r="AE848" i="3"/>
  <c r="AC848" i="3"/>
  <c r="AE787" i="3"/>
  <c r="AC787" i="3"/>
  <c r="AE744" i="3"/>
  <c r="AC744" i="3"/>
  <c r="AE719" i="3"/>
  <c r="AC719" i="3"/>
  <c r="AE672" i="3"/>
  <c r="AC672" i="3"/>
  <c r="AE721" i="3"/>
  <c r="AC721" i="3"/>
  <c r="AE751" i="3"/>
  <c r="AC751" i="3"/>
  <c r="AE618" i="3"/>
  <c r="AC618" i="3"/>
  <c r="AE685" i="3"/>
  <c r="AC685" i="3"/>
  <c r="AE669" i="3"/>
  <c r="AC669" i="3"/>
  <c r="AE600" i="3"/>
  <c r="AC600" i="3"/>
  <c r="AE653" i="3"/>
  <c r="AC653" i="3"/>
  <c r="AE678" i="3"/>
  <c r="AC678" i="3"/>
  <c r="AE800" i="3"/>
  <c r="AC800" i="3"/>
  <c r="AE591" i="3"/>
  <c r="AC591" i="3"/>
  <c r="AE701" i="3"/>
  <c r="AC701" i="3"/>
  <c r="AE696" i="3"/>
  <c r="AC696" i="3"/>
  <c r="AE615" i="3"/>
  <c r="AC615" i="3"/>
  <c r="AE617" i="3"/>
  <c r="AC617" i="3"/>
  <c r="AE609" i="3"/>
  <c r="AC609" i="3"/>
  <c r="AE637" i="3"/>
  <c r="AC637" i="3"/>
  <c r="AE597" i="3"/>
  <c r="AC597" i="3"/>
  <c r="AE585" i="3"/>
  <c r="AC585" i="3"/>
  <c r="AE614" i="3"/>
  <c r="AC614" i="3"/>
  <c r="AE560" i="3"/>
  <c r="AC560" i="3"/>
  <c r="AE548" i="3"/>
  <c r="AC548" i="3"/>
  <c r="AE545" i="3"/>
  <c r="AC545" i="3"/>
  <c r="AE536" i="3"/>
  <c r="AC536" i="3"/>
  <c r="AE519" i="3"/>
  <c r="AC519" i="3"/>
  <c r="AE552" i="3"/>
  <c r="AC552" i="3"/>
  <c r="AE477" i="3"/>
  <c r="AC477" i="3"/>
  <c r="AE658" i="3"/>
  <c r="AC658" i="3"/>
  <c r="AE522" i="3"/>
  <c r="AC522" i="3"/>
  <c r="AE467" i="3"/>
  <c r="AC467" i="3"/>
  <c r="AE489" i="3"/>
  <c r="AC489" i="3"/>
  <c r="AE473" i="3"/>
  <c r="AC473" i="3"/>
  <c r="AE483" i="3"/>
  <c r="AC483" i="3"/>
  <c r="AE453" i="3"/>
  <c r="AC453" i="3"/>
  <c r="AE445" i="3"/>
  <c r="AC445" i="3"/>
  <c r="AE460" i="3"/>
  <c r="AC460" i="3"/>
  <c r="AE436" i="3"/>
  <c r="AC436" i="3"/>
  <c r="AE427" i="3"/>
  <c r="AC427" i="3"/>
  <c r="AE461" i="3"/>
  <c r="AC461" i="3"/>
  <c r="AE407" i="3"/>
  <c r="AC407" i="3"/>
  <c r="AE363" i="3"/>
  <c r="AC363" i="3"/>
  <c r="AE414" i="3"/>
  <c r="AC414" i="3"/>
  <c r="AE428" i="3"/>
  <c r="AC428" i="3"/>
  <c r="AE391" i="3"/>
  <c r="AC391" i="3"/>
  <c r="AE368" i="3"/>
  <c r="AC368" i="3"/>
  <c r="AE354" i="3"/>
  <c r="AC354" i="3"/>
  <c r="AE313" i="3"/>
  <c r="AC313" i="3"/>
  <c r="AE341" i="3"/>
  <c r="AC341" i="3"/>
  <c r="AE336" i="3"/>
  <c r="AC336" i="3"/>
  <c r="AE329" i="3"/>
  <c r="AC329" i="3"/>
  <c r="AE289" i="3"/>
  <c r="AC289" i="3"/>
  <c r="AE302" i="3"/>
  <c r="AC302" i="3"/>
  <c r="AE282" i="3"/>
  <c r="AC282" i="3"/>
  <c r="AE291" i="3"/>
  <c r="AC291" i="3"/>
  <c r="AE306" i="3"/>
  <c r="AC306" i="3"/>
  <c r="AE273" i="3"/>
  <c r="AC273" i="3"/>
  <c r="AE254" i="3"/>
  <c r="AC254" i="3"/>
  <c r="AE235" i="3"/>
  <c r="AC235" i="3"/>
  <c r="AE258" i="3"/>
  <c r="AC258" i="3"/>
  <c r="AE252" i="3"/>
  <c r="AC252" i="3"/>
  <c r="AE231" i="3"/>
  <c r="AC231" i="3"/>
  <c r="AE225" i="3"/>
  <c r="AC225" i="3"/>
  <c r="AE215" i="3"/>
  <c r="AC215" i="3"/>
  <c r="AE204" i="3"/>
  <c r="AC204" i="3"/>
  <c r="AE190" i="3"/>
  <c r="AC190" i="3"/>
  <c r="AE198" i="3"/>
  <c r="AC198" i="3"/>
  <c r="AE181" i="3"/>
  <c r="AC181" i="3"/>
  <c r="AE172" i="3"/>
  <c r="AC172" i="3"/>
  <c r="AE178" i="3"/>
  <c r="AC178" i="3"/>
  <c r="AE173" i="3"/>
  <c r="AC173" i="3"/>
  <c r="AE155" i="3"/>
  <c r="AC155" i="3"/>
  <c r="AE156" i="3"/>
  <c r="AC156" i="3"/>
  <c r="AE136" i="3"/>
  <c r="AC136" i="3"/>
  <c r="AE127" i="3"/>
  <c r="AC127" i="3"/>
  <c r="AE128" i="3"/>
  <c r="AC128" i="3"/>
  <c r="AE106" i="3"/>
  <c r="AC106" i="3"/>
  <c r="AE112" i="3"/>
  <c r="AC112" i="3"/>
  <c r="AE98" i="3"/>
  <c r="AC98" i="3"/>
  <c r="AE89" i="3"/>
  <c r="AC89" i="3"/>
  <c r="AE81" i="3"/>
  <c r="AC81" i="3"/>
  <c r="AE62" i="3"/>
  <c r="AC62" i="3"/>
  <c r="AE73" i="3"/>
  <c r="AC73" i="3"/>
  <c r="AE63" i="3"/>
  <c r="AC63" i="3"/>
  <c r="AE45" i="3"/>
  <c r="AC45" i="3"/>
  <c r="AE43" i="3"/>
  <c r="AC43" i="3"/>
  <c r="AE33" i="3"/>
  <c r="AC33" i="3"/>
  <c r="AE25" i="3"/>
  <c r="AC25" i="3"/>
  <c r="AE20" i="3"/>
  <c r="AC20" i="3"/>
  <c r="AE9" i="3"/>
  <c r="AC9" i="3"/>
  <c r="AE1231" i="3"/>
  <c r="AC1231" i="3"/>
  <c r="AE1225" i="3"/>
  <c r="AC1225" i="3"/>
  <c r="AC1211" i="3"/>
  <c r="AE1211" i="3"/>
  <c r="AC1178" i="3"/>
  <c r="AE1178" i="3"/>
  <c r="AE1185" i="3"/>
  <c r="AC1185" i="3"/>
  <c r="AE1167" i="3"/>
  <c r="AC1167" i="3"/>
  <c r="AE1181" i="3"/>
  <c r="AC1181" i="3"/>
  <c r="AE1174" i="3"/>
  <c r="AC1174" i="3"/>
  <c r="AE1140" i="3"/>
  <c r="AC1140" i="3"/>
  <c r="AE1163" i="3"/>
  <c r="AC1163" i="3"/>
  <c r="AE1177" i="3"/>
  <c r="AC1177" i="3"/>
  <c r="AE1145" i="3"/>
  <c r="AC1145" i="3"/>
  <c r="AE1137" i="3"/>
  <c r="AC1137" i="3"/>
  <c r="AE1105" i="3"/>
  <c r="AC1105" i="3"/>
  <c r="AE1126" i="3"/>
  <c r="AC1126" i="3"/>
  <c r="AE1062" i="3"/>
  <c r="AC1062" i="3"/>
  <c r="AE1082" i="3"/>
  <c r="AC1082" i="3"/>
  <c r="AE1067" i="3"/>
  <c r="AC1067" i="3"/>
  <c r="AE1085" i="3"/>
  <c r="AC1085" i="3"/>
  <c r="AE1052" i="3"/>
  <c r="AC1052" i="3"/>
  <c r="AE1046" i="3"/>
  <c r="AC1046" i="3"/>
  <c r="AE1029" i="3"/>
  <c r="AC1029" i="3"/>
  <c r="AE1034" i="3"/>
  <c r="AC1034" i="3"/>
  <c r="AE1100" i="3"/>
  <c r="AC1100" i="3"/>
  <c r="AE1040" i="3"/>
  <c r="AC1040" i="3"/>
  <c r="AE1005" i="3"/>
  <c r="AC1005" i="3"/>
  <c r="AE1048" i="3"/>
  <c r="AC1048" i="3"/>
  <c r="AE992" i="3"/>
  <c r="AC992" i="3"/>
  <c r="AE975" i="3"/>
  <c r="AC975" i="3"/>
  <c r="AE1030" i="3"/>
  <c r="AC1030" i="3"/>
  <c r="AE1010" i="3"/>
  <c r="AC1010" i="3"/>
  <c r="AE990" i="3"/>
  <c r="AC990" i="3"/>
  <c r="AE993" i="3"/>
  <c r="AC993" i="3"/>
  <c r="AE984" i="3"/>
  <c r="AC984" i="3"/>
  <c r="AE969" i="3"/>
  <c r="AC969" i="3"/>
  <c r="AE928" i="3"/>
  <c r="AC928" i="3"/>
  <c r="AE918" i="3"/>
  <c r="AC918" i="3"/>
  <c r="AE973" i="3"/>
  <c r="AC973" i="3"/>
  <c r="AE863" i="3"/>
  <c r="AC863" i="3"/>
  <c r="AE932" i="3"/>
  <c r="AC932" i="3"/>
  <c r="AE876" i="3"/>
  <c r="AC876" i="3"/>
  <c r="AE921" i="3"/>
  <c r="AC921" i="3"/>
  <c r="AE837" i="3"/>
  <c r="AC837" i="3"/>
  <c r="AE982" i="3"/>
  <c r="AC982" i="3"/>
  <c r="AE811" i="3"/>
  <c r="AC811" i="3"/>
  <c r="AE881" i="3"/>
  <c r="AC881" i="3"/>
  <c r="AE829" i="3"/>
  <c r="AC829" i="3"/>
  <c r="AE815" i="3"/>
  <c r="AC815" i="3"/>
  <c r="AE779" i="3"/>
  <c r="AC779" i="3"/>
  <c r="AE867" i="3"/>
  <c r="AC867" i="3"/>
  <c r="AE794" i="3"/>
  <c r="AC794" i="3"/>
  <c r="AE835" i="3"/>
  <c r="AC835" i="3"/>
  <c r="AE870" i="3"/>
  <c r="AC870" i="3"/>
  <c r="AE774" i="3"/>
  <c r="AC774" i="3"/>
  <c r="AE808" i="3"/>
  <c r="AC808" i="3"/>
  <c r="AE807" i="3"/>
  <c r="AC807" i="3"/>
  <c r="AE748" i="3"/>
  <c r="AC748" i="3"/>
  <c r="AE691" i="3"/>
  <c r="AC691" i="3"/>
  <c r="AE765" i="3"/>
  <c r="AC765" i="3"/>
  <c r="AE802" i="3"/>
  <c r="AC802" i="3"/>
  <c r="AE757" i="3"/>
  <c r="AC757" i="3"/>
  <c r="AE663" i="3"/>
  <c r="AC663" i="3"/>
  <c r="AE581" i="3"/>
  <c r="AC581" i="3"/>
  <c r="AE737" i="3"/>
  <c r="AC737" i="3"/>
  <c r="AE728" i="3"/>
  <c r="AC728" i="3"/>
  <c r="AE647" i="3"/>
  <c r="AC647" i="3"/>
  <c r="AE798" i="3"/>
  <c r="AC798" i="3"/>
  <c r="AE681" i="3"/>
  <c r="AC681" i="3"/>
  <c r="AE726" i="3"/>
  <c r="AC726" i="3"/>
  <c r="AE635" i="3"/>
  <c r="AC635" i="3"/>
  <c r="AE578" i="3"/>
  <c r="AC578" i="3"/>
  <c r="AE741" i="3"/>
  <c r="AC741" i="3"/>
  <c r="AE641" i="3"/>
  <c r="AC641" i="3"/>
  <c r="AE665" i="3"/>
  <c r="AC665" i="3"/>
  <c r="AE588" i="3"/>
  <c r="AC588" i="3"/>
  <c r="AE628" i="3"/>
  <c r="AC628" i="3"/>
  <c r="AE619" i="3"/>
  <c r="AC619" i="3"/>
  <c r="AE613" i="3"/>
  <c r="AC613" i="3"/>
  <c r="AE610" i="3"/>
  <c r="AC610" i="3"/>
  <c r="AE604" i="3"/>
  <c r="AC604" i="3"/>
  <c r="AE547" i="3"/>
  <c r="AC547" i="3"/>
  <c r="AE590" i="3"/>
  <c r="AC590" i="3"/>
  <c r="AE532" i="3"/>
  <c r="AC532" i="3"/>
  <c r="AE564" i="3"/>
  <c r="AC564" i="3"/>
  <c r="AE561" i="3"/>
  <c r="AC561" i="3"/>
  <c r="AE539" i="3"/>
  <c r="AC539" i="3"/>
  <c r="AE505" i="3"/>
  <c r="AC505" i="3"/>
  <c r="AE688" i="3"/>
  <c r="AC688" i="3"/>
  <c r="AE559" i="3"/>
  <c r="AC559" i="3"/>
  <c r="AE482" i="3"/>
  <c r="AC482" i="3"/>
  <c r="AE459" i="3"/>
  <c r="AC459" i="3"/>
  <c r="AE577" i="3"/>
  <c r="AC577" i="3"/>
  <c r="AE451" i="3"/>
  <c r="AC451" i="3"/>
  <c r="AE409" i="3"/>
  <c r="AC409" i="3"/>
  <c r="AE634" i="3"/>
  <c r="AC634" i="3"/>
  <c r="AE448" i="3"/>
  <c r="AC448" i="3"/>
  <c r="AE462" i="3"/>
  <c r="AC462" i="3"/>
  <c r="AE452" i="3"/>
  <c r="AC452" i="3"/>
  <c r="AE404" i="3"/>
  <c r="AC404" i="3"/>
  <c r="AE476" i="3"/>
  <c r="AC476" i="3"/>
  <c r="AE435" i="3"/>
  <c r="AC435" i="3"/>
  <c r="AE442" i="3"/>
  <c r="AC442" i="3"/>
  <c r="AE411" i="3"/>
  <c r="AC411" i="3"/>
  <c r="AE423" i="3"/>
  <c r="AC423" i="3"/>
  <c r="AE438" i="3"/>
  <c r="AC438" i="3"/>
  <c r="AE355" i="3"/>
  <c r="AC355" i="3"/>
  <c r="AE384" i="3"/>
  <c r="AC384" i="3"/>
  <c r="AE386" i="3"/>
  <c r="AC386" i="3"/>
  <c r="AE324" i="3"/>
  <c r="AC324" i="3"/>
  <c r="AE351" i="3"/>
  <c r="AC351" i="3"/>
  <c r="AE346" i="3"/>
  <c r="AC346" i="3"/>
  <c r="AE340" i="3"/>
  <c r="AC340" i="3"/>
  <c r="AE353" i="3"/>
  <c r="AC353" i="3"/>
  <c r="AE321" i="3"/>
  <c r="AC321" i="3"/>
  <c r="AE311" i="3"/>
  <c r="AC311" i="3"/>
  <c r="AE299" i="3"/>
  <c r="AC299" i="3"/>
  <c r="AE294" i="3"/>
  <c r="AC294" i="3"/>
  <c r="AE290" i="3"/>
  <c r="AC290" i="3"/>
  <c r="AE278" i="3"/>
  <c r="AC278" i="3"/>
  <c r="AE287" i="3"/>
  <c r="AC287" i="3"/>
  <c r="AE240" i="3"/>
  <c r="AC240" i="3"/>
  <c r="AE232" i="3"/>
  <c r="AC232" i="3"/>
  <c r="AE257" i="3"/>
  <c r="AC257" i="3"/>
  <c r="AE262" i="3"/>
  <c r="AC262" i="3"/>
  <c r="AE229" i="3"/>
  <c r="AC229" i="3"/>
  <c r="AE220" i="3"/>
  <c r="AC220" i="3"/>
  <c r="AE272" i="3"/>
  <c r="AC272" i="3"/>
  <c r="AE197" i="3"/>
  <c r="AC197" i="3"/>
  <c r="AE189" i="3"/>
  <c r="AC189" i="3"/>
  <c r="AE205" i="3"/>
  <c r="AC205" i="3"/>
  <c r="AE176" i="3"/>
  <c r="AC176" i="3"/>
  <c r="AE177" i="3"/>
  <c r="AC177" i="3"/>
  <c r="AE163" i="3"/>
  <c r="AC163" i="3"/>
  <c r="AE144" i="3"/>
  <c r="AC144" i="3"/>
  <c r="AE135" i="3"/>
  <c r="AC135" i="3"/>
  <c r="AE122" i="3"/>
  <c r="AC122" i="3"/>
  <c r="AE110" i="3"/>
  <c r="AC110" i="3"/>
  <c r="AE126" i="3"/>
  <c r="AC126" i="3"/>
  <c r="AE150" i="3"/>
  <c r="AC150" i="3"/>
  <c r="AE103" i="3"/>
  <c r="AC103" i="3"/>
  <c r="AE102" i="3"/>
  <c r="AC102" i="3"/>
  <c r="AE94" i="3"/>
  <c r="AC94" i="3"/>
  <c r="AE86" i="3"/>
  <c r="AC86" i="3"/>
  <c r="AE80" i="3"/>
  <c r="AC80" i="3"/>
  <c r="AE58" i="3"/>
  <c r="AC58" i="3"/>
  <c r="AE70" i="3"/>
  <c r="AC70" i="3"/>
  <c r="AE56" i="3"/>
  <c r="AC56" i="3"/>
  <c r="AE50" i="3"/>
  <c r="AC50" i="3"/>
  <c r="AE40" i="3"/>
  <c r="AC40" i="3"/>
  <c r="AE30" i="3"/>
  <c r="AC30" i="3"/>
  <c r="AE22" i="3"/>
  <c r="AC22" i="3"/>
  <c r="AE13" i="3"/>
  <c r="AC13" i="3"/>
  <c r="AE6" i="3"/>
  <c r="AC6" i="3"/>
  <c r="AE1058" i="3"/>
  <c r="AC1058" i="3"/>
  <c r="AE949" i="3"/>
  <c r="AC949" i="3"/>
  <c r="AE1061" i="3"/>
  <c r="AC1061" i="3"/>
  <c r="AE1008" i="3"/>
  <c r="AC1008" i="3"/>
  <c r="AE1050" i="3"/>
  <c r="AC1050" i="3"/>
  <c r="AE1032" i="3"/>
  <c r="AC1032" i="3"/>
  <c r="AE1021" i="3"/>
  <c r="AC1021" i="3"/>
  <c r="AE1018" i="3"/>
  <c r="AC1018" i="3"/>
  <c r="AE962" i="3"/>
  <c r="AC962" i="3"/>
  <c r="AE937" i="3"/>
  <c r="AC937" i="3"/>
  <c r="AE997" i="3"/>
  <c r="AC997" i="3"/>
  <c r="AE924" i="3"/>
  <c r="AC924" i="3"/>
  <c r="AE900" i="3"/>
  <c r="AC900" i="3"/>
  <c r="AE912" i="3"/>
  <c r="AC912" i="3"/>
  <c r="AE897" i="3"/>
  <c r="AC897" i="3"/>
  <c r="AE910" i="3"/>
  <c r="AC910" i="3"/>
  <c r="AE903" i="3"/>
  <c r="AC903" i="3"/>
  <c r="AE892" i="3"/>
  <c r="AC892" i="3"/>
  <c r="AE939" i="3"/>
  <c r="AC939" i="3"/>
  <c r="AE874" i="3"/>
  <c r="AC874" i="3"/>
  <c r="AE839" i="3"/>
  <c r="AC839" i="3"/>
  <c r="AE947" i="3"/>
  <c r="AC947" i="3"/>
  <c r="AE895" i="3"/>
  <c r="AC895" i="3"/>
  <c r="AE886" i="3"/>
  <c r="AC886" i="3"/>
  <c r="AE880" i="3"/>
  <c r="AC880" i="3"/>
  <c r="AE871" i="3"/>
  <c r="AC871" i="3"/>
  <c r="AC1224" i="3"/>
  <c r="AE1224" i="3"/>
  <c r="AC1186" i="3"/>
  <c r="AE1186" i="3"/>
  <c r="AC1195" i="3"/>
  <c r="AE1195" i="3"/>
  <c r="AE1183" i="3"/>
  <c r="AC1183" i="3"/>
  <c r="AE1175" i="3"/>
  <c r="AC1175" i="3"/>
  <c r="AE1143" i="3"/>
  <c r="AC1143" i="3"/>
  <c r="AC1160" i="3"/>
  <c r="AE1160" i="3"/>
  <c r="AC1134" i="3"/>
  <c r="AE1134" i="3"/>
  <c r="AC1149" i="3"/>
  <c r="AE1149" i="3"/>
  <c r="AC1132" i="3"/>
  <c r="AE1132" i="3"/>
  <c r="AC1136" i="3"/>
  <c r="AE1136" i="3"/>
  <c r="AE1099" i="3"/>
  <c r="AC1099" i="3"/>
  <c r="AE1116" i="3"/>
  <c r="AC1116" i="3"/>
  <c r="AE1101" i="3"/>
  <c r="AC1101" i="3"/>
  <c r="AC1069" i="3"/>
  <c r="AE1069" i="3"/>
  <c r="AC1086" i="3"/>
  <c r="AE1086" i="3"/>
  <c r="AC1053" i="3"/>
  <c r="AE1053" i="3"/>
  <c r="AC1025" i="3"/>
  <c r="AE1025" i="3"/>
  <c r="AC1043" i="3"/>
  <c r="AE1043" i="3"/>
  <c r="AC1107" i="3"/>
  <c r="AE1107" i="3"/>
  <c r="AC1054" i="3"/>
  <c r="AE1054" i="3"/>
  <c r="AC1036" i="3"/>
  <c r="AE1036" i="3"/>
  <c r="AC1076" i="3"/>
  <c r="AE1076" i="3"/>
  <c r="AC1049" i="3"/>
  <c r="AE1049" i="3"/>
  <c r="AC1038" i="3"/>
  <c r="AE1038" i="3"/>
  <c r="AC1014" i="3"/>
  <c r="AE1014" i="3"/>
  <c r="AC965" i="3"/>
  <c r="AE965" i="3"/>
  <c r="AC943" i="3"/>
  <c r="AE943" i="3"/>
  <c r="AC933" i="3"/>
  <c r="AE933" i="3"/>
  <c r="AC994" i="3"/>
  <c r="AE994" i="3"/>
  <c r="AC986" i="3"/>
  <c r="AE986" i="3"/>
  <c r="AC966" i="3"/>
  <c r="AE966" i="3"/>
  <c r="AC931" i="3"/>
  <c r="AE931" i="3"/>
  <c r="AC951" i="3"/>
  <c r="AE951" i="3"/>
  <c r="AE859" i="3"/>
  <c r="AC859" i="3"/>
  <c r="AE773" i="3"/>
  <c r="AC773" i="3"/>
  <c r="AE896" i="3"/>
  <c r="AC896" i="3"/>
  <c r="AE793" i="3"/>
  <c r="AC793" i="3"/>
  <c r="AE786" i="3"/>
  <c r="AC786" i="3"/>
  <c r="AE752" i="3"/>
  <c r="AC752" i="3"/>
  <c r="AE828" i="3"/>
  <c r="AC828" i="3"/>
  <c r="AE705" i="3"/>
  <c r="AC705" i="3"/>
  <c r="AE801" i="3"/>
  <c r="AC801" i="3"/>
  <c r="AE699" i="3"/>
  <c r="AC699" i="3"/>
  <c r="AE687" i="3"/>
  <c r="AC687" i="3"/>
  <c r="AE761" i="3"/>
  <c r="AC761" i="3"/>
  <c r="AE704" i="3"/>
  <c r="AC704" i="3"/>
  <c r="AE745" i="3"/>
  <c r="AC745" i="3"/>
  <c r="AE746" i="3"/>
  <c r="AC746" i="3"/>
  <c r="AE677" i="3"/>
  <c r="AC677" i="3"/>
  <c r="AE819" i="3"/>
  <c r="AC819" i="3"/>
  <c r="AE724" i="3"/>
  <c r="AC724" i="3"/>
  <c r="AE624" i="3"/>
  <c r="AC624" i="3"/>
  <c r="AE742" i="3"/>
  <c r="AC742" i="3"/>
  <c r="AE679" i="3"/>
  <c r="AC679" i="3"/>
  <c r="AE636" i="3"/>
  <c r="AC636" i="3"/>
  <c r="AE697" i="3"/>
  <c r="AC697" i="3"/>
  <c r="AE587" i="3"/>
  <c r="AC587" i="3"/>
  <c r="AE602" i="3"/>
  <c r="AC602" i="3"/>
  <c r="AE644" i="3"/>
  <c r="AC644" i="3"/>
  <c r="AE592" i="3"/>
  <c r="AC592" i="3"/>
  <c r="AE633" i="3"/>
  <c r="AC633" i="3"/>
  <c r="AE791" i="3"/>
  <c r="AC791" i="3"/>
  <c r="AE616" i="3"/>
  <c r="AC616" i="3"/>
  <c r="AE683" i="3"/>
  <c r="AC683" i="3"/>
  <c r="AE605" i="3"/>
  <c r="AC605" i="3"/>
  <c r="AE638" i="3"/>
  <c r="AC638" i="3"/>
  <c r="AE601" i="3"/>
  <c r="AC601" i="3"/>
  <c r="AE586" i="3"/>
  <c r="AC586" i="3"/>
  <c r="AE567" i="3"/>
  <c r="AC567" i="3"/>
  <c r="AE562" i="3"/>
  <c r="AC562" i="3"/>
  <c r="AE844" i="3"/>
  <c r="AC908" i="3"/>
  <c r="AE908" i="3"/>
  <c r="AC898" i="3"/>
  <c r="AE898" i="3"/>
  <c r="AC854" i="3"/>
  <c r="AE854" i="3"/>
  <c r="AC877" i="3"/>
  <c r="AE877" i="3"/>
  <c r="AC920" i="3"/>
  <c r="AE920" i="3"/>
  <c r="AC831" i="3"/>
  <c r="AE831" i="3"/>
  <c r="AC812" i="3"/>
  <c r="AE812" i="3"/>
  <c r="AC883" i="3"/>
  <c r="AE883" i="3"/>
  <c r="AC777" i="3"/>
  <c r="AE777" i="3"/>
  <c r="AC816" i="3"/>
  <c r="AE816" i="3"/>
  <c r="AC762" i="3"/>
  <c r="AE762" i="3"/>
  <c r="AC803" i="3"/>
  <c r="AE803" i="3"/>
  <c r="AC676" i="3"/>
  <c r="AE676" i="3"/>
  <c r="AC760" i="3"/>
  <c r="AE760" i="3"/>
  <c r="AC838" i="3"/>
  <c r="AE838" i="3"/>
  <c r="AC822" i="3"/>
  <c r="AE822" i="3"/>
  <c r="AC736" i="3"/>
  <c r="AE736" i="3"/>
  <c r="AC906" i="3"/>
  <c r="AE906" i="3"/>
  <c r="AC708" i="3"/>
  <c r="AE708" i="3"/>
  <c r="AC770" i="3"/>
  <c r="AE770" i="3"/>
  <c r="AC766" i="3"/>
  <c r="AE766" i="3"/>
  <c r="AC805" i="3"/>
  <c r="AE805" i="3"/>
  <c r="AC695" i="3"/>
  <c r="AE695" i="3"/>
  <c r="AC753" i="3"/>
  <c r="AE753" i="3"/>
  <c r="AC680" i="3"/>
  <c r="AE680" i="3"/>
  <c r="AC717" i="3"/>
  <c r="AE717" i="3"/>
  <c r="AC674" i="3"/>
  <c r="AE674" i="3"/>
  <c r="AC707" i="3"/>
  <c r="AE707" i="3"/>
  <c r="AC621" i="3"/>
  <c r="AE621" i="3"/>
  <c r="AC740" i="3"/>
  <c r="AE740" i="3"/>
  <c r="AE729" i="3"/>
  <c r="AC729" i="3"/>
  <c r="AE630" i="3"/>
  <c r="AC630" i="3"/>
  <c r="AE661" i="3"/>
  <c r="AC661" i="3"/>
  <c r="AE1232" i="3"/>
  <c r="AC1232" i="3"/>
  <c r="AE1226" i="3"/>
  <c r="AC1226" i="3"/>
  <c r="AE1213" i="3"/>
  <c r="AC1213" i="3"/>
  <c r="AE1180" i="3"/>
  <c r="AC1180" i="3"/>
  <c r="AE1200" i="3"/>
  <c r="AC1200" i="3"/>
  <c r="AE1187" i="3"/>
  <c r="AC1187" i="3"/>
  <c r="AE1197" i="3"/>
  <c r="AC1197" i="3"/>
  <c r="AE1162" i="3"/>
  <c r="AC1162" i="3"/>
  <c r="AE1171" i="3"/>
  <c r="AC1171" i="3"/>
  <c r="AE1155" i="3"/>
  <c r="AC1155" i="3"/>
  <c r="AE1138" i="3"/>
  <c r="AC1138" i="3"/>
  <c r="AE1123" i="3"/>
  <c r="AC1123" i="3"/>
  <c r="AE1150" i="3"/>
  <c r="AC1150" i="3"/>
  <c r="AE1133" i="3"/>
  <c r="AC1133" i="3"/>
  <c r="AE1108" i="3"/>
  <c r="AC1108" i="3"/>
  <c r="AE1102" i="3"/>
  <c r="AC1102" i="3"/>
  <c r="AE1117" i="3"/>
  <c r="AC1117" i="3"/>
  <c r="AE1122" i="3"/>
  <c r="AC1122" i="3"/>
  <c r="AE1055" i="3"/>
  <c r="AC1055" i="3"/>
  <c r="AE1087" i="3"/>
  <c r="AC1087" i="3"/>
  <c r="AE1078" i="3"/>
  <c r="AC1078" i="3"/>
  <c r="AE1068" i="3"/>
  <c r="AC1068" i="3"/>
  <c r="AE1075" i="3"/>
  <c r="AC1075" i="3"/>
  <c r="AE1084" i="3"/>
  <c r="AC1084" i="3"/>
  <c r="AE1027" i="3"/>
  <c r="AC1027" i="3"/>
  <c r="AE1037" i="3"/>
  <c r="AC1037" i="3"/>
  <c r="AE1033" i="3"/>
  <c r="AC1033" i="3"/>
  <c r="AE1001" i="3"/>
  <c r="AC1001" i="3"/>
  <c r="AE963" i="3"/>
  <c r="AC963" i="3"/>
  <c r="AE987" i="3"/>
  <c r="AC987" i="3"/>
  <c r="AE1104" i="3"/>
  <c r="AC1104" i="3"/>
  <c r="AE1002" i="3"/>
  <c r="AC1002" i="3"/>
  <c r="AE1000" i="3"/>
  <c r="AC1000" i="3"/>
  <c r="AE996" i="3"/>
  <c r="AC996" i="3"/>
  <c r="AE941" i="3"/>
  <c r="AC941" i="3"/>
  <c r="AE979" i="3"/>
  <c r="AC979" i="3"/>
  <c r="AE907" i="3"/>
  <c r="AC907" i="3"/>
  <c r="AE955" i="3"/>
  <c r="AC955" i="3"/>
  <c r="AE946" i="3"/>
  <c r="AC946" i="3"/>
  <c r="AE901" i="3"/>
  <c r="AC901" i="3"/>
  <c r="AE856" i="3"/>
  <c r="AC856" i="3"/>
  <c r="AE960" i="3"/>
  <c r="AC960" i="3"/>
  <c r="AE846" i="3"/>
  <c r="AC846" i="3"/>
  <c r="AE922" i="3"/>
  <c r="AC922" i="3"/>
  <c r="AE868" i="3"/>
  <c r="AC868" i="3"/>
  <c r="AE723" i="3"/>
  <c r="AC723" i="3"/>
  <c r="AE964" i="3"/>
  <c r="AC964" i="3"/>
  <c r="AE882" i="3"/>
  <c r="AC882" i="3"/>
  <c r="AE820" i="3"/>
  <c r="AC820" i="3"/>
  <c r="AE858" i="3"/>
  <c r="AC858" i="3"/>
  <c r="AE806" i="3"/>
  <c r="AC806" i="3"/>
  <c r="AE850" i="3"/>
  <c r="AC850" i="3"/>
  <c r="AE790" i="3"/>
  <c r="AC790" i="3"/>
  <c r="AE784" i="3"/>
  <c r="AC784" i="3"/>
  <c r="AE926" i="3"/>
  <c r="AC926" i="3"/>
  <c r="AE739" i="3"/>
  <c r="AC739" i="3"/>
  <c r="AE799" i="3"/>
  <c r="AC799" i="3"/>
  <c r="AE754" i="3"/>
  <c r="AC754" i="3"/>
  <c r="AE694" i="3"/>
  <c r="AC694" i="3"/>
  <c r="AE778" i="3"/>
  <c r="AC778" i="3"/>
  <c r="AE709" i="3"/>
  <c r="AC709" i="3"/>
  <c r="AE796" i="3"/>
  <c r="AC796" i="3"/>
  <c r="AE782" i="3"/>
  <c r="AC782" i="3"/>
  <c r="AE743" i="3"/>
  <c r="AC743" i="3"/>
  <c r="AE718" i="3"/>
  <c r="AC718" i="3"/>
  <c r="AE715" i="3"/>
  <c r="AC715" i="3"/>
  <c r="AE667" i="3"/>
  <c r="AC667" i="3"/>
  <c r="AE692" i="3"/>
  <c r="AC692" i="3"/>
  <c r="AE654" i="3"/>
  <c r="AC654" i="3"/>
  <c r="AE684" i="3"/>
  <c r="AC684" i="3"/>
  <c r="AE666" i="3"/>
  <c r="AC666" i="3"/>
  <c r="AE662" i="3"/>
  <c r="AC662" i="3"/>
  <c r="AE747" i="3"/>
  <c r="AC747" i="3"/>
  <c r="AE645" i="3"/>
  <c r="AC645" i="3"/>
  <c r="AE642" i="3"/>
  <c r="AC642" i="3"/>
  <c r="AE596" i="3"/>
  <c r="AC596" i="3"/>
  <c r="AE623" i="3"/>
  <c r="AC623" i="3"/>
  <c r="AE657" i="3"/>
  <c r="AC657" i="3"/>
  <c r="AE566" i="3"/>
  <c r="AC566" i="3"/>
  <c r="AE529" i="3"/>
  <c r="AC529" i="3"/>
  <c r="AE608" i="3"/>
  <c r="AC608" i="3"/>
  <c r="AE675" i="3"/>
  <c r="AC675" i="3"/>
  <c r="AE541" i="3"/>
  <c r="AC541" i="3"/>
  <c r="AE584" i="3"/>
  <c r="AC584" i="3"/>
  <c r="AE524" i="3"/>
  <c r="AC524" i="3"/>
  <c r="AE682" i="3"/>
  <c r="AC682" i="3"/>
  <c r="AE643" i="3"/>
  <c r="AC643" i="3"/>
  <c r="AE706" i="3"/>
  <c r="AC706" i="3"/>
  <c r="AE543" i="3"/>
  <c r="AC543" i="3"/>
  <c r="AE629" i="3"/>
  <c r="AC629" i="3"/>
  <c r="AE574" i="3"/>
  <c r="AC574" i="3"/>
  <c r="AE565" i="3"/>
  <c r="AC565" i="3"/>
  <c r="AE611" i="3"/>
  <c r="AC611" i="3"/>
  <c r="AE607" i="3"/>
  <c r="AC607" i="3"/>
  <c r="AE518" i="3"/>
  <c r="AC518" i="3"/>
  <c r="AE510" i="3"/>
  <c r="AC510" i="3"/>
  <c r="AE533" i="3"/>
  <c r="AC533" i="3"/>
  <c r="AE651" i="3"/>
  <c r="AC651" i="3"/>
  <c r="AE449" i="3"/>
  <c r="AC449" i="3"/>
  <c r="AE542" i="3"/>
  <c r="AC542" i="3"/>
  <c r="AE535" i="3"/>
  <c r="AC535" i="3"/>
  <c r="AE498" i="3"/>
  <c r="AC498" i="3"/>
  <c r="AE490" i="3"/>
  <c r="AC490" i="3"/>
  <c r="AE549" i="3"/>
  <c r="AC549" i="3"/>
  <c r="AE583" i="3"/>
  <c r="AC583" i="3"/>
  <c r="AE499" i="3"/>
  <c r="AC499" i="3"/>
  <c r="AE493" i="3"/>
  <c r="AC493" i="3"/>
  <c r="AE488" i="3"/>
  <c r="AC488" i="3"/>
  <c r="AE512" i="3"/>
  <c r="AC512" i="3"/>
  <c r="AE531" i="3"/>
  <c r="AC531" i="3"/>
  <c r="AE463" i="3"/>
  <c r="AC463" i="3"/>
  <c r="AE413" i="3"/>
  <c r="AC413" i="3"/>
  <c r="AE422" i="3"/>
  <c r="AC422" i="3"/>
  <c r="AE400" i="3"/>
  <c r="AC400" i="3"/>
  <c r="AE432" i="3"/>
  <c r="AC432" i="3"/>
  <c r="AE470" i="3"/>
  <c r="AC470" i="3"/>
  <c r="AE415" i="3"/>
  <c r="AC415" i="3"/>
  <c r="AE385" i="3"/>
  <c r="AC385" i="3"/>
  <c r="AE361" i="3"/>
  <c r="AC361" i="3"/>
  <c r="AE412" i="3"/>
  <c r="AC412" i="3"/>
  <c r="AE402" i="3"/>
  <c r="AC402" i="3"/>
  <c r="AE390" i="3"/>
  <c r="AC390" i="3"/>
  <c r="AE365" i="3"/>
  <c r="AC365" i="3"/>
  <c r="AE378" i="3"/>
  <c r="AC378" i="3"/>
  <c r="AE326" i="3"/>
  <c r="AC326" i="3"/>
  <c r="AE307" i="3"/>
  <c r="AC307" i="3"/>
  <c r="AE356" i="3"/>
  <c r="AC356" i="3"/>
  <c r="AE296" i="3"/>
  <c r="AC296" i="3"/>
  <c r="AE312" i="3"/>
  <c r="AC312" i="3"/>
  <c r="AE249" i="3"/>
  <c r="AC249" i="3"/>
  <c r="AE322" i="3"/>
  <c r="AC322" i="3"/>
  <c r="AE292" i="3"/>
  <c r="AC292" i="3"/>
  <c r="AE264" i="3"/>
  <c r="AC264" i="3"/>
  <c r="AE270" i="3"/>
  <c r="AC270" i="3"/>
  <c r="AE241" i="3"/>
  <c r="AC241" i="3"/>
  <c r="AE233" i="3"/>
  <c r="AC233" i="3"/>
  <c r="AE284" i="3"/>
  <c r="AC284" i="3"/>
  <c r="AE250" i="3"/>
  <c r="AC250" i="3"/>
  <c r="AE230" i="3"/>
  <c r="AC230" i="3"/>
  <c r="AE191" i="3"/>
  <c r="AC191" i="3"/>
  <c r="AE213" i="3"/>
  <c r="AC213" i="3"/>
  <c r="AE180" i="3"/>
  <c r="AC180" i="3"/>
  <c r="AE211" i="3"/>
  <c r="AC211" i="3"/>
  <c r="AE185" i="3"/>
  <c r="AC185" i="3"/>
  <c r="AE179" i="3"/>
  <c r="AC179" i="3"/>
  <c r="AE162" i="3"/>
  <c r="AC162" i="3"/>
  <c r="AE161" i="3"/>
  <c r="AC161" i="3"/>
  <c r="AE146" i="3"/>
  <c r="AC146" i="3"/>
  <c r="AE166" i="3"/>
  <c r="AC166" i="3"/>
  <c r="AE142" i="3"/>
  <c r="AC142" i="3"/>
  <c r="AE153" i="3"/>
  <c r="AC153" i="3"/>
  <c r="AE134" i="3"/>
  <c r="AC134" i="3"/>
  <c r="AE115" i="3"/>
  <c r="AC115" i="3"/>
  <c r="AE104" i="3"/>
  <c r="AC104" i="3"/>
  <c r="AE111" i="3"/>
  <c r="AC111" i="3"/>
  <c r="AE96" i="3"/>
  <c r="AC96" i="3"/>
  <c r="AE87" i="3"/>
  <c r="AC87" i="3"/>
  <c r="AE67" i="3"/>
  <c r="AC67" i="3"/>
  <c r="AE61" i="3"/>
  <c r="AC61" i="3"/>
  <c r="AE71" i="3"/>
  <c r="AC71" i="3"/>
  <c r="AE53" i="3"/>
  <c r="AC53" i="3"/>
  <c r="AE47" i="3"/>
  <c r="AC47" i="3"/>
  <c r="AE37" i="3"/>
  <c r="AC37" i="3"/>
  <c r="AE29" i="3"/>
  <c r="AC29" i="3"/>
  <c r="AE27" i="3"/>
  <c r="AC27" i="3"/>
  <c r="AE15" i="3"/>
  <c r="AC15" i="3"/>
  <c r="AE7" i="3"/>
  <c r="AC7" i="3"/>
  <c r="AE1229" i="3"/>
  <c r="AC1229" i="3"/>
  <c r="AE1219" i="3"/>
  <c r="AC1219" i="3"/>
  <c r="AE1209" i="3"/>
  <c r="AC1209" i="3"/>
  <c r="AE1204" i="3"/>
  <c r="AC1204" i="3"/>
  <c r="AE1194" i="3"/>
  <c r="AC1194" i="3"/>
  <c r="AE1206" i="3"/>
  <c r="AC1206" i="3"/>
  <c r="AE1176" i="3"/>
  <c r="AC1176" i="3"/>
  <c r="AE1184" i="3"/>
  <c r="AC1184" i="3"/>
  <c r="AE1199" i="3"/>
  <c r="AC1199" i="3"/>
  <c r="AE1164" i="3"/>
  <c r="AC1164" i="3"/>
  <c r="AE1157" i="3"/>
  <c r="AC1157" i="3"/>
  <c r="AE1147" i="3"/>
  <c r="AC1147" i="3"/>
  <c r="AE1071" i="3"/>
  <c r="AC1071" i="3"/>
  <c r="AE1115" i="3"/>
  <c r="AC1115" i="3"/>
  <c r="AE1125" i="3"/>
  <c r="AC1125" i="3"/>
  <c r="AE1120" i="3"/>
  <c r="AC1120" i="3"/>
  <c r="AE1092" i="3"/>
  <c r="AC1092" i="3"/>
  <c r="AE1072" i="3"/>
  <c r="AC1072" i="3"/>
  <c r="AE1063" i="3"/>
  <c r="AC1063" i="3"/>
  <c r="AE1130" i="3"/>
  <c r="AC1130" i="3"/>
  <c r="AE1077" i="3"/>
  <c r="AC1077" i="3"/>
  <c r="AE1022" i="3"/>
  <c r="AC1022" i="3"/>
  <c r="AE1019" i="3"/>
  <c r="AC1019" i="3"/>
  <c r="AE1073" i="3"/>
  <c r="AC1073" i="3"/>
  <c r="AE1024" i="3"/>
  <c r="AC1024" i="3"/>
  <c r="AE1012" i="3"/>
  <c r="AC1012" i="3"/>
  <c r="AE1035" i="3"/>
  <c r="AC1035" i="3"/>
  <c r="AE1028" i="3"/>
  <c r="AC1028" i="3"/>
  <c r="AE1023" i="3"/>
  <c r="AC1023" i="3"/>
  <c r="AE971" i="3"/>
  <c r="AC971" i="3"/>
  <c r="AE934" i="3"/>
  <c r="AC934" i="3"/>
  <c r="AE1006" i="3"/>
  <c r="AC1006" i="3"/>
  <c r="AE957" i="3"/>
  <c r="AC957" i="3"/>
  <c r="AE925" i="3"/>
  <c r="AC925" i="3"/>
  <c r="AE983" i="3"/>
  <c r="AC983" i="3"/>
  <c r="AE936" i="3"/>
  <c r="AC936" i="3"/>
  <c r="AE899" i="3"/>
  <c r="AC899" i="3"/>
  <c r="AE1020" i="3"/>
  <c r="AC1020" i="3"/>
  <c r="AE953" i="3"/>
  <c r="AC953" i="3"/>
  <c r="AE862" i="3"/>
  <c r="AC862" i="3"/>
  <c r="AE852" i="3"/>
  <c r="AC852" i="3"/>
  <c r="AE875" i="3"/>
  <c r="AC875" i="3"/>
  <c r="AE930" i="3"/>
  <c r="AC930" i="3"/>
  <c r="AE827" i="3"/>
  <c r="AC827" i="3"/>
  <c r="AE944" i="3"/>
  <c r="AC944" i="3"/>
  <c r="AE893" i="3"/>
  <c r="AC893" i="3"/>
  <c r="AE836" i="3"/>
  <c r="AC836" i="3"/>
  <c r="AE888" i="3"/>
  <c r="AC888" i="3"/>
  <c r="AE865" i="3"/>
  <c r="AC865" i="3"/>
  <c r="AE869" i="3"/>
  <c r="AC869" i="3"/>
  <c r="AE905" i="3"/>
  <c r="AC905" i="3"/>
  <c r="AE842" i="3"/>
  <c r="AC842" i="3"/>
  <c r="AE756" i="3"/>
  <c r="AC756" i="3"/>
  <c r="AE826" i="3"/>
  <c r="AC826" i="3"/>
  <c r="AE659" i="3"/>
  <c r="AC659" i="3"/>
  <c r="AE764" i="3"/>
  <c r="AC764" i="3"/>
  <c r="AE714" i="3"/>
  <c r="AC714" i="3"/>
  <c r="AE891" i="3"/>
  <c r="AC891" i="3"/>
  <c r="AE783" i="3"/>
  <c r="AC783" i="3"/>
  <c r="AE763" i="3"/>
  <c r="AC763" i="3"/>
  <c r="AE767" i="3"/>
  <c r="AC767" i="3"/>
  <c r="AE755" i="3"/>
  <c r="AC755" i="3"/>
  <c r="AE738" i="3"/>
  <c r="AC738" i="3"/>
  <c r="AE817" i="3"/>
  <c r="AC817" i="3"/>
  <c r="AE735" i="3"/>
  <c r="AC735" i="3"/>
  <c r="AE727" i="3"/>
  <c r="AC727" i="3"/>
  <c r="AE710" i="3"/>
  <c r="AC710" i="3"/>
  <c r="AE689" i="3"/>
  <c r="AC689" i="3"/>
  <c r="AE734" i="3"/>
  <c r="AC734" i="3"/>
  <c r="AE646" i="3"/>
  <c r="AC646" i="3"/>
  <c r="AE670" i="3"/>
  <c r="AC670" i="3"/>
  <c r="AE595" i="3"/>
  <c r="AC595" i="3"/>
  <c r="AE650" i="3"/>
  <c r="AC650" i="3"/>
  <c r="AE639" i="3"/>
  <c r="AC639" i="3"/>
  <c r="AE631" i="3"/>
  <c r="AC631" i="3"/>
  <c r="AE626" i="3"/>
  <c r="AC626" i="3"/>
  <c r="AE580" i="3"/>
  <c r="AC580" i="3"/>
  <c r="AE625" i="3"/>
  <c r="AC625" i="3"/>
  <c r="AE652" i="3"/>
  <c r="AC652" i="3"/>
  <c r="AE649" i="3"/>
  <c r="AC649" i="3"/>
  <c r="AE525" i="3"/>
  <c r="AC525" i="3"/>
  <c r="AE517" i="3"/>
  <c r="AC517" i="3"/>
  <c r="AE589" i="3"/>
  <c r="AC589" i="3"/>
  <c r="AE664" i="3"/>
  <c r="AC664" i="3"/>
  <c r="AE521" i="3"/>
  <c r="AC521" i="3"/>
  <c r="AE554" i="3"/>
  <c r="AC554" i="3"/>
  <c r="AE1220" i="3"/>
  <c r="AC1220" i="3"/>
  <c r="AE1228" i="3"/>
  <c r="AC1228" i="3"/>
  <c r="AE1218" i="3"/>
  <c r="AC1218" i="3"/>
  <c r="AE1196" i="3"/>
  <c r="AC1196" i="3"/>
  <c r="AE1193" i="3"/>
  <c r="AC1193" i="3"/>
  <c r="AE1182" i="3"/>
  <c r="AC1182" i="3"/>
  <c r="AE1169" i="3"/>
  <c r="AC1169" i="3"/>
  <c r="AE1161" i="3"/>
  <c r="AC1161" i="3"/>
  <c r="AE1173" i="3"/>
  <c r="AC1173" i="3"/>
  <c r="AE1159" i="3"/>
  <c r="AC1159" i="3"/>
  <c r="AE1135" i="3"/>
  <c r="AC1135" i="3"/>
  <c r="AE1129" i="3"/>
  <c r="AC1129" i="3"/>
  <c r="AE1124" i="3"/>
  <c r="AC1124" i="3"/>
  <c r="AE1128" i="3"/>
  <c r="AC1128" i="3"/>
  <c r="AE1083" i="3"/>
  <c r="AC1083" i="3"/>
  <c r="AE1119" i="3"/>
  <c r="AC1119" i="3"/>
  <c r="AE1089" i="3"/>
  <c r="AC1089" i="3"/>
  <c r="AE1142" i="3"/>
  <c r="AC1142" i="3"/>
  <c r="AE1045" i="3"/>
  <c r="AC1045" i="3"/>
  <c r="AE1047" i="3"/>
  <c r="AC1047" i="3"/>
  <c r="AE1098" i="3"/>
  <c r="AC1098" i="3"/>
  <c r="AE1042" i="3"/>
  <c r="AC1042" i="3"/>
  <c r="AE1060" i="3"/>
  <c r="AC1060" i="3"/>
  <c r="AE1031" i="3"/>
  <c r="AC1031" i="3"/>
  <c r="AE1004" i="3"/>
  <c r="AC1004" i="3"/>
  <c r="AE980" i="3"/>
  <c r="AC980" i="3"/>
  <c r="AE978" i="3"/>
  <c r="AC978" i="3"/>
  <c r="AE972" i="3"/>
  <c r="AC972" i="3"/>
  <c r="AE991" i="3"/>
  <c r="AC991" i="3"/>
  <c r="AE956" i="3"/>
  <c r="AC956" i="3"/>
  <c r="AE968" i="3"/>
  <c r="AC968" i="3"/>
  <c r="AE999" i="3"/>
  <c r="AC999" i="3"/>
  <c r="AE985" i="3"/>
  <c r="AC985" i="3"/>
  <c r="AE1011" i="3"/>
  <c r="AC1011" i="3"/>
  <c r="AE940" i="3"/>
  <c r="AC940" i="3"/>
  <c r="AE914" i="3"/>
  <c r="AC914" i="3"/>
  <c r="AE959" i="3"/>
  <c r="AC959" i="3"/>
  <c r="AE917" i="3"/>
  <c r="AC917" i="3"/>
  <c r="AE1016" i="3"/>
  <c r="AC1016" i="3"/>
  <c r="AE861" i="3"/>
  <c r="AC861" i="3"/>
  <c r="AE887" i="3"/>
  <c r="AC887" i="3"/>
  <c r="AE758" i="3"/>
  <c r="AC758" i="3"/>
  <c r="AE998" i="3"/>
  <c r="AC998" i="3"/>
  <c r="AE915" i="3"/>
  <c r="AC915" i="3"/>
  <c r="AE916" i="3"/>
  <c r="AC916" i="3"/>
  <c r="AE904" i="3"/>
  <c r="AC904" i="3"/>
  <c r="AE795" i="3"/>
  <c r="AC795" i="3"/>
  <c r="AE885" i="3"/>
  <c r="AC885" i="3"/>
  <c r="AE813" i="3"/>
  <c r="AC813" i="3"/>
  <c r="AE775" i="3"/>
  <c r="AC775" i="3"/>
  <c r="AE866" i="3"/>
  <c r="AC866" i="3"/>
  <c r="AE841" i="3"/>
  <c r="AC841" i="3"/>
  <c r="AE878" i="3"/>
  <c r="AC878" i="3"/>
  <c r="AE824" i="3"/>
  <c r="AC824" i="3"/>
  <c r="AE860" i="3"/>
  <c r="AC860" i="3"/>
  <c r="AE732" i="3"/>
  <c r="AC732" i="3"/>
  <c r="AE890" i="3"/>
  <c r="AC890" i="3"/>
  <c r="AE785" i="3"/>
  <c r="AC785" i="3"/>
  <c r="AE730" i="3"/>
  <c r="AC730" i="3"/>
  <c r="AE712" i="3"/>
  <c r="AC712" i="3"/>
  <c r="AE759" i="3"/>
  <c r="AC759" i="3"/>
  <c r="AE789" i="3"/>
  <c r="AC789" i="3"/>
  <c r="AE750" i="3"/>
  <c r="AC750" i="3"/>
  <c r="AE769" i="3"/>
  <c r="AC769" i="3"/>
  <c r="AE821" i="3"/>
  <c r="AC821" i="3"/>
  <c r="AE725" i="3"/>
  <c r="AC725" i="3"/>
  <c r="AE702" i="3"/>
  <c r="AC702" i="3"/>
  <c r="AE656" i="3"/>
  <c r="AC656" i="3"/>
  <c r="AE780" i="3"/>
  <c r="AC780" i="3"/>
  <c r="AE648" i="3"/>
  <c r="AC648" i="3"/>
  <c r="AE700" i="3"/>
  <c r="AC700" i="3"/>
  <c r="AE660" i="3"/>
  <c r="AC660" i="3"/>
  <c r="AE504" i="3"/>
  <c r="AC504" i="3"/>
  <c r="AE599" i="3"/>
  <c r="AC599" i="3"/>
  <c r="AE640" i="3"/>
  <c r="AC640" i="3"/>
  <c r="AE594" i="3"/>
  <c r="AC594" i="3"/>
  <c r="AE579" i="3"/>
  <c r="AC579" i="3"/>
  <c r="AE693" i="3"/>
  <c r="AC693" i="3"/>
  <c r="AE563" i="3"/>
  <c r="AC563" i="3"/>
  <c r="AE606" i="3"/>
  <c r="AC606" i="3"/>
  <c r="AE612" i="3"/>
  <c r="AC612" i="3"/>
  <c r="AE469" i="3"/>
  <c r="AC469" i="3"/>
  <c r="AE537" i="3"/>
  <c r="AC537" i="3"/>
  <c r="AE506" i="3"/>
  <c r="AC506" i="3"/>
  <c r="AC486" i="3"/>
  <c r="AC323" i="3"/>
  <c r="AC251" i="3"/>
  <c r="AC8" i="3"/>
  <c r="AE534" i="3"/>
  <c r="AC534" i="3"/>
  <c r="AE515" i="3"/>
  <c r="AC515" i="3"/>
  <c r="AE458" i="3"/>
  <c r="AC458" i="3"/>
  <c r="AE495" i="3"/>
  <c r="AC495" i="3"/>
  <c r="AE480" i="3"/>
  <c r="AC480" i="3"/>
  <c r="AE437" i="3"/>
  <c r="AC437" i="3"/>
  <c r="AE399" i="3"/>
  <c r="AC399" i="3"/>
  <c r="AE433" i="3"/>
  <c r="AC433" i="3"/>
  <c r="AE426" i="3"/>
  <c r="AC426" i="3"/>
  <c r="AE333" i="3"/>
  <c r="AC333" i="3"/>
  <c r="AE325" i="3"/>
  <c r="AC325" i="3"/>
  <c r="AE397" i="3"/>
  <c r="AC397" i="3"/>
  <c r="AE395" i="3"/>
  <c r="AC395" i="3"/>
  <c r="AE360" i="3"/>
  <c r="AC360" i="3"/>
  <c r="AE370" i="3"/>
  <c r="AC370" i="3"/>
  <c r="AE359" i="3"/>
  <c r="AC359" i="3"/>
  <c r="AE373" i="3"/>
  <c r="AC373" i="3"/>
  <c r="AE344" i="3"/>
  <c r="AC344" i="3"/>
  <c r="AE337" i="3"/>
  <c r="AC337" i="3"/>
  <c r="AE381" i="3"/>
  <c r="AC381" i="3"/>
  <c r="AE318" i="3"/>
  <c r="AC318" i="3"/>
  <c r="AE310" i="3"/>
  <c r="AC310" i="3"/>
  <c r="AE372" i="3"/>
  <c r="AC372" i="3"/>
  <c r="AE305" i="3"/>
  <c r="AC305" i="3"/>
  <c r="AE286" i="3"/>
  <c r="AC286" i="3"/>
  <c r="AE276" i="3"/>
  <c r="AC276" i="3"/>
  <c r="AE285" i="3"/>
  <c r="AC285" i="3"/>
  <c r="AE239" i="3"/>
  <c r="AC239" i="3"/>
  <c r="AE260" i="3"/>
  <c r="AC260" i="3"/>
  <c r="AE256" i="3"/>
  <c r="AC256" i="3"/>
  <c r="AE247" i="3"/>
  <c r="AC247" i="3"/>
  <c r="AE228" i="3"/>
  <c r="AC228" i="3"/>
  <c r="AE219" i="3"/>
  <c r="AC219" i="3"/>
  <c r="AE186" i="3"/>
  <c r="AC186" i="3"/>
  <c r="AE196" i="3"/>
  <c r="AC196" i="3"/>
  <c r="AE210" i="3"/>
  <c r="AC210" i="3"/>
  <c r="AE203" i="3"/>
  <c r="AC203" i="3"/>
  <c r="AE160" i="3"/>
  <c r="AC160" i="3"/>
  <c r="AE168" i="3"/>
  <c r="AC168" i="3"/>
  <c r="AE169" i="3"/>
  <c r="AC169" i="3"/>
  <c r="AE188" i="3"/>
  <c r="AC188" i="3"/>
  <c r="AE145" i="3"/>
  <c r="AC145" i="3"/>
  <c r="AE131" i="3"/>
  <c r="AC131" i="3"/>
  <c r="AE149" i="3"/>
  <c r="AC149" i="3"/>
  <c r="AE125" i="3"/>
  <c r="AC125" i="3"/>
  <c r="AE119" i="3"/>
  <c r="AC119" i="3"/>
  <c r="AE123" i="3"/>
  <c r="AC123" i="3"/>
  <c r="AE101" i="3"/>
  <c r="AC101" i="3"/>
  <c r="AE93" i="3"/>
  <c r="AC93" i="3"/>
  <c r="AE85" i="3"/>
  <c r="AC85" i="3"/>
  <c r="AE79" i="3"/>
  <c r="AC79" i="3"/>
  <c r="AE77" i="3"/>
  <c r="AC77" i="3"/>
  <c r="AE69" i="3"/>
  <c r="AC69" i="3"/>
  <c r="AE55" i="3"/>
  <c r="AC55" i="3"/>
  <c r="AE49" i="3"/>
  <c r="AC49" i="3"/>
  <c r="AE32" i="3"/>
  <c r="AC32" i="3"/>
  <c r="AE24" i="3"/>
  <c r="AC24" i="3"/>
  <c r="AE21" i="3"/>
  <c r="AC21" i="3"/>
  <c r="AE12" i="3"/>
  <c r="AC12" i="3"/>
  <c r="AE5" i="3"/>
  <c r="AC5" i="3"/>
  <c r="AC455" i="3"/>
  <c r="AC199" i="3"/>
  <c r="AC171" i="3"/>
  <c r="AE570" i="3"/>
  <c r="AC570" i="3"/>
  <c r="AE511" i="3"/>
  <c r="AC511" i="3"/>
  <c r="AE538" i="3"/>
  <c r="AC538" i="3"/>
  <c r="AE481" i="3"/>
  <c r="AC481" i="3"/>
  <c r="AE568" i="3"/>
  <c r="AC568" i="3"/>
  <c r="AE603" i="3"/>
  <c r="AC603" i="3"/>
  <c r="AE479" i="3"/>
  <c r="AC479" i="3"/>
  <c r="AE457" i="3"/>
  <c r="AC457" i="3"/>
  <c r="AE576" i="3"/>
  <c r="AC576" i="3"/>
  <c r="AE520" i="3"/>
  <c r="AC520" i="3"/>
  <c r="AE513" i="3"/>
  <c r="AC513" i="3"/>
  <c r="AE444" i="3"/>
  <c r="AC444" i="3"/>
  <c r="AE471" i="3"/>
  <c r="AC471" i="3"/>
  <c r="AE582" i="3"/>
  <c r="AC582" i="3"/>
  <c r="AE472" i="3"/>
  <c r="AC472" i="3"/>
  <c r="AE421" i="3"/>
  <c r="AC421" i="3"/>
  <c r="AE475" i="3"/>
  <c r="AC475" i="3"/>
  <c r="AE410" i="3"/>
  <c r="AC410" i="3"/>
  <c r="AE401" i="3"/>
  <c r="AC401" i="3"/>
  <c r="AE374" i="3"/>
  <c r="AC374" i="3"/>
  <c r="AE403" i="3"/>
  <c r="AC403" i="3"/>
  <c r="AE396" i="3"/>
  <c r="AC396" i="3"/>
  <c r="AE394" i="3"/>
  <c r="AC394" i="3"/>
  <c r="AE383" i="3"/>
  <c r="AC383" i="3"/>
  <c r="AE369" i="3"/>
  <c r="AC369" i="3"/>
  <c r="AE358" i="3"/>
  <c r="AC358" i="3"/>
  <c r="AE330" i="3"/>
  <c r="AC330" i="3"/>
  <c r="AE345" i="3"/>
  <c r="AC345" i="3"/>
  <c r="AE339" i="3"/>
  <c r="AC339" i="3"/>
  <c r="AE303" i="3"/>
  <c r="AC303" i="3"/>
  <c r="AE357" i="3"/>
  <c r="AC357" i="3"/>
  <c r="AE283" i="3"/>
  <c r="AC283" i="3"/>
  <c r="AE297" i="3"/>
  <c r="AC297" i="3"/>
  <c r="AE317" i="3"/>
  <c r="AC317" i="3"/>
  <c r="AE309" i="3"/>
  <c r="AC309" i="3"/>
  <c r="AE274" i="3"/>
  <c r="AC274" i="3"/>
  <c r="AE267" i="3"/>
  <c r="AC267" i="3"/>
  <c r="AE238" i="3"/>
  <c r="AC238" i="3"/>
  <c r="AE259" i="3"/>
  <c r="AC259" i="3"/>
  <c r="AE221" i="3"/>
  <c r="AC221" i="3"/>
  <c r="AE268" i="3"/>
  <c r="AC268" i="3"/>
  <c r="AE227" i="3"/>
  <c r="AC227" i="3"/>
  <c r="AE218" i="3"/>
  <c r="AC218" i="3"/>
  <c r="AE206" i="3"/>
  <c r="AC206" i="3"/>
  <c r="AE193" i="3"/>
  <c r="AC193" i="3"/>
  <c r="AE170" i="3"/>
  <c r="AC170" i="3"/>
  <c r="AE202" i="3"/>
  <c r="AC202" i="3"/>
  <c r="AE195" i="3"/>
  <c r="AC195" i="3"/>
  <c r="AE175" i="3"/>
  <c r="AC175" i="3"/>
  <c r="AE159" i="3"/>
  <c r="AC159" i="3"/>
  <c r="AE157" i="3"/>
  <c r="AC157" i="3"/>
  <c r="AE143" i="3"/>
  <c r="AC143" i="3"/>
  <c r="AE139" i="3"/>
  <c r="AC139" i="3"/>
  <c r="AE132" i="3"/>
  <c r="AC132" i="3"/>
  <c r="AE133" i="3"/>
  <c r="AC133" i="3"/>
  <c r="AE109" i="3"/>
  <c r="AC109" i="3"/>
  <c r="AE118" i="3"/>
  <c r="AC118" i="3"/>
  <c r="AE113" i="3"/>
  <c r="AC113" i="3"/>
  <c r="AE92" i="3"/>
  <c r="AC92" i="3"/>
  <c r="AE84" i="3"/>
  <c r="AC84" i="3"/>
  <c r="AE78" i="3"/>
  <c r="AC78" i="3"/>
  <c r="AE76" i="3"/>
  <c r="AC76" i="3"/>
  <c r="AE59" i="3"/>
  <c r="AC59" i="3"/>
  <c r="AE39" i="3"/>
  <c r="AC39" i="3"/>
  <c r="AE44" i="3"/>
  <c r="AC44" i="3"/>
  <c r="AE36" i="3"/>
  <c r="AC36" i="3"/>
  <c r="AE31" i="3"/>
  <c r="AC31" i="3"/>
  <c r="AE18" i="3"/>
  <c r="AC18" i="3"/>
  <c r="AE11" i="3"/>
  <c r="AC11" i="3"/>
  <c r="AC376" i="3"/>
  <c r="AC362" i="3"/>
  <c r="AC164" i="3"/>
  <c r="AC105" i="3"/>
  <c r="AC496" i="3"/>
  <c r="AC335" i="3"/>
  <c r="AC117" i="3"/>
  <c r="AC48" i="3"/>
  <c r="AE556" i="3"/>
  <c r="AC556" i="3"/>
  <c r="AE632" i="3"/>
  <c r="AC632" i="3"/>
  <c r="AE530" i="3"/>
  <c r="AC530" i="3"/>
  <c r="AE523" i="3"/>
  <c r="AC523" i="3"/>
  <c r="AE553" i="3"/>
  <c r="AC553" i="3"/>
  <c r="AE540" i="3"/>
  <c r="AC540" i="3"/>
  <c r="AE575" i="3"/>
  <c r="AC575" i="3"/>
  <c r="AE502" i="3"/>
  <c r="AC502" i="3"/>
  <c r="AE516" i="3"/>
  <c r="AC516" i="3"/>
  <c r="AE484" i="3"/>
  <c r="AC484" i="3"/>
  <c r="AE440" i="3"/>
  <c r="AC440" i="3"/>
  <c r="AE466" i="3"/>
  <c r="AC466" i="3"/>
  <c r="AE434" i="3"/>
  <c r="AC434" i="3"/>
  <c r="AE492" i="3"/>
  <c r="AC492" i="3"/>
  <c r="AE419" i="3"/>
  <c r="AC419" i="3"/>
  <c r="AE393" i="3"/>
  <c r="AC393" i="3"/>
  <c r="AE392" i="3"/>
  <c r="AC392" i="3"/>
  <c r="AE398" i="3"/>
  <c r="AC398" i="3"/>
  <c r="AE408" i="3"/>
  <c r="AC408" i="3"/>
  <c r="AE320" i="3"/>
  <c r="AC320" i="3"/>
  <c r="AE377" i="3"/>
  <c r="AC377" i="3"/>
  <c r="AE387" i="3"/>
  <c r="AC387" i="3"/>
  <c r="AE382" i="3"/>
  <c r="AC382" i="3"/>
  <c r="AE328" i="3"/>
  <c r="AC328" i="3"/>
  <c r="AE332" i="3"/>
  <c r="AC332" i="3"/>
  <c r="AE348" i="3"/>
  <c r="AC348" i="3"/>
  <c r="AE342" i="3"/>
  <c r="AC342" i="3"/>
  <c r="AE334" i="3"/>
  <c r="AC334" i="3"/>
  <c r="AE298" i="3"/>
  <c r="AC298" i="3"/>
  <c r="AE261" i="3"/>
  <c r="AC261" i="3"/>
  <c r="AE331" i="3"/>
  <c r="AC331" i="3"/>
  <c r="AE295" i="3"/>
  <c r="AC295" i="3"/>
  <c r="AE304" i="3"/>
  <c r="AC304" i="3"/>
  <c r="AE281" i="3"/>
  <c r="AC281" i="3"/>
  <c r="AE263" i="3"/>
  <c r="AC263" i="3"/>
  <c r="AE243" i="3"/>
  <c r="AC243" i="3"/>
  <c r="AE236" i="3"/>
  <c r="AC236" i="3"/>
  <c r="AE248" i="3"/>
  <c r="AC248" i="3"/>
  <c r="AE265" i="3"/>
  <c r="AC265" i="3"/>
  <c r="AE245" i="3"/>
  <c r="AC245" i="3"/>
  <c r="AE226" i="3"/>
  <c r="AC226" i="3"/>
  <c r="AE216" i="3"/>
  <c r="AC216" i="3"/>
  <c r="AE223" i="3"/>
  <c r="AC223" i="3"/>
  <c r="AE255" i="3"/>
  <c r="AC255" i="3"/>
  <c r="AE209" i="3"/>
  <c r="AC209" i="3"/>
  <c r="AE182" i="3"/>
  <c r="AC182" i="3"/>
  <c r="AE174" i="3"/>
  <c r="AC174" i="3"/>
  <c r="AE167" i="3"/>
  <c r="AC167" i="3"/>
  <c r="AE192" i="3"/>
  <c r="AC192" i="3"/>
  <c r="AE165" i="3"/>
  <c r="AC165" i="3"/>
  <c r="AE152" i="3"/>
  <c r="AC152" i="3"/>
  <c r="AE137" i="3"/>
  <c r="AC137" i="3"/>
  <c r="AE130" i="3"/>
  <c r="AC130" i="3"/>
  <c r="AE140" i="3"/>
  <c r="AC140" i="3"/>
  <c r="AE107" i="3"/>
  <c r="AC107" i="3"/>
  <c r="AE95" i="3"/>
  <c r="AC95" i="3"/>
  <c r="AE99" i="3"/>
  <c r="AC99" i="3"/>
  <c r="AE90" i="3"/>
  <c r="AC90" i="3"/>
  <c r="AE82" i="3"/>
  <c r="AC82" i="3"/>
  <c r="AE57" i="3"/>
  <c r="AC57" i="3"/>
  <c r="AE74" i="3"/>
  <c r="AC74" i="3"/>
  <c r="AE64" i="3"/>
  <c r="AC64" i="3"/>
  <c r="AE52" i="3"/>
  <c r="AC52" i="3"/>
  <c r="AE46" i="3"/>
  <c r="AC46" i="3"/>
  <c r="AE34" i="3"/>
  <c r="AC34" i="3"/>
  <c r="AE26" i="3"/>
  <c r="AC26" i="3"/>
  <c r="AE17" i="3"/>
  <c r="AC17" i="3"/>
  <c r="AE10" i="3"/>
  <c r="AC10" i="3"/>
  <c r="AC468" i="3"/>
  <c r="AC280" i="3"/>
  <c r="AC42" i="3"/>
  <c r="AC439" i="3"/>
  <c r="AC212" i="3"/>
  <c r="AE558" i="3"/>
  <c r="AC558" i="3"/>
  <c r="AE551" i="3"/>
  <c r="AC551" i="3"/>
  <c r="AE544" i="3"/>
  <c r="AC544" i="3"/>
  <c r="AE527" i="3"/>
  <c r="AC527" i="3"/>
  <c r="AE491" i="3"/>
  <c r="AC491" i="3"/>
  <c r="AE514" i="3"/>
  <c r="AC514" i="3"/>
  <c r="AE508" i="3"/>
  <c r="AC508" i="3"/>
  <c r="AE528" i="3"/>
  <c r="AC528" i="3"/>
  <c r="AE497" i="3"/>
  <c r="AC497" i="3"/>
  <c r="AE465" i="3"/>
  <c r="AC465" i="3"/>
  <c r="AE446" i="3"/>
  <c r="AC446" i="3"/>
  <c r="AE500" i="3"/>
  <c r="AC500" i="3"/>
  <c r="AE425" i="3"/>
  <c r="AC425" i="3"/>
  <c r="AE454" i="3"/>
  <c r="AC454" i="3"/>
  <c r="AE424" i="3"/>
  <c r="AC424" i="3"/>
  <c r="AE441" i="3"/>
  <c r="AC441" i="3"/>
  <c r="AE474" i="3"/>
  <c r="AC474" i="3"/>
  <c r="AE406" i="3"/>
  <c r="AC406" i="3"/>
  <c r="AE417" i="3"/>
  <c r="AC417" i="3"/>
  <c r="AE405" i="3"/>
  <c r="AC405" i="3"/>
  <c r="AE375" i="3"/>
  <c r="AC375" i="3"/>
  <c r="AE371" i="3"/>
  <c r="AC371" i="3"/>
  <c r="AE379" i="3"/>
  <c r="AC379" i="3"/>
  <c r="AE389" i="3"/>
  <c r="AC389" i="3"/>
  <c r="AE308" i="3"/>
  <c r="AC308" i="3"/>
  <c r="AE319" i="3"/>
  <c r="AC319" i="3"/>
  <c r="AE347" i="3"/>
  <c r="AC347" i="3"/>
  <c r="AE293" i="3"/>
  <c r="AC293" i="3"/>
  <c r="AE279" i="3"/>
  <c r="AC279" i="3"/>
  <c r="AE271" i="3"/>
  <c r="AC271" i="3"/>
  <c r="AE234" i="3"/>
  <c r="AC234" i="3"/>
  <c r="AE288" i="3"/>
  <c r="AC288" i="3"/>
  <c r="AE222" i="3"/>
  <c r="AC222" i="3"/>
  <c r="AE214" i="3"/>
  <c r="AC214" i="3"/>
  <c r="AE242" i="3"/>
  <c r="AC242" i="3"/>
  <c r="AE207" i="3"/>
  <c r="AC207" i="3"/>
  <c r="AE200" i="3"/>
  <c r="AC200" i="3"/>
  <c r="AE147" i="3"/>
  <c r="AC147" i="3"/>
  <c r="AE154" i="3"/>
  <c r="AC154" i="3"/>
  <c r="AE129" i="3"/>
  <c r="AC129" i="3"/>
  <c r="AE114" i="3"/>
  <c r="AC114" i="3"/>
  <c r="AE121" i="3"/>
  <c r="AC121" i="3"/>
  <c r="AE97" i="3"/>
  <c r="AC97" i="3"/>
  <c r="AE88" i="3"/>
  <c r="AC88" i="3"/>
  <c r="AE68" i="3"/>
  <c r="AC68" i="3"/>
  <c r="AE72" i="3"/>
  <c r="AC72" i="3"/>
  <c r="AE54" i="3"/>
  <c r="AC54" i="3"/>
  <c r="AE38" i="3"/>
  <c r="AC38" i="3"/>
  <c r="AE19" i="3"/>
  <c r="AC19" i="3"/>
  <c r="AE16" i="3"/>
  <c r="AC16" i="3"/>
  <c r="AC464" i="3"/>
  <c r="AC301" i="3"/>
  <c r="AC120" i="3"/>
  <c r="AC431" i="3"/>
  <c r="AC367" i="3"/>
  <c r="AC300" i="3"/>
  <c r="AC66" i="3"/>
  <c r="S1186" i="3"/>
  <c r="P1186" i="3"/>
  <c r="O1186" i="3"/>
  <c r="N1186" i="3"/>
  <c r="M1186" i="3"/>
  <c r="L1186" i="3"/>
  <c r="K1186" i="3"/>
  <c r="J1186" i="3"/>
  <c r="E1186" i="3"/>
  <c r="D1186" i="3"/>
  <c r="H1186" i="3"/>
  <c r="I1186" i="3"/>
  <c r="S1055" i="3"/>
  <c r="O1055" i="3"/>
  <c r="N1055" i="3"/>
  <c r="P1055" i="3"/>
  <c r="M1055" i="3"/>
  <c r="L1055" i="3"/>
  <c r="K1055" i="3"/>
  <c r="E1055" i="3"/>
  <c r="J1055" i="3"/>
  <c r="D1055" i="3"/>
  <c r="H1055" i="3"/>
  <c r="I1055" i="3"/>
  <c r="S317" i="3"/>
  <c r="P317" i="3"/>
  <c r="N317" i="3"/>
  <c r="O317" i="3"/>
  <c r="L317" i="3"/>
  <c r="M317" i="3"/>
  <c r="J317" i="3"/>
  <c r="K317" i="3"/>
  <c r="E317" i="3"/>
  <c r="D317" i="3"/>
  <c r="H317" i="3"/>
  <c r="I317" i="3"/>
  <c r="S825" i="3"/>
  <c r="P825" i="3"/>
  <c r="O825" i="3"/>
  <c r="N825" i="3"/>
  <c r="M825" i="3"/>
  <c r="L825" i="3"/>
  <c r="K825" i="3"/>
  <c r="J825" i="3"/>
  <c r="E825" i="3"/>
  <c r="D825" i="3"/>
  <c r="H825" i="3"/>
  <c r="I825" i="3"/>
  <c r="S1140" i="3"/>
  <c r="P1140" i="3"/>
  <c r="O1140" i="3"/>
  <c r="N1140" i="3"/>
  <c r="M1140" i="3"/>
  <c r="L1140" i="3"/>
  <c r="J1140" i="3"/>
  <c r="K1140" i="3"/>
  <c r="E1140" i="3"/>
  <c r="D1140" i="3"/>
  <c r="I1140" i="3"/>
  <c r="H1140" i="3"/>
  <c r="S699" i="3"/>
  <c r="P699" i="3"/>
  <c r="O699" i="3"/>
  <c r="N699" i="3"/>
  <c r="M699" i="3"/>
  <c r="L699" i="3"/>
  <c r="K699" i="3"/>
  <c r="E699" i="3"/>
  <c r="J699" i="3"/>
  <c r="D699" i="3"/>
  <c r="H699" i="3"/>
  <c r="I699" i="3"/>
  <c r="S63" i="3"/>
  <c r="P63" i="3"/>
  <c r="O63" i="3"/>
  <c r="N63" i="3"/>
  <c r="M63" i="3"/>
  <c r="L63" i="3"/>
  <c r="K63" i="3"/>
  <c r="J63" i="3"/>
  <c r="E63" i="3"/>
  <c r="D63" i="3"/>
  <c r="H63" i="3"/>
  <c r="I63" i="3"/>
  <c r="S88" i="3"/>
  <c r="P88" i="3"/>
  <c r="O88" i="3"/>
  <c r="N88" i="3"/>
  <c r="M88" i="3"/>
  <c r="L88" i="3"/>
  <c r="K88" i="3"/>
  <c r="J88" i="3"/>
  <c r="E88" i="3"/>
  <c r="D88" i="3"/>
  <c r="H88" i="3"/>
  <c r="I88" i="3"/>
  <c r="S1219" i="3"/>
  <c r="P1219" i="3"/>
  <c r="O1219" i="3"/>
  <c r="M1219" i="3"/>
  <c r="N1219" i="3"/>
  <c r="L1219" i="3"/>
  <c r="J1219" i="3"/>
  <c r="K1219" i="3"/>
  <c r="E1219" i="3"/>
  <c r="D1219" i="3"/>
  <c r="H1219" i="3"/>
  <c r="I1219" i="3"/>
  <c r="S949" i="3"/>
  <c r="P949" i="3"/>
  <c r="O949" i="3"/>
  <c r="M949" i="3"/>
  <c r="N949" i="3"/>
  <c r="K949" i="3"/>
  <c r="L949" i="3"/>
  <c r="J949" i="3"/>
  <c r="E949" i="3"/>
  <c r="D949" i="3"/>
  <c r="H949" i="3"/>
  <c r="I949" i="3"/>
  <c r="S492" i="3"/>
  <c r="P492" i="3"/>
  <c r="N492" i="3"/>
  <c r="O492" i="3"/>
  <c r="M492" i="3"/>
  <c r="L492" i="3"/>
  <c r="K492" i="3"/>
  <c r="J492" i="3"/>
  <c r="E492" i="3"/>
  <c r="D492" i="3"/>
  <c r="H492" i="3"/>
  <c r="I492" i="3"/>
  <c r="S475" i="3"/>
  <c r="P475" i="3"/>
  <c r="O475" i="3"/>
  <c r="N475" i="3"/>
  <c r="M475" i="3"/>
  <c r="L475" i="3"/>
  <c r="K475" i="3"/>
  <c r="J475" i="3"/>
  <c r="E475" i="3"/>
  <c r="D475" i="3"/>
  <c r="H475" i="3"/>
  <c r="I475" i="3"/>
  <c r="S188" i="3"/>
  <c r="P188" i="3"/>
  <c r="O188" i="3"/>
  <c r="N188" i="3"/>
  <c r="M188" i="3"/>
  <c r="L188" i="3"/>
  <c r="K188" i="3"/>
  <c r="J188" i="3"/>
  <c r="D188" i="3"/>
  <c r="E188" i="3"/>
  <c r="I188" i="3"/>
  <c r="H188" i="3"/>
  <c r="S148" i="3"/>
  <c r="P148" i="3"/>
  <c r="O148" i="3"/>
  <c r="N148" i="3"/>
  <c r="M148" i="3"/>
  <c r="L148" i="3"/>
  <c r="K148" i="3"/>
  <c r="J148" i="3"/>
  <c r="D148" i="3"/>
  <c r="E148" i="3"/>
  <c r="H148" i="3"/>
  <c r="I148" i="3"/>
  <c r="S92" i="3"/>
  <c r="P92" i="3"/>
  <c r="O92" i="3"/>
  <c r="N92" i="3"/>
  <c r="M92" i="3"/>
  <c r="L92" i="3"/>
  <c r="K92" i="3"/>
  <c r="J92" i="3"/>
  <c r="D92" i="3"/>
  <c r="E92" i="3"/>
  <c r="I92" i="3"/>
  <c r="H92" i="3"/>
  <c r="S158" i="3"/>
  <c r="P158" i="3"/>
  <c r="O158" i="3"/>
  <c r="N158" i="3"/>
  <c r="M158" i="3"/>
  <c r="L158" i="3"/>
  <c r="K158" i="3"/>
  <c r="J158" i="3"/>
  <c r="D158" i="3"/>
  <c r="E158" i="3"/>
  <c r="I158" i="3"/>
  <c r="H158" i="3"/>
  <c r="S114" i="3"/>
  <c r="P114" i="3"/>
  <c r="O114" i="3"/>
  <c r="N114" i="3"/>
  <c r="M114" i="3"/>
  <c r="L114" i="3"/>
  <c r="K114" i="3"/>
  <c r="J114" i="3"/>
  <c r="E114" i="3"/>
  <c r="D114" i="3"/>
  <c r="H114" i="3"/>
  <c r="I114" i="3"/>
  <c r="S694" i="3"/>
  <c r="P694" i="3"/>
  <c r="O694" i="3"/>
  <c r="N694" i="3"/>
  <c r="M694" i="3"/>
  <c r="L694" i="3"/>
  <c r="K694" i="3"/>
  <c r="J694" i="3"/>
  <c r="E694" i="3"/>
  <c r="D694" i="3"/>
  <c r="H694" i="3"/>
  <c r="I694" i="3"/>
  <c r="S219" i="3"/>
  <c r="P219" i="3"/>
  <c r="O219" i="3"/>
  <c r="N219" i="3"/>
  <c r="M219" i="3"/>
  <c r="L219" i="3"/>
  <c r="K219" i="3"/>
  <c r="J219" i="3"/>
  <c r="D219" i="3"/>
  <c r="E219" i="3"/>
  <c r="H219" i="3"/>
  <c r="I219" i="3"/>
  <c r="S108" i="3"/>
  <c r="P108" i="3"/>
  <c r="O108" i="3"/>
  <c r="N108" i="3"/>
  <c r="M108" i="3"/>
  <c r="L108" i="3"/>
  <c r="K108" i="3"/>
  <c r="J108" i="3"/>
  <c r="D108" i="3"/>
  <c r="E108" i="3"/>
  <c r="I108" i="3"/>
  <c r="H108" i="3"/>
  <c r="S90" i="3"/>
  <c r="P90" i="3"/>
  <c r="O90" i="3"/>
  <c r="N90" i="3"/>
  <c r="M90" i="3"/>
  <c r="L90" i="3"/>
  <c r="K90" i="3"/>
  <c r="J90" i="3"/>
  <c r="D90" i="3"/>
  <c r="E90" i="3"/>
  <c r="H90" i="3"/>
  <c r="I90" i="3"/>
  <c r="S249" i="3"/>
  <c r="P249" i="3"/>
  <c r="O249" i="3"/>
  <c r="N249" i="3"/>
  <c r="M249" i="3"/>
  <c r="L249" i="3"/>
  <c r="K249" i="3"/>
  <c r="J249" i="3"/>
  <c r="E249" i="3"/>
  <c r="D249" i="3"/>
  <c r="H249" i="3"/>
  <c r="I249" i="3"/>
  <c r="S350" i="3"/>
  <c r="P350" i="3"/>
  <c r="O350" i="3"/>
  <c r="N350" i="3"/>
  <c r="M350" i="3"/>
  <c r="L350" i="3"/>
  <c r="K350" i="3"/>
  <c r="J350" i="3"/>
  <c r="E350" i="3"/>
  <c r="D350" i="3"/>
  <c r="H350" i="3"/>
  <c r="I350" i="3"/>
  <c r="P780" i="3"/>
  <c r="S780" i="3"/>
  <c r="O780" i="3"/>
  <c r="M780" i="3"/>
  <c r="L780" i="3"/>
  <c r="N780" i="3"/>
  <c r="J780" i="3"/>
  <c r="K780" i="3"/>
  <c r="E780" i="3"/>
  <c r="D780" i="3"/>
  <c r="H780" i="3"/>
  <c r="I780" i="3"/>
  <c r="S1205" i="3"/>
  <c r="P1205" i="3"/>
  <c r="O1205" i="3"/>
  <c r="N1205" i="3"/>
  <c r="M1205" i="3"/>
  <c r="L1205" i="3"/>
  <c r="K1205" i="3"/>
  <c r="J1205" i="3"/>
  <c r="E1205" i="3"/>
  <c r="D1205" i="3"/>
  <c r="H1205" i="3"/>
  <c r="I1205" i="3"/>
  <c r="S278" i="3"/>
  <c r="P278" i="3"/>
  <c r="O278" i="3"/>
  <c r="N278" i="3"/>
  <c r="L278" i="3"/>
  <c r="K278" i="3"/>
  <c r="M278" i="3"/>
  <c r="J278" i="3"/>
  <c r="D278" i="3"/>
  <c r="E278" i="3"/>
  <c r="H278" i="3"/>
  <c r="I278" i="3"/>
  <c r="S328" i="3"/>
  <c r="P328" i="3"/>
  <c r="O328" i="3"/>
  <c r="N328" i="3"/>
  <c r="M328" i="3"/>
  <c r="L328" i="3"/>
  <c r="K328" i="3"/>
  <c r="J328" i="3"/>
  <c r="E328" i="3"/>
  <c r="D328" i="3"/>
  <c r="H328" i="3"/>
  <c r="I328" i="3"/>
  <c r="S438" i="3"/>
  <c r="P438" i="3"/>
  <c r="O438" i="3"/>
  <c r="N438" i="3"/>
  <c r="M438" i="3"/>
  <c r="L438" i="3"/>
  <c r="K438" i="3"/>
  <c r="J438" i="3"/>
  <c r="E438" i="3"/>
  <c r="D438" i="3"/>
  <c r="I438" i="3"/>
  <c r="H438" i="3"/>
  <c r="S723" i="3"/>
  <c r="P723" i="3"/>
  <c r="O723" i="3"/>
  <c r="N723" i="3"/>
  <c r="M723" i="3"/>
  <c r="K723" i="3"/>
  <c r="L723" i="3"/>
  <c r="E723" i="3"/>
  <c r="J723" i="3"/>
  <c r="D723" i="3"/>
  <c r="H723" i="3"/>
  <c r="I723" i="3"/>
  <c r="S181" i="3"/>
  <c r="P181" i="3"/>
  <c r="O181" i="3"/>
  <c r="N181" i="3"/>
  <c r="M181" i="3"/>
  <c r="L181" i="3"/>
  <c r="K181" i="3"/>
  <c r="J181" i="3"/>
  <c r="E181" i="3"/>
  <c r="D181" i="3"/>
  <c r="H181" i="3"/>
  <c r="I181" i="3"/>
  <c r="S663" i="3"/>
  <c r="P663" i="3"/>
  <c r="O663" i="3"/>
  <c r="N663" i="3"/>
  <c r="M663" i="3"/>
  <c r="L663" i="3"/>
  <c r="K663" i="3"/>
  <c r="J663" i="3"/>
  <c r="E663" i="3"/>
  <c r="D663" i="3"/>
  <c r="I663" i="3"/>
  <c r="H663" i="3"/>
  <c r="S993" i="3"/>
  <c r="P993" i="3"/>
  <c r="O993" i="3"/>
  <c r="N993" i="3"/>
  <c r="M993" i="3"/>
  <c r="L993" i="3"/>
  <c r="J993" i="3"/>
  <c r="K993" i="3"/>
  <c r="E993" i="3"/>
  <c r="D993" i="3"/>
  <c r="I993" i="3"/>
  <c r="H993" i="3"/>
  <c r="S581" i="3"/>
  <c r="P581" i="3"/>
  <c r="O581" i="3"/>
  <c r="N581" i="3"/>
  <c r="M581" i="3"/>
  <c r="L581" i="3"/>
  <c r="K581" i="3"/>
  <c r="J581" i="3"/>
  <c r="E581" i="3"/>
  <c r="D581" i="3"/>
  <c r="H581" i="3"/>
  <c r="I581" i="3"/>
  <c r="S772" i="3"/>
  <c r="P772" i="3"/>
  <c r="O772" i="3"/>
  <c r="N772" i="3"/>
  <c r="M772" i="3"/>
  <c r="L772" i="3"/>
  <c r="K772" i="3"/>
  <c r="J772" i="3"/>
  <c r="E772" i="3"/>
  <c r="D772" i="3"/>
  <c r="H772" i="3"/>
  <c r="I772" i="3"/>
  <c r="P202" i="3"/>
  <c r="S202" i="3"/>
  <c r="N202" i="3"/>
  <c r="O202" i="3"/>
  <c r="M202" i="3"/>
  <c r="L202" i="3"/>
  <c r="K202" i="3"/>
  <c r="J202" i="3"/>
  <c r="E202" i="3"/>
  <c r="D202" i="3"/>
  <c r="H202" i="3"/>
  <c r="I202" i="3"/>
  <c r="S72" i="3"/>
  <c r="P72" i="3"/>
  <c r="O72" i="3"/>
  <c r="N72" i="3"/>
  <c r="M72" i="3"/>
  <c r="L72" i="3"/>
  <c r="K72" i="3"/>
  <c r="J72" i="3"/>
  <c r="E72" i="3"/>
  <c r="D72" i="3"/>
  <c r="H72" i="3"/>
  <c r="I72" i="3"/>
  <c r="S83" i="3"/>
  <c r="P83" i="3"/>
  <c r="O83" i="3"/>
  <c r="N83" i="3"/>
  <c r="M83" i="3"/>
  <c r="L83" i="3"/>
  <c r="K83" i="3"/>
  <c r="J83" i="3"/>
  <c r="D83" i="3"/>
  <c r="E83" i="3"/>
  <c r="I83" i="3"/>
  <c r="H83" i="3"/>
  <c r="S912" i="3"/>
  <c r="P912" i="3"/>
  <c r="O912" i="3"/>
  <c r="N912" i="3"/>
  <c r="M912" i="3"/>
  <c r="K912" i="3"/>
  <c r="L912" i="3"/>
  <c r="J912" i="3"/>
  <c r="E912" i="3"/>
  <c r="D912" i="3"/>
  <c r="H912" i="3"/>
  <c r="I912" i="3"/>
  <c r="S1207" i="3"/>
  <c r="P1207" i="3"/>
  <c r="O1207" i="3"/>
  <c r="N1207" i="3"/>
  <c r="L1207" i="3"/>
  <c r="M1207" i="3"/>
  <c r="J1207" i="3"/>
  <c r="K1207" i="3"/>
  <c r="E1207" i="3"/>
  <c r="D1207" i="3"/>
  <c r="I1207" i="3"/>
  <c r="H1207" i="3"/>
  <c r="S685" i="3"/>
  <c r="P685" i="3"/>
  <c r="O685" i="3"/>
  <c r="N685" i="3"/>
  <c r="M685" i="3"/>
  <c r="K685" i="3"/>
  <c r="L685" i="3"/>
  <c r="J685" i="3"/>
  <c r="E685" i="3"/>
  <c r="D685" i="3"/>
  <c r="H685" i="3"/>
  <c r="I685" i="3"/>
  <c r="S292" i="3"/>
  <c r="P292" i="3"/>
  <c r="O292" i="3"/>
  <c r="N292" i="3"/>
  <c r="M292" i="3"/>
  <c r="L292" i="3"/>
  <c r="K292" i="3"/>
  <c r="J292" i="3"/>
  <c r="E292" i="3"/>
  <c r="D292" i="3"/>
  <c r="H292" i="3"/>
  <c r="I292" i="3"/>
  <c r="S1047" i="3"/>
  <c r="P1047" i="3"/>
  <c r="O1047" i="3"/>
  <c r="M1047" i="3"/>
  <c r="N1047" i="3"/>
  <c r="L1047" i="3"/>
  <c r="J1047" i="3"/>
  <c r="E1047" i="3"/>
  <c r="K1047" i="3"/>
  <c r="D1047" i="3"/>
  <c r="H1047" i="3"/>
  <c r="I1047" i="3"/>
  <c r="S683" i="3"/>
  <c r="P683" i="3"/>
  <c r="O683" i="3"/>
  <c r="N683" i="3"/>
  <c r="M683" i="3"/>
  <c r="L683" i="3"/>
  <c r="K683" i="3"/>
  <c r="E683" i="3"/>
  <c r="J683" i="3"/>
  <c r="D683" i="3"/>
  <c r="H683" i="3"/>
  <c r="I683" i="3"/>
  <c r="S688" i="3"/>
  <c r="P688" i="3"/>
  <c r="O688" i="3"/>
  <c r="N688" i="3"/>
  <c r="M688" i="3"/>
  <c r="L688" i="3"/>
  <c r="K688" i="3"/>
  <c r="J688" i="3"/>
  <c r="E688" i="3"/>
  <c r="D688" i="3"/>
  <c r="H688" i="3"/>
  <c r="I688" i="3"/>
  <c r="S756" i="3"/>
  <c r="P756" i="3"/>
  <c r="M756" i="3"/>
  <c r="N756" i="3"/>
  <c r="O756" i="3"/>
  <c r="L756" i="3"/>
  <c r="J756" i="3"/>
  <c r="K756" i="3"/>
  <c r="E756" i="3"/>
  <c r="D756" i="3"/>
  <c r="H756" i="3"/>
  <c r="I756" i="3"/>
  <c r="S758" i="3"/>
  <c r="P758" i="3"/>
  <c r="O758" i="3"/>
  <c r="M758" i="3"/>
  <c r="N758" i="3"/>
  <c r="L758" i="3"/>
  <c r="J758" i="3"/>
  <c r="K758" i="3"/>
  <c r="E758" i="3"/>
  <c r="D758" i="3"/>
  <c r="H758" i="3"/>
  <c r="I758" i="3"/>
  <c r="S428" i="3"/>
  <c r="P428" i="3"/>
  <c r="O428" i="3"/>
  <c r="N428" i="3"/>
  <c r="M428" i="3"/>
  <c r="L428" i="3"/>
  <c r="K428" i="3"/>
  <c r="J428" i="3"/>
  <c r="E428" i="3"/>
  <c r="D428" i="3"/>
  <c r="H428" i="3"/>
  <c r="I428" i="3"/>
  <c r="S811" i="3"/>
  <c r="P811" i="3"/>
  <c r="O811" i="3"/>
  <c r="N811" i="3"/>
  <c r="M811" i="3"/>
  <c r="L811" i="3"/>
  <c r="K811" i="3"/>
  <c r="J811" i="3"/>
  <c r="E811" i="3"/>
  <c r="D811" i="3"/>
  <c r="I811" i="3"/>
  <c r="H811" i="3"/>
  <c r="S297" i="3"/>
  <c r="P297" i="3"/>
  <c r="O297" i="3"/>
  <c r="N297" i="3"/>
  <c r="L297" i="3"/>
  <c r="M297" i="3"/>
  <c r="K297" i="3"/>
  <c r="J297" i="3"/>
  <c r="E297" i="3"/>
  <c r="H297" i="3"/>
  <c r="D297" i="3"/>
  <c r="I297" i="3"/>
  <c r="S866" i="3"/>
  <c r="P866" i="3"/>
  <c r="O866" i="3"/>
  <c r="M866" i="3"/>
  <c r="N866" i="3"/>
  <c r="L866" i="3"/>
  <c r="J866" i="3"/>
  <c r="K866" i="3"/>
  <c r="E866" i="3"/>
  <c r="D866" i="3"/>
  <c r="H866" i="3"/>
  <c r="I866" i="3"/>
  <c r="S389" i="3"/>
  <c r="P389" i="3"/>
  <c r="O389" i="3"/>
  <c r="N389" i="3"/>
  <c r="M389" i="3"/>
  <c r="L389" i="3"/>
  <c r="K389" i="3"/>
  <c r="J389" i="3"/>
  <c r="E389" i="3"/>
  <c r="D389" i="3"/>
  <c r="H389" i="3"/>
  <c r="I389" i="3"/>
  <c r="S486" i="3"/>
  <c r="P486" i="3"/>
  <c r="O486" i="3"/>
  <c r="N486" i="3"/>
  <c r="M486" i="3"/>
  <c r="L486" i="3"/>
  <c r="K486" i="3"/>
  <c r="J486" i="3"/>
  <c r="D486" i="3"/>
  <c r="E486" i="3"/>
  <c r="H486" i="3"/>
  <c r="I486" i="3"/>
  <c r="S354" i="3"/>
  <c r="P354" i="3"/>
  <c r="O354" i="3"/>
  <c r="N354" i="3"/>
  <c r="M354" i="3"/>
  <c r="K354" i="3"/>
  <c r="L354" i="3"/>
  <c r="J354" i="3"/>
  <c r="E354" i="3"/>
  <c r="D354" i="3"/>
  <c r="H354" i="3"/>
  <c r="I354" i="3"/>
  <c r="S230" i="3"/>
  <c r="P230" i="3"/>
  <c r="O230" i="3"/>
  <c r="N230" i="3"/>
  <c r="M230" i="3"/>
  <c r="L230" i="3"/>
  <c r="K230" i="3"/>
  <c r="J230" i="3"/>
  <c r="E230" i="3"/>
  <c r="D230" i="3"/>
  <c r="H230" i="3"/>
  <c r="I230" i="3"/>
  <c r="S550" i="3"/>
  <c r="P550" i="3"/>
  <c r="O550" i="3"/>
  <c r="N550" i="3"/>
  <c r="M550" i="3"/>
  <c r="L550" i="3"/>
  <c r="K550" i="3"/>
  <c r="J550" i="3"/>
  <c r="E550" i="3"/>
  <c r="D550" i="3"/>
  <c r="H550" i="3"/>
  <c r="I550" i="3"/>
  <c r="S545" i="3"/>
  <c r="P545" i="3"/>
  <c r="O545" i="3"/>
  <c r="N545" i="3"/>
  <c r="L545" i="3"/>
  <c r="K545" i="3"/>
  <c r="M545" i="3"/>
  <c r="J545" i="3"/>
  <c r="E545" i="3"/>
  <c r="D545" i="3"/>
  <c r="H545" i="3"/>
  <c r="I545" i="3"/>
  <c r="S452" i="3"/>
  <c r="P452" i="3"/>
  <c r="O452" i="3"/>
  <c r="N452" i="3"/>
  <c r="M452" i="3"/>
  <c r="L452" i="3"/>
  <c r="K452" i="3"/>
  <c r="J452" i="3"/>
  <c r="E452" i="3"/>
  <c r="D452" i="3"/>
  <c r="I452" i="3"/>
  <c r="H452" i="3"/>
  <c r="S348" i="3"/>
  <c r="P348" i="3"/>
  <c r="N348" i="3"/>
  <c r="O348" i="3"/>
  <c r="M348" i="3"/>
  <c r="L348" i="3"/>
  <c r="K348" i="3"/>
  <c r="J348" i="3"/>
  <c r="E348" i="3"/>
  <c r="D348" i="3"/>
  <c r="H348" i="3"/>
  <c r="I348" i="3"/>
  <c r="S1059" i="3"/>
  <c r="P1059" i="3"/>
  <c r="O1059" i="3"/>
  <c r="N1059" i="3"/>
  <c r="M1059" i="3"/>
  <c r="L1059" i="3"/>
  <c r="K1059" i="3"/>
  <c r="E1059" i="3"/>
  <c r="J1059" i="3"/>
  <c r="D1059" i="3"/>
  <c r="H1059" i="3"/>
  <c r="I1059" i="3"/>
  <c r="S686" i="3"/>
  <c r="P686" i="3"/>
  <c r="O686" i="3"/>
  <c r="N686" i="3"/>
  <c r="L686" i="3"/>
  <c r="K686" i="3"/>
  <c r="J686" i="3"/>
  <c r="M686" i="3"/>
  <c r="E686" i="3"/>
  <c r="D686" i="3"/>
  <c r="H686" i="3"/>
  <c r="I686" i="3"/>
  <c r="S1177" i="3"/>
  <c r="P1177" i="3"/>
  <c r="O1177" i="3"/>
  <c r="N1177" i="3"/>
  <c r="M1177" i="3"/>
  <c r="L1177" i="3"/>
  <c r="K1177" i="3"/>
  <c r="J1177" i="3"/>
  <c r="E1177" i="3"/>
  <c r="D1177" i="3"/>
  <c r="I1177" i="3"/>
  <c r="H1177" i="3"/>
  <c r="S1226" i="3"/>
  <c r="P1226" i="3"/>
  <c r="O1226" i="3"/>
  <c r="N1226" i="3"/>
  <c r="M1226" i="3"/>
  <c r="L1226" i="3"/>
  <c r="K1226" i="3"/>
  <c r="E1226" i="3"/>
  <c r="J1226" i="3"/>
  <c r="D1226" i="3"/>
  <c r="H1226" i="3"/>
  <c r="I1226" i="3"/>
  <c r="S1164" i="3"/>
  <c r="P1164" i="3"/>
  <c r="O1164" i="3"/>
  <c r="M1164" i="3"/>
  <c r="N1164" i="3"/>
  <c r="L1164" i="3"/>
  <c r="J1164" i="3"/>
  <c r="K1164" i="3"/>
  <c r="E1164" i="3"/>
  <c r="D1164" i="3"/>
  <c r="H1164" i="3"/>
  <c r="I1164" i="3"/>
  <c r="S1220" i="3"/>
  <c r="P1220" i="3"/>
  <c r="O1220" i="3"/>
  <c r="M1220" i="3"/>
  <c r="N1220" i="3"/>
  <c r="L1220" i="3"/>
  <c r="K1220" i="3"/>
  <c r="J1220" i="3"/>
  <c r="E1220" i="3"/>
  <c r="D1220" i="3"/>
  <c r="H1220" i="3"/>
  <c r="I1220" i="3"/>
  <c r="S425" i="3"/>
  <c r="P425" i="3"/>
  <c r="O425" i="3"/>
  <c r="N425" i="3"/>
  <c r="M425" i="3"/>
  <c r="L425" i="3"/>
  <c r="K425" i="3"/>
  <c r="J425" i="3"/>
  <c r="E425" i="3"/>
  <c r="D425" i="3"/>
  <c r="H425" i="3"/>
  <c r="I425" i="3"/>
  <c r="S1196" i="3"/>
  <c r="P1196" i="3"/>
  <c r="O1196" i="3"/>
  <c r="M1196" i="3"/>
  <c r="N1196" i="3"/>
  <c r="L1196" i="3"/>
  <c r="J1196" i="3"/>
  <c r="K1196" i="3"/>
  <c r="E1196" i="3"/>
  <c r="D1196" i="3"/>
  <c r="H1196" i="3"/>
  <c r="I1196" i="3"/>
  <c r="S1134" i="3"/>
  <c r="P1134" i="3"/>
  <c r="O1134" i="3"/>
  <c r="N1134" i="3"/>
  <c r="M1134" i="3"/>
  <c r="L1134" i="3"/>
  <c r="K1134" i="3"/>
  <c r="J1134" i="3"/>
  <c r="E1134" i="3"/>
  <c r="D1134" i="3"/>
  <c r="H1134" i="3"/>
  <c r="I1134" i="3"/>
  <c r="S1117" i="3"/>
  <c r="P1117" i="3"/>
  <c r="O1117" i="3"/>
  <c r="N1117" i="3"/>
  <c r="M1117" i="3"/>
  <c r="L1117" i="3"/>
  <c r="K1117" i="3"/>
  <c r="E1117" i="3"/>
  <c r="J1117" i="3"/>
  <c r="D1117" i="3"/>
  <c r="H1117" i="3"/>
  <c r="I1117" i="3"/>
  <c r="S1118" i="3"/>
  <c r="P1118" i="3"/>
  <c r="O1118" i="3"/>
  <c r="N1118" i="3"/>
  <c r="M1118" i="3"/>
  <c r="L1118" i="3"/>
  <c r="K1118" i="3"/>
  <c r="J1118" i="3"/>
  <c r="E1118" i="3"/>
  <c r="D1118" i="3"/>
  <c r="H1118" i="3"/>
  <c r="I1118" i="3"/>
  <c r="S1138" i="3"/>
  <c r="P1138" i="3"/>
  <c r="O1138" i="3"/>
  <c r="N1138" i="3"/>
  <c r="M1138" i="3"/>
  <c r="L1138" i="3"/>
  <c r="K1138" i="3"/>
  <c r="E1138" i="3"/>
  <c r="J1138" i="3"/>
  <c r="D1138" i="3"/>
  <c r="H1138" i="3"/>
  <c r="I1138" i="3"/>
  <c r="S1124" i="3"/>
  <c r="P1124" i="3"/>
  <c r="O1124" i="3"/>
  <c r="M1124" i="3"/>
  <c r="N1124" i="3"/>
  <c r="L1124" i="3"/>
  <c r="J1124" i="3"/>
  <c r="K1124" i="3"/>
  <c r="E1124" i="3"/>
  <c r="D1124" i="3"/>
  <c r="H1124" i="3"/>
  <c r="I1124" i="3"/>
  <c r="S1128" i="3"/>
  <c r="P1128" i="3"/>
  <c r="O1128" i="3"/>
  <c r="M1128" i="3"/>
  <c r="N1128" i="3"/>
  <c r="L1128" i="3"/>
  <c r="K1128" i="3"/>
  <c r="J1128" i="3"/>
  <c r="E1128" i="3"/>
  <c r="D1128" i="3"/>
  <c r="H1128" i="3"/>
  <c r="I1128" i="3"/>
  <c r="S1083" i="3"/>
  <c r="P1083" i="3"/>
  <c r="O1083" i="3"/>
  <c r="M1083" i="3"/>
  <c r="N1083" i="3"/>
  <c r="L1083" i="3"/>
  <c r="J1083" i="3"/>
  <c r="K1083" i="3"/>
  <c r="E1083" i="3"/>
  <c r="D1083" i="3"/>
  <c r="H1083" i="3"/>
  <c r="I1083" i="3"/>
  <c r="S1119" i="3"/>
  <c r="P1119" i="3"/>
  <c r="O1119" i="3"/>
  <c r="N1119" i="3"/>
  <c r="M1119" i="3"/>
  <c r="L1119" i="3"/>
  <c r="J1119" i="3"/>
  <c r="K1119" i="3"/>
  <c r="E1119" i="3"/>
  <c r="D1119" i="3"/>
  <c r="H1119" i="3"/>
  <c r="I1119" i="3"/>
  <c r="S1062" i="3"/>
  <c r="P1062" i="3"/>
  <c r="O1062" i="3"/>
  <c r="N1062" i="3"/>
  <c r="M1062" i="3"/>
  <c r="L1062" i="3"/>
  <c r="K1062" i="3"/>
  <c r="J1062" i="3"/>
  <c r="E1062" i="3"/>
  <c r="D1062" i="3"/>
  <c r="H1062" i="3"/>
  <c r="I1062" i="3"/>
  <c r="S1101" i="3"/>
  <c r="P1101" i="3"/>
  <c r="O1101" i="3"/>
  <c r="N1101" i="3"/>
  <c r="M1101" i="3"/>
  <c r="L1101" i="3"/>
  <c r="K1101" i="3"/>
  <c r="J1101" i="3"/>
  <c r="E1101" i="3"/>
  <c r="D1101" i="3"/>
  <c r="H1101" i="3"/>
  <c r="I1101" i="3"/>
  <c r="S961" i="3"/>
  <c r="P961" i="3"/>
  <c r="O961" i="3"/>
  <c r="N961" i="3"/>
  <c r="M961" i="3"/>
  <c r="L961" i="3"/>
  <c r="K961" i="3"/>
  <c r="J961" i="3"/>
  <c r="E961" i="3"/>
  <c r="D961" i="3"/>
  <c r="H961" i="3"/>
  <c r="I961" i="3"/>
  <c r="S1079" i="3"/>
  <c r="P1079" i="3"/>
  <c r="O1079" i="3"/>
  <c r="N1079" i="3"/>
  <c r="M1079" i="3"/>
  <c r="K1079" i="3"/>
  <c r="L1079" i="3"/>
  <c r="J1079" i="3"/>
  <c r="E1079" i="3"/>
  <c r="D1079" i="3"/>
  <c r="H1079" i="3"/>
  <c r="I1079" i="3"/>
  <c r="S855" i="3"/>
  <c r="P855" i="3"/>
  <c r="O855" i="3"/>
  <c r="N855" i="3"/>
  <c r="L855" i="3"/>
  <c r="M855" i="3"/>
  <c r="K855" i="3"/>
  <c r="J855" i="3"/>
  <c r="E855" i="3"/>
  <c r="D855" i="3"/>
  <c r="H855" i="3"/>
  <c r="I855" i="3"/>
  <c r="S1065" i="3"/>
  <c r="P1065" i="3"/>
  <c r="O1065" i="3"/>
  <c r="N1065" i="3"/>
  <c r="M1065" i="3"/>
  <c r="L1065" i="3"/>
  <c r="K1065" i="3"/>
  <c r="J1065" i="3"/>
  <c r="E1065" i="3"/>
  <c r="D1065" i="3"/>
  <c r="H1065" i="3"/>
  <c r="I1065" i="3"/>
  <c r="S1058" i="3"/>
  <c r="P1058" i="3"/>
  <c r="O1058" i="3"/>
  <c r="N1058" i="3"/>
  <c r="M1058" i="3"/>
  <c r="L1058" i="3"/>
  <c r="K1058" i="3"/>
  <c r="E1058" i="3"/>
  <c r="J1058" i="3"/>
  <c r="D1058" i="3"/>
  <c r="H1058" i="3"/>
  <c r="I1058" i="3"/>
  <c r="S1031" i="3"/>
  <c r="P1031" i="3"/>
  <c r="O1031" i="3"/>
  <c r="N1031" i="3"/>
  <c r="M1031" i="3"/>
  <c r="L1031" i="3"/>
  <c r="J1031" i="3"/>
  <c r="K1031" i="3"/>
  <c r="E1031" i="3"/>
  <c r="D1031" i="3"/>
  <c r="H1031" i="3"/>
  <c r="I1031" i="3"/>
  <c r="S1036" i="3"/>
  <c r="P1036" i="3"/>
  <c r="O1036" i="3"/>
  <c r="N1036" i="3"/>
  <c r="M1036" i="3"/>
  <c r="L1036" i="3"/>
  <c r="K1036" i="3"/>
  <c r="J1036" i="3"/>
  <c r="E1036" i="3"/>
  <c r="D1036" i="3"/>
  <c r="H1036" i="3"/>
  <c r="I1036" i="3"/>
  <c r="S1001" i="3"/>
  <c r="P1001" i="3"/>
  <c r="O1001" i="3"/>
  <c r="N1001" i="3"/>
  <c r="M1001" i="3"/>
  <c r="L1001" i="3"/>
  <c r="K1001" i="3"/>
  <c r="E1001" i="3"/>
  <c r="J1001" i="3"/>
  <c r="D1001" i="3"/>
  <c r="H1001" i="3"/>
  <c r="I1001" i="3"/>
  <c r="S1014" i="3"/>
  <c r="P1014" i="3"/>
  <c r="O1014" i="3"/>
  <c r="N1014" i="3"/>
  <c r="M1014" i="3"/>
  <c r="L1014" i="3"/>
  <c r="K1014" i="3"/>
  <c r="J1014" i="3"/>
  <c r="E1014" i="3"/>
  <c r="D1014" i="3"/>
  <c r="H1014" i="3"/>
  <c r="I1014" i="3"/>
  <c r="S934" i="3"/>
  <c r="P934" i="3"/>
  <c r="O934" i="3"/>
  <c r="M934" i="3"/>
  <c r="N934" i="3"/>
  <c r="L934" i="3"/>
  <c r="J934" i="3"/>
  <c r="K934" i="3"/>
  <c r="D934" i="3"/>
  <c r="E934" i="3"/>
  <c r="H934" i="3"/>
  <c r="I934" i="3"/>
  <c r="S950" i="3"/>
  <c r="P950" i="3"/>
  <c r="O950" i="3"/>
  <c r="N950" i="3"/>
  <c r="M950" i="3"/>
  <c r="L950" i="3"/>
  <c r="K950" i="3"/>
  <c r="J950" i="3"/>
  <c r="E950" i="3"/>
  <c r="D950" i="3"/>
  <c r="H950" i="3"/>
  <c r="I950" i="3"/>
  <c r="S900" i="3"/>
  <c r="P900" i="3"/>
  <c r="O900" i="3"/>
  <c r="N900" i="3"/>
  <c r="M900" i="3"/>
  <c r="L900" i="3"/>
  <c r="K900" i="3"/>
  <c r="E900" i="3"/>
  <c r="J900" i="3"/>
  <c r="D900" i="3"/>
  <c r="H900" i="3"/>
  <c r="I900" i="3"/>
  <c r="S951" i="3"/>
  <c r="P951" i="3"/>
  <c r="O951" i="3"/>
  <c r="N951" i="3"/>
  <c r="M951" i="3"/>
  <c r="L951" i="3"/>
  <c r="K951" i="3"/>
  <c r="J951" i="3"/>
  <c r="E951" i="3"/>
  <c r="D951" i="3"/>
  <c r="H951" i="3"/>
  <c r="I951" i="3"/>
  <c r="S973" i="3"/>
  <c r="P973" i="3"/>
  <c r="O973" i="3"/>
  <c r="N973" i="3"/>
  <c r="M973" i="3"/>
  <c r="L973" i="3"/>
  <c r="K973" i="3"/>
  <c r="J973" i="3"/>
  <c r="E973" i="3"/>
  <c r="D973" i="3"/>
  <c r="I973" i="3"/>
  <c r="H973" i="3"/>
  <c r="S892" i="3"/>
  <c r="P892" i="3"/>
  <c r="O892" i="3"/>
  <c r="M892" i="3"/>
  <c r="N892" i="3"/>
  <c r="L892" i="3"/>
  <c r="K892" i="3"/>
  <c r="J892" i="3"/>
  <c r="E892" i="3"/>
  <c r="D892" i="3"/>
  <c r="H892" i="3"/>
  <c r="I892" i="3"/>
  <c r="S876" i="3"/>
  <c r="P876" i="3"/>
  <c r="O876" i="3"/>
  <c r="N876" i="3"/>
  <c r="M876" i="3"/>
  <c r="L876" i="3"/>
  <c r="J876" i="3"/>
  <c r="K876" i="3"/>
  <c r="E876" i="3"/>
  <c r="D876" i="3"/>
  <c r="I876" i="3"/>
  <c r="H876" i="3"/>
  <c r="S733" i="3"/>
  <c r="P733" i="3"/>
  <c r="O733" i="3"/>
  <c r="N733" i="3"/>
  <c r="M733" i="3"/>
  <c r="L733" i="3"/>
  <c r="K733" i="3"/>
  <c r="J733" i="3"/>
  <c r="E733" i="3"/>
  <c r="D733" i="3"/>
  <c r="H733" i="3"/>
  <c r="I733" i="3"/>
  <c r="S845" i="3"/>
  <c r="P845" i="3"/>
  <c r="O845" i="3"/>
  <c r="N845" i="3"/>
  <c r="M845" i="3"/>
  <c r="K845" i="3"/>
  <c r="L845" i="3"/>
  <c r="J845" i="3"/>
  <c r="E845" i="3"/>
  <c r="D845" i="3"/>
  <c r="H845" i="3"/>
  <c r="I845" i="3"/>
  <c r="S880" i="3"/>
  <c r="P880" i="3"/>
  <c r="O880" i="3"/>
  <c r="N880" i="3"/>
  <c r="M880" i="3"/>
  <c r="L880" i="3"/>
  <c r="K880" i="3"/>
  <c r="E880" i="3"/>
  <c r="J880" i="3"/>
  <c r="D880" i="3"/>
  <c r="H880" i="3"/>
  <c r="I880" i="3"/>
  <c r="S815" i="3"/>
  <c r="P815" i="3"/>
  <c r="O815" i="3"/>
  <c r="N815" i="3"/>
  <c r="M815" i="3"/>
  <c r="L815" i="3"/>
  <c r="K815" i="3"/>
  <c r="J815" i="3"/>
  <c r="E815" i="3"/>
  <c r="D815" i="3"/>
  <c r="H815" i="3"/>
  <c r="I815" i="3"/>
  <c r="S806" i="3"/>
  <c r="P806" i="3"/>
  <c r="O806" i="3"/>
  <c r="N806" i="3"/>
  <c r="M806" i="3"/>
  <c r="L806" i="3"/>
  <c r="K806" i="3"/>
  <c r="E806" i="3"/>
  <c r="J806" i="3"/>
  <c r="D806" i="3"/>
  <c r="H806" i="3"/>
  <c r="I806" i="3"/>
  <c r="S840" i="3"/>
  <c r="P840" i="3"/>
  <c r="O840" i="3"/>
  <c r="N840" i="3"/>
  <c r="M840" i="3"/>
  <c r="L840" i="3"/>
  <c r="K840" i="3"/>
  <c r="J840" i="3"/>
  <c r="E840" i="3"/>
  <c r="D840" i="3"/>
  <c r="H840" i="3"/>
  <c r="I840" i="3"/>
  <c r="S776" i="3"/>
  <c r="P776" i="3"/>
  <c r="O776" i="3"/>
  <c r="N776" i="3"/>
  <c r="M776" i="3"/>
  <c r="L776" i="3"/>
  <c r="K776" i="3"/>
  <c r="J776" i="3"/>
  <c r="E776" i="3"/>
  <c r="D776" i="3"/>
  <c r="H776" i="3"/>
  <c r="I776" i="3"/>
  <c r="S649" i="3"/>
  <c r="P649" i="3"/>
  <c r="O649" i="3"/>
  <c r="N649" i="3"/>
  <c r="M649" i="3"/>
  <c r="L649" i="3"/>
  <c r="K649" i="3"/>
  <c r="J649" i="3"/>
  <c r="D649" i="3"/>
  <c r="H649" i="3"/>
  <c r="I649" i="3"/>
  <c r="E649" i="3"/>
  <c r="S705" i="3"/>
  <c r="P705" i="3"/>
  <c r="O705" i="3"/>
  <c r="N705" i="3"/>
  <c r="M705" i="3"/>
  <c r="L705" i="3"/>
  <c r="K705" i="3"/>
  <c r="E705" i="3"/>
  <c r="D705" i="3"/>
  <c r="J705" i="3"/>
  <c r="H705" i="3"/>
  <c r="I705" i="3"/>
  <c r="S730" i="3"/>
  <c r="P730" i="3"/>
  <c r="O730" i="3"/>
  <c r="M730" i="3"/>
  <c r="N730" i="3"/>
  <c r="L730" i="3"/>
  <c r="J730" i="3"/>
  <c r="K730" i="3"/>
  <c r="E730" i="3"/>
  <c r="D730" i="3"/>
  <c r="H730" i="3"/>
  <c r="I730" i="3"/>
  <c r="S761" i="3"/>
  <c r="P761" i="3"/>
  <c r="O761" i="3"/>
  <c r="M761" i="3"/>
  <c r="L761" i="3"/>
  <c r="N761" i="3"/>
  <c r="K761" i="3"/>
  <c r="J761" i="3"/>
  <c r="E761" i="3"/>
  <c r="D761" i="3"/>
  <c r="H761" i="3"/>
  <c r="I761" i="3"/>
  <c r="S796" i="3"/>
  <c r="P796" i="3"/>
  <c r="O796" i="3"/>
  <c r="N796" i="3"/>
  <c r="M796" i="3"/>
  <c r="L796" i="3"/>
  <c r="K796" i="3"/>
  <c r="J796" i="3"/>
  <c r="E796" i="3"/>
  <c r="D796" i="3"/>
  <c r="H796" i="3"/>
  <c r="I796" i="3"/>
  <c r="S769" i="3"/>
  <c r="P769" i="3"/>
  <c r="O769" i="3"/>
  <c r="N769" i="3"/>
  <c r="M769" i="3"/>
  <c r="L769" i="3"/>
  <c r="J769" i="3"/>
  <c r="K769" i="3"/>
  <c r="E769" i="3"/>
  <c r="D769" i="3"/>
  <c r="H769" i="3"/>
  <c r="I769" i="3"/>
  <c r="S667" i="3"/>
  <c r="P667" i="3"/>
  <c r="O667" i="3"/>
  <c r="N667" i="3"/>
  <c r="M667" i="3"/>
  <c r="L667" i="3"/>
  <c r="K667" i="3"/>
  <c r="J667" i="3"/>
  <c r="E667" i="3"/>
  <c r="D667" i="3"/>
  <c r="H667" i="3"/>
  <c r="I667" i="3"/>
  <c r="S655" i="3"/>
  <c r="P655" i="3"/>
  <c r="O655" i="3"/>
  <c r="N655" i="3"/>
  <c r="M655" i="3"/>
  <c r="L655" i="3"/>
  <c r="K655" i="3"/>
  <c r="J655" i="3"/>
  <c r="E655" i="3"/>
  <c r="D655" i="3"/>
  <c r="H655" i="3"/>
  <c r="I655" i="3"/>
  <c r="S729" i="3"/>
  <c r="P729" i="3"/>
  <c r="O729" i="3"/>
  <c r="N729" i="3"/>
  <c r="L729" i="3"/>
  <c r="M729" i="3"/>
  <c r="K729" i="3"/>
  <c r="J729" i="3"/>
  <c r="E729" i="3"/>
  <c r="D729" i="3"/>
  <c r="H729" i="3"/>
  <c r="I729" i="3"/>
  <c r="S630" i="3"/>
  <c r="P630" i="3"/>
  <c r="O630" i="3"/>
  <c r="N630" i="3"/>
  <c r="M630" i="3"/>
  <c r="L630" i="3"/>
  <c r="K630" i="3"/>
  <c r="J630" i="3"/>
  <c r="E630" i="3"/>
  <c r="D630" i="3"/>
  <c r="H630" i="3"/>
  <c r="I630" i="3"/>
  <c r="S650" i="3"/>
  <c r="P650" i="3"/>
  <c r="O650" i="3"/>
  <c r="N650" i="3"/>
  <c r="M650" i="3"/>
  <c r="L650" i="3"/>
  <c r="J650" i="3"/>
  <c r="K650" i="3"/>
  <c r="E650" i="3"/>
  <c r="D650" i="3"/>
  <c r="H650" i="3"/>
  <c r="I650" i="3"/>
  <c r="S598" i="3"/>
  <c r="P598" i="3"/>
  <c r="O598" i="3"/>
  <c r="N598" i="3"/>
  <c r="M598" i="3"/>
  <c r="L598" i="3"/>
  <c r="K598" i="3"/>
  <c r="J598" i="3"/>
  <c r="E598" i="3"/>
  <c r="D598" i="3"/>
  <c r="H598" i="3"/>
  <c r="I598" i="3"/>
  <c r="S626" i="3"/>
  <c r="P626" i="3"/>
  <c r="O626" i="3"/>
  <c r="N626" i="3"/>
  <c r="M626" i="3"/>
  <c r="L626" i="3"/>
  <c r="J626" i="3"/>
  <c r="K626" i="3"/>
  <c r="D626" i="3"/>
  <c r="H626" i="3"/>
  <c r="E626" i="3"/>
  <c r="I626" i="3"/>
  <c r="S619" i="3"/>
  <c r="P619" i="3"/>
  <c r="O619" i="3"/>
  <c r="N619" i="3"/>
  <c r="M619" i="3"/>
  <c r="L619" i="3"/>
  <c r="K619" i="3"/>
  <c r="J619" i="3"/>
  <c r="E619" i="3"/>
  <c r="D619" i="3"/>
  <c r="I619" i="3"/>
  <c r="H619" i="3"/>
  <c r="S610" i="3"/>
  <c r="P610" i="3"/>
  <c r="O610" i="3"/>
  <c r="N610" i="3"/>
  <c r="M610" i="3"/>
  <c r="L610" i="3"/>
  <c r="K610" i="3"/>
  <c r="J610" i="3"/>
  <c r="E610" i="3"/>
  <c r="D610" i="3"/>
  <c r="H610" i="3"/>
  <c r="I610" i="3"/>
  <c r="S546" i="3"/>
  <c r="P546" i="3"/>
  <c r="O546" i="3"/>
  <c r="N546" i="3"/>
  <c r="M546" i="3"/>
  <c r="L546" i="3"/>
  <c r="K546" i="3"/>
  <c r="J546" i="3"/>
  <c r="E546" i="3"/>
  <c r="D546" i="3"/>
  <c r="H546" i="3"/>
  <c r="I546" i="3"/>
  <c r="S586" i="3"/>
  <c r="P586" i="3"/>
  <c r="O586" i="3"/>
  <c r="N586" i="3"/>
  <c r="M586" i="3"/>
  <c r="L586" i="3"/>
  <c r="K586" i="3"/>
  <c r="J586" i="3"/>
  <c r="E586" i="3"/>
  <c r="D586" i="3"/>
  <c r="H586" i="3"/>
  <c r="I586" i="3"/>
  <c r="S614" i="3"/>
  <c r="P614" i="3"/>
  <c r="O614" i="3"/>
  <c r="N614" i="3"/>
  <c r="M614" i="3"/>
  <c r="L614" i="3"/>
  <c r="K614" i="3"/>
  <c r="J614" i="3"/>
  <c r="E614" i="3"/>
  <c r="D614" i="3"/>
  <c r="H614" i="3"/>
  <c r="I614" i="3"/>
  <c r="S511" i="3"/>
  <c r="P511" i="3"/>
  <c r="N511" i="3"/>
  <c r="O511" i="3"/>
  <c r="M511" i="3"/>
  <c r="L511" i="3"/>
  <c r="K511" i="3"/>
  <c r="J511" i="3"/>
  <c r="E511" i="3"/>
  <c r="D511" i="3"/>
  <c r="H511" i="3"/>
  <c r="I511" i="3"/>
  <c r="S534" i="3"/>
  <c r="P534" i="3"/>
  <c r="O534" i="3"/>
  <c r="N534" i="3"/>
  <c r="M534" i="3"/>
  <c r="L534" i="3"/>
  <c r="K534" i="3"/>
  <c r="J534" i="3"/>
  <c r="D534" i="3"/>
  <c r="E534" i="3"/>
  <c r="H534" i="3"/>
  <c r="I534" i="3"/>
  <c r="S523" i="3"/>
  <c r="P523" i="3"/>
  <c r="O523" i="3"/>
  <c r="N523" i="3"/>
  <c r="M523" i="3"/>
  <c r="L523" i="3"/>
  <c r="K523" i="3"/>
  <c r="E523" i="3"/>
  <c r="J523" i="3"/>
  <c r="D523" i="3"/>
  <c r="H523" i="3"/>
  <c r="I523" i="3"/>
  <c r="S552" i="3"/>
  <c r="P552" i="3"/>
  <c r="O552" i="3"/>
  <c r="N552" i="3"/>
  <c r="M552" i="3"/>
  <c r="K552" i="3"/>
  <c r="L552" i="3"/>
  <c r="J552" i="3"/>
  <c r="E552" i="3"/>
  <c r="D552" i="3"/>
  <c r="H552" i="3"/>
  <c r="I552" i="3"/>
  <c r="S501" i="3"/>
  <c r="P501" i="3"/>
  <c r="O501" i="3"/>
  <c r="N501" i="3"/>
  <c r="M501" i="3"/>
  <c r="L501" i="3"/>
  <c r="K501" i="3"/>
  <c r="J501" i="3"/>
  <c r="E501" i="3"/>
  <c r="D501" i="3"/>
  <c r="H501" i="3"/>
  <c r="I501" i="3"/>
  <c r="S467" i="3"/>
  <c r="P467" i="3"/>
  <c r="O467" i="3"/>
  <c r="N467" i="3"/>
  <c r="M467" i="3"/>
  <c r="K467" i="3"/>
  <c r="L467" i="3"/>
  <c r="J467" i="3"/>
  <c r="E467" i="3"/>
  <c r="D467" i="3"/>
  <c r="H467" i="3"/>
  <c r="I467" i="3"/>
  <c r="S473" i="3"/>
  <c r="P473" i="3"/>
  <c r="O473" i="3"/>
  <c r="N473" i="3"/>
  <c r="M473" i="3"/>
  <c r="L473" i="3"/>
  <c r="K473" i="3"/>
  <c r="J473" i="3"/>
  <c r="E473" i="3"/>
  <c r="D473" i="3"/>
  <c r="H473" i="3"/>
  <c r="I473" i="3"/>
  <c r="S472" i="3"/>
  <c r="P472" i="3"/>
  <c r="N472" i="3"/>
  <c r="O472" i="3"/>
  <c r="M472" i="3"/>
  <c r="L472" i="3"/>
  <c r="K472" i="3"/>
  <c r="J472" i="3"/>
  <c r="E472" i="3"/>
  <c r="D472" i="3"/>
  <c r="H472" i="3"/>
  <c r="I472" i="3"/>
  <c r="S460" i="3"/>
  <c r="P460" i="3"/>
  <c r="O460" i="3"/>
  <c r="N460" i="3"/>
  <c r="M460" i="3"/>
  <c r="L460" i="3"/>
  <c r="K460" i="3"/>
  <c r="J460" i="3"/>
  <c r="E460" i="3"/>
  <c r="D460" i="3"/>
  <c r="H460" i="3"/>
  <c r="I460" i="3"/>
  <c r="S442" i="3"/>
  <c r="P442" i="3"/>
  <c r="O442" i="3"/>
  <c r="N442" i="3"/>
  <c r="M442" i="3"/>
  <c r="L442" i="3"/>
  <c r="K442" i="3"/>
  <c r="J442" i="3"/>
  <c r="E442" i="3"/>
  <c r="D442" i="3"/>
  <c r="I442" i="3"/>
  <c r="H442" i="3"/>
  <c r="S385" i="3"/>
  <c r="P385" i="3"/>
  <c r="O385" i="3"/>
  <c r="N385" i="3"/>
  <c r="L385" i="3"/>
  <c r="M385" i="3"/>
  <c r="K385" i="3"/>
  <c r="J385" i="3"/>
  <c r="E385" i="3"/>
  <c r="D385" i="3"/>
  <c r="H385" i="3"/>
  <c r="I385" i="3"/>
  <c r="S387" i="3"/>
  <c r="P387" i="3"/>
  <c r="N387" i="3"/>
  <c r="O387" i="3"/>
  <c r="L387" i="3"/>
  <c r="K387" i="3"/>
  <c r="M387" i="3"/>
  <c r="J387" i="3"/>
  <c r="E387" i="3"/>
  <c r="D387" i="3"/>
  <c r="H387" i="3"/>
  <c r="I387" i="3"/>
  <c r="S386" i="3"/>
  <c r="P386" i="3"/>
  <c r="O386" i="3"/>
  <c r="N386" i="3"/>
  <c r="M386" i="3"/>
  <c r="L386" i="3"/>
  <c r="K386" i="3"/>
  <c r="J386" i="3"/>
  <c r="E386" i="3"/>
  <c r="I386" i="3"/>
  <c r="H386" i="3"/>
  <c r="D386" i="3"/>
  <c r="S332" i="3"/>
  <c r="P332" i="3"/>
  <c r="N332" i="3"/>
  <c r="M332" i="3"/>
  <c r="O332" i="3"/>
  <c r="L332" i="3"/>
  <c r="K332" i="3"/>
  <c r="J332" i="3"/>
  <c r="E332" i="3"/>
  <c r="D332" i="3"/>
  <c r="H332" i="3"/>
  <c r="I332" i="3"/>
  <c r="S337" i="3"/>
  <c r="P337" i="3"/>
  <c r="O337" i="3"/>
  <c r="N337" i="3"/>
  <c r="M337" i="3"/>
  <c r="L337" i="3"/>
  <c r="K337" i="3"/>
  <c r="J337" i="3"/>
  <c r="E337" i="3"/>
  <c r="D337" i="3"/>
  <c r="H337" i="3"/>
  <c r="I337" i="3"/>
  <c r="S315" i="3"/>
  <c r="P315" i="3"/>
  <c r="O315" i="3"/>
  <c r="N315" i="3"/>
  <c r="M315" i="3"/>
  <c r="L315" i="3"/>
  <c r="K315" i="3"/>
  <c r="J315" i="3"/>
  <c r="D315" i="3"/>
  <c r="E315" i="3"/>
  <c r="H315" i="3"/>
  <c r="I315" i="3"/>
  <c r="S291" i="3"/>
  <c r="P291" i="3"/>
  <c r="O291" i="3"/>
  <c r="N291" i="3"/>
  <c r="M291" i="3"/>
  <c r="K291" i="3"/>
  <c r="L291" i="3"/>
  <c r="J291" i="3"/>
  <c r="E291" i="3"/>
  <c r="H291" i="3"/>
  <c r="I291" i="3"/>
  <c r="D291" i="3"/>
  <c r="S254" i="3"/>
  <c r="P254" i="3"/>
  <c r="O254" i="3"/>
  <c r="N254" i="3"/>
  <c r="M254" i="3"/>
  <c r="K254" i="3"/>
  <c r="L254" i="3"/>
  <c r="J254" i="3"/>
  <c r="E254" i="3"/>
  <c r="D254" i="3"/>
  <c r="H254" i="3"/>
  <c r="I254" i="3"/>
  <c r="S262" i="3"/>
  <c r="P262" i="3"/>
  <c r="O262" i="3"/>
  <c r="N262" i="3"/>
  <c r="M262" i="3"/>
  <c r="L262" i="3"/>
  <c r="K262" i="3"/>
  <c r="J262" i="3"/>
  <c r="D262" i="3"/>
  <c r="E262" i="3"/>
  <c r="I262" i="3"/>
  <c r="H262" i="3"/>
  <c r="S197" i="3"/>
  <c r="P197" i="3"/>
  <c r="O197" i="3"/>
  <c r="N197" i="3"/>
  <c r="L197" i="3"/>
  <c r="M197" i="3"/>
  <c r="K197" i="3"/>
  <c r="J197" i="3"/>
  <c r="D197" i="3"/>
  <c r="E197" i="3"/>
  <c r="H197" i="3"/>
  <c r="I197" i="3"/>
  <c r="S179" i="3"/>
  <c r="P179" i="3"/>
  <c r="O179" i="3"/>
  <c r="N179" i="3"/>
  <c r="M179" i="3"/>
  <c r="L179" i="3"/>
  <c r="K179" i="3"/>
  <c r="J179" i="3"/>
  <c r="E179" i="3"/>
  <c r="H179" i="3"/>
  <c r="D179" i="3"/>
  <c r="I179" i="3"/>
  <c r="S147" i="3"/>
  <c r="P147" i="3"/>
  <c r="O147" i="3"/>
  <c r="N147" i="3"/>
  <c r="M147" i="3"/>
  <c r="L147" i="3"/>
  <c r="K147" i="3"/>
  <c r="J147" i="3"/>
  <c r="E147" i="3"/>
  <c r="D147" i="3"/>
  <c r="H147" i="3"/>
  <c r="I147" i="3"/>
  <c r="S143" i="3"/>
  <c r="P143" i="3"/>
  <c r="O143" i="3"/>
  <c r="N143" i="3"/>
  <c r="M143" i="3"/>
  <c r="L143" i="3"/>
  <c r="K143" i="3"/>
  <c r="J143" i="3"/>
  <c r="D143" i="3"/>
  <c r="E143" i="3"/>
  <c r="I143" i="3"/>
  <c r="H143" i="3"/>
  <c r="S137" i="3"/>
  <c r="P137" i="3"/>
  <c r="O137" i="3"/>
  <c r="N137" i="3"/>
  <c r="M137" i="3"/>
  <c r="L137" i="3"/>
  <c r="K137" i="3"/>
  <c r="J137" i="3"/>
  <c r="D137" i="3"/>
  <c r="E137" i="3"/>
  <c r="H137" i="3"/>
  <c r="I137" i="3"/>
  <c r="S124" i="3"/>
  <c r="P124" i="3"/>
  <c r="O124" i="3"/>
  <c r="N124" i="3"/>
  <c r="M124" i="3"/>
  <c r="L124" i="3"/>
  <c r="K124" i="3"/>
  <c r="J124" i="3"/>
  <c r="D124" i="3"/>
  <c r="E124" i="3"/>
  <c r="I124" i="3"/>
  <c r="H124" i="3"/>
  <c r="S111" i="3"/>
  <c r="P111" i="3"/>
  <c r="O111" i="3"/>
  <c r="N111" i="3"/>
  <c r="M111" i="3"/>
  <c r="L111" i="3"/>
  <c r="K111" i="3"/>
  <c r="J111" i="3"/>
  <c r="E111" i="3"/>
  <c r="D111" i="3"/>
  <c r="I111" i="3"/>
  <c r="H111" i="3"/>
  <c r="S60" i="3"/>
  <c r="P60" i="3"/>
  <c r="N60" i="3"/>
  <c r="O60" i="3"/>
  <c r="M60" i="3"/>
  <c r="K60" i="3"/>
  <c r="J60" i="3"/>
  <c r="L60" i="3"/>
  <c r="D60" i="3"/>
  <c r="E60" i="3"/>
  <c r="I60" i="3"/>
  <c r="H60" i="3"/>
  <c r="S51" i="3"/>
  <c r="P51" i="3"/>
  <c r="O51" i="3"/>
  <c r="N51" i="3"/>
  <c r="M51" i="3"/>
  <c r="L51" i="3"/>
  <c r="K51" i="3"/>
  <c r="J51" i="3"/>
  <c r="D51" i="3"/>
  <c r="E51" i="3"/>
  <c r="I51" i="3"/>
  <c r="H51" i="3"/>
  <c r="S42" i="3"/>
  <c r="P42" i="3"/>
  <c r="O42" i="3"/>
  <c r="N42" i="3"/>
  <c r="M42" i="3"/>
  <c r="K42" i="3"/>
  <c r="L42" i="3"/>
  <c r="J42" i="3"/>
  <c r="E42" i="3"/>
  <c r="D42" i="3"/>
  <c r="H42" i="3"/>
  <c r="I42" i="3"/>
  <c r="S38" i="3"/>
  <c r="P38" i="3"/>
  <c r="O38" i="3"/>
  <c r="N38" i="3"/>
  <c r="M38" i="3"/>
  <c r="L38" i="3"/>
  <c r="K38" i="3"/>
  <c r="E38" i="3"/>
  <c r="J38" i="3"/>
  <c r="D38" i="3"/>
  <c r="H38" i="3"/>
  <c r="I38" i="3"/>
  <c r="S21" i="3"/>
  <c r="P21" i="3"/>
  <c r="O21" i="3"/>
  <c r="N21" i="3"/>
  <c r="M21" i="3"/>
  <c r="L21" i="3"/>
  <c r="K21" i="3"/>
  <c r="J21" i="3"/>
  <c r="E21" i="3"/>
  <c r="D21" i="3"/>
  <c r="I21" i="3"/>
  <c r="H21" i="3"/>
  <c r="S9" i="3"/>
  <c r="P9" i="3"/>
  <c r="O9" i="3"/>
  <c r="N9" i="3"/>
  <c r="M9" i="3"/>
  <c r="L9" i="3"/>
  <c r="K9" i="3"/>
  <c r="J9" i="3"/>
  <c r="E9" i="3"/>
  <c r="D9" i="3"/>
  <c r="H9" i="3"/>
  <c r="I9" i="3"/>
  <c r="S281" i="3"/>
  <c r="P281" i="3"/>
  <c r="N281" i="3"/>
  <c r="O281" i="3"/>
  <c r="M281" i="3"/>
  <c r="L281" i="3"/>
  <c r="K281" i="3"/>
  <c r="J281" i="3"/>
  <c r="E281" i="3"/>
  <c r="D281" i="3"/>
  <c r="H281" i="3"/>
  <c r="I281" i="3"/>
  <c r="S668" i="3"/>
  <c r="P668" i="3"/>
  <c r="O668" i="3"/>
  <c r="N668" i="3"/>
  <c r="L668" i="3"/>
  <c r="M668" i="3"/>
  <c r="K668" i="3"/>
  <c r="J668" i="3"/>
  <c r="E668" i="3"/>
  <c r="D668" i="3"/>
  <c r="H668" i="3"/>
  <c r="I668" i="3"/>
  <c r="S1174" i="3"/>
  <c r="P1174" i="3"/>
  <c r="O1174" i="3"/>
  <c r="N1174" i="3"/>
  <c r="M1174" i="3"/>
  <c r="L1174" i="3"/>
  <c r="K1174" i="3"/>
  <c r="J1174" i="3"/>
  <c r="E1174" i="3"/>
  <c r="D1174" i="3"/>
  <c r="H1174" i="3"/>
  <c r="I1174" i="3"/>
  <c r="S812" i="3"/>
  <c r="P812" i="3"/>
  <c r="O812" i="3"/>
  <c r="N812" i="3"/>
  <c r="M812" i="3"/>
  <c r="L812" i="3"/>
  <c r="K812" i="3"/>
  <c r="J812" i="3"/>
  <c r="E812" i="3"/>
  <c r="D812" i="3"/>
  <c r="H812" i="3"/>
  <c r="I812" i="3"/>
  <c r="S914" i="3"/>
  <c r="P914" i="3"/>
  <c r="O914" i="3"/>
  <c r="M914" i="3"/>
  <c r="N914" i="3"/>
  <c r="L914" i="3"/>
  <c r="J914" i="3"/>
  <c r="K914" i="3"/>
  <c r="E914" i="3"/>
  <c r="D914" i="3"/>
  <c r="H914" i="3"/>
  <c r="I914" i="3"/>
  <c r="S106" i="3"/>
  <c r="P106" i="3"/>
  <c r="O106" i="3"/>
  <c r="N106" i="3"/>
  <c r="M106" i="3"/>
  <c r="L106" i="3"/>
  <c r="K106" i="3"/>
  <c r="J106" i="3"/>
  <c r="E106" i="3"/>
  <c r="D106" i="3"/>
  <c r="H106" i="3"/>
  <c r="I106" i="3"/>
  <c r="S271" i="3"/>
  <c r="P271" i="3"/>
  <c r="O271" i="3"/>
  <c r="N271" i="3"/>
  <c r="M271" i="3"/>
  <c r="L271" i="3"/>
  <c r="K271" i="3"/>
  <c r="J271" i="3"/>
  <c r="E271" i="3"/>
  <c r="D271" i="3"/>
  <c r="H271" i="3"/>
  <c r="I271" i="3"/>
  <c r="S1199" i="3"/>
  <c r="P1199" i="3"/>
  <c r="M1199" i="3"/>
  <c r="O1199" i="3"/>
  <c r="L1199" i="3"/>
  <c r="N1199" i="3"/>
  <c r="K1199" i="3"/>
  <c r="J1199" i="3"/>
  <c r="E1199" i="3"/>
  <c r="D1199" i="3"/>
  <c r="H1199" i="3"/>
  <c r="I1199" i="3"/>
  <c r="S191" i="3"/>
  <c r="P191" i="3"/>
  <c r="O191" i="3"/>
  <c r="M191" i="3"/>
  <c r="N191" i="3"/>
  <c r="L191" i="3"/>
  <c r="K191" i="3"/>
  <c r="J191" i="3"/>
  <c r="E191" i="3"/>
  <c r="D191" i="3"/>
  <c r="H191" i="3"/>
  <c r="I191" i="3"/>
  <c r="S632" i="3"/>
  <c r="P632" i="3"/>
  <c r="N632" i="3"/>
  <c r="O632" i="3"/>
  <c r="M632" i="3"/>
  <c r="L632" i="3"/>
  <c r="K632" i="3"/>
  <c r="E632" i="3"/>
  <c r="J632" i="3"/>
  <c r="D632" i="3"/>
  <c r="H632" i="3"/>
  <c r="I632" i="3"/>
  <c r="S1211" i="3"/>
  <c r="P1211" i="3"/>
  <c r="O1211" i="3"/>
  <c r="N1211" i="3"/>
  <c r="M1211" i="3"/>
  <c r="L1211" i="3"/>
  <c r="K1211" i="3"/>
  <c r="J1211" i="3"/>
  <c r="E1211" i="3"/>
  <c r="D1211" i="3"/>
  <c r="H1211" i="3"/>
  <c r="I1211" i="3"/>
  <c r="S1217" i="3"/>
  <c r="P1217" i="3"/>
  <c r="O1217" i="3"/>
  <c r="N1217" i="3"/>
  <c r="M1217" i="3"/>
  <c r="L1217" i="3"/>
  <c r="K1217" i="3"/>
  <c r="J1217" i="3"/>
  <c r="E1217" i="3"/>
  <c r="D1217" i="3"/>
  <c r="H1217" i="3"/>
  <c r="I1217" i="3"/>
  <c r="S104" i="3"/>
  <c r="P104" i="3"/>
  <c r="O104" i="3"/>
  <c r="N104" i="3"/>
  <c r="M104" i="3"/>
  <c r="L104" i="3"/>
  <c r="K104" i="3"/>
  <c r="J104" i="3"/>
  <c r="E104" i="3"/>
  <c r="D104" i="3"/>
  <c r="I104" i="3"/>
  <c r="H104" i="3"/>
  <c r="S1201" i="3"/>
  <c r="P1201" i="3"/>
  <c r="O1201" i="3"/>
  <c r="N1201" i="3"/>
  <c r="M1201" i="3"/>
  <c r="L1201" i="3"/>
  <c r="K1201" i="3"/>
  <c r="E1201" i="3"/>
  <c r="J1201" i="3"/>
  <c r="D1201" i="3"/>
  <c r="H1201" i="3"/>
  <c r="I1201" i="3"/>
  <c r="S365" i="3"/>
  <c r="P365" i="3"/>
  <c r="O365" i="3"/>
  <c r="N365" i="3"/>
  <c r="M365" i="3"/>
  <c r="L365" i="3"/>
  <c r="K365" i="3"/>
  <c r="J365" i="3"/>
  <c r="E365" i="3"/>
  <c r="D365" i="3"/>
  <c r="H365" i="3"/>
  <c r="I365" i="3"/>
  <c r="S242" i="3"/>
  <c r="P242" i="3"/>
  <c r="O242" i="3"/>
  <c r="N242" i="3"/>
  <c r="M242" i="3"/>
  <c r="L242" i="3"/>
  <c r="K242" i="3"/>
  <c r="J242" i="3"/>
  <c r="E242" i="3"/>
  <c r="D242" i="3"/>
  <c r="H242" i="3"/>
  <c r="I242" i="3"/>
  <c r="S943" i="3"/>
  <c r="P943" i="3"/>
  <c r="O943" i="3"/>
  <c r="N943" i="3"/>
  <c r="M943" i="3"/>
  <c r="L943" i="3"/>
  <c r="K943" i="3"/>
  <c r="J943" i="3"/>
  <c r="E943" i="3"/>
  <c r="D943" i="3"/>
  <c r="H943" i="3"/>
  <c r="I943" i="3"/>
  <c r="S1157" i="3"/>
  <c r="P1157" i="3"/>
  <c r="O1157" i="3"/>
  <c r="N1157" i="3"/>
  <c r="M1157" i="3"/>
  <c r="L1157" i="3"/>
  <c r="J1157" i="3"/>
  <c r="K1157" i="3"/>
  <c r="D1157" i="3"/>
  <c r="E1157" i="3"/>
  <c r="H1157" i="3"/>
  <c r="I1157" i="3"/>
  <c r="S257" i="3"/>
  <c r="P257" i="3"/>
  <c r="O257" i="3"/>
  <c r="N257" i="3"/>
  <c r="M257" i="3"/>
  <c r="L257" i="3"/>
  <c r="K257" i="3"/>
  <c r="J257" i="3"/>
  <c r="D257" i="3"/>
  <c r="E257" i="3"/>
  <c r="I257" i="3"/>
  <c r="H257" i="3"/>
  <c r="S964" i="3"/>
  <c r="P964" i="3"/>
  <c r="O964" i="3"/>
  <c r="N964" i="3"/>
  <c r="M964" i="3"/>
  <c r="K964" i="3"/>
  <c r="L964" i="3"/>
  <c r="E964" i="3"/>
  <c r="J964" i="3"/>
  <c r="D964" i="3"/>
  <c r="H964" i="3"/>
  <c r="I964" i="3"/>
  <c r="S998" i="3"/>
  <c r="P998" i="3"/>
  <c r="O998" i="3"/>
  <c r="M998" i="3"/>
  <c r="N998" i="3"/>
  <c r="L998" i="3"/>
  <c r="J998" i="3"/>
  <c r="K998" i="3"/>
  <c r="E998" i="3"/>
  <c r="D998" i="3"/>
  <c r="H998" i="3"/>
  <c r="I998" i="3"/>
  <c r="S103" i="3"/>
  <c r="P103" i="3"/>
  <c r="O103" i="3"/>
  <c r="N103" i="3"/>
  <c r="M103" i="3"/>
  <c r="L103" i="3"/>
  <c r="K103" i="3"/>
  <c r="J103" i="3"/>
  <c r="D103" i="3"/>
  <c r="E103" i="3"/>
  <c r="I103" i="3"/>
  <c r="H103" i="3"/>
  <c r="S863" i="3"/>
  <c r="P863" i="3"/>
  <c r="O863" i="3"/>
  <c r="N863" i="3"/>
  <c r="M863" i="3"/>
  <c r="L863" i="3"/>
  <c r="J863" i="3"/>
  <c r="K863" i="3"/>
  <c r="E863" i="3"/>
  <c r="D863" i="3"/>
  <c r="H863" i="3"/>
  <c r="I863" i="3"/>
  <c r="S69" i="3"/>
  <c r="P69" i="3"/>
  <c r="O69" i="3"/>
  <c r="N69" i="3"/>
  <c r="M69" i="3"/>
  <c r="L69" i="3"/>
  <c r="K69" i="3"/>
  <c r="J69" i="3"/>
  <c r="D69" i="3"/>
  <c r="E69" i="3"/>
  <c r="I69" i="3"/>
  <c r="H69" i="3"/>
  <c r="S1153" i="3"/>
  <c r="P1153" i="3"/>
  <c r="O1153" i="3"/>
  <c r="N1153" i="3"/>
  <c r="M1153" i="3"/>
  <c r="L1153" i="3"/>
  <c r="K1153" i="3"/>
  <c r="E1153" i="3"/>
  <c r="J1153" i="3"/>
  <c r="D1153" i="3"/>
  <c r="H1153" i="3"/>
  <c r="I1153" i="3"/>
  <c r="S395" i="3"/>
  <c r="P395" i="3"/>
  <c r="O395" i="3"/>
  <c r="N395" i="3"/>
  <c r="M395" i="3"/>
  <c r="L395" i="3"/>
  <c r="K395" i="3"/>
  <c r="J395" i="3"/>
  <c r="D395" i="3"/>
  <c r="E395" i="3"/>
  <c r="H395" i="3"/>
  <c r="I395" i="3"/>
  <c r="S735" i="3"/>
  <c r="P735" i="3"/>
  <c r="M735" i="3"/>
  <c r="N735" i="3"/>
  <c r="L735" i="3"/>
  <c r="O735" i="3"/>
  <c r="J735" i="3"/>
  <c r="K735" i="3"/>
  <c r="E735" i="3"/>
  <c r="D735" i="3"/>
  <c r="H735" i="3"/>
  <c r="I735" i="3"/>
  <c r="S357" i="3"/>
  <c r="P357" i="3"/>
  <c r="N357" i="3"/>
  <c r="O357" i="3"/>
  <c r="M357" i="3"/>
  <c r="L357" i="3"/>
  <c r="K357" i="3"/>
  <c r="J357" i="3"/>
  <c r="E357" i="3"/>
  <c r="D357" i="3"/>
  <c r="H357" i="3"/>
  <c r="I357" i="3"/>
  <c r="S31" i="3"/>
  <c r="P31" i="3"/>
  <c r="O31" i="3"/>
  <c r="N31" i="3"/>
  <c r="M31" i="3"/>
  <c r="L31" i="3"/>
  <c r="K31" i="3"/>
  <c r="J31" i="3"/>
  <c r="E31" i="3"/>
  <c r="D31" i="3"/>
  <c r="I31" i="3"/>
  <c r="H31" i="3"/>
  <c r="S1187" i="3"/>
  <c r="O1187" i="3"/>
  <c r="P1187" i="3"/>
  <c r="N1187" i="3"/>
  <c r="M1187" i="3"/>
  <c r="L1187" i="3"/>
  <c r="K1187" i="3"/>
  <c r="E1187" i="3"/>
  <c r="J1187" i="3"/>
  <c r="D1187" i="3"/>
  <c r="H1187" i="3"/>
  <c r="I1187" i="3"/>
  <c r="S1160" i="3"/>
  <c r="P1160" i="3"/>
  <c r="O1160" i="3"/>
  <c r="N1160" i="3"/>
  <c r="M1160" i="3"/>
  <c r="L1160" i="3"/>
  <c r="K1160" i="3"/>
  <c r="J1160" i="3"/>
  <c r="E1160" i="3"/>
  <c r="D1160" i="3"/>
  <c r="H1160" i="3"/>
  <c r="I1160" i="3"/>
  <c r="S1224" i="3"/>
  <c r="P1224" i="3"/>
  <c r="O1224" i="3"/>
  <c r="N1224" i="3"/>
  <c r="M1224" i="3"/>
  <c r="L1224" i="3"/>
  <c r="K1224" i="3"/>
  <c r="J1224" i="3"/>
  <c r="E1224" i="3"/>
  <c r="D1224" i="3"/>
  <c r="H1224" i="3"/>
  <c r="I1224" i="3"/>
  <c r="S911" i="3"/>
  <c r="P911" i="3"/>
  <c r="O911" i="3"/>
  <c r="N911" i="3"/>
  <c r="M911" i="3"/>
  <c r="K911" i="3"/>
  <c r="L911" i="3"/>
  <c r="J911" i="3"/>
  <c r="E911" i="3"/>
  <c r="D911" i="3"/>
  <c r="H911" i="3"/>
  <c r="I911" i="3"/>
  <c r="S284" i="3"/>
  <c r="P284" i="3"/>
  <c r="O284" i="3"/>
  <c r="N284" i="3"/>
  <c r="M284" i="3"/>
  <c r="L284" i="3"/>
  <c r="K284" i="3"/>
  <c r="J284" i="3"/>
  <c r="E284" i="3"/>
  <c r="D284" i="3"/>
  <c r="H284" i="3"/>
  <c r="I284" i="3"/>
  <c r="S171" i="3"/>
  <c r="P171" i="3"/>
  <c r="O171" i="3"/>
  <c r="N171" i="3"/>
  <c r="M171" i="3"/>
  <c r="L171" i="3"/>
  <c r="K171" i="3"/>
  <c r="J171" i="3"/>
  <c r="E171" i="3"/>
  <c r="D171" i="3"/>
  <c r="H171" i="3"/>
  <c r="I171" i="3"/>
  <c r="S497" i="3"/>
  <c r="P497" i="3"/>
  <c r="O497" i="3"/>
  <c r="N497" i="3"/>
  <c r="M497" i="3"/>
  <c r="L497" i="3"/>
  <c r="K497" i="3"/>
  <c r="J497" i="3"/>
  <c r="E497" i="3"/>
  <c r="D497" i="3"/>
  <c r="H497" i="3"/>
  <c r="I497" i="3"/>
  <c r="S1176" i="3"/>
  <c r="P1176" i="3"/>
  <c r="O1176" i="3"/>
  <c r="M1176" i="3"/>
  <c r="N1176" i="3"/>
  <c r="L1176" i="3"/>
  <c r="J1176" i="3"/>
  <c r="K1176" i="3"/>
  <c r="D1176" i="3"/>
  <c r="E1176" i="3"/>
  <c r="H1176" i="3"/>
  <c r="I1176" i="3"/>
  <c r="S1147" i="3"/>
  <c r="P1147" i="3"/>
  <c r="O1147" i="3"/>
  <c r="M1147" i="3"/>
  <c r="N1147" i="3"/>
  <c r="L1147" i="3"/>
  <c r="K1147" i="3"/>
  <c r="J1147" i="3"/>
  <c r="D1147" i="3"/>
  <c r="H1147" i="3"/>
  <c r="E1147" i="3"/>
  <c r="I1147" i="3"/>
  <c r="S1092" i="3"/>
  <c r="P1092" i="3"/>
  <c r="M1092" i="3"/>
  <c r="O1092" i="3"/>
  <c r="N1092" i="3"/>
  <c r="L1092" i="3"/>
  <c r="K1092" i="3"/>
  <c r="J1092" i="3"/>
  <c r="E1092" i="3"/>
  <c r="D1092" i="3"/>
  <c r="H1092" i="3"/>
  <c r="I1092" i="3"/>
  <c r="S1096" i="3"/>
  <c r="P1096" i="3"/>
  <c r="O1096" i="3"/>
  <c r="N1096" i="3"/>
  <c r="M1096" i="3"/>
  <c r="L1096" i="3"/>
  <c r="K1096" i="3"/>
  <c r="J1096" i="3"/>
  <c r="E1096" i="3"/>
  <c r="D1096" i="3"/>
  <c r="H1096" i="3"/>
  <c r="I1096" i="3"/>
  <c r="S1135" i="3"/>
  <c r="P1135" i="3"/>
  <c r="O1135" i="3"/>
  <c r="M1135" i="3"/>
  <c r="L1135" i="3"/>
  <c r="N1135" i="3"/>
  <c r="J1135" i="3"/>
  <c r="K1135" i="3"/>
  <c r="E1135" i="3"/>
  <c r="D1135" i="3"/>
  <c r="H1135" i="3"/>
  <c r="I1135" i="3"/>
  <c r="S1151" i="3"/>
  <c r="P1151" i="3"/>
  <c r="O1151" i="3"/>
  <c r="N1151" i="3"/>
  <c r="M1151" i="3"/>
  <c r="L1151" i="3"/>
  <c r="K1151" i="3"/>
  <c r="J1151" i="3"/>
  <c r="E1151" i="3"/>
  <c r="D1151" i="3"/>
  <c r="H1151" i="3"/>
  <c r="I1151" i="3"/>
  <c r="S1144" i="3"/>
  <c r="P1144" i="3"/>
  <c r="O1144" i="3"/>
  <c r="N1144" i="3"/>
  <c r="M1144" i="3"/>
  <c r="L1144" i="3"/>
  <c r="K1144" i="3"/>
  <c r="J1144" i="3"/>
  <c r="E1144" i="3"/>
  <c r="D1144" i="3"/>
  <c r="H1144" i="3"/>
  <c r="I1144" i="3"/>
  <c r="S1141" i="3"/>
  <c r="P1141" i="3"/>
  <c r="O1141" i="3"/>
  <c r="N1141" i="3"/>
  <c r="L1141" i="3"/>
  <c r="K1141" i="3"/>
  <c r="J1141" i="3"/>
  <c r="M1141" i="3"/>
  <c r="E1141" i="3"/>
  <c r="D1141" i="3"/>
  <c r="H1141" i="3"/>
  <c r="I1141" i="3"/>
  <c r="S974" i="3"/>
  <c r="P974" i="3"/>
  <c r="O974" i="3"/>
  <c r="N974" i="3"/>
  <c r="M974" i="3"/>
  <c r="L974" i="3"/>
  <c r="K974" i="3"/>
  <c r="J974" i="3"/>
  <c r="E974" i="3"/>
  <c r="D974" i="3"/>
  <c r="H974" i="3"/>
  <c r="I974" i="3"/>
  <c r="S1089" i="3"/>
  <c r="P1089" i="3"/>
  <c r="O1089" i="3"/>
  <c r="M1089" i="3"/>
  <c r="N1089" i="3"/>
  <c r="L1089" i="3"/>
  <c r="K1089" i="3"/>
  <c r="J1089" i="3"/>
  <c r="E1089" i="3"/>
  <c r="D1089" i="3"/>
  <c r="H1089" i="3"/>
  <c r="I1089" i="3"/>
  <c r="S1072" i="3"/>
  <c r="P1072" i="3"/>
  <c r="O1072" i="3"/>
  <c r="M1072" i="3"/>
  <c r="L1072" i="3"/>
  <c r="N1072" i="3"/>
  <c r="J1072" i="3"/>
  <c r="K1072" i="3"/>
  <c r="E1072" i="3"/>
  <c r="D1072" i="3"/>
  <c r="H1072" i="3"/>
  <c r="I1072" i="3"/>
  <c r="S1088" i="3"/>
  <c r="P1088" i="3"/>
  <c r="O1088" i="3"/>
  <c r="N1088" i="3"/>
  <c r="M1088" i="3"/>
  <c r="L1088" i="3"/>
  <c r="K1088" i="3"/>
  <c r="J1088" i="3"/>
  <c r="E1088" i="3"/>
  <c r="D1088" i="3"/>
  <c r="H1088" i="3"/>
  <c r="I1088" i="3"/>
  <c r="S1078" i="3"/>
  <c r="P1078" i="3"/>
  <c r="O1078" i="3"/>
  <c r="N1078" i="3"/>
  <c r="M1078" i="3"/>
  <c r="L1078" i="3"/>
  <c r="K1078" i="3"/>
  <c r="E1078" i="3"/>
  <c r="J1078" i="3"/>
  <c r="D1078" i="3"/>
  <c r="H1078" i="3"/>
  <c r="I1078" i="3"/>
  <c r="S1051" i="3"/>
  <c r="P1051" i="3"/>
  <c r="O1051" i="3"/>
  <c r="N1051" i="3"/>
  <c r="M1051" i="3"/>
  <c r="L1051" i="3"/>
  <c r="K1051" i="3"/>
  <c r="J1051" i="3"/>
  <c r="E1051" i="3"/>
  <c r="D1051" i="3"/>
  <c r="H1051" i="3"/>
  <c r="I1051" i="3"/>
  <c r="S1064" i="3"/>
  <c r="P1064" i="3"/>
  <c r="O1064" i="3"/>
  <c r="N1064" i="3"/>
  <c r="M1064" i="3"/>
  <c r="L1064" i="3"/>
  <c r="K1064" i="3"/>
  <c r="E1064" i="3"/>
  <c r="J1064" i="3"/>
  <c r="D1064" i="3"/>
  <c r="H1064" i="3"/>
  <c r="I1064" i="3"/>
  <c r="P1057" i="3"/>
  <c r="S1057" i="3"/>
  <c r="O1057" i="3"/>
  <c r="N1057" i="3"/>
  <c r="L1057" i="3"/>
  <c r="K1057" i="3"/>
  <c r="M1057" i="3"/>
  <c r="J1057" i="3"/>
  <c r="E1057" i="3"/>
  <c r="D1057" i="3"/>
  <c r="H1057" i="3"/>
  <c r="I1057" i="3"/>
  <c r="S1027" i="3"/>
  <c r="P1027" i="3"/>
  <c r="O1027" i="3"/>
  <c r="N1027" i="3"/>
  <c r="M1027" i="3"/>
  <c r="L1027" i="3"/>
  <c r="K1027" i="3"/>
  <c r="E1027" i="3"/>
  <c r="J1027" i="3"/>
  <c r="D1027" i="3"/>
  <c r="H1027" i="3"/>
  <c r="I1027" i="3"/>
  <c r="S1012" i="3"/>
  <c r="P1012" i="3"/>
  <c r="O1012" i="3"/>
  <c r="M1012" i="3"/>
  <c r="N1012" i="3"/>
  <c r="L1012" i="3"/>
  <c r="J1012" i="3"/>
  <c r="K1012" i="3"/>
  <c r="E1012" i="3"/>
  <c r="D1012" i="3"/>
  <c r="H1012" i="3"/>
  <c r="I1012" i="3"/>
  <c r="S1048" i="3"/>
  <c r="P1048" i="3"/>
  <c r="O1048" i="3"/>
  <c r="N1048" i="3"/>
  <c r="M1048" i="3"/>
  <c r="L1048" i="3"/>
  <c r="K1048" i="3"/>
  <c r="J1048" i="3"/>
  <c r="E1048" i="3"/>
  <c r="D1048" i="3"/>
  <c r="I1048" i="3"/>
  <c r="H1048" i="3"/>
  <c r="S774" i="3"/>
  <c r="P774" i="3"/>
  <c r="O774" i="3"/>
  <c r="N774" i="3"/>
  <c r="M774" i="3"/>
  <c r="L774" i="3"/>
  <c r="K774" i="3"/>
  <c r="J774" i="3"/>
  <c r="E774" i="3"/>
  <c r="D774" i="3"/>
  <c r="I774" i="3"/>
  <c r="H774" i="3"/>
  <c r="S962" i="3"/>
  <c r="P962" i="3"/>
  <c r="O962" i="3"/>
  <c r="N962" i="3"/>
  <c r="M962" i="3"/>
  <c r="L962" i="3"/>
  <c r="K962" i="3"/>
  <c r="E962" i="3"/>
  <c r="J962" i="3"/>
  <c r="D962" i="3"/>
  <c r="H962" i="3"/>
  <c r="I962" i="3"/>
  <c r="P1011" i="3"/>
  <c r="S1011" i="3"/>
  <c r="O1011" i="3"/>
  <c r="M1011" i="3"/>
  <c r="N1011" i="3"/>
  <c r="L1011" i="3"/>
  <c r="J1011" i="3"/>
  <c r="K1011" i="3"/>
  <c r="E1011" i="3"/>
  <c r="D1011" i="3"/>
  <c r="H1011" i="3"/>
  <c r="I1011" i="3"/>
  <c r="S966" i="3"/>
  <c r="P966" i="3"/>
  <c r="O966" i="3"/>
  <c r="N966" i="3"/>
  <c r="M966" i="3"/>
  <c r="L966" i="3"/>
  <c r="K966" i="3"/>
  <c r="J966" i="3"/>
  <c r="E966" i="3"/>
  <c r="D966" i="3"/>
  <c r="H966" i="3"/>
  <c r="I966" i="3"/>
  <c r="S918" i="3"/>
  <c r="P918" i="3"/>
  <c r="O918" i="3"/>
  <c r="N918" i="3"/>
  <c r="M918" i="3"/>
  <c r="L918" i="3"/>
  <c r="K918" i="3"/>
  <c r="J918" i="3"/>
  <c r="E918" i="3"/>
  <c r="D918" i="3"/>
  <c r="I918" i="3"/>
  <c r="H918" i="3"/>
  <c r="S903" i="3"/>
  <c r="P903" i="3"/>
  <c r="O903" i="3"/>
  <c r="N903" i="3"/>
  <c r="M903" i="3"/>
  <c r="L903" i="3"/>
  <c r="K903" i="3"/>
  <c r="E903" i="3"/>
  <c r="J903" i="3"/>
  <c r="D903" i="3"/>
  <c r="H903" i="3"/>
  <c r="I903" i="3"/>
  <c r="S932" i="3"/>
  <c r="P932" i="3"/>
  <c r="O932" i="3"/>
  <c r="N932" i="3"/>
  <c r="M932" i="3"/>
  <c r="K932" i="3"/>
  <c r="L932" i="3"/>
  <c r="J932" i="3"/>
  <c r="E932" i="3"/>
  <c r="D932" i="3"/>
  <c r="H932" i="3"/>
  <c r="I932" i="3"/>
  <c r="S875" i="3"/>
  <c r="P875" i="3"/>
  <c r="O875" i="3"/>
  <c r="M875" i="3"/>
  <c r="L875" i="3"/>
  <c r="N875" i="3"/>
  <c r="J875" i="3"/>
  <c r="K875" i="3"/>
  <c r="E875" i="3"/>
  <c r="D875" i="3"/>
  <c r="H875" i="3"/>
  <c r="I875" i="3"/>
  <c r="S915" i="3"/>
  <c r="P915" i="3"/>
  <c r="O915" i="3"/>
  <c r="M915" i="3"/>
  <c r="N915" i="3"/>
  <c r="L915" i="3"/>
  <c r="J915" i="3"/>
  <c r="E915" i="3"/>
  <c r="K915" i="3"/>
  <c r="D915" i="3"/>
  <c r="H915" i="3"/>
  <c r="I915" i="3"/>
  <c r="S893" i="3"/>
  <c r="P893" i="3"/>
  <c r="O893" i="3"/>
  <c r="M893" i="3"/>
  <c r="L893" i="3"/>
  <c r="N893" i="3"/>
  <c r="K893" i="3"/>
  <c r="J893" i="3"/>
  <c r="E893" i="3"/>
  <c r="D893" i="3"/>
  <c r="H893" i="3"/>
  <c r="I893" i="3"/>
  <c r="P833" i="3"/>
  <c r="S833" i="3"/>
  <c r="O833" i="3"/>
  <c r="N833" i="3"/>
  <c r="L833" i="3"/>
  <c r="K833" i="3"/>
  <c r="M833" i="3"/>
  <c r="J833" i="3"/>
  <c r="E833" i="3"/>
  <c r="D833" i="3"/>
  <c r="H833" i="3"/>
  <c r="I833" i="3"/>
  <c r="S865" i="3"/>
  <c r="P865" i="3"/>
  <c r="M865" i="3"/>
  <c r="L865" i="3"/>
  <c r="N865" i="3"/>
  <c r="O865" i="3"/>
  <c r="K865" i="3"/>
  <c r="J865" i="3"/>
  <c r="E865" i="3"/>
  <c r="D865" i="3"/>
  <c r="H865" i="3"/>
  <c r="I865" i="3"/>
  <c r="S803" i="3"/>
  <c r="P803" i="3"/>
  <c r="O803" i="3"/>
  <c r="N803" i="3"/>
  <c r="M803" i="3"/>
  <c r="L803" i="3"/>
  <c r="K803" i="3"/>
  <c r="J803" i="3"/>
  <c r="E803" i="3"/>
  <c r="D803" i="3"/>
  <c r="H803" i="3"/>
  <c r="I803" i="3"/>
  <c r="S793" i="3"/>
  <c r="P793" i="3"/>
  <c r="O793" i="3"/>
  <c r="M793" i="3"/>
  <c r="N793" i="3"/>
  <c r="L793" i="3"/>
  <c r="K793" i="3"/>
  <c r="J793" i="3"/>
  <c r="E793" i="3"/>
  <c r="D793" i="3"/>
  <c r="H793" i="3"/>
  <c r="I793" i="3"/>
  <c r="S870" i="3"/>
  <c r="P870" i="3"/>
  <c r="O870" i="3"/>
  <c r="N870" i="3"/>
  <c r="M870" i="3"/>
  <c r="L870" i="3"/>
  <c r="K870" i="3"/>
  <c r="J870" i="3"/>
  <c r="E870" i="3"/>
  <c r="D870" i="3"/>
  <c r="I870" i="3"/>
  <c r="H870" i="3"/>
  <c r="S860" i="3"/>
  <c r="P860" i="3"/>
  <c r="O860" i="3"/>
  <c r="M860" i="3"/>
  <c r="N860" i="3"/>
  <c r="L860" i="3"/>
  <c r="J860" i="3"/>
  <c r="K860" i="3"/>
  <c r="E860" i="3"/>
  <c r="D860" i="3"/>
  <c r="H860" i="3"/>
  <c r="I860" i="3"/>
  <c r="S799" i="3"/>
  <c r="P799" i="3"/>
  <c r="O799" i="3"/>
  <c r="N799" i="3"/>
  <c r="M799" i="3"/>
  <c r="L799" i="3"/>
  <c r="K799" i="3"/>
  <c r="J799" i="3"/>
  <c r="E799" i="3"/>
  <c r="D799" i="3"/>
  <c r="H799" i="3"/>
  <c r="I799" i="3"/>
  <c r="S768" i="3"/>
  <c r="P768" i="3"/>
  <c r="O768" i="3"/>
  <c r="N768" i="3"/>
  <c r="M768" i="3"/>
  <c r="L768" i="3"/>
  <c r="K768" i="3"/>
  <c r="J768" i="3"/>
  <c r="E768" i="3"/>
  <c r="D768" i="3"/>
  <c r="H768" i="3"/>
  <c r="I768" i="3"/>
  <c r="S671" i="3"/>
  <c r="P671" i="3"/>
  <c r="O671" i="3"/>
  <c r="N671" i="3"/>
  <c r="M671" i="3"/>
  <c r="L671" i="3"/>
  <c r="K671" i="3"/>
  <c r="J671" i="3"/>
  <c r="E671" i="3"/>
  <c r="D671" i="3"/>
  <c r="H671" i="3"/>
  <c r="I671" i="3"/>
  <c r="S695" i="3"/>
  <c r="P695" i="3"/>
  <c r="O695" i="3"/>
  <c r="N695" i="3"/>
  <c r="L695" i="3"/>
  <c r="M695" i="3"/>
  <c r="K695" i="3"/>
  <c r="J695" i="3"/>
  <c r="E695" i="3"/>
  <c r="D695" i="3"/>
  <c r="H695" i="3"/>
  <c r="I695" i="3"/>
  <c r="S559" i="3"/>
  <c r="P559" i="3"/>
  <c r="O559" i="3"/>
  <c r="N559" i="3"/>
  <c r="M559" i="3"/>
  <c r="L559" i="3"/>
  <c r="K559" i="3"/>
  <c r="J559" i="3"/>
  <c r="E559" i="3"/>
  <c r="D559" i="3"/>
  <c r="I559" i="3"/>
  <c r="H559" i="3"/>
  <c r="S707" i="3"/>
  <c r="P707" i="3"/>
  <c r="O707" i="3"/>
  <c r="N707" i="3"/>
  <c r="M707" i="3"/>
  <c r="L707" i="3"/>
  <c r="K707" i="3"/>
  <c r="J707" i="3"/>
  <c r="E707" i="3"/>
  <c r="D707" i="3"/>
  <c r="H707" i="3"/>
  <c r="I707" i="3"/>
  <c r="S742" i="3"/>
  <c r="P742" i="3"/>
  <c r="O742" i="3"/>
  <c r="N742" i="3"/>
  <c r="M742" i="3"/>
  <c r="L742" i="3"/>
  <c r="K742" i="3"/>
  <c r="J742" i="3"/>
  <c r="E742" i="3"/>
  <c r="D742" i="3"/>
  <c r="H742" i="3"/>
  <c r="I742" i="3"/>
  <c r="S726" i="3"/>
  <c r="P726" i="3"/>
  <c r="O726" i="3"/>
  <c r="N726" i="3"/>
  <c r="M726" i="3"/>
  <c r="L726" i="3"/>
  <c r="K726" i="3"/>
  <c r="J726" i="3"/>
  <c r="E726" i="3"/>
  <c r="D726" i="3"/>
  <c r="I726" i="3"/>
  <c r="H726" i="3"/>
  <c r="S697" i="3"/>
  <c r="P697" i="3"/>
  <c r="O697" i="3"/>
  <c r="N697" i="3"/>
  <c r="M697" i="3"/>
  <c r="L697" i="3"/>
  <c r="K697" i="3"/>
  <c r="E697" i="3"/>
  <c r="J697" i="3"/>
  <c r="D697" i="3"/>
  <c r="H697" i="3"/>
  <c r="I697" i="3"/>
  <c r="S602" i="3"/>
  <c r="P602" i="3"/>
  <c r="O602" i="3"/>
  <c r="N602" i="3"/>
  <c r="M602" i="3"/>
  <c r="L602" i="3"/>
  <c r="K602" i="3"/>
  <c r="E602" i="3"/>
  <c r="J602" i="3"/>
  <c r="D602" i="3"/>
  <c r="H602" i="3"/>
  <c r="I602" i="3"/>
  <c r="S706" i="3"/>
  <c r="P706" i="3"/>
  <c r="O706" i="3"/>
  <c r="N706" i="3"/>
  <c r="M706" i="3"/>
  <c r="L706" i="3"/>
  <c r="K706" i="3"/>
  <c r="J706" i="3"/>
  <c r="E706" i="3"/>
  <c r="D706" i="3"/>
  <c r="H706" i="3"/>
  <c r="I706" i="3"/>
  <c r="S456" i="3"/>
  <c r="P456" i="3"/>
  <c r="O456" i="3"/>
  <c r="N456" i="3"/>
  <c r="M456" i="3"/>
  <c r="L456" i="3"/>
  <c r="K456" i="3"/>
  <c r="J456" i="3"/>
  <c r="E456" i="3"/>
  <c r="D456" i="3"/>
  <c r="H456" i="3"/>
  <c r="I456" i="3"/>
  <c r="S616" i="3"/>
  <c r="P616" i="3"/>
  <c r="O616" i="3"/>
  <c r="N616" i="3"/>
  <c r="M616" i="3"/>
  <c r="L616" i="3"/>
  <c r="K616" i="3"/>
  <c r="E616" i="3"/>
  <c r="J616" i="3"/>
  <c r="D616" i="3"/>
  <c r="H616" i="3"/>
  <c r="I616" i="3"/>
  <c r="S606" i="3"/>
  <c r="P606" i="3"/>
  <c r="O606" i="3"/>
  <c r="N606" i="3"/>
  <c r="M606" i="3"/>
  <c r="L606" i="3"/>
  <c r="K606" i="3"/>
  <c r="J606" i="3"/>
  <c r="E606" i="3"/>
  <c r="D606" i="3"/>
  <c r="H606" i="3"/>
  <c r="I606" i="3"/>
  <c r="S597" i="3"/>
  <c r="O597" i="3"/>
  <c r="N597" i="3"/>
  <c r="P597" i="3"/>
  <c r="M597" i="3"/>
  <c r="K597" i="3"/>
  <c r="L597" i="3"/>
  <c r="J597" i="3"/>
  <c r="E597" i="3"/>
  <c r="D597" i="3"/>
  <c r="H597" i="3"/>
  <c r="I597" i="3"/>
  <c r="S585" i="3"/>
  <c r="P585" i="3"/>
  <c r="O585" i="3"/>
  <c r="N585" i="3"/>
  <c r="M585" i="3"/>
  <c r="L585" i="3"/>
  <c r="K585" i="3"/>
  <c r="J585" i="3"/>
  <c r="E585" i="3"/>
  <c r="D585" i="3"/>
  <c r="H585" i="3"/>
  <c r="I585" i="3"/>
  <c r="S524" i="3"/>
  <c r="P524" i="3"/>
  <c r="O524" i="3"/>
  <c r="N524" i="3"/>
  <c r="M524" i="3"/>
  <c r="L524" i="3"/>
  <c r="K524" i="3"/>
  <c r="J524" i="3"/>
  <c r="E524" i="3"/>
  <c r="D524" i="3"/>
  <c r="H524" i="3"/>
  <c r="I524" i="3"/>
  <c r="S548" i="3"/>
  <c r="P548" i="3"/>
  <c r="O548" i="3"/>
  <c r="N548" i="3"/>
  <c r="M548" i="3"/>
  <c r="K548" i="3"/>
  <c r="L548" i="3"/>
  <c r="J548" i="3"/>
  <c r="E548" i="3"/>
  <c r="D548" i="3"/>
  <c r="H548" i="3"/>
  <c r="I548" i="3"/>
  <c r="S503" i="3"/>
  <c r="P503" i="3"/>
  <c r="O503" i="3"/>
  <c r="N503" i="3"/>
  <c r="M503" i="3"/>
  <c r="L503" i="3"/>
  <c r="K503" i="3"/>
  <c r="J503" i="3"/>
  <c r="E503" i="3"/>
  <c r="D503" i="3"/>
  <c r="H503" i="3"/>
  <c r="I503" i="3"/>
  <c r="S519" i="3"/>
  <c r="P519" i="3"/>
  <c r="O519" i="3"/>
  <c r="N519" i="3"/>
  <c r="K519" i="3"/>
  <c r="M519" i="3"/>
  <c r="L519" i="3"/>
  <c r="J519" i="3"/>
  <c r="E519" i="3"/>
  <c r="D519" i="3"/>
  <c r="H519" i="3"/>
  <c r="I519" i="3"/>
  <c r="S549" i="3"/>
  <c r="P549" i="3"/>
  <c r="O549" i="3"/>
  <c r="M549" i="3"/>
  <c r="N549" i="3"/>
  <c r="L549" i="3"/>
  <c r="K549" i="3"/>
  <c r="J549" i="3"/>
  <c r="E549" i="3"/>
  <c r="D549" i="3"/>
  <c r="H549" i="3"/>
  <c r="I549" i="3"/>
  <c r="S575" i="3"/>
  <c r="P575" i="3"/>
  <c r="O575" i="3"/>
  <c r="N575" i="3"/>
  <c r="M575" i="3"/>
  <c r="L575" i="3"/>
  <c r="K575" i="3"/>
  <c r="J575" i="3"/>
  <c r="E575" i="3"/>
  <c r="D575" i="3"/>
  <c r="H575" i="3"/>
  <c r="I575" i="3"/>
  <c r="S465" i="3"/>
  <c r="P465" i="3"/>
  <c r="O465" i="3"/>
  <c r="N465" i="3"/>
  <c r="M465" i="3"/>
  <c r="L465" i="3"/>
  <c r="K465" i="3"/>
  <c r="J465" i="3"/>
  <c r="E465" i="3"/>
  <c r="D465" i="3"/>
  <c r="H465" i="3"/>
  <c r="I465" i="3"/>
  <c r="S500" i="3"/>
  <c r="P500" i="3"/>
  <c r="O500" i="3"/>
  <c r="N500" i="3"/>
  <c r="M500" i="3"/>
  <c r="L500" i="3"/>
  <c r="K500" i="3"/>
  <c r="J500" i="3"/>
  <c r="E500" i="3"/>
  <c r="D500" i="3"/>
  <c r="H500" i="3"/>
  <c r="I500" i="3"/>
  <c r="S447" i="3"/>
  <c r="P447" i="3"/>
  <c r="O447" i="3"/>
  <c r="N447" i="3"/>
  <c r="L447" i="3"/>
  <c r="M447" i="3"/>
  <c r="K447" i="3"/>
  <c r="J447" i="3"/>
  <c r="E447" i="3"/>
  <c r="D447" i="3"/>
  <c r="H447" i="3"/>
  <c r="I447" i="3"/>
  <c r="S416" i="3"/>
  <c r="P416" i="3"/>
  <c r="O416" i="3"/>
  <c r="N416" i="3"/>
  <c r="M416" i="3"/>
  <c r="K416" i="3"/>
  <c r="L416" i="3"/>
  <c r="J416" i="3"/>
  <c r="E416" i="3"/>
  <c r="D416" i="3"/>
  <c r="H416" i="3"/>
  <c r="I416" i="3"/>
  <c r="S401" i="3"/>
  <c r="P401" i="3"/>
  <c r="N401" i="3"/>
  <c r="O401" i="3"/>
  <c r="M401" i="3"/>
  <c r="L401" i="3"/>
  <c r="K401" i="3"/>
  <c r="J401" i="3"/>
  <c r="E401" i="3"/>
  <c r="D401" i="3"/>
  <c r="H401" i="3"/>
  <c r="I401" i="3"/>
  <c r="S397" i="3"/>
  <c r="P397" i="3"/>
  <c r="O397" i="3"/>
  <c r="N397" i="3"/>
  <c r="M397" i="3"/>
  <c r="L397" i="3"/>
  <c r="J397" i="3"/>
  <c r="K397" i="3"/>
  <c r="D397" i="3"/>
  <c r="E397" i="3"/>
  <c r="H397" i="3"/>
  <c r="I397" i="3"/>
  <c r="S371" i="3"/>
  <c r="P371" i="3"/>
  <c r="O371" i="3"/>
  <c r="N371" i="3"/>
  <c r="M371" i="3"/>
  <c r="L371" i="3"/>
  <c r="K371" i="3"/>
  <c r="J371" i="3"/>
  <c r="E371" i="3"/>
  <c r="D371" i="3"/>
  <c r="H371" i="3"/>
  <c r="I371" i="3"/>
  <c r="S370" i="3"/>
  <c r="P370" i="3"/>
  <c r="O370" i="3"/>
  <c r="N370" i="3"/>
  <c r="M370" i="3"/>
  <c r="L370" i="3"/>
  <c r="K370" i="3"/>
  <c r="J370" i="3"/>
  <c r="E370" i="3"/>
  <c r="D370" i="3"/>
  <c r="H370" i="3"/>
  <c r="I370" i="3"/>
  <c r="S379" i="3"/>
  <c r="P379" i="3"/>
  <c r="O379" i="3"/>
  <c r="N379" i="3"/>
  <c r="M379" i="3"/>
  <c r="L379" i="3"/>
  <c r="K379" i="3"/>
  <c r="J379" i="3"/>
  <c r="E379" i="3"/>
  <c r="D379" i="3"/>
  <c r="H379" i="3"/>
  <c r="I379" i="3"/>
  <c r="S334" i="3"/>
  <c r="P334" i="3"/>
  <c r="O334" i="3"/>
  <c r="N334" i="3"/>
  <c r="M334" i="3"/>
  <c r="L334" i="3"/>
  <c r="K334" i="3"/>
  <c r="J334" i="3"/>
  <c r="E334" i="3"/>
  <c r="D334" i="3"/>
  <c r="H334" i="3"/>
  <c r="I334" i="3"/>
  <c r="S227" i="3"/>
  <c r="P227" i="3"/>
  <c r="N227" i="3"/>
  <c r="O227" i="3"/>
  <c r="M227" i="3"/>
  <c r="L227" i="3"/>
  <c r="J227" i="3"/>
  <c r="K227" i="3"/>
  <c r="E227" i="3"/>
  <c r="D227" i="3"/>
  <c r="H227" i="3"/>
  <c r="I227" i="3"/>
  <c r="S290" i="3"/>
  <c r="P290" i="3"/>
  <c r="O290" i="3"/>
  <c r="N290" i="3"/>
  <c r="M290" i="3"/>
  <c r="L290" i="3"/>
  <c r="K290" i="3"/>
  <c r="J290" i="3"/>
  <c r="D290" i="3"/>
  <c r="E290" i="3"/>
  <c r="I290" i="3"/>
  <c r="H290" i="3"/>
  <c r="S280" i="3"/>
  <c r="P280" i="3"/>
  <c r="O280" i="3"/>
  <c r="N280" i="3"/>
  <c r="M280" i="3"/>
  <c r="L280" i="3"/>
  <c r="K280" i="3"/>
  <c r="J280" i="3"/>
  <c r="E280" i="3"/>
  <c r="D280" i="3"/>
  <c r="H280" i="3"/>
  <c r="I280" i="3"/>
  <c r="S228" i="3"/>
  <c r="P228" i="3"/>
  <c r="O228" i="3"/>
  <c r="N228" i="3"/>
  <c r="M228" i="3"/>
  <c r="L228" i="3"/>
  <c r="J228" i="3"/>
  <c r="K228" i="3"/>
  <c r="D228" i="3"/>
  <c r="E228" i="3"/>
  <c r="H228" i="3"/>
  <c r="I228" i="3"/>
  <c r="S196" i="3"/>
  <c r="P196" i="3"/>
  <c r="O196" i="3"/>
  <c r="N196" i="3"/>
  <c r="M196" i="3"/>
  <c r="L196" i="3"/>
  <c r="K196" i="3"/>
  <c r="J196" i="3"/>
  <c r="D196" i="3"/>
  <c r="E196" i="3"/>
  <c r="H196" i="3"/>
  <c r="I196" i="3"/>
  <c r="S176" i="3"/>
  <c r="P176" i="3"/>
  <c r="O176" i="3"/>
  <c r="N176" i="3"/>
  <c r="M176" i="3"/>
  <c r="L176" i="3"/>
  <c r="K176" i="3"/>
  <c r="J176" i="3"/>
  <c r="D176" i="3"/>
  <c r="E176" i="3"/>
  <c r="I176" i="3"/>
  <c r="H176" i="3"/>
  <c r="S146" i="3"/>
  <c r="P146" i="3"/>
  <c r="O146" i="3"/>
  <c r="N146" i="3"/>
  <c r="M146" i="3"/>
  <c r="L146" i="3"/>
  <c r="K146" i="3"/>
  <c r="J146" i="3"/>
  <c r="E146" i="3"/>
  <c r="D146" i="3"/>
  <c r="I146" i="3"/>
  <c r="H146" i="3"/>
  <c r="S152" i="3"/>
  <c r="P152" i="3"/>
  <c r="O152" i="3"/>
  <c r="N152" i="3"/>
  <c r="M152" i="3"/>
  <c r="L152" i="3"/>
  <c r="K152" i="3"/>
  <c r="J152" i="3"/>
  <c r="D152" i="3"/>
  <c r="E152" i="3"/>
  <c r="H152" i="3"/>
  <c r="I152" i="3"/>
  <c r="S136" i="3"/>
  <c r="P136" i="3"/>
  <c r="O136" i="3"/>
  <c r="N136" i="3"/>
  <c r="M136" i="3"/>
  <c r="K136" i="3"/>
  <c r="J136" i="3"/>
  <c r="L136" i="3"/>
  <c r="E136" i="3"/>
  <c r="D136" i="3"/>
  <c r="H136" i="3"/>
  <c r="I136" i="3"/>
  <c r="S128" i="3"/>
  <c r="P128" i="3"/>
  <c r="O128" i="3"/>
  <c r="N128" i="3"/>
  <c r="M128" i="3"/>
  <c r="L128" i="3"/>
  <c r="K128" i="3"/>
  <c r="J128" i="3"/>
  <c r="E128" i="3"/>
  <c r="D128" i="3"/>
  <c r="H128" i="3"/>
  <c r="I128" i="3"/>
  <c r="S102" i="3"/>
  <c r="P102" i="3"/>
  <c r="O102" i="3"/>
  <c r="N102" i="3"/>
  <c r="M102" i="3"/>
  <c r="L102" i="3"/>
  <c r="K102" i="3"/>
  <c r="J102" i="3"/>
  <c r="D102" i="3"/>
  <c r="E102" i="3"/>
  <c r="I102" i="3"/>
  <c r="H102" i="3"/>
  <c r="S57" i="3"/>
  <c r="P57" i="3"/>
  <c r="O57" i="3"/>
  <c r="N57" i="3"/>
  <c r="M57" i="3"/>
  <c r="L57" i="3"/>
  <c r="K57" i="3"/>
  <c r="J57" i="3"/>
  <c r="D57" i="3"/>
  <c r="E57" i="3"/>
  <c r="H57" i="3"/>
  <c r="I57" i="3"/>
  <c r="S52" i="3"/>
  <c r="P52" i="3"/>
  <c r="N52" i="3"/>
  <c r="O52" i="3"/>
  <c r="M52" i="3"/>
  <c r="L52" i="3"/>
  <c r="K52" i="3"/>
  <c r="J52" i="3"/>
  <c r="D52" i="3"/>
  <c r="E52" i="3"/>
  <c r="H52" i="3"/>
  <c r="I52" i="3"/>
  <c r="S37" i="3"/>
  <c r="P37" i="3"/>
  <c r="O37" i="3"/>
  <c r="N37" i="3"/>
  <c r="M37" i="3"/>
  <c r="L37" i="3"/>
  <c r="K37" i="3"/>
  <c r="J37" i="3"/>
  <c r="E37" i="3"/>
  <c r="D37" i="3"/>
  <c r="I37" i="3"/>
  <c r="H37" i="3"/>
  <c r="S30" i="3"/>
  <c r="P30" i="3"/>
  <c r="O30" i="3"/>
  <c r="N30" i="3"/>
  <c r="L30" i="3"/>
  <c r="M30" i="3"/>
  <c r="K30" i="3"/>
  <c r="E30" i="3"/>
  <c r="J30" i="3"/>
  <c r="D30" i="3"/>
  <c r="I30" i="3"/>
  <c r="H30" i="3"/>
  <c r="S17" i="3"/>
  <c r="P17" i="3"/>
  <c r="O17" i="3"/>
  <c r="N17" i="3"/>
  <c r="M17" i="3"/>
  <c r="L17" i="3"/>
  <c r="K17" i="3"/>
  <c r="J17" i="3"/>
  <c r="D17" i="3"/>
  <c r="E17" i="3"/>
  <c r="H17" i="3"/>
  <c r="I17" i="3"/>
  <c r="S7" i="3"/>
  <c r="P7" i="3"/>
  <c r="O7" i="3"/>
  <c r="M7" i="3"/>
  <c r="N7" i="3"/>
  <c r="L7" i="3"/>
  <c r="K7" i="3"/>
  <c r="E7" i="3"/>
  <c r="J7" i="3"/>
  <c r="D7" i="3"/>
  <c r="I7" i="3"/>
  <c r="H7" i="3"/>
  <c r="S557" i="3"/>
  <c r="P557" i="3"/>
  <c r="O557" i="3"/>
  <c r="N557" i="3"/>
  <c r="M557" i="3"/>
  <c r="L557" i="3"/>
  <c r="K557" i="3"/>
  <c r="J557" i="3"/>
  <c r="E557" i="3"/>
  <c r="D557" i="3"/>
  <c r="H557" i="3"/>
  <c r="I557" i="3"/>
  <c r="S50" i="3"/>
  <c r="P50" i="3"/>
  <c r="O50" i="3"/>
  <c r="N50" i="3"/>
  <c r="L50" i="3"/>
  <c r="K50" i="3"/>
  <c r="M50" i="3"/>
  <c r="J50" i="3"/>
  <c r="D50" i="3"/>
  <c r="E50" i="3"/>
  <c r="I50" i="3"/>
  <c r="H50" i="3"/>
  <c r="S362" i="3"/>
  <c r="P362" i="3"/>
  <c r="O362" i="3"/>
  <c r="N362" i="3"/>
  <c r="M362" i="3"/>
  <c r="L362" i="3"/>
  <c r="K362" i="3"/>
  <c r="J362" i="3"/>
  <c r="E362" i="3"/>
  <c r="D362" i="3"/>
  <c r="H362" i="3"/>
  <c r="I362" i="3"/>
  <c r="S1215" i="3"/>
  <c r="P1215" i="3"/>
  <c r="O1215" i="3"/>
  <c r="N1215" i="3"/>
  <c r="M1215" i="3"/>
  <c r="L1215" i="3"/>
  <c r="K1215" i="3"/>
  <c r="J1215" i="3"/>
  <c r="E1215" i="3"/>
  <c r="D1215" i="3"/>
  <c r="H1215" i="3"/>
  <c r="I1215" i="3"/>
  <c r="S28" i="3"/>
  <c r="P28" i="3"/>
  <c r="O28" i="3"/>
  <c r="N28" i="3"/>
  <c r="M28" i="3"/>
  <c r="L28" i="3"/>
  <c r="K28" i="3"/>
  <c r="J28" i="3"/>
  <c r="E28" i="3"/>
  <c r="D28" i="3"/>
  <c r="I28" i="3"/>
  <c r="H28" i="3"/>
  <c r="S451" i="3"/>
  <c r="P451" i="3"/>
  <c r="O451" i="3"/>
  <c r="N451" i="3"/>
  <c r="M451" i="3"/>
  <c r="L451" i="3"/>
  <c r="K451" i="3"/>
  <c r="J451" i="3"/>
  <c r="E451" i="3"/>
  <c r="D451" i="3"/>
  <c r="I451" i="3"/>
  <c r="H451" i="3"/>
  <c r="S698" i="3"/>
  <c r="P698" i="3"/>
  <c r="O698" i="3"/>
  <c r="N698" i="3"/>
  <c r="M698" i="3"/>
  <c r="L698" i="3"/>
  <c r="K698" i="3"/>
  <c r="J698" i="3"/>
  <c r="E698" i="3"/>
  <c r="D698" i="3"/>
  <c r="H698" i="3"/>
  <c r="I698" i="3"/>
  <c r="S885" i="3"/>
  <c r="P885" i="3"/>
  <c r="O885" i="3"/>
  <c r="N885" i="3"/>
  <c r="M885" i="3"/>
  <c r="L885" i="3"/>
  <c r="J885" i="3"/>
  <c r="K885" i="3"/>
  <c r="E885" i="3"/>
  <c r="D885" i="3"/>
  <c r="H885" i="3"/>
  <c r="I885" i="3"/>
  <c r="S1095" i="3"/>
  <c r="P1095" i="3"/>
  <c r="O1095" i="3"/>
  <c r="N1095" i="3"/>
  <c r="M1095" i="3"/>
  <c r="L1095" i="3"/>
  <c r="K1095" i="3"/>
  <c r="E1095" i="3"/>
  <c r="J1095" i="3"/>
  <c r="D1095" i="3"/>
  <c r="H1095" i="3"/>
  <c r="I1095" i="3"/>
  <c r="S1023" i="3"/>
  <c r="P1023" i="3"/>
  <c r="O1023" i="3"/>
  <c r="M1023" i="3"/>
  <c r="N1023" i="3"/>
  <c r="L1023" i="3"/>
  <c r="J1023" i="3"/>
  <c r="K1023" i="3"/>
  <c r="E1023" i="3"/>
  <c r="D1023" i="3"/>
  <c r="H1023" i="3"/>
  <c r="I1023" i="3"/>
  <c r="S844" i="3"/>
  <c r="P844" i="3"/>
  <c r="O844" i="3"/>
  <c r="N844" i="3"/>
  <c r="M844" i="3"/>
  <c r="L844" i="3"/>
  <c r="K844" i="3"/>
  <c r="J844" i="3"/>
  <c r="E844" i="3"/>
  <c r="D844" i="3"/>
  <c r="H844" i="3"/>
  <c r="I844" i="3"/>
  <c r="S972" i="3"/>
  <c r="P972" i="3"/>
  <c r="O972" i="3"/>
  <c r="M972" i="3"/>
  <c r="N972" i="3"/>
  <c r="L972" i="3"/>
  <c r="J972" i="3"/>
  <c r="K972" i="3"/>
  <c r="E972" i="3"/>
  <c r="D972" i="3"/>
  <c r="H972" i="3"/>
  <c r="I972" i="3"/>
  <c r="S982" i="3"/>
  <c r="P982" i="3"/>
  <c r="O982" i="3"/>
  <c r="N982" i="3"/>
  <c r="M982" i="3"/>
  <c r="L982" i="3"/>
  <c r="J982" i="3"/>
  <c r="K982" i="3"/>
  <c r="E982" i="3"/>
  <c r="I982" i="3"/>
  <c r="H982" i="3"/>
  <c r="D982" i="3"/>
  <c r="S854" i="3"/>
  <c r="P854" i="3"/>
  <c r="O854" i="3"/>
  <c r="N854" i="3"/>
  <c r="M854" i="3"/>
  <c r="L854" i="3"/>
  <c r="K854" i="3"/>
  <c r="J854" i="3"/>
  <c r="E854" i="3"/>
  <c r="D854" i="3"/>
  <c r="H854" i="3"/>
  <c r="I854" i="3"/>
  <c r="S989" i="3"/>
  <c r="P989" i="3"/>
  <c r="O989" i="3"/>
  <c r="N989" i="3"/>
  <c r="M989" i="3"/>
  <c r="L989" i="3"/>
  <c r="K989" i="3"/>
  <c r="J989" i="3"/>
  <c r="E989" i="3"/>
  <c r="D989" i="3"/>
  <c r="H989" i="3"/>
  <c r="I989" i="3"/>
  <c r="S82" i="3"/>
  <c r="P82" i="3"/>
  <c r="O82" i="3"/>
  <c r="N82" i="3"/>
  <c r="M82" i="3"/>
  <c r="L82" i="3"/>
  <c r="K82" i="3"/>
  <c r="J82" i="3"/>
  <c r="D82" i="3"/>
  <c r="E82" i="3"/>
  <c r="H82" i="3"/>
  <c r="I82" i="3"/>
  <c r="S474" i="3"/>
  <c r="P474" i="3"/>
  <c r="O474" i="3"/>
  <c r="N474" i="3"/>
  <c r="M474" i="3"/>
  <c r="L474" i="3"/>
  <c r="K474" i="3"/>
  <c r="J474" i="3"/>
  <c r="E474" i="3"/>
  <c r="D474" i="3"/>
  <c r="H474" i="3"/>
  <c r="I474" i="3"/>
  <c r="S1178" i="3"/>
  <c r="P1178" i="3"/>
  <c r="O1178" i="3"/>
  <c r="N1178" i="3"/>
  <c r="M1178" i="3"/>
  <c r="L1178" i="3"/>
  <c r="K1178" i="3"/>
  <c r="J1178" i="3"/>
  <c r="E1178" i="3"/>
  <c r="D1178" i="3"/>
  <c r="H1178" i="3"/>
  <c r="I1178" i="3"/>
  <c r="S924" i="3"/>
  <c r="P924" i="3"/>
  <c r="O924" i="3"/>
  <c r="N924" i="3"/>
  <c r="M924" i="3"/>
  <c r="L924" i="3"/>
  <c r="K924" i="3"/>
  <c r="E924" i="3"/>
  <c r="J924" i="3"/>
  <c r="D924" i="3"/>
  <c r="H924" i="3"/>
  <c r="I924" i="3"/>
  <c r="S112" i="3"/>
  <c r="P112" i="3"/>
  <c r="O112" i="3"/>
  <c r="N112" i="3"/>
  <c r="M112" i="3"/>
  <c r="K112" i="3"/>
  <c r="L112" i="3"/>
  <c r="J112" i="3"/>
  <c r="E112" i="3"/>
  <c r="D112" i="3"/>
  <c r="H112" i="3"/>
  <c r="I112" i="3"/>
  <c r="S1010" i="3"/>
  <c r="P1010" i="3"/>
  <c r="O1010" i="3"/>
  <c r="N1010" i="3"/>
  <c r="M1010" i="3"/>
  <c r="L1010" i="3"/>
  <c r="J1010" i="3"/>
  <c r="K1010" i="3"/>
  <c r="E1010" i="3"/>
  <c r="D1010" i="3"/>
  <c r="H1010" i="3"/>
  <c r="I1010" i="3"/>
  <c r="S314" i="3"/>
  <c r="P314" i="3"/>
  <c r="O314" i="3"/>
  <c r="N314" i="3"/>
  <c r="M314" i="3"/>
  <c r="L314" i="3"/>
  <c r="K314" i="3"/>
  <c r="J314" i="3"/>
  <c r="D314" i="3"/>
  <c r="E314" i="3"/>
  <c r="H314" i="3"/>
  <c r="I314" i="3"/>
  <c r="S1190" i="3"/>
  <c r="P1190" i="3"/>
  <c r="O1190" i="3"/>
  <c r="N1190" i="3"/>
  <c r="M1190" i="3"/>
  <c r="L1190" i="3"/>
  <c r="K1190" i="3"/>
  <c r="J1190" i="3"/>
  <c r="E1190" i="3"/>
  <c r="D1190" i="3"/>
  <c r="H1190" i="3"/>
  <c r="I1190" i="3"/>
  <c r="S504" i="3"/>
  <c r="P504" i="3"/>
  <c r="O504" i="3"/>
  <c r="M504" i="3"/>
  <c r="L504" i="3"/>
  <c r="N504" i="3"/>
  <c r="J504" i="3"/>
  <c r="K504" i="3"/>
  <c r="E504" i="3"/>
  <c r="D504" i="3"/>
  <c r="H504" i="3"/>
  <c r="I504" i="3"/>
  <c r="S1214" i="3"/>
  <c r="P1214" i="3"/>
  <c r="O1214" i="3"/>
  <c r="N1214" i="3"/>
  <c r="M1214" i="3"/>
  <c r="L1214" i="3"/>
  <c r="K1214" i="3"/>
  <c r="J1214" i="3"/>
  <c r="E1214" i="3"/>
  <c r="D1214" i="3"/>
  <c r="H1214" i="3"/>
  <c r="I1214" i="3"/>
  <c r="S979" i="3"/>
  <c r="P979" i="3"/>
  <c r="O979" i="3"/>
  <c r="N979" i="3"/>
  <c r="M979" i="3"/>
  <c r="L979" i="3"/>
  <c r="K979" i="3"/>
  <c r="E979" i="3"/>
  <c r="J979" i="3"/>
  <c r="D979" i="3"/>
  <c r="H979" i="3"/>
  <c r="I979" i="3"/>
  <c r="S837" i="3"/>
  <c r="P837" i="3"/>
  <c r="O837" i="3"/>
  <c r="N837" i="3"/>
  <c r="M837" i="3"/>
  <c r="L837" i="3"/>
  <c r="K837" i="3"/>
  <c r="J837" i="3"/>
  <c r="E837" i="3"/>
  <c r="D837" i="3"/>
  <c r="I837" i="3"/>
  <c r="H837" i="3"/>
  <c r="S804" i="3"/>
  <c r="P804" i="3"/>
  <c r="O804" i="3"/>
  <c r="N804" i="3"/>
  <c r="L804" i="3"/>
  <c r="M804" i="3"/>
  <c r="K804" i="3"/>
  <c r="J804" i="3"/>
  <c r="E804" i="3"/>
  <c r="D804" i="3"/>
  <c r="H804" i="3"/>
  <c r="I804" i="3"/>
  <c r="S1137" i="3"/>
  <c r="P1137" i="3"/>
  <c r="O1137" i="3"/>
  <c r="N1137" i="3"/>
  <c r="M1137" i="3"/>
  <c r="L1137" i="3"/>
  <c r="K1137" i="3"/>
  <c r="J1137" i="3"/>
  <c r="E1137" i="3"/>
  <c r="D1137" i="3"/>
  <c r="I1137" i="3"/>
  <c r="H1137" i="3"/>
  <c r="S279" i="3"/>
  <c r="P279" i="3"/>
  <c r="O279" i="3"/>
  <c r="N279" i="3"/>
  <c r="M279" i="3"/>
  <c r="L279" i="3"/>
  <c r="K279" i="3"/>
  <c r="J279" i="3"/>
  <c r="E279" i="3"/>
  <c r="D279" i="3"/>
  <c r="H279" i="3"/>
  <c r="I279" i="3"/>
  <c r="S1222" i="3"/>
  <c r="P1222" i="3"/>
  <c r="O1222" i="3"/>
  <c r="N1222" i="3"/>
  <c r="M1222" i="3"/>
  <c r="L1222" i="3"/>
  <c r="K1222" i="3"/>
  <c r="J1222" i="3"/>
  <c r="E1222" i="3"/>
  <c r="D1222" i="3"/>
  <c r="H1222" i="3"/>
  <c r="I1222" i="3"/>
  <c r="S1145" i="3"/>
  <c r="P1145" i="3"/>
  <c r="O1145" i="3"/>
  <c r="N1145" i="3"/>
  <c r="M1145" i="3"/>
  <c r="L1145" i="3"/>
  <c r="J1145" i="3"/>
  <c r="K1145" i="3"/>
  <c r="E1145" i="3"/>
  <c r="I1145" i="3"/>
  <c r="D1145" i="3"/>
  <c r="H1145" i="3"/>
  <c r="S1091" i="3"/>
  <c r="P1091" i="3"/>
  <c r="O1091" i="3"/>
  <c r="N1091" i="3"/>
  <c r="M1091" i="3"/>
  <c r="L1091" i="3"/>
  <c r="K1091" i="3"/>
  <c r="J1091" i="3"/>
  <c r="E1091" i="3"/>
  <c r="D1091" i="3"/>
  <c r="H1091" i="3"/>
  <c r="I1091" i="3"/>
  <c r="S1045" i="3"/>
  <c r="P1045" i="3"/>
  <c r="O1045" i="3"/>
  <c r="M1045" i="3"/>
  <c r="N1045" i="3"/>
  <c r="L1045" i="3"/>
  <c r="J1045" i="3"/>
  <c r="K1045" i="3"/>
  <c r="E1045" i="3"/>
  <c r="D1045" i="3"/>
  <c r="H1045" i="3"/>
  <c r="I1045" i="3"/>
  <c r="S1074" i="3"/>
  <c r="P1074" i="3"/>
  <c r="O1074" i="3"/>
  <c r="N1074" i="3"/>
  <c r="M1074" i="3"/>
  <c r="K1074" i="3"/>
  <c r="J1074" i="3"/>
  <c r="L1074" i="3"/>
  <c r="E1074" i="3"/>
  <c r="D1074" i="3"/>
  <c r="H1074" i="3"/>
  <c r="I1074" i="3"/>
  <c r="S980" i="3"/>
  <c r="P980" i="3"/>
  <c r="O980" i="3"/>
  <c r="M980" i="3"/>
  <c r="N980" i="3"/>
  <c r="L980" i="3"/>
  <c r="J980" i="3"/>
  <c r="K980" i="3"/>
  <c r="E980" i="3"/>
  <c r="D980" i="3"/>
  <c r="H980" i="3"/>
  <c r="I980" i="3"/>
  <c r="S1110" i="3"/>
  <c r="P1110" i="3"/>
  <c r="O1110" i="3"/>
  <c r="N1110" i="3"/>
  <c r="M1110" i="3"/>
  <c r="L1110" i="3"/>
  <c r="K1110" i="3"/>
  <c r="E1110" i="3"/>
  <c r="J1110" i="3"/>
  <c r="D1110" i="3"/>
  <c r="H1110" i="3"/>
  <c r="I1110" i="3"/>
  <c r="S988" i="3"/>
  <c r="P988" i="3"/>
  <c r="O988" i="3"/>
  <c r="N988" i="3"/>
  <c r="M988" i="3"/>
  <c r="L988" i="3"/>
  <c r="K988" i="3"/>
  <c r="J988" i="3"/>
  <c r="E988" i="3"/>
  <c r="D988" i="3"/>
  <c r="H988" i="3"/>
  <c r="I988" i="3"/>
  <c r="S1097" i="3"/>
  <c r="P1097" i="3"/>
  <c r="O1097" i="3"/>
  <c r="N1097" i="3"/>
  <c r="M1097" i="3"/>
  <c r="K1097" i="3"/>
  <c r="J1097" i="3"/>
  <c r="E1097" i="3"/>
  <c r="L1097" i="3"/>
  <c r="D1097" i="3"/>
  <c r="H1097" i="3"/>
  <c r="I1097" i="3"/>
  <c r="S999" i="3"/>
  <c r="P999" i="3"/>
  <c r="O999" i="3"/>
  <c r="N999" i="3"/>
  <c r="M999" i="3"/>
  <c r="L999" i="3"/>
  <c r="J999" i="3"/>
  <c r="K999" i="3"/>
  <c r="E999" i="3"/>
  <c r="D999" i="3"/>
  <c r="H999" i="3"/>
  <c r="I999" i="3"/>
  <c r="S969" i="3"/>
  <c r="P969" i="3"/>
  <c r="O969" i="3"/>
  <c r="N969" i="3"/>
  <c r="M969" i="3"/>
  <c r="L969" i="3"/>
  <c r="K969" i="3"/>
  <c r="J969" i="3"/>
  <c r="E969" i="3"/>
  <c r="D969" i="3"/>
  <c r="I969" i="3"/>
  <c r="H969" i="3"/>
  <c r="S1087" i="3"/>
  <c r="P1087" i="3"/>
  <c r="O1087" i="3"/>
  <c r="N1087" i="3"/>
  <c r="M1087" i="3"/>
  <c r="L1087" i="3"/>
  <c r="K1087" i="3"/>
  <c r="E1087" i="3"/>
  <c r="J1087" i="3"/>
  <c r="D1087" i="3"/>
  <c r="H1087" i="3"/>
  <c r="I1087" i="3"/>
  <c r="S946" i="3"/>
  <c r="O946" i="3"/>
  <c r="P946" i="3"/>
  <c r="N946" i="3"/>
  <c r="M946" i="3"/>
  <c r="K946" i="3"/>
  <c r="L946" i="3"/>
  <c r="E946" i="3"/>
  <c r="J946" i="3"/>
  <c r="D946" i="3"/>
  <c r="H946" i="3"/>
  <c r="I946" i="3"/>
  <c r="S1070" i="3"/>
  <c r="P1070" i="3"/>
  <c r="O1070" i="3"/>
  <c r="N1070" i="3"/>
  <c r="M1070" i="3"/>
  <c r="L1070" i="3"/>
  <c r="K1070" i="3"/>
  <c r="J1070" i="3"/>
  <c r="E1070" i="3"/>
  <c r="D1070" i="3"/>
  <c r="H1070" i="3"/>
  <c r="I1070" i="3"/>
  <c r="S1041" i="3"/>
  <c r="P1041" i="3"/>
  <c r="O1041" i="3"/>
  <c r="N1041" i="3"/>
  <c r="M1041" i="3"/>
  <c r="L1041" i="3"/>
  <c r="K1041" i="3"/>
  <c r="J1041" i="3"/>
  <c r="E1041" i="3"/>
  <c r="D1041" i="3"/>
  <c r="H1041" i="3"/>
  <c r="I1041" i="3"/>
  <c r="S827" i="3"/>
  <c r="P827" i="3"/>
  <c r="O827" i="3"/>
  <c r="M827" i="3"/>
  <c r="N827" i="3"/>
  <c r="L827" i="3"/>
  <c r="K827" i="3"/>
  <c r="J827" i="3"/>
  <c r="D827" i="3"/>
  <c r="H827" i="3"/>
  <c r="E827" i="3"/>
  <c r="I827" i="3"/>
  <c r="S1024" i="3"/>
  <c r="P1024" i="3"/>
  <c r="M1024" i="3"/>
  <c r="O1024" i="3"/>
  <c r="L1024" i="3"/>
  <c r="N1024" i="3"/>
  <c r="K1024" i="3"/>
  <c r="J1024" i="3"/>
  <c r="E1024" i="3"/>
  <c r="D1024" i="3"/>
  <c r="H1024" i="3"/>
  <c r="I1024" i="3"/>
  <c r="S1008" i="3"/>
  <c r="P1008" i="3"/>
  <c r="O1008" i="3"/>
  <c r="N1008" i="3"/>
  <c r="M1008" i="3"/>
  <c r="L1008" i="3"/>
  <c r="K1008" i="3"/>
  <c r="E1008" i="3"/>
  <c r="J1008" i="3"/>
  <c r="D1008" i="3"/>
  <c r="H1008" i="3"/>
  <c r="I1008" i="3"/>
  <c r="S1044" i="3"/>
  <c r="P1044" i="3"/>
  <c r="O1044" i="3"/>
  <c r="N1044" i="3"/>
  <c r="M1044" i="3"/>
  <c r="L1044" i="3"/>
  <c r="K1044" i="3"/>
  <c r="J1044" i="3"/>
  <c r="E1044" i="3"/>
  <c r="D1044" i="3"/>
  <c r="H1044" i="3"/>
  <c r="I1044" i="3"/>
  <c r="S975" i="3"/>
  <c r="P975" i="3"/>
  <c r="O975" i="3"/>
  <c r="N975" i="3"/>
  <c r="M975" i="3"/>
  <c r="L975" i="3"/>
  <c r="K975" i="3"/>
  <c r="J975" i="3"/>
  <c r="E975" i="3"/>
  <c r="D975" i="3"/>
  <c r="I975" i="3"/>
  <c r="H975" i="3"/>
  <c r="S1026" i="3"/>
  <c r="P1026" i="3"/>
  <c r="O1026" i="3"/>
  <c r="N1026" i="3"/>
  <c r="L1026" i="3"/>
  <c r="M1026" i="3"/>
  <c r="K1026" i="3"/>
  <c r="J1026" i="3"/>
  <c r="E1026" i="3"/>
  <c r="D1026" i="3"/>
  <c r="H1026" i="3"/>
  <c r="I1026" i="3"/>
  <c r="S945" i="3"/>
  <c r="P945" i="3"/>
  <c r="O945" i="3"/>
  <c r="N945" i="3"/>
  <c r="M945" i="3"/>
  <c r="L945" i="3"/>
  <c r="K945" i="3"/>
  <c r="J945" i="3"/>
  <c r="E945" i="3"/>
  <c r="D945" i="3"/>
  <c r="H945" i="3"/>
  <c r="I945" i="3"/>
  <c r="S936" i="3"/>
  <c r="P936" i="3"/>
  <c r="M936" i="3"/>
  <c r="O936" i="3"/>
  <c r="N936" i="3"/>
  <c r="L936" i="3"/>
  <c r="K936" i="3"/>
  <c r="J936" i="3"/>
  <c r="D936" i="3"/>
  <c r="E936" i="3"/>
  <c r="H936" i="3"/>
  <c r="I936" i="3"/>
  <c r="S917" i="3"/>
  <c r="P917" i="3"/>
  <c r="O917" i="3"/>
  <c r="M917" i="3"/>
  <c r="N917" i="3"/>
  <c r="L917" i="3"/>
  <c r="K917" i="3"/>
  <c r="J917" i="3"/>
  <c r="E917" i="3"/>
  <c r="D917" i="3"/>
  <c r="H917" i="3"/>
  <c r="I917" i="3"/>
  <c r="S715" i="3"/>
  <c r="P715" i="3"/>
  <c r="O715" i="3"/>
  <c r="N715" i="3"/>
  <c r="M715" i="3"/>
  <c r="L715" i="3"/>
  <c r="K715" i="3"/>
  <c r="J715" i="3"/>
  <c r="E715" i="3"/>
  <c r="D715" i="3"/>
  <c r="H715" i="3"/>
  <c r="I715" i="3"/>
  <c r="S702" i="3"/>
  <c r="P702" i="3"/>
  <c r="O702" i="3"/>
  <c r="M702" i="3"/>
  <c r="L702" i="3"/>
  <c r="N702" i="3"/>
  <c r="J702" i="3"/>
  <c r="K702" i="3"/>
  <c r="E702" i="3"/>
  <c r="D702" i="3"/>
  <c r="H702" i="3"/>
  <c r="I702" i="3"/>
  <c r="S958" i="3"/>
  <c r="P958" i="3"/>
  <c r="O958" i="3"/>
  <c r="N958" i="3"/>
  <c r="M958" i="3"/>
  <c r="L958" i="3"/>
  <c r="K958" i="3"/>
  <c r="J958" i="3"/>
  <c r="E958" i="3"/>
  <c r="D958" i="3"/>
  <c r="H958" i="3"/>
  <c r="I958" i="3"/>
  <c r="S947" i="3"/>
  <c r="P947" i="3"/>
  <c r="O947" i="3"/>
  <c r="M947" i="3"/>
  <c r="N947" i="3"/>
  <c r="L947" i="3"/>
  <c r="K947" i="3"/>
  <c r="J947" i="3"/>
  <c r="E947" i="3"/>
  <c r="D947" i="3"/>
  <c r="H947" i="3"/>
  <c r="I947" i="3"/>
  <c r="S700" i="3"/>
  <c r="P700" i="3"/>
  <c r="O700" i="3"/>
  <c r="M700" i="3"/>
  <c r="L700" i="3"/>
  <c r="N700" i="3"/>
  <c r="J700" i="3"/>
  <c r="K700" i="3"/>
  <c r="E700" i="3"/>
  <c r="D700" i="3"/>
  <c r="H700" i="3"/>
  <c r="I700" i="3"/>
  <c r="S660" i="3"/>
  <c r="P660" i="3"/>
  <c r="O660" i="3"/>
  <c r="M660" i="3"/>
  <c r="N660" i="3"/>
  <c r="L660" i="3"/>
  <c r="J660" i="3"/>
  <c r="K660" i="3"/>
  <c r="E660" i="3"/>
  <c r="D660" i="3"/>
  <c r="H660" i="3"/>
  <c r="I660" i="3"/>
  <c r="S813" i="3"/>
  <c r="P813" i="3"/>
  <c r="O813" i="3"/>
  <c r="M813" i="3"/>
  <c r="N813" i="3"/>
  <c r="L813" i="3"/>
  <c r="K813" i="3"/>
  <c r="J813" i="3"/>
  <c r="E813" i="3"/>
  <c r="D813" i="3"/>
  <c r="H813" i="3"/>
  <c r="I813" i="3"/>
  <c r="S896" i="3"/>
  <c r="P896" i="3"/>
  <c r="O896" i="3"/>
  <c r="M896" i="3"/>
  <c r="N896" i="3"/>
  <c r="L896" i="3"/>
  <c r="K896" i="3"/>
  <c r="E896" i="3"/>
  <c r="J896" i="3"/>
  <c r="D896" i="3"/>
  <c r="H896" i="3"/>
  <c r="I896" i="3"/>
  <c r="S594" i="3"/>
  <c r="P594" i="3"/>
  <c r="O594" i="3"/>
  <c r="M594" i="3"/>
  <c r="N594" i="3"/>
  <c r="L594" i="3"/>
  <c r="J594" i="3"/>
  <c r="K594" i="3"/>
  <c r="E594" i="3"/>
  <c r="D594" i="3"/>
  <c r="H594" i="3"/>
  <c r="I594" i="3"/>
  <c r="S826" i="3"/>
  <c r="P826" i="3"/>
  <c r="O826" i="3"/>
  <c r="M826" i="3"/>
  <c r="L826" i="3"/>
  <c r="N826" i="3"/>
  <c r="K826" i="3"/>
  <c r="J826" i="3"/>
  <c r="E826" i="3"/>
  <c r="D826" i="3"/>
  <c r="H826" i="3"/>
  <c r="I826" i="3"/>
  <c r="S720" i="3"/>
  <c r="P720" i="3"/>
  <c r="O720" i="3"/>
  <c r="N720" i="3"/>
  <c r="L720" i="3"/>
  <c r="M720" i="3"/>
  <c r="K720" i="3"/>
  <c r="J720" i="3"/>
  <c r="E720" i="3"/>
  <c r="D720" i="3"/>
  <c r="H720" i="3"/>
  <c r="I720" i="3"/>
  <c r="S843" i="3"/>
  <c r="P843" i="3"/>
  <c r="O843" i="3"/>
  <c r="N843" i="3"/>
  <c r="L843" i="3"/>
  <c r="M843" i="3"/>
  <c r="K843" i="3"/>
  <c r="J843" i="3"/>
  <c r="E843" i="3"/>
  <c r="D843" i="3"/>
  <c r="H843" i="3"/>
  <c r="I843" i="3"/>
  <c r="S814" i="3"/>
  <c r="P814" i="3"/>
  <c r="O814" i="3"/>
  <c r="N814" i="3"/>
  <c r="M814" i="3"/>
  <c r="L814" i="3"/>
  <c r="K814" i="3"/>
  <c r="J814" i="3"/>
  <c r="E814" i="3"/>
  <c r="D814" i="3"/>
  <c r="H814" i="3"/>
  <c r="I814" i="3"/>
  <c r="S709" i="3"/>
  <c r="P709" i="3"/>
  <c r="O709" i="3"/>
  <c r="N709" i="3"/>
  <c r="M709" i="3"/>
  <c r="L709" i="3"/>
  <c r="K709" i="3"/>
  <c r="J709" i="3"/>
  <c r="E709" i="3"/>
  <c r="D709" i="3"/>
  <c r="H709" i="3"/>
  <c r="I709" i="3"/>
  <c r="S789" i="3"/>
  <c r="P789" i="3"/>
  <c r="O789" i="3"/>
  <c r="M789" i="3"/>
  <c r="L789" i="3"/>
  <c r="N789" i="3"/>
  <c r="K789" i="3"/>
  <c r="J789" i="3"/>
  <c r="E789" i="3"/>
  <c r="D789" i="3"/>
  <c r="H789" i="3"/>
  <c r="I789" i="3"/>
  <c r="S677" i="3"/>
  <c r="P677" i="3"/>
  <c r="O677" i="3"/>
  <c r="N677" i="3"/>
  <c r="M677" i="3"/>
  <c r="L677" i="3"/>
  <c r="K677" i="3"/>
  <c r="E677" i="3"/>
  <c r="D677" i="3"/>
  <c r="J677" i="3"/>
  <c r="H677" i="3"/>
  <c r="I677" i="3"/>
  <c r="S797" i="3"/>
  <c r="P797" i="3"/>
  <c r="O797" i="3"/>
  <c r="N797" i="3"/>
  <c r="M797" i="3"/>
  <c r="L797" i="3"/>
  <c r="K797" i="3"/>
  <c r="J797" i="3"/>
  <c r="E797" i="3"/>
  <c r="D797" i="3"/>
  <c r="H797" i="3"/>
  <c r="I797" i="3"/>
  <c r="S618" i="3"/>
  <c r="P618" i="3"/>
  <c r="O618" i="3"/>
  <c r="N618" i="3"/>
  <c r="M618" i="3"/>
  <c r="L618" i="3"/>
  <c r="K618" i="3"/>
  <c r="J618" i="3"/>
  <c r="E618" i="3"/>
  <c r="D618" i="3"/>
  <c r="H618" i="3"/>
  <c r="I618" i="3"/>
  <c r="S646" i="3"/>
  <c r="P646" i="3"/>
  <c r="O646" i="3"/>
  <c r="N646" i="3"/>
  <c r="M646" i="3"/>
  <c r="L646" i="3"/>
  <c r="K646" i="3"/>
  <c r="J646" i="3"/>
  <c r="E646" i="3"/>
  <c r="D646" i="3"/>
  <c r="H646" i="3"/>
  <c r="I646" i="3"/>
  <c r="S662" i="3"/>
  <c r="P662" i="3"/>
  <c r="O662" i="3"/>
  <c r="N662" i="3"/>
  <c r="M662" i="3"/>
  <c r="L662" i="3"/>
  <c r="K662" i="3"/>
  <c r="J662" i="3"/>
  <c r="E662" i="3"/>
  <c r="D662" i="3"/>
  <c r="H662" i="3"/>
  <c r="I662" i="3"/>
  <c r="S678" i="3"/>
  <c r="P678" i="3"/>
  <c r="O678" i="3"/>
  <c r="N678" i="3"/>
  <c r="M678" i="3"/>
  <c r="L678" i="3"/>
  <c r="K678" i="3"/>
  <c r="J678" i="3"/>
  <c r="E678" i="3"/>
  <c r="D678" i="3"/>
  <c r="H678" i="3"/>
  <c r="I678" i="3"/>
  <c r="S665" i="3"/>
  <c r="P665" i="3"/>
  <c r="O665" i="3"/>
  <c r="N665" i="3"/>
  <c r="M665" i="3"/>
  <c r="L665" i="3"/>
  <c r="K665" i="3"/>
  <c r="J665" i="3"/>
  <c r="E665" i="3"/>
  <c r="D665" i="3"/>
  <c r="I665" i="3"/>
  <c r="H665" i="3"/>
  <c r="S623" i="3"/>
  <c r="P623" i="3"/>
  <c r="O623" i="3"/>
  <c r="N623" i="3"/>
  <c r="M623" i="3"/>
  <c r="L623" i="3"/>
  <c r="K623" i="3"/>
  <c r="J623" i="3"/>
  <c r="E623" i="3"/>
  <c r="D623" i="3"/>
  <c r="H623" i="3"/>
  <c r="I623" i="3"/>
  <c r="S615" i="3"/>
  <c r="P615" i="3"/>
  <c r="O615" i="3"/>
  <c r="N615" i="3"/>
  <c r="M615" i="3"/>
  <c r="L615" i="3"/>
  <c r="K615" i="3"/>
  <c r="J615" i="3"/>
  <c r="E615" i="3"/>
  <c r="D615" i="3"/>
  <c r="H615" i="3"/>
  <c r="I615" i="3"/>
  <c r="S605" i="3"/>
  <c r="P605" i="3"/>
  <c r="O605" i="3"/>
  <c r="N605" i="3"/>
  <c r="M605" i="3"/>
  <c r="L605" i="3"/>
  <c r="K605" i="3"/>
  <c r="E605" i="3"/>
  <c r="D605" i="3"/>
  <c r="J605" i="3"/>
  <c r="H605" i="3"/>
  <c r="I605" i="3"/>
  <c r="S541" i="3"/>
  <c r="P541" i="3"/>
  <c r="O541" i="3"/>
  <c r="N541" i="3"/>
  <c r="M541" i="3"/>
  <c r="L541" i="3"/>
  <c r="K541" i="3"/>
  <c r="J541" i="3"/>
  <c r="E541" i="3"/>
  <c r="D541" i="3"/>
  <c r="H541" i="3"/>
  <c r="I541" i="3"/>
  <c r="S584" i="3"/>
  <c r="P584" i="3"/>
  <c r="O584" i="3"/>
  <c r="N584" i="3"/>
  <c r="M584" i="3"/>
  <c r="L584" i="3"/>
  <c r="K584" i="3"/>
  <c r="J584" i="3"/>
  <c r="E584" i="3"/>
  <c r="D584" i="3"/>
  <c r="H584" i="3"/>
  <c r="I584" i="3"/>
  <c r="S651" i="3"/>
  <c r="P651" i="3"/>
  <c r="O651" i="3"/>
  <c r="N651" i="3"/>
  <c r="M651" i="3"/>
  <c r="L651" i="3"/>
  <c r="K651" i="3"/>
  <c r="J651" i="3"/>
  <c r="E651" i="3"/>
  <c r="D651" i="3"/>
  <c r="H651" i="3"/>
  <c r="I651" i="3"/>
  <c r="S542" i="3"/>
  <c r="P542" i="3"/>
  <c r="O542" i="3"/>
  <c r="N542" i="3"/>
  <c r="M542" i="3"/>
  <c r="L542" i="3"/>
  <c r="K542" i="3"/>
  <c r="J542" i="3"/>
  <c r="E542" i="3"/>
  <c r="D542" i="3"/>
  <c r="H542" i="3"/>
  <c r="I542" i="3"/>
  <c r="S530" i="3"/>
  <c r="P530" i="3"/>
  <c r="O530" i="3"/>
  <c r="N530" i="3"/>
  <c r="M530" i="3"/>
  <c r="L530" i="3"/>
  <c r="K530" i="3"/>
  <c r="E530" i="3"/>
  <c r="J530" i="3"/>
  <c r="D530" i="3"/>
  <c r="H530" i="3"/>
  <c r="I530" i="3"/>
  <c r="S491" i="3"/>
  <c r="P491" i="3"/>
  <c r="O491" i="3"/>
  <c r="N491" i="3"/>
  <c r="M491" i="3"/>
  <c r="L491" i="3"/>
  <c r="K491" i="3"/>
  <c r="J491" i="3"/>
  <c r="E491" i="3"/>
  <c r="D491" i="3"/>
  <c r="H491" i="3"/>
  <c r="I491" i="3"/>
  <c r="S479" i="3"/>
  <c r="P479" i="3"/>
  <c r="N479" i="3"/>
  <c r="O479" i="3"/>
  <c r="M479" i="3"/>
  <c r="L479" i="3"/>
  <c r="K479" i="3"/>
  <c r="J479" i="3"/>
  <c r="E479" i="3"/>
  <c r="D479" i="3"/>
  <c r="H479" i="3"/>
  <c r="I479" i="3"/>
  <c r="S528" i="3"/>
  <c r="P528" i="3"/>
  <c r="O528" i="3"/>
  <c r="N528" i="3"/>
  <c r="M528" i="3"/>
  <c r="L528" i="3"/>
  <c r="K528" i="3"/>
  <c r="J528" i="3"/>
  <c r="E528" i="3"/>
  <c r="D528" i="3"/>
  <c r="H528" i="3"/>
  <c r="I528" i="3"/>
  <c r="S488" i="3"/>
  <c r="O488" i="3"/>
  <c r="P488" i="3"/>
  <c r="N488" i="3"/>
  <c r="L488" i="3"/>
  <c r="M488" i="3"/>
  <c r="K488" i="3"/>
  <c r="J488" i="3"/>
  <c r="E488" i="3"/>
  <c r="D488" i="3"/>
  <c r="H488" i="3"/>
  <c r="I488" i="3"/>
  <c r="S448" i="3"/>
  <c r="P448" i="3"/>
  <c r="O448" i="3"/>
  <c r="N448" i="3"/>
  <c r="M448" i="3"/>
  <c r="L448" i="3"/>
  <c r="K448" i="3"/>
  <c r="J448" i="3"/>
  <c r="E448" i="3"/>
  <c r="D448" i="3"/>
  <c r="H448" i="3"/>
  <c r="I448" i="3"/>
  <c r="S445" i="3"/>
  <c r="P445" i="3"/>
  <c r="O445" i="3"/>
  <c r="N445" i="3"/>
  <c r="M445" i="3"/>
  <c r="L445" i="3"/>
  <c r="K445" i="3"/>
  <c r="J445" i="3"/>
  <c r="E445" i="3"/>
  <c r="D445" i="3"/>
  <c r="H445" i="3"/>
  <c r="I445" i="3"/>
  <c r="S393" i="3"/>
  <c r="P393" i="3"/>
  <c r="O393" i="3"/>
  <c r="N393" i="3"/>
  <c r="M393" i="3"/>
  <c r="L393" i="3"/>
  <c r="K393" i="3"/>
  <c r="J393" i="3"/>
  <c r="E393" i="3"/>
  <c r="D393" i="3"/>
  <c r="H393" i="3"/>
  <c r="I393" i="3"/>
  <c r="S420" i="3"/>
  <c r="P420" i="3"/>
  <c r="O420" i="3"/>
  <c r="N420" i="3"/>
  <c r="M420" i="3"/>
  <c r="L420" i="3"/>
  <c r="K420" i="3"/>
  <c r="J420" i="3"/>
  <c r="E420" i="3"/>
  <c r="D420" i="3"/>
  <c r="H420" i="3"/>
  <c r="I420" i="3"/>
  <c r="S396" i="3"/>
  <c r="P396" i="3"/>
  <c r="N396" i="3"/>
  <c r="O396" i="3"/>
  <c r="M396" i="3"/>
  <c r="L396" i="3"/>
  <c r="J396" i="3"/>
  <c r="K396" i="3"/>
  <c r="E396" i="3"/>
  <c r="D396" i="3"/>
  <c r="H396" i="3"/>
  <c r="I396" i="3"/>
  <c r="S402" i="3"/>
  <c r="P402" i="3"/>
  <c r="O402" i="3"/>
  <c r="N402" i="3"/>
  <c r="M402" i="3"/>
  <c r="L402" i="3"/>
  <c r="K402" i="3"/>
  <c r="J402" i="3"/>
  <c r="E402" i="3"/>
  <c r="D402" i="3"/>
  <c r="H402" i="3"/>
  <c r="I402" i="3"/>
  <c r="S369" i="3"/>
  <c r="P369" i="3"/>
  <c r="O369" i="3"/>
  <c r="N369" i="3"/>
  <c r="L369" i="3"/>
  <c r="M369" i="3"/>
  <c r="K369" i="3"/>
  <c r="J369" i="3"/>
  <c r="E369" i="3"/>
  <c r="D369" i="3"/>
  <c r="H369" i="3"/>
  <c r="I369" i="3"/>
  <c r="S378" i="3"/>
  <c r="P378" i="3"/>
  <c r="O378" i="3"/>
  <c r="M378" i="3"/>
  <c r="N378" i="3"/>
  <c r="L378" i="3"/>
  <c r="K378" i="3"/>
  <c r="J378" i="3"/>
  <c r="E378" i="3"/>
  <c r="D378" i="3"/>
  <c r="H378" i="3"/>
  <c r="I378" i="3"/>
  <c r="S356" i="3"/>
  <c r="P356" i="3"/>
  <c r="O356" i="3"/>
  <c r="M356" i="3"/>
  <c r="N356" i="3"/>
  <c r="L356" i="3"/>
  <c r="K356" i="3"/>
  <c r="J356" i="3"/>
  <c r="E356" i="3"/>
  <c r="D356" i="3"/>
  <c r="H356" i="3"/>
  <c r="I356" i="3"/>
  <c r="S300" i="3"/>
  <c r="P300" i="3"/>
  <c r="O300" i="3"/>
  <c r="N300" i="3"/>
  <c r="M300" i="3"/>
  <c r="L300" i="3"/>
  <c r="K300" i="3"/>
  <c r="J300" i="3"/>
  <c r="E300" i="3"/>
  <c r="D300" i="3"/>
  <c r="H300" i="3"/>
  <c r="I300" i="3"/>
  <c r="S266" i="3"/>
  <c r="P266" i="3"/>
  <c r="O266" i="3"/>
  <c r="N266" i="3"/>
  <c r="M266" i="3"/>
  <c r="L266" i="3"/>
  <c r="K266" i="3"/>
  <c r="J266" i="3"/>
  <c r="D266" i="3"/>
  <c r="E266" i="3"/>
  <c r="H266" i="3"/>
  <c r="I266" i="3"/>
  <c r="S260" i="3"/>
  <c r="P260" i="3"/>
  <c r="O260" i="3"/>
  <c r="N260" i="3"/>
  <c r="M260" i="3"/>
  <c r="L260" i="3"/>
  <c r="K260" i="3"/>
  <c r="J260" i="3"/>
  <c r="D260" i="3"/>
  <c r="E260" i="3"/>
  <c r="H260" i="3"/>
  <c r="I260" i="3"/>
  <c r="S208" i="3"/>
  <c r="P208" i="3"/>
  <c r="O208" i="3"/>
  <c r="N208" i="3"/>
  <c r="M208" i="3"/>
  <c r="L208" i="3"/>
  <c r="K208" i="3"/>
  <c r="J208" i="3"/>
  <c r="D208" i="3"/>
  <c r="E208" i="3"/>
  <c r="H208" i="3"/>
  <c r="I208" i="3"/>
  <c r="S183" i="3"/>
  <c r="P183" i="3"/>
  <c r="O183" i="3"/>
  <c r="N183" i="3"/>
  <c r="M183" i="3"/>
  <c r="K183" i="3"/>
  <c r="J183" i="3"/>
  <c r="L183" i="3"/>
  <c r="D183" i="3"/>
  <c r="E183" i="3"/>
  <c r="H183" i="3"/>
  <c r="I183" i="3"/>
  <c r="S162" i="3"/>
  <c r="P162" i="3"/>
  <c r="O162" i="3"/>
  <c r="N162" i="3"/>
  <c r="M162" i="3"/>
  <c r="L162" i="3"/>
  <c r="K162" i="3"/>
  <c r="J162" i="3"/>
  <c r="E162" i="3"/>
  <c r="D162" i="3"/>
  <c r="H162" i="3"/>
  <c r="I162" i="3"/>
  <c r="S157" i="3"/>
  <c r="P157" i="3"/>
  <c r="O157" i="3"/>
  <c r="N157" i="3"/>
  <c r="M157" i="3"/>
  <c r="L157" i="3"/>
  <c r="K157" i="3"/>
  <c r="J157" i="3"/>
  <c r="E157" i="3"/>
  <c r="D157" i="3"/>
  <c r="I157" i="3"/>
  <c r="H157" i="3"/>
  <c r="S156" i="3"/>
  <c r="P156" i="3"/>
  <c r="O156" i="3"/>
  <c r="N156" i="3"/>
  <c r="M156" i="3"/>
  <c r="L156" i="3"/>
  <c r="K156" i="3"/>
  <c r="J156" i="3"/>
  <c r="E156" i="3"/>
  <c r="D156" i="3"/>
  <c r="H156" i="3"/>
  <c r="I156" i="3"/>
  <c r="S130" i="3"/>
  <c r="P130" i="3"/>
  <c r="O130" i="3"/>
  <c r="N130" i="3"/>
  <c r="M130" i="3"/>
  <c r="L130" i="3"/>
  <c r="K130" i="3"/>
  <c r="J130" i="3"/>
  <c r="D130" i="3"/>
  <c r="E130" i="3"/>
  <c r="H130" i="3"/>
  <c r="I130" i="3"/>
  <c r="S121" i="3"/>
  <c r="P121" i="3"/>
  <c r="N121" i="3"/>
  <c r="O121" i="3"/>
  <c r="M121" i="3"/>
  <c r="L121" i="3"/>
  <c r="K121" i="3"/>
  <c r="E121" i="3"/>
  <c r="J121" i="3"/>
  <c r="D121" i="3"/>
  <c r="H121" i="3"/>
  <c r="I121" i="3"/>
  <c r="S113" i="3"/>
  <c r="P113" i="3"/>
  <c r="O113" i="3"/>
  <c r="N113" i="3"/>
  <c r="L113" i="3"/>
  <c r="M113" i="3"/>
  <c r="J113" i="3"/>
  <c r="K113" i="3"/>
  <c r="D113" i="3"/>
  <c r="E113" i="3"/>
  <c r="I113" i="3"/>
  <c r="H113" i="3"/>
  <c r="S66" i="3"/>
  <c r="P66" i="3"/>
  <c r="N66" i="3"/>
  <c r="O66" i="3"/>
  <c r="M66" i="3"/>
  <c r="L66" i="3"/>
  <c r="K66" i="3"/>
  <c r="J66" i="3"/>
  <c r="E66" i="3"/>
  <c r="D66" i="3"/>
  <c r="H66" i="3"/>
  <c r="I66" i="3"/>
  <c r="S45" i="3"/>
  <c r="P45" i="3"/>
  <c r="O45" i="3"/>
  <c r="N45" i="3"/>
  <c r="M45" i="3"/>
  <c r="L45" i="3"/>
  <c r="K45" i="3"/>
  <c r="J45" i="3"/>
  <c r="E45" i="3"/>
  <c r="D45" i="3"/>
  <c r="H45" i="3"/>
  <c r="I45" i="3"/>
  <c r="S40" i="3"/>
  <c r="P40" i="3"/>
  <c r="O40" i="3"/>
  <c r="N40" i="3"/>
  <c r="L40" i="3"/>
  <c r="M40" i="3"/>
  <c r="K40" i="3"/>
  <c r="E40" i="3"/>
  <c r="D40" i="3"/>
  <c r="J40" i="3"/>
  <c r="I40" i="3"/>
  <c r="H40" i="3"/>
  <c r="S24" i="3"/>
  <c r="P24" i="3"/>
  <c r="O24" i="3"/>
  <c r="N24" i="3"/>
  <c r="M24" i="3"/>
  <c r="L24" i="3"/>
  <c r="K24" i="3"/>
  <c r="J24" i="3"/>
  <c r="E24" i="3"/>
  <c r="D24" i="3"/>
  <c r="I24" i="3"/>
  <c r="H24" i="3"/>
  <c r="S20" i="3"/>
  <c r="P20" i="3"/>
  <c r="O20" i="3"/>
  <c r="N20" i="3"/>
  <c r="M20" i="3"/>
  <c r="L20" i="3"/>
  <c r="K20" i="3"/>
  <c r="J20" i="3"/>
  <c r="E20" i="3"/>
  <c r="D20" i="3"/>
  <c r="H20" i="3"/>
  <c r="I20" i="3"/>
  <c r="S6" i="3"/>
  <c r="P6" i="3"/>
  <c r="O6" i="3"/>
  <c r="N6" i="3"/>
  <c r="M6" i="3"/>
  <c r="L6" i="3"/>
  <c r="K6" i="3"/>
  <c r="E6" i="3"/>
  <c r="J4" i="7" s="1"/>
  <c r="J6" i="3"/>
  <c r="D6" i="3"/>
  <c r="I4" i="7" s="1"/>
  <c r="I6" i="3"/>
  <c r="H6" i="3"/>
  <c r="S99" i="3"/>
  <c r="P99" i="3"/>
  <c r="O99" i="3"/>
  <c r="N99" i="3"/>
  <c r="M99" i="3"/>
  <c r="L99" i="3"/>
  <c r="K99" i="3"/>
  <c r="J99" i="3"/>
  <c r="D99" i="3"/>
  <c r="E99" i="3"/>
  <c r="H99" i="3"/>
  <c r="I99" i="3"/>
  <c r="S237" i="3"/>
  <c r="P237" i="3"/>
  <c r="O237" i="3"/>
  <c r="N237" i="3"/>
  <c r="M237" i="3"/>
  <c r="L237" i="3"/>
  <c r="K237" i="3"/>
  <c r="J237" i="3"/>
  <c r="D237" i="3"/>
  <c r="E237" i="3"/>
  <c r="H237" i="3"/>
  <c r="I237" i="3"/>
  <c r="S767" i="3"/>
  <c r="P767" i="3"/>
  <c r="O767" i="3"/>
  <c r="M767" i="3"/>
  <c r="N767" i="3"/>
  <c r="L767" i="3"/>
  <c r="J767" i="3"/>
  <c r="K767" i="3"/>
  <c r="E767" i="3"/>
  <c r="D767" i="3"/>
  <c r="H767" i="3"/>
  <c r="I767" i="3"/>
  <c r="S1136" i="3"/>
  <c r="P1136" i="3"/>
  <c r="O1136" i="3"/>
  <c r="N1136" i="3"/>
  <c r="M1136" i="3"/>
  <c r="L1136" i="3"/>
  <c r="K1136" i="3"/>
  <c r="J1136" i="3"/>
  <c r="E1136" i="3"/>
  <c r="D1136" i="3"/>
  <c r="H1136" i="3"/>
  <c r="I1136" i="3"/>
  <c r="S439" i="3"/>
  <c r="P439" i="3"/>
  <c r="O439" i="3"/>
  <c r="N439" i="3"/>
  <c r="M439" i="3"/>
  <c r="L439" i="3"/>
  <c r="K439" i="3"/>
  <c r="J439" i="3"/>
  <c r="E439" i="3"/>
  <c r="D439" i="3"/>
  <c r="H439" i="3"/>
  <c r="I439" i="3"/>
  <c r="S367" i="3"/>
  <c r="P367" i="3"/>
  <c r="O367" i="3"/>
  <c r="N367" i="3"/>
  <c r="M367" i="3"/>
  <c r="L367" i="3"/>
  <c r="K367" i="3"/>
  <c r="J367" i="3"/>
  <c r="E367" i="3"/>
  <c r="D367" i="3"/>
  <c r="H367" i="3"/>
  <c r="I367" i="3"/>
  <c r="S1146" i="3"/>
  <c r="P1146" i="3"/>
  <c r="O1146" i="3"/>
  <c r="N1146" i="3"/>
  <c r="M1146" i="3"/>
  <c r="L1146" i="3"/>
  <c r="K1146" i="3"/>
  <c r="J1146" i="3"/>
  <c r="E1146" i="3"/>
  <c r="D1146" i="3"/>
  <c r="H1146" i="3"/>
  <c r="I1146" i="3"/>
  <c r="S251" i="3"/>
  <c r="P251" i="3"/>
  <c r="O251" i="3"/>
  <c r="N251" i="3"/>
  <c r="M251" i="3"/>
  <c r="L251" i="3"/>
  <c r="K251" i="3"/>
  <c r="J251" i="3"/>
  <c r="E251" i="3"/>
  <c r="D251" i="3"/>
  <c r="H251" i="3"/>
  <c r="I251" i="3"/>
  <c r="S206" i="3"/>
  <c r="P206" i="3"/>
  <c r="O206" i="3"/>
  <c r="N206" i="3"/>
  <c r="M206" i="3"/>
  <c r="L206" i="3"/>
  <c r="K206" i="3"/>
  <c r="J206" i="3"/>
  <c r="E206" i="3"/>
  <c r="D206" i="3"/>
  <c r="H206" i="3"/>
  <c r="I206" i="3"/>
  <c r="S149" i="3"/>
  <c r="P149" i="3"/>
  <c r="O149" i="3"/>
  <c r="N149" i="3"/>
  <c r="M149" i="3"/>
  <c r="L149" i="3"/>
  <c r="J149" i="3"/>
  <c r="D149" i="3"/>
  <c r="K149" i="3"/>
  <c r="E149" i="3"/>
  <c r="I149" i="3"/>
  <c r="H149" i="3"/>
  <c r="S1126" i="3"/>
  <c r="P1126" i="3"/>
  <c r="O1126" i="3"/>
  <c r="N1126" i="3"/>
  <c r="M1126" i="3"/>
  <c r="L1126" i="3"/>
  <c r="J1126" i="3"/>
  <c r="K1126" i="3"/>
  <c r="E1126" i="3"/>
  <c r="D1126" i="3"/>
  <c r="H1126" i="3"/>
  <c r="I1126" i="3"/>
  <c r="S296" i="3"/>
  <c r="P296" i="3"/>
  <c r="O296" i="3"/>
  <c r="N296" i="3"/>
  <c r="L296" i="3"/>
  <c r="K296" i="3"/>
  <c r="M296" i="3"/>
  <c r="J296" i="3"/>
  <c r="E296" i="3"/>
  <c r="D296" i="3"/>
  <c r="H296" i="3"/>
  <c r="I296" i="3"/>
  <c r="S1114" i="3"/>
  <c r="P1114" i="3"/>
  <c r="O1114" i="3"/>
  <c r="N1114" i="3"/>
  <c r="M1114" i="3"/>
  <c r="L1114" i="3"/>
  <c r="K1114" i="3"/>
  <c r="J1114" i="3"/>
  <c r="E1114" i="3"/>
  <c r="D1114" i="3"/>
  <c r="H1114" i="3"/>
  <c r="I1114" i="3"/>
  <c r="S463" i="3"/>
  <c r="P463" i="3"/>
  <c r="O463" i="3"/>
  <c r="N463" i="3"/>
  <c r="M463" i="3"/>
  <c r="L463" i="3"/>
  <c r="K463" i="3"/>
  <c r="J463" i="3"/>
  <c r="E463" i="3"/>
  <c r="D463" i="3"/>
  <c r="H463" i="3"/>
  <c r="I463" i="3"/>
  <c r="S904" i="3"/>
  <c r="P904" i="3"/>
  <c r="O904" i="3"/>
  <c r="M904" i="3"/>
  <c r="L904" i="3"/>
  <c r="N904" i="3"/>
  <c r="K904" i="3"/>
  <c r="J904" i="3"/>
  <c r="E904" i="3"/>
  <c r="D904" i="3"/>
  <c r="H904" i="3"/>
  <c r="I904" i="3"/>
  <c r="S1035" i="3"/>
  <c r="P1035" i="3"/>
  <c r="O1035" i="3"/>
  <c r="N1035" i="3"/>
  <c r="M1035" i="3"/>
  <c r="L1035" i="3"/>
  <c r="J1035" i="3"/>
  <c r="K1035" i="3"/>
  <c r="D1035" i="3"/>
  <c r="E1035" i="3"/>
  <c r="H1035" i="3"/>
  <c r="I1035" i="3"/>
  <c r="S329" i="3"/>
  <c r="P329" i="3"/>
  <c r="O329" i="3"/>
  <c r="N329" i="3"/>
  <c r="M329" i="3"/>
  <c r="K329" i="3"/>
  <c r="L329" i="3"/>
  <c r="J329" i="3"/>
  <c r="E329" i="3"/>
  <c r="D329" i="3"/>
  <c r="H329" i="3"/>
  <c r="I329" i="3"/>
  <c r="S178" i="3"/>
  <c r="P178" i="3"/>
  <c r="O178" i="3"/>
  <c r="N178" i="3"/>
  <c r="M178" i="3"/>
  <c r="K178" i="3"/>
  <c r="J178" i="3"/>
  <c r="L178" i="3"/>
  <c r="E178" i="3"/>
  <c r="D178" i="3"/>
  <c r="H178" i="3"/>
  <c r="I178" i="3"/>
  <c r="S441" i="3"/>
  <c r="P441" i="3"/>
  <c r="O441" i="3"/>
  <c r="N441" i="3"/>
  <c r="M441" i="3"/>
  <c r="L441" i="3"/>
  <c r="K441" i="3"/>
  <c r="J441" i="3"/>
  <c r="E441" i="3"/>
  <c r="D441" i="3"/>
  <c r="H441" i="3"/>
  <c r="I441" i="3"/>
  <c r="S737" i="3"/>
  <c r="P737" i="3"/>
  <c r="O737" i="3"/>
  <c r="N737" i="3"/>
  <c r="M737" i="3"/>
  <c r="L737" i="3"/>
  <c r="K737" i="3"/>
  <c r="J737" i="3"/>
  <c r="E737" i="3"/>
  <c r="D737" i="3"/>
  <c r="H737" i="3"/>
  <c r="I737" i="3"/>
  <c r="S981" i="3"/>
  <c r="P981" i="3"/>
  <c r="O981" i="3"/>
  <c r="N981" i="3"/>
  <c r="M981" i="3"/>
  <c r="L981" i="3"/>
  <c r="K981" i="3"/>
  <c r="J981" i="3"/>
  <c r="E981" i="3"/>
  <c r="D981" i="3"/>
  <c r="H981" i="3"/>
  <c r="I981" i="3"/>
  <c r="S1225" i="3"/>
  <c r="P1225" i="3"/>
  <c r="O1225" i="3"/>
  <c r="N1225" i="3"/>
  <c r="M1225" i="3"/>
  <c r="L1225" i="3"/>
  <c r="K1225" i="3"/>
  <c r="J1225" i="3"/>
  <c r="E1225" i="3"/>
  <c r="D1225" i="3"/>
  <c r="H1225" i="3"/>
  <c r="I1225" i="3"/>
  <c r="S268" i="3"/>
  <c r="P268" i="3"/>
  <c r="O268" i="3"/>
  <c r="N268" i="3"/>
  <c r="L268" i="3"/>
  <c r="M268" i="3"/>
  <c r="K268" i="3"/>
  <c r="J268" i="3"/>
  <c r="E268" i="3"/>
  <c r="D268" i="3"/>
  <c r="H268" i="3"/>
  <c r="I268" i="3"/>
  <c r="S640" i="3"/>
  <c r="P640" i="3"/>
  <c r="O640" i="3"/>
  <c r="M640" i="3"/>
  <c r="N640" i="3"/>
  <c r="L640" i="3"/>
  <c r="J640" i="3"/>
  <c r="K640" i="3"/>
  <c r="E640" i="3"/>
  <c r="D640" i="3"/>
  <c r="H640" i="3"/>
  <c r="I640" i="3"/>
  <c r="S381" i="3"/>
  <c r="P381" i="3"/>
  <c r="O381" i="3"/>
  <c r="N381" i="3"/>
  <c r="M381" i="3"/>
  <c r="L381" i="3"/>
  <c r="J381" i="3"/>
  <c r="K381" i="3"/>
  <c r="D381" i="3"/>
  <c r="E381" i="3"/>
  <c r="H381" i="3"/>
  <c r="I381" i="3"/>
  <c r="S1231" i="3"/>
  <c r="P1231" i="3"/>
  <c r="O1231" i="3"/>
  <c r="N1231" i="3"/>
  <c r="M1231" i="3"/>
  <c r="L1231" i="3"/>
  <c r="K1231" i="3"/>
  <c r="J1231" i="3"/>
  <c r="E1231" i="3"/>
  <c r="D1231" i="3"/>
  <c r="H1231" i="3"/>
  <c r="I1231" i="3"/>
  <c r="S1029" i="3"/>
  <c r="P1029" i="3"/>
  <c r="O1029" i="3"/>
  <c r="N1029" i="3"/>
  <c r="M1029" i="3"/>
  <c r="L1029" i="3"/>
  <c r="K1029" i="3"/>
  <c r="J1029" i="3"/>
  <c r="E1029" i="3"/>
  <c r="D1029" i="3"/>
  <c r="I1029" i="3"/>
  <c r="H1029" i="3"/>
  <c r="S1150" i="3"/>
  <c r="P1150" i="3"/>
  <c r="O1150" i="3"/>
  <c r="N1150" i="3"/>
  <c r="M1150" i="3"/>
  <c r="L1150" i="3"/>
  <c r="K1150" i="3"/>
  <c r="E1150" i="3"/>
  <c r="J1150" i="3"/>
  <c r="D1150" i="3"/>
  <c r="H1150" i="3"/>
  <c r="I1150" i="3"/>
  <c r="S261" i="3"/>
  <c r="P261" i="3"/>
  <c r="N261" i="3"/>
  <c r="O261" i="3"/>
  <c r="M261" i="3"/>
  <c r="L261" i="3"/>
  <c r="K261" i="3"/>
  <c r="J261" i="3"/>
  <c r="E261" i="3"/>
  <c r="D261" i="3"/>
  <c r="H261" i="3"/>
  <c r="I261" i="3"/>
  <c r="S1209" i="3"/>
  <c r="P1209" i="3"/>
  <c r="O1209" i="3"/>
  <c r="N1209" i="3"/>
  <c r="M1209" i="3"/>
  <c r="L1209" i="3"/>
  <c r="J1209" i="3"/>
  <c r="K1209" i="3"/>
  <c r="D1209" i="3"/>
  <c r="E1209" i="3"/>
  <c r="H1209" i="3"/>
  <c r="I1209" i="3"/>
  <c r="S1203" i="3"/>
  <c r="P1203" i="3"/>
  <c r="O1203" i="3"/>
  <c r="N1203" i="3"/>
  <c r="M1203" i="3"/>
  <c r="L1203" i="3"/>
  <c r="K1203" i="3"/>
  <c r="J1203" i="3"/>
  <c r="E1203" i="3"/>
  <c r="D1203" i="3"/>
  <c r="H1203" i="3"/>
  <c r="I1203" i="3"/>
  <c r="S1183" i="3"/>
  <c r="P1183" i="3"/>
  <c r="O1183" i="3"/>
  <c r="N1183" i="3"/>
  <c r="M1183" i="3"/>
  <c r="L1183" i="3"/>
  <c r="K1183" i="3"/>
  <c r="J1183" i="3"/>
  <c r="E1183" i="3"/>
  <c r="D1183" i="3"/>
  <c r="H1183" i="3"/>
  <c r="I1183" i="3"/>
  <c r="S1156" i="3"/>
  <c r="P1156" i="3"/>
  <c r="O1156" i="3"/>
  <c r="N1156" i="3"/>
  <c r="M1156" i="3"/>
  <c r="L1156" i="3"/>
  <c r="K1156" i="3"/>
  <c r="J1156" i="3"/>
  <c r="E1156" i="3"/>
  <c r="D1156" i="3"/>
  <c r="H1156" i="3"/>
  <c r="I1156" i="3"/>
  <c r="S1129" i="3"/>
  <c r="P1129" i="3"/>
  <c r="O1129" i="3"/>
  <c r="M1129" i="3"/>
  <c r="N1129" i="3"/>
  <c r="L1129" i="3"/>
  <c r="J1129" i="3"/>
  <c r="K1129" i="3"/>
  <c r="E1129" i="3"/>
  <c r="D1129" i="3"/>
  <c r="H1129" i="3"/>
  <c r="I1129" i="3"/>
  <c r="S1033" i="3"/>
  <c r="P1033" i="3"/>
  <c r="O1033" i="3"/>
  <c r="N1033" i="3"/>
  <c r="M1033" i="3"/>
  <c r="L1033" i="3"/>
  <c r="K1033" i="3"/>
  <c r="E1033" i="3"/>
  <c r="J1033" i="3"/>
  <c r="D1033" i="3"/>
  <c r="H1033" i="3"/>
  <c r="I1033" i="3"/>
  <c r="S1109" i="3"/>
  <c r="P1109" i="3"/>
  <c r="O1109" i="3"/>
  <c r="N1109" i="3"/>
  <c r="M1109" i="3"/>
  <c r="L1109" i="3"/>
  <c r="K1109" i="3"/>
  <c r="J1109" i="3"/>
  <c r="E1109" i="3"/>
  <c r="D1109" i="3"/>
  <c r="H1109" i="3"/>
  <c r="I1109" i="3"/>
  <c r="S987" i="3"/>
  <c r="P987" i="3"/>
  <c r="O987" i="3"/>
  <c r="N987" i="3"/>
  <c r="M987" i="3"/>
  <c r="L987" i="3"/>
  <c r="K987" i="3"/>
  <c r="E987" i="3"/>
  <c r="J987" i="3"/>
  <c r="D987" i="3"/>
  <c r="H987" i="3"/>
  <c r="I987" i="3"/>
  <c r="S1094" i="3"/>
  <c r="P1094" i="3"/>
  <c r="O1094" i="3"/>
  <c r="M1094" i="3"/>
  <c r="N1094" i="3"/>
  <c r="K1094" i="3"/>
  <c r="L1094" i="3"/>
  <c r="J1094" i="3"/>
  <c r="E1094" i="3"/>
  <c r="D1094" i="3"/>
  <c r="H1094" i="3"/>
  <c r="I1094" i="3"/>
  <c r="S1106" i="3"/>
  <c r="P1106" i="3"/>
  <c r="O1106" i="3"/>
  <c r="N1106" i="3"/>
  <c r="M1106" i="3"/>
  <c r="L1106" i="3"/>
  <c r="K1106" i="3"/>
  <c r="J1106" i="3"/>
  <c r="E1106" i="3"/>
  <c r="D1106" i="3"/>
  <c r="H1106" i="3"/>
  <c r="I1106" i="3"/>
  <c r="S1069" i="3"/>
  <c r="P1069" i="3"/>
  <c r="O1069" i="3"/>
  <c r="N1069" i="3"/>
  <c r="M1069" i="3"/>
  <c r="L1069" i="3"/>
  <c r="K1069" i="3"/>
  <c r="J1069" i="3"/>
  <c r="E1069" i="3"/>
  <c r="D1069" i="3"/>
  <c r="H1069" i="3"/>
  <c r="I1069" i="3"/>
  <c r="S1086" i="3"/>
  <c r="P1086" i="3"/>
  <c r="O1086" i="3"/>
  <c r="N1086" i="3"/>
  <c r="M1086" i="3"/>
  <c r="L1086" i="3"/>
  <c r="K1086" i="3"/>
  <c r="J1086" i="3"/>
  <c r="E1086" i="3"/>
  <c r="D1086" i="3"/>
  <c r="H1086" i="3"/>
  <c r="I1086" i="3"/>
  <c r="S1053" i="3"/>
  <c r="P1053" i="3"/>
  <c r="O1053" i="3"/>
  <c r="N1053" i="3"/>
  <c r="M1053" i="3"/>
  <c r="L1053" i="3"/>
  <c r="K1053" i="3"/>
  <c r="J1053" i="3"/>
  <c r="E1053" i="3"/>
  <c r="D1053" i="3"/>
  <c r="H1053" i="3"/>
  <c r="I1053" i="3"/>
  <c r="S1068" i="3"/>
  <c r="O1068" i="3"/>
  <c r="P1068" i="3"/>
  <c r="N1068" i="3"/>
  <c r="M1068" i="3"/>
  <c r="L1068" i="3"/>
  <c r="K1068" i="3"/>
  <c r="E1068" i="3"/>
  <c r="J1068" i="3"/>
  <c r="D1068" i="3"/>
  <c r="H1068" i="3"/>
  <c r="I1068" i="3"/>
  <c r="S960" i="3"/>
  <c r="P960" i="3"/>
  <c r="O960" i="3"/>
  <c r="N960" i="3"/>
  <c r="M960" i="3"/>
  <c r="L960" i="3"/>
  <c r="K960" i="3"/>
  <c r="E960" i="3"/>
  <c r="J960" i="3"/>
  <c r="D960" i="3"/>
  <c r="H960" i="3"/>
  <c r="I960" i="3"/>
  <c r="S1084" i="3"/>
  <c r="P1084" i="3"/>
  <c r="O1084" i="3"/>
  <c r="N1084" i="3"/>
  <c r="M1084" i="3"/>
  <c r="L1084" i="3"/>
  <c r="K1084" i="3"/>
  <c r="E1084" i="3"/>
  <c r="J1084" i="3"/>
  <c r="D1084" i="3"/>
  <c r="H1084" i="3"/>
  <c r="I1084" i="3"/>
  <c r="S889" i="3"/>
  <c r="P889" i="3"/>
  <c r="O889" i="3"/>
  <c r="N889" i="3"/>
  <c r="M889" i="3"/>
  <c r="L889" i="3"/>
  <c r="K889" i="3"/>
  <c r="J889" i="3"/>
  <c r="E889" i="3"/>
  <c r="D889" i="3"/>
  <c r="H889" i="3"/>
  <c r="I889" i="3"/>
  <c r="S1007" i="3"/>
  <c r="P1007" i="3"/>
  <c r="O1007" i="3"/>
  <c r="N1007" i="3"/>
  <c r="M1007" i="3"/>
  <c r="L1007" i="3"/>
  <c r="K1007" i="3"/>
  <c r="J1007" i="3"/>
  <c r="E1007" i="3"/>
  <c r="D1007" i="3"/>
  <c r="H1007" i="3"/>
  <c r="I1007" i="3"/>
  <c r="S788" i="3"/>
  <c r="P788" i="3"/>
  <c r="O788" i="3"/>
  <c r="N788" i="3"/>
  <c r="M788" i="3"/>
  <c r="L788" i="3"/>
  <c r="K788" i="3"/>
  <c r="J788" i="3"/>
  <c r="E788" i="3"/>
  <c r="D788" i="3"/>
  <c r="H788" i="3"/>
  <c r="I788" i="3"/>
  <c r="S971" i="3"/>
  <c r="P971" i="3"/>
  <c r="O971" i="3"/>
  <c r="M971" i="3"/>
  <c r="N971" i="3"/>
  <c r="L971" i="3"/>
  <c r="K971" i="3"/>
  <c r="J971" i="3"/>
  <c r="E971" i="3"/>
  <c r="D971" i="3"/>
  <c r="H971" i="3"/>
  <c r="I971" i="3"/>
  <c r="S1002" i="3"/>
  <c r="P1002" i="3"/>
  <c r="O1002" i="3"/>
  <c r="N1002" i="3"/>
  <c r="M1002" i="3"/>
  <c r="L1002" i="3"/>
  <c r="K1002" i="3"/>
  <c r="E1002" i="3"/>
  <c r="J1002" i="3"/>
  <c r="D1002" i="3"/>
  <c r="H1002" i="3"/>
  <c r="I1002" i="3"/>
  <c r="S942" i="3"/>
  <c r="P942" i="3"/>
  <c r="O942" i="3"/>
  <c r="N942" i="3"/>
  <c r="M942" i="3"/>
  <c r="L942" i="3"/>
  <c r="K942" i="3"/>
  <c r="J942" i="3"/>
  <c r="E942" i="3"/>
  <c r="D942" i="3"/>
  <c r="H942" i="3"/>
  <c r="I942" i="3"/>
  <c r="S704" i="3"/>
  <c r="P704" i="3"/>
  <c r="O704" i="3"/>
  <c r="N704" i="3"/>
  <c r="M704" i="3"/>
  <c r="L704" i="3"/>
  <c r="K704" i="3"/>
  <c r="J704" i="3"/>
  <c r="E704" i="3"/>
  <c r="D704" i="3"/>
  <c r="H704" i="3"/>
  <c r="I704" i="3"/>
  <c r="S680" i="3"/>
  <c r="P680" i="3"/>
  <c r="O680" i="3"/>
  <c r="N680" i="3"/>
  <c r="L680" i="3"/>
  <c r="M680" i="3"/>
  <c r="K680" i="3"/>
  <c r="J680" i="3"/>
  <c r="E680" i="3"/>
  <c r="D680" i="3"/>
  <c r="H680" i="3"/>
  <c r="I680" i="3"/>
  <c r="S901" i="3"/>
  <c r="P901" i="3"/>
  <c r="O901" i="3"/>
  <c r="N901" i="3"/>
  <c r="M901" i="3"/>
  <c r="L901" i="3"/>
  <c r="K901" i="3"/>
  <c r="E901" i="3"/>
  <c r="J901" i="3"/>
  <c r="D901" i="3"/>
  <c r="H901" i="3"/>
  <c r="I901" i="3"/>
  <c r="S887" i="3"/>
  <c r="P887" i="3"/>
  <c r="O887" i="3"/>
  <c r="M887" i="3"/>
  <c r="N887" i="3"/>
  <c r="K887" i="3"/>
  <c r="J887" i="3"/>
  <c r="L887" i="3"/>
  <c r="E887" i="3"/>
  <c r="D887" i="3"/>
  <c r="H887" i="3"/>
  <c r="I887" i="3"/>
  <c r="S874" i="3"/>
  <c r="P874" i="3"/>
  <c r="O874" i="3"/>
  <c r="N874" i="3"/>
  <c r="M874" i="3"/>
  <c r="L874" i="3"/>
  <c r="K874" i="3"/>
  <c r="E874" i="3"/>
  <c r="J874" i="3"/>
  <c r="D874" i="3"/>
  <c r="H874" i="3"/>
  <c r="I874" i="3"/>
  <c r="S648" i="3"/>
  <c r="P648" i="3"/>
  <c r="O648" i="3"/>
  <c r="M648" i="3"/>
  <c r="N648" i="3"/>
  <c r="L648" i="3"/>
  <c r="K648" i="3"/>
  <c r="J648" i="3"/>
  <c r="E648" i="3"/>
  <c r="D648" i="3"/>
  <c r="H648" i="3"/>
  <c r="I648" i="3"/>
  <c r="S886" i="3"/>
  <c r="P886" i="3"/>
  <c r="O886" i="3"/>
  <c r="N886" i="3"/>
  <c r="M886" i="3"/>
  <c r="L886" i="3"/>
  <c r="K886" i="3"/>
  <c r="E886" i="3"/>
  <c r="J886" i="3"/>
  <c r="D886" i="3"/>
  <c r="H886" i="3"/>
  <c r="I886" i="3"/>
  <c r="S777" i="3"/>
  <c r="O777" i="3"/>
  <c r="P777" i="3"/>
  <c r="N777" i="3"/>
  <c r="M777" i="3"/>
  <c r="K777" i="3"/>
  <c r="L777" i="3"/>
  <c r="J777" i="3"/>
  <c r="E777" i="3"/>
  <c r="D777" i="3"/>
  <c r="H777" i="3"/>
  <c r="I777" i="3"/>
  <c r="S859" i="3"/>
  <c r="P859" i="3"/>
  <c r="O859" i="3"/>
  <c r="N859" i="3"/>
  <c r="M859" i="3"/>
  <c r="L859" i="3"/>
  <c r="K859" i="3"/>
  <c r="J859" i="3"/>
  <c r="E859" i="3"/>
  <c r="D859" i="3"/>
  <c r="H859" i="3"/>
  <c r="I859" i="3"/>
  <c r="S596" i="3"/>
  <c r="P596" i="3"/>
  <c r="O596" i="3"/>
  <c r="N596" i="3"/>
  <c r="M596" i="3"/>
  <c r="L596" i="3"/>
  <c r="K596" i="3"/>
  <c r="J596" i="3"/>
  <c r="E596" i="3"/>
  <c r="D596" i="3"/>
  <c r="H596" i="3"/>
  <c r="I596" i="3"/>
  <c r="S792" i="3"/>
  <c r="P792" i="3"/>
  <c r="O792" i="3"/>
  <c r="N792" i="3"/>
  <c r="M792" i="3"/>
  <c r="L792" i="3"/>
  <c r="K792" i="3"/>
  <c r="J792" i="3"/>
  <c r="E792" i="3"/>
  <c r="D792" i="3"/>
  <c r="H792" i="3"/>
  <c r="I792" i="3"/>
  <c r="S824" i="3"/>
  <c r="P824" i="3"/>
  <c r="O824" i="3"/>
  <c r="M824" i="3"/>
  <c r="N824" i="3"/>
  <c r="L824" i="3"/>
  <c r="K824" i="3"/>
  <c r="J824" i="3"/>
  <c r="E824" i="3"/>
  <c r="D824" i="3"/>
  <c r="H824" i="3"/>
  <c r="I824" i="3"/>
  <c r="S609" i="3"/>
  <c r="O609" i="3"/>
  <c r="P609" i="3"/>
  <c r="N609" i="3"/>
  <c r="M609" i="3"/>
  <c r="L609" i="3"/>
  <c r="K609" i="3"/>
  <c r="J609" i="3"/>
  <c r="E609" i="3"/>
  <c r="D609" i="3"/>
  <c r="H609" i="3"/>
  <c r="I609" i="3"/>
  <c r="S754" i="3"/>
  <c r="P754" i="3"/>
  <c r="O754" i="3"/>
  <c r="N754" i="3"/>
  <c r="M754" i="3"/>
  <c r="L754" i="3"/>
  <c r="K754" i="3"/>
  <c r="J754" i="3"/>
  <c r="E754" i="3"/>
  <c r="D754" i="3"/>
  <c r="H754" i="3"/>
  <c r="I754" i="3"/>
  <c r="S766" i="3"/>
  <c r="P766" i="3"/>
  <c r="O766" i="3"/>
  <c r="N766" i="3"/>
  <c r="L766" i="3"/>
  <c r="M766" i="3"/>
  <c r="K766" i="3"/>
  <c r="J766" i="3"/>
  <c r="E766" i="3"/>
  <c r="D766" i="3"/>
  <c r="H766" i="3"/>
  <c r="I766" i="3"/>
  <c r="S805" i="3"/>
  <c r="P805" i="3"/>
  <c r="O805" i="3"/>
  <c r="N805" i="3"/>
  <c r="M805" i="3"/>
  <c r="L805" i="3"/>
  <c r="K805" i="3"/>
  <c r="J805" i="3"/>
  <c r="E805" i="3"/>
  <c r="D805" i="3"/>
  <c r="H805" i="3"/>
  <c r="I805" i="3"/>
  <c r="S690" i="3"/>
  <c r="P690" i="3"/>
  <c r="O690" i="3"/>
  <c r="N690" i="3"/>
  <c r="M690" i="3"/>
  <c r="L690" i="3"/>
  <c r="K690" i="3"/>
  <c r="J690" i="3"/>
  <c r="E690" i="3"/>
  <c r="D690" i="3"/>
  <c r="H690" i="3"/>
  <c r="I690" i="3"/>
  <c r="S719" i="3"/>
  <c r="P719" i="3"/>
  <c r="O719" i="3"/>
  <c r="N719" i="3"/>
  <c r="M719" i="3"/>
  <c r="L719" i="3"/>
  <c r="K719" i="3"/>
  <c r="J719" i="3"/>
  <c r="E719" i="3"/>
  <c r="D719" i="3"/>
  <c r="H719" i="3"/>
  <c r="I719" i="3"/>
  <c r="S624" i="3"/>
  <c r="P624" i="3"/>
  <c r="O624" i="3"/>
  <c r="M624" i="3"/>
  <c r="L624" i="3"/>
  <c r="N624" i="3"/>
  <c r="K624" i="3"/>
  <c r="J624" i="3"/>
  <c r="E624" i="3"/>
  <c r="D624" i="3"/>
  <c r="H624" i="3"/>
  <c r="I624" i="3"/>
  <c r="S654" i="3"/>
  <c r="P654" i="3"/>
  <c r="O654" i="3"/>
  <c r="N654" i="3"/>
  <c r="M654" i="3"/>
  <c r="L654" i="3"/>
  <c r="K654" i="3"/>
  <c r="J654" i="3"/>
  <c r="E654" i="3"/>
  <c r="D654" i="3"/>
  <c r="H654" i="3"/>
  <c r="I654" i="3"/>
  <c r="S468" i="3"/>
  <c r="P468" i="3"/>
  <c r="O468" i="3"/>
  <c r="N468" i="3"/>
  <c r="M468" i="3"/>
  <c r="L468" i="3"/>
  <c r="K468" i="3"/>
  <c r="J468" i="3"/>
  <c r="E468" i="3"/>
  <c r="D468" i="3"/>
  <c r="H468" i="3"/>
  <c r="I468" i="3"/>
  <c r="S661" i="3"/>
  <c r="O661" i="3"/>
  <c r="P661" i="3"/>
  <c r="N661" i="3"/>
  <c r="L661" i="3"/>
  <c r="M661" i="3"/>
  <c r="K661" i="3"/>
  <c r="J661" i="3"/>
  <c r="E661" i="3"/>
  <c r="D661" i="3"/>
  <c r="H661" i="3"/>
  <c r="I661" i="3"/>
  <c r="S645" i="3"/>
  <c r="P645" i="3"/>
  <c r="N645" i="3"/>
  <c r="O645" i="3"/>
  <c r="M645" i="3"/>
  <c r="L645" i="3"/>
  <c r="K645" i="3"/>
  <c r="J645" i="3"/>
  <c r="E645" i="3"/>
  <c r="D645" i="3"/>
  <c r="H645" i="3"/>
  <c r="I645" i="3"/>
  <c r="S631" i="3"/>
  <c r="P631" i="3"/>
  <c r="O631" i="3"/>
  <c r="N631" i="3"/>
  <c r="M631" i="3"/>
  <c r="L631" i="3"/>
  <c r="J631" i="3"/>
  <c r="K631" i="3"/>
  <c r="D631" i="3"/>
  <c r="E631" i="3"/>
  <c r="H631" i="3"/>
  <c r="I631" i="3"/>
  <c r="S580" i="3"/>
  <c r="P580" i="3"/>
  <c r="N580" i="3"/>
  <c r="O580" i="3"/>
  <c r="M580" i="3"/>
  <c r="L580" i="3"/>
  <c r="J580" i="3"/>
  <c r="K580" i="3"/>
  <c r="E580" i="3"/>
  <c r="D580" i="3"/>
  <c r="H580" i="3"/>
  <c r="I580" i="3"/>
  <c r="S566" i="3"/>
  <c r="P566" i="3"/>
  <c r="O566" i="3"/>
  <c r="N566" i="3"/>
  <c r="M566" i="3"/>
  <c r="L566" i="3"/>
  <c r="K566" i="3"/>
  <c r="J566" i="3"/>
  <c r="E566" i="3"/>
  <c r="D566" i="3"/>
  <c r="H566" i="3"/>
  <c r="I566" i="3"/>
  <c r="S604" i="3"/>
  <c r="P604" i="3"/>
  <c r="O604" i="3"/>
  <c r="M604" i="3"/>
  <c r="N604" i="3"/>
  <c r="L604" i="3"/>
  <c r="K604" i="3"/>
  <c r="J604" i="3"/>
  <c r="E604" i="3"/>
  <c r="D604" i="3"/>
  <c r="H604" i="3"/>
  <c r="I604" i="3"/>
  <c r="S510" i="3"/>
  <c r="P510" i="3"/>
  <c r="O510" i="3"/>
  <c r="N510" i="3"/>
  <c r="M510" i="3"/>
  <c r="L510" i="3"/>
  <c r="K510" i="3"/>
  <c r="J510" i="3"/>
  <c r="E510" i="3"/>
  <c r="D510" i="3"/>
  <c r="H510" i="3"/>
  <c r="I510" i="3"/>
  <c r="S533" i="3"/>
  <c r="P533" i="3"/>
  <c r="O533" i="3"/>
  <c r="N533" i="3"/>
  <c r="L533" i="3"/>
  <c r="M533" i="3"/>
  <c r="K533" i="3"/>
  <c r="J533" i="3"/>
  <c r="E533" i="3"/>
  <c r="D533" i="3"/>
  <c r="H533" i="3"/>
  <c r="I533" i="3"/>
  <c r="S564" i="3"/>
  <c r="P564" i="3"/>
  <c r="O564" i="3"/>
  <c r="N564" i="3"/>
  <c r="M564" i="3"/>
  <c r="L564" i="3"/>
  <c r="K564" i="3"/>
  <c r="J564" i="3"/>
  <c r="E564" i="3"/>
  <c r="D564" i="3"/>
  <c r="I564" i="3"/>
  <c r="H564" i="3"/>
  <c r="S539" i="3"/>
  <c r="P539" i="3"/>
  <c r="O539" i="3"/>
  <c r="N539" i="3"/>
  <c r="M539" i="3"/>
  <c r="L539" i="3"/>
  <c r="K539" i="3"/>
  <c r="J539" i="3"/>
  <c r="E539" i="3"/>
  <c r="D539" i="3"/>
  <c r="I539" i="3"/>
  <c r="H539" i="3"/>
  <c r="S527" i="3"/>
  <c r="P527" i="3"/>
  <c r="O527" i="3"/>
  <c r="N527" i="3"/>
  <c r="M527" i="3"/>
  <c r="L527" i="3"/>
  <c r="K527" i="3"/>
  <c r="J527" i="3"/>
  <c r="E527" i="3"/>
  <c r="D527" i="3"/>
  <c r="H527" i="3"/>
  <c r="I527" i="3"/>
  <c r="S490" i="3"/>
  <c r="P490" i="3"/>
  <c r="O490" i="3"/>
  <c r="N490" i="3"/>
  <c r="L490" i="3"/>
  <c r="M490" i="3"/>
  <c r="K490" i="3"/>
  <c r="J490" i="3"/>
  <c r="E490" i="3"/>
  <c r="D490" i="3"/>
  <c r="H490" i="3"/>
  <c r="I490" i="3"/>
  <c r="S478" i="3"/>
  <c r="P478" i="3"/>
  <c r="O478" i="3"/>
  <c r="N478" i="3"/>
  <c r="M478" i="3"/>
  <c r="L478" i="3"/>
  <c r="K478" i="3"/>
  <c r="J478" i="3"/>
  <c r="E478" i="3"/>
  <c r="D478" i="3"/>
  <c r="H478" i="3"/>
  <c r="I478" i="3"/>
  <c r="S499" i="3"/>
  <c r="P499" i="3"/>
  <c r="O499" i="3"/>
  <c r="N499" i="3"/>
  <c r="M499" i="3"/>
  <c r="L499" i="3"/>
  <c r="K499" i="3"/>
  <c r="J499" i="3"/>
  <c r="E499" i="3"/>
  <c r="D499" i="3"/>
  <c r="H499" i="3"/>
  <c r="I499" i="3"/>
  <c r="S513" i="3"/>
  <c r="P513" i="3"/>
  <c r="N513" i="3"/>
  <c r="O513" i="3"/>
  <c r="M513" i="3"/>
  <c r="L513" i="3"/>
  <c r="K513" i="3"/>
  <c r="J513" i="3"/>
  <c r="E513" i="3"/>
  <c r="D513" i="3"/>
  <c r="H513" i="3"/>
  <c r="I513" i="3"/>
  <c r="S466" i="3"/>
  <c r="P466" i="3"/>
  <c r="O466" i="3"/>
  <c r="N466" i="3"/>
  <c r="M466" i="3"/>
  <c r="L466" i="3"/>
  <c r="K466" i="3"/>
  <c r="E466" i="3"/>
  <c r="J466" i="3"/>
  <c r="D466" i="3"/>
  <c r="H466" i="3"/>
  <c r="I466" i="3"/>
  <c r="S424" i="3"/>
  <c r="P424" i="3"/>
  <c r="O424" i="3"/>
  <c r="N424" i="3"/>
  <c r="M424" i="3"/>
  <c r="L424" i="3"/>
  <c r="K424" i="3"/>
  <c r="J424" i="3"/>
  <c r="E424" i="3"/>
  <c r="D424" i="3"/>
  <c r="H424" i="3"/>
  <c r="I424" i="3"/>
  <c r="S410" i="3"/>
  <c r="P410" i="3"/>
  <c r="N410" i="3"/>
  <c r="O410" i="3"/>
  <c r="M410" i="3"/>
  <c r="L410" i="3"/>
  <c r="K410" i="3"/>
  <c r="J410" i="3"/>
  <c r="E410" i="3"/>
  <c r="D410" i="3"/>
  <c r="H410" i="3"/>
  <c r="I410" i="3"/>
  <c r="S398" i="3"/>
  <c r="P398" i="3"/>
  <c r="N398" i="3"/>
  <c r="O398" i="3"/>
  <c r="M398" i="3"/>
  <c r="L398" i="3"/>
  <c r="K398" i="3"/>
  <c r="E398" i="3"/>
  <c r="J398" i="3"/>
  <c r="D398" i="3"/>
  <c r="H398" i="3"/>
  <c r="I398" i="3"/>
  <c r="S380" i="3"/>
  <c r="P380" i="3"/>
  <c r="O380" i="3"/>
  <c r="N380" i="3"/>
  <c r="M380" i="3"/>
  <c r="L380" i="3"/>
  <c r="K380" i="3"/>
  <c r="J380" i="3"/>
  <c r="E380" i="3"/>
  <c r="D380" i="3"/>
  <c r="H380" i="3"/>
  <c r="I380" i="3"/>
  <c r="S384" i="3"/>
  <c r="P384" i="3"/>
  <c r="O384" i="3"/>
  <c r="N384" i="3"/>
  <c r="M384" i="3"/>
  <c r="L384" i="3"/>
  <c r="K384" i="3"/>
  <c r="J384" i="3"/>
  <c r="E384" i="3"/>
  <c r="D384" i="3"/>
  <c r="I384" i="3"/>
  <c r="H384" i="3"/>
  <c r="S366" i="3"/>
  <c r="P366" i="3"/>
  <c r="O366" i="3"/>
  <c r="N366" i="3"/>
  <c r="M366" i="3"/>
  <c r="K366" i="3"/>
  <c r="L366" i="3"/>
  <c r="J366" i="3"/>
  <c r="E366" i="3"/>
  <c r="D366" i="3"/>
  <c r="H366" i="3"/>
  <c r="I366" i="3"/>
  <c r="S351" i="3"/>
  <c r="P351" i="3"/>
  <c r="O351" i="3"/>
  <c r="N351" i="3"/>
  <c r="M351" i="3"/>
  <c r="L351" i="3"/>
  <c r="K351" i="3"/>
  <c r="J351" i="3"/>
  <c r="E351" i="3"/>
  <c r="D351" i="3"/>
  <c r="I351" i="3"/>
  <c r="H351" i="3"/>
  <c r="S353" i="3"/>
  <c r="P353" i="3"/>
  <c r="O353" i="3"/>
  <c r="N353" i="3"/>
  <c r="M353" i="3"/>
  <c r="L353" i="3"/>
  <c r="K353" i="3"/>
  <c r="J353" i="3"/>
  <c r="D353" i="3"/>
  <c r="E353" i="3"/>
  <c r="I353" i="3"/>
  <c r="H353" i="3"/>
  <c r="S295" i="3"/>
  <c r="P295" i="3"/>
  <c r="O295" i="3"/>
  <c r="N295" i="3"/>
  <c r="M295" i="3"/>
  <c r="L295" i="3"/>
  <c r="K295" i="3"/>
  <c r="J295" i="3"/>
  <c r="E295" i="3"/>
  <c r="D295" i="3"/>
  <c r="H295" i="3"/>
  <c r="I295" i="3"/>
  <c r="S264" i="3"/>
  <c r="P264" i="3"/>
  <c r="O264" i="3"/>
  <c r="N264" i="3"/>
  <c r="M264" i="3"/>
  <c r="L264" i="3"/>
  <c r="K264" i="3"/>
  <c r="J264" i="3"/>
  <c r="E264" i="3"/>
  <c r="D264" i="3"/>
  <c r="H264" i="3"/>
  <c r="I264" i="3"/>
  <c r="S259" i="3"/>
  <c r="P259" i="3"/>
  <c r="N259" i="3"/>
  <c r="O259" i="3"/>
  <c r="M259" i="3"/>
  <c r="L259" i="3"/>
  <c r="K259" i="3"/>
  <c r="J259" i="3"/>
  <c r="E259" i="3"/>
  <c r="D259" i="3"/>
  <c r="H259" i="3"/>
  <c r="I259" i="3"/>
  <c r="S222" i="3"/>
  <c r="P222" i="3"/>
  <c r="O222" i="3"/>
  <c r="N222" i="3"/>
  <c r="M222" i="3"/>
  <c r="L222" i="3"/>
  <c r="K222" i="3"/>
  <c r="J222" i="3"/>
  <c r="E222" i="3"/>
  <c r="D222" i="3"/>
  <c r="H222" i="3"/>
  <c r="I222" i="3"/>
  <c r="S190" i="3"/>
  <c r="P190" i="3"/>
  <c r="O190" i="3"/>
  <c r="N190" i="3"/>
  <c r="M190" i="3"/>
  <c r="K190" i="3"/>
  <c r="J190" i="3"/>
  <c r="L190" i="3"/>
  <c r="E190" i="3"/>
  <c r="D190" i="3"/>
  <c r="H190" i="3"/>
  <c r="I190" i="3"/>
  <c r="S177" i="3"/>
  <c r="P177" i="3"/>
  <c r="O177" i="3"/>
  <c r="N177" i="3"/>
  <c r="M177" i="3"/>
  <c r="L177" i="3"/>
  <c r="K177" i="3"/>
  <c r="J177" i="3"/>
  <c r="D177" i="3"/>
  <c r="E177" i="3"/>
  <c r="I177" i="3"/>
  <c r="H177" i="3"/>
  <c r="S165" i="3"/>
  <c r="P165" i="3"/>
  <c r="O165" i="3"/>
  <c r="N165" i="3"/>
  <c r="M165" i="3"/>
  <c r="L165" i="3"/>
  <c r="K165" i="3"/>
  <c r="J165" i="3"/>
  <c r="D165" i="3"/>
  <c r="E165" i="3"/>
  <c r="H165" i="3"/>
  <c r="I165" i="3"/>
  <c r="S117" i="3"/>
  <c r="P117" i="3"/>
  <c r="O117" i="3"/>
  <c r="N117" i="3"/>
  <c r="M117" i="3"/>
  <c r="L117" i="3"/>
  <c r="K117" i="3"/>
  <c r="J117" i="3"/>
  <c r="E117" i="3"/>
  <c r="D117" i="3"/>
  <c r="H117" i="3"/>
  <c r="I117" i="3"/>
  <c r="S127" i="3"/>
  <c r="P127" i="3"/>
  <c r="O127" i="3"/>
  <c r="N127" i="3"/>
  <c r="M127" i="3"/>
  <c r="K127" i="3"/>
  <c r="L127" i="3"/>
  <c r="J127" i="3"/>
  <c r="E127" i="3"/>
  <c r="D127" i="3"/>
  <c r="H127" i="3"/>
  <c r="I127" i="3"/>
  <c r="S115" i="3"/>
  <c r="P115" i="3"/>
  <c r="O115" i="3"/>
  <c r="N115" i="3"/>
  <c r="M115" i="3"/>
  <c r="L115" i="3"/>
  <c r="K115" i="3"/>
  <c r="J115" i="3"/>
  <c r="E115" i="3"/>
  <c r="D115" i="3"/>
  <c r="I115" i="3"/>
  <c r="H115" i="3"/>
  <c r="S96" i="3"/>
  <c r="P96" i="3"/>
  <c r="O96" i="3"/>
  <c r="M96" i="3"/>
  <c r="N96" i="3"/>
  <c r="L96" i="3"/>
  <c r="K96" i="3"/>
  <c r="J96" i="3"/>
  <c r="E96" i="3"/>
  <c r="D96" i="3"/>
  <c r="I96" i="3"/>
  <c r="H96" i="3"/>
  <c r="S61" i="3"/>
  <c r="P61" i="3"/>
  <c r="O61" i="3"/>
  <c r="M61" i="3"/>
  <c r="N61" i="3"/>
  <c r="L61" i="3"/>
  <c r="K61" i="3"/>
  <c r="J61" i="3"/>
  <c r="E61" i="3"/>
  <c r="D61" i="3"/>
  <c r="I61" i="3"/>
  <c r="H61" i="3"/>
  <c r="S48" i="3"/>
  <c r="P48" i="3"/>
  <c r="O48" i="3"/>
  <c r="N48" i="3"/>
  <c r="M48" i="3"/>
  <c r="L48" i="3"/>
  <c r="K48" i="3"/>
  <c r="J48" i="3"/>
  <c r="E48" i="3"/>
  <c r="D48" i="3"/>
  <c r="H48" i="3"/>
  <c r="I48" i="3"/>
  <c r="S32" i="3"/>
  <c r="P32" i="3"/>
  <c r="O32" i="3"/>
  <c r="N32" i="3"/>
  <c r="M32" i="3"/>
  <c r="L32" i="3"/>
  <c r="J32" i="3"/>
  <c r="E32" i="3"/>
  <c r="K32" i="3"/>
  <c r="D32" i="3"/>
  <c r="I32" i="3"/>
  <c r="H32" i="3"/>
  <c r="S26" i="3"/>
  <c r="P26" i="3"/>
  <c r="O26" i="3"/>
  <c r="N26" i="3"/>
  <c r="M26" i="3"/>
  <c r="L26" i="3"/>
  <c r="K26" i="3"/>
  <c r="J26" i="3"/>
  <c r="D26" i="3"/>
  <c r="E26" i="3"/>
  <c r="H26" i="3"/>
  <c r="I26" i="3"/>
  <c r="S15" i="3"/>
  <c r="P15" i="3"/>
  <c r="O15" i="3"/>
  <c r="N15" i="3"/>
  <c r="M15" i="3"/>
  <c r="L15" i="3"/>
  <c r="K15" i="3"/>
  <c r="E15" i="3"/>
  <c r="J15" i="3"/>
  <c r="D15" i="3"/>
  <c r="I15" i="3"/>
  <c r="H15" i="3"/>
  <c r="S5" i="3"/>
  <c r="P5" i="3"/>
  <c r="O5" i="3"/>
  <c r="N5" i="3"/>
  <c r="M5" i="3"/>
  <c r="L5" i="3"/>
  <c r="J5" i="3"/>
  <c r="E5" i="3"/>
  <c r="D5" i="3"/>
  <c r="K5" i="3"/>
  <c r="I5" i="3"/>
  <c r="H5" i="3"/>
  <c r="P775" i="3"/>
  <c r="S775" i="3"/>
  <c r="O775" i="3"/>
  <c r="M775" i="3"/>
  <c r="N775" i="3"/>
  <c r="J775" i="3"/>
  <c r="K775" i="3"/>
  <c r="L775" i="3"/>
  <c r="E775" i="3"/>
  <c r="D775" i="3"/>
  <c r="H775" i="3"/>
  <c r="I775" i="3"/>
  <c r="S283" i="3"/>
  <c r="P283" i="3"/>
  <c r="O283" i="3"/>
  <c r="N283" i="3"/>
  <c r="M283" i="3"/>
  <c r="L283" i="3"/>
  <c r="K283" i="3"/>
  <c r="J283" i="3"/>
  <c r="E283" i="3"/>
  <c r="D283" i="3"/>
  <c r="H283" i="3"/>
  <c r="I283" i="3"/>
  <c r="S73" i="3"/>
  <c r="P73" i="3"/>
  <c r="O73" i="3"/>
  <c r="N73" i="3"/>
  <c r="M73" i="3"/>
  <c r="K73" i="3"/>
  <c r="L73" i="3"/>
  <c r="J73" i="3"/>
  <c r="E73" i="3"/>
  <c r="D73" i="3"/>
  <c r="H73" i="3"/>
  <c r="I73" i="3"/>
  <c r="S517" i="3"/>
  <c r="P517" i="3"/>
  <c r="O517" i="3"/>
  <c r="N517" i="3"/>
  <c r="M517" i="3"/>
  <c r="L517" i="3"/>
  <c r="K517" i="3"/>
  <c r="J517" i="3"/>
  <c r="E517" i="3"/>
  <c r="D517" i="3"/>
  <c r="H517" i="3"/>
  <c r="I517" i="3"/>
  <c r="S333" i="3"/>
  <c r="P333" i="3"/>
  <c r="O333" i="3"/>
  <c r="N333" i="3"/>
  <c r="M333" i="3"/>
  <c r="L333" i="3"/>
  <c r="K333" i="3"/>
  <c r="J333" i="3"/>
  <c r="E333" i="3"/>
  <c r="D333" i="3"/>
  <c r="H333" i="3"/>
  <c r="I333" i="3"/>
  <c r="S426" i="3"/>
  <c r="P426" i="3"/>
  <c r="O426" i="3"/>
  <c r="N426" i="3"/>
  <c r="M426" i="3"/>
  <c r="L426" i="3"/>
  <c r="K426" i="3"/>
  <c r="J426" i="3"/>
  <c r="E426" i="3"/>
  <c r="D426" i="3"/>
  <c r="H426" i="3"/>
  <c r="I426" i="3"/>
  <c r="S74" i="3"/>
  <c r="P74" i="3"/>
  <c r="O74" i="3"/>
  <c r="N74" i="3"/>
  <c r="M74" i="3"/>
  <c r="L74" i="3"/>
  <c r="K74" i="3"/>
  <c r="J74" i="3"/>
  <c r="D74" i="3"/>
  <c r="E74" i="3"/>
  <c r="H74" i="3"/>
  <c r="I74" i="3"/>
  <c r="S1192" i="3"/>
  <c r="P1192" i="3"/>
  <c r="O1192" i="3"/>
  <c r="N1192" i="3"/>
  <c r="M1192" i="3"/>
  <c r="L1192" i="3"/>
  <c r="K1192" i="3"/>
  <c r="J1192" i="3"/>
  <c r="E1192" i="3"/>
  <c r="D1192" i="3"/>
  <c r="H1192" i="3"/>
  <c r="I1192" i="3"/>
  <c r="S801" i="3"/>
  <c r="P801" i="3"/>
  <c r="O801" i="3"/>
  <c r="N801" i="3"/>
  <c r="M801" i="3"/>
  <c r="L801" i="3"/>
  <c r="K801" i="3"/>
  <c r="E801" i="3"/>
  <c r="J801" i="3"/>
  <c r="D801" i="3"/>
  <c r="H801" i="3"/>
  <c r="I801" i="3"/>
  <c r="S1000" i="3"/>
  <c r="P1000" i="3"/>
  <c r="O1000" i="3"/>
  <c r="N1000" i="3"/>
  <c r="M1000" i="3"/>
  <c r="L1000" i="3"/>
  <c r="K1000" i="3"/>
  <c r="E1000" i="3"/>
  <c r="J1000" i="3"/>
  <c r="D1000" i="3"/>
  <c r="H1000" i="3"/>
  <c r="I1000" i="3"/>
  <c r="S455" i="3"/>
  <c r="P455" i="3"/>
  <c r="O455" i="3"/>
  <c r="N455" i="3"/>
  <c r="M455" i="3"/>
  <c r="L455" i="3"/>
  <c r="K455" i="3"/>
  <c r="J455" i="3"/>
  <c r="E455" i="3"/>
  <c r="D455" i="3"/>
  <c r="H455" i="3"/>
  <c r="I455" i="3"/>
  <c r="S891" i="3"/>
  <c r="P891" i="3"/>
  <c r="O891" i="3"/>
  <c r="M891" i="3"/>
  <c r="N891" i="3"/>
  <c r="L891" i="3"/>
  <c r="J891" i="3"/>
  <c r="K891" i="3"/>
  <c r="E891" i="3"/>
  <c r="D891" i="3"/>
  <c r="H891" i="3"/>
  <c r="I891" i="3"/>
  <c r="S335" i="3"/>
  <c r="P335" i="3"/>
  <c r="O335" i="3"/>
  <c r="N335" i="3"/>
  <c r="M335" i="3"/>
  <c r="L335" i="3"/>
  <c r="K335" i="3"/>
  <c r="J335" i="3"/>
  <c r="E335" i="3"/>
  <c r="D335" i="3"/>
  <c r="H335" i="3"/>
  <c r="I335" i="3"/>
  <c r="S16" i="3"/>
  <c r="P16" i="3"/>
  <c r="O16" i="3"/>
  <c r="N16" i="3"/>
  <c r="M16" i="3"/>
  <c r="L16" i="3"/>
  <c r="K16" i="3"/>
  <c r="J16" i="3"/>
  <c r="E16" i="3"/>
  <c r="D16" i="3"/>
  <c r="H16" i="3"/>
  <c r="I16" i="3"/>
  <c r="S642" i="3"/>
  <c r="P642" i="3"/>
  <c r="O642" i="3"/>
  <c r="N642" i="3"/>
  <c r="M642" i="3"/>
  <c r="L642" i="3"/>
  <c r="K642" i="3"/>
  <c r="J642" i="3"/>
  <c r="E642" i="3"/>
  <c r="D642" i="3"/>
  <c r="H642" i="3"/>
  <c r="I642" i="3"/>
  <c r="S753" i="3"/>
  <c r="P753" i="3"/>
  <c r="O753" i="3"/>
  <c r="N753" i="3"/>
  <c r="M753" i="3"/>
  <c r="L753" i="3"/>
  <c r="K753" i="3"/>
  <c r="J753" i="3"/>
  <c r="E753" i="3"/>
  <c r="D753" i="3"/>
  <c r="H753" i="3"/>
  <c r="I753" i="3"/>
  <c r="S525" i="3"/>
  <c r="P525" i="3"/>
  <c r="O525" i="3"/>
  <c r="N525" i="3"/>
  <c r="M525" i="3"/>
  <c r="L525" i="3"/>
  <c r="K525" i="3"/>
  <c r="J525" i="3"/>
  <c r="E525" i="3"/>
  <c r="D525" i="3"/>
  <c r="H525" i="3"/>
  <c r="I525" i="3"/>
  <c r="S244" i="3"/>
  <c r="P244" i="3"/>
  <c r="O244" i="3"/>
  <c r="N244" i="3"/>
  <c r="M244" i="3"/>
  <c r="K244" i="3"/>
  <c r="L244" i="3"/>
  <c r="J244" i="3"/>
  <c r="D244" i="3"/>
  <c r="E244" i="3"/>
  <c r="H244" i="3"/>
  <c r="I244" i="3"/>
  <c r="S189" i="3"/>
  <c r="P189" i="3"/>
  <c r="O189" i="3"/>
  <c r="N189" i="3"/>
  <c r="M189" i="3"/>
  <c r="L189" i="3"/>
  <c r="K189" i="3"/>
  <c r="J189" i="3"/>
  <c r="D189" i="3"/>
  <c r="E189" i="3"/>
  <c r="I189" i="3"/>
  <c r="H189" i="3"/>
  <c r="S746" i="3"/>
  <c r="P746" i="3"/>
  <c r="O746" i="3"/>
  <c r="N746" i="3"/>
  <c r="M746" i="3"/>
  <c r="L746" i="3"/>
  <c r="K746" i="3"/>
  <c r="E746" i="3"/>
  <c r="J746" i="3"/>
  <c r="D746" i="3"/>
  <c r="H746" i="3"/>
  <c r="I746" i="3"/>
  <c r="S495" i="3"/>
  <c r="P495" i="3"/>
  <c r="O495" i="3"/>
  <c r="N495" i="3"/>
  <c r="M495" i="3"/>
  <c r="L495" i="3"/>
  <c r="J495" i="3"/>
  <c r="K495" i="3"/>
  <c r="E495" i="3"/>
  <c r="D495" i="3"/>
  <c r="H495" i="3"/>
  <c r="I495" i="3"/>
  <c r="S1185" i="3"/>
  <c r="P1185" i="3"/>
  <c r="O1185" i="3"/>
  <c r="N1185" i="3"/>
  <c r="M1185" i="3"/>
  <c r="L1185" i="3"/>
  <c r="K1185" i="3"/>
  <c r="J1185" i="3"/>
  <c r="E1185" i="3"/>
  <c r="D1185" i="3"/>
  <c r="I1185" i="3"/>
  <c r="H1185" i="3"/>
  <c r="S1066" i="3"/>
  <c r="P1066" i="3"/>
  <c r="O1066" i="3"/>
  <c r="N1066" i="3"/>
  <c r="L1066" i="3"/>
  <c r="M1066" i="3"/>
  <c r="K1066" i="3"/>
  <c r="J1066" i="3"/>
  <c r="E1066" i="3"/>
  <c r="D1066" i="3"/>
  <c r="H1066" i="3"/>
  <c r="I1066" i="3"/>
  <c r="S1020" i="3"/>
  <c r="P1020" i="3"/>
  <c r="O1020" i="3"/>
  <c r="M1020" i="3"/>
  <c r="L1020" i="3"/>
  <c r="N1020" i="3"/>
  <c r="K1020" i="3"/>
  <c r="J1020" i="3"/>
  <c r="E1020" i="3"/>
  <c r="D1020" i="3"/>
  <c r="H1020" i="3"/>
  <c r="I1020" i="3"/>
  <c r="S1173" i="3"/>
  <c r="P1173" i="3"/>
  <c r="O1173" i="3"/>
  <c r="M1173" i="3"/>
  <c r="N1173" i="3"/>
  <c r="L1173" i="3"/>
  <c r="K1173" i="3"/>
  <c r="J1173" i="3"/>
  <c r="E1173" i="3"/>
  <c r="D1173" i="3"/>
  <c r="H1173" i="3"/>
  <c r="I1173" i="3"/>
  <c r="S105" i="3"/>
  <c r="P105" i="3"/>
  <c r="O105" i="3"/>
  <c r="N105" i="3"/>
  <c r="M105" i="3"/>
  <c r="L105" i="3"/>
  <c r="K105" i="3"/>
  <c r="J105" i="3"/>
  <c r="E105" i="3"/>
  <c r="D105" i="3"/>
  <c r="H105" i="3"/>
  <c r="I105" i="3"/>
  <c r="S100" i="3"/>
  <c r="P100" i="3"/>
  <c r="O100" i="3"/>
  <c r="N100" i="3"/>
  <c r="M100" i="3"/>
  <c r="L100" i="3"/>
  <c r="K100" i="3"/>
  <c r="J100" i="3"/>
  <c r="D100" i="3"/>
  <c r="E100" i="3"/>
  <c r="I100" i="3"/>
  <c r="H100" i="3"/>
  <c r="S864" i="3"/>
  <c r="P864" i="3"/>
  <c r="O864" i="3"/>
  <c r="N864" i="3"/>
  <c r="M864" i="3"/>
  <c r="L864" i="3"/>
  <c r="K864" i="3"/>
  <c r="J864" i="3"/>
  <c r="E864" i="3"/>
  <c r="D864" i="3"/>
  <c r="H864" i="3"/>
  <c r="I864" i="3"/>
  <c r="S561" i="3"/>
  <c r="P561" i="3"/>
  <c r="O561" i="3"/>
  <c r="N561" i="3"/>
  <c r="M561" i="3"/>
  <c r="L561" i="3"/>
  <c r="K561" i="3"/>
  <c r="J561" i="3"/>
  <c r="E561" i="3"/>
  <c r="D561" i="3"/>
  <c r="I561" i="3"/>
  <c r="H561" i="3"/>
  <c r="S1179" i="3"/>
  <c r="P1179" i="3"/>
  <c r="O1179" i="3"/>
  <c r="N1179" i="3"/>
  <c r="M1179" i="3"/>
  <c r="L1179" i="3"/>
  <c r="K1179" i="3"/>
  <c r="J1179" i="3"/>
  <c r="E1179" i="3"/>
  <c r="D1179" i="3"/>
  <c r="H1179" i="3"/>
  <c r="I1179" i="3"/>
  <c r="S1206" i="3"/>
  <c r="P1206" i="3"/>
  <c r="O1206" i="3"/>
  <c r="M1206" i="3"/>
  <c r="N1206" i="3"/>
  <c r="L1206" i="3"/>
  <c r="K1206" i="3"/>
  <c r="J1206" i="3"/>
  <c r="E1206" i="3"/>
  <c r="D1206" i="3"/>
  <c r="H1206" i="3"/>
  <c r="I1206" i="3"/>
  <c r="S233" i="3"/>
  <c r="O233" i="3"/>
  <c r="P233" i="3"/>
  <c r="L233" i="3"/>
  <c r="M233" i="3"/>
  <c r="N233" i="3"/>
  <c r="K233" i="3"/>
  <c r="J233" i="3"/>
  <c r="E233" i="3"/>
  <c r="D233" i="3"/>
  <c r="H233" i="3"/>
  <c r="I233" i="3"/>
  <c r="S1032" i="3"/>
  <c r="P1032" i="3"/>
  <c r="O1032" i="3"/>
  <c r="N1032" i="3"/>
  <c r="M1032" i="3"/>
  <c r="K1032" i="3"/>
  <c r="L1032" i="3"/>
  <c r="J1032" i="3"/>
  <c r="E1032" i="3"/>
  <c r="D1032" i="3"/>
  <c r="H1032" i="3"/>
  <c r="I1032" i="3"/>
  <c r="S963" i="3"/>
  <c r="P963" i="3"/>
  <c r="O963" i="3"/>
  <c r="N963" i="3"/>
  <c r="M963" i="3"/>
  <c r="L963" i="3"/>
  <c r="K963" i="3"/>
  <c r="E963" i="3"/>
  <c r="J963" i="3"/>
  <c r="D963" i="3"/>
  <c r="H963" i="3"/>
  <c r="I963" i="3"/>
  <c r="S658" i="3"/>
  <c r="P658" i="3"/>
  <c r="O658" i="3"/>
  <c r="N658" i="3"/>
  <c r="M658" i="3"/>
  <c r="L658" i="3"/>
  <c r="K658" i="3"/>
  <c r="J658" i="3"/>
  <c r="E658" i="3"/>
  <c r="D658" i="3"/>
  <c r="H658" i="3"/>
  <c r="I658" i="3"/>
  <c r="S861" i="3"/>
  <c r="P861" i="3"/>
  <c r="O861" i="3"/>
  <c r="N861" i="3"/>
  <c r="M861" i="3"/>
  <c r="L861" i="3"/>
  <c r="J861" i="3"/>
  <c r="K861" i="3"/>
  <c r="E861" i="3"/>
  <c r="D861" i="3"/>
  <c r="H861" i="3"/>
  <c r="I861" i="3"/>
  <c r="S313" i="3"/>
  <c r="P313" i="3"/>
  <c r="O313" i="3"/>
  <c r="N313" i="3"/>
  <c r="M313" i="3"/>
  <c r="L313" i="3"/>
  <c r="K313" i="3"/>
  <c r="J313" i="3"/>
  <c r="E313" i="3"/>
  <c r="D313" i="3"/>
  <c r="H313" i="3"/>
  <c r="I313" i="3"/>
  <c r="S1016" i="3"/>
  <c r="P1016" i="3"/>
  <c r="O1016" i="3"/>
  <c r="M1016" i="3"/>
  <c r="L1016" i="3"/>
  <c r="N1016" i="3"/>
  <c r="J1016" i="3"/>
  <c r="K1016" i="3"/>
  <c r="E1016" i="3"/>
  <c r="D1016" i="3"/>
  <c r="H1016" i="3"/>
  <c r="I1016" i="3"/>
  <c r="S873" i="3"/>
  <c r="P873" i="3"/>
  <c r="O873" i="3"/>
  <c r="N873" i="3"/>
  <c r="M873" i="3"/>
  <c r="L873" i="3"/>
  <c r="K873" i="3"/>
  <c r="J873" i="3"/>
  <c r="E873" i="3"/>
  <c r="D873" i="3"/>
  <c r="H873" i="3"/>
  <c r="I873" i="3"/>
  <c r="S798" i="3"/>
  <c r="P798" i="3"/>
  <c r="O798" i="3"/>
  <c r="N798" i="3"/>
  <c r="M798" i="3"/>
  <c r="L798" i="3"/>
  <c r="K798" i="3"/>
  <c r="J798" i="3"/>
  <c r="E798" i="3"/>
  <c r="D798" i="3"/>
  <c r="I798" i="3"/>
  <c r="H798" i="3"/>
  <c r="S629" i="3"/>
  <c r="P629" i="3"/>
  <c r="O629" i="3"/>
  <c r="N629" i="3"/>
  <c r="M629" i="3"/>
  <c r="L629" i="3"/>
  <c r="K629" i="3"/>
  <c r="J629" i="3"/>
  <c r="E629" i="3"/>
  <c r="D629" i="3"/>
  <c r="H629" i="3"/>
  <c r="I629" i="3"/>
  <c r="S741" i="3"/>
  <c r="P741" i="3"/>
  <c r="O741" i="3"/>
  <c r="N741" i="3"/>
  <c r="M741" i="3"/>
  <c r="L741" i="3"/>
  <c r="K741" i="3"/>
  <c r="J741" i="3"/>
  <c r="E741" i="3"/>
  <c r="D741" i="3"/>
  <c r="H741" i="3"/>
  <c r="I741" i="3"/>
  <c r="S436" i="3"/>
  <c r="P436" i="3"/>
  <c r="O436" i="3"/>
  <c r="N436" i="3"/>
  <c r="M436" i="3"/>
  <c r="K436" i="3"/>
  <c r="L436" i="3"/>
  <c r="J436" i="3"/>
  <c r="E436" i="3"/>
  <c r="D436" i="3"/>
  <c r="H436" i="3"/>
  <c r="I436" i="3"/>
  <c r="S600" i="3"/>
  <c r="P600" i="3"/>
  <c r="O600" i="3"/>
  <c r="N600" i="3"/>
  <c r="L600" i="3"/>
  <c r="M600" i="3"/>
  <c r="K600" i="3"/>
  <c r="J600" i="3"/>
  <c r="E600" i="3"/>
  <c r="D600" i="3"/>
  <c r="H600" i="3"/>
  <c r="I600" i="3"/>
  <c r="S489" i="3"/>
  <c r="P489" i="3"/>
  <c r="O489" i="3"/>
  <c r="N489" i="3"/>
  <c r="M489" i="3"/>
  <c r="L489" i="3"/>
  <c r="K489" i="3"/>
  <c r="J489" i="3"/>
  <c r="E489" i="3"/>
  <c r="D489" i="3"/>
  <c r="H489" i="3"/>
  <c r="I489" i="3"/>
  <c r="S153" i="3"/>
  <c r="P153" i="3"/>
  <c r="O153" i="3"/>
  <c r="M153" i="3"/>
  <c r="L153" i="3"/>
  <c r="K153" i="3"/>
  <c r="N153" i="3"/>
  <c r="J153" i="3"/>
  <c r="E153" i="3"/>
  <c r="I153" i="3"/>
  <c r="H153" i="3"/>
  <c r="D153" i="3"/>
  <c r="S91" i="3"/>
  <c r="P91" i="3"/>
  <c r="O91" i="3"/>
  <c r="N91" i="3"/>
  <c r="M91" i="3"/>
  <c r="L91" i="3"/>
  <c r="K91" i="3"/>
  <c r="J91" i="3"/>
  <c r="D91" i="3"/>
  <c r="E91" i="3"/>
  <c r="I91" i="3"/>
  <c r="H91" i="3"/>
  <c r="S773" i="3"/>
  <c r="P773" i="3"/>
  <c r="O773" i="3"/>
  <c r="N773" i="3"/>
  <c r="M773" i="3"/>
  <c r="L773" i="3"/>
  <c r="K773" i="3"/>
  <c r="E773" i="3"/>
  <c r="J773" i="3"/>
  <c r="D773" i="3"/>
  <c r="H773" i="3"/>
  <c r="I773" i="3"/>
  <c r="S303" i="3"/>
  <c r="P303" i="3"/>
  <c r="N303" i="3"/>
  <c r="O303" i="3"/>
  <c r="L303" i="3"/>
  <c r="M303" i="3"/>
  <c r="J303" i="3"/>
  <c r="K303" i="3"/>
  <c r="E303" i="3"/>
  <c r="D303" i="3"/>
  <c r="H303" i="3"/>
  <c r="I303" i="3"/>
  <c r="S166" i="3"/>
  <c r="P166" i="3"/>
  <c r="O166" i="3"/>
  <c r="N166" i="3"/>
  <c r="L166" i="3"/>
  <c r="M166" i="3"/>
  <c r="K166" i="3"/>
  <c r="J166" i="3"/>
  <c r="E166" i="3"/>
  <c r="D166" i="3"/>
  <c r="I166" i="3"/>
  <c r="H166" i="3"/>
  <c r="S724" i="3"/>
  <c r="P724" i="3"/>
  <c r="O724" i="3"/>
  <c r="N724" i="3"/>
  <c r="M724" i="3"/>
  <c r="L724" i="3"/>
  <c r="K724" i="3"/>
  <c r="E724" i="3"/>
  <c r="J724" i="3"/>
  <c r="D724" i="3"/>
  <c r="H724" i="3"/>
  <c r="I724" i="3"/>
  <c r="S1166" i="3"/>
  <c r="P1166" i="3"/>
  <c r="O1166" i="3"/>
  <c r="N1166" i="3"/>
  <c r="M1166" i="3"/>
  <c r="L1166" i="3"/>
  <c r="K1166" i="3"/>
  <c r="J1166" i="3"/>
  <c r="E1166" i="3"/>
  <c r="D1166" i="3"/>
  <c r="H1166" i="3"/>
  <c r="I1166" i="3"/>
  <c r="S1161" i="3"/>
  <c r="P1161" i="3"/>
  <c r="O1161" i="3"/>
  <c r="N1161" i="3"/>
  <c r="M1161" i="3"/>
  <c r="L1161" i="3"/>
  <c r="J1161" i="3"/>
  <c r="K1161" i="3"/>
  <c r="E1161" i="3"/>
  <c r="D1161" i="3"/>
  <c r="H1161" i="3"/>
  <c r="I1161" i="3"/>
  <c r="S174" i="3"/>
  <c r="P174" i="3"/>
  <c r="O174" i="3"/>
  <c r="N174" i="3"/>
  <c r="M174" i="3"/>
  <c r="L174" i="3"/>
  <c r="K174" i="3"/>
  <c r="J174" i="3"/>
  <c r="D174" i="3"/>
  <c r="E174" i="3"/>
  <c r="H174" i="3"/>
  <c r="I174" i="3"/>
  <c r="S526" i="3"/>
  <c r="P526" i="3"/>
  <c r="O526" i="3"/>
  <c r="N526" i="3"/>
  <c r="M526" i="3"/>
  <c r="L526" i="3"/>
  <c r="K526" i="3"/>
  <c r="J526" i="3"/>
  <c r="E526" i="3"/>
  <c r="D526" i="3"/>
  <c r="H526" i="3"/>
  <c r="I526" i="3"/>
  <c r="S1090" i="3"/>
  <c r="P1090" i="3"/>
  <c r="O1090" i="3"/>
  <c r="N1090" i="3"/>
  <c r="M1090" i="3"/>
  <c r="L1090" i="3"/>
  <c r="K1090" i="3"/>
  <c r="E1090" i="3"/>
  <c r="J1090" i="3"/>
  <c r="D1090" i="3"/>
  <c r="H1090" i="3"/>
  <c r="I1090" i="3"/>
  <c r="S1191" i="3"/>
  <c r="P1191" i="3"/>
  <c r="O1191" i="3"/>
  <c r="N1191" i="3"/>
  <c r="L1191" i="3"/>
  <c r="M1191" i="3"/>
  <c r="K1191" i="3"/>
  <c r="J1191" i="3"/>
  <c r="E1191" i="3"/>
  <c r="D1191" i="3"/>
  <c r="H1191" i="3"/>
  <c r="I1191" i="3"/>
  <c r="S781" i="3"/>
  <c r="P781" i="3"/>
  <c r="O781" i="3"/>
  <c r="N781" i="3"/>
  <c r="M781" i="3"/>
  <c r="L781" i="3"/>
  <c r="K781" i="3"/>
  <c r="J781" i="3"/>
  <c r="E781" i="3"/>
  <c r="D781" i="3"/>
  <c r="H781" i="3"/>
  <c r="I781" i="3"/>
  <c r="S779" i="3"/>
  <c r="P779" i="3"/>
  <c r="O779" i="3"/>
  <c r="N779" i="3"/>
  <c r="M779" i="3"/>
  <c r="L779" i="3"/>
  <c r="J779" i="3"/>
  <c r="K779" i="3"/>
  <c r="E779" i="3"/>
  <c r="D779" i="3"/>
  <c r="I779" i="3"/>
  <c r="H779" i="3"/>
  <c r="S444" i="3"/>
  <c r="P444" i="3"/>
  <c r="O444" i="3"/>
  <c r="N444" i="3"/>
  <c r="M444" i="3"/>
  <c r="L444" i="3"/>
  <c r="K444" i="3"/>
  <c r="J444" i="3"/>
  <c r="E444" i="3"/>
  <c r="D444" i="3"/>
  <c r="H444" i="3"/>
  <c r="I444" i="3"/>
  <c r="S838" i="3"/>
  <c r="P838" i="3"/>
  <c r="O838" i="3"/>
  <c r="N838" i="3"/>
  <c r="M838" i="3"/>
  <c r="L838" i="3"/>
  <c r="K838" i="3"/>
  <c r="J838" i="3"/>
  <c r="E838" i="3"/>
  <c r="D838" i="3"/>
  <c r="H838" i="3"/>
  <c r="I838" i="3"/>
  <c r="S86" i="3"/>
  <c r="P86" i="3"/>
  <c r="O86" i="3"/>
  <c r="N86" i="3"/>
  <c r="L86" i="3"/>
  <c r="M86" i="3"/>
  <c r="K86" i="3"/>
  <c r="J86" i="3"/>
  <c r="D86" i="3"/>
  <c r="E86" i="3"/>
  <c r="I86" i="3"/>
  <c r="H86" i="3"/>
  <c r="S211" i="3"/>
  <c r="P211" i="3"/>
  <c r="O211" i="3"/>
  <c r="M211" i="3"/>
  <c r="N211" i="3"/>
  <c r="L211" i="3"/>
  <c r="K211" i="3"/>
  <c r="J211" i="3"/>
  <c r="E211" i="3"/>
  <c r="D211" i="3"/>
  <c r="H211" i="3"/>
  <c r="I211" i="3"/>
  <c r="S85" i="3"/>
  <c r="P85" i="3"/>
  <c r="O85" i="3"/>
  <c r="N85" i="3"/>
  <c r="M85" i="3"/>
  <c r="L85" i="3"/>
  <c r="K85" i="3"/>
  <c r="J85" i="3"/>
  <c r="D85" i="3"/>
  <c r="E85" i="3"/>
  <c r="I85" i="3"/>
  <c r="H85" i="3"/>
  <c r="S576" i="3"/>
  <c r="P576" i="3"/>
  <c r="O576" i="3"/>
  <c r="N576" i="3"/>
  <c r="M576" i="3"/>
  <c r="L576" i="3"/>
  <c r="K576" i="3"/>
  <c r="J576" i="3"/>
  <c r="E576" i="3"/>
  <c r="D576" i="3"/>
  <c r="H576" i="3"/>
  <c r="I576" i="3"/>
  <c r="S8" i="3"/>
  <c r="P8" i="3"/>
  <c r="O8" i="3"/>
  <c r="N8" i="3"/>
  <c r="M8" i="3"/>
  <c r="L8" i="3"/>
  <c r="K8" i="3"/>
  <c r="E8" i="3"/>
  <c r="J32" i="7" s="1"/>
  <c r="J8" i="3"/>
  <c r="D8" i="3"/>
  <c r="I32" i="7" s="1"/>
  <c r="H8" i="3"/>
  <c r="I8" i="3"/>
  <c r="S1021" i="3"/>
  <c r="P1021" i="3"/>
  <c r="O1021" i="3"/>
  <c r="N1021" i="3"/>
  <c r="M1021" i="3"/>
  <c r="L1021" i="3"/>
  <c r="K1021" i="3"/>
  <c r="J1021" i="3"/>
  <c r="E1021" i="3"/>
  <c r="D1021" i="3"/>
  <c r="H1021" i="3"/>
  <c r="I1021" i="3"/>
  <c r="S382" i="3"/>
  <c r="P382" i="3"/>
  <c r="O382" i="3"/>
  <c r="N382" i="3"/>
  <c r="M382" i="3"/>
  <c r="L382" i="3"/>
  <c r="K382" i="3"/>
  <c r="J382" i="3"/>
  <c r="E382" i="3"/>
  <c r="D382" i="3"/>
  <c r="H382" i="3"/>
  <c r="I382" i="3"/>
  <c r="S570" i="3"/>
  <c r="P570" i="3"/>
  <c r="O570" i="3"/>
  <c r="N570" i="3"/>
  <c r="M570" i="3"/>
  <c r="L570" i="3"/>
  <c r="K570" i="3"/>
  <c r="J570" i="3"/>
  <c r="E570" i="3"/>
  <c r="D570" i="3"/>
  <c r="H570" i="3"/>
  <c r="I570" i="3"/>
  <c r="S1071" i="3"/>
  <c r="P1071" i="3"/>
  <c r="O1071" i="3"/>
  <c r="M1071" i="3"/>
  <c r="N1071" i="3"/>
  <c r="L1071" i="3"/>
  <c r="J1071" i="3"/>
  <c r="K1071" i="3"/>
  <c r="E1071" i="3"/>
  <c r="D1071" i="3"/>
  <c r="H1071" i="3"/>
  <c r="I1071" i="3"/>
  <c r="S906" i="3"/>
  <c r="P906" i="3"/>
  <c r="O906" i="3"/>
  <c r="N906" i="3"/>
  <c r="M906" i="3"/>
  <c r="L906" i="3"/>
  <c r="K906" i="3"/>
  <c r="J906" i="3"/>
  <c r="E906" i="3"/>
  <c r="D906" i="3"/>
  <c r="H906" i="3"/>
  <c r="I906" i="3"/>
  <c r="S907" i="3"/>
  <c r="P907" i="3"/>
  <c r="O907" i="3"/>
  <c r="N907" i="3"/>
  <c r="M907" i="3"/>
  <c r="L907" i="3"/>
  <c r="K907" i="3"/>
  <c r="E907" i="3"/>
  <c r="J907" i="3"/>
  <c r="D907" i="3"/>
  <c r="H907" i="3"/>
  <c r="I907" i="3"/>
  <c r="S355" i="3"/>
  <c r="P355" i="3"/>
  <c r="O355" i="3"/>
  <c r="N355" i="3"/>
  <c r="M355" i="3"/>
  <c r="L355" i="3"/>
  <c r="K355" i="3"/>
  <c r="J355" i="3"/>
  <c r="E355" i="3"/>
  <c r="D355" i="3"/>
  <c r="I355" i="3"/>
  <c r="H355" i="3"/>
  <c r="S341" i="3"/>
  <c r="P341" i="3"/>
  <c r="O341" i="3"/>
  <c r="N341" i="3"/>
  <c r="M341" i="3"/>
  <c r="L341" i="3"/>
  <c r="K341" i="3"/>
  <c r="J341" i="3"/>
  <c r="E341" i="3"/>
  <c r="D341" i="3"/>
  <c r="H341" i="3"/>
  <c r="I341" i="3"/>
  <c r="S582" i="3"/>
  <c r="P582" i="3"/>
  <c r="N582" i="3"/>
  <c r="M582" i="3"/>
  <c r="O582" i="3"/>
  <c r="L582" i="3"/>
  <c r="J582" i="3"/>
  <c r="K582" i="3"/>
  <c r="E582" i="3"/>
  <c r="D582" i="3"/>
  <c r="H582" i="3"/>
  <c r="I582" i="3"/>
  <c r="S458" i="3"/>
  <c r="O458" i="3"/>
  <c r="P458" i="3"/>
  <c r="N458" i="3"/>
  <c r="M458" i="3"/>
  <c r="L458" i="3"/>
  <c r="K458" i="3"/>
  <c r="J458" i="3"/>
  <c r="D458" i="3"/>
  <c r="E458" i="3"/>
  <c r="H458" i="3"/>
  <c r="I458" i="3"/>
  <c r="S209" i="3"/>
  <c r="P209" i="3"/>
  <c r="N209" i="3"/>
  <c r="M209" i="3"/>
  <c r="O209" i="3"/>
  <c r="L209" i="3"/>
  <c r="K209" i="3"/>
  <c r="J209" i="3"/>
  <c r="D209" i="3"/>
  <c r="E209" i="3"/>
  <c r="H209" i="3"/>
  <c r="I209" i="3"/>
  <c r="S884" i="3"/>
  <c r="P884" i="3"/>
  <c r="O884" i="3"/>
  <c r="N884" i="3"/>
  <c r="M884" i="3"/>
  <c r="L884" i="3"/>
  <c r="K884" i="3"/>
  <c r="J884" i="3"/>
  <c r="E884" i="3"/>
  <c r="D884" i="3"/>
  <c r="H884" i="3"/>
  <c r="I884" i="3"/>
  <c r="S327" i="3"/>
  <c r="P327" i="3"/>
  <c r="O327" i="3"/>
  <c r="N327" i="3"/>
  <c r="M327" i="3"/>
  <c r="K327" i="3"/>
  <c r="J327" i="3"/>
  <c r="L327" i="3"/>
  <c r="D327" i="3"/>
  <c r="E327" i="3"/>
  <c r="H327" i="3"/>
  <c r="I327" i="3"/>
  <c r="S429" i="3"/>
  <c r="P429" i="3"/>
  <c r="O429" i="3"/>
  <c r="N429" i="3"/>
  <c r="K429" i="3"/>
  <c r="M429" i="3"/>
  <c r="J429" i="3"/>
  <c r="L429" i="3"/>
  <c r="E429" i="3"/>
  <c r="D429" i="3"/>
  <c r="H429" i="3"/>
  <c r="I429" i="3"/>
  <c r="S747" i="3"/>
  <c r="P747" i="3"/>
  <c r="O747" i="3"/>
  <c r="N747" i="3"/>
  <c r="M747" i="3"/>
  <c r="L747" i="3"/>
  <c r="K747" i="3"/>
  <c r="J747" i="3"/>
  <c r="E747" i="3"/>
  <c r="D747" i="3"/>
  <c r="H747" i="3"/>
  <c r="I747" i="3"/>
  <c r="S996" i="3"/>
  <c r="O996" i="3"/>
  <c r="P996" i="3"/>
  <c r="N996" i="3"/>
  <c r="M996" i="3"/>
  <c r="L996" i="3"/>
  <c r="K996" i="3"/>
  <c r="E996" i="3"/>
  <c r="J996" i="3"/>
  <c r="D996" i="3"/>
  <c r="H996" i="3"/>
  <c r="I996" i="3"/>
  <c r="S1149" i="3"/>
  <c r="P1149" i="3"/>
  <c r="O1149" i="3"/>
  <c r="N1149" i="3"/>
  <c r="M1149" i="3"/>
  <c r="L1149" i="3"/>
  <c r="K1149" i="3"/>
  <c r="J1149" i="3"/>
  <c r="E1149" i="3"/>
  <c r="D1149" i="3"/>
  <c r="H1149" i="3"/>
  <c r="I1149" i="3"/>
  <c r="S1180" i="3"/>
  <c r="P1180" i="3"/>
  <c r="O1180" i="3"/>
  <c r="N1180" i="3"/>
  <c r="M1180" i="3"/>
  <c r="L1180" i="3"/>
  <c r="K1180" i="3"/>
  <c r="E1180" i="3"/>
  <c r="J1180" i="3"/>
  <c r="D1180" i="3"/>
  <c r="H1180" i="3"/>
  <c r="I1180" i="3"/>
  <c r="S1015" i="3"/>
  <c r="P1015" i="3"/>
  <c r="O1015" i="3"/>
  <c r="N1015" i="3"/>
  <c r="M1015" i="3"/>
  <c r="L1015" i="3"/>
  <c r="K1015" i="3"/>
  <c r="J1015" i="3"/>
  <c r="E1015" i="3"/>
  <c r="D1015" i="3"/>
  <c r="H1015" i="3"/>
  <c r="I1015" i="3"/>
  <c r="S213" i="3"/>
  <c r="P213" i="3"/>
  <c r="O213" i="3"/>
  <c r="N213" i="3"/>
  <c r="L213" i="3"/>
  <c r="M213" i="3"/>
  <c r="K213" i="3"/>
  <c r="J213" i="3"/>
  <c r="E213" i="3"/>
  <c r="D213" i="3"/>
  <c r="H213" i="3"/>
  <c r="I213" i="3"/>
  <c r="S743" i="3"/>
  <c r="P743" i="3"/>
  <c r="O743" i="3"/>
  <c r="N743" i="3"/>
  <c r="M743" i="3"/>
  <c r="L743" i="3"/>
  <c r="K743" i="3"/>
  <c r="J743" i="3"/>
  <c r="E743" i="3"/>
  <c r="D743" i="3"/>
  <c r="H743" i="3"/>
  <c r="I743" i="3"/>
  <c r="S1143" i="3"/>
  <c r="P1143" i="3"/>
  <c r="O1143" i="3"/>
  <c r="N1143" i="3"/>
  <c r="M1143" i="3"/>
  <c r="L1143" i="3"/>
  <c r="K1143" i="3"/>
  <c r="J1143" i="3"/>
  <c r="E1143" i="3"/>
  <c r="D1143" i="3"/>
  <c r="H1143" i="3"/>
  <c r="I1143" i="3"/>
  <c r="S913" i="3"/>
  <c r="P913" i="3"/>
  <c r="O913" i="3"/>
  <c r="N913" i="3"/>
  <c r="M913" i="3"/>
  <c r="L913" i="3"/>
  <c r="K913" i="3"/>
  <c r="J913" i="3"/>
  <c r="E913" i="3"/>
  <c r="D913" i="3"/>
  <c r="H913" i="3"/>
  <c r="I913" i="3"/>
  <c r="S372" i="3"/>
  <c r="P372" i="3"/>
  <c r="O372" i="3"/>
  <c r="N372" i="3"/>
  <c r="M372" i="3"/>
  <c r="L372" i="3"/>
  <c r="K372" i="3"/>
  <c r="J372" i="3"/>
  <c r="E372" i="3"/>
  <c r="D372" i="3"/>
  <c r="H372" i="3"/>
  <c r="I372" i="3"/>
  <c r="S1152" i="3"/>
  <c r="P1152" i="3"/>
  <c r="O1152" i="3"/>
  <c r="N1152" i="3"/>
  <c r="M1152" i="3"/>
  <c r="L1152" i="3"/>
  <c r="K1152" i="3"/>
  <c r="J1152" i="3"/>
  <c r="E1152" i="3"/>
  <c r="D1152" i="3"/>
  <c r="H1152" i="3"/>
  <c r="I1152" i="3"/>
  <c r="P916" i="3"/>
  <c r="S916" i="3"/>
  <c r="O916" i="3"/>
  <c r="M916" i="3"/>
  <c r="N916" i="3"/>
  <c r="L916" i="3"/>
  <c r="J916" i="3"/>
  <c r="K916" i="3"/>
  <c r="E916" i="3"/>
  <c r="D916" i="3"/>
  <c r="H916" i="3"/>
  <c r="I916" i="3"/>
  <c r="S1234" i="3"/>
  <c r="P1234" i="3"/>
  <c r="O1234" i="3"/>
  <c r="N1234" i="3"/>
  <c r="M1234" i="3"/>
  <c r="K1234" i="3"/>
  <c r="L1234" i="3"/>
  <c r="J1234" i="3"/>
  <c r="E1234" i="3"/>
  <c r="D1234" i="3"/>
  <c r="H1234" i="3"/>
  <c r="I1234" i="3"/>
  <c r="S1210" i="3"/>
  <c r="P1210" i="3"/>
  <c r="O1210" i="3"/>
  <c r="N1210" i="3"/>
  <c r="M1210" i="3"/>
  <c r="K1210" i="3"/>
  <c r="J1210" i="3"/>
  <c r="L1210" i="3"/>
  <c r="E1210" i="3"/>
  <c r="D1210" i="3"/>
  <c r="H1210" i="3"/>
  <c r="I1210" i="3"/>
  <c r="S1189" i="3"/>
  <c r="P1189" i="3"/>
  <c r="O1189" i="3"/>
  <c r="N1189" i="3"/>
  <c r="M1189" i="3"/>
  <c r="L1189" i="3"/>
  <c r="K1189" i="3"/>
  <c r="J1189" i="3"/>
  <c r="E1189" i="3"/>
  <c r="D1189" i="3"/>
  <c r="H1189" i="3"/>
  <c r="I1189" i="3"/>
  <c r="S1181" i="3"/>
  <c r="P1181" i="3"/>
  <c r="O1181" i="3"/>
  <c r="N1181" i="3"/>
  <c r="M1181" i="3"/>
  <c r="L1181" i="3"/>
  <c r="J1181" i="3"/>
  <c r="K1181" i="3"/>
  <c r="E1181" i="3"/>
  <c r="D1181" i="3"/>
  <c r="H1181" i="3"/>
  <c r="I1181" i="3"/>
  <c r="S1155" i="3"/>
  <c r="O1155" i="3"/>
  <c r="P1155" i="3"/>
  <c r="N1155" i="3"/>
  <c r="M1155" i="3"/>
  <c r="L1155" i="3"/>
  <c r="K1155" i="3"/>
  <c r="E1155" i="3"/>
  <c r="J1155" i="3"/>
  <c r="D1155" i="3"/>
  <c r="H1155" i="3"/>
  <c r="I1155" i="3"/>
  <c r="S1004" i="3"/>
  <c r="P1004" i="3"/>
  <c r="O1004" i="3"/>
  <c r="M1004" i="3"/>
  <c r="N1004" i="3"/>
  <c r="L1004" i="3"/>
  <c r="K1004" i="3"/>
  <c r="J1004" i="3"/>
  <c r="E1004" i="3"/>
  <c r="D1004" i="3"/>
  <c r="H1004" i="3"/>
  <c r="I1004" i="3"/>
  <c r="S1133" i="3"/>
  <c r="P1133" i="3"/>
  <c r="O1133" i="3"/>
  <c r="N1133" i="3"/>
  <c r="M1133" i="3"/>
  <c r="L1133" i="3"/>
  <c r="K1133" i="3"/>
  <c r="E1133" i="3"/>
  <c r="J1133" i="3"/>
  <c r="D1133" i="3"/>
  <c r="H1133" i="3"/>
  <c r="I1133" i="3"/>
  <c r="S1108" i="3"/>
  <c r="P1108" i="3"/>
  <c r="O1108" i="3"/>
  <c r="N1108" i="3"/>
  <c r="M1108" i="3"/>
  <c r="L1108" i="3"/>
  <c r="K1108" i="3"/>
  <c r="E1108" i="3"/>
  <c r="J1108" i="3"/>
  <c r="D1108" i="3"/>
  <c r="H1108" i="3"/>
  <c r="I1108" i="3"/>
  <c r="P1103" i="3"/>
  <c r="S1103" i="3"/>
  <c r="O1103" i="3"/>
  <c r="N1103" i="3"/>
  <c r="L1103" i="3"/>
  <c r="K1103" i="3"/>
  <c r="M1103" i="3"/>
  <c r="J1103" i="3"/>
  <c r="E1103" i="3"/>
  <c r="D1103" i="3"/>
  <c r="H1103" i="3"/>
  <c r="I1103" i="3"/>
  <c r="S1093" i="3"/>
  <c r="P1093" i="3"/>
  <c r="O1093" i="3"/>
  <c r="N1093" i="3"/>
  <c r="M1093" i="3"/>
  <c r="L1093" i="3"/>
  <c r="K1093" i="3"/>
  <c r="J1093" i="3"/>
  <c r="E1093" i="3"/>
  <c r="D1093" i="3"/>
  <c r="H1093" i="3"/>
  <c r="I1093" i="3"/>
  <c r="S995" i="3"/>
  <c r="P995" i="3"/>
  <c r="O995" i="3"/>
  <c r="N995" i="3"/>
  <c r="M995" i="3"/>
  <c r="L995" i="3"/>
  <c r="K995" i="3"/>
  <c r="J995" i="3"/>
  <c r="E995" i="3"/>
  <c r="D995" i="3"/>
  <c r="H995" i="3"/>
  <c r="I995" i="3"/>
  <c r="S1067" i="3"/>
  <c r="P1067" i="3"/>
  <c r="O1067" i="3"/>
  <c r="N1067" i="3"/>
  <c r="M1067" i="3"/>
  <c r="L1067" i="3"/>
  <c r="J1067" i="3"/>
  <c r="K1067" i="3"/>
  <c r="E1067" i="3"/>
  <c r="D1067" i="3"/>
  <c r="I1067" i="3"/>
  <c r="H1067" i="3"/>
  <c r="S1085" i="3"/>
  <c r="P1085" i="3"/>
  <c r="O1085" i="3"/>
  <c r="N1085" i="3"/>
  <c r="M1085" i="3"/>
  <c r="L1085" i="3"/>
  <c r="K1085" i="3"/>
  <c r="J1085" i="3"/>
  <c r="E1085" i="3"/>
  <c r="D1085" i="3"/>
  <c r="I1085" i="3"/>
  <c r="H1085" i="3"/>
  <c r="S1052" i="3"/>
  <c r="P1052" i="3"/>
  <c r="O1052" i="3"/>
  <c r="N1052" i="3"/>
  <c r="M1052" i="3"/>
  <c r="L1052" i="3"/>
  <c r="J1052" i="3"/>
  <c r="K1052" i="3"/>
  <c r="E1052" i="3"/>
  <c r="D1052" i="3"/>
  <c r="I1052" i="3"/>
  <c r="H1052" i="3"/>
  <c r="S1025" i="3"/>
  <c r="P1025" i="3"/>
  <c r="O1025" i="3"/>
  <c r="N1025" i="3"/>
  <c r="M1025" i="3"/>
  <c r="L1025" i="3"/>
  <c r="K1025" i="3"/>
  <c r="J1025" i="3"/>
  <c r="E1025" i="3"/>
  <c r="D1025" i="3"/>
  <c r="H1025" i="3"/>
  <c r="I1025" i="3"/>
  <c r="S1019" i="3"/>
  <c r="P1019" i="3"/>
  <c r="O1019" i="3"/>
  <c r="M1019" i="3"/>
  <c r="N1019" i="3"/>
  <c r="L1019" i="3"/>
  <c r="J1019" i="3"/>
  <c r="K1019" i="3"/>
  <c r="D1019" i="3"/>
  <c r="E1019" i="3"/>
  <c r="H1019" i="3"/>
  <c r="I1019" i="3"/>
  <c r="S868" i="3"/>
  <c r="P868" i="3"/>
  <c r="O868" i="3"/>
  <c r="N868" i="3"/>
  <c r="M868" i="3"/>
  <c r="L868" i="3"/>
  <c r="K868" i="3"/>
  <c r="E868" i="3"/>
  <c r="J868" i="3"/>
  <c r="D868" i="3"/>
  <c r="H868" i="3"/>
  <c r="I868" i="3"/>
  <c r="S795" i="3"/>
  <c r="P795" i="3"/>
  <c r="O795" i="3"/>
  <c r="M795" i="3"/>
  <c r="N795" i="3"/>
  <c r="L795" i="3"/>
  <c r="J795" i="3"/>
  <c r="K795" i="3"/>
  <c r="E795" i="3"/>
  <c r="D795" i="3"/>
  <c r="H795" i="3"/>
  <c r="I795" i="3"/>
  <c r="S905" i="3"/>
  <c r="P905" i="3"/>
  <c r="O905" i="3"/>
  <c r="N905" i="3"/>
  <c r="M905" i="3"/>
  <c r="L905" i="3"/>
  <c r="J905" i="3"/>
  <c r="K905" i="3"/>
  <c r="D905" i="3"/>
  <c r="E905" i="3"/>
  <c r="H905" i="3"/>
  <c r="I905" i="3"/>
  <c r="S786" i="3"/>
  <c r="P786" i="3"/>
  <c r="O786" i="3"/>
  <c r="N786" i="3"/>
  <c r="M786" i="3"/>
  <c r="L786" i="3"/>
  <c r="K786" i="3"/>
  <c r="J786" i="3"/>
  <c r="E786" i="3"/>
  <c r="D786" i="3"/>
  <c r="H786" i="3"/>
  <c r="I786" i="3"/>
  <c r="P764" i="3"/>
  <c r="S764" i="3"/>
  <c r="N764" i="3"/>
  <c r="M764" i="3"/>
  <c r="O764" i="3"/>
  <c r="L764" i="3"/>
  <c r="J764" i="3"/>
  <c r="K764" i="3"/>
  <c r="D764" i="3"/>
  <c r="E764" i="3"/>
  <c r="H764" i="3"/>
  <c r="I764" i="3"/>
  <c r="S890" i="3"/>
  <c r="P890" i="3"/>
  <c r="O890" i="3"/>
  <c r="M890" i="3"/>
  <c r="N890" i="3"/>
  <c r="L890" i="3"/>
  <c r="K890" i="3"/>
  <c r="J890" i="3"/>
  <c r="E890" i="3"/>
  <c r="D890" i="3"/>
  <c r="H890" i="3"/>
  <c r="I890" i="3"/>
  <c r="S941" i="3"/>
  <c r="O941" i="3"/>
  <c r="P941" i="3"/>
  <c r="N941" i="3"/>
  <c r="M941" i="3"/>
  <c r="L941" i="3"/>
  <c r="K941" i="3"/>
  <c r="E941" i="3"/>
  <c r="J941" i="3"/>
  <c r="D941" i="3"/>
  <c r="H941" i="3"/>
  <c r="I941" i="3"/>
  <c r="S928" i="3"/>
  <c r="P928" i="3"/>
  <c r="O928" i="3"/>
  <c r="N928" i="3"/>
  <c r="M928" i="3"/>
  <c r="L928" i="3"/>
  <c r="J928" i="3"/>
  <c r="K928" i="3"/>
  <c r="E928" i="3"/>
  <c r="I928" i="3"/>
  <c r="H928" i="3"/>
  <c r="D928" i="3"/>
  <c r="S817" i="3"/>
  <c r="P817" i="3"/>
  <c r="N817" i="3"/>
  <c r="M817" i="3"/>
  <c r="L817" i="3"/>
  <c r="O817" i="3"/>
  <c r="J817" i="3"/>
  <c r="K817" i="3"/>
  <c r="D817" i="3"/>
  <c r="E817" i="3"/>
  <c r="H817" i="3"/>
  <c r="I817" i="3"/>
  <c r="S674" i="3"/>
  <c r="P674" i="3"/>
  <c r="O674" i="3"/>
  <c r="N674" i="3"/>
  <c r="L674" i="3"/>
  <c r="M674" i="3"/>
  <c r="K674" i="3"/>
  <c r="J674" i="3"/>
  <c r="E674" i="3"/>
  <c r="D674" i="3"/>
  <c r="H674" i="3"/>
  <c r="I674" i="3"/>
  <c r="S929" i="3"/>
  <c r="P929" i="3"/>
  <c r="O929" i="3"/>
  <c r="N929" i="3"/>
  <c r="M929" i="3"/>
  <c r="L929" i="3"/>
  <c r="K929" i="3"/>
  <c r="J929" i="3"/>
  <c r="E929" i="3"/>
  <c r="D929" i="3"/>
  <c r="H929" i="3"/>
  <c r="I929" i="3"/>
  <c r="S872" i="3"/>
  <c r="P872" i="3"/>
  <c r="O872" i="3"/>
  <c r="N872" i="3"/>
  <c r="M872" i="3"/>
  <c r="L872" i="3"/>
  <c r="K872" i="3"/>
  <c r="J872" i="3"/>
  <c r="E872" i="3"/>
  <c r="D872" i="3"/>
  <c r="H872" i="3"/>
  <c r="I872" i="3"/>
  <c r="S673" i="3"/>
  <c r="P673" i="3"/>
  <c r="O673" i="3"/>
  <c r="N673" i="3"/>
  <c r="M673" i="3"/>
  <c r="L673" i="3"/>
  <c r="K673" i="3"/>
  <c r="J673" i="3"/>
  <c r="E673" i="3"/>
  <c r="D673" i="3"/>
  <c r="H673" i="3"/>
  <c r="I673" i="3"/>
  <c r="S883" i="3"/>
  <c r="P883" i="3"/>
  <c r="O883" i="3"/>
  <c r="N883" i="3"/>
  <c r="M883" i="3"/>
  <c r="K883" i="3"/>
  <c r="L883" i="3"/>
  <c r="J883" i="3"/>
  <c r="E883" i="3"/>
  <c r="D883" i="3"/>
  <c r="H883" i="3"/>
  <c r="I883" i="3"/>
  <c r="S829" i="3"/>
  <c r="P829" i="3"/>
  <c r="O829" i="3"/>
  <c r="N829" i="3"/>
  <c r="M829" i="3"/>
  <c r="L829" i="3"/>
  <c r="J829" i="3"/>
  <c r="K829" i="3"/>
  <c r="E829" i="3"/>
  <c r="D829" i="3"/>
  <c r="H829" i="3"/>
  <c r="I829" i="3"/>
  <c r="S810" i="3"/>
  <c r="P810" i="3"/>
  <c r="O810" i="3"/>
  <c r="N810" i="3"/>
  <c r="L810" i="3"/>
  <c r="M810" i="3"/>
  <c r="K810" i="3"/>
  <c r="J810" i="3"/>
  <c r="E810" i="3"/>
  <c r="D810" i="3"/>
  <c r="H810" i="3"/>
  <c r="I810" i="3"/>
  <c r="S794" i="3"/>
  <c r="P794" i="3"/>
  <c r="O794" i="3"/>
  <c r="N794" i="3"/>
  <c r="M794" i="3"/>
  <c r="L794" i="3"/>
  <c r="K794" i="3"/>
  <c r="J794" i="3"/>
  <c r="E794" i="3"/>
  <c r="D794" i="3"/>
  <c r="I794" i="3"/>
  <c r="H794" i="3"/>
  <c r="S790" i="3"/>
  <c r="P790" i="3"/>
  <c r="O790" i="3"/>
  <c r="N790" i="3"/>
  <c r="M790" i="3"/>
  <c r="L790" i="3"/>
  <c r="K790" i="3"/>
  <c r="E790" i="3"/>
  <c r="J790" i="3"/>
  <c r="D790" i="3"/>
  <c r="H790" i="3"/>
  <c r="I790" i="3"/>
  <c r="S771" i="3"/>
  <c r="P771" i="3"/>
  <c r="O771" i="3"/>
  <c r="N771" i="3"/>
  <c r="M771" i="3"/>
  <c r="L771" i="3"/>
  <c r="K771" i="3"/>
  <c r="J771" i="3"/>
  <c r="E771" i="3"/>
  <c r="D771" i="3"/>
  <c r="H771" i="3"/>
  <c r="I771" i="3"/>
  <c r="S608" i="3"/>
  <c r="P608" i="3"/>
  <c r="N608" i="3"/>
  <c r="O608" i="3"/>
  <c r="M608" i="3"/>
  <c r="L608" i="3"/>
  <c r="K608" i="3"/>
  <c r="J608" i="3"/>
  <c r="E608" i="3"/>
  <c r="D608" i="3"/>
  <c r="H608" i="3"/>
  <c r="I608" i="3"/>
  <c r="S748" i="3"/>
  <c r="P748" i="3"/>
  <c r="O748" i="3"/>
  <c r="N748" i="3"/>
  <c r="M748" i="3"/>
  <c r="L748" i="3"/>
  <c r="J748" i="3"/>
  <c r="K748" i="3"/>
  <c r="E748" i="3"/>
  <c r="D748" i="3"/>
  <c r="I748" i="3"/>
  <c r="H748" i="3"/>
  <c r="S765" i="3"/>
  <c r="P765" i="3"/>
  <c r="O765" i="3"/>
  <c r="N765" i="3"/>
  <c r="M765" i="3"/>
  <c r="L765" i="3"/>
  <c r="K765" i="3"/>
  <c r="J765" i="3"/>
  <c r="E765" i="3"/>
  <c r="D765" i="3"/>
  <c r="I765" i="3"/>
  <c r="H765" i="3"/>
  <c r="S802" i="3"/>
  <c r="P802" i="3"/>
  <c r="O802" i="3"/>
  <c r="N802" i="3"/>
  <c r="M802" i="3"/>
  <c r="L802" i="3"/>
  <c r="J802" i="3"/>
  <c r="K802" i="3"/>
  <c r="E802" i="3"/>
  <c r="I802" i="3"/>
  <c r="D802" i="3"/>
  <c r="H802" i="3"/>
  <c r="S745" i="3"/>
  <c r="P745" i="3"/>
  <c r="O745" i="3"/>
  <c r="N745" i="3"/>
  <c r="M745" i="3"/>
  <c r="L745" i="3"/>
  <c r="K745" i="3"/>
  <c r="E745" i="3"/>
  <c r="J745" i="3"/>
  <c r="D745" i="3"/>
  <c r="H745" i="3"/>
  <c r="I745" i="3"/>
  <c r="S718" i="3"/>
  <c r="P718" i="3"/>
  <c r="O718" i="3"/>
  <c r="N718" i="3"/>
  <c r="M718" i="3"/>
  <c r="L718" i="3"/>
  <c r="K718" i="3"/>
  <c r="J718" i="3"/>
  <c r="E718" i="3"/>
  <c r="D718" i="3"/>
  <c r="H718" i="3"/>
  <c r="I718" i="3"/>
  <c r="S692" i="3"/>
  <c r="P692" i="3"/>
  <c r="O692" i="3"/>
  <c r="N692" i="3"/>
  <c r="M692" i="3"/>
  <c r="L692" i="3"/>
  <c r="K692" i="3"/>
  <c r="J692" i="3"/>
  <c r="E692" i="3"/>
  <c r="D692" i="3"/>
  <c r="H692" i="3"/>
  <c r="I692" i="3"/>
  <c r="S740" i="3"/>
  <c r="P740" i="3"/>
  <c r="O740" i="3"/>
  <c r="N740" i="3"/>
  <c r="M740" i="3"/>
  <c r="L740" i="3"/>
  <c r="K740" i="3"/>
  <c r="J740" i="3"/>
  <c r="E740" i="3"/>
  <c r="D740" i="3"/>
  <c r="H740" i="3"/>
  <c r="I740" i="3"/>
  <c r="S636" i="3"/>
  <c r="P636" i="3"/>
  <c r="O636" i="3"/>
  <c r="N636" i="3"/>
  <c r="M636" i="3"/>
  <c r="L636" i="3"/>
  <c r="K636" i="3"/>
  <c r="E636" i="3"/>
  <c r="J636" i="3"/>
  <c r="D636" i="3"/>
  <c r="H636" i="3"/>
  <c r="I636" i="3"/>
  <c r="S578" i="3"/>
  <c r="P578" i="3"/>
  <c r="O578" i="3"/>
  <c r="N578" i="3"/>
  <c r="M578" i="3"/>
  <c r="L578" i="3"/>
  <c r="K578" i="3"/>
  <c r="J578" i="3"/>
  <c r="E578" i="3"/>
  <c r="D578" i="3"/>
  <c r="H578" i="3"/>
  <c r="I578" i="3"/>
  <c r="S643" i="3"/>
  <c r="P643" i="3"/>
  <c r="O643" i="3"/>
  <c r="N643" i="3"/>
  <c r="L643" i="3"/>
  <c r="M643" i="3"/>
  <c r="K643" i="3"/>
  <c r="J643" i="3"/>
  <c r="E643" i="3"/>
  <c r="D643" i="3"/>
  <c r="H643" i="3"/>
  <c r="I643" i="3"/>
  <c r="S593" i="3"/>
  <c r="P593" i="3"/>
  <c r="O593" i="3"/>
  <c r="N593" i="3"/>
  <c r="M593" i="3"/>
  <c r="L593" i="3"/>
  <c r="K593" i="3"/>
  <c r="J593" i="3"/>
  <c r="E593" i="3"/>
  <c r="D593" i="3"/>
  <c r="H593" i="3"/>
  <c r="I593" i="3"/>
  <c r="S579" i="3"/>
  <c r="P579" i="3"/>
  <c r="O579" i="3"/>
  <c r="M579" i="3"/>
  <c r="L579" i="3"/>
  <c r="N579" i="3"/>
  <c r="J579" i="3"/>
  <c r="K579" i="3"/>
  <c r="E579" i="3"/>
  <c r="D579" i="3"/>
  <c r="H579" i="3"/>
  <c r="I579" i="3"/>
  <c r="S565" i="3"/>
  <c r="P565" i="3"/>
  <c r="O565" i="3"/>
  <c r="N565" i="3"/>
  <c r="M565" i="3"/>
  <c r="L565" i="3"/>
  <c r="K565" i="3"/>
  <c r="J565" i="3"/>
  <c r="E565" i="3"/>
  <c r="D565" i="3"/>
  <c r="H565" i="3"/>
  <c r="I565" i="3"/>
  <c r="S555" i="3"/>
  <c r="P555" i="3"/>
  <c r="O555" i="3"/>
  <c r="N555" i="3"/>
  <c r="M555" i="3"/>
  <c r="K555" i="3"/>
  <c r="J555" i="3"/>
  <c r="L555" i="3"/>
  <c r="E555" i="3"/>
  <c r="D555" i="3"/>
  <c r="H555" i="3"/>
  <c r="I555" i="3"/>
  <c r="S590" i="3"/>
  <c r="P590" i="3"/>
  <c r="O590" i="3"/>
  <c r="N590" i="3"/>
  <c r="M590" i="3"/>
  <c r="L590" i="3"/>
  <c r="K590" i="3"/>
  <c r="J590" i="3"/>
  <c r="E590" i="3"/>
  <c r="D590" i="3"/>
  <c r="I590" i="3"/>
  <c r="H590" i="3"/>
  <c r="S532" i="3"/>
  <c r="P532" i="3"/>
  <c r="O532" i="3"/>
  <c r="N532" i="3"/>
  <c r="M532" i="3"/>
  <c r="L532" i="3"/>
  <c r="K532" i="3"/>
  <c r="J532" i="3"/>
  <c r="E532" i="3"/>
  <c r="D532" i="3"/>
  <c r="I532" i="3"/>
  <c r="H532" i="3"/>
  <c r="S521" i="3"/>
  <c r="P521" i="3"/>
  <c r="O521" i="3"/>
  <c r="N521" i="3"/>
  <c r="M521" i="3"/>
  <c r="L521" i="3"/>
  <c r="K521" i="3"/>
  <c r="J521" i="3"/>
  <c r="E521" i="3"/>
  <c r="D521" i="3"/>
  <c r="H521" i="3"/>
  <c r="I521" i="3"/>
  <c r="S538" i="3"/>
  <c r="P538" i="3"/>
  <c r="N538" i="3"/>
  <c r="O538" i="3"/>
  <c r="M538" i="3"/>
  <c r="L538" i="3"/>
  <c r="K538" i="3"/>
  <c r="J538" i="3"/>
  <c r="E538" i="3"/>
  <c r="D538" i="3"/>
  <c r="H538" i="3"/>
  <c r="I538" i="3"/>
  <c r="S498" i="3"/>
  <c r="P498" i="3"/>
  <c r="O498" i="3"/>
  <c r="N498" i="3"/>
  <c r="M498" i="3"/>
  <c r="L498" i="3"/>
  <c r="K498" i="3"/>
  <c r="J498" i="3"/>
  <c r="E498" i="3"/>
  <c r="D498" i="3"/>
  <c r="H498" i="3"/>
  <c r="I498" i="3"/>
  <c r="S515" i="3"/>
  <c r="P515" i="3"/>
  <c r="O515" i="3"/>
  <c r="N515" i="3"/>
  <c r="M515" i="3"/>
  <c r="L515" i="3"/>
  <c r="J515" i="3"/>
  <c r="K515" i="3"/>
  <c r="E515" i="3"/>
  <c r="D515" i="3"/>
  <c r="H515" i="3"/>
  <c r="I515" i="3"/>
  <c r="S540" i="3"/>
  <c r="P540" i="3"/>
  <c r="N540" i="3"/>
  <c r="O540" i="3"/>
  <c r="M540" i="3"/>
  <c r="L540" i="3"/>
  <c r="K540" i="3"/>
  <c r="J540" i="3"/>
  <c r="E540" i="3"/>
  <c r="D540" i="3"/>
  <c r="H540" i="3"/>
  <c r="I540" i="3"/>
  <c r="S522" i="3"/>
  <c r="P522" i="3"/>
  <c r="O522" i="3"/>
  <c r="N522" i="3"/>
  <c r="M522" i="3"/>
  <c r="K522" i="3"/>
  <c r="L522" i="3"/>
  <c r="J522" i="3"/>
  <c r="E522" i="3"/>
  <c r="D522" i="3"/>
  <c r="H522" i="3"/>
  <c r="I522" i="3"/>
  <c r="S487" i="3"/>
  <c r="P487" i="3"/>
  <c r="O487" i="3"/>
  <c r="N487" i="3"/>
  <c r="M487" i="3"/>
  <c r="L487" i="3"/>
  <c r="K487" i="3"/>
  <c r="J487" i="3"/>
  <c r="E487" i="3"/>
  <c r="D487" i="3"/>
  <c r="H487" i="3"/>
  <c r="I487" i="3"/>
  <c r="S483" i="3"/>
  <c r="P483" i="3"/>
  <c r="O483" i="3"/>
  <c r="N483" i="3"/>
  <c r="M483" i="3"/>
  <c r="K483" i="3"/>
  <c r="L483" i="3"/>
  <c r="J483" i="3"/>
  <c r="E483" i="3"/>
  <c r="D483" i="3"/>
  <c r="H483" i="3"/>
  <c r="I483" i="3"/>
  <c r="S422" i="3"/>
  <c r="P422" i="3"/>
  <c r="O422" i="3"/>
  <c r="N422" i="3"/>
  <c r="L422" i="3"/>
  <c r="K422" i="3"/>
  <c r="M422" i="3"/>
  <c r="J422" i="3"/>
  <c r="E422" i="3"/>
  <c r="D422" i="3"/>
  <c r="H422" i="3"/>
  <c r="I422" i="3"/>
  <c r="S430" i="3"/>
  <c r="P430" i="3"/>
  <c r="O430" i="3"/>
  <c r="N430" i="3"/>
  <c r="M430" i="3"/>
  <c r="L430" i="3"/>
  <c r="K430" i="3"/>
  <c r="J430" i="3"/>
  <c r="E430" i="3"/>
  <c r="D430" i="3"/>
  <c r="H430" i="3"/>
  <c r="I430" i="3"/>
  <c r="S417" i="3"/>
  <c r="P417" i="3"/>
  <c r="O417" i="3"/>
  <c r="N417" i="3"/>
  <c r="M417" i="3"/>
  <c r="L417" i="3"/>
  <c r="K417" i="3"/>
  <c r="J417" i="3"/>
  <c r="E417" i="3"/>
  <c r="D417" i="3"/>
  <c r="H417" i="3"/>
  <c r="I417" i="3"/>
  <c r="S377" i="3"/>
  <c r="P377" i="3"/>
  <c r="N377" i="3"/>
  <c r="O377" i="3"/>
  <c r="M377" i="3"/>
  <c r="L377" i="3"/>
  <c r="K377" i="3"/>
  <c r="E377" i="3"/>
  <c r="J377" i="3"/>
  <c r="D377" i="3"/>
  <c r="H377" i="3"/>
  <c r="I377" i="3"/>
  <c r="S360" i="3"/>
  <c r="P360" i="3"/>
  <c r="O360" i="3"/>
  <c r="N360" i="3"/>
  <c r="M360" i="3"/>
  <c r="L360" i="3"/>
  <c r="K360" i="3"/>
  <c r="J360" i="3"/>
  <c r="D360" i="3"/>
  <c r="E360" i="3"/>
  <c r="H360" i="3"/>
  <c r="I360" i="3"/>
  <c r="S359" i="3"/>
  <c r="P359" i="3"/>
  <c r="O359" i="3"/>
  <c r="N359" i="3"/>
  <c r="M359" i="3"/>
  <c r="L359" i="3"/>
  <c r="J359" i="3"/>
  <c r="K359" i="3"/>
  <c r="E359" i="3"/>
  <c r="D359" i="3"/>
  <c r="H359" i="3"/>
  <c r="I359" i="3"/>
  <c r="S373" i="3"/>
  <c r="P373" i="3"/>
  <c r="O373" i="3"/>
  <c r="N373" i="3"/>
  <c r="M373" i="3"/>
  <c r="L373" i="3"/>
  <c r="K373" i="3"/>
  <c r="J373" i="3"/>
  <c r="E373" i="3"/>
  <c r="D373" i="3"/>
  <c r="H373" i="3"/>
  <c r="I373" i="3"/>
  <c r="S352" i="3"/>
  <c r="P352" i="3"/>
  <c r="O352" i="3"/>
  <c r="N352" i="3"/>
  <c r="M352" i="3"/>
  <c r="L352" i="3"/>
  <c r="K352" i="3"/>
  <c r="D352" i="3"/>
  <c r="E352" i="3"/>
  <c r="J352" i="3"/>
  <c r="H352" i="3"/>
  <c r="I352" i="3"/>
  <c r="S282" i="3"/>
  <c r="P282" i="3"/>
  <c r="O282" i="3"/>
  <c r="N282" i="3"/>
  <c r="M282" i="3"/>
  <c r="K282" i="3"/>
  <c r="L282" i="3"/>
  <c r="J282" i="3"/>
  <c r="E282" i="3"/>
  <c r="D282" i="3"/>
  <c r="H282" i="3"/>
  <c r="I282" i="3"/>
  <c r="S274" i="3"/>
  <c r="P274" i="3"/>
  <c r="O274" i="3"/>
  <c r="N274" i="3"/>
  <c r="M274" i="3"/>
  <c r="L274" i="3"/>
  <c r="K274" i="3"/>
  <c r="J274" i="3"/>
  <c r="E274" i="3"/>
  <c r="D274" i="3"/>
  <c r="H274" i="3"/>
  <c r="I274" i="3"/>
  <c r="S248" i="3"/>
  <c r="P248" i="3"/>
  <c r="N248" i="3"/>
  <c r="O248" i="3"/>
  <c r="M248" i="3"/>
  <c r="L248" i="3"/>
  <c r="K248" i="3"/>
  <c r="J248" i="3"/>
  <c r="E248" i="3"/>
  <c r="D248" i="3"/>
  <c r="H248" i="3"/>
  <c r="I248" i="3"/>
  <c r="S169" i="3"/>
  <c r="P169" i="3"/>
  <c r="O169" i="3"/>
  <c r="N169" i="3"/>
  <c r="M169" i="3"/>
  <c r="L169" i="3"/>
  <c r="J169" i="3"/>
  <c r="K169" i="3"/>
  <c r="D169" i="3"/>
  <c r="E169" i="3"/>
  <c r="H169" i="3"/>
  <c r="I169" i="3"/>
  <c r="S301" i="3"/>
  <c r="P301" i="3"/>
  <c r="O301" i="3"/>
  <c r="N301" i="3"/>
  <c r="M301" i="3"/>
  <c r="L301" i="3"/>
  <c r="K301" i="3"/>
  <c r="J301" i="3"/>
  <c r="E301" i="3"/>
  <c r="D301" i="3"/>
  <c r="H301" i="3"/>
  <c r="I301" i="3"/>
  <c r="S109" i="3"/>
  <c r="P109" i="3"/>
  <c r="O109" i="3"/>
  <c r="N109" i="3"/>
  <c r="M109" i="3"/>
  <c r="L109" i="3"/>
  <c r="K109" i="3"/>
  <c r="J109" i="3"/>
  <c r="D109" i="3"/>
  <c r="E109" i="3"/>
  <c r="I109" i="3"/>
  <c r="H109" i="3"/>
  <c r="S664" i="3"/>
  <c r="P664" i="3"/>
  <c r="O664" i="3"/>
  <c r="N664" i="3"/>
  <c r="M664" i="3"/>
  <c r="L664" i="3"/>
  <c r="J664" i="3"/>
  <c r="K664" i="3"/>
  <c r="D664" i="3"/>
  <c r="E664" i="3"/>
  <c r="H664" i="3"/>
  <c r="I664" i="3"/>
  <c r="S321" i="3"/>
  <c r="P321" i="3"/>
  <c r="O321" i="3"/>
  <c r="N321" i="3"/>
  <c r="M321" i="3"/>
  <c r="L321" i="3"/>
  <c r="K321" i="3"/>
  <c r="J321" i="3"/>
  <c r="D321" i="3"/>
  <c r="E321" i="3"/>
  <c r="I321" i="3"/>
  <c r="H321" i="3"/>
  <c r="S18" i="3"/>
  <c r="P18" i="3"/>
  <c r="O18" i="3"/>
  <c r="N18" i="3"/>
  <c r="M18" i="3"/>
  <c r="L18" i="3"/>
  <c r="K18" i="3"/>
  <c r="J18" i="3"/>
  <c r="D18" i="3"/>
  <c r="E18" i="3"/>
  <c r="I18" i="3"/>
  <c r="H18" i="3"/>
  <c r="S461" i="3"/>
  <c r="P461" i="3"/>
  <c r="O461" i="3"/>
  <c r="N461" i="3"/>
  <c r="M461" i="3"/>
  <c r="L461" i="3"/>
  <c r="K461" i="3"/>
  <c r="J461" i="3"/>
  <c r="E461" i="3"/>
  <c r="D461" i="3"/>
  <c r="H461" i="3"/>
  <c r="I461" i="3"/>
  <c r="S236" i="3"/>
  <c r="P236" i="3"/>
  <c r="N236" i="3"/>
  <c r="O236" i="3"/>
  <c r="M236" i="3"/>
  <c r="L236" i="3"/>
  <c r="K236" i="3"/>
  <c r="J236" i="3"/>
  <c r="E236" i="3"/>
  <c r="D236" i="3"/>
  <c r="H236" i="3"/>
  <c r="I236" i="3"/>
  <c r="S110" i="3"/>
  <c r="P110" i="3"/>
  <c r="O110" i="3"/>
  <c r="N110" i="3"/>
  <c r="M110" i="3"/>
  <c r="L110" i="3"/>
  <c r="K110" i="3"/>
  <c r="J110" i="3"/>
  <c r="D110" i="3"/>
  <c r="E110" i="3"/>
  <c r="I110" i="3"/>
  <c r="H110" i="3"/>
  <c r="S418" i="3"/>
  <c r="P418" i="3"/>
  <c r="O418" i="3"/>
  <c r="N418" i="3"/>
  <c r="M418" i="3"/>
  <c r="L418" i="3"/>
  <c r="K418" i="3"/>
  <c r="J418" i="3"/>
  <c r="E418" i="3"/>
  <c r="D418" i="3"/>
  <c r="H418" i="3"/>
  <c r="I418" i="3"/>
  <c r="S862" i="3"/>
  <c r="P862" i="3"/>
  <c r="N862" i="3"/>
  <c r="M862" i="3"/>
  <c r="O862" i="3"/>
  <c r="L862" i="3"/>
  <c r="J862" i="3"/>
  <c r="K862" i="3"/>
  <c r="D862" i="3"/>
  <c r="H862" i="3"/>
  <c r="E862" i="3"/>
  <c r="I862" i="3"/>
  <c r="S231" i="3"/>
  <c r="P231" i="3"/>
  <c r="O231" i="3"/>
  <c r="N231" i="3"/>
  <c r="M231" i="3"/>
  <c r="K231" i="3"/>
  <c r="L231" i="3"/>
  <c r="J231" i="3"/>
  <c r="E231" i="3"/>
  <c r="D231" i="3"/>
  <c r="H231" i="3"/>
  <c r="I231" i="3"/>
  <c r="S431" i="3"/>
  <c r="P431" i="3"/>
  <c r="O431" i="3"/>
  <c r="N431" i="3"/>
  <c r="M431" i="3"/>
  <c r="L431" i="3"/>
  <c r="K431" i="3"/>
  <c r="J431" i="3"/>
  <c r="E431" i="3"/>
  <c r="D431" i="3"/>
  <c r="H431" i="3"/>
  <c r="I431" i="3"/>
  <c r="S850" i="3"/>
  <c r="P850" i="3"/>
  <c r="O850" i="3"/>
  <c r="N850" i="3"/>
  <c r="M850" i="3"/>
  <c r="L850" i="3"/>
  <c r="K850" i="3"/>
  <c r="E850" i="3"/>
  <c r="J850" i="3"/>
  <c r="D850" i="3"/>
  <c r="H850" i="3"/>
  <c r="I850" i="3"/>
  <c r="S926" i="3"/>
  <c r="P926" i="3"/>
  <c r="O926" i="3"/>
  <c r="N926" i="3"/>
  <c r="M926" i="3"/>
  <c r="K926" i="3"/>
  <c r="L926" i="3"/>
  <c r="J926" i="3"/>
  <c r="E926" i="3"/>
  <c r="D926" i="3"/>
  <c r="H926" i="3"/>
  <c r="I926" i="3"/>
  <c r="S1233" i="3"/>
  <c r="P1233" i="3"/>
  <c r="O1233" i="3"/>
  <c r="N1233" i="3"/>
  <c r="M1233" i="3"/>
  <c r="L1233" i="3"/>
  <c r="K1233" i="3"/>
  <c r="J1233" i="3"/>
  <c r="E1233" i="3"/>
  <c r="D1233" i="3"/>
  <c r="H1233" i="3"/>
  <c r="I1233" i="3"/>
  <c r="S1165" i="3"/>
  <c r="P1165" i="3"/>
  <c r="O1165" i="3"/>
  <c r="N1165" i="3"/>
  <c r="M1165" i="3"/>
  <c r="L1165" i="3"/>
  <c r="K1165" i="3"/>
  <c r="E1165" i="3"/>
  <c r="J1165" i="3"/>
  <c r="D1165" i="3"/>
  <c r="H1165" i="3"/>
  <c r="I1165" i="3"/>
  <c r="S139" i="3"/>
  <c r="P139" i="3"/>
  <c r="O139" i="3"/>
  <c r="N139" i="3"/>
  <c r="M139" i="3"/>
  <c r="L139" i="3"/>
  <c r="K139" i="3"/>
  <c r="J139" i="3"/>
  <c r="D139" i="3"/>
  <c r="E139" i="3"/>
  <c r="I139" i="3"/>
  <c r="H139" i="3"/>
  <c r="S832" i="3"/>
  <c r="P832" i="3"/>
  <c r="O832" i="3"/>
  <c r="N832" i="3"/>
  <c r="M832" i="3"/>
  <c r="L832" i="3"/>
  <c r="K832" i="3"/>
  <c r="J832" i="3"/>
  <c r="E832" i="3"/>
  <c r="D832" i="3"/>
  <c r="H832" i="3"/>
  <c r="I832" i="3"/>
  <c r="S270" i="3"/>
  <c r="P270" i="3"/>
  <c r="O270" i="3"/>
  <c r="N270" i="3"/>
  <c r="M270" i="3"/>
  <c r="L270" i="3"/>
  <c r="K270" i="3"/>
  <c r="J270" i="3"/>
  <c r="E270" i="3"/>
  <c r="D270" i="3"/>
  <c r="H270" i="3"/>
  <c r="I270" i="3"/>
  <c r="S221" i="3"/>
  <c r="P221" i="3"/>
  <c r="O221" i="3"/>
  <c r="N221" i="3"/>
  <c r="M221" i="3"/>
  <c r="L221" i="3"/>
  <c r="K221" i="3"/>
  <c r="J221" i="3"/>
  <c r="E221" i="3"/>
  <c r="D221" i="3"/>
  <c r="H221" i="3"/>
  <c r="I221" i="3"/>
  <c r="S107" i="3"/>
  <c r="P107" i="3"/>
  <c r="O107" i="3"/>
  <c r="N107" i="3"/>
  <c r="M107" i="3"/>
  <c r="L107" i="3"/>
  <c r="K107" i="3"/>
  <c r="J107" i="3"/>
  <c r="D107" i="3"/>
  <c r="E107" i="3"/>
  <c r="H107" i="3"/>
  <c r="I107" i="3"/>
  <c r="S1127" i="3"/>
  <c r="P1127" i="3"/>
  <c r="O1127" i="3"/>
  <c r="N1127" i="3"/>
  <c r="M1127" i="3"/>
  <c r="K1127" i="3"/>
  <c r="L1127" i="3"/>
  <c r="J1127" i="3"/>
  <c r="E1127" i="3"/>
  <c r="D1127" i="3"/>
  <c r="H1127" i="3"/>
  <c r="I1127" i="3"/>
  <c r="S976" i="3"/>
  <c r="P976" i="3"/>
  <c r="O976" i="3"/>
  <c r="N976" i="3"/>
  <c r="M976" i="3"/>
  <c r="L976" i="3"/>
  <c r="K976" i="3"/>
  <c r="J976" i="3"/>
  <c r="E976" i="3"/>
  <c r="D976" i="3"/>
  <c r="H976" i="3"/>
  <c r="I976" i="3"/>
  <c r="S617" i="3"/>
  <c r="P617" i="3"/>
  <c r="O617" i="3"/>
  <c r="N617" i="3"/>
  <c r="L617" i="3"/>
  <c r="K617" i="3"/>
  <c r="M617" i="3"/>
  <c r="J617" i="3"/>
  <c r="E617" i="3"/>
  <c r="D617" i="3"/>
  <c r="H617" i="3"/>
  <c r="I617" i="3"/>
  <c r="S670" i="3"/>
  <c r="P670" i="3"/>
  <c r="O670" i="3"/>
  <c r="N670" i="3"/>
  <c r="M670" i="3"/>
  <c r="L670" i="3"/>
  <c r="J670" i="3"/>
  <c r="K670" i="3"/>
  <c r="D670" i="3"/>
  <c r="E670" i="3"/>
  <c r="H670" i="3"/>
  <c r="I670" i="3"/>
  <c r="S323" i="3"/>
  <c r="P323" i="3"/>
  <c r="O323" i="3"/>
  <c r="N323" i="3"/>
  <c r="M323" i="3"/>
  <c r="L323" i="3"/>
  <c r="K323" i="3"/>
  <c r="J323" i="3"/>
  <c r="E323" i="3"/>
  <c r="D323" i="3"/>
  <c r="H323" i="3"/>
  <c r="I323" i="3"/>
  <c r="S1202" i="3"/>
  <c r="P1202" i="3"/>
  <c r="O1202" i="3"/>
  <c r="N1202" i="3"/>
  <c r="L1202" i="3"/>
  <c r="M1202" i="3"/>
  <c r="K1202" i="3"/>
  <c r="J1202" i="3"/>
  <c r="E1202" i="3"/>
  <c r="D1202" i="3"/>
  <c r="I1202" i="3"/>
  <c r="H1202" i="3"/>
  <c r="S897" i="3"/>
  <c r="P897" i="3"/>
  <c r="O897" i="3"/>
  <c r="N897" i="3"/>
  <c r="M897" i="3"/>
  <c r="L897" i="3"/>
  <c r="K897" i="3"/>
  <c r="J897" i="3"/>
  <c r="E897" i="3"/>
  <c r="D897" i="3"/>
  <c r="H897" i="3"/>
  <c r="I897" i="3"/>
  <c r="S902" i="3"/>
  <c r="P902" i="3"/>
  <c r="O902" i="3"/>
  <c r="N902" i="3"/>
  <c r="M902" i="3"/>
  <c r="L902" i="3"/>
  <c r="K902" i="3"/>
  <c r="J902" i="3"/>
  <c r="E902" i="3"/>
  <c r="D902" i="3"/>
  <c r="H902" i="3"/>
  <c r="I902" i="3"/>
  <c r="S469" i="3"/>
  <c r="P469" i="3"/>
  <c r="N469" i="3"/>
  <c r="O469" i="3"/>
  <c r="M469" i="3"/>
  <c r="L469" i="3"/>
  <c r="K469" i="3"/>
  <c r="J469" i="3"/>
  <c r="E469" i="3"/>
  <c r="D469" i="3"/>
  <c r="H469" i="3"/>
  <c r="I469" i="3"/>
  <c r="S750" i="3"/>
  <c r="P750" i="3"/>
  <c r="O750" i="3"/>
  <c r="M750" i="3"/>
  <c r="L750" i="3"/>
  <c r="N750" i="3"/>
  <c r="J750" i="3"/>
  <c r="K750" i="3"/>
  <c r="E750" i="3"/>
  <c r="D750" i="3"/>
  <c r="H750" i="3"/>
  <c r="I750" i="3"/>
  <c r="S1170" i="3"/>
  <c r="P1170" i="3"/>
  <c r="O1170" i="3"/>
  <c r="N1170" i="3"/>
  <c r="M1170" i="3"/>
  <c r="K1170" i="3"/>
  <c r="L1170" i="3"/>
  <c r="J1170" i="3"/>
  <c r="E1170" i="3"/>
  <c r="D1170" i="3"/>
  <c r="H1170" i="3"/>
  <c r="I1170" i="3"/>
  <c r="S13" i="3"/>
  <c r="P13" i="3"/>
  <c r="O13" i="3"/>
  <c r="N13" i="3"/>
  <c r="L13" i="3"/>
  <c r="M13" i="3"/>
  <c r="K13" i="3"/>
  <c r="E13" i="3"/>
  <c r="J13" i="3"/>
  <c r="D13" i="3"/>
  <c r="I13" i="3"/>
  <c r="H13" i="3"/>
  <c r="S1104" i="3"/>
  <c r="P1104" i="3"/>
  <c r="O1104" i="3"/>
  <c r="N1104" i="3"/>
  <c r="M1104" i="3"/>
  <c r="L1104" i="3"/>
  <c r="K1104" i="3"/>
  <c r="E1104" i="3"/>
  <c r="J1104" i="3"/>
  <c r="D1104" i="3"/>
  <c r="H1104" i="3"/>
  <c r="I1104" i="3"/>
  <c r="S207" i="3"/>
  <c r="P207" i="3"/>
  <c r="O207" i="3"/>
  <c r="N207" i="3"/>
  <c r="M207" i="3"/>
  <c r="L207" i="3"/>
  <c r="K207" i="3"/>
  <c r="J207" i="3"/>
  <c r="E207" i="3"/>
  <c r="D207" i="3"/>
  <c r="H207" i="3"/>
  <c r="I207" i="3"/>
  <c r="S449" i="3"/>
  <c r="P449" i="3"/>
  <c r="O449" i="3"/>
  <c r="N449" i="3"/>
  <c r="L449" i="3"/>
  <c r="M449" i="3"/>
  <c r="K449" i="3"/>
  <c r="J449" i="3"/>
  <c r="E449" i="3"/>
  <c r="D449" i="3"/>
  <c r="H449" i="3"/>
  <c r="I449" i="3"/>
  <c r="S1158" i="3"/>
  <c r="P1158" i="3"/>
  <c r="O1158" i="3"/>
  <c r="N1158" i="3"/>
  <c r="M1158" i="3"/>
  <c r="K1158" i="3"/>
  <c r="J1158" i="3"/>
  <c r="L1158" i="3"/>
  <c r="E1158" i="3"/>
  <c r="D1158" i="3"/>
  <c r="H1158" i="3"/>
  <c r="I1158" i="3"/>
  <c r="S276" i="3"/>
  <c r="P276" i="3"/>
  <c r="O276" i="3"/>
  <c r="N276" i="3"/>
  <c r="M276" i="3"/>
  <c r="L276" i="3"/>
  <c r="K276" i="3"/>
  <c r="J276" i="3"/>
  <c r="D276" i="3"/>
  <c r="E276" i="3"/>
  <c r="H276" i="3"/>
  <c r="I276" i="3"/>
  <c r="S1100" i="3"/>
  <c r="P1100" i="3"/>
  <c r="O1100" i="3"/>
  <c r="N1100" i="3"/>
  <c r="M1100" i="3"/>
  <c r="L1100" i="3"/>
  <c r="K1100" i="3"/>
  <c r="J1100" i="3"/>
  <c r="E1100" i="3"/>
  <c r="D1100" i="3"/>
  <c r="H1100" i="3"/>
  <c r="I1100" i="3"/>
  <c r="S238" i="3"/>
  <c r="P238" i="3"/>
  <c r="N238" i="3"/>
  <c r="O238" i="3"/>
  <c r="L238" i="3"/>
  <c r="M238" i="3"/>
  <c r="J238" i="3"/>
  <c r="K238" i="3"/>
  <c r="E238" i="3"/>
  <c r="D238" i="3"/>
  <c r="H238" i="3"/>
  <c r="I238" i="3"/>
  <c r="S218" i="3"/>
  <c r="P218" i="3"/>
  <c r="N218" i="3"/>
  <c r="O218" i="3"/>
  <c r="M218" i="3"/>
  <c r="L218" i="3"/>
  <c r="K218" i="3"/>
  <c r="J218" i="3"/>
  <c r="E218" i="3"/>
  <c r="D218" i="3"/>
  <c r="H218" i="3"/>
  <c r="I218" i="3"/>
  <c r="S217" i="3"/>
  <c r="P217" i="3"/>
  <c r="O217" i="3"/>
  <c r="N217" i="3"/>
  <c r="M217" i="3"/>
  <c r="L217" i="3"/>
  <c r="K217" i="3"/>
  <c r="J217" i="3"/>
  <c r="D217" i="3"/>
  <c r="E217" i="3"/>
  <c r="H217" i="3"/>
  <c r="I217" i="3"/>
  <c r="S791" i="3"/>
  <c r="P791" i="3"/>
  <c r="O791" i="3"/>
  <c r="N791" i="3"/>
  <c r="M791" i="3"/>
  <c r="L791" i="3"/>
  <c r="K791" i="3"/>
  <c r="J791" i="3"/>
  <c r="E791" i="3"/>
  <c r="D791" i="3"/>
  <c r="H791" i="3"/>
  <c r="I791" i="3"/>
  <c r="S226" i="3"/>
  <c r="P226" i="3"/>
  <c r="N226" i="3"/>
  <c r="M226" i="3"/>
  <c r="O226" i="3"/>
  <c r="L226" i="3"/>
  <c r="K226" i="3"/>
  <c r="J226" i="3"/>
  <c r="E226" i="3"/>
  <c r="D226" i="3"/>
  <c r="H226" i="3"/>
  <c r="I226" i="3"/>
  <c r="S857" i="3"/>
  <c r="P857" i="3"/>
  <c r="O857" i="3"/>
  <c r="N857" i="3"/>
  <c r="M857" i="3"/>
  <c r="L857" i="3"/>
  <c r="K857" i="3"/>
  <c r="J857" i="3"/>
  <c r="E857" i="3"/>
  <c r="D857" i="3"/>
  <c r="H857" i="3"/>
  <c r="I857" i="3"/>
  <c r="S1229" i="3"/>
  <c r="P1229" i="3"/>
  <c r="N1229" i="3"/>
  <c r="M1229" i="3"/>
  <c r="O1229" i="3"/>
  <c r="L1229" i="3"/>
  <c r="K1229" i="3"/>
  <c r="J1229" i="3"/>
  <c r="E1229" i="3"/>
  <c r="D1229" i="3"/>
  <c r="H1229" i="3"/>
  <c r="I1229" i="3"/>
  <c r="S1131" i="3"/>
  <c r="P1131" i="3"/>
  <c r="O1131" i="3"/>
  <c r="N1131" i="3"/>
  <c r="M1131" i="3"/>
  <c r="L1131" i="3"/>
  <c r="K1131" i="3"/>
  <c r="J1131" i="3"/>
  <c r="E1131" i="3"/>
  <c r="D1131" i="3"/>
  <c r="H1131" i="3"/>
  <c r="I1131" i="3"/>
  <c r="S687" i="3"/>
  <c r="P687" i="3"/>
  <c r="O687" i="3"/>
  <c r="N687" i="3"/>
  <c r="M687" i="3"/>
  <c r="L687" i="3"/>
  <c r="K687" i="3"/>
  <c r="J687" i="3"/>
  <c r="E687" i="3"/>
  <c r="D687" i="3"/>
  <c r="H687" i="3"/>
  <c r="I687" i="3"/>
  <c r="S1167" i="3"/>
  <c r="P1167" i="3"/>
  <c r="O1167" i="3"/>
  <c r="N1167" i="3"/>
  <c r="M1167" i="3"/>
  <c r="L1167" i="3"/>
  <c r="K1167" i="3"/>
  <c r="J1167" i="3"/>
  <c r="E1167" i="3"/>
  <c r="D1167" i="3"/>
  <c r="I1167" i="3"/>
  <c r="H1167" i="3"/>
  <c r="S459" i="3"/>
  <c r="P459" i="3"/>
  <c r="O459" i="3"/>
  <c r="N459" i="3"/>
  <c r="M459" i="3"/>
  <c r="L459" i="3"/>
  <c r="K459" i="3"/>
  <c r="J459" i="3"/>
  <c r="E459" i="3"/>
  <c r="D459" i="3"/>
  <c r="I459" i="3"/>
  <c r="H459" i="3"/>
  <c r="S246" i="3"/>
  <c r="P246" i="3"/>
  <c r="O246" i="3"/>
  <c r="N246" i="3"/>
  <c r="M246" i="3"/>
  <c r="K246" i="3"/>
  <c r="L246" i="3"/>
  <c r="J246" i="3"/>
  <c r="D246" i="3"/>
  <c r="E246" i="3"/>
  <c r="H246" i="3"/>
  <c r="I246" i="3"/>
  <c r="S633" i="3"/>
  <c r="P633" i="3"/>
  <c r="O633" i="3"/>
  <c r="N633" i="3"/>
  <c r="M633" i="3"/>
  <c r="L633" i="3"/>
  <c r="K633" i="3"/>
  <c r="J633" i="3"/>
  <c r="E633" i="3"/>
  <c r="D633" i="3"/>
  <c r="H633" i="3"/>
  <c r="I633" i="3"/>
  <c r="S625" i="3"/>
  <c r="P625" i="3"/>
  <c r="O625" i="3"/>
  <c r="N625" i="3"/>
  <c r="M625" i="3"/>
  <c r="L625" i="3"/>
  <c r="K625" i="3"/>
  <c r="J625" i="3"/>
  <c r="E625" i="3"/>
  <c r="D625" i="3"/>
  <c r="H625" i="3"/>
  <c r="I625" i="3"/>
  <c r="P888" i="3"/>
  <c r="S888" i="3"/>
  <c r="N888" i="3"/>
  <c r="M888" i="3"/>
  <c r="L888" i="3"/>
  <c r="O888" i="3"/>
  <c r="J888" i="3"/>
  <c r="K888" i="3"/>
  <c r="D888" i="3"/>
  <c r="H888" i="3"/>
  <c r="I888" i="3"/>
  <c r="E888" i="3"/>
  <c r="S255" i="3"/>
  <c r="P255" i="3"/>
  <c r="O255" i="3"/>
  <c r="N255" i="3"/>
  <c r="M255" i="3"/>
  <c r="L255" i="3"/>
  <c r="K255" i="3"/>
  <c r="J255" i="3"/>
  <c r="D255" i="3"/>
  <c r="E255" i="3"/>
  <c r="H255" i="3"/>
  <c r="I255" i="3"/>
  <c r="S556" i="3"/>
  <c r="P556" i="3"/>
  <c r="N556" i="3"/>
  <c r="O556" i="3"/>
  <c r="M556" i="3"/>
  <c r="L556" i="3"/>
  <c r="K556" i="3"/>
  <c r="E556" i="3"/>
  <c r="J556" i="3"/>
  <c r="D556" i="3"/>
  <c r="H556" i="3"/>
  <c r="I556" i="3"/>
  <c r="S201" i="3"/>
  <c r="P201" i="3"/>
  <c r="O201" i="3"/>
  <c r="N201" i="3"/>
  <c r="M201" i="3"/>
  <c r="L201" i="3"/>
  <c r="K201" i="3"/>
  <c r="J201" i="3"/>
  <c r="D201" i="3"/>
  <c r="E201" i="3"/>
  <c r="H201" i="3"/>
  <c r="I201" i="3"/>
  <c r="S744" i="3"/>
  <c r="P744" i="3"/>
  <c r="O744" i="3"/>
  <c r="N744" i="3"/>
  <c r="L744" i="3"/>
  <c r="M744" i="3"/>
  <c r="K744" i="3"/>
  <c r="J744" i="3"/>
  <c r="E744" i="3"/>
  <c r="D744" i="3"/>
  <c r="H744" i="3"/>
  <c r="I744" i="3"/>
  <c r="S29" i="3"/>
  <c r="P29" i="3"/>
  <c r="O29" i="3"/>
  <c r="N29" i="3"/>
  <c r="M29" i="3"/>
  <c r="L29" i="3"/>
  <c r="K29" i="3"/>
  <c r="E29" i="3"/>
  <c r="J29" i="3"/>
  <c r="D29" i="3"/>
  <c r="I29" i="3"/>
  <c r="H29" i="3"/>
  <c r="S253" i="3"/>
  <c r="P253" i="3"/>
  <c r="O253" i="3"/>
  <c r="N253" i="3"/>
  <c r="M253" i="3"/>
  <c r="L253" i="3"/>
  <c r="K253" i="3"/>
  <c r="J253" i="3"/>
  <c r="D253" i="3"/>
  <c r="E253" i="3"/>
  <c r="H253" i="3"/>
  <c r="I253" i="3"/>
  <c r="S307" i="3"/>
  <c r="P307" i="3"/>
  <c r="O307" i="3"/>
  <c r="N307" i="3"/>
  <c r="M307" i="3"/>
  <c r="L307" i="3"/>
  <c r="K307" i="3"/>
  <c r="J307" i="3"/>
  <c r="E307" i="3"/>
  <c r="D307" i="3"/>
  <c r="H307" i="3"/>
  <c r="I307" i="3"/>
  <c r="S923" i="3"/>
  <c r="P923" i="3"/>
  <c r="O923" i="3"/>
  <c r="N923" i="3"/>
  <c r="M923" i="3"/>
  <c r="L923" i="3"/>
  <c r="K923" i="3"/>
  <c r="J923" i="3"/>
  <c r="E923" i="3"/>
  <c r="D923" i="3"/>
  <c r="H923" i="3"/>
  <c r="I923" i="3"/>
  <c r="P725" i="3"/>
  <c r="S725" i="3"/>
  <c r="O725" i="3"/>
  <c r="M725" i="3"/>
  <c r="N725" i="3"/>
  <c r="L725" i="3"/>
  <c r="K725" i="3"/>
  <c r="J725" i="3"/>
  <c r="E725" i="3"/>
  <c r="D725" i="3"/>
  <c r="H725" i="3"/>
  <c r="I725" i="3"/>
  <c r="S247" i="3"/>
  <c r="P247" i="3"/>
  <c r="O247" i="3"/>
  <c r="N247" i="3"/>
  <c r="M247" i="3"/>
  <c r="L247" i="3"/>
  <c r="K247" i="3"/>
  <c r="J247" i="3"/>
  <c r="D247" i="3"/>
  <c r="E247" i="3"/>
  <c r="H247" i="3"/>
  <c r="I247" i="3"/>
  <c r="S628" i="3"/>
  <c r="P628" i="3"/>
  <c r="O628" i="3"/>
  <c r="N628" i="3"/>
  <c r="M628" i="3"/>
  <c r="L628" i="3"/>
  <c r="K628" i="3"/>
  <c r="J628" i="3"/>
  <c r="E628" i="3"/>
  <c r="I628" i="3"/>
  <c r="D628" i="3"/>
  <c r="H628" i="3"/>
  <c r="S807" i="3"/>
  <c r="P807" i="3"/>
  <c r="O807" i="3"/>
  <c r="N807" i="3"/>
  <c r="M807" i="3"/>
  <c r="L807" i="3"/>
  <c r="K807" i="3"/>
  <c r="J807" i="3"/>
  <c r="E807" i="3"/>
  <c r="D807" i="3"/>
  <c r="H807" i="3"/>
  <c r="I807" i="3"/>
  <c r="S457" i="3"/>
  <c r="P457" i="3"/>
  <c r="O457" i="3"/>
  <c r="N457" i="3"/>
  <c r="M457" i="3"/>
  <c r="L457" i="3"/>
  <c r="K457" i="3"/>
  <c r="J457" i="3"/>
  <c r="E457" i="3"/>
  <c r="D457" i="3"/>
  <c r="H457" i="3"/>
  <c r="I457" i="3"/>
  <c r="S167" i="3"/>
  <c r="P167" i="3"/>
  <c r="O167" i="3"/>
  <c r="N167" i="3"/>
  <c r="M167" i="3"/>
  <c r="L167" i="3"/>
  <c r="K167" i="3"/>
  <c r="J167" i="3"/>
  <c r="D167" i="3"/>
  <c r="E167" i="3"/>
  <c r="H167" i="3"/>
  <c r="I167" i="3"/>
  <c r="S53" i="3"/>
  <c r="P53" i="3"/>
  <c r="O53" i="3"/>
  <c r="N53" i="3"/>
  <c r="M53" i="3"/>
  <c r="L53" i="3"/>
  <c r="K53" i="3"/>
  <c r="J53" i="3"/>
  <c r="E53" i="3"/>
  <c r="D53" i="3"/>
  <c r="I53" i="3"/>
  <c r="H53" i="3"/>
  <c r="S192" i="3"/>
  <c r="P192" i="3"/>
  <c r="N192" i="3"/>
  <c r="O192" i="3"/>
  <c r="M192" i="3"/>
  <c r="L192" i="3"/>
  <c r="K192" i="3"/>
  <c r="J192" i="3"/>
  <c r="D192" i="3"/>
  <c r="E192" i="3"/>
  <c r="H192" i="3"/>
  <c r="I192" i="3"/>
  <c r="S749" i="3"/>
  <c r="P749" i="3"/>
  <c r="O749" i="3"/>
  <c r="N749" i="3"/>
  <c r="L749" i="3"/>
  <c r="M749" i="3"/>
  <c r="K749" i="3"/>
  <c r="J749" i="3"/>
  <c r="E749" i="3"/>
  <c r="D749" i="3"/>
  <c r="H749" i="3"/>
  <c r="I749" i="3"/>
  <c r="S70" i="3"/>
  <c r="P70" i="3"/>
  <c r="O70" i="3"/>
  <c r="N70" i="3"/>
  <c r="M70" i="3"/>
  <c r="L70" i="3"/>
  <c r="K70" i="3"/>
  <c r="J70" i="3"/>
  <c r="D70" i="3"/>
  <c r="E70" i="3"/>
  <c r="I70" i="3"/>
  <c r="H70" i="3"/>
  <c r="S214" i="3"/>
  <c r="P214" i="3"/>
  <c r="O214" i="3"/>
  <c r="N214" i="3"/>
  <c r="M214" i="3"/>
  <c r="L214" i="3"/>
  <c r="K214" i="3"/>
  <c r="J214" i="3"/>
  <c r="E214" i="3"/>
  <c r="D214" i="3"/>
  <c r="H214" i="3"/>
  <c r="I214" i="3"/>
  <c r="S867" i="3"/>
  <c r="P867" i="3"/>
  <c r="O867" i="3"/>
  <c r="N867" i="3"/>
  <c r="M867" i="3"/>
  <c r="L867" i="3"/>
  <c r="J867" i="3"/>
  <c r="K867" i="3"/>
  <c r="E867" i="3"/>
  <c r="D867" i="3"/>
  <c r="I867" i="3"/>
  <c r="H867" i="3"/>
  <c r="S1139" i="3"/>
  <c r="P1139" i="3"/>
  <c r="O1139" i="3"/>
  <c r="N1139" i="3"/>
  <c r="M1139" i="3"/>
  <c r="L1139" i="3"/>
  <c r="K1139" i="3"/>
  <c r="J1139" i="3"/>
  <c r="E1139" i="3"/>
  <c r="D1139" i="3"/>
  <c r="H1139" i="3"/>
  <c r="I1139" i="3"/>
  <c r="S1216" i="3"/>
  <c r="P1216" i="3"/>
  <c r="O1216" i="3"/>
  <c r="N1216" i="3"/>
  <c r="M1216" i="3"/>
  <c r="L1216" i="3"/>
  <c r="K1216" i="3"/>
  <c r="E1216" i="3"/>
  <c r="J1216" i="3"/>
  <c r="D1216" i="3"/>
  <c r="H1216" i="3"/>
  <c r="I1216" i="3"/>
  <c r="S345" i="3"/>
  <c r="P345" i="3"/>
  <c r="O345" i="3"/>
  <c r="N345" i="3"/>
  <c r="M345" i="3"/>
  <c r="L345" i="3"/>
  <c r="K345" i="3"/>
  <c r="J345" i="3"/>
  <c r="E345" i="3"/>
  <c r="D345" i="3"/>
  <c r="H345" i="3"/>
  <c r="I345" i="3"/>
  <c r="S1121" i="3"/>
  <c r="P1121" i="3"/>
  <c r="O1121" i="3"/>
  <c r="N1121" i="3"/>
  <c r="M1121" i="3"/>
  <c r="K1121" i="3"/>
  <c r="J1121" i="3"/>
  <c r="L1121" i="3"/>
  <c r="E1121" i="3"/>
  <c r="D1121" i="3"/>
  <c r="H1121" i="3"/>
  <c r="I1121" i="3"/>
  <c r="S727" i="3"/>
  <c r="P727" i="3"/>
  <c r="O727" i="3"/>
  <c r="M727" i="3"/>
  <c r="L727" i="3"/>
  <c r="N727" i="3"/>
  <c r="K727" i="3"/>
  <c r="J727" i="3"/>
  <c r="E727" i="3"/>
  <c r="D727" i="3"/>
  <c r="H727" i="3"/>
  <c r="I727" i="3"/>
  <c r="S997" i="3"/>
  <c r="P997" i="3"/>
  <c r="O997" i="3"/>
  <c r="N997" i="3"/>
  <c r="M997" i="3"/>
  <c r="L997" i="3"/>
  <c r="K997" i="3"/>
  <c r="J997" i="3"/>
  <c r="E997" i="3"/>
  <c r="D997" i="3"/>
  <c r="H997" i="3"/>
  <c r="I997" i="3"/>
  <c r="S757" i="3"/>
  <c r="P757" i="3"/>
  <c r="O757" i="3"/>
  <c r="N757" i="3"/>
  <c r="M757" i="3"/>
  <c r="L757" i="3"/>
  <c r="K757" i="3"/>
  <c r="J757" i="3"/>
  <c r="E757" i="3"/>
  <c r="D757" i="3"/>
  <c r="I757" i="3"/>
  <c r="H757" i="3"/>
  <c r="S536" i="3"/>
  <c r="P536" i="3"/>
  <c r="O536" i="3"/>
  <c r="N536" i="3"/>
  <c r="M536" i="3"/>
  <c r="L536" i="3"/>
  <c r="K536" i="3"/>
  <c r="J536" i="3"/>
  <c r="E536" i="3"/>
  <c r="D536" i="3"/>
  <c r="H536" i="3"/>
  <c r="I536" i="3"/>
  <c r="S1213" i="3"/>
  <c r="O1213" i="3"/>
  <c r="N1213" i="3"/>
  <c r="P1213" i="3"/>
  <c r="M1213" i="3"/>
  <c r="L1213" i="3"/>
  <c r="K1213" i="3"/>
  <c r="E1213" i="3"/>
  <c r="J1213" i="3"/>
  <c r="D1213" i="3"/>
  <c r="H1213" i="3"/>
  <c r="I1213" i="3"/>
  <c r="S1195" i="3"/>
  <c r="P1195" i="3"/>
  <c r="O1195" i="3"/>
  <c r="N1195" i="3"/>
  <c r="M1195" i="3"/>
  <c r="L1195" i="3"/>
  <c r="K1195" i="3"/>
  <c r="J1195" i="3"/>
  <c r="E1195" i="3"/>
  <c r="D1195" i="3"/>
  <c r="H1195" i="3"/>
  <c r="I1195" i="3"/>
  <c r="S1184" i="3"/>
  <c r="P1184" i="3"/>
  <c r="N1184" i="3"/>
  <c r="M1184" i="3"/>
  <c r="O1184" i="3"/>
  <c r="L1184" i="3"/>
  <c r="J1184" i="3"/>
  <c r="K1184" i="3"/>
  <c r="D1184" i="3"/>
  <c r="H1184" i="3"/>
  <c r="E1184" i="3"/>
  <c r="I1184" i="3"/>
  <c r="S1218" i="3"/>
  <c r="P1218" i="3"/>
  <c r="O1218" i="3"/>
  <c r="M1218" i="3"/>
  <c r="N1218" i="3"/>
  <c r="L1218" i="3"/>
  <c r="J1218" i="3"/>
  <c r="K1218" i="3"/>
  <c r="E1218" i="3"/>
  <c r="D1218" i="3"/>
  <c r="H1218" i="3"/>
  <c r="I1218" i="3"/>
  <c r="S1200" i="3"/>
  <c r="P1200" i="3"/>
  <c r="O1200" i="3"/>
  <c r="N1200" i="3"/>
  <c r="M1200" i="3"/>
  <c r="L1200" i="3"/>
  <c r="K1200" i="3"/>
  <c r="E1200" i="3"/>
  <c r="J1200" i="3"/>
  <c r="D1200" i="3"/>
  <c r="H1200" i="3"/>
  <c r="I1200" i="3"/>
  <c r="S1115" i="3"/>
  <c r="P1115" i="3"/>
  <c r="O1115" i="3"/>
  <c r="M1115" i="3"/>
  <c r="N1115" i="3"/>
  <c r="L1115" i="3"/>
  <c r="K1115" i="3"/>
  <c r="J1115" i="3"/>
  <c r="E1115" i="3"/>
  <c r="D1115" i="3"/>
  <c r="H1115" i="3"/>
  <c r="I1115" i="3"/>
  <c r="S1122" i="3"/>
  <c r="O1122" i="3"/>
  <c r="N1122" i="3"/>
  <c r="P1122" i="3"/>
  <c r="M1122" i="3"/>
  <c r="L1122" i="3"/>
  <c r="K1122" i="3"/>
  <c r="E1122" i="3"/>
  <c r="J1122" i="3"/>
  <c r="D1122" i="3"/>
  <c r="H1122" i="3"/>
  <c r="I1122" i="3"/>
  <c r="S1159" i="3"/>
  <c r="P1159" i="3"/>
  <c r="O1159" i="3"/>
  <c r="M1159" i="3"/>
  <c r="N1159" i="3"/>
  <c r="L1159" i="3"/>
  <c r="J1159" i="3"/>
  <c r="K1159" i="3"/>
  <c r="E1159" i="3"/>
  <c r="D1159" i="3"/>
  <c r="H1159" i="3"/>
  <c r="I1159" i="3"/>
  <c r="S1112" i="3"/>
  <c r="P1112" i="3"/>
  <c r="O1112" i="3"/>
  <c r="M1112" i="3"/>
  <c r="N1112" i="3"/>
  <c r="K1112" i="3"/>
  <c r="L1112" i="3"/>
  <c r="J1112" i="3"/>
  <c r="E1112" i="3"/>
  <c r="D1112" i="3"/>
  <c r="H1112" i="3"/>
  <c r="I1112" i="3"/>
  <c r="S1132" i="3"/>
  <c r="P1132" i="3"/>
  <c r="O1132" i="3"/>
  <c r="N1132" i="3"/>
  <c r="M1132" i="3"/>
  <c r="L1132" i="3"/>
  <c r="K1132" i="3"/>
  <c r="J1132" i="3"/>
  <c r="E1132" i="3"/>
  <c r="D1132" i="3"/>
  <c r="H1132" i="3"/>
  <c r="I1132" i="3"/>
  <c r="S1105" i="3"/>
  <c r="P1105" i="3"/>
  <c r="O1105" i="3"/>
  <c r="N1105" i="3"/>
  <c r="M1105" i="3"/>
  <c r="L1105" i="3"/>
  <c r="K1105" i="3"/>
  <c r="J1105" i="3"/>
  <c r="E1105" i="3"/>
  <c r="D1105" i="3"/>
  <c r="I1105" i="3"/>
  <c r="H1105" i="3"/>
  <c r="S1102" i="3"/>
  <c r="P1102" i="3"/>
  <c r="O1102" i="3"/>
  <c r="N1102" i="3"/>
  <c r="M1102" i="3"/>
  <c r="L1102" i="3"/>
  <c r="K1102" i="3"/>
  <c r="E1102" i="3"/>
  <c r="J1102" i="3"/>
  <c r="D1102" i="3"/>
  <c r="H1102" i="3"/>
  <c r="I1102" i="3"/>
  <c r="S968" i="3"/>
  <c r="P968" i="3"/>
  <c r="O968" i="3"/>
  <c r="M968" i="3"/>
  <c r="N968" i="3"/>
  <c r="L968" i="3"/>
  <c r="J968" i="3"/>
  <c r="K968" i="3"/>
  <c r="E968" i="3"/>
  <c r="D968" i="3"/>
  <c r="H968" i="3"/>
  <c r="I968" i="3"/>
  <c r="S957" i="3"/>
  <c r="P957" i="3"/>
  <c r="M957" i="3"/>
  <c r="N957" i="3"/>
  <c r="O957" i="3"/>
  <c r="L957" i="3"/>
  <c r="K957" i="3"/>
  <c r="J957" i="3"/>
  <c r="E957" i="3"/>
  <c r="D957" i="3"/>
  <c r="H957" i="3"/>
  <c r="I957" i="3"/>
  <c r="S1063" i="3"/>
  <c r="P1063" i="3"/>
  <c r="O1063" i="3"/>
  <c r="N1063" i="3"/>
  <c r="M1063" i="3"/>
  <c r="L1063" i="3"/>
  <c r="J1063" i="3"/>
  <c r="K1063" i="3"/>
  <c r="D1063" i="3"/>
  <c r="E1063" i="3"/>
  <c r="H1063" i="3"/>
  <c r="I1063" i="3"/>
  <c r="S879" i="3"/>
  <c r="P879" i="3"/>
  <c r="O879" i="3"/>
  <c r="N879" i="3"/>
  <c r="M879" i="3"/>
  <c r="K879" i="3"/>
  <c r="L879" i="3"/>
  <c r="J879" i="3"/>
  <c r="E879" i="3"/>
  <c r="D879" i="3"/>
  <c r="H879" i="3"/>
  <c r="I879" i="3"/>
  <c r="S1077" i="3"/>
  <c r="P1077" i="3"/>
  <c r="M1077" i="3"/>
  <c r="N1077" i="3"/>
  <c r="O1077" i="3"/>
  <c r="L1077" i="3"/>
  <c r="J1077" i="3"/>
  <c r="K1077" i="3"/>
  <c r="E1077" i="3"/>
  <c r="D1077" i="3"/>
  <c r="H1077" i="3"/>
  <c r="I1077" i="3"/>
  <c r="S1046" i="3"/>
  <c r="P1046" i="3"/>
  <c r="O1046" i="3"/>
  <c r="N1046" i="3"/>
  <c r="M1046" i="3"/>
  <c r="L1046" i="3"/>
  <c r="K1046" i="3"/>
  <c r="J1046" i="3"/>
  <c r="E1046" i="3"/>
  <c r="D1046" i="3"/>
  <c r="I1046" i="3"/>
  <c r="H1046" i="3"/>
  <c r="S1060" i="3"/>
  <c r="P1060" i="3"/>
  <c r="O1060" i="3"/>
  <c r="M1060" i="3"/>
  <c r="L1060" i="3"/>
  <c r="N1060" i="3"/>
  <c r="J1060" i="3"/>
  <c r="K1060" i="3"/>
  <c r="E1060" i="3"/>
  <c r="D1060" i="3"/>
  <c r="H1060" i="3"/>
  <c r="I1060" i="3"/>
  <c r="S1034" i="3"/>
  <c r="P1034" i="3"/>
  <c r="O1034" i="3"/>
  <c r="N1034" i="3"/>
  <c r="M1034" i="3"/>
  <c r="L1034" i="3"/>
  <c r="J1034" i="3"/>
  <c r="K1034" i="3"/>
  <c r="E1034" i="3"/>
  <c r="D1034" i="3"/>
  <c r="H1034" i="3"/>
  <c r="I1034" i="3"/>
  <c r="S882" i="3"/>
  <c r="P882" i="3"/>
  <c r="O882" i="3"/>
  <c r="N882" i="3"/>
  <c r="M882" i="3"/>
  <c r="L882" i="3"/>
  <c r="K882" i="3"/>
  <c r="E882" i="3"/>
  <c r="J882" i="3"/>
  <c r="D882" i="3"/>
  <c r="H882" i="3"/>
  <c r="I882" i="3"/>
  <c r="S1076" i="3"/>
  <c r="P1076" i="3"/>
  <c r="O1076" i="3"/>
  <c r="N1076" i="3"/>
  <c r="M1076" i="3"/>
  <c r="L1076" i="3"/>
  <c r="K1076" i="3"/>
  <c r="J1076" i="3"/>
  <c r="E1076" i="3"/>
  <c r="D1076" i="3"/>
  <c r="H1076" i="3"/>
  <c r="I1076" i="3"/>
  <c r="S784" i="3"/>
  <c r="P784" i="3"/>
  <c r="O784" i="3"/>
  <c r="N784" i="3"/>
  <c r="M784" i="3"/>
  <c r="L784" i="3"/>
  <c r="K784" i="3"/>
  <c r="J784" i="3"/>
  <c r="E784" i="3"/>
  <c r="D784" i="3"/>
  <c r="H784" i="3"/>
  <c r="I784" i="3"/>
  <c r="S965" i="3"/>
  <c r="P965" i="3"/>
  <c r="O965" i="3"/>
  <c r="N965" i="3"/>
  <c r="M965" i="3"/>
  <c r="L965" i="3"/>
  <c r="K965" i="3"/>
  <c r="J965" i="3"/>
  <c r="E965" i="3"/>
  <c r="D965" i="3"/>
  <c r="H965" i="3"/>
  <c r="I965" i="3"/>
  <c r="P785" i="3"/>
  <c r="S785" i="3"/>
  <c r="O785" i="3"/>
  <c r="M785" i="3"/>
  <c r="N785" i="3"/>
  <c r="L785" i="3"/>
  <c r="J785" i="3"/>
  <c r="K785" i="3"/>
  <c r="E785" i="3"/>
  <c r="D785" i="3"/>
  <c r="H785" i="3"/>
  <c r="I785" i="3"/>
  <c r="S763" i="3"/>
  <c r="P763" i="3"/>
  <c r="O763" i="3"/>
  <c r="M763" i="3"/>
  <c r="N763" i="3"/>
  <c r="L763" i="3"/>
  <c r="K763" i="3"/>
  <c r="J763" i="3"/>
  <c r="D763" i="3"/>
  <c r="E763" i="3"/>
  <c r="H763" i="3"/>
  <c r="I763" i="3"/>
  <c r="S755" i="3"/>
  <c r="P755" i="3"/>
  <c r="O755" i="3"/>
  <c r="M755" i="3"/>
  <c r="L755" i="3"/>
  <c r="N755" i="3"/>
  <c r="K755" i="3"/>
  <c r="J755" i="3"/>
  <c r="E755" i="3"/>
  <c r="D755" i="3"/>
  <c r="H755" i="3"/>
  <c r="I755" i="3"/>
  <c r="S910" i="3"/>
  <c r="P910" i="3"/>
  <c r="O910" i="3"/>
  <c r="N910" i="3"/>
  <c r="M910" i="3"/>
  <c r="L910" i="3"/>
  <c r="K910" i="3"/>
  <c r="E910" i="3"/>
  <c r="J910" i="3"/>
  <c r="D910" i="3"/>
  <c r="H910" i="3"/>
  <c r="I910" i="3"/>
  <c r="S713" i="3"/>
  <c r="P713" i="3"/>
  <c r="O713" i="3"/>
  <c r="N713" i="3"/>
  <c r="M713" i="3"/>
  <c r="L713" i="3"/>
  <c r="K713" i="3"/>
  <c r="J713" i="3"/>
  <c r="E713" i="3"/>
  <c r="D713" i="3"/>
  <c r="H713" i="3"/>
  <c r="I713" i="3"/>
  <c r="S751" i="3"/>
  <c r="P751" i="3"/>
  <c r="O751" i="3"/>
  <c r="N751" i="3"/>
  <c r="M751" i="3"/>
  <c r="L751" i="3"/>
  <c r="K751" i="3"/>
  <c r="J751" i="3"/>
  <c r="E751" i="3"/>
  <c r="D751" i="3"/>
  <c r="H751" i="3"/>
  <c r="I751" i="3"/>
  <c r="S921" i="3"/>
  <c r="P921" i="3"/>
  <c r="O921" i="3"/>
  <c r="N921" i="3"/>
  <c r="M921" i="3"/>
  <c r="L921" i="3"/>
  <c r="J921" i="3"/>
  <c r="K921" i="3"/>
  <c r="E921" i="3"/>
  <c r="D921" i="3"/>
  <c r="I921" i="3"/>
  <c r="H921" i="3"/>
  <c r="S847" i="3"/>
  <c r="P847" i="3"/>
  <c r="O847" i="3"/>
  <c r="N847" i="3"/>
  <c r="M847" i="3"/>
  <c r="L847" i="3"/>
  <c r="K847" i="3"/>
  <c r="J847" i="3"/>
  <c r="E847" i="3"/>
  <c r="D847" i="3"/>
  <c r="H847" i="3"/>
  <c r="I847" i="3"/>
  <c r="S881" i="3"/>
  <c r="P881" i="3"/>
  <c r="O881" i="3"/>
  <c r="N881" i="3"/>
  <c r="M881" i="3"/>
  <c r="L881" i="3"/>
  <c r="K881" i="3"/>
  <c r="J881" i="3"/>
  <c r="E881" i="3"/>
  <c r="D881" i="3"/>
  <c r="I881" i="3"/>
  <c r="H881" i="3"/>
  <c r="S823" i="3"/>
  <c r="P823" i="3"/>
  <c r="O823" i="3"/>
  <c r="N823" i="3"/>
  <c r="M823" i="3"/>
  <c r="L823" i="3"/>
  <c r="K823" i="3"/>
  <c r="J823" i="3"/>
  <c r="E823" i="3"/>
  <c r="D823" i="3"/>
  <c r="H823" i="3"/>
  <c r="I823" i="3"/>
  <c r="S858" i="3"/>
  <c r="P858" i="3"/>
  <c r="O858" i="3"/>
  <c r="N858" i="3"/>
  <c r="M858" i="3"/>
  <c r="L858" i="3"/>
  <c r="K858" i="3"/>
  <c r="E858" i="3"/>
  <c r="J858" i="3"/>
  <c r="D858" i="3"/>
  <c r="H858" i="3"/>
  <c r="I858" i="3"/>
  <c r="S543" i="3"/>
  <c r="P543" i="3"/>
  <c r="O543" i="3"/>
  <c r="N543" i="3"/>
  <c r="L543" i="3"/>
  <c r="M543" i="3"/>
  <c r="K543" i="3"/>
  <c r="J543" i="3"/>
  <c r="E543" i="3"/>
  <c r="D543" i="3"/>
  <c r="H543" i="3"/>
  <c r="I543" i="3"/>
  <c r="S835" i="3"/>
  <c r="P835" i="3"/>
  <c r="O835" i="3"/>
  <c r="N835" i="3"/>
  <c r="M835" i="3"/>
  <c r="L835" i="3"/>
  <c r="J835" i="3"/>
  <c r="K835" i="3"/>
  <c r="E835" i="3"/>
  <c r="I835" i="3"/>
  <c r="H835" i="3"/>
  <c r="D835" i="3"/>
  <c r="S652" i="3"/>
  <c r="P652" i="3"/>
  <c r="O652" i="3"/>
  <c r="N652" i="3"/>
  <c r="M652" i="3"/>
  <c r="L652" i="3"/>
  <c r="J652" i="3"/>
  <c r="K652" i="3"/>
  <c r="D652" i="3"/>
  <c r="E652" i="3"/>
  <c r="H652" i="3"/>
  <c r="I652" i="3"/>
  <c r="S607" i="3"/>
  <c r="P607" i="3"/>
  <c r="O607" i="3"/>
  <c r="N607" i="3"/>
  <c r="M607" i="3"/>
  <c r="L607" i="3"/>
  <c r="K607" i="3"/>
  <c r="J607" i="3"/>
  <c r="E607" i="3"/>
  <c r="D607" i="3"/>
  <c r="H607" i="3"/>
  <c r="I607" i="3"/>
  <c r="S506" i="3"/>
  <c r="P506" i="3"/>
  <c r="O506" i="3"/>
  <c r="N506" i="3"/>
  <c r="M506" i="3"/>
  <c r="L506" i="3"/>
  <c r="J506" i="3"/>
  <c r="K506" i="3"/>
  <c r="E506" i="3"/>
  <c r="D506" i="3"/>
  <c r="H506" i="3"/>
  <c r="I506" i="3"/>
  <c r="S560" i="3"/>
  <c r="P560" i="3"/>
  <c r="O560" i="3"/>
  <c r="N560" i="3"/>
  <c r="M560" i="3"/>
  <c r="K560" i="3"/>
  <c r="L560" i="3"/>
  <c r="J560" i="3"/>
  <c r="E560" i="3"/>
  <c r="D560" i="3"/>
  <c r="H560" i="3"/>
  <c r="I560" i="3"/>
  <c r="S759" i="3"/>
  <c r="P759" i="3"/>
  <c r="O759" i="3"/>
  <c r="M759" i="3"/>
  <c r="N759" i="3"/>
  <c r="L759" i="3"/>
  <c r="J759" i="3"/>
  <c r="K759" i="3"/>
  <c r="E759" i="3"/>
  <c r="D759" i="3"/>
  <c r="H759" i="3"/>
  <c r="I759" i="3"/>
  <c r="S787" i="3"/>
  <c r="P787" i="3"/>
  <c r="O787" i="3"/>
  <c r="N787" i="3"/>
  <c r="M787" i="3"/>
  <c r="L787" i="3"/>
  <c r="K787" i="3"/>
  <c r="J787" i="3"/>
  <c r="E787" i="3"/>
  <c r="D787" i="3"/>
  <c r="H787" i="3"/>
  <c r="I787" i="3"/>
  <c r="S717" i="3"/>
  <c r="P717" i="3"/>
  <c r="O717" i="3"/>
  <c r="N717" i="3"/>
  <c r="M717" i="3"/>
  <c r="L717" i="3"/>
  <c r="K717" i="3"/>
  <c r="J717" i="3"/>
  <c r="E717" i="3"/>
  <c r="D717" i="3"/>
  <c r="H717" i="3"/>
  <c r="I717" i="3"/>
  <c r="S621" i="3"/>
  <c r="P621" i="3"/>
  <c r="O621" i="3"/>
  <c r="N621" i="3"/>
  <c r="L621" i="3"/>
  <c r="M621" i="3"/>
  <c r="K621" i="3"/>
  <c r="J621" i="3"/>
  <c r="E621" i="3"/>
  <c r="D621" i="3"/>
  <c r="H621" i="3"/>
  <c r="I621" i="3"/>
  <c r="S681" i="3"/>
  <c r="P681" i="3"/>
  <c r="O681" i="3"/>
  <c r="N681" i="3"/>
  <c r="M681" i="3"/>
  <c r="L681" i="3"/>
  <c r="K681" i="3"/>
  <c r="J681" i="3"/>
  <c r="E681" i="3"/>
  <c r="I681" i="3"/>
  <c r="D681" i="3"/>
  <c r="H681" i="3"/>
  <c r="S512" i="3"/>
  <c r="P512" i="3"/>
  <c r="O512" i="3"/>
  <c r="N512" i="3"/>
  <c r="M512" i="3"/>
  <c r="L512" i="3"/>
  <c r="K512" i="3"/>
  <c r="J512" i="3"/>
  <c r="E512" i="3"/>
  <c r="D512" i="3"/>
  <c r="H512" i="3"/>
  <c r="I512" i="3"/>
  <c r="S571" i="3"/>
  <c r="P571" i="3"/>
  <c r="O571" i="3"/>
  <c r="N571" i="3"/>
  <c r="M571" i="3"/>
  <c r="L571" i="3"/>
  <c r="K571" i="3"/>
  <c r="J571" i="3"/>
  <c r="E571" i="3"/>
  <c r="D571" i="3"/>
  <c r="H571" i="3"/>
  <c r="I571" i="3"/>
  <c r="S641" i="3"/>
  <c r="P641" i="3"/>
  <c r="O641" i="3"/>
  <c r="N641" i="3"/>
  <c r="M641" i="3"/>
  <c r="L641" i="3"/>
  <c r="K641" i="3"/>
  <c r="J641" i="3"/>
  <c r="E641" i="3"/>
  <c r="D641" i="3"/>
  <c r="I641" i="3"/>
  <c r="H641" i="3"/>
  <c r="S592" i="3"/>
  <c r="P592" i="3"/>
  <c r="O592" i="3"/>
  <c r="M592" i="3"/>
  <c r="L592" i="3"/>
  <c r="N592" i="3"/>
  <c r="K592" i="3"/>
  <c r="J592" i="3"/>
  <c r="E592" i="3"/>
  <c r="D592" i="3"/>
  <c r="H592" i="3"/>
  <c r="I592" i="3"/>
  <c r="S622" i="3"/>
  <c r="P622" i="3"/>
  <c r="O622" i="3"/>
  <c r="N622" i="3"/>
  <c r="M622" i="3"/>
  <c r="L622" i="3"/>
  <c r="K622" i="3"/>
  <c r="J622" i="3"/>
  <c r="E622" i="3"/>
  <c r="D622" i="3"/>
  <c r="H622" i="3"/>
  <c r="I622" i="3"/>
  <c r="S613" i="3"/>
  <c r="P613" i="3"/>
  <c r="O613" i="3"/>
  <c r="N613" i="3"/>
  <c r="M613" i="3"/>
  <c r="L613" i="3"/>
  <c r="K613" i="3"/>
  <c r="J613" i="3"/>
  <c r="E613" i="3"/>
  <c r="D613" i="3"/>
  <c r="I613" i="3"/>
  <c r="H613" i="3"/>
  <c r="S638" i="3"/>
  <c r="P638" i="3"/>
  <c r="O638" i="3"/>
  <c r="N638" i="3"/>
  <c r="M638" i="3"/>
  <c r="L638" i="3"/>
  <c r="K638" i="3"/>
  <c r="E638" i="3"/>
  <c r="J638" i="3"/>
  <c r="D638" i="3"/>
  <c r="H638" i="3"/>
  <c r="I638" i="3"/>
  <c r="S589" i="3"/>
  <c r="P589" i="3"/>
  <c r="O589" i="3"/>
  <c r="N589" i="3"/>
  <c r="M589" i="3"/>
  <c r="L589" i="3"/>
  <c r="K589" i="3"/>
  <c r="J589" i="3"/>
  <c r="D589" i="3"/>
  <c r="E589" i="3"/>
  <c r="H589" i="3"/>
  <c r="I589" i="3"/>
  <c r="S432" i="3"/>
  <c r="P432" i="3"/>
  <c r="O432" i="3"/>
  <c r="N432" i="3"/>
  <c r="L432" i="3"/>
  <c r="K432" i="3"/>
  <c r="M432" i="3"/>
  <c r="J432" i="3"/>
  <c r="E432" i="3"/>
  <c r="D432" i="3"/>
  <c r="H432" i="3"/>
  <c r="I432" i="3"/>
  <c r="S562" i="3"/>
  <c r="P562" i="3"/>
  <c r="O562" i="3"/>
  <c r="N562" i="3"/>
  <c r="M562" i="3"/>
  <c r="L562" i="3"/>
  <c r="K562" i="3"/>
  <c r="J562" i="3"/>
  <c r="E562" i="3"/>
  <c r="D562" i="3"/>
  <c r="H562" i="3"/>
  <c r="I562" i="3"/>
  <c r="S509" i="3"/>
  <c r="P509" i="3"/>
  <c r="O509" i="3"/>
  <c r="N509" i="3"/>
  <c r="L509" i="3"/>
  <c r="K509" i="3"/>
  <c r="M509" i="3"/>
  <c r="J509" i="3"/>
  <c r="E509" i="3"/>
  <c r="D509" i="3"/>
  <c r="H509" i="3"/>
  <c r="I509" i="3"/>
  <c r="S496" i="3"/>
  <c r="P496" i="3"/>
  <c r="O496" i="3"/>
  <c r="N496" i="3"/>
  <c r="M496" i="3"/>
  <c r="L496" i="3"/>
  <c r="K496" i="3"/>
  <c r="J496" i="3"/>
  <c r="E496" i="3"/>
  <c r="D496" i="3"/>
  <c r="H496" i="3"/>
  <c r="I496" i="3"/>
  <c r="S423" i="3"/>
  <c r="P423" i="3"/>
  <c r="O423" i="3"/>
  <c r="N423" i="3"/>
  <c r="M423" i="3"/>
  <c r="L423" i="3"/>
  <c r="K423" i="3"/>
  <c r="J423" i="3"/>
  <c r="E423" i="3"/>
  <c r="D423" i="3"/>
  <c r="H423" i="3"/>
  <c r="I423" i="3"/>
  <c r="S477" i="3"/>
  <c r="P477" i="3"/>
  <c r="O477" i="3"/>
  <c r="N477" i="3"/>
  <c r="M477" i="3"/>
  <c r="L477" i="3"/>
  <c r="K477" i="3"/>
  <c r="J477" i="3"/>
  <c r="E477" i="3"/>
  <c r="D477" i="3"/>
  <c r="H477" i="3"/>
  <c r="I477" i="3"/>
  <c r="S493" i="3"/>
  <c r="P493" i="3"/>
  <c r="O493" i="3"/>
  <c r="N493" i="3"/>
  <c r="L493" i="3"/>
  <c r="M493" i="3"/>
  <c r="K493" i="3"/>
  <c r="J493" i="3"/>
  <c r="E493" i="3"/>
  <c r="D493" i="3"/>
  <c r="H493" i="3"/>
  <c r="I493" i="3"/>
  <c r="S484" i="3"/>
  <c r="P484" i="3"/>
  <c r="N484" i="3"/>
  <c r="O484" i="3"/>
  <c r="M484" i="3"/>
  <c r="L484" i="3"/>
  <c r="K484" i="3"/>
  <c r="E484" i="3"/>
  <c r="J484" i="3"/>
  <c r="D484" i="3"/>
  <c r="H484" i="3"/>
  <c r="I484" i="3"/>
  <c r="S437" i="3"/>
  <c r="P437" i="3"/>
  <c r="O437" i="3"/>
  <c r="N437" i="3"/>
  <c r="M437" i="3"/>
  <c r="L437" i="3"/>
  <c r="J437" i="3"/>
  <c r="K437" i="3"/>
  <c r="D437" i="3"/>
  <c r="E437" i="3"/>
  <c r="H437" i="3"/>
  <c r="I437" i="3"/>
  <c r="S399" i="3"/>
  <c r="P399" i="3"/>
  <c r="O399" i="3"/>
  <c r="N399" i="3"/>
  <c r="M399" i="3"/>
  <c r="L399" i="3"/>
  <c r="K399" i="3"/>
  <c r="J399" i="3"/>
  <c r="D399" i="3"/>
  <c r="E399" i="3"/>
  <c r="H399" i="3"/>
  <c r="I399" i="3"/>
  <c r="S427" i="3"/>
  <c r="P427" i="3"/>
  <c r="O427" i="3"/>
  <c r="N427" i="3"/>
  <c r="M427" i="3"/>
  <c r="K427" i="3"/>
  <c r="L427" i="3"/>
  <c r="J427" i="3"/>
  <c r="E427" i="3"/>
  <c r="D427" i="3"/>
  <c r="H427" i="3"/>
  <c r="I427" i="3"/>
  <c r="S415" i="3"/>
  <c r="P415" i="3"/>
  <c r="O415" i="3"/>
  <c r="N415" i="3"/>
  <c r="M415" i="3"/>
  <c r="L415" i="3"/>
  <c r="K415" i="3"/>
  <c r="J415" i="3"/>
  <c r="E415" i="3"/>
  <c r="D415" i="3"/>
  <c r="H415" i="3"/>
  <c r="I415" i="3"/>
  <c r="S414" i="3"/>
  <c r="P414" i="3"/>
  <c r="O414" i="3"/>
  <c r="N414" i="3"/>
  <c r="M414" i="3"/>
  <c r="K414" i="3"/>
  <c r="L414" i="3"/>
  <c r="J414" i="3"/>
  <c r="E414" i="3"/>
  <c r="D414" i="3"/>
  <c r="H414" i="3"/>
  <c r="I414" i="3"/>
  <c r="S383" i="3"/>
  <c r="P383" i="3"/>
  <c r="O383" i="3"/>
  <c r="N383" i="3"/>
  <c r="L383" i="3"/>
  <c r="M383" i="3"/>
  <c r="K383" i="3"/>
  <c r="J383" i="3"/>
  <c r="E383" i="3"/>
  <c r="D383" i="3"/>
  <c r="H383" i="3"/>
  <c r="I383" i="3"/>
  <c r="S358" i="3"/>
  <c r="P358" i="3"/>
  <c r="N358" i="3"/>
  <c r="O358" i="3"/>
  <c r="L358" i="3"/>
  <c r="M358" i="3"/>
  <c r="J358" i="3"/>
  <c r="K358" i="3"/>
  <c r="E358" i="3"/>
  <c r="D358" i="3"/>
  <c r="H358" i="3"/>
  <c r="I358" i="3"/>
  <c r="S330" i="3"/>
  <c r="P330" i="3"/>
  <c r="N330" i="3"/>
  <c r="O330" i="3"/>
  <c r="M330" i="3"/>
  <c r="L330" i="3"/>
  <c r="K330" i="3"/>
  <c r="J330" i="3"/>
  <c r="E330" i="3"/>
  <c r="D330" i="3"/>
  <c r="H330" i="3"/>
  <c r="I330" i="3"/>
  <c r="S269" i="3"/>
  <c r="P269" i="3"/>
  <c r="O269" i="3"/>
  <c r="N269" i="3"/>
  <c r="M269" i="3"/>
  <c r="L269" i="3"/>
  <c r="K269" i="3"/>
  <c r="J269" i="3"/>
  <c r="D269" i="3"/>
  <c r="E269" i="3"/>
  <c r="H269" i="3"/>
  <c r="I269" i="3"/>
  <c r="S305" i="3"/>
  <c r="P305" i="3"/>
  <c r="O305" i="3"/>
  <c r="N305" i="3"/>
  <c r="M305" i="3"/>
  <c r="L305" i="3"/>
  <c r="J305" i="3"/>
  <c r="K305" i="3"/>
  <c r="D305" i="3"/>
  <c r="E305" i="3"/>
  <c r="H305" i="3"/>
  <c r="I305" i="3"/>
  <c r="S287" i="3"/>
  <c r="P287" i="3"/>
  <c r="O287" i="3"/>
  <c r="N287" i="3"/>
  <c r="L287" i="3"/>
  <c r="M287" i="3"/>
  <c r="K287" i="3"/>
  <c r="J287" i="3"/>
  <c r="D287" i="3"/>
  <c r="E287" i="3"/>
  <c r="H287" i="3"/>
  <c r="I287" i="3"/>
  <c r="S258" i="3"/>
  <c r="P258" i="3"/>
  <c r="O258" i="3"/>
  <c r="N258" i="3"/>
  <c r="M258" i="3"/>
  <c r="L258" i="3"/>
  <c r="K258" i="3"/>
  <c r="J258" i="3"/>
  <c r="E258" i="3"/>
  <c r="D258" i="3"/>
  <c r="H258" i="3"/>
  <c r="I258" i="3"/>
  <c r="S224" i="3"/>
  <c r="P224" i="3"/>
  <c r="O224" i="3"/>
  <c r="N224" i="3"/>
  <c r="M224" i="3"/>
  <c r="L224" i="3"/>
  <c r="K224" i="3"/>
  <c r="J224" i="3"/>
  <c r="D224" i="3"/>
  <c r="E224" i="3"/>
  <c r="H224" i="3"/>
  <c r="I224" i="3"/>
  <c r="S198" i="3"/>
  <c r="P198" i="3"/>
  <c r="O198" i="3"/>
  <c r="N198" i="3"/>
  <c r="M198" i="3"/>
  <c r="K198" i="3"/>
  <c r="L198" i="3"/>
  <c r="J198" i="3"/>
  <c r="E198" i="3"/>
  <c r="D198" i="3"/>
  <c r="H198" i="3"/>
  <c r="I198" i="3"/>
  <c r="S184" i="3"/>
  <c r="P184" i="3"/>
  <c r="O184" i="3"/>
  <c r="N184" i="3"/>
  <c r="M184" i="3"/>
  <c r="K184" i="3"/>
  <c r="J184" i="3"/>
  <c r="L184" i="3"/>
  <c r="D184" i="3"/>
  <c r="E184" i="3"/>
  <c r="H184" i="3"/>
  <c r="I184" i="3"/>
  <c r="S140" i="3"/>
  <c r="P140" i="3"/>
  <c r="O140" i="3"/>
  <c r="N140" i="3"/>
  <c r="M140" i="3"/>
  <c r="L140" i="3"/>
  <c r="K140" i="3"/>
  <c r="J140" i="3"/>
  <c r="D140" i="3"/>
  <c r="E140" i="3"/>
  <c r="H140" i="3"/>
  <c r="I140" i="3"/>
  <c r="S309" i="3"/>
  <c r="P309" i="3"/>
  <c r="N309" i="3"/>
  <c r="O309" i="3"/>
  <c r="M309" i="3"/>
  <c r="L309" i="3"/>
  <c r="K309" i="3"/>
  <c r="J309" i="3"/>
  <c r="E309" i="3"/>
  <c r="D309" i="3"/>
  <c r="H309" i="3"/>
  <c r="I309" i="3"/>
  <c r="S234" i="3"/>
  <c r="P234" i="3"/>
  <c r="O234" i="3"/>
  <c r="N234" i="3"/>
  <c r="M234" i="3"/>
  <c r="L234" i="3"/>
  <c r="K234" i="3"/>
  <c r="J234" i="3"/>
  <c r="E234" i="3"/>
  <c r="D234" i="3"/>
  <c r="H234" i="3"/>
  <c r="I234" i="3"/>
  <c r="S846" i="3"/>
  <c r="P846" i="3"/>
  <c r="O846" i="3"/>
  <c r="N846" i="3"/>
  <c r="M846" i="3"/>
  <c r="L846" i="3"/>
  <c r="K846" i="3"/>
  <c r="E846" i="3"/>
  <c r="J846" i="3"/>
  <c r="D846" i="3"/>
  <c r="H846" i="3"/>
  <c r="I846" i="3"/>
  <c r="S1194" i="3"/>
  <c r="P1194" i="3"/>
  <c r="N1194" i="3"/>
  <c r="O1194" i="3"/>
  <c r="M1194" i="3"/>
  <c r="L1194" i="3"/>
  <c r="J1194" i="3"/>
  <c r="K1194" i="3"/>
  <c r="E1194" i="3"/>
  <c r="D1194" i="3"/>
  <c r="H1194" i="3"/>
  <c r="I1194" i="3"/>
  <c r="S544" i="3"/>
  <c r="P544" i="3"/>
  <c r="O544" i="3"/>
  <c r="N544" i="3"/>
  <c r="M544" i="3"/>
  <c r="L544" i="3"/>
  <c r="K544" i="3"/>
  <c r="J544" i="3"/>
  <c r="E544" i="3"/>
  <c r="D544" i="3"/>
  <c r="H544" i="3"/>
  <c r="I544" i="3"/>
  <c r="S239" i="3"/>
  <c r="P239" i="3"/>
  <c r="O239" i="3"/>
  <c r="N239" i="3"/>
  <c r="M239" i="3"/>
  <c r="L239" i="3"/>
  <c r="J239" i="3"/>
  <c r="D239" i="3"/>
  <c r="K239" i="3"/>
  <c r="E239" i="3"/>
  <c r="H239" i="3"/>
  <c r="I239" i="3"/>
  <c r="S97" i="3"/>
  <c r="P97" i="3"/>
  <c r="O97" i="3"/>
  <c r="N97" i="3"/>
  <c r="M97" i="3"/>
  <c r="L97" i="3"/>
  <c r="K97" i="3"/>
  <c r="J97" i="3"/>
  <c r="E97" i="3"/>
  <c r="D97" i="3"/>
  <c r="H97" i="3"/>
  <c r="I97" i="3"/>
  <c r="S1227" i="3"/>
  <c r="P1227" i="3"/>
  <c r="O1227" i="3"/>
  <c r="N1227" i="3"/>
  <c r="L1227" i="3"/>
  <c r="M1227" i="3"/>
  <c r="K1227" i="3"/>
  <c r="J1227" i="3"/>
  <c r="E1227" i="3"/>
  <c r="D1227" i="3"/>
  <c r="H1227" i="3"/>
  <c r="I1227" i="3"/>
  <c r="S848" i="3"/>
  <c r="P848" i="3"/>
  <c r="O848" i="3"/>
  <c r="N848" i="3"/>
  <c r="M848" i="3"/>
  <c r="L848" i="3"/>
  <c r="K848" i="3"/>
  <c r="J848" i="3"/>
  <c r="E848" i="3"/>
  <c r="D848" i="3"/>
  <c r="H848" i="3"/>
  <c r="I848" i="3"/>
  <c r="S1162" i="3"/>
  <c r="P1162" i="3"/>
  <c r="O1162" i="3"/>
  <c r="N1162" i="3"/>
  <c r="M1162" i="3"/>
  <c r="L1162" i="3"/>
  <c r="K1162" i="3"/>
  <c r="E1162" i="3"/>
  <c r="J1162" i="3"/>
  <c r="D1162" i="3"/>
  <c r="H1162" i="3"/>
  <c r="I1162" i="3"/>
  <c r="S994" i="3"/>
  <c r="P994" i="3"/>
  <c r="O994" i="3"/>
  <c r="N994" i="3"/>
  <c r="M994" i="3"/>
  <c r="L994" i="3"/>
  <c r="K994" i="3"/>
  <c r="J994" i="3"/>
  <c r="E994" i="3"/>
  <c r="D994" i="3"/>
  <c r="H994" i="3"/>
  <c r="I994" i="3"/>
  <c r="S925" i="3"/>
  <c r="P925" i="3"/>
  <c r="O925" i="3"/>
  <c r="M925" i="3"/>
  <c r="N925" i="3"/>
  <c r="L925" i="3"/>
  <c r="J925" i="3"/>
  <c r="K925" i="3"/>
  <c r="E925" i="3"/>
  <c r="D925" i="3"/>
  <c r="H925" i="3"/>
  <c r="I925" i="3"/>
  <c r="S288" i="3"/>
  <c r="P288" i="3"/>
  <c r="O288" i="3"/>
  <c r="N288" i="3"/>
  <c r="M288" i="3"/>
  <c r="L288" i="3"/>
  <c r="K288" i="3"/>
  <c r="J288" i="3"/>
  <c r="E288" i="3"/>
  <c r="D288" i="3"/>
  <c r="H288" i="3"/>
  <c r="I288" i="3"/>
  <c r="S450" i="3"/>
  <c r="P450" i="3"/>
  <c r="O450" i="3"/>
  <c r="N450" i="3"/>
  <c r="M450" i="3"/>
  <c r="L450" i="3"/>
  <c r="K450" i="3"/>
  <c r="J450" i="3"/>
  <c r="E450" i="3"/>
  <c r="D450" i="3"/>
  <c r="H450" i="3"/>
  <c r="I450" i="3"/>
  <c r="S939" i="3"/>
  <c r="P939" i="3"/>
  <c r="O939" i="3"/>
  <c r="N939" i="3"/>
  <c r="M939" i="3"/>
  <c r="L939" i="3"/>
  <c r="K939" i="3"/>
  <c r="J939" i="3"/>
  <c r="E939" i="3"/>
  <c r="D939" i="3"/>
  <c r="H939" i="3"/>
  <c r="I939" i="3"/>
  <c r="S778" i="3"/>
  <c r="P778" i="3"/>
  <c r="O778" i="3"/>
  <c r="N778" i="3"/>
  <c r="M778" i="3"/>
  <c r="L778" i="3"/>
  <c r="K778" i="3"/>
  <c r="J778" i="3"/>
  <c r="E778" i="3"/>
  <c r="D778" i="3"/>
  <c r="H778" i="3"/>
  <c r="I778" i="3"/>
  <c r="S728" i="3"/>
  <c r="P728" i="3"/>
  <c r="O728" i="3"/>
  <c r="N728" i="3"/>
  <c r="M728" i="3"/>
  <c r="L728" i="3"/>
  <c r="K728" i="3"/>
  <c r="J728" i="3"/>
  <c r="E728" i="3"/>
  <c r="D728" i="3"/>
  <c r="I728" i="3"/>
  <c r="H728" i="3"/>
  <c r="S210" i="3"/>
  <c r="P210" i="3"/>
  <c r="O210" i="3"/>
  <c r="N210" i="3"/>
  <c r="M210" i="3"/>
  <c r="L210" i="3"/>
  <c r="J210" i="3"/>
  <c r="K210" i="3"/>
  <c r="D210" i="3"/>
  <c r="E210" i="3"/>
  <c r="H210" i="3"/>
  <c r="I210" i="3"/>
  <c r="S710" i="3"/>
  <c r="P710" i="3"/>
  <c r="O710" i="3"/>
  <c r="N710" i="3"/>
  <c r="M710" i="3"/>
  <c r="L710" i="3"/>
  <c r="J710" i="3"/>
  <c r="K710" i="3"/>
  <c r="D710" i="3"/>
  <c r="E710" i="3"/>
  <c r="H710" i="3"/>
  <c r="I710" i="3"/>
  <c r="S368" i="3"/>
  <c r="P368" i="3"/>
  <c r="O368" i="3"/>
  <c r="N368" i="3"/>
  <c r="M368" i="3"/>
  <c r="K368" i="3"/>
  <c r="L368" i="3"/>
  <c r="J368" i="3"/>
  <c r="E368" i="3"/>
  <c r="D368" i="3"/>
  <c r="H368" i="3"/>
  <c r="I368" i="3"/>
  <c r="S235" i="3"/>
  <c r="P235" i="3"/>
  <c r="O235" i="3"/>
  <c r="N235" i="3"/>
  <c r="M235" i="3"/>
  <c r="K235" i="3"/>
  <c r="L235" i="3"/>
  <c r="J235" i="3"/>
  <c r="E235" i="3"/>
  <c r="H235" i="3"/>
  <c r="D235" i="3"/>
  <c r="I235" i="3"/>
  <c r="S603" i="3"/>
  <c r="P603" i="3"/>
  <c r="N603" i="3"/>
  <c r="O603" i="3"/>
  <c r="M603" i="3"/>
  <c r="L603" i="3"/>
  <c r="J603" i="3"/>
  <c r="K603" i="3"/>
  <c r="E603" i="3"/>
  <c r="D603" i="3"/>
  <c r="H603" i="3"/>
  <c r="I603" i="3"/>
  <c r="S89" i="3"/>
  <c r="P89" i="3"/>
  <c r="O89" i="3"/>
  <c r="N89" i="3"/>
  <c r="M89" i="3"/>
  <c r="L89" i="3"/>
  <c r="K89" i="3"/>
  <c r="J89" i="3"/>
  <c r="E89" i="3"/>
  <c r="D89" i="3"/>
  <c r="H89" i="3"/>
  <c r="I89" i="3"/>
  <c r="S195" i="3"/>
  <c r="P195" i="3"/>
  <c r="O195" i="3"/>
  <c r="N195" i="3"/>
  <c r="M195" i="3"/>
  <c r="L195" i="3"/>
  <c r="K195" i="3"/>
  <c r="J195" i="3"/>
  <c r="E195" i="3"/>
  <c r="D195" i="3"/>
  <c r="H195" i="3"/>
  <c r="I195" i="3"/>
  <c r="S250" i="3"/>
  <c r="P250" i="3"/>
  <c r="O250" i="3"/>
  <c r="N250" i="3"/>
  <c r="M250" i="3"/>
  <c r="L250" i="3"/>
  <c r="K250" i="3"/>
  <c r="J250" i="3"/>
  <c r="E250" i="3"/>
  <c r="D250" i="3"/>
  <c r="H250" i="3"/>
  <c r="I250" i="3"/>
  <c r="S1142" i="3"/>
  <c r="P1142" i="3"/>
  <c r="O1142" i="3"/>
  <c r="M1142" i="3"/>
  <c r="N1142" i="3"/>
  <c r="L1142" i="3"/>
  <c r="J1142" i="3"/>
  <c r="K1142" i="3"/>
  <c r="E1142" i="3"/>
  <c r="D1142" i="3"/>
  <c r="H1142" i="3"/>
  <c r="I1142" i="3"/>
  <c r="S953" i="3"/>
  <c r="P953" i="3"/>
  <c r="O953" i="3"/>
  <c r="M953" i="3"/>
  <c r="N953" i="3"/>
  <c r="L953" i="3"/>
  <c r="J953" i="3"/>
  <c r="K953" i="3"/>
  <c r="D953" i="3"/>
  <c r="E953" i="3"/>
  <c r="H953" i="3"/>
  <c r="I953" i="3"/>
  <c r="S978" i="3"/>
  <c r="P978" i="3"/>
  <c r="O978" i="3"/>
  <c r="M978" i="3"/>
  <c r="N978" i="3"/>
  <c r="L978" i="3"/>
  <c r="J978" i="3"/>
  <c r="K978" i="3"/>
  <c r="E978" i="3"/>
  <c r="D978" i="3"/>
  <c r="H978" i="3"/>
  <c r="I978" i="3"/>
  <c r="S676" i="3"/>
  <c r="P676" i="3"/>
  <c r="O676" i="3"/>
  <c r="N676" i="3"/>
  <c r="M676" i="3"/>
  <c r="L676" i="3"/>
  <c r="K676" i="3"/>
  <c r="J676" i="3"/>
  <c r="E676" i="3"/>
  <c r="D676" i="3"/>
  <c r="H676" i="3"/>
  <c r="I676" i="3"/>
  <c r="S289" i="3"/>
  <c r="P289" i="3"/>
  <c r="O289" i="3"/>
  <c r="N289" i="3"/>
  <c r="M289" i="3"/>
  <c r="L289" i="3"/>
  <c r="K289" i="3"/>
  <c r="J289" i="3"/>
  <c r="E289" i="3"/>
  <c r="D289" i="3"/>
  <c r="H289" i="3"/>
  <c r="I289" i="3"/>
  <c r="S1123" i="3"/>
  <c r="P1123" i="3"/>
  <c r="O1123" i="3"/>
  <c r="N1123" i="3"/>
  <c r="M1123" i="3"/>
  <c r="L1123" i="3"/>
  <c r="K1123" i="3"/>
  <c r="E1123" i="3"/>
  <c r="J1123" i="3"/>
  <c r="D1123" i="3"/>
  <c r="H1123" i="3"/>
  <c r="I1123" i="3"/>
  <c r="S800" i="3"/>
  <c r="P800" i="3"/>
  <c r="O800" i="3"/>
  <c r="N800" i="3"/>
  <c r="M800" i="3"/>
  <c r="L800" i="3"/>
  <c r="K800" i="3"/>
  <c r="J800" i="3"/>
  <c r="E800" i="3"/>
  <c r="D800" i="3"/>
  <c r="H800" i="3"/>
  <c r="I800" i="3"/>
  <c r="S363" i="3"/>
  <c r="P363" i="3"/>
  <c r="O363" i="3"/>
  <c r="N363" i="3"/>
  <c r="M363" i="3"/>
  <c r="K363" i="3"/>
  <c r="L363" i="3"/>
  <c r="J363" i="3"/>
  <c r="E363" i="3"/>
  <c r="D363" i="3"/>
  <c r="H363" i="3"/>
  <c r="I363" i="3"/>
  <c r="S1230" i="3"/>
  <c r="P1230" i="3"/>
  <c r="O1230" i="3"/>
  <c r="N1230" i="3"/>
  <c r="M1230" i="3"/>
  <c r="L1230" i="3"/>
  <c r="K1230" i="3"/>
  <c r="J1230" i="3"/>
  <c r="E1230" i="3"/>
  <c r="D1230" i="3"/>
  <c r="H1230" i="3"/>
  <c r="I1230" i="3"/>
  <c r="S216" i="3"/>
  <c r="P216" i="3"/>
  <c r="N216" i="3"/>
  <c r="O216" i="3"/>
  <c r="M216" i="3"/>
  <c r="L216" i="3"/>
  <c r="K216" i="3"/>
  <c r="J216" i="3"/>
  <c r="D216" i="3"/>
  <c r="E216" i="3"/>
  <c r="H216" i="3"/>
  <c r="I216" i="3"/>
  <c r="S194" i="3"/>
  <c r="P194" i="3"/>
  <c r="O194" i="3"/>
  <c r="N194" i="3"/>
  <c r="M194" i="3"/>
  <c r="L194" i="3"/>
  <c r="K194" i="3"/>
  <c r="J194" i="3"/>
  <c r="D194" i="3"/>
  <c r="E194" i="3"/>
  <c r="H194" i="3"/>
  <c r="I194" i="3"/>
  <c r="S84" i="3"/>
  <c r="P84" i="3"/>
  <c r="O84" i="3"/>
  <c r="N84" i="3"/>
  <c r="M84" i="3"/>
  <c r="L84" i="3"/>
  <c r="K84" i="3"/>
  <c r="J84" i="3"/>
  <c r="D84" i="3"/>
  <c r="E84" i="3"/>
  <c r="I84" i="3"/>
  <c r="H84" i="3"/>
  <c r="S476" i="3"/>
  <c r="P476" i="3"/>
  <c r="O476" i="3"/>
  <c r="N476" i="3"/>
  <c r="M476" i="3"/>
  <c r="L476" i="3"/>
  <c r="K476" i="3"/>
  <c r="J476" i="3"/>
  <c r="E476" i="3"/>
  <c r="I476" i="3"/>
  <c r="H476" i="3"/>
  <c r="D476" i="3"/>
  <c r="S273" i="3"/>
  <c r="P273" i="3"/>
  <c r="O273" i="3"/>
  <c r="N273" i="3"/>
  <c r="M273" i="3"/>
  <c r="L273" i="3"/>
  <c r="K273" i="3"/>
  <c r="J273" i="3"/>
  <c r="E273" i="3"/>
  <c r="H273" i="3"/>
  <c r="D273" i="3"/>
  <c r="I273" i="3"/>
  <c r="S739" i="3"/>
  <c r="P739" i="3"/>
  <c r="O739" i="3"/>
  <c r="N739" i="3"/>
  <c r="M739" i="3"/>
  <c r="L739" i="3"/>
  <c r="K739" i="3"/>
  <c r="J739" i="3"/>
  <c r="E739" i="3"/>
  <c r="D739" i="3"/>
  <c r="H739" i="3"/>
  <c r="I739" i="3"/>
  <c r="S956" i="3"/>
  <c r="P956" i="3"/>
  <c r="O956" i="3"/>
  <c r="M956" i="3"/>
  <c r="L956" i="3"/>
  <c r="N956" i="3"/>
  <c r="K956" i="3"/>
  <c r="J956" i="3"/>
  <c r="E956" i="3"/>
  <c r="D956" i="3"/>
  <c r="H956" i="3"/>
  <c r="I956" i="3"/>
  <c r="S644" i="3"/>
  <c r="P644" i="3"/>
  <c r="O644" i="3"/>
  <c r="N644" i="3"/>
  <c r="M644" i="3"/>
  <c r="L644" i="3"/>
  <c r="K644" i="3"/>
  <c r="E644" i="3"/>
  <c r="J644" i="3"/>
  <c r="D644" i="3"/>
  <c r="H644" i="3"/>
  <c r="I644" i="3"/>
  <c r="S141" i="3"/>
  <c r="P141" i="3"/>
  <c r="N141" i="3"/>
  <c r="O141" i="3"/>
  <c r="M141" i="3"/>
  <c r="L141" i="3"/>
  <c r="K141" i="3"/>
  <c r="J141" i="3"/>
  <c r="D141" i="3"/>
  <c r="E141" i="3"/>
  <c r="I141" i="3"/>
  <c r="H141" i="3"/>
  <c r="S331" i="3"/>
  <c r="P331" i="3"/>
  <c r="O331" i="3"/>
  <c r="N331" i="3"/>
  <c r="M331" i="3"/>
  <c r="L331" i="3"/>
  <c r="K331" i="3"/>
  <c r="J331" i="3"/>
  <c r="E331" i="3"/>
  <c r="D331" i="3"/>
  <c r="H331" i="3"/>
  <c r="I331" i="3"/>
  <c r="S39" i="3"/>
  <c r="P39" i="3"/>
  <c r="O39" i="3"/>
  <c r="N39" i="3"/>
  <c r="M39" i="3"/>
  <c r="L39" i="3"/>
  <c r="K39" i="3"/>
  <c r="J39" i="3"/>
  <c r="D39" i="3"/>
  <c r="E39" i="3"/>
  <c r="I39" i="3"/>
  <c r="H39" i="3"/>
  <c r="S760" i="3"/>
  <c r="P760" i="3"/>
  <c r="O760" i="3"/>
  <c r="N760" i="3"/>
  <c r="M760" i="3"/>
  <c r="L760" i="3"/>
  <c r="K760" i="3"/>
  <c r="J760" i="3"/>
  <c r="E760" i="3"/>
  <c r="D760" i="3"/>
  <c r="H760" i="3"/>
  <c r="I760" i="3"/>
  <c r="S310" i="3"/>
  <c r="P310" i="3"/>
  <c r="O310" i="3"/>
  <c r="N310" i="3"/>
  <c r="M310" i="3"/>
  <c r="L310" i="3"/>
  <c r="K310" i="3"/>
  <c r="J310" i="3"/>
  <c r="D310" i="3"/>
  <c r="H310" i="3"/>
  <c r="E310" i="3"/>
  <c r="I310" i="3"/>
  <c r="S340" i="3"/>
  <c r="P340" i="3"/>
  <c r="O340" i="3"/>
  <c r="N340" i="3"/>
  <c r="L340" i="3"/>
  <c r="K340" i="3"/>
  <c r="M340" i="3"/>
  <c r="J340" i="3"/>
  <c r="D340" i="3"/>
  <c r="E340" i="3"/>
  <c r="H340" i="3"/>
  <c r="I340" i="3"/>
  <c r="S364" i="3"/>
  <c r="P364" i="3"/>
  <c r="O364" i="3"/>
  <c r="N364" i="3"/>
  <c r="M364" i="3"/>
  <c r="K364" i="3"/>
  <c r="L364" i="3"/>
  <c r="J364" i="3"/>
  <c r="E364" i="3"/>
  <c r="D364" i="3"/>
  <c r="H364" i="3"/>
  <c r="I364" i="3"/>
  <c r="S1006" i="3"/>
  <c r="P1006" i="3"/>
  <c r="N1006" i="3"/>
  <c r="M1006" i="3"/>
  <c r="O1006" i="3"/>
  <c r="L1006" i="3"/>
  <c r="J1006" i="3"/>
  <c r="K1006" i="3"/>
  <c r="D1006" i="3"/>
  <c r="E1006" i="3"/>
  <c r="H1006" i="3"/>
  <c r="I1006" i="3"/>
  <c r="S938" i="3"/>
  <c r="P938" i="3"/>
  <c r="O938" i="3"/>
  <c r="N938" i="3"/>
  <c r="M938" i="3"/>
  <c r="K938" i="3"/>
  <c r="J938" i="3"/>
  <c r="L938" i="3"/>
  <c r="E938" i="3"/>
  <c r="D938" i="3"/>
  <c r="H938" i="3"/>
  <c r="I938" i="3"/>
  <c r="S977" i="3"/>
  <c r="P977" i="3"/>
  <c r="O977" i="3"/>
  <c r="N977" i="3"/>
  <c r="M977" i="3"/>
  <c r="L977" i="3"/>
  <c r="K977" i="3"/>
  <c r="J977" i="3"/>
  <c r="E977" i="3"/>
  <c r="D977" i="3"/>
  <c r="H977" i="3"/>
  <c r="I977" i="3"/>
  <c r="S471" i="3"/>
  <c r="P471" i="3"/>
  <c r="O471" i="3"/>
  <c r="N471" i="3"/>
  <c r="M471" i="3"/>
  <c r="L471" i="3"/>
  <c r="K471" i="3"/>
  <c r="J471" i="3"/>
  <c r="E471" i="3"/>
  <c r="D471" i="3"/>
  <c r="H471" i="3"/>
  <c r="I471" i="3"/>
  <c r="S1154" i="3"/>
  <c r="P1154" i="3"/>
  <c r="O1154" i="3"/>
  <c r="N1154" i="3"/>
  <c r="M1154" i="3"/>
  <c r="L1154" i="3"/>
  <c r="K1154" i="3"/>
  <c r="J1154" i="3"/>
  <c r="E1154" i="3"/>
  <c r="D1154" i="3"/>
  <c r="H1154" i="3"/>
  <c r="I1154" i="3"/>
  <c r="S839" i="3"/>
  <c r="P839" i="3"/>
  <c r="O839" i="3"/>
  <c r="N839" i="3"/>
  <c r="M839" i="3"/>
  <c r="L839" i="3"/>
  <c r="K839" i="3"/>
  <c r="E839" i="3"/>
  <c r="J839" i="3"/>
  <c r="D839" i="3"/>
  <c r="H839" i="3"/>
  <c r="I839" i="3"/>
  <c r="S408" i="3"/>
  <c r="P408" i="3"/>
  <c r="O408" i="3"/>
  <c r="N408" i="3"/>
  <c r="L408" i="3"/>
  <c r="M408" i="3"/>
  <c r="K408" i="3"/>
  <c r="E408" i="3"/>
  <c r="D408" i="3"/>
  <c r="J408" i="3"/>
  <c r="H408" i="3"/>
  <c r="I408" i="3"/>
  <c r="S1197" i="3"/>
  <c r="O1197" i="3"/>
  <c r="P1197" i="3"/>
  <c r="N1197" i="3"/>
  <c r="M1197" i="3"/>
  <c r="L1197" i="3"/>
  <c r="K1197" i="3"/>
  <c r="E1197" i="3"/>
  <c r="J1197" i="3"/>
  <c r="D1197" i="3"/>
  <c r="H1197" i="3"/>
  <c r="I1197" i="3"/>
  <c r="S684" i="3"/>
  <c r="P684" i="3"/>
  <c r="O684" i="3"/>
  <c r="N684" i="3"/>
  <c r="M684" i="3"/>
  <c r="L684" i="3"/>
  <c r="K684" i="3"/>
  <c r="J684" i="3"/>
  <c r="E684" i="3"/>
  <c r="D684" i="3"/>
  <c r="H684" i="3"/>
  <c r="I684" i="3"/>
  <c r="S1188" i="3"/>
  <c r="P1188" i="3"/>
  <c r="O1188" i="3"/>
  <c r="N1188" i="3"/>
  <c r="M1188" i="3"/>
  <c r="L1188" i="3"/>
  <c r="K1188" i="3"/>
  <c r="J1188" i="3"/>
  <c r="E1188" i="3"/>
  <c r="D1188" i="3"/>
  <c r="H1188" i="3"/>
  <c r="I1188" i="3"/>
  <c r="S983" i="3"/>
  <c r="P983" i="3"/>
  <c r="O983" i="3"/>
  <c r="N983" i="3"/>
  <c r="M983" i="3"/>
  <c r="L983" i="3"/>
  <c r="J983" i="3"/>
  <c r="K983" i="3"/>
  <c r="D983" i="3"/>
  <c r="E983" i="3"/>
  <c r="H983" i="3"/>
  <c r="I983" i="3"/>
  <c r="S409" i="3"/>
  <c r="P409" i="3"/>
  <c r="O409" i="3"/>
  <c r="N409" i="3"/>
  <c r="M409" i="3"/>
  <c r="L409" i="3"/>
  <c r="K409" i="3"/>
  <c r="J409" i="3"/>
  <c r="E409" i="3"/>
  <c r="D409" i="3"/>
  <c r="I409" i="3"/>
  <c r="H409" i="3"/>
  <c r="S1172" i="3"/>
  <c r="P1172" i="3"/>
  <c r="O1172" i="3"/>
  <c r="N1172" i="3"/>
  <c r="M1172" i="3"/>
  <c r="L1172" i="3"/>
  <c r="K1172" i="3"/>
  <c r="J1172" i="3"/>
  <c r="E1172" i="3"/>
  <c r="D1172" i="3"/>
  <c r="H1172" i="3"/>
  <c r="I1172" i="3"/>
  <c r="S374" i="3"/>
  <c r="P374" i="3"/>
  <c r="O374" i="3"/>
  <c r="N374" i="3"/>
  <c r="M374" i="3"/>
  <c r="L374" i="3"/>
  <c r="K374" i="3"/>
  <c r="J374" i="3"/>
  <c r="E374" i="3"/>
  <c r="D374" i="3"/>
  <c r="H374" i="3"/>
  <c r="I374" i="3"/>
  <c r="S869" i="3"/>
  <c r="P869" i="3"/>
  <c r="O869" i="3"/>
  <c r="M869" i="3"/>
  <c r="N869" i="3"/>
  <c r="L869" i="3"/>
  <c r="J869" i="3"/>
  <c r="K869" i="3"/>
  <c r="E869" i="3"/>
  <c r="D869" i="3"/>
  <c r="H869" i="3"/>
  <c r="I869" i="3"/>
  <c r="S852" i="3"/>
  <c r="P852" i="3"/>
  <c r="M852" i="3"/>
  <c r="O852" i="3"/>
  <c r="L852" i="3"/>
  <c r="N852" i="3"/>
  <c r="K852" i="3"/>
  <c r="J852" i="3"/>
  <c r="E852" i="3"/>
  <c r="D852" i="3"/>
  <c r="H852" i="3"/>
  <c r="I852" i="3"/>
  <c r="S1208" i="3"/>
  <c r="P1208" i="3"/>
  <c r="O1208" i="3"/>
  <c r="N1208" i="3"/>
  <c r="M1208" i="3"/>
  <c r="L1208" i="3"/>
  <c r="K1208" i="3"/>
  <c r="J1208" i="3"/>
  <c r="E1208" i="3"/>
  <c r="D1208" i="3"/>
  <c r="H1208" i="3"/>
  <c r="I1208" i="3"/>
  <c r="S1163" i="3"/>
  <c r="P1163" i="3"/>
  <c r="O1163" i="3"/>
  <c r="N1163" i="3"/>
  <c r="M1163" i="3"/>
  <c r="L1163" i="3"/>
  <c r="J1163" i="3"/>
  <c r="K1163" i="3"/>
  <c r="E1163" i="3"/>
  <c r="D1163" i="3"/>
  <c r="I1163" i="3"/>
  <c r="H1163" i="3"/>
  <c r="S1125" i="3"/>
  <c r="P1125" i="3"/>
  <c r="O1125" i="3"/>
  <c r="M1125" i="3"/>
  <c r="N1125" i="3"/>
  <c r="L1125" i="3"/>
  <c r="J1125" i="3"/>
  <c r="K1125" i="3"/>
  <c r="D1125" i="3"/>
  <c r="E1125" i="3"/>
  <c r="H1125" i="3"/>
  <c r="I1125" i="3"/>
  <c r="S1082" i="3"/>
  <c r="P1082" i="3"/>
  <c r="O1082" i="3"/>
  <c r="N1082" i="3"/>
  <c r="M1082" i="3"/>
  <c r="L1082" i="3"/>
  <c r="J1082" i="3"/>
  <c r="E1082" i="3"/>
  <c r="K1082" i="3"/>
  <c r="D1082" i="3"/>
  <c r="I1082" i="3"/>
  <c r="H1082" i="3"/>
  <c r="S1168" i="3"/>
  <c r="P1168" i="3"/>
  <c r="O1168" i="3"/>
  <c r="N1168" i="3"/>
  <c r="M1168" i="3"/>
  <c r="L1168" i="3"/>
  <c r="K1168" i="3"/>
  <c r="E1168" i="3"/>
  <c r="J1168" i="3"/>
  <c r="D1168" i="3"/>
  <c r="H1168" i="3"/>
  <c r="I1168" i="3"/>
  <c r="S1111" i="3"/>
  <c r="P1111" i="3"/>
  <c r="O1111" i="3"/>
  <c r="N1111" i="3"/>
  <c r="M1111" i="3"/>
  <c r="L1111" i="3"/>
  <c r="K1111" i="3"/>
  <c r="J1111" i="3"/>
  <c r="E1111" i="3"/>
  <c r="D1111" i="3"/>
  <c r="H1111" i="3"/>
  <c r="I1111" i="3"/>
  <c r="S1049" i="3"/>
  <c r="P1049" i="3"/>
  <c r="O1049" i="3"/>
  <c r="N1049" i="3"/>
  <c r="M1049" i="3"/>
  <c r="L1049" i="3"/>
  <c r="K1049" i="3"/>
  <c r="J1049" i="3"/>
  <c r="E1049" i="3"/>
  <c r="D1049" i="3"/>
  <c r="H1049" i="3"/>
  <c r="I1049" i="3"/>
  <c r="S992" i="3"/>
  <c r="P992" i="3"/>
  <c r="O992" i="3"/>
  <c r="N992" i="3"/>
  <c r="M992" i="3"/>
  <c r="L992" i="3"/>
  <c r="J992" i="3"/>
  <c r="K992" i="3"/>
  <c r="E992" i="3"/>
  <c r="D992" i="3"/>
  <c r="I992" i="3"/>
  <c r="H992" i="3"/>
  <c r="S1099" i="3"/>
  <c r="P1099" i="3"/>
  <c r="O1099" i="3"/>
  <c r="N1099" i="3"/>
  <c r="M1099" i="3"/>
  <c r="L1099" i="3"/>
  <c r="K1099" i="3"/>
  <c r="J1099" i="3"/>
  <c r="E1099" i="3"/>
  <c r="D1099" i="3"/>
  <c r="H1099" i="3"/>
  <c r="I1099" i="3"/>
  <c r="S967" i="3"/>
  <c r="P967" i="3"/>
  <c r="O967" i="3"/>
  <c r="N967" i="3"/>
  <c r="L967" i="3"/>
  <c r="M967" i="3"/>
  <c r="K967" i="3"/>
  <c r="J967" i="3"/>
  <c r="E967" i="3"/>
  <c r="D967" i="3"/>
  <c r="H967" i="3"/>
  <c r="I967" i="3"/>
  <c r="S1056" i="3"/>
  <c r="P1056" i="3"/>
  <c r="O1056" i="3"/>
  <c r="N1056" i="3"/>
  <c r="M1056" i="3"/>
  <c r="L1056" i="3"/>
  <c r="K1056" i="3"/>
  <c r="J1056" i="3"/>
  <c r="E1056" i="3"/>
  <c r="D1056" i="3"/>
  <c r="H1056" i="3"/>
  <c r="I1056" i="3"/>
  <c r="S931" i="3"/>
  <c r="P931" i="3"/>
  <c r="O931" i="3"/>
  <c r="N931" i="3"/>
  <c r="M931" i="3"/>
  <c r="L931" i="3"/>
  <c r="K931" i="3"/>
  <c r="J931" i="3"/>
  <c r="E931" i="3"/>
  <c r="D931" i="3"/>
  <c r="H931" i="3"/>
  <c r="I931" i="3"/>
  <c r="S948" i="3"/>
  <c r="P948" i="3"/>
  <c r="O948" i="3"/>
  <c r="N948" i="3"/>
  <c r="M948" i="3"/>
  <c r="L948" i="3"/>
  <c r="K948" i="3"/>
  <c r="J948" i="3"/>
  <c r="E948" i="3"/>
  <c r="D948" i="3"/>
  <c r="H948" i="3"/>
  <c r="I948" i="3"/>
  <c r="S1098" i="3"/>
  <c r="P1098" i="3"/>
  <c r="O1098" i="3"/>
  <c r="M1098" i="3"/>
  <c r="N1098" i="3"/>
  <c r="L1098" i="3"/>
  <c r="J1098" i="3"/>
  <c r="K1098" i="3"/>
  <c r="E1098" i="3"/>
  <c r="D1098" i="3"/>
  <c r="H1098" i="3"/>
  <c r="I1098" i="3"/>
  <c r="S1022" i="3"/>
  <c r="P1022" i="3"/>
  <c r="O1022" i="3"/>
  <c r="M1022" i="3"/>
  <c r="N1022" i="3"/>
  <c r="L1022" i="3"/>
  <c r="K1022" i="3"/>
  <c r="J1022" i="3"/>
  <c r="E1022" i="3"/>
  <c r="D1022" i="3"/>
  <c r="H1022" i="3"/>
  <c r="I1022" i="3"/>
  <c r="S922" i="3"/>
  <c r="P922" i="3"/>
  <c r="O922" i="3"/>
  <c r="N922" i="3"/>
  <c r="M922" i="3"/>
  <c r="L922" i="3"/>
  <c r="K922" i="3"/>
  <c r="E922" i="3"/>
  <c r="J922" i="3"/>
  <c r="D922" i="3"/>
  <c r="H922" i="3"/>
  <c r="I922" i="3"/>
  <c r="P944" i="3"/>
  <c r="S944" i="3"/>
  <c r="O944" i="3"/>
  <c r="M944" i="3"/>
  <c r="N944" i="3"/>
  <c r="L944" i="3"/>
  <c r="J944" i="3"/>
  <c r="K944" i="3"/>
  <c r="E944" i="3"/>
  <c r="D944" i="3"/>
  <c r="H944" i="3"/>
  <c r="I944" i="3"/>
  <c r="S871" i="3"/>
  <c r="P871" i="3"/>
  <c r="O871" i="3"/>
  <c r="M871" i="3"/>
  <c r="N871" i="3"/>
  <c r="L871" i="3"/>
  <c r="K871" i="3"/>
  <c r="J871" i="3"/>
  <c r="E871" i="3"/>
  <c r="D871" i="3"/>
  <c r="H871" i="3"/>
  <c r="I871" i="3"/>
  <c r="S1005" i="3"/>
  <c r="P1005" i="3"/>
  <c r="O1005" i="3"/>
  <c r="N1005" i="3"/>
  <c r="M1005" i="3"/>
  <c r="L1005" i="3"/>
  <c r="J1005" i="3"/>
  <c r="K1005" i="3"/>
  <c r="E1005" i="3"/>
  <c r="D1005" i="3"/>
  <c r="I1005" i="3"/>
  <c r="H1005" i="3"/>
  <c r="S1038" i="3"/>
  <c r="P1038" i="3"/>
  <c r="O1038" i="3"/>
  <c r="N1038" i="3"/>
  <c r="M1038" i="3"/>
  <c r="L1038" i="3"/>
  <c r="K1038" i="3"/>
  <c r="J1038" i="3"/>
  <c r="E1038" i="3"/>
  <c r="D1038" i="3"/>
  <c r="H1038" i="3"/>
  <c r="I1038" i="3"/>
  <c r="S849" i="3"/>
  <c r="P849" i="3"/>
  <c r="O849" i="3"/>
  <c r="N849" i="3"/>
  <c r="M849" i="3"/>
  <c r="L849" i="3"/>
  <c r="K849" i="3"/>
  <c r="J849" i="3"/>
  <c r="E849" i="3"/>
  <c r="D849" i="3"/>
  <c r="H849" i="3"/>
  <c r="I849" i="3"/>
  <c r="S990" i="3"/>
  <c r="P990" i="3"/>
  <c r="O990" i="3"/>
  <c r="N990" i="3"/>
  <c r="M990" i="3"/>
  <c r="L990" i="3"/>
  <c r="K990" i="3"/>
  <c r="J990" i="3"/>
  <c r="E990" i="3"/>
  <c r="D990" i="3"/>
  <c r="H990" i="3"/>
  <c r="I990" i="3"/>
  <c r="S940" i="3"/>
  <c r="P940" i="3"/>
  <c r="O940" i="3"/>
  <c r="M940" i="3"/>
  <c r="N940" i="3"/>
  <c r="L940" i="3"/>
  <c r="J940" i="3"/>
  <c r="K940" i="3"/>
  <c r="E940" i="3"/>
  <c r="D940" i="3"/>
  <c r="H940" i="3"/>
  <c r="I940" i="3"/>
  <c r="S959" i="3"/>
  <c r="P959" i="3"/>
  <c r="O959" i="3"/>
  <c r="M959" i="3"/>
  <c r="N959" i="3"/>
  <c r="L959" i="3"/>
  <c r="J959" i="3"/>
  <c r="K959" i="3"/>
  <c r="E959" i="3"/>
  <c r="D959" i="3"/>
  <c r="H959" i="3"/>
  <c r="I959" i="3"/>
  <c r="S908" i="3"/>
  <c r="P908" i="3"/>
  <c r="O908" i="3"/>
  <c r="N908" i="3"/>
  <c r="M908" i="3"/>
  <c r="K908" i="3"/>
  <c r="L908" i="3"/>
  <c r="J908" i="3"/>
  <c r="E908" i="3"/>
  <c r="D908" i="3"/>
  <c r="H908" i="3"/>
  <c r="I908" i="3"/>
  <c r="S898" i="3"/>
  <c r="P898" i="3"/>
  <c r="O898" i="3"/>
  <c r="N898" i="3"/>
  <c r="M898" i="3"/>
  <c r="L898" i="3"/>
  <c r="K898" i="3"/>
  <c r="J898" i="3"/>
  <c r="E898" i="3"/>
  <c r="D898" i="3"/>
  <c r="H898" i="3"/>
  <c r="I898" i="3"/>
  <c r="S927" i="3"/>
  <c r="P927" i="3"/>
  <c r="O927" i="3"/>
  <c r="N927" i="3"/>
  <c r="L927" i="3"/>
  <c r="M927" i="3"/>
  <c r="K927" i="3"/>
  <c r="J927" i="3"/>
  <c r="E927" i="3"/>
  <c r="D927" i="3"/>
  <c r="H927" i="3"/>
  <c r="I927" i="3"/>
  <c r="S954" i="3"/>
  <c r="P954" i="3"/>
  <c r="O954" i="3"/>
  <c r="N954" i="3"/>
  <c r="M954" i="3"/>
  <c r="L954" i="3"/>
  <c r="K954" i="3"/>
  <c r="J954" i="3"/>
  <c r="E954" i="3"/>
  <c r="D954" i="3"/>
  <c r="H954" i="3"/>
  <c r="I954" i="3"/>
  <c r="S895" i="3"/>
  <c r="P895" i="3"/>
  <c r="O895" i="3"/>
  <c r="N895" i="3"/>
  <c r="M895" i="3"/>
  <c r="L895" i="3"/>
  <c r="K895" i="3"/>
  <c r="J895" i="3"/>
  <c r="E895" i="3"/>
  <c r="D895" i="3"/>
  <c r="H895" i="3"/>
  <c r="I895" i="3"/>
  <c r="S836" i="3"/>
  <c r="P836" i="3"/>
  <c r="O836" i="3"/>
  <c r="M836" i="3"/>
  <c r="N836" i="3"/>
  <c r="L836" i="3"/>
  <c r="J836" i="3"/>
  <c r="K836" i="3"/>
  <c r="D836" i="3"/>
  <c r="E836" i="3"/>
  <c r="H836" i="3"/>
  <c r="I836" i="3"/>
  <c r="S820" i="3"/>
  <c r="P820" i="3"/>
  <c r="O820" i="3"/>
  <c r="N820" i="3"/>
  <c r="M820" i="3"/>
  <c r="L820" i="3"/>
  <c r="K820" i="3"/>
  <c r="E820" i="3"/>
  <c r="J820" i="3"/>
  <c r="D820" i="3"/>
  <c r="H820" i="3"/>
  <c r="I820" i="3"/>
  <c r="S762" i="3"/>
  <c r="P762" i="3"/>
  <c r="O762" i="3"/>
  <c r="N762" i="3"/>
  <c r="M762" i="3"/>
  <c r="L762" i="3"/>
  <c r="K762" i="3"/>
  <c r="J762" i="3"/>
  <c r="E762" i="3"/>
  <c r="D762" i="3"/>
  <c r="H762" i="3"/>
  <c r="I762" i="3"/>
  <c r="S842" i="3"/>
  <c r="P842" i="3"/>
  <c r="M842" i="3"/>
  <c r="O842" i="3"/>
  <c r="N842" i="3"/>
  <c r="L842" i="3"/>
  <c r="K842" i="3"/>
  <c r="J842" i="3"/>
  <c r="D842" i="3"/>
  <c r="E842" i="3"/>
  <c r="H842" i="3"/>
  <c r="I842" i="3"/>
  <c r="S878" i="3"/>
  <c r="P878" i="3"/>
  <c r="O878" i="3"/>
  <c r="M878" i="3"/>
  <c r="N878" i="3"/>
  <c r="L878" i="3"/>
  <c r="J878" i="3"/>
  <c r="K878" i="3"/>
  <c r="E878" i="3"/>
  <c r="D878" i="3"/>
  <c r="H878" i="3"/>
  <c r="I878" i="3"/>
  <c r="S731" i="3"/>
  <c r="P731" i="3"/>
  <c r="O731" i="3"/>
  <c r="N731" i="3"/>
  <c r="M731" i="3"/>
  <c r="L731" i="3"/>
  <c r="K731" i="3"/>
  <c r="J731" i="3"/>
  <c r="E731" i="3"/>
  <c r="D731" i="3"/>
  <c r="H731" i="3"/>
  <c r="I731" i="3"/>
  <c r="P716" i="3"/>
  <c r="S716" i="3"/>
  <c r="O716" i="3"/>
  <c r="N716" i="3"/>
  <c r="L716" i="3"/>
  <c r="K716" i="3"/>
  <c r="M716" i="3"/>
  <c r="J716" i="3"/>
  <c r="E716" i="3"/>
  <c r="D716" i="3"/>
  <c r="H716" i="3"/>
  <c r="I716" i="3"/>
  <c r="S830" i="3"/>
  <c r="P830" i="3"/>
  <c r="O830" i="3"/>
  <c r="N830" i="3"/>
  <c r="M830" i="3"/>
  <c r="L830" i="3"/>
  <c r="K830" i="3"/>
  <c r="J830" i="3"/>
  <c r="E830" i="3"/>
  <c r="D830" i="3"/>
  <c r="H830" i="3"/>
  <c r="I830" i="3"/>
  <c r="S712" i="3"/>
  <c r="P712" i="3"/>
  <c r="O712" i="3"/>
  <c r="M712" i="3"/>
  <c r="N712" i="3"/>
  <c r="L712" i="3"/>
  <c r="J712" i="3"/>
  <c r="E712" i="3"/>
  <c r="K712" i="3"/>
  <c r="D712" i="3"/>
  <c r="H712" i="3"/>
  <c r="I712" i="3"/>
  <c r="S551" i="3"/>
  <c r="P551" i="3"/>
  <c r="O551" i="3"/>
  <c r="N551" i="3"/>
  <c r="M551" i="3"/>
  <c r="L551" i="3"/>
  <c r="K551" i="3"/>
  <c r="J551" i="3"/>
  <c r="E551" i="3"/>
  <c r="D551" i="3"/>
  <c r="H551" i="3"/>
  <c r="I551" i="3"/>
  <c r="S782" i="3"/>
  <c r="P782" i="3"/>
  <c r="O782" i="3"/>
  <c r="N782" i="3"/>
  <c r="M782" i="3"/>
  <c r="L782" i="3"/>
  <c r="K782" i="3"/>
  <c r="J782" i="3"/>
  <c r="E782" i="3"/>
  <c r="D782" i="3"/>
  <c r="H782" i="3"/>
  <c r="I782" i="3"/>
  <c r="S672" i="3"/>
  <c r="P672" i="3"/>
  <c r="O672" i="3"/>
  <c r="N672" i="3"/>
  <c r="M672" i="3"/>
  <c r="K672" i="3"/>
  <c r="L672" i="3"/>
  <c r="J672" i="3"/>
  <c r="E672" i="3"/>
  <c r="D672" i="3"/>
  <c r="H672" i="3"/>
  <c r="I672" i="3"/>
  <c r="S689" i="3"/>
  <c r="P689" i="3"/>
  <c r="N689" i="3"/>
  <c r="M689" i="3"/>
  <c r="O689" i="3"/>
  <c r="L689" i="3"/>
  <c r="J689" i="3"/>
  <c r="K689" i="3"/>
  <c r="D689" i="3"/>
  <c r="E689" i="3"/>
  <c r="H689" i="3"/>
  <c r="I689" i="3"/>
  <c r="P734" i="3"/>
  <c r="S734" i="3"/>
  <c r="N734" i="3"/>
  <c r="M734" i="3"/>
  <c r="O734" i="3"/>
  <c r="L734" i="3"/>
  <c r="J734" i="3"/>
  <c r="K734" i="3"/>
  <c r="E734" i="3"/>
  <c r="D734" i="3"/>
  <c r="H734" i="3"/>
  <c r="I734" i="3"/>
  <c r="S669" i="3"/>
  <c r="P669" i="3"/>
  <c r="O669" i="3"/>
  <c r="N669" i="3"/>
  <c r="M669" i="3"/>
  <c r="L669" i="3"/>
  <c r="K669" i="3"/>
  <c r="J669" i="3"/>
  <c r="E669" i="3"/>
  <c r="D669" i="3"/>
  <c r="H669" i="3"/>
  <c r="I669" i="3"/>
  <c r="S653" i="3"/>
  <c r="P653" i="3"/>
  <c r="N653" i="3"/>
  <c r="O653" i="3"/>
  <c r="M653" i="3"/>
  <c r="L653" i="3"/>
  <c r="K653" i="3"/>
  <c r="J653" i="3"/>
  <c r="E653" i="3"/>
  <c r="D653" i="3"/>
  <c r="H653" i="3"/>
  <c r="I653" i="3"/>
  <c r="S639" i="3"/>
  <c r="P639" i="3"/>
  <c r="N639" i="3"/>
  <c r="O639" i="3"/>
  <c r="M639" i="3"/>
  <c r="L639" i="3"/>
  <c r="K639" i="3"/>
  <c r="J639" i="3"/>
  <c r="E639" i="3"/>
  <c r="D639" i="3"/>
  <c r="H639" i="3"/>
  <c r="I639" i="3"/>
  <c r="S591" i="3"/>
  <c r="P591" i="3"/>
  <c r="O591" i="3"/>
  <c r="N591" i="3"/>
  <c r="M591" i="3"/>
  <c r="L591" i="3"/>
  <c r="K591" i="3"/>
  <c r="J591" i="3"/>
  <c r="E591" i="3"/>
  <c r="D591" i="3"/>
  <c r="H591" i="3"/>
  <c r="I591" i="3"/>
  <c r="S657" i="3"/>
  <c r="P657" i="3"/>
  <c r="O657" i="3"/>
  <c r="N657" i="3"/>
  <c r="M657" i="3"/>
  <c r="L657" i="3"/>
  <c r="K657" i="3"/>
  <c r="J657" i="3"/>
  <c r="E657" i="3"/>
  <c r="D657" i="3"/>
  <c r="H657" i="3"/>
  <c r="I657" i="3"/>
  <c r="S563" i="3"/>
  <c r="P563" i="3"/>
  <c r="M563" i="3"/>
  <c r="O563" i="3"/>
  <c r="L563" i="3"/>
  <c r="N563" i="3"/>
  <c r="J563" i="3"/>
  <c r="K563" i="3"/>
  <c r="E563" i="3"/>
  <c r="D563" i="3"/>
  <c r="H563" i="3"/>
  <c r="I563" i="3"/>
  <c r="S637" i="3"/>
  <c r="P637" i="3"/>
  <c r="O637" i="3"/>
  <c r="N637" i="3"/>
  <c r="K637" i="3"/>
  <c r="M637" i="3"/>
  <c r="L637" i="3"/>
  <c r="J637" i="3"/>
  <c r="E637" i="3"/>
  <c r="D637" i="3"/>
  <c r="H637" i="3"/>
  <c r="I637" i="3"/>
  <c r="S537" i="3"/>
  <c r="P537" i="3"/>
  <c r="N537" i="3"/>
  <c r="O537" i="3"/>
  <c r="M537" i="3"/>
  <c r="L537" i="3"/>
  <c r="K537" i="3"/>
  <c r="J537" i="3"/>
  <c r="E537" i="3"/>
  <c r="D537" i="3"/>
  <c r="H537" i="3"/>
  <c r="I537" i="3"/>
  <c r="S572" i="3"/>
  <c r="P572" i="3"/>
  <c r="O572" i="3"/>
  <c r="N572" i="3"/>
  <c r="M572" i="3"/>
  <c r="L572" i="3"/>
  <c r="K572" i="3"/>
  <c r="J572" i="3"/>
  <c r="E572" i="3"/>
  <c r="D572" i="3"/>
  <c r="H572" i="3"/>
  <c r="I572" i="3"/>
  <c r="S558" i="3"/>
  <c r="P558" i="3"/>
  <c r="O558" i="3"/>
  <c r="N558" i="3"/>
  <c r="M558" i="3"/>
  <c r="L558" i="3"/>
  <c r="K558" i="3"/>
  <c r="J558" i="3"/>
  <c r="E558" i="3"/>
  <c r="D558" i="3"/>
  <c r="H558" i="3"/>
  <c r="I558" i="3"/>
  <c r="S535" i="3"/>
  <c r="P535" i="3"/>
  <c r="O535" i="3"/>
  <c r="N535" i="3"/>
  <c r="L535" i="3"/>
  <c r="M535" i="3"/>
  <c r="K535" i="3"/>
  <c r="J535" i="3"/>
  <c r="E535" i="3"/>
  <c r="D535" i="3"/>
  <c r="H535" i="3"/>
  <c r="I535" i="3"/>
  <c r="S568" i="3"/>
  <c r="P568" i="3"/>
  <c r="O568" i="3"/>
  <c r="N568" i="3"/>
  <c r="M568" i="3"/>
  <c r="L568" i="3"/>
  <c r="K568" i="3"/>
  <c r="J568" i="3"/>
  <c r="E568" i="3"/>
  <c r="D568" i="3"/>
  <c r="H568" i="3"/>
  <c r="I568" i="3"/>
  <c r="S485" i="3"/>
  <c r="P485" i="3"/>
  <c r="O485" i="3"/>
  <c r="N485" i="3"/>
  <c r="M485" i="3"/>
  <c r="L485" i="3"/>
  <c r="K485" i="3"/>
  <c r="J485" i="3"/>
  <c r="E485" i="3"/>
  <c r="D485" i="3"/>
  <c r="H485" i="3"/>
  <c r="I485" i="3"/>
  <c r="S508" i="3"/>
  <c r="P508" i="3"/>
  <c r="O508" i="3"/>
  <c r="N508" i="3"/>
  <c r="M508" i="3"/>
  <c r="L508" i="3"/>
  <c r="K508" i="3"/>
  <c r="J508" i="3"/>
  <c r="E508" i="3"/>
  <c r="D508" i="3"/>
  <c r="H508" i="3"/>
  <c r="I508" i="3"/>
  <c r="S520" i="3"/>
  <c r="P520" i="3"/>
  <c r="N520" i="3"/>
  <c r="M520" i="3"/>
  <c r="L520" i="3"/>
  <c r="O520" i="3"/>
  <c r="J520" i="3"/>
  <c r="K520" i="3"/>
  <c r="E520" i="3"/>
  <c r="D520" i="3"/>
  <c r="H520" i="3"/>
  <c r="I520" i="3"/>
  <c r="S480" i="3"/>
  <c r="P480" i="3"/>
  <c r="O480" i="3"/>
  <c r="N480" i="3"/>
  <c r="M480" i="3"/>
  <c r="L480" i="3"/>
  <c r="K480" i="3"/>
  <c r="J480" i="3"/>
  <c r="E480" i="3"/>
  <c r="D480" i="3"/>
  <c r="H480" i="3"/>
  <c r="I480" i="3"/>
  <c r="S434" i="3"/>
  <c r="P434" i="3"/>
  <c r="N434" i="3"/>
  <c r="O434" i="3"/>
  <c r="M434" i="3"/>
  <c r="L434" i="3"/>
  <c r="K434" i="3"/>
  <c r="E434" i="3"/>
  <c r="J434" i="3"/>
  <c r="D434" i="3"/>
  <c r="H434" i="3"/>
  <c r="I434" i="3"/>
  <c r="S421" i="3"/>
  <c r="P421" i="3"/>
  <c r="O421" i="3"/>
  <c r="N421" i="3"/>
  <c r="M421" i="3"/>
  <c r="L421" i="3"/>
  <c r="K421" i="3"/>
  <c r="J421" i="3"/>
  <c r="E421" i="3"/>
  <c r="D421" i="3"/>
  <c r="H421" i="3"/>
  <c r="I421" i="3"/>
  <c r="S406" i="3"/>
  <c r="P406" i="3"/>
  <c r="O406" i="3"/>
  <c r="N406" i="3"/>
  <c r="M406" i="3"/>
  <c r="L406" i="3"/>
  <c r="K406" i="3"/>
  <c r="J406" i="3"/>
  <c r="E406" i="3"/>
  <c r="D406" i="3"/>
  <c r="H406" i="3"/>
  <c r="I406" i="3"/>
  <c r="S411" i="3"/>
  <c r="P411" i="3"/>
  <c r="O411" i="3"/>
  <c r="N411" i="3"/>
  <c r="M411" i="3"/>
  <c r="L411" i="3"/>
  <c r="K411" i="3"/>
  <c r="J411" i="3"/>
  <c r="E411" i="3"/>
  <c r="D411" i="3"/>
  <c r="H411" i="3"/>
  <c r="I411" i="3"/>
  <c r="S375" i="3"/>
  <c r="P375" i="3"/>
  <c r="O375" i="3"/>
  <c r="N375" i="3"/>
  <c r="M375" i="3"/>
  <c r="L375" i="3"/>
  <c r="K375" i="3"/>
  <c r="J375" i="3"/>
  <c r="E375" i="3"/>
  <c r="D375" i="3"/>
  <c r="H375" i="3"/>
  <c r="I375" i="3"/>
  <c r="S391" i="3"/>
  <c r="P391" i="3"/>
  <c r="O391" i="3"/>
  <c r="N391" i="3"/>
  <c r="M391" i="3"/>
  <c r="L391" i="3"/>
  <c r="K391" i="3"/>
  <c r="J391" i="3"/>
  <c r="E391" i="3"/>
  <c r="D391" i="3"/>
  <c r="H391" i="3"/>
  <c r="I391" i="3"/>
  <c r="S263" i="3"/>
  <c r="P263" i="3"/>
  <c r="O263" i="3"/>
  <c r="N263" i="3"/>
  <c r="M263" i="3"/>
  <c r="L263" i="3"/>
  <c r="K263" i="3"/>
  <c r="J263" i="3"/>
  <c r="E263" i="3"/>
  <c r="D263" i="3"/>
  <c r="H263" i="3"/>
  <c r="I263" i="3"/>
  <c r="S326" i="3"/>
  <c r="P326" i="3"/>
  <c r="O326" i="3"/>
  <c r="N326" i="3"/>
  <c r="M326" i="3"/>
  <c r="L326" i="3"/>
  <c r="K326" i="3"/>
  <c r="J326" i="3"/>
  <c r="E326" i="3"/>
  <c r="D326" i="3"/>
  <c r="H326" i="3"/>
  <c r="I326" i="3"/>
  <c r="S298" i="3"/>
  <c r="P298" i="3"/>
  <c r="N298" i="3"/>
  <c r="M298" i="3"/>
  <c r="O298" i="3"/>
  <c r="L298" i="3"/>
  <c r="K298" i="3"/>
  <c r="J298" i="3"/>
  <c r="E298" i="3"/>
  <c r="D298" i="3"/>
  <c r="H298" i="3"/>
  <c r="I298" i="3"/>
  <c r="S277" i="3"/>
  <c r="P277" i="3"/>
  <c r="O277" i="3"/>
  <c r="N277" i="3"/>
  <c r="M277" i="3"/>
  <c r="L277" i="3"/>
  <c r="K277" i="3"/>
  <c r="J277" i="3"/>
  <c r="D277" i="3"/>
  <c r="E277" i="3"/>
  <c r="H277" i="3"/>
  <c r="I277" i="3"/>
  <c r="S285" i="3"/>
  <c r="P285" i="3"/>
  <c r="O285" i="3"/>
  <c r="N285" i="3"/>
  <c r="M285" i="3"/>
  <c r="L285" i="3"/>
  <c r="K285" i="3"/>
  <c r="J285" i="3"/>
  <c r="D285" i="3"/>
  <c r="E285" i="3"/>
  <c r="H285" i="3"/>
  <c r="I285" i="3"/>
  <c r="S256" i="3"/>
  <c r="P256" i="3"/>
  <c r="O256" i="3"/>
  <c r="N256" i="3"/>
  <c r="M256" i="3"/>
  <c r="L256" i="3"/>
  <c r="K256" i="3"/>
  <c r="J256" i="3"/>
  <c r="D256" i="3"/>
  <c r="H256" i="3"/>
  <c r="E256" i="3"/>
  <c r="I256" i="3"/>
  <c r="S223" i="3"/>
  <c r="P223" i="3"/>
  <c r="O223" i="3"/>
  <c r="N223" i="3"/>
  <c r="M223" i="3"/>
  <c r="L223" i="3"/>
  <c r="K223" i="3"/>
  <c r="J223" i="3"/>
  <c r="D223" i="3"/>
  <c r="E223" i="3"/>
  <c r="H223" i="3"/>
  <c r="I223" i="3"/>
  <c r="S185" i="3"/>
  <c r="P185" i="3"/>
  <c r="O185" i="3"/>
  <c r="N185" i="3"/>
  <c r="M185" i="3"/>
  <c r="L185" i="3"/>
  <c r="K185" i="3"/>
  <c r="J185" i="3"/>
  <c r="E185" i="3"/>
  <c r="D185" i="3"/>
  <c r="H185" i="3"/>
  <c r="I185" i="3"/>
  <c r="S163" i="3"/>
  <c r="P163" i="3"/>
  <c r="O163" i="3"/>
  <c r="N163" i="3"/>
  <c r="M163" i="3"/>
  <c r="L163" i="3"/>
  <c r="K163" i="3"/>
  <c r="D163" i="3"/>
  <c r="E163" i="3"/>
  <c r="J163" i="3"/>
  <c r="I163" i="3"/>
  <c r="H163" i="3"/>
  <c r="S135" i="3"/>
  <c r="P135" i="3"/>
  <c r="O135" i="3"/>
  <c r="N135" i="3"/>
  <c r="L135" i="3"/>
  <c r="K135" i="3"/>
  <c r="M135" i="3"/>
  <c r="J135" i="3"/>
  <c r="D135" i="3"/>
  <c r="E135" i="3"/>
  <c r="I135" i="3"/>
  <c r="H135" i="3"/>
  <c r="S131" i="3"/>
  <c r="P131" i="3"/>
  <c r="O131" i="3"/>
  <c r="N131" i="3"/>
  <c r="M131" i="3"/>
  <c r="L131" i="3"/>
  <c r="K131" i="3"/>
  <c r="J131" i="3"/>
  <c r="D131" i="3"/>
  <c r="E131" i="3"/>
  <c r="I131" i="3"/>
  <c r="H131" i="3"/>
  <c r="S125" i="3"/>
  <c r="P125" i="3"/>
  <c r="O125" i="3"/>
  <c r="N125" i="3"/>
  <c r="M125" i="3"/>
  <c r="L125" i="3"/>
  <c r="K125" i="3"/>
  <c r="J125" i="3"/>
  <c r="D125" i="3"/>
  <c r="E125" i="3"/>
  <c r="I125" i="3"/>
  <c r="H125" i="3"/>
  <c r="S118" i="3"/>
  <c r="P118" i="3"/>
  <c r="O118" i="3"/>
  <c r="N118" i="3"/>
  <c r="L118" i="3"/>
  <c r="M118" i="3"/>
  <c r="K118" i="3"/>
  <c r="J118" i="3"/>
  <c r="D118" i="3"/>
  <c r="E118" i="3"/>
  <c r="I118" i="3"/>
  <c r="H118" i="3"/>
  <c r="S80" i="3"/>
  <c r="P80" i="3"/>
  <c r="O80" i="3"/>
  <c r="N80" i="3"/>
  <c r="L80" i="3"/>
  <c r="M80" i="3"/>
  <c r="K80" i="3"/>
  <c r="J80" i="3"/>
  <c r="D80" i="3"/>
  <c r="E80" i="3"/>
  <c r="I80" i="3"/>
  <c r="H80" i="3"/>
  <c r="S54" i="3"/>
  <c r="P54" i="3"/>
  <c r="N54" i="3"/>
  <c r="O54" i="3"/>
  <c r="M54" i="3"/>
  <c r="L54" i="3"/>
  <c r="K54" i="3"/>
  <c r="J54" i="3"/>
  <c r="E54" i="3"/>
  <c r="D54" i="3"/>
  <c r="H54" i="3"/>
  <c r="I54" i="3"/>
  <c r="S46" i="3"/>
  <c r="P46" i="3"/>
  <c r="O46" i="3"/>
  <c r="N46" i="3"/>
  <c r="M46" i="3"/>
  <c r="L46" i="3"/>
  <c r="K46" i="3"/>
  <c r="J46" i="3"/>
  <c r="D46" i="3"/>
  <c r="E46" i="3"/>
  <c r="H46" i="3"/>
  <c r="I46" i="3"/>
  <c r="S34" i="3"/>
  <c r="P34" i="3"/>
  <c r="N34" i="3"/>
  <c r="O34" i="3"/>
  <c r="M34" i="3"/>
  <c r="L34" i="3"/>
  <c r="K34" i="3"/>
  <c r="J34" i="3"/>
  <c r="D34" i="3"/>
  <c r="E34" i="3"/>
  <c r="H34" i="3"/>
  <c r="I34" i="3"/>
  <c r="S27" i="3"/>
  <c r="P27" i="3"/>
  <c r="O27" i="3"/>
  <c r="N27" i="3"/>
  <c r="L27" i="3"/>
  <c r="M27" i="3"/>
  <c r="K27" i="3"/>
  <c r="J27" i="3"/>
  <c r="E27" i="3"/>
  <c r="D27" i="3"/>
  <c r="I27" i="3"/>
  <c r="H27" i="3"/>
  <c r="S14" i="3"/>
  <c r="P14" i="3"/>
  <c r="O14" i="3"/>
  <c r="N14" i="3"/>
  <c r="M14" i="3"/>
  <c r="L14" i="3"/>
  <c r="K14" i="3"/>
  <c r="J14" i="3"/>
  <c r="E14" i="3"/>
  <c r="D14" i="3"/>
  <c r="I14" i="3"/>
  <c r="H14" i="3"/>
  <c r="S95" i="3"/>
  <c r="P95" i="3"/>
  <c r="O95" i="3"/>
  <c r="N95" i="3"/>
  <c r="M95" i="3"/>
  <c r="L95" i="3"/>
  <c r="K95" i="3"/>
  <c r="J95" i="3"/>
  <c r="D95" i="3"/>
  <c r="E95" i="3"/>
  <c r="H95" i="3"/>
  <c r="I95" i="3"/>
  <c r="S172" i="3"/>
  <c r="P172" i="3"/>
  <c r="O172" i="3"/>
  <c r="N172" i="3"/>
  <c r="M172" i="3"/>
  <c r="L172" i="3"/>
  <c r="K172" i="3"/>
  <c r="J172" i="3"/>
  <c r="E172" i="3"/>
  <c r="D172" i="3"/>
  <c r="H172" i="3"/>
  <c r="I172" i="3"/>
  <c r="S595" i="3"/>
  <c r="P595" i="3"/>
  <c r="O595" i="3"/>
  <c r="N595" i="3"/>
  <c r="M595" i="3"/>
  <c r="L595" i="3"/>
  <c r="J595" i="3"/>
  <c r="K595" i="3"/>
  <c r="D595" i="3"/>
  <c r="H595" i="3"/>
  <c r="E595" i="3"/>
  <c r="I595" i="3"/>
  <c r="S1040" i="3"/>
  <c r="P1040" i="3"/>
  <c r="O1040" i="3"/>
  <c r="N1040" i="3"/>
  <c r="M1040" i="3"/>
  <c r="L1040" i="3"/>
  <c r="J1040" i="3"/>
  <c r="K1040" i="3"/>
  <c r="E1040" i="3"/>
  <c r="D1040" i="3"/>
  <c r="I1040" i="3"/>
  <c r="H1040" i="3"/>
  <c r="S98" i="3"/>
  <c r="P98" i="3"/>
  <c r="O98" i="3"/>
  <c r="N98" i="3"/>
  <c r="M98" i="3"/>
  <c r="K98" i="3"/>
  <c r="L98" i="3"/>
  <c r="J98" i="3"/>
  <c r="E98" i="3"/>
  <c r="D98" i="3"/>
  <c r="H98" i="3"/>
  <c r="I98" i="3"/>
  <c r="S930" i="3"/>
  <c r="P930" i="3"/>
  <c r="O930" i="3"/>
  <c r="N930" i="3"/>
  <c r="M930" i="3"/>
  <c r="L930" i="3"/>
  <c r="J930" i="3"/>
  <c r="K930" i="3"/>
  <c r="D930" i="3"/>
  <c r="E930" i="3"/>
  <c r="H930" i="3"/>
  <c r="I930" i="3"/>
  <c r="S243" i="3"/>
  <c r="P243" i="3"/>
  <c r="O243" i="3"/>
  <c r="N243" i="3"/>
  <c r="M243" i="3"/>
  <c r="L243" i="3"/>
  <c r="K243" i="3"/>
  <c r="J243" i="3"/>
  <c r="E243" i="3"/>
  <c r="D243" i="3"/>
  <c r="H243" i="3"/>
  <c r="I243" i="3"/>
  <c r="S1193" i="3"/>
  <c r="P1193" i="3"/>
  <c r="O1193" i="3"/>
  <c r="M1193" i="3"/>
  <c r="N1193" i="3"/>
  <c r="L1193" i="3"/>
  <c r="J1193" i="3"/>
  <c r="K1193" i="3"/>
  <c r="E1193" i="3"/>
  <c r="D1193" i="3"/>
  <c r="H1193" i="3"/>
  <c r="I1193" i="3"/>
  <c r="S970" i="3"/>
  <c r="P970" i="3"/>
  <c r="O970" i="3"/>
  <c r="N970" i="3"/>
  <c r="M970" i="3"/>
  <c r="K970" i="3"/>
  <c r="J970" i="3"/>
  <c r="L970" i="3"/>
  <c r="E970" i="3"/>
  <c r="D970" i="3"/>
  <c r="H970" i="3"/>
  <c r="I970" i="3"/>
  <c r="S1175" i="3"/>
  <c r="P1175" i="3"/>
  <c r="O1175" i="3"/>
  <c r="N1175" i="3"/>
  <c r="M1175" i="3"/>
  <c r="L1175" i="3"/>
  <c r="K1175" i="3"/>
  <c r="J1175" i="3"/>
  <c r="E1175" i="3"/>
  <c r="D1175" i="3"/>
  <c r="H1175" i="3"/>
  <c r="I1175" i="3"/>
  <c r="S1039" i="3"/>
  <c r="P1039" i="3"/>
  <c r="O1039" i="3"/>
  <c r="N1039" i="3"/>
  <c r="M1039" i="3"/>
  <c r="L1039" i="3"/>
  <c r="K1039" i="3"/>
  <c r="J1039" i="3"/>
  <c r="E1039" i="3"/>
  <c r="D1039" i="3"/>
  <c r="H1039" i="3"/>
  <c r="I1039" i="3"/>
  <c r="S587" i="3"/>
  <c r="P587" i="3"/>
  <c r="O587" i="3"/>
  <c r="N587" i="3"/>
  <c r="M587" i="3"/>
  <c r="L587" i="3"/>
  <c r="K587" i="3"/>
  <c r="E587" i="3"/>
  <c r="D587" i="3"/>
  <c r="J587" i="3"/>
  <c r="H587" i="3"/>
  <c r="I587" i="3"/>
  <c r="S828" i="3"/>
  <c r="P828" i="3"/>
  <c r="O828" i="3"/>
  <c r="N828" i="3"/>
  <c r="M828" i="3"/>
  <c r="L828" i="3"/>
  <c r="K828" i="3"/>
  <c r="E828" i="3"/>
  <c r="J828" i="3"/>
  <c r="D828" i="3"/>
  <c r="H828" i="3"/>
  <c r="I828" i="3"/>
  <c r="S1232" i="3"/>
  <c r="P1232" i="3"/>
  <c r="O1232" i="3"/>
  <c r="N1232" i="3"/>
  <c r="M1232" i="3"/>
  <c r="L1232" i="3"/>
  <c r="K1232" i="3"/>
  <c r="E1232" i="3"/>
  <c r="J1232" i="3"/>
  <c r="D1232" i="3"/>
  <c r="H1232" i="3"/>
  <c r="I1232" i="3"/>
  <c r="S87" i="3"/>
  <c r="P87" i="3"/>
  <c r="O87" i="3"/>
  <c r="N87" i="3"/>
  <c r="L87" i="3"/>
  <c r="K87" i="3"/>
  <c r="M87" i="3"/>
  <c r="J87" i="3"/>
  <c r="E87" i="3"/>
  <c r="D87" i="3"/>
  <c r="I87" i="3"/>
  <c r="H87" i="3"/>
  <c r="S168" i="3"/>
  <c r="P168" i="3"/>
  <c r="O168" i="3"/>
  <c r="N168" i="3"/>
  <c r="M168" i="3"/>
  <c r="L168" i="3"/>
  <c r="K168" i="3"/>
  <c r="J168" i="3"/>
  <c r="D168" i="3"/>
  <c r="E168" i="3"/>
  <c r="H168" i="3"/>
  <c r="I168" i="3"/>
  <c r="S203" i="3"/>
  <c r="P203" i="3"/>
  <c r="O203" i="3"/>
  <c r="N203" i="3"/>
  <c r="M203" i="3"/>
  <c r="L203" i="3"/>
  <c r="K203" i="3"/>
  <c r="J203" i="3"/>
  <c r="D203" i="3"/>
  <c r="E203" i="3"/>
  <c r="H203" i="3"/>
  <c r="I203" i="3"/>
  <c r="S400" i="3"/>
  <c r="P400" i="3"/>
  <c r="O400" i="3"/>
  <c r="N400" i="3"/>
  <c r="M400" i="3"/>
  <c r="L400" i="3"/>
  <c r="K400" i="3"/>
  <c r="J400" i="3"/>
  <c r="E400" i="3"/>
  <c r="D400" i="3"/>
  <c r="H400" i="3"/>
  <c r="I400" i="3"/>
  <c r="S783" i="3"/>
  <c r="P783" i="3"/>
  <c r="O783" i="3"/>
  <c r="N783" i="3"/>
  <c r="M783" i="3"/>
  <c r="L783" i="3"/>
  <c r="J783" i="3"/>
  <c r="K783" i="3"/>
  <c r="D783" i="3"/>
  <c r="E783" i="3"/>
  <c r="H783" i="3"/>
  <c r="I783" i="3"/>
  <c r="P1228" i="3"/>
  <c r="S1228" i="3"/>
  <c r="O1228" i="3"/>
  <c r="M1228" i="3"/>
  <c r="N1228" i="3"/>
  <c r="L1228" i="3"/>
  <c r="J1228" i="3"/>
  <c r="K1228" i="3"/>
  <c r="E1228" i="3"/>
  <c r="D1228" i="3"/>
  <c r="H1228" i="3"/>
  <c r="I1228" i="3"/>
  <c r="S302" i="3"/>
  <c r="P302" i="3"/>
  <c r="O302" i="3"/>
  <c r="N302" i="3"/>
  <c r="M302" i="3"/>
  <c r="L302" i="3"/>
  <c r="K302" i="3"/>
  <c r="J302" i="3"/>
  <c r="E302" i="3"/>
  <c r="D302" i="3"/>
  <c r="H302" i="3"/>
  <c r="I302" i="3"/>
  <c r="S433" i="3"/>
  <c r="P433" i="3"/>
  <c r="O433" i="3"/>
  <c r="N433" i="3"/>
  <c r="M433" i="3"/>
  <c r="L433" i="3"/>
  <c r="K433" i="3"/>
  <c r="J433" i="3"/>
  <c r="E433" i="3"/>
  <c r="D433" i="3"/>
  <c r="H433" i="3"/>
  <c r="I433" i="3"/>
  <c r="S647" i="3"/>
  <c r="P647" i="3"/>
  <c r="O647" i="3"/>
  <c r="N647" i="3"/>
  <c r="M647" i="3"/>
  <c r="L647" i="3"/>
  <c r="K647" i="3"/>
  <c r="J647" i="3"/>
  <c r="E647" i="3"/>
  <c r="D647" i="3"/>
  <c r="I647" i="3"/>
  <c r="H647" i="3"/>
  <c r="S225" i="3"/>
  <c r="P225" i="3"/>
  <c r="O225" i="3"/>
  <c r="N225" i="3"/>
  <c r="M225" i="3"/>
  <c r="K225" i="3"/>
  <c r="L225" i="3"/>
  <c r="J225" i="3"/>
  <c r="E225" i="3"/>
  <c r="H225" i="3"/>
  <c r="D225" i="3"/>
  <c r="I225" i="3"/>
  <c r="S392" i="3"/>
  <c r="P392" i="3"/>
  <c r="N392" i="3"/>
  <c r="O392" i="3"/>
  <c r="L392" i="3"/>
  <c r="M392" i="3"/>
  <c r="K392" i="3"/>
  <c r="E392" i="3"/>
  <c r="J392" i="3"/>
  <c r="D392" i="3"/>
  <c r="H392" i="3"/>
  <c r="I392" i="3"/>
  <c r="S1003" i="3"/>
  <c r="P1003" i="3"/>
  <c r="O1003" i="3"/>
  <c r="N1003" i="3"/>
  <c r="M1003" i="3"/>
  <c r="L1003" i="3"/>
  <c r="K1003" i="3"/>
  <c r="J1003" i="3"/>
  <c r="E1003" i="3"/>
  <c r="D1003" i="3"/>
  <c r="H1003" i="3"/>
  <c r="I1003" i="3"/>
  <c r="S173" i="3"/>
  <c r="P173" i="3"/>
  <c r="O173" i="3"/>
  <c r="N173" i="3"/>
  <c r="M173" i="3"/>
  <c r="K173" i="3"/>
  <c r="L173" i="3"/>
  <c r="J173" i="3"/>
  <c r="E173" i="3"/>
  <c r="H173" i="3"/>
  <c r="D173" i="3"/>
  <c r="I173" i="3"/>
  <c r="S1013" i="3"/>
  <c r="P1013" i="3"/>
  <c r="O1013" i="3"/>
  <c r="N1013" i="3"/>
  <c r="M1013" i="3"/>
  <c r="L1013" i="3"/>
  <c r="K1013" i="3"/>
  <c r="J1013" i="3"/>
  <c r="E1013" i="3"/>
  <c r="D1013" i="3"/>
  <c r="H1013" i="3"/>
  <c r="I1013" i="3"/>
  <c r="S1223" i="3"/>
  <c r="O1223" i="3"/>
  <c r="N1223" i="3"/>
  <c r="P1223" i="3"/>
  <c r="M1223" i="3"/>
  <c r="L1223" i="3"/>
  <c r="J1223" i="3"/>
  <c r="E1223" i="3"/>
  <c r="K1223" i="3"/>
  <c r="D1223" i="3"/>
  <c r="I1223" i="3"/>
  <c r="H1223" i="3"/>
  <c r="S435" i="3"/>
  <c r="P435" i="3"/>
  <c r="O435" i="3"/>
  <c r="N435" i="3"/>
  <c r="M435" i="3"/>
  <c r="L435" i="3"/>
  <c r="K435" i="3"/>
  <c r="J435" i="3"/>
  <c r="E435" i="3"/>
  <c r="D435" i="3"/>
  <c r="I435" i="3"/>
  <c r="H435" i="3"/>
  <c r="S752" i="3"/>
  <c r="P752" i="3"/>
  <c r="O752" i="3"/>
  <c r="N752" i="3"/>
  <c r="M752" i="3"/>
  <c r="L752" i="3"/>
  <c r="K752" i="3"/>
  <c r="E752" i="3"/>
  <c r="J752" i="3"/>
  <c r="D752" i="3"/>
  <c r="H752" i="3"/>
  <c r="I752" i="3"/>
  <c r="S232" i="3"/>
  <c r="P232" i="3"/>
  <c r="O232" i="3"/>
  <c r="N232" i="3"/>
  <c r="M232" i="3"/>
  <c r="L232" i="3"/>
  <c r="K232" i="3"/>
  <c r="J232" i="3"/>
  <c r="D232" i="3"/>
  <c r="E232" i="3"/>
  <c r="I232" i="3"/>
  <c r="H232" i="3"/>
  <c r="S71" i="3"/>
  <c r="P71" i="3"/>
  <c r="O71" i="3"/>
  <c r="N71" i="3"/>
  <c r="M71" i="3"/>
  <c r="L71" i="3"/>
  <c r="K71" i="3"/>
  <c r="J71" i="3"/>
  <c r="E71" i="3"/>
  <c r="D71" i="3"/>
  <c r="I71" i="3"/>
  <c r="H71" i="3"/>
  <c r="S215" i="3"/>
  <c r="P215" i="3"/>
  <c r="O215" i="3"/>
  <c r="N215" i="3"/>
  <c r="M215" i="3"/>
  <c r="L215" i="3"/>
  <c r="K215" i="3"/>
  <c r="J215" i="3"/>
  <c r="E215" i="3"/>
  <c r="D215" i="3"/>
  <c r="H215" i="3"/>
  <c r="I215" i="3"/>
  <c r="S818" i="3"/>
  <c r="P818" i="3"/>
  <c r="O818" i="3"/>
  <c r="N818" i="3"/>
  <c r="M818" i="3"/>
  <c r="L818" i="3"/>
  <c r="K818" i="3"/>
  <c r="J818" i="3"/>
  <c r="E818" i="3"/>
  <c r="D818" i="3"/>
  <c r="H818" i="3"/>
  <c r="I818" i="3"/>
  <c r="S81" i="3"/>
  <c r="P81" i="3"/>
  <c r="O81" i="3"/>
  <c r="N81" i="3"/>
  <c r="M81" i="3"/>
  <c r="L81" i="3"/>
  <c r="K81" i="3"/>
  <c r="J81" i="3"/>
  <c r="E81" i="3"/>
  <c r="D81" i="3"/>
  <c r="H81" i="3"/>
  <c r="I81" i="3"/>
  <c r="S1107" i="3"/>
  <c r="P1107" i="3"/>
  <c r="O1107" i="3"/>
  <c r="N1107" i="3"/>
  <c r="M1107" i="3"/>
  <c r="L1107" i="3"/>
  <c r="K1107" i="3"/>
  <c r="J1107" i="3"/>
  <c r="E1107" i="3"/>
  <c r="D1107" i="3"/>
  <c r="H1107" i="3"/>
  <c r="I1107" i="3"/>
  <c r="S275" i="3"/>
  <c r="P275" i="3"/>
  <c r="O275" i="3"/>
  <c r="N275" i="3"/>
  <c r="M275" i="3"/>
  <c r="L275" i="3"/>
  <c r="K275" i="3"/>
  <c r="J275" i="3"/>
  <c r="D275" i="3"/>
  <c r="E275" i="3"/>
  <c r="H275" i="3"/>
  <c r="I275" i="3"/>
  <c r="S986" i="3"/>
  <c r="P986" i="3"/>
  <c r="O986" i="3"/>
  <c r="N986" i="3"/>
  <c r="M986" i="3"/>
  <c r="L986" i="3"/>
  <c r="K986" i="3"/>
  <c r="J986" i="3"/>
  <c r="E986" i="3"/>
  <c r="D986" i="3"/>
  <c r="H986" i="3"/>
  <c r="I986" i="3"/>
  <c r="S1221" i="3"/>
  <c r="P1221" i="3"/>
  <c r="O1221" i="3"/>
  <c r="M1221" i="3"/>
  <c r="N1221" i="3"/>
  <c r="L1221" i="3"/>
  <c r="K1221" i="3"/>
  <c r="E1221" i="3"/>
  <c r="J1221" i="3"/>
  <c r="D1221" i="3"/>
  <c r="H1221" i="3"/>
  <c r="I1221" i="3"/>
  <c r="S1075" i="3"/>
  <c r="O1075" i="3"/>
  <c r="P1075" i="3"/>
  <c r="N1075" i="3"/>
  <c r="M1075" i="3"/>
  <c r="L1075" i="3"/>
  <c r="K1075" i="3"/>
  <c r="E1075" i="3"/>
  <c r="D1075" i="3"/>
  <c r="J1075" i="3"/>
  <c r="H1075" i="3"/>
  <c r="I1075" i="3"/>
  <c r="S1018" i="3"/>
  <c r="P1018" i="3"/>
  <c r="O1018" i="3"/>
  <c r="N1018" i="3"/>
  <c r="M1018" i="3"/>
  <c r="L1018" i="3"/>
  <c r="K1018" i="3"/>
  <c r="E1018" i="3"/>
  <c r="J1018" i="3"/>
  <c r="D1018" i="3"/>
  <c r="H1018" i="3"/>
  <c r="I1018" i="3"/>
  <c r="S405" i="3"/>
  <c r="P405" i="3"/>
  <c r="O405" i="3"/>
  <c r="N405" i="3"/>
  <c r="M405" i="3"/>
  <c r="L405" i="3"/>
  <c r="K405" i="3"/>
  <c r="J405" i="3"/>
  <c r="E405" i="3"/>
  <c r="D405" i="3"/>
  <c r="H405" i="3"/>
  <c r="I405" i="3"/>
  <c r="S708" i="3"/>
  <c r="P708" i="3"/>
  <c r="O708" i="3"/>
  <c r="N708" i="3"/>
  <c r="M708" i="3"/>
  <c r="L708" i="3"/>
  <c r="K708" i="3"/>
  <c r="J708" i="3"/>
  <c r="E708" i="3"/>
  <c r="D708" i="3"/>
  <c r="H708" i="3"/>
  <c r="I708" i="3"/>
  <c r="S851" i="3"/>
  <c r="P851" i="3"/>
  <c r="O851" i="3"/>
  <c r="N851" i="3"/>
  <c r="M851" i="3"/>
  <c r="L851" i="3"/>
  <c r="K851" i="3"/>
  <c r="J851" i="3"/>
  <c r="E851" i="3"/>
  <c r="D851" i="3"/>
  <c r="H851" i="3"/>
  <c r="I851" i="3"/>
  <c r="S311" i="3"/>
  <c r="P311" i="3"/>
  <c r="O311" i="3"/>
  <c r="N311" i="3"/>
  <c r="M311" i="3"/>
  <c r="L311" i="3"/>
  <c r="K311" i="3"/>
  <c r="D311" i="3"/>
  <c r="E311" i="3"/>
  <c r="J311" i="3"/>
  <c r="I311" i="3"/>
  <c r="H311" i="3"/>
  <c r="S659" i="3"/>
  <c r="P659" i="3"/>
  <c r="O659" i="3"/>
  <c r="M659" i="3"/>
  <c r="N659" i="3"/>
  <c r="L659" i="3"/>
  <c r="J659" i="3"/>
  <c r="K659" i="3"/>
  <c r="D659" i="3"/>
  <c r="E659" i="3"/>
  <c r="H659" i="3"/>
  <c r="I659" i="3"/>
  <c r="S1204" i="3"/>
  <c r="P1204" i="3"/>
  <c r="O1204" i="3"/>
  <c r="N1204" i="3"/>
  <c r="M1204" i="3"/>
  <c r="L1204" i="3"/>
  <c r="K1204" i="3"/>
  <c r="J1204" i="3"/>
  <c r="D1204" i="3"/>
  <c r="E1204" i="3"/>
  <c r="H1204" i="3"/>
  <c r="I1204" i="3"/>
  <c r="S1198" i="3"/>
  <c r="P1198" i="3"/>
  <c r="O1198" i="3"/>
  <c r="N1198" i="3"/>
  <c r="M1198" i="3"/>
  <c r="L1198" i="3"/>
  <c r="J1198" i="3"/>
  <c r="K1198" i="3"/>
  <c r="E1198" i="3"/>
  <c r="I1198" i="3"/>
  <c r="D1198" i="3"/>
  <c r="H1198" i="3"/>
  <c r="S1169" i="3"/>
  <c r="P1169" i="3"/>
  <c r="O1169" i="3"/>
  <c r="M1169" i="3"/>
  <c r="N1169" i="3"/>
  <c r="L1169" i="3"/>
  <c r="J1169" i="3"/>
  <c r="K1169" i="3"/>
  <c r="E1169" i="3"/>
  <c r="D1169" i="3"/>
  <c r="H1169" i="3"/>
  <c r="I1169" i="3"/>
  <c r="S1171" i="3"/>
  <c r="P1171" i="3"/>
  <c r="O1171" i="3"/>
  <c r="N1171" i="3"/>
  <c r="M1171" i="3"/>
  <c r="L1171" i="3"/>
  <c r="K1171" i="3"/>
  <c r="E1171" i="3"/>
  <c r="J1171" i="3"/>
  <c r="D1171" i="3"/>
  <c r="H1171" i="3"/>
  <c r="I1171" i="3"/>
  <c r="S1043" i="3"/>
  <c r="P1043" i="3"/>
  <c r="O1043" i="3"/>
  <c r="N1043" i="3"/>
  <c r="M1043" i="3"/>
  <c r="L1043" i="3"/>
  <c r="K1043" i="3"/>
  <c r="J1043" i="3"/>
  <c r="E1043" i="3"/>
  <c r="D1043" i="3"/>
  <c r="H1043" i="3"/>
  <c r="I1043" i="3"/>
  <c r="S1061" i="3"/>
  <c r="P1061" i="3"/>
  <c r="O1061" i="3"/>
  <c r="N1061" i="3"/>
  <c r="M1061" i="3"/>
  <c r="L1061" i="3"/>
  <c r="K1061" i="3"/>
  <c r="J1061" i="3"/>
  <c r="E1061" i="3"/>
  <c r="D1061" i="3"/>
  <c r="H1061" i="3"/>
  <c r="I1061" i="3"/>
  <c r="S1028" i="3"/>
  <c r="P1028" i="3"/>
  <c r="O1028" i="3"/>
  <c r="M1028" i="3"/>
  <c r="N1028" i="3"/>
  <c r="L1028" i="3"/>
  <c r="K1028" i="3"/>
  <c r="J1028" i="3"/>
  <c r="D1028" i="3"/>
  <c r="E1028" i="3"/>
  <c r="H1028" i="3"/>
  <c r="I1028" i="3"/>
  <c r="S991" i="3"/>
  <c r="P991" i="3"/>
  <c r="O991" i="3"/>
  <c r="M991" i="3"/>
  <c r="N991" i="3"/>
  <c r="L991" i="3"/>
  <c r="J991" i="3"/>
  <c r="K991" i="3"/>
  <c r="E991" i="3"/>
  <c r="D991" i="3"/>
  <c r="H991" i="3"/>
  <c r="I991" i="3"/>
  <c r="S1120" i="3"/>
  <c r="P1120" i="3"/>
  <c r="N1120" i="3"/>
  <c r="M1120" i="3"/>
  <c r="O1120" i="3"/>
  <c r="L1120" i="3"/>
  <c r="J1120" i="3"/>
  <c r="K1120" i="3"/>
  <c r="D1120" i="3"/>
  <c r="H1120" i="3"/>
  <c r="I1120" i="3"/>
  <c r="E1120" i="3"/>
  <c r="S1116" i="3"/>
  <c r="P1116" i="3"/>
  <c r="O1116" i="3"/>
  <c r="N1116" i="3"/>
  <c r="M1116" i="3"/>
  <c r="L1116" i="3"/>
  <c r="K1116" i="3"/>
  <c r="J1116" i="3"/>
  <c r="E1116" i="3"/>
  <c r="D1116" i="3"/>
  <c r="H1116" i="3"/>
  <c r="I1116" i="3"/>
  <c r="S952" i="3"/>
  <c r="P952" i="3"/>
  <c r="O952" i="3"/>
  <c r="N952" i="3"/>
  <c r="M952" i="3"/>
  <c r="L952" i="3"/>
  <c r="K952" i="3"/>
  <c r="J952" i="3"/>
  <c r="E952" i="3"/>
  <c r="D952" i="3"/>
  <c r="H952" i="3"/>
  <c r="I952" i="3"/>
  <c r="S1113" i="3"/>
  <c r="P1113" i="3"/>
  <c r="O1113" i="3"/>
  <c r="N1113" i="3"/>
  <c r="M1113" i="3"/>
  <c r="L1113" i="3"/>
  <c r="K1113" i="3"/>
  <c r="J1113" i="3"/>
  <c r="E1113" i="3"/>
  <c r="D1113" i="3"/>
  <c r="H1113" i="3"/>
  <c r="I1113" i="3"/>
  <c r="S1081" i="3"/>
  <c r="P1081" i="3"/>
  <c r="O1081" i="3"/>
  <c r="N1081" i="3"/>
  <c r="M1081" i="3"/>
  <c r="K1081" i="3"/>
  <c r="J1081" i="3"/>
  <c r="L1081" i="3"/>
  <c r="E1081" i="3"/>
  <c r="D1081" i="3"/>
  <c r="H1081" i="3"/>
  <c r="I1081" i="3"/>
  <c r="S909" i="3"/>
  <c r="P909" i="3"/>
  <c r="O909" i="3"/>
  <c r="N909" i="3"/>
  <c r="L909" i="3"/>
  <c r="M909" i="3"/>
  <c r="K909" i="3"/>
  <c r="J909" i="3"/>
  <c r="E909" i="3"/>
  <c r="D909" i="3"/>
  <c r="H909" i="3"/>
  <c r="I909" i="3"/>
  <c r="S1042" i="3"/>
  <c r="P1042" i="3"/>
  <c r="O1042" i="3"/>
  <c r="M1042" i="3"/>
  <c r="N1042" i="3"/>
  <c r="L1042" i="3"/>
  <c r="K1042" i="3"/>
  <c r="J1042" i="3"/>
  <c r="E1042" i="3"/>
  <c r="D1042" i="3"/>
  <c r="H1042" i="3"/>
  <c r="I1042" i="3"/>
  <c r="S920" i="3"/>
  <c r="P920" i="3"/>
  <c r="O920" i="3"/>
  <c r="N920" i="3"/>
  <c r="M920" i="3"/>
  <c r="L920" i="3"/>
  <c r="K920" i="3"/>
  <c r="J920" i="3"/>
  <c r="E920" i="3"/>
  <c r="D920" i="3"/>
  <c r="H920" i="3"/>
  <c r="I920" i="3"/>
  <c r="S1073" i="3"/>
  <c r="P1073" i="3"/>
  <c r="N1073" i="3"/>
  <c r="M1073" i="3"/>
  <c r="O1073" i="3"/>
  <c r="L1073" i="3"/>
  <c r="J1073" i="3"/>
  <c r="K1073" i="3"/>
  <c r="D1073" i="3"/>
  <c r="E1073" i="3"/>
  <c r="H1073" i="3"/>
  <c r="I1073" i="3"/>
  <c r="S1037" i="3"/>
  <c r="O1037" i="3"/>
  <c r="P1037" i="3"/>
  <c r="N1037" i="3"/>
  <c r="M1037" i="3"/>
  <c r="L1037" i="3"/>
  <c r="K1037" i="3"/>
  <c r="E1037" i="3"/>
  <c r="J1037" i="3"/>
  <c r="D1037" i="3"/>
  <c r="H1037" i="3"/>
  <c r="I1037" i="3"/>
  <c r="S1050" i="3"/>
  <c r="P1050" i="3"/>
  <c r="O1050" i="3"/>
  <c r="N1050" i="3"/>
  <c r="M1050" i="3"/>
  <c r="L1050" i="3"/>
  <c r="K1050" i="3"/>
  <c r="E1050" i="3"/>
  <c r="J1050" i="3"/>
  <c r="D1050" i="3"/>
  <c r="H1050" i="3"/>
  <c r="I1050" i="3"/>
  <c r="S1017" i="3"/>
  <c r="P1017" i="3"/>
  <c r="O1017" i="3"/>
  <c r="N1017" i="3"/>
  <c r="M1017" i="3"/>
  <c r="L1017" i="3"/>
  <c r="K1017" i="3"/>
  <c r="J1017" i="3"/>
  <c r="E1017" i="3"/>
  <c r="D1017" i="3"/>
  <c r="H1017" i="3"/>
  <c r="I1017" i="3"/>
  <c r="S1030" i="3"/>
  <c r="P1030" i="3"/>
  <c r="O1030" i="3"/>
  <c r="N1030" i="3"/>
  <c r="M1030" i="3"/>
  <c r="L1030" i="3"/>
  <c r="K1030" i="3"/>
  <c r="J1030" i="3"/>
  <c r="E1030" i="3"/>
  <c r="D1030" i="3"/>
  <c r="I1030" i="3"/>
  <c r="H1030" i="3"/>
  <c r="S985" i="3"/>
  <c r="P985" i="3"/>
  <c r="O985" i="3"/>
  <c r="M985" i="3"/>
  <c r="N985" i="3"/>
  <c r="L985" i="3"/>
  <c r="K985" i="3"/>
  <c r="J985" i="3"/>
  <c r="E985" i="3"/>
  <c r="D985" i="3"/>
  <c r="H985" i="3"/>
  <c r="I985" i="3"/>
  <c r="S1009" i="3"/>
  <c r="P1009" i="3"/>
  <c r="O1009" i="3"/>
  <c r="N1009" i="3"/>
  <c r="M1009" i="3"/>
  <c r="L1009" i="3"/>
  <c r="K1009" i="3"/>
  <c r="J1009" i="3"/>
  <c r="E1009" i="3"/>
  <c r="D1009" i="3"/>
  <c r="H1009" i="3"/>
  <c r="I1009" i="3"/>
  <c r="S955" i="3"/>
  <c r="P955" i="3"/>
  <c r="O955" i="3"/>
  <c r="N955" i="3"/>
  <c r="M955" i="3"/>
  <c r="K955" i="3"/>
  <c r="L955" i="3"/>
  <c r="E955" i="3"/>
  <c r="J955" i="3"/>
  <c r="D955" i="3"/>
  <c r="H955" i="3"/>
  <c r="I955" i="3"/>
  <c r="S722" i="3"/>
  <c r="P722" i="3"/>
  <c r="O722" i="3"/>
  <c r="N722" i="3"/>
  <c r="M722" i="3"/>
  <c r="K722" i="3"/>
  <c r="J722" i="3"/>
  <c r="L722" i="3"/>
  <c r="E722" i="3"/>
  <c r="D722" i="3"/>
  <c r="H722" i="3"/>
  <c r="I722" i="3"/>
  <c r="S894" i="3"/>
  <c r="P894" i="3"/>
  <c r="O894" i="3"/>
  <c r="N894" i="3"/>
  <c r="M894" i="3"/>
  <c r="L894" i="3"/>
  <c r="K894" i="3"/>
  <c r="J894" i="3"/>
  <c r="E894" i="3"/>
  <c r="D894" i="3"/>
  <c r="H894" i="3"/>
  <c r="I894" i="3"/>
  <c r="S877" i="3"/>
  <c r="P877" i="3"/>
  <c r="O877" i="3"/>
  <c r="N877" i="3"/>
  <c r="M877" i="3"/>
  <c r="L877" i="3"/>
  <c r="K877" i="3"/>
  <c r="J877" i="3"/>
  <c r="E877" i="3"/>
  <c r="D877" i="3"/>
  <c r="H877" i="3"/>
  <c r="I877" i="3"/>
  <c r="S919" i="3"/>
  <c r="P919" i="3"/>
  <c r="O919" i="3"/>
  <c r="N919" i="3"/>
  <c r="M919" i="3"/>
  <c r="L919" i="3"/>
  <c r="K919" i="3"/>
  <c r="J919" i="3"/>
  <c r="E919" i="3"/>
  <c r="D919" i="3"/>
  <c r="H919" i="3"/>
  <c r="I919" i="3"/>
  <c r="S635" i="3"/>
  <c r="P635" i="3"/>
  <c r="O635" i="3"/>
  <c r="N635" i="3"/>
  <c r="M635" i="3"/>
  <c r="L635" i="3"/>
  <c r="K635" i="3"/>
  <c r="J635" i="3"/>
  <c r="E635" i="3"/>
  <c r="D635" i="3"/>
  <c r="I635" i="3"/>
  <c r="H635" i="3"/>
  <c r="S834" i="3"/>
  <c r="P834" i="3"/>
  <c r="O834" i="3"/>
  <c r="N834" i="3"/>
  <c r="L834" i="3"/>
  <c r="K834" i="3"/>
  <c r="J834" i="3"/>
  <c r="M834" i="3"/>
  <c r="E834" i="3"/>
  <c r="D834" i="3"/>
  <c r="H834" i="3"/>
  <c r="I834" i="3"/>
  <c r="S816" i="3"/>
  <c r="P816" i="3"/>
  <c r="O816" i="3"/>
  <c r="N816" i="3"/>
  <c r="M816" i="3"/>
  <c r="L816" i="3"/>
  <c r="K816" i="3"/>
  <c r="J816" i="3"/>
  <c r="E816" i="3"/>
  <c r="D816" i="3"/>
  <c r="H816" i="3"/>
  <c r="I816" i="3"/>
  <c r="S853" i="3"/>
  <c r="P853" i="3"/>
  <c r="O853" i="3"/>
  <c r="N853" i="3"/>
  <c r="M853" i="3"/>
  <c r="K853" i="3"/>
  <c r="J853" i="3"/>
  <c r="L853" i="3"/>
  <c r="E853" i="3"/>
  <c r="D853" i="3"/>
  <c r="H853" i="3"/>
  <c r="I853" i="3"/>
  <c r="S841" i="3"/>
  <c r="P841" i="3"/>
  <c r="O841" i="3"/>
  <c r="M841" i="3"/>
  <c r="N841" i="3"/>
  <c r="L841" i="3"/>
  <c r="J841" i="3"/>
  <c r="K841" i="3"/>
  <c r="E841" i="3"/>
  <c r="D841" i="3"/>
  <c r="H841" i="3"/>
  <c r="I841" i="3"/>
  <c r="S620" i="3"/>
  <c r="P620" i="3"/>
  <c r="O620" i="3"/>
  <c r="N620" i="3"/>
  <c r="M620" i="3"/>
  <c r="L620" i="3"/>
  <c r="K620" i="3"/>
  <c r="J620" i="3"/>
  <c r="E620" i="3"/>
  <c r="D620" i="3"/>
  <c r="H620" i="3"/>
  <c r="I620" i="3"/>
  <c r="S822" i="3"/>
  <c r="P822" i="3"/>
  <c r="O822" i="3"/>
  <c r="N822" i="3"/>
  <c r="M822" i="3"/>
  <c r="K822" i="3"/>
  <c r="L822" i="3"/>
  <c r="J822" i="3"/>
  <c r="E822" i="3"/>
  <c r="D822" i="3"/>
  <c r="H822" i="3"/>
  <c r="I822" i="3"/>
  <c r="S808" i="3"/>
  <c r="P808" i="3"/>
  <c r="O808" i="3"/>
  <c r="N808" i="3"/>
  <c r="M808" i="3"/>
  <c r="L808" i="3"/>
  <c r="J808" i="3"/>
  <c r="K808" i="3"/>
  <c r="E808" i="3"/>
  <c r="D808" i="3"/>
  <c r="H808" i="3"/>
  <c r="I808" i="3"/>
  <c r="S770" i="3"/>
  <c r="P770" i="3"/>
  <c r="O770" i="3"/>
  <c r="N770" i="3"/>
  <c r="M770" i="3"/>
  <c r="L770" i="3"/>
  <c r="K770" i="3"/>
  <c r="J770" i="3"/>
  <c r="E770" i="3"/>
  <c r="D770" i="3"/>
  <c r="H770" i="3"/>
  <c r="I770" i="3"/>
  <c r="S711" i="3"/>
  <c r="P711" i="3"/>
  <c r="O711" i="3"/>
  <c r="N711" i="3"/>
  <c r="M711" i="3"/>
  <c r="L711" i="3"/>
  <c r="K711" i="3"/>
  <c r="J711" i="3"/>
  <c r="E711" i="3"/>
  <c r="D711" i="3"/>
  <c r="H711" i="3"/>
  <c r="I711" i="3"/>
  <c r="S703" i="3"/>
  <c r="P703" i="3"/>
  <c r="O703" i="3"/>
  <c r="N703" i="3"/>
  <c r="M703" i="3"/>
  <c r="L703" i="3"/>
  <c r="K703" i="3"/>
  <c r="J703" i="3"/>
  <c r="E703" i="3"/>
  <c r="D703" i="3"/>
  <c r="H703" i="3"/>
  <c r="I703" i="3"/>
  <c r="S738" i="3"/>
  <c r="P738" i="3"/>
  <c r="O738" i="3"/>
  <c r="M738" i="3"/>
  <c r="N738" i="3"/>
  <c r="L738" i="3"/>
  <c r="J738" i="3"/>
  <c r="K738" i="3"/>
  <c r="D738" i="3"/>
  <c r="E738" i="3"/>
  <c r="H738" i="3"/>
  <c r="I738" i="3"/>
  <c r="S482" i="3"/>
  <c r="O482" i="3"/>
  <c r="P482" i="3"/>
  <c r="N482" i="3"/>
  <c r="M482" i="3"/>
  <c r="L482" i="3"/>
  <c r="K482" i="3"/>
  <c r="J482" i="3"/>
  <c r="E482" i="3"/>
  <c r="D482" i="3"/>
  <c r="I482" i="3"/>
  <c r="H482" i="3"/>
  <c r="S656" i="3"/>
  <c r="P656" i="3"/>
  <c r="O656" i="3"/>
  <c r="M656" i="3"/>
  <c r="N656" i="3"/>
  <c r="L656" i="3"/>
  <c r="J656" i="3"/>
  <c r="K656" i="3"/>
  <c r="E656" i="3"/>
  <c r="D656" i="3"/>
  <c r="H656" i="3"/>
  <c r="I656" i="3"/>
  <c r="S679" i="3"/>
  <c r="O679" i="3"/>
  <c r="P679" i="3"/>
  <c r="N679" i="3"/>
  <c r="M679" i="3"/>
  <c r="L679" i="3"/>
  <c r="K679" i="3"/>
  <c r="J679" i="3"/>
  <c r="E679" i="3"/>
  <c r="D679" i="3"/>
  <c r="H679" i="3"/>
  <c r="I679" i="3"/>
  <c r="S666" i="3"/>
  <c r="P666" i="3"/>
  <c r="O666" i="3"/>
  <c r="N666" i="3"/>
  <c r="M666" i="3"/>
  <c r="L666" i="3"/>
  <c r="K666" i="3"/>
  <c r="J666" i="3"/>
  <c r="E666" i="3"/>
  <c r="D666" i="3"/>
  <c r="H666" i="3"/>
  <c r="I666" i="3"/>
  <c r="S682" i="3"/>
  <c r="P682" i="3"/>
  <c r="O682" i="3"/>
  <c r="N682" i="3"/>
  <c r="M682" i="3"/>
  <c r="L682" i="3"/>
  <c r="K682" i="3"/>
  <c r="J682" i="3"/>
  <c r="E682" i="3"/>
  <c r="D682" i="3"/>
  <c r="H682" i="3"/>
  <c r="I682" i="3"/>
  <c r="S599" i="3"/>
  <c r="P599" i="3"/>
  <c r="O599" i="3"/>
  <c r="M599" i="3"/>
  <c r="N599" i="3"/>
  <c r="L599" i="3"/>
  <c r="K599" i="3"/>
  <c r="J599" i="3"/>
  <c r="E599" i="3"/>
  <c r="D599" i="3"/>
  <c r="H599" i="3"/>
  <c r="I599" i="3"/>
  <c r="S588" i="3"/>
  <c r="P588" i="3"/>
  <c r="O588" i="3"/>
  <c r="N588" i="3"/>
  <c r="M588" i="3"/>
  <c r="L588" i="3"/>
  <c r="K588" i="3"/>
  <c r="J588" i="3"/>
  <c r="E588" i="3"/>
  <c r="D588" i="3"/>
  <c r="I588" i="3"/>
  <c r="H588" i="3"/>
  <c r="S574" i="3"/>
  <c r="P574" i="3"/>
  <c r="O574" i="3"/>
  <c r="N574" i="3"/>
  <c r="L574" i="3"/>
  <c r="M574" i="3"/>
  <c r="K574" i="3"/>
  <c r="J574" i="3"/>
  <c r="E574" i="3"/>
  <c r="D574" i="3"/>
  <c r="H574" i="3"/>
  <c r="I574" i="3"/>
  <c r="S611" i="3"/>
  <c r="O611" i="3"/>
  <c r="P611" i="3"/>
  <c r="N611" i="3"/>
  <c r="L611" i="3"/>
  <c r="M611" i="3"/>
  <c r="K611" i="3"/>
  <c r="J611" i="3"/>
  <c r="E611" i="3"/>
  <c r="D611" i="3"/>
  <c r="H611" i="3"/>
  <c r="I611" i="3"/>
  <c r="S547" i="3"/>
  <c r="P547" i="3"/>
  <c r="O547" i="3"/>
  <c r="N547" i="3"/>
  <c r="M547" i="3"/>
  <c r="L547" i="3"/>
  <c r="K547" i="3"/>
  <c r="J547" i="3"/>
  <c r="E547" i="3"/>
  <c r="D547" i="3"/>
  <c r="I547" i="3"/>
  <c r="H547" i="3"/>
  <c r="S627" i="3"/>
  <c r="P627" i="3"/>
  <c r="O627" i="3"/>
  <c r="N627" i="3"/>
  <c r="M627" i="3"/>
  <c r="L627" i="3"/>
  <c r="K627" i="3"/>
  <c r="J627" i="3"/>
  <c r="E627" i="3"/>
  <c r="D627" i="3"/>
  <c r="H627" i="3"/>
  <c r="I627" i="3"/>
  <c r="S567" i="3"/>
  <c r="P567" i="3"/>
  <c r="O567" i="3"/>
  <c r="N567" i="3"/>
  <c r="M567" i="3"/>
  <c r="L567" i="3"/>
  <c r="K567" i="3"/>
  <c r="J567" i="3"/>
  <c r="E567" i="3"/>
  <c r="D567" i="3"/>
  <c r="H567" i="3"/>
  <c r="I567" i="3"/>
  <c r="S554" i="3"/>
  <c r="P554" i="3"/>
  <c r="O554" i="3"/>
  <c r="N554" i="3"/>
  <c r="M554" i="3"/>
  <c r="L554" i="3"/>
  <c r="K554" i="3"/>
  <c r="J554" i="3"/>
  <c r="E554" i="3"/>
  <c r="D554" i="3"/>
  <c r="H554" i="3"/>
  <c r="I554" i="3"/>
  <c r="S505" i="3"/>
  <c r="P505" i="3"/>
  <c r="O505" i="3"/>
  <c r="N505" i="3"/>
  <c r="M505" i="3"/>
  <c r="L505" i="3"/>
  <c r="K505" i="3"/>
  <c r="J505" i="3"/>
  <c r="E505" i="3"/>
  <c r="D505" i="3"/>
  <c r="H505" i="3"/>
  <c r="I505" i="3"/>
  <c r="S494" i="3"/>
  <c r="P494" i="3"/>
  <c r="O494" i="3"/>
  <c r="N494" i="3"/>
  <c r="M494" i="3"/>
  <c r="K494" i="3"/>
  <c r="L494" i="3"/>
  <c r="J494" i="3"/>
  <c r="E494" i="3"/>
  <c r="D494" i="3"/>
  <c r="H494" i="3"/>
  <c r="I494" i="3"/>
  <c r="S553" i="3"/>
  <c r="P553" i="3"/>
  <c r="N553" i="3"/>
  <c r="O553" i="3"/>
  <c r="M553" i="3"/>
  <c r="L553" i="3"/>
  <c r="K553" i="3"/>
  <c r="E553" i="3"/>
  <c r="J553" i="3"/>
  <c r="D553" i="3"/>
  <c r="H553" i="3"/>
  <c r="I553" i="3"/>
  <c r="S583" i="3"/>
  <c r="P583" i="3"/>
  <c r="O583" i="3"/>
  <c r="N583" i="3"/>
  <c r="L583" i="3"/>
  <c r="K583" i="3"/>
  <c r="M583" i="3"/>
  <c r="J583" i="3"/>
  <c r="E583" i="3"/>
  <c r="D583" i="3"/>
  <c r="H583" i="3"/>
  <c r="I583" i="3"/>
  <c r="S516" i="3"/>
  <c r="P516" i="3"/>
  <c r="N516" i="3"/>
  <c r="O516" i="3"/>
  <c r="L516" i="3"/>
  <c r="M516" i="3"/>
  <c r="K516" i="3"/>
  <c r="E516" i="3"/>
  <c r="J516" i="3"/>
  <c r="D516" i="3"/>
  <c r="H516" i="3"/>
  <c r="I516" i="3"/>
  <c r="S507" i="3"/>
  <c r="P507" i="3"/>
  <c r="O507" i="3"/>
  <c r="N507" i="3"/>
  <c r="M507" i="3"/>
  <c r="L507" i="3"/>
  <c r="K507" i="3"/>
  <c r="J507" i="3"/>
  <c r="E507" i="3"/>
  <c r="D507" i="3"/>
  <c r="H507" i="3"/>
  <c r="I507" i="3"/>
  <c r="S453" i="3"/>
  <c r="P453" i="3"/>
  <c r="O453" i="3"/>
  <c r="N453" i="3"/>
  <c r="M453" i="3"/>
  <c r="K453" i="3"/>
  <c r="L453" i="3"/>
  <c r="J453" i="3"/>
  <c r="E453" i="3"/>
  <c r="D453" i="3"/>
  <c r="H453" i="3"/>
  <c r="I453" i="3"/>
  <c r="S419" i="3"/>
  <c r="P419" i="3"/>
  <c r="O419" i="3"/>
  <c r="N419" i="3"/>
  <c r="M419" i="3"/>
  <c r="L419" i="3"/>
  <c r="K419" i="3"/>
  <c r="J419" i="3"/>
  <c r="E419" i="3"/>
  <c r="D419" i="3"/>
  <c r="H419" i="3"/>
  <c r="I419" i="3"/>
  <c r="S470" i="3"/>
  <c r="P470" i="3"/>
  <c r="O470" i="3"/>
  <c r="N470" i="3"/>
  <c r="L470" i="3"/>
  <c r="M470" i="3"/>
  <c r="K470" i="3"/>
  <c r="J470" i="3"/>
  <c r="E470" i="3"/>
  <c r="D470" i="3"/>
  <c r="H470" i="3"/>
  <c r="I470" i="3"/>
  <c r="S388" i="3"/>
  <c r="P388" i="3"/>
  <c r="O388" i="3"/>
  <c r="N388" i="3"/>
  <c r="M388" i="3"/>
  <c r="L388" i="3"/>
  <c r="K388" i="3"/>
  <c r="J388" i="3"/>
  <c r="E388" i="3"/>
  <c r="D388" i="3"/>
  <c r="H388" i="3"/>
  <c r="I388" i="3"/>
  <c r="S412" i="3"/>
  <c r="P412" i="3"/>
  <c r="O412" i="3"/>
  <c r="N412" i="3"/>
  <c r="M412" i="3"/>
  <c r="L412" i="3"/>
  <c r="K412" i="3"/>
  <c r="J412" i="3"/>
  <c r="E412" i="3"/>
  <c r="D412" i="3"/>
  <c r="H412" i="3"/>
  <c r="I412" i="3"/>
  <c r="S390" i="3"/>
  <c r="P390" i="3"/>
  <c r="O390" i="3"/>
  <c r="N390" i="3"/>
  <c r="M390" i="3"/>
  <c r="L390" i="3"/>
  <c r="K390" i="3"/>
  <c r="J390" i="3"/>
  <c r="E390" i="3"/>
  <c r="D390" i="3"/>
  <c r="H390" i="3"/>
  <c r="I390" i="3"/>
  <c r="S316" i="3"/>
  <c r="P316" i="3"/>
  <c r="O316" i="3"/>
  <c r="N316" i="3"/>
  <c r="M316" i="3"/>
  <c r="L316" i="3"/>
  <c r="K316" i="3"/>
  <c r="J316" i="3"/>
  <c r="E316" i="3"/>
  <c r="D316" i="3"/>
  <c r="H316" i="3"/>
  <c r="I316" i="3"/>
  <c r="S344" i="3"/>
  <c r="P344" i="3"/>
  <c r="O344" i="3"/>
  <c r="N344" i="3"/>
  <c r="M344" i="3"/>
  <c r="L344" i="3"/>
  <c r="K344" i="3"/>
  <c r="J344" i="3"/>
  <c r="E344" i="3"/>
  <c r="D344" i="3"/>
  <c r="H344" i="3"/>
  <c r="I344" i="3"/>
  <c r="S319" i="3"/>
  <c r="P319" i="3"/>
  <c r="O319" i="3"/>
  <c r="N319" i="3"/>
  <c r="M319" i="3"/>
  <c r="L319" i="3"/>
  <c r="K319" i="3"/>
  <c r="J319" i="3"/>
  <c r="E319" i="3"/>
  <c r="D319" i="3"/>
  <c r="H319" i="3"/>
  <c r="I319" i="3"/>
  <c r="S304" i="3"/>
  <c r="P304" i="3"/>
  <c r="N304" i="3"/>
  <c r="O304" i="3"/>
  <c r="M304" i="3"/>
  <c r="L304" i="3"/>
  <c r="K304" i="3"/>
  <c r="J304" i="3"/>
  <c r="E304" i="3"/>
  <c r="D304" i="3"/>
  <c r="H304" i="3"/>
  <c r="I304" i="3"/>
  <c r="S267" i="3"/>
  <c r="P267" i="3"/>
  <c r="O267" i="3"/>
  <c r="N267" i="3"/>
  <c r="M267" i="3"/>
  <c r="L267" i="3"/>
  <c r="K267" i="3"/>
  <c r="J267" i="3"/>
  <c r="E267" i="3"/>
  <c r="D267" i="3"/>
  <c r="H267" i="3"/>
  <c r="I267" i="3"/>
  <c r="S265" i="3"/>
  <c r="P265" i="3"/>
  <c r="O265" i="3"/>
  <c r="N265" i="3"/>
  <c r="M265" i="3"/>
  <c r="L265" i="3"/>
  <c r="K265" i="3"/>
  <c r="J265" i="3"/>
  <c r="E265" i="3"/>
  <c r="D265" i="3"/>
  <c r="H265" i="3"/>
  <c r="I265" i="3"/>
  <c r="S204" i="3"/>
  <c r="P204" i="3"/>
  <c r="O204" i="3"/>
  <c r="N204" i="3"/>
  <c r="M204" i="3"/>
  <c r="L204" i="3"/>
  <c r="K204" i="3"/>
  <c r="J204" i="3"/>
  <c r="E204" i="3"/>
  <c r="D204" i="3"/>
  <c r="H204" i="3"/>
  <c r="I204" i="3"/>
  <c r="S182" i="3"/>
  <c r="P182" i="3"/>
  <c r="N182" i="3"/>
  <c r="O182" i="3"/>
  <c r="M182" i="3"/>
  <c r="L182" i="3"/>
  <c r="K182" i="3"/>
  <c r="J182" i="3"/>
  <c r="D182" i="3"/>
  <c r="E182" i="3"/>
  <c r="H182" i="3"/>
  <c r="I182" i="3"/>
  <c r="S159" i="3"/>
  <c r="P159" i="3"/>
  <c r="O159" i="3"/>
  <c r="N159" i="3"/>
  <c r="L159" i="3"/>
  <c r="J159" i="3"/>
  <c r="K159" i="3"/>
  <c r="M159" i="3"/>
  <c r="E159" i="3"/>
  <c r="D159" i="3"/>
  <c r="H159" i="3"/>
  <c r="I159" i="3"/>
  <c r="S145" i="3"/>
  <c r="P145" i="3"/>
  <c r="O145" i="3"/>
  <c r="N145" i="3"/>
  <c r="M145" i="3"/>
  <c r="L145" i="3"/>
  <c r="K145" i="3"/>
  <c r="J145" i="3"/>
  <c r="D145" i="3"/>
  <c r="E145" i="3"/>
  <c r="I145" i="3"/>
  <c r="H145" i="3"/>
  <c r="S138" i="3"/>
  <c r="P138" i="3"/>
  <c r="N138" i="3"/>
  <c r="O138" i="3"/>
  <c r="M138" i="3"/>
  <c r="K138" i="3"/>
  <c r="L138" i="3"/>
  <c r="J138" i="3"/>
  <c r="D138" i="3"/>
  <c r="E138" i="3"/>
  <c r="I138" i="3"/>
  <c r="H138" i="3"/>
  <c r="S133" i="3"/>
  <c r="P133" i="3"/>
  <c r="O133" i="3"/>
  <c r="N133" i="3"/>
  <c r="M133" i="3"/>
  <c r="L133" i="3"/>
  <c r="K133" i="3"/>
  <c r="J133" i="3"/>
  <c r="D133" i="3"/>
  <c r="E133" i="3"/>
  <c r="I133" i="3"/>
  <c r="H133" i="3"/>
  <c r="S116" i="3"/>
  <c r="P116" i="3"/>
  <c r="O116" i="3"/>
  <c r="N116" i="3"/>
  <c r="M116" i="3"/>
  <c r="K116" i="3"/>
  <c r="L116" i="3"/>
  <c r="J116" i="3"/>
  <c r="D116" i="3"/>
  <c r="E116" i="3"/>
  <c r="I116" i="3"/>
  <c r="H116" i="3"/>
  <c r="S79" i="3"/>
  <c r="P79" i="3"/>
  <c r="O79" i="3"/>
  <c r="N79" i="3"/>
  <c r="M79" i="3"/>
  <c r="L79" i="3"/>
  <c r="K79" i="3"/>
  <c r="J79" i="3"/>
  <c r="D79" i="3"/>
  <c r="E79" i="3"/>
  <c r="I79" i="3"/>
  <c r="H79" i="3"/>
  <c r="S55" i="3"/>
  <c r="P55" i="3"/>
  <c r="O55" i="3"/>
  <c r="N55" i="3"/>
  <c r="M55" i="3"/>
  <c r="L55" i="3"/>
  <c r="K55" i="3"/>
  <c r="J55" i="3"/>
  <c r="D55" i="3"/>
  <c r="I55" i="3"/>
  <c r="E55" i="3"/>
  <c r="H55" i="3"/>
  <c r="S43" i="3"/>
  <c r="P43" i="3"/>
  <c r="O43" i="3"/>
  <c r="N43" i="3"/>
  <c r="M43" i="3"/>
  <c r="L43" i="3"/>
  <c r="K43" i="3"/>
  <c r="J43" i="3"/>
  <c r="E43" i="3"/>
  <c r="D43" i="3"/>
  <c r="H43" i="3"/>
  <c r="I43" i="3"/>
  <c r="S33" i="3"/>
  <c r="P33" i="3"/>
  <c r="O33" i="3"/>
  <c r="N33" i="3"/>
  <c r="M33" i="3"/>
  <c r="L33" i="3"/>
  <c r="K33" i="3"/>
  <c r="J33" i="3"/>
  <c r="E33" i="3"/>
  <c r="D33" i="3"/>
  <c r="H33" i="3"/>
  <c r="I33" i="3"/>
  <c r="S22" i="3"/>
  <c r="P22" i="3"/>
  <c r="O22" i="3"/>
  <c r="N22" i="3"/>
  <c r="L22" i="3"/>
  <c r="M22" i="3"/>
  <c r="K22" i="3"/>
  <c r="J22" i="3"/>
  <c r="E22" i="3"/>
  <c r="D22" i="3"/>
  <c r="I22" i="3"/>
  <c r="H22" i="3"/>
  <c r="S10" i="3"/>
  <c r="P10" i="3"/>
  <c r="O10" i="3"/>
  <c r="N10" i="3"/>
  <c r="M10" i="3"/>
  <c r="L10" i="3"/>
  <c r="K10" i="3"/>
  <c r="J10" i="3"/>
  <c r="D10" i="3"/>
  <c r="E10" i="3"/>
  <c r="H10" i="3"/>
  <c r="I10" i="3"/>
  <c r="T569" i="3"/>
  <c r="W569" i="3" s="1"/>
  <c r="S241" i="3"/>
  <c r="P241" i="3"/>
  <c r="O241" i="3"/>
  <c r="M241" i="3"/>
  <c r="L241" i="3"/>
  <c r="K241" i="3"/>
  <c r="N241" i="3"/>
  <c r="J241" i="3"/>
  <c r="E241" i="3"/>
  <c r="D241" i="3"/>
  <c r="H241" i="3"/>
  <c r="S443" i="3"/>
  <c r="P443" i="3"/>
  <c r="O443" i="3"/>
  <c r="N443" i="3"/>
  <c r="M443" i="3"/>
  <c r="L443" i="3"/>
  <c r="K443" i="3"/>
  <c r="J443" i="3"/>
  <c r="E443" i="3"/>
  <c r="D443" i="3"/>
  <c r="H443" i="3"/>
  <c r="S831" i="3"/>
  <c r="P831" i="3"/>
  <c r="O831" i="3"/>
  <c r="N831" i="3"/>
  <c r="M831" i="3"/>
  <c r="L831" i="3"/>
  <c r="K831" i="3"/>
  <c r="J831" i="3"/>
  <c r="E831" i="3"/>
  <c r="D831" i="3"/>
  <c r="H831" i="3"/>
  <c r="S514" i="3"/>
  <c r="P514" i="3"/>
  <c r="O514" i="3"/>
  <c r="N514" i="3"/>
  <c r="M514" i="3"/>
  <c r="L514" i="3"/>
  <c r="K514" i="3"/>
  <c r="J514" i="3"/>
  <c r="E514" i="3"/>
  <c r="D514" i="3"/>
  <c r="H514" i="3"/>
  <c r="S413" i="3"/>
  <c r="P413" i="3"/>
  <c r="O413" i="3"/>
  <c r="N413" i="3"/>
  <c r="M413" i="3"/>
  <c r="L413" i="3"/>
  <c r="K413" i="3"/>
  <c r="J413" i="3"/>
  <c r="E413" i="3"/>
  <c r="D413" i="3"/>
  <c r="H413" i="3"/>
  <c r="S293" i="3"/>
  <c r="P293" i="3"/>
  <c r="O293" i="3"/>
  <c r="N293" i="3"/>
  <c r="M293" i="3"/>
  <c r="L293" i="3"/>
  <c r="K293" i="3"/>
  <c r="J293" i="3"/>
  <c r="E293" i="3"/>
  <c r="D293" i="3"/>
  <c r="H293" i="3"/>
  <c r="S937" i="3"/>
  <c r="P937" i="3"/>
  <c r="O937" i="3"/>
  <c r="M937" i="3"/>
  <c r="N937" i="3"/>
  <c r="K937" i="3"/>
  <c r="L937" i="3"/>
  <c r="J937" i="3"/>
  <c r="E937" i="3"/>
  <c r="D937" i="3"/>
  <c r="H937" i="3"/>
  <c r="S809" i="3"/>
  <c r="P809" i="3"/>
  <c r="O809" i="3"/>
  <c r="N809" i="3"/>
  <c r="M809" i="3"/>
  <c r="L809" i="3"/>
  <c r="K809" i="3"/>
  <c r="J809" i="3"/>
  <c r="E809" i="3"/>
  <c r="D809" i="3"/>
  <c r="H809" i="3"/>
  <c r="S78" i="3"/>
  <c r="P78" i="3"/>
  <c r="O78" i="3"/>
  <c r="N78" i="3"/>
  <c r="M78" i="3"/>
  <c r="L78" i="3"/>
  <c r="K78" i="3"/>
  <c r="J78" i="3"/>
  <c r="D78" i="3"/>
  <c r="E78" i="3"/>
  <c r="I78" i="3"/>
  <c r="H78" i="3"/>
  <c r="P899" i="3"/>
  <c r="S899" i="3"/>
  <c r="M899" i="3"/>
  <c r="N899" i="3"/>
  <c r="O899" i="3"/>
  <c r="L899" i="3"/>
  <c r="J899" i="3"/>
  <c r="K899" i="3"/>
  <c r="E899" i="3"/>
  <c r="D899" i="3"/>
  <c r="H899" i="3"/>
  <c r="S120" i="3"/>
  <c r="P120" i="3"/>
  <c r="N120" i="3"/>
  <c r="O120" i="3"/>
  <c r="M120" i="3"/>
  <c r="L120" i="3"/>
  <c r="K120" i="3"/>
  <c r="J120" i="3"/>
  <c r="E120" i="3"/>
  <c r="D120" i="3"/>
  <c r="H120" i="3"/>
  <c r="S240" i="3"/>
  <c r="P240" i="3"/>
  <c r="O240" i="3"/>
  <c r="N240" i="3"/>
  <c r="M240" i="3"/>
  <c r="L240" i="3"/>
  <c r="K240" i="3"/>
  <c r="J240" i="3"/>
  <c r="D240" i="3"/>
  <c r="E240" i="3"/>
  <c r="S819" i="3"/>
  <c r="P819" i="3"/>
  <c r="O819" i="3"/>
  <c r="N819" i="3"/>
  <c r="M819" i="3"/>
  <c r="L819" i="3"/>
  <c r="K819" i="3"/>
  <c r="E819" i="3"/>
  <c r="J819" i="3"/>
  <c r="D819" i="3"/>
  <c r="H819" i="3"/>
  <c r="I1182" i="3"/>
  <c r="I732" i="3"/>
  <c r="I821" i="3"/>
  <c r="I612" i="3"/>
  <c r="I481" i="3"/>
  <c r="I403" i="3"/>
  <c r="I394" i="3"/>
  <c r="I339" i="3"/>
  <c r="I193" i="3"/>
  <c r="I170" i="3"/>
  <c r="I175" i="3"/>
  <c r="H240" i="3"/>
  <c r="S721" i="3"/>
  <c r="P721" i="3"/>
  <c r="O721" i="3"/>
  <c r="N721" i="3"/>
  <c r="M721" i="3"/>
  <c r="L721" i="3"/>
  <c r="K721" i="3"/>
  <c r="J721" i="3"/>
  <c r="E721" i="3"/>
  <c r="D721" i="3"/>
  <c r="H721" i="3"/>
  <c r="S531" i="3"/>
  <c r="P531" i="3"/>
  <c r="O531" i="3"/>
  <c r="N531" i="3"/>
  <c r="L531" i="3"/>
  <c r="M531" i="3"/>
  <c r="K531" i="3"/>
  <c r="J531" i="3"/>
  <c r="E531" i="3"/>
  <c r="D531" i="3"/>
  <c r="H531" i="3"/>
  <c r="S984" i="3"/>
  <c r="P984" i="3"/>
  <c r="O984" i="3"/>
  <c r="N984" i="3"/>
  <c r="M984" i="3"/>
  <c r="L984" i="3"/>
  <c r="J984" i="3"/>
  <c r="K984" i="3"/>
  <c r="E984" i="3"/>
  <c r="D984" i="3"/>
  <c r="S286" i="3"/>
  <c r="P286" i="3"/>
  <c r="O286" i="3"/>
  <c r="N286" i="3"/>
  <c r="M286" i="3"/>
  <c r="L286" i="3"/>
  <c r="K286" i="3"/>
  <c r="J286" i="3"/>
  <c r="D286" i="3"/>
  <c r="E286" i="3"/>
  <c r="H286" i="3"/>
  <c r="S186" i="3"/>
  <c r="P186" i="3"/>
  <c r="O186" i="3"/>
  <c r="N186" i="3"/>
  <c r="M186" i="3"/>
  <c r="L186" i="3"/>
  <c r="K186" i="3"/>
  <c r="J186" i="3"/>
  <c r="D186" i="3"/>
  <c r="E186" i="3"/>
  <c r="H186" i="3"/>
  <c r="S75" i="3"/>
  <c r="P75" i="3"/>
  <c r="O75" i="3"/>
  <c r="N75" i="3"/>
  <c r="M75" i="3"/>
  <c r="L75" i="3"/>
  <c r="K75" i="3"/>
  <c r="J75" i="3"/>
  <c r="D75" i="3"/>
  <c r="E75" i="3"/>
  <c r="I75" i="3"/>
  <c r="H75" i="3"/>
  <c r="S56" i="3"/>
  <c r="P56" i="3"/>
  <c r="O56" i="3"/>
  <c r="N56" i="3"/>
  <c r="M56" i="3"/>
  <c r="L56" i="3"/>
  <c r="K56" i="3"/>
  <c r="J56" i="3"/>
  <c r="D56" i="3"/>
  <c r="E56" i="3"/>
  <c r="I56" i="3"/>
  <c r="S481" i="3"/>
  <c r="P481" i="3"/>
  <c r="O481" i="3"/>
  <c r="N481" i="3"/>
  <c r="M481" i="3"/>
  <c r="L481" i="3"/>
  <c r="K481" i="3"/>
  <c r="J481" i="3"/>
  <c r="E481" i="3"/>
  <c r="D481" i="3"/>
  <c r="H481" i="3"/>
  <c r="S294" i="3"/>
  <c r="P294" i="3"/>
  <c r="O294" i="3"/>
  <c r="N294" i="3"/>
  <c r="M294" i="3"/>
  <c r="L294" i="3"/>
  <c r="K294" i="3"/>
  <c r="J294" i="3"/>
  <c r="D294" i="3"/>
  <c r="E294" i="3"/>
  <c r="S693" i="3"/>
  <c r="P693" i="3"/>
  <c r="O693" i="3"/>
  <c r="M693" i="3"/>
  <c r="N693" i="3"/>
  <c r="L693" i="3"/>
  <c r="K693" i="3"/>
  <c r="J693" i="3"/>
  <c r="E693" i="3"/>
  <c r="D693" i="3"/>
  <c r="H693" i="3"/>
  <c r="S94" i="3"/>
  <c r="P94" i="3"/>
  <c r="O94" i="3"/>
  <c r="N94" i="3"/>
  <c r="M94" i="3"/>
  <c r="L94" i="3"/>
  <c r="K94" i="3"/>
  <c r="J94" i="3"/>
  <c r="D94" i="3"/>
  <c r="E94" i="3"/>
  <c r="I94" i="3"/>
  <c r="S502" i="3"/>
  <c r="P502" i="3"/>
  <c r="O502" i="3"/>
  <c r="N502" i="3"/>
  <c r="M502" i="3"/>
  <c r="L502" i="3"/>
  <c r="K502" i="3"/>
  <c r="J502" i="3"/>
  <c r="E502" i="3"/>
  <c r="D502" i="3"/>
  <c r="H502" i="3"/>
  <c r="S361" i="3"/>
  <c r="P361" i="3"/>
  <c r="O361" i="3"/>
  <c r="N361" i="3"/>
  <c r="M361" i="3"/>
  <c r="L361" i="3"/>
  <c r="K361" i="3"/>
  <c r="J361" i="3"/>
  <c r="E361" i="3"/>
  <c r="D361" i="3"/>
  <c r="H361" i="3"/>
  <c r="I569" i="3"/>
  <c r="I573" i="3"/>
  <c r="I443" i="3"/>
  <c r="I349" i="3"/>
  <c r="I338" i="3"/>
  <c r="I187" i="3"/>
  <c r="H984" i="3"/>
  <c r="H205" i="3"/>
  <c r="S76" i="3"/>
  <c r="P76" i="3"/>
  <c r="O76" i="3"/>
  <c r="N76" i="3"/>
  <c r="L76" i="3"/>
  <c r="M76" i="3"/>
  <c r="J76" i="3"/>
  <c r="K76" i="3"/>
  <c r="D76" i="3"/>
  <c r="E76" i="3"/>
  <c r="I76" i="3"/>
  <c r="H76" i="3"/>
  <c r="S306" i="3"/>
  <c r="P306" i="3"/>
  <c r="O306" i="3"/>
  <c r="N306" i="3"/>
  <c r="M306" i="3"/>
  <c r="L306" i="3"/>
  <c r="K306" i="3"/>
  <c r="J306" i="3"/>
  <c r="E306" i="3"/>
  <c r="D306" i="3"/>
  <c r="H306" i="3"/>
  <c r="S701" i="3"/>
  <c r="P701" i="3"/>
  <c r="O701" i="3"/>
  <c r="N701" i="3"/>
  <c r="M701" i="3"/>
  <c r="L701" i="3"/>
  <c r="K701" i="3"/>
  <c r="J701" i="3"/>
  <c r="E701" i="3"/>
  <c r="D701" i="3"/>
  <c r="H701" i="3"/>
  <c r="S150" i="3"/>
  <c r="P150" i="3"/>
  <c r="O150" i="3"/>
  <c r="N150" i="3"/>
  <c r="M150" i="3"/>
  <c r="L150" i="3"/>
  <c r="K150" i="3"/>
  <c r="J150" i="3"/>
  <c r="D150" i="3"/>
  <c r="E150" i="3"/>
  <c r="I150" i="3"/>
  <c r="S229" i="3"/>
  <c r="P229" i="3"/>
  <c r="O229" i="3"/>
  <c r="N229" i="3"/>
  <c r="M229" i="3"/>
  <c r="L229" i="3"/>
  <c r="K229" i="3"/>
  <c r="J229" i="3"/>
  <c r="D229" i="3"/>
  <c r="E229" i="3"/>
  <c r="S691" i="3"/>
  <c r="P691" i="3"/>
  <c r="O691" i="3"/>
  <c r="N691" i="3"/>
  <c r="M691" i="3"/>
  <c r="L691" i="3"/>
  <c r="J691" i="3"/>
  <c r="K691" i="3"/>
  <c r="E691" i="3"/>
  <c r="D691" i="3"/>
  <c r="S736" i="3"/>
  <c r="P736" i="3"/>
  <c r="O736" i="3"/>
  <c r="N736" i="3"/>
  <c r="M736" i="3"/>
  <c r="L736" i="3"/>
  <c r="K736" i="3"/>
  <c r="J736" i="3"/>
  <c r="E736" i="3"/>
  <c r="D736" i="3"/>
  <c r="H736" i="3"/>
  <c r="S601" i="3"/>
  <c r="P601" i="3"/>
  <c r="O601" i="3"/>
  <c r="N601" i="3"/>
  <c r="M601" i="3"/>
  <c r="L601" i="3"/>
  <c r="K601" i="3"/>
  <c r="E601" i="3"/>
  <c r="J601" i="3"/>
  <c r="D601" i="3"/>
  <c r="H601" i="3"/>
  <c r="S454" i="3"/>
  <c r="P454" i="3"/>
  <c r="O454" i="3"/>
  <c r="N454" i="3"/>
  <c r="M454" i="3"/>
  <c r="L454" i="3"/>
  <c r="K454" i="3"/>
  <c r="J454" i="3"/>
  <c r="E454" i="3"/>
  <c r="D454" i="3"/>
  <c r="H454" i="3"/>
  <c r="S44" i="3"/>
  <c r="P44" i="3"/>
  <c r="O44" i="3"/>
  <c r="N44" i="3"/>
  <c r="L44" i="3"/>
  <c r="M44" i="3"/>
  <c r="K44" i="3"/>
  <c r="J44" i="3"/>
  <c r="D44" i="3"/>
  <c r="E44" i="3"/>
  <c r="I44" i="3"/>
  <c r="H44" i="3"/>
  <c r="S64" i="3"/>
  <c r="P64" i="3"/>
  <c r="O64" i="3"/>
  <c r="N64" i="3"/>
  <c r="M64" i="3"/>
  <c r="L64" i="3"/>
  <c r="K64" i="3"/>
  <c r="J64" i="3"/>
  <c r="D64" i="3"/>
  <c r="E64" i="3"/>
  <c r="H64" i="3"/>
  <c r="I64" i="3"/>
  <c r="S1148" i="3"/>
  <c r="P1148" i="3"/>
  <c r="O1148" i="3"/>
  <c r="N1148" i="3"/>
  <c r="M1148" i="3"/>
  <c r="L1148" i="3"/>
  <c r="K1148" i="3"/>
  <c r="J1148" i="3"/>
  <c r="E1148" i="3"/>
  <c r="D1148" i="3"/>
  <c r="H1148" i="3"/>
  <c r="S199" i="3"/>
  <c r="P199" i="3"/>
  <c r="O199" i="3"/>
  <c r="N199" i="3"/>
  <c r="M199" i="3"/>
  <c r="L199" i="3"/>
  <c r="K199" i="3"/>
  <c r="J199" i="3"/>
  <c r="E199" i="3"/>
  <c r="D199" i="3"/>
  <c r="H199" i="3"/>
  <c r="I937" i="3"/>
  <c r="I601" i="3"/>
  <c r="I502" i="3"/>
  <c r="I440" i="3"/>
  <c r="H150" i="3"/>
  <c r="H56" i="3"/>
  <c r="S462" i="3"/>
  <c r="P462" i="3"/>
  <c r="O462" i="3"/>
  <c r="N462" i="3"/>
  <c r="M462" i="3"/>
  <c r="L462" i="3"/>
  <c r="K462" i="3"/>
  <c r="J462" i="3"/>
  <c r="E462" i="3"/>
  <c r="D462" i="3"/>
  <c r="S151" i="3"/>
  <c r="P151" i="3"/>
  <c r="O151" i="3"/>
  <c r="N151" i="3"/>
  <c r="M151" i="3"/>
  <c r="L151" i="3"/>
  <c r="K151" i="3"/>
  <c r="J151" i="3"/>
  <c r="D151" i="3"/>
  <c r="E151" i="3"/>
  <c r="I151" i="3"/>
  <c r="H151" i="3"/>
  <c r="S49" i="3"/>
  <c r="P49" i="3"/>
  <c r="O49" i="3"/>
  <c r="N49" i="3"/>
  <c r="M49" i="3"/>
  <c r="L49" i="3"/>
  <c r="K49" i="3"/>
  <c r="J49" i="3"/>
  <c r="E49" i="3"/>
  <c r="D49" i="3"/>
  <c r="I49" i="3"/>
  <c r="H49" i="3"/>
  <c r="S312" i="3"/>
  <c r="P312" i="3"/>
  <c r="O312" i="3"/>
  <c r="N312" i="3"/>
  <c r="L312" i="3"/>
  <c r="M312" i="3"/>
  <c r="K312" i="3"/>
  <c r="J312" i="3"/>
  <c r="E312" i="3"/>
  <c r="H312" i="3"/>
  <c r="D312" i="3"/>
  <c r="S322" i="3"/>
  <c r="P322" i="3"/>
  <c r="O322" i="3"/>
  <c r="N322" i="3"/>
  <c r="M322" i="3"/>
  <c r="L322" i="3"/>
  <c r="K322" i="3"/>
  <c r="J322" i="3"/>
  <c r="E322" i="3"/>
  <c r="D322" i="3"/>
  <c r="H322" i="3"/>
  <c r="S1080" i="3"/>
  <c r="P1080" i="3"/>
  <c r="O1080" i="3"/>
  <c r="N1080" i="3"/>
  <c r="M1080" i="3"/>
  <c r="L1080" i="3"/>
  <c r="K1080" i="3"/>
  <c r="J1080" i="3"/>
  <c r="E1080" i="3"/>
  <c r="D1080" i="3"/>
  <c r="H1080" i="3"/>
  <c r="S320" i="3"/>
  <c r="P320" i="3"/>
  <c r="O320" i="3"/>
  <c r="N320" i="3"/>
  <c r="M320" i="3"/>
  <c r="L320" i="3"/>
  <c r="K320" i="3"/>
  <c r="E320" i="3"/>
  <c r="J320" i="3"/>
  <c r="D320" i="3"/>
  <c r="H320" i="3"/>
  <c r="S23" i="3"/>
  <c r="P23" i="3"/>
  <c r="O23" i="3"/>
  <c r="N23" i="3"/>
  <c r="M23" i="3"/>
  <c r="L23" i="3"/>
  <c r="K23" i="3"/>
  <c r="J23" i="3"/>
  <c r="E23" i="3"/>
  <c r="D23" i="3"/>
  <c r="I23" i="3"/>
  <c r="H23" i="3"/>
  <c r="S933" i="3"/>
  <c r="P933" i="3"/>
  <c r="O933" i="3"/>
  <c r="N933" i="3"/>
  <c r="M933" i="3"/>
  <c r="L933" i="3"/>
  <c r="K933" i="3"/>
  <c r="J933" i="3"/>
  <c r="E933" i="3"/>
  <c r="D933" i="3"/>
  <c r="H933" i="3"/>
  <c r="S407" i="3"/>
  <c r="P407" i="3"/>
  <c r="O407" i="3"/>
  <c r="N407" i="3"/>
  <c r="M407" i="3"/>
  <c r="L407" i="3"/>
  <c r="K407" i="3"/>
  <c r="J407" i="3"/>
  <c r="E407" i="3"/>
  <c r="D407" i="3"/>
  <c r="H407" i="3"/>
  <c r="S343" i="3"/>
  <c r="P343" i="3"/>
  <c r="O343" i="3"/>
  <c r="N343" i="3"/>
  <c r="M343" i="3"/>
  <c r="L343" i="3"/>
  <c r="K343" i="3"/>
  <c r="J343" i="3"/>
  <c r="D343" i="3"/>
  <c r="E343" i="3"/>
  <c r="H343" i="3"/>
  <c r="S675" i="3"/>
  <c r="P675" i="3"/>
  <c r="O675" i="3"/>
  <c r="N675" i="3"/>
  <c r="M675" i="3"/>
  <c r="L675" i="3"/>
  <c r="K675" i="3"/>
  <c r="J675" i="3"/>
  <c r="E675" i="3"/>
  <c r="D675" i="3"/>
  <c r="H675" i="3"/>
  <c r="S65" i="3"/>
  <c r="P65" i="3"/>
  <c r="O65" i="3"/>
  <c r="N65" i="3"/>
  <c r="M65" i="3"/>
  <c r="L65" i="3"/>
  <c r="K65" i="3"/>
  <c r="J65" i="3"/>
  <c r="D65" i="3"/>
  <c r="E65" i="3"/>
  <c r="I65" i="3"/>
  <c r="H65" i="3"/>
  <c r="I1212" i="3"/>
  <c r="I1148" i="3"/>
  <c r="I1080" i="3"/>
  <c r="I935" i="3"/>
  <c r="I809" i="3"/>
  <c r="I721" i="3"/>
  <c r="I701" i="3"/>
  <c r="I696" i="3"/>
  <c r="I407" i="3"/>
  <c r="I306" i="3"/>
  <c r="I252" i="3"/>
  <c r="U151" i="3"/>
  <c r="U1080" i="3"/>
  <c r="T306" i="3"/>
  <c r="W306" i="3" s="1"/>
  <c r="T49" i="3"/>
  <c r="W49" i="3" s="1"/>
  <c r="S220" i="3"/>
  <c r="P220" i="3"/>
  <c r="O220" i="3"/>
  <c r="N220" i="3"/>
  <c r="M220" i="3"/>
  <c r="L220" i="3"/>
  <c r="K220" i="3"/>
  <c r="J220" i="3"/>
  <c r="D220" i="3"/>
  <c r="E220" i="3"/>
  <c r="S336" i="3"/>
  <c r="P336" i="3"/>
  <c r="O336" i="3"/>
  <c r="N336" i="3"/>
  <c r="M336" i="3"/>
  <c r="K336" i="3"/>
  <c r="J336" i="3"/>
  <c r="L336" i="3"/>
  <c r="E336" i="3"/>
  <c r="D336" i="3"/>
  <c r="H336" i="3"/>
  <c r="S338" i="3"/>
  <c r="P338" i="3"/>
  <c r="O338" i="3"/>
  <c r="N338" i="3"/>
  <c r="M338" i="3"/>
  <c r="K338" i="3"/>
  <c r="J338" i="3"/>
  <c r="L338" i="3"/>
  <c r="D338" i="3"/>
  <c r="E338" i="3"/>
  <c r="H338" i="3"/>
  <c r="S193" i="3"/>
  <c r="P193" i="3"/>
  <c r="O193" i="3"/>
  <c r="N193" i="3"/>
  <c r="M193" i="3"/>
  <c r="L193" i="3"/>
  <c r="K193" i="3"/>
  <c r="J193" i="3"/>
  <c r="E193" i="3"/>
  <c r="D193" i="3"/>
  <c r="H193" i="3"/>
  <c r="S376" i="3"/>
  <c r="P376" i="3"/>
  <c r="O376" i="3"/>
  <c r="N376" i="3"/>
  <c r="M376" i="3"/>
  <c r="L376" i="3"/>
  <c r="K376" i="3"/>
  <c r="J376" i="3"/>
  <c r="D376" i="3"/>
  <c r="E376" i="3"/>
  <c r="H376" i="3"/>
  <c r="S821" i="3"/>
  <c r="P821" i="3"/>
  <c r="O821" i="3"/>
  <c r="M821" i="3"/>
  <c r="N821" i="3"/>
  <c r="L821" i="3"/>
  <c r="J821" i="3"/>
  <c r="K821" i="3"/>
  <c r="E821" i="3"/>
  <c r="D821" i="3"/>
  <c r="H821" i="3"/>
  <c r="S518" i="3"/>
  <c r="P518" i="3"/>
  <c r="O518" i="3"/>
  <c r="N518" i="3"/>
  <c r="L518" i="3"/>
  <c r="M518" i="3"/>
  <c r="K518" i="3"/>
  <c r="J518" i="3"/>
  <c r="E518" i="3"/>
  <c r="D518" i="3"/>
  <c r="H518" i="3"/>
  <c r="S272" i="3"/>
  <c r="P272" i="3"/>
  <c r="O272" i="3"/>
  <c r="N272" i="3"/>
  <c r="L272" i="3"/>
  <c r="M272" i="3"/>
  <c r="K272" i="3"/>
  <c r="J272" i="3"/>
  <c r="D272" i="3"/>
  <c r="E272" i="3"/>
  <c r="S1054" i="3"/>
  <c r="P1054" i="3"/>
  <c r="O1054" i="3"/>
  <c r="N1054" i="3"/>
  <c r="M1054" i="3"/>
  <c r="L1054" i="3"/>
  <c r="K1054" i="3"/>
  <c r="J1054" i="3"/>
  <c r="E1054" i="3"/>
  <c r="D1054" i="3"/>
  <c r="H1054" i="3"/>
  <c r="S245" i="3"/>
  <c r="P245" i="3"/>
  <c r="O245" i="3"/>
  <c r="N245" i="3"/>
  <c r="M245" i="3"/>
  <c r="L245" i="3"/>
  <c r="K245" i="3"/>
  <c r="J245" i="3"/>
  <c r="E245" i="3"/>
  <c r="D245" i="3"/>
  <c r="H245" i="3"/>
  <c r="S634" i="3"/>
  <c r="P634" i="3"/>
  <c r="O634" i="3"/>
  <c r="N634" i="3"/>
  <c r="M634" i="3"/>
  <c r="L634" i="3"/>
  <c r="K634" i="3"/>
  <c r="J634" i="3"/>
  <c r="E634" i="3"/>
  <c r="D634" i="3"/>
  <c r="S93" i="3"/>
  <c r="P93" i="3"/>
  <c r="O93" i="3"/>
  <c r="N93" i="3"/>
  <c r="M93" i="3"/>
  <c r="L93" i="3"/>
  <c r="K93" i="3"/>
  <c r="J93" i="3"/>
  <c r="D93" i="3"/>
  <c r="E93" i="3"/>
  <c r="I93" i="3"/>
  <c r="H93" i="3"/>
  <c r="S144" i="3"/>
  <c r="P144" i="3"/>
  <c r="O144" i="3"/>
  <c r="N144" i="3"/>
  <c r="M144" i="3"/>
  <c r="L144" i="3"/>
  <c r="K144" i="3"/>
  <c r="J144" i="3"/>
  <c r="D144" i="3"/>
  <c r="E144" i="3"/>
  <c r="I144" i="3"/>
  <c r="S856" i="3"/>
  <c r="P856" i="3"/>
  <c r="O856" i="3"/>
  <c r="N856" i="3"/>
  <c r="M856" i="3"/>
  <c r="L856" i="3"/>
  <c r="K856" i="3"/>
  <c r="E856" i="3"/>
  <c r="J856" i="3"/>
  <c r="D856" i="3"/>
  <c r="H856" i="3"/>
  <c r="I856" i="3"/>
  <c r="I675" i="3"/>
  <c r="I514" i="3"/>
  <c r="I454" i="3"/>
  <c r="I308" i="3"/>
  <c r="I293" i="3"/>
  <c r="I199" i="3"/>
  <c r="I212" i="3"/>
  <c r="H324" i="3"/>
  <c r="H294" i="3"/>
  <c r="H229" i="3"/>
  <c r="S187" i="3"/>
  <c r="P187" i="3"/>
  <c r="O187" i="3"/>
  <c r="N187" i="3"/>
  <c r="M187" i="3"/>
  <c r="L187" i="3"/>
  <c r="K187" i="3"/>
  <c r="J187" i="3"/>
  <c r="D187" i="3"/>
  <c r="E187" i="3"/>
  <c r="H187" i="3"/>
  <c r="S175" i="3"/>
  <c r="P175" i="3"/>
  <c r="O175" i="3"/>
  <c r="N175" i="3"/>
  <c r="M175" i="3"/>
  <c r="L175" i="3"/>
  <c r="K175" i="3"/>
  <c r="J175" i="3"/>
  <c r="E175" i="3"/>
  <c r="D175" i="3"/>
  <c r="H175" i="3"/>
  <c r="S155" i="3"/>
  <c r="P155" i="3"/>
  <c r="O155" i="3"/>
  <c r="N155" i="3"/>
  <c r="M155" i="3"/>
  <c r="L155" i="3"/>
  <c r="K155" i="3"/>
  <c r="J155" i="3"/>
  <c r="E155" i="3"/>
  <c r="D155" i="3"/>
  <c r="H155" i="3"/>
  <c r="I155" i="3"/>
  <c r="S129" i="3"/>
  <c r="P129" i="3"/>
  <c r="O129" i="3"/>
  <c r="N129" i="3"/>
  <c r="M129" i="3"/>
  <c r="L129" i="3"/>
  <c r="K129" i="3"/>
  <c r="J129" i="3"/>
  <c r="E129" i="3"/>
  <c r="D129" i="3"/>
  <c r="H129" i="3"/>
  <c r="S134" i="3"/>
  <c r="P134" i="3"/>
  <c r="O134" i="3"/>
  <c r="M134" i="3"/>
  <c r="L134" i="3"/>
  <c r="N134" i="3"/>
  <c r="K134" i="3"/>
  <c r="J134" i="3"/>
  <c r="E134" i="3"/>
  <c r="D134" i="3"/>
  <c r="I134" i="3"/>
  <c r="H134" i="3"/>
  <c r="S119" i="3"/>
  <c r="P119" i="3"/>
  <c r="O119" i="3"/>
  <c r="N119" i="3"/>
  <c r="M119" i="3"/>
  <c r="L119" i="3"/>
  <c r="K119" i="3"/>
  <c r="J119" i="3"/>
  <c r="D119" i="3"/>
  <c r="I119" i="3"/>
  <c r="E119" i="3"/>
  <c r="H119" i="3"/>
  <c r="S68" i="3"/>
  <c r="P68" i="3"/>
  <c r="O68" i="3"/>
  <c r="N68" i="3"/>
  <c r="M68" i="3"/>
  <c r="L68" i="3"/>
  <c r="K68" i="3"/>
  <c r="J68" i="3"/>
  <c r="E68" i="3"/>
  <c r="D68" i="3"/>
  <c r="H68" i="3"/>
  <c r="S58" i="3"/>
  <c r="P58" i="3"/>
  <c r="O58" i="3"/>
  <c r="N58" i="3"/>
  <c r="M58" i="3"/>
  <c r="L58" i="3"/>
  <c r="K58" i="3"/>
  <c r="J58" i="3"/>
  <c r="D58" i="3"/>
  <c r="E58" i="3"/>
  <c r="I58" i="3"/>
  <c r="S47" i="3"/>
  <c r="P47" i="3"/>
  <c r="O47" i="3"/>
  <c r="N47" i="3"/>
  <c r="M47" i="3"/>
  <c r="L47" i="3"/>
  <c r="K47" i="3"/>
  <c r="J47" i="3"/>
  <c r="E47" i="3"/>
  <c r="D47" i="3"/>
  <c r="I47" i="3"/>
  <c r="H47" i="3"/>
  <c r="S36" i="3"/>
  <c r="P36" i="3"/>
  <c r="O36" i="3"/>
  <c r="N36" i="3"/>
  <c r="L36" i="3"/>
  <c r="M36" i="3"/>
  <c r="J36" i="3"/>
  <c r="K36" i="3"/>
  <c r="E36" i="3"/>
  <c r="D36" i="3"/>
  <c r="I36" i="3"/>
  <c r="H36" i="3"/>
  <c r="S25" i="3"/>
  <c r="P25" i="3"/>
  <c r="O25" i="3"/>
  <c r="N25" i="3"/>
  <c r="M25" i="3"/>
  <c r="L25" i="3"/>
  <c r="K25" i="3"/>
  <c r="J25" i="3"/>
  <c r="E25" i="3"/>
  <c r="D25" i="3"/>
  <c r="H25" i="3"/>
  <c r="I25" i="3"/>
  <c r="S12" i="3"/>
  <c r="P12" i="3"/>
  <c r="O12" i="3"/>
  <c r="N12" i="3"/>
  <c r="M12" i="3"/>
  <c r="L12" i="3"/>
  <c r="K12" i="3"/>
  <c r="J12" i="3"/>
  <c r="E12" i="3"/>
  <c r="D12" i="3"/>
  <c r="I12" i="3"/>
  <c r="H12" i="3"/>
  <c r="T151" i="3"/>
  <c r="W151" i="3" s="1"/>
  <c r="S180" i="3"/>
  <c r="P180" i="3"/>
  <c r="O180" i="3"/>
  <c r="N180" i="3"/>
  <c r="M180" i="3"/>
  <c r="L180" i="3"/>
  <c r="K180" i="3"/>
  <c r="J180" i="3"/>
  <c r="E180" i="3"/>
  <c r="D180" i="3"/>
  <c r="H180" i="3"/>
  <c r="S569" i="3"/>
  <c r="P569" i="3"/>
  <c r="O569" i="3"/>
  <c r="N569" i="3"/>
  <c r="M569" i="3"/>
  <c r="K569" i="3"/>
  <c r="L569" i="3"/>
  <c r="J569" i="3"/>
  <c r="E569" i="3"/>
  <c r="D569" i="3"/>
  <c r="H569" i="3"/>
  <c r="S612" i="3"/>
  <c r="P612" i="3"/>
  <c r="O612" i="3"/>
  <c r="N612" i="3"/>
  <c r="M612" i="3"/>
  <c r="L612" i="3"/>
  <c r="J612" i="3"/>
  <c r="K612" i="3"/>
  <c r="E612" i="3"/>
  <c r="D612" i="3"/>
  <c r="H612" i="3"/>
  <c r="S346" i="3"/>
  <c r="P346" i="3"/>
  <c r="O346" i="3"/>
  <c r="N346" i="3"/>
  <c r="M346" i="3"/>
  <c r="L346" i="3"/>
  <c r="K346" i="3"/>
  <c r="J346" i="3"/>
  <c r="E346" i="3"/>
  <c r="D346" i="3"/>
  <c r="S1182" i="3"/>
  <c r="P1182" i="3"/>
  <c r="O1182" i="3"/>
  <c r="M1182" i="3"/>
  <c r="N1182" i="3"/>
  <c r="L1182" i="3"/>
  <c r="K1182" i="3"/>
  <c r="J1182" i="3"/>
  <c r="E1182" i="3"/>
  <c r="D1182" i="3"/>
  <c r="H1182" i="3"/>
  <c r="S529" i="3"/>
  <c r="P529" i="3"/>
  <c r="O529" i="3"/>
  <c r="N529" i="3"/>
  <c r="M529" i="3"/>
  <c r="L529" i="3"/>
  <c r="K529" i="3"/>
  <c r="J529" i="3"/>
  <c r="E529" i="3"/>
  <c r="D529" i="3"/>
  <c r="H529" i="3"/>
  <c r="S573" i="3"/>
  <c r="P573" i="3"/>
  <c r="O573" i="3"/>
  <c r="N573" i="3"/>
  <c r="M573" i="3"/>
  <c r="K573" i="3"/>
  <c r="L573" i="3"/>
  <c r="J573" i="3"/>
  <c r="E573" i="3"/>
  <c r="D573" i="3"/>
  <c r="H573" i="3"/>
  <c r="S299" i="3"/>
  <c r="P299" i="3"/>
  <c r="O299" i="3"/>
  <c r="N299" i="3"/>
  <c r="L299" i="3"/>
  <c r="M299" i="3"/>
  <c r="K299" i="3"/>
  <c r="J299" i="3"/>
  <c r="D299" i="3"/>
  <c r="E299" i="3"/>
  <c r="S160" i="3"/>
  <c r="P160" i="3"/>
  <c r="O160" i="3"/>
  <c r="N160" i="3"/>
  <c r="M160" i="3"/>
  <c r="L160" i="3"/>
  <c r="K160" i="3"/>
  <c r="J160" i="3"/>
  <c r="D160" i="3"/>
  <c r="H160" i="3"/>
  <c r="S1130" i="3"/>
  <c r="P1130" i="3"/>
  <c r="M1130" i="3"/>
  <c r="O1130" i="3"/>
  <c r="N1130" i="3"/>
  <c r="L1130" i="3"/>
  <c r="K1130" i="3"/>
  <c r="J1130" i="3"/>
  <c r="D1130" i="3"/>
  <c r="E1130" i="3"/>
  <c r="H1130" i="3"/>
  <c r="S394" i="3"/>
  <c r="P394" i="3"/>
  <c r="N394" i="3"/>
  <c r="O394" i="3"/>
  <c r="M394" i="3"/>
  <c r="L394" i="3"/>
  <c r="K394" i="3"/>
  <c r="J394" i="3"/>
  <c r="E394" i="3"/>
  <c r="D394" i="3"/>
  <c r="H394" i="3"/>
  <c r="S342" i="3"/>
  <c r="P342" i="3"/>
  <c r="O342" i="3"/>
  <c r="N342" i="3"/>
  <c r="M342" i="3"/>
  <c r="L342" i="3"/>
  <c r="K342" i="3"/>
  <c r="J342" i="3"/>
  <c r="E342" i="3"/>
  <c r="D342" i="3"/>
  <c r="H342" i="3"/>
  <c r="S200" i="3"/>
  <c r="O200" i="3"/>
  <c r="P200" i="3"/>
  <c r="N200" i="3"/>
  <c r="M200" i="3"/>
  <c r="L200" i="3"/>
  <c r="K200" i="3"/>
  <c r="E200" i="3"/>
  <c r="J200" i="3"/>
  <c r="D200" i="3"/>
  <c r="H200" i="3"/>
  <c r="S318" i="3"/>
  <c r="P318" i="3"/>
  <c r="O318" i="3"/>
  <c r="N318" i="3"/>
  <c r="M318" i="3"/>
  <c r="L318" i="3"/>
  <c r="K318" i="3"/>
  <c r="J318" i="3"/>
  <c r="D318" i="3"/>
  <c r="E318" i="3"/>
  <c r="H318" i="3"/>
  <c r="I1054" i="3"/>
  <c r="I933" i="3"/>
  <c r="I831" i="3"/>
  <c r="I736" i="3"/>
  <c r="I518" i="3"/>
  <c r="I531" i="3"/>
  <c r="I413" i="3"/>
  <c r="I361" i="3"/>
  <c r="I312" i="3"/>
  <c r="I322" i="3"/>
  <c r="I241" i="3"/>
  <c r="I180" i="3"/>
  <c r="I129" i="3"/>
  <c r="I68" i="3"/>
  <c r="H220" i="3"/>
  <c r="H144" i="3"/>
  <c r="H94" i="3"/>
  <c r="S154" i="3"/>
  <c r="O154" i="3"/>
  <c r="P154" i="3"/>
  <c r="N154" i="3"/>
  <c r="M154" i="3"/>
  <c r="L154" i="3"/>
  <c r="K154" i="3"/>
  <c r="J154" i="3"/>
  <c r="E154" i="3"/>
  <c r="D154" i="3"/>
  <c r="H154" i="3"/>
  <c r="S142" i="3"/>
  <c r="P142" i="3"/>
  <c r="O142" i="3"/>
  <c r="N142" i="3"/>
  <c r="M142" i="3"/>
  <c r="L142" i="3"/>
  <c r="K142" i="3"/>
  <c r="J142" i="3"/>
  <c r="E142" i="3"/>
  <c r="D142" i="3"/>
  <c r="I142" i="3"/>
  <c r="H142" i="3"/>
  <c r="S126" i="3"/>
  <c r="P126" i="3"/>
  <c r="O126" i="3"/>
  <c r="N126" i="3"/>
  <c r="M126" i="3"/>
  <c r="L126" i="3"/>
  <c r="K126" i="3"/>
  <c r="J126" i="3"/>
  <c r="D126" i="3"/>
  <c r="E126" i="3"/>
  <c r="I126" i="3"/>
  <c r="S123" i="3"/>
  <c r="P123" i="3"/>
  <c r="O123" i="3"/>
  <c r="N123" i="3"/>
  <c r="M123" i="3"/>
  <c r="L123" i="3"/>
  <c r="K123" i="3"/>
  <c r="J123" i="3"/>
  <c r="D123" i="3"/>
  <c r="E123" i="3"/>
  <c r="I123" i="3"/>
  <c r="H123" i="3"/>
  <c r="S67" i="3"/>
  <c r="P67" i="3"/>
  <c r="O67" i="3"/>
  <c r="N67" i="3"/>
  <c r="M67" i="3"/>
  <c r="L67" i="3"/>
  <c r="K67" i="3"/>
  <c r="J67" i="3"/>
  <c r="E67" i="3"/>
  <c r="D67" i="3"/>
  <c r="I67" i="3"/>
  <c r="H67" i="3"/>
  <c r="S59" i="3"/>
  <c r="P59" i="3"/>
  <c r="O59" i="3"/>
  <c r="N59" i="3"/>
  <c r="M59" i="3"/>
  <c r="L59" i="3"/>
  <c r="K59" i="3"/>
  <c r="J59" i="3"/>
  <c r="D59" i="3"/>
  <c r="E59" i="3"/>
  <c r="I59" i="3"/>
  <c r="H59" i="3"/>
  <c r="S41" i="3"/>
  <c r="P41" i="3"/>
  <c r="O41" i="3"/>
  <c r="N41" i="3"/>
  <c r="M41" i="3"/>
  <c r="L41" i="3"/>
  <c r="K41" i="3"/>
  <c r="J41" i="3"/>
  <c r="D41" i="3"/>
  <c r="E41" i="3"/>
  <c r="I41" i="3"/>
  <c r="H41" i="3"/>
  <c r="S35" i="3"/>
  <c r="P35" i="3"/>
  <c r="O35" i="3"/>
  <c r="N35" i="3"/>
  <c r="M35" i="3"/>
  <c r="L35" i="3"/>
  <c r="K35" i="3"/>
  <c r="J35" i="3"/>
  <c r="E35" i="3"/>
  <c r="D35" i="3"/>
  <c r="I35" i="3"/>
  <c r="H35" i="3"/>
  <c r="S19" i="3"/>
  <c r="P19" i="3"/>
  <c r="O19" i="3"/>
  <c r="N19" i="3"/>
  <c r="M19" i="3"/>
  <c r="L19" i="3"/>
  <c r="K19" i="3"/>
  <c r="J19" i="3"/>
  <c r="E19" i="3"/>
  <c r="D19" i="3"/>
  <c r="H19" i="3"/>
  <c r="S11" i="3"/>
  <c r="P11" i="3"/>
  <c r="O11" i="3"/>
  <c r="N11" i="3"/>
  <c r="M11" i="3"/>
  <c r="L11" i="3"/>
  <c r="K11" i="3"/>
  <c r="J11" i="3"/>
  <c r="D11" i="3"/>
  <c r="E11" i="3"/>
  <c r="I11" i="3"/>
  <c r="H11" i="3"/>
  <c r="S77" i="3"/>
  <c r="P77" i="3"/>
  <c r="O77" i="3"/>
  <c r="N77" i="3"/>
  <c r="M77" i="3"/>
  <c r="L77" i="3"/>
  <c r="J77" i="3"/>
  <c r="K77" i="3"/>
  <c r="D77" i="3"/>
  <c r="E77" i="3"/>
  <c r="I77" i="3"/>
  <c r="H77" i="3"/>
  <c r="S347" i="3"/>
  <c r="P347" i="3"/>
  <c r="O347" i="3"/>
  <c r="N347" i="3"/>
  <c r="M347" i="3"/>
  <c r="L347" i="3"/>
  <c r="K347" i="3"/>
  <c r="J347" i="3"/>
  <c r="E347" i="3"/>
  <c r="D347" i="3"/>
  <c r="H347" i="3"/>
  <c r="S714" i="3"/>
  <c r="P714" i="3"/>
  <c r="M714" i="3"/>
  <c r="O714" i="3"/>
  <c r="N714" i="3"/>
  <c r="L714" i="3"/>
  <c r="K714" i="3"/>
  <c r="J714" i="3"/>
  <c r="E714" i="3"/>
  <c r="D714" i="3"/>
  <c r="H714" i="3"/>
  <c r="S403" i="3"/>
  <c r="P403" i="3"/>
  <c r="O403" i="3"/>
  <c r="N403" i="3"/>
  <c r="M403" i="3"/>
  <c r="L403" i="3"/>
  <c r="K403" i="3"/>
  <c r="J403" i="3"/>
  <c r="E403" i="3"/>
  <c r="D403" i="3"/>
  <c r="H403" i="3"/>
  <c r="S696" i="3"/>
  <c r="P696" i="3"/>
  <c r="O696" i="3"/>
  <c r="N696" i="3"/>
  <c r="M696" i="3"/>
  <c r="L696" i="3"/>
  <c r="K696" i="3"/>
  <c r="J696" i="3"/>
  <c r="E696" i="3"/>
  <c r="D696" i="3"/>
  <c r="H696" i="3"/>
  <c r="S732" i="3"/>
  <c r="P732" i="3"/>
  <c r="O732" i="3"/>
  <c r="N732" i="3"/>
  <c r="M732" i="3"/>
  <c r="L732" i="3"/>
  <c r="J732" i="3"/>
  <c r="K732" i="3"/>
  <c r="E732" i="3"/>
  <c r="D732" i="3"/>
  <c r="H732" i="3"/>
  <c r="P170" i="3"/>
  <c r="S170" i="3"/>
  <c r="N170" i="3"/>
  <c r="O170" i="3"/>
  <c r="L170" i="3"/>
  <c r="M170" i="3"/>
  <c r="J170" i="3"/>
  <c r="K170" i="3"/>
  <c r="E170" i="3"/>
  <c r="D170" i="3"/>
  <c r="H170" i="3"/>
  <c r="S349" i="3"/>
  <c r="P349" i="3"/>
  <c r="O349" i="3"/>
  <c r="N349" i="3"/>
  <c r="M349" i="3"/>
  <c r="L349" i="3"/>
  <c r="K349" i="3"/>
  <c r="J349" i="3"/>
  <c r="E349" i="3"/>
  <c r="D349" i="3"/>
  <c r="H349" i="3"/>
  <c r="S577" i="3"/>
  <c r="P577" i="3"/>
  <c r="O577" i="3"/>
  <c r="N577" i="3"/>
  <c r="M577" i="3"/>
  <c r="L577" i="3"/>
  <c r="K577" i="3"/>
  <c r="J577" i="3"/>
  <c r="E577" i="3"/>
  <c r="S404" i="3"/>
  <c r="P404" i="3"/>
  <c r="O404" i="3"/>
  <c r="N404" i="3"/>
  <c r="M404" i="3"/>
  <c r="L404" i="3"/>
  <c r="K404" i="3"/>
  <c r="J404" i="3"/>
  <c r="E404" i="3"/>
  <c r="D404" i="3"/>
  <c r="S446" i="3"/>
  <c r="P446" i="3"/>
  <c r="O446" i="3"/>
  <c r="N446" i="3"/>
  <c r="M446" i="3"/>
  <c r="L446" i="3"/>
  <c r="K446" i="3"/>
  <c r="J446" i="3"/>
  <c r="E446" i="3"/>
  <c r="D446" i="3"/>
  <c r="H446" i="3"/>
  <c r="S339" i="3"/>
  <c r="P339" i="3"/>
  <c r="O339" i="3"/>
  <c r="N339" i="3"/>
  <c r="M339" i="3"/>
  <c r="L339" i="3"/>
  <c r="K339" i="3"/>
  <c r="J339" i="3"/>
  <c r="E339" i="3"/>
  <c r="D339" i="3"/>
  <c r="H339" i="3"/>
  <c r="S164" i="3"/>
  <c r="P164" i="3"/>
  <c r="O164" i="3"/>
  <c r="N164" i="3"/>
  <c r="M164" i="3"/>
  <c r="L164" i="3"/>
  <c r="K164" i="3"/>
  <c r="J164" i="3"/>
  <c r="E164" i="3"/>
  <c r="D164" i="3"/>
  <c r="H164" i="3"/>
  <c r="S464" i="3"/>
  <c r="P464" i="3"/>
  <c r="O464" i="3"/>
  <c r="N464" i="3"/>
  <c r="M464" i="3"/>
  <c r="L464" i="3"/>
  <c r="K464" i="3"/>
  <c r="J464" i="3"/>
  <c r="D464" i="3"/>
  <c r="E464" i="3"/>
  <c r="H464" i="3"/>
  <c r="I984" i="3"/>
  <c r="I691" i="3"/>
  <c r="I577" i="3"/>
  <c r="I634" i="3"/>
  <c r="I462" i="3"/>
  <c r="I404" i="3"/>
  <c r="I346" i="3"/>
  <c r="I299" i="3"/>
  <c r="I294" i="3"/>
  <c r="I240" i="3"/>
  <c r="I229" i="3"/>
  <c r="I220" i="3"/>
  <c r="I272" i="3"/>
  <c r="I120" i="3"/>
  <c r="H634" i="3"/>
  <c r="H346" i="3"/>
  <c r="H272" i="3"/>
  <c r="U150" i="3"/>
  <c r="T462" i="3"/>
  <c r="W462" i="3" s="1"/>
  <c r="T714" i="3"/>
  <c r="W714" i="3" s="1"/>
  <c r="T229" i="3"/>
  <c r="W229" i="3" s="1"/>
  <c r="S440" i="3"/>
  <c r="P440" i="3"/>
  <c r="O440" i="3"/>
  <c r="N440" i="3"/>
  <c r="L440" i="3"/>
  <c r="K440" i="3"/>
  <c r="M440" i="3"/>
  <c r="E440" i="3"/>
  <c r="J440" i="3"/>
  <c r="D440" i="3"/>
  <c r="H440" i="3"/>
  <c r="S252" i="3"/>
  <c r="P252" i="3"/>
  <c r="O252" i="3"/>
  <c r="N252" i="3"/>
  <c r="M252" i="3"/>
  <c r="L252" i="3"/>
  <c r="K252" i="3"/>
  <c r="J252" i="3"/>
  <c r="E252" i="3"/>
  <c r="H252" i="3"/>
  <c r="D252" i="3"/>
  <c r="S132" i="3"/>
  <c r="P132" i="3"/>
  <c r="O132" i="3"/>
  <c r="N132" i="3"/>
  <c r="L132" i="3"/>
  <c r="M132" i="3"/>
  <c r="J132" i="3"/>
  <c r="K132" i="3"/>
  <c r="D132" i="3"/>
  <c r="E132" i="3"/>
  <c r="I132" i="3"/>
  <c r="H132" i="3"/>
  <c r="S935" i="3"/>
  <c r="P935" i="3"/>
  <c r="O935" i="3"/>
  <c r="N935" i="3"/>
  <c r="M935" i="3"/>
  <c r="L935" i="3"/>
  <c r="K935" i="3"/>
  <c r="J935" i="3"/>
  <c r="E935" i="3"/>
  <c r="D935" i="3"/>
  <c r="H935" i="3"/>
  <c r="S212" i="3"/>
  <c r="P212" i="3"/>
  <c r="O212" i="3"/>
  <c r="N212" i="3"/>
  <c r="M212" i="3"/>
  <c r="L212" i="3"/>
  <c r="K212" i="3"/>
  <c r="J212" i="3"/>
  <c r="E212" i="3"/>
  <c r="D212" i="3"/>
  <c r="H212" i="3"/>
  <c r="S325" i="3"/>
  <c r="P325" i="3"/>
  <c r="O325" i="3"/>
  <c r="N325" i="3"/>
  <c r="M325" i="3"/>
  <c r="L325" i="3"/>
  <c r="K325" i="3"/>
  <c r="J325" i="3"/>
  <c r="E325" i="3"/>
  <c r="D325" i="3"/>
  <c r="H325" i="3"/>
  <c r="S205" i="3"/>
  <c r="P205" i="3"/>
  <c r="O205" i="3"/>
  <c r="N205" i="3"/>
  <c r="M205" i="3"/>
  <c r="L205" i="3"/>
  <c r="K205" i="3"/>
  <c r="J205" i="3"/>
  <c r="D205" i="3"/>
  <c r="E205" i="3"/>
  <c r="S324" i="3"/>
  <c r="P324" i="3"/>
  <c r="O324" i="3"/>
  <c r="N324" i="3"/>
  <c r="M324" i="3"/>
  <c r="L324" i="3"/>
  <c r="K324" i="3"/>
  <c r="J324" i="3"/>
  <c r="E324" i="3"/>
  <c r="D324" i="3"/>
  <c r="S1212" i="3"/>
  <c r="P1212" i="3"/>
  <c r="O1212" i="3"/>
  <c r="N1212" i="3"/>
  <c r="M1212" i="3"/>
  <c r="L1212" i="3"/>
  <c r="K1212" i="3"/>
  <c r="J1212" i="3"/>
  <c r="E1212" i="3"/>
  <c r="D1212" i="3"/>
  <c r="H1212" i="3"/>
  <c r="S308" i="3"/>
  <c r="P308" i="3"/>
  <c r="O308" i="3"/>
  <c r="N308" i="3"/>
  <c r="M308" i="3"/>
  <c r="L308" i="3"/>
  <c r="K308" i="3"/>
  <c r="E308" i="3"/>
  <c r="J308" i="3"/>
  <c r="D308" i="3"/>
  <c r="H308" i="3"/>
  <c r="S122" i="3"/>
  <c r="P122" i="3"/>
  <c r="O122" i="3"/>
  <c r="N122" i="3"/>
  <c r="L122" i="3"/>
  <c r="M122" i="3"/>
  <c r="K122" i="3"/>
  <c r="J122" i="3"/>
  <c r="D122" i="3"/>
  <c r="E122" i="3"/>
  <c r="I122" i="3"/>
  <c r="S161" i="3"/>
  <c r="P161" i="3"/>
  <c r="O161" i="3"/>
  <c r="N161" i="3"/>
  <c r="M161" i="3"/>
  <c r="L161" i="3"/>
  <c r="K161" i="3"/>
  <c r="J161" i="3"/>
  <c r="E161" i="3"/>
  <c r="D161" i="3"/>
  <c r="H161" i="3"/>
  <c r="S62" i="3"/>
  <c r="P62" i="3"/>
  <c r="O62" i="3"/>
  <c r="N62" i="3"/>
  <c r="M62" i="3"/>
  <c r="K62" i="3"/>
  <c r="J62" i="3"/>
  <c r="L62" i="3"/>
  <c r="E62" i="3"/>
  <c r="D62" i="3"/>
  <c r="H62" i="3"/>
  <c r="I62" i="3"/>
  <c r="S101" i="3"/>
  <c r="P101" i="3"/>
  <c r="O101" i="3"/>
  <c r="N101" i="3"/>
  <c r="M101" i="3"/>
  <c r="L101" i="3"/>
  <c r="J101" i="3"/>
  <c r="K101" i="3"/>
  <c r="D101" i="3"/>
  <c r="E101" i="3"/>
  <c r="I101" i="3"/>
  <c r="H101" i="3"/>
  <c r="I1130" i="3"/>
  <c r="I899" i="3"/>
  <c r="I714" i="3"/>
  <c r="I464" i="3"/>
  <c r="I376" i="3"/>
  <c r="I325" i="3"/>
  <c r="I318" i="3"/>
  <c r="I286" i="3"/>
  <c r="I186" i="3"/>
  <c r="I160" i="3"/>
  <c r="H122" i="3"/>
  <c r="D577" i="3"/>
  <c r="E160" i="3"/>
  <c r="F525" i="3"/>
  <c r="F251" i="3"/>
  <c r="F1127" i="3"/>
  <c r="F1114" i="3"/>
  <c r="F1035" i="3"/>
  <c r="F233" i="3"/>
  <c r="F981" i="3"/>
  <c r="F1029" i="3"/>
  <c r="F1033" i="3"/>
  <c r="F1086" i="3"/>
  <c r="F1007" i="3"/>
  <c r="F901" i="3"/>
  <c r="F859" i="3"/>
  <c r="F766" i="3"/>
  <c r="F654" i="3"/>
  <c r="F580" i="3"/>
  <c r="F604" i="3"/>
  <c r="F533" i="3"/>
  <c r="F539" i="3"/>
  <c r="F490" i="3"/>
  <c r="F499" i="3"/>
  <c r="F466" i="3"/>
  <c r="F410" i="3"/>
  <c r="F380" i="3"/>
  <c r="F366" i="3"/>
  <c r="F353" i="3"/>
  <c r="F264" i="3"/>
  <c r="F222" i="3"/>
  <c r="F177" i="3"/>
  <c r="F117" i="3"/>
  <c r="F115" i="3"/>
  <c r="F61" i="3"/>
  <c r="F32" i="3"/>
  <c r="F15" i="3"/>
  <c r="F77" i="3"/>
  <c r="F347" i="3"/>
  <c r="F714" i="3"/>
  <c r="F403" i="3"/>
  <c r="F696" i="3"/>
  <c r="F732" i="3"/>
  <c r="F170" i="3"/>
  <c r="F349" i="3"/>
  <c r="F577" i="3"/>
  <c r="F404" i="3"/>
  <c r="F446" i="3"/>
  <c r="F339" i="3"/>
  <c r="F164" i="3"/>
  <c r="F464" i="3"/>
  <c r="F189" i="3"/>
  <c r="F1126" i="3"/>
  <c r="F1173" i="3"/>
  <c r="F1202" i="3"/>
  <c r="F1206" i="3"/>
  <c r="F1225" i="3"/>
  <c r="F1209" i="3"/>
  <c r="F987" i="3"/>
  <c r="F1068" i="3"/>
  <c r="F1002" i="3"/>
  <c r="F874" i="3"/>
  <c r="F609" i="3"/>
  <c r="F690" i="3"/>
  <c r="F631" i="3"/>
  <c r="F566" i="3"/>
  <c r="F510" i="3"/>
  <c r="F564" i="3"/>
  <c r="F527" i="3"/>
  <c r="F478" i="3"/>
  <c r="F513" i="3"/>
  <c r="F424" i="3"/>
  <c r="F398" i="3"/>
  <c r="F384" i="3"/>
  <c r="F351" i="3"/>
  <c r="F295" i="3"/>
  <c r="F259" i="3"/>
  <c r="F190" i="3"/>
  <c r="F165" i="3"/>
  <c r="F127" i="3"/>
  <c r="F96" i="3"/>
  <c r="F48" i="3"/>
  <c r="F26" i="3"/>
  <c r="F5" i="3"/>
  <c r="F313" i="3"/>
  <c r="F1016" i="3"/>
  <c r="F873" i="3"/>
  <c r="F798" i="3"/>
  <c r="F629" i="3"/>
  <c r="F741" i="3"/>
  <c r="F436" i="3"/>
  <c r="F600" i="3"/>
  <c r="F489" i="3"/>
  <c r="F153" i="3"/>
  <c r="F91" i="3"/>
  <c r="F773" i="3"/>
  <c r="F303" i="3"/>
  <c r="F166" i="3"/>
  <c r="F724" i="3"/>
  <c r="F1166" i="3"/>
  <c r="F1161" i="3"/>
  <c r="F174" i="3"/>
  <c r="F526" i="3"/>
  <c r="F1090" i="3"/>
  <c r="F1191" i="3"/>
  <c r="F781" i="3"/>
  <c r="F779" i="3"/>
  <c r="F444" i="3"/>
  <c r="F838" i="3"/>
  <c r="F86" i="3"/>
  <c r="F211" i="3"/>
  <c r="F85" i="3"/>
  <c r="F576" i="3"/>
  <c r="F8" i="3"/>
  <c r="K32" i="7" s="1"/>
  <c r="F1021" i="3"/>
  <c r="F382" i="3"/>
  <c r="F570" i="3"/>
  <c r="F1071" i="3"/>
  <c r="F906" i="3"/>
  <c r="F907" i="3"/>
  <c r="F355" i="3"/>
  <c r="F341" i="3"/>
  <c r="F582" i="3"/>
  <c r="F458" i="3"/>
  <c r="F209" i="3"/>
  <c r="F884" i="3"/>
  <c r="F327" i="3"/>
  <c r="F429" i="3"/>
  <c r="F747" i="3"/>
  <c r="F996" i="3"/>
  <c r="F1149" i="3"/>
  <c r="F1180" i="3"/>
  <c r="F1015" i="3"/>
  <c r="F213" i="3"/>
  <c r="F743" i="3"/>
  <c r="F1143" i="3"/>
  <c r="F913" i="3"/>
  <c r="F372" i="3"/>
  <c r="F1152" i="3"/>
  <c r="F916" i="3"/>
  <c r="F1234" i="3"/>
  <c r="F1210" i="3"/>
  <c r="F1189" i="3"/>
  <c r="F1181" i="3"/>
  <c r="F1155" i="3"/>
  <c r="F1004" i="3"/>
  <c r="F1133" i="3"/>
  <c r="F1108" i="3"/>
  <c r="F1103" i="3"/>
  <c r="F1093" i="3"/>
  <c r="F995" i="3"/>
  <c r="F1067" i="3"/>
  <c r="F1085" i="3"/>
  <c r="F1052" i="3"/>
  <c r="F1025" i="3"/>
  <c r="F1019" i="3"/>
  <c r="F868" i="3"/>
  <c r="F795" i="3"/>
  <c r="F905" i="3"/>
  <c r="F786" i="3"/>
  <c r="F764" i="3"/>
  <c r="F890" i="3"/>
  <c r="F941" i="3"/>
  <c r="F928" i="3"/>
  <c r="F817" i="3"/>
  <c r="F674" i="3"/>
  <c r="F929" i="3"/>
  <c r="F872" i="3"/>
  <c r="F673" i="3"/>
  <c r="F883" i="3"/>
  <c r="F829" i="3"/>
  <c r="F810" i="3"/>
  <c r="F794" i="3"/>
  <c r="F790" i="3"/>
  <c r="F771" i="3"/>
  <c r="F608" i="3"/>
  <c r="F748" i="3"/>
  <c r="F765" i="3"/>
  <c r="F802" i="3"/>
  <c r="F745" i="3"/>
  <c r="F718" i="3"/>
  <c r="F692" i="3"/>
  <c r="F740" i="3"/>
  <c r="F636" i="3"/>
  <c r="F578" i="3"/>
  <c r="F643" i="3"/>
  <c r="F593" i="3"/>
  <c r="F579" i="3"/>
  <c r="F565" i="3"/>
  <c r="F555" i="3"/>
  <c r="F590" i="3"/>
  <c r="F532" i="3"/>
  <c r="F521" i="3"/>
  <c r="F538" i="3"/>
  <c r="F498" i="3"/>
  <c r="F515" i="3"/>
  <c r="F540" i="3"/>
  <c r="F522" i="3"/>
  <c r="F487" i="3"/>
  <c r="F483" i="3"/>
  <c r="F422" i="3"/>
  <c r="F430" i="3"/>
  <c r="F417" i="3"/>
  <c r="F377" i="3"/>
  <c r="F360" i="3"/>
  <c r="F359" i="3"/>
  <c r="F373" i="3"/>
  <c r="F352" i="3"/>
  <c r="F282" i="3"/>
  <c r="F274" i="3"/>
  <c r="F248" i="3"/>
  <c r="F169" i="3"/>
  <c r="F187" i="3"/>
  <c r="F175" i="3"/>
  <c r="F155" i="3"/>
  <c r="F129" i="3"/>
  <c r="F134" i="3"/>
  <c r="F119" i="3"/>
  <c r="F68" i="3"/>
  <c r="F58" i="3"/>
  <c r="F47" i="3"/>
  <c r="F36" i="3"/>
  <c r="F25" i="3"/>
  <c r="F12" i="3"/>
  <c r="T347" i="3"/>
  <c r="W347" i="3" s="1"/>
  <c r="T404" i="3"/>
  <c r="W404" i="3" s="1"/>
  <c r="F440" i="3"/>
  <c r="F252" i="3"/>
  <c r="F132" i="3"/>
  <c r="F935" i="3"/>
  <c r="F212" i="3"/>
  <c r="F325" i="3"/>
  <c r="F205" i="3"/>
  <c r="F324" i="3"/>
  <c r="F1212" i="3"/>
  <c r="F308" i="3"/>
  <c r="F122" i="3"/>
  <c r="F161" i="3"/>
  <c r="F62" i="3"/>
  <c r="F101" i="3"/>
  <c r="F832" i="3"/>
  <c r="F495" i="3"/>
  <c r="F296" i="3"/>
  <c r="F323" i="3"/>
  <c r="F561" i="3"/>
  <c r="F963" i="3"/>
  <c r="F1150" i="3"/>
  <c r="F1167" i="3"/>
  <c r="F888" i="3"/>
  <c r="F253" i="3"/>
  <c r="F807" i="3"/>
  <c r="F70" i="3"/>
  <c r="F1121" i="3"/>
  <c r="F1195" i="3"/>
  <c r="F1159" i="3"/>
  <c r="F957" i="3"/>
  <c r="F1034" i="3"/>
  <c r="F763" i="3"/>
  <c r="F921" i="3"/>
  <c r="F847" i="3"/>
  <c r="F881" i="3"/>
  <c r="F823" i="3"/>
  <c r="F858" i="3"/>
  <c r="F543" i="3"/>
  <c r="F835" i="3"/>
  <c r="F652" i="3"/>
  <c r="F607" i="3"/>
  <c r="F506" i="3"/>
  <c r="F560" i="3"/>
  <c r="F759" i="3"/>
  <c r="F787" i="3"/>
  <c r="F717" i="3"/>
  <c r="F621" i="3"/>
  <c r="F681" i="3"/>
  <c r="F512" i="3"/>
  <c r="F571" i="3"/>
  <c r="F641" i="3"/>
  <c r="F592" i="3"/>
  <c r="F622" i="3"/>
  <c r="F613" i="3"/>
  <c r="F638" i="3"/>
  <c r="F589" i="3"/>
  <c r="F432" i="3"/>
  <c r="F562" i="3"/>
  <c r="F509" i="3"/>
  <c r="F496" i="3"/>
  <c r="F423" i="3"/>
  <c r="F477" i="3"/>
  <c r="F493" i="3"/>
  <c r="F484" i="3"/>
  <c r="F437" i="3"/>
  <c r="F399" i="3"/>
  <c r="F427" i="3"/>
  <c r="F415" i="3"/>
  <c r="F414" i="3"/>
  <c r="F383" i="3"/>
  <c r="F358" i="3"/>
  <c r="F330" i="3"/>
  <c r="F269" i="3"/>
  <c r="F305" i="3"/>
  <c r="F287" i="3"/>
  <c r="F258" i="3"/>
  <c r="F224" i="3"/>
  <c r="F198" i="3"/>
  <c r="F184" i="3"/>
  <c r="F154" i="3"/>
  <c r="F142" i="3"/>
  <c r="F126" i="3"/>
  <c r="F123" i="3"/>
  <c r="F67" i="3"/>
  <c r="F59" i="3"/>
  <c r="F41" i="3"/>
  <c r="F35" i="3"/>
  <c r="F19" i="3"/>
  <c r="F11" i="3"/>
  <c r="T77" i="3"/>
  <c r="W77" i="3" s="1"/>
  <c r="T577" i="3"/>
  <c r="W577" i="3" s="1"/>
  <c r="F241" i="3"/>
  <c r="F443" i="3"/>
  <c r="F831" i="3"/>
  <c r="F514" i="3"/>
  <c r="F413" i="3"/>
  <c r="F293" i="3"/>
  <c r="F937" i="3"/>
  <c r="F809" i="3"/>
  <c r="F78" i="3"/>
  <c r="F899" i="3"/>
  <c r="F120" i="3"/>
  <c r="F240" i="3"/>
  <c r="F819" i="3"/>
  <c r="F244" i="3"/>
  <c r="F206" i="3"/>
  <c r="F976" i="3"/>
  <c r="F105" i="3"/>
  <c r="F329" i="3"/>
  <c r="F441" i="3"/>
  <c r="F640" i="3"/>
  <c r="F1183" i="3"/>
  <c r="F788" i="3"/>
  <c r="F596" i="3"/>
  <c r="F719" i="3"/>
  <c r="F750" i="3"/>
  <c r="F207" i="3"/>
  <c r="F276" i="3"/>
  <c r="F791" i="3"/>
  <c r="F687" i="3"/>
  <c r="F255" i="3"/>
  <c r="F307" i="3"/>
  <c r="F457" i="3"/>
  <c r="F214" i="3"/>
  <c r="F727" i="3"/>
  <c r="F1184" i="3"/>
  <c r="F1112" i="3"/>
  <c r="F1063" i="3"/>
  <c r="F882" i="3"/>
  <c r="F910" i="3"/>
  <c r="F450" i="3"/>
  <c r="F710" i="3"/>
  <c r="F195" i="3"/>
  <c r="F676" i="3"/>
  <c r="F216" i="3"/>
  <c r="F922" i="3"/>
  <c r="F1038" i="3"/>
  <c r="F908" i="3"/>
  <c r="F927" i="3"/>
  <c r="F895" i="3"/>
  <c r="F820" i="3"/>
  <c r="F842" i="3"/>
  <c r="F731" i="3"/>
  <c r="F830" i="3"/>
  <c r="F551" i="3"/>
  <c r="F672" i="3"/>
  <c r="F689" i="3"/>
  <c r="F734" i="3"/>
  <c r="F669" i="3"/>
  <c r="F653" i="3"/>
  <c r="F639" i="3"/>
  <c r="F591" i="3"/>
  <c r="F657" i="3"/>
  <c r="F563" i="3"/>
  <c r="F637" i="3"/>
  <c r="F537" i="3"/>
  <c r="F572" i="3"/>
  <c r="F558" i="3"/>
  <c r="F535" i="3"/>
  <c r="F568" i="3"/>
  <c r="F485" i="3"/>
  <c r="F508" i="3"/>
  <c r="F520" i="3"/>
  <c r="F480" i="3"/>
  <c r="F434" i="3"/>
  <c r="F421" i="3"/>
  <c r="F406" i="3"/>
  <c r="F411" i="3"/>
  <c r="F375" i="3"/>
  <c r="F391" i="3"/>
  <c r="F263" i="3"/>
  <c r="F326" i="3"/>
  <c r="F298" i="3"/>
  <c r="F277" i="3"/>
  <c r="F285" i="3"/>
  <c r="F256" i="3"/>
  <c r="F223" i="3"/>
  <c r="F185" i="3"/>
  <c r="F163" i="3"/>
  <c r="F135" i="3"/>
  <c r="F131" i="3"/>
  <c r="F125" i="3"/>
  <c r="F118" i="3"/>
  <c r="F80" i="3"/>
  <c r="F54" i="3"/>
  <c r="F46" i="3"/>
  <c r="F34" i="3"/>
  <c r="F27" i="3"/>
  <c r="F14" i="3"/>
  <c r="T349" i="3"/>
  <c r="W349" i="3" s="1"/>
  <c r="F721" i="3"/>
  <c r="F531" i="3"/>
  <c r="F984" i="3"/>
  <c r="F286" i="3"/>
  <c r="F186" i="3"/>
  <c r="F75" i="3"/>
  <c r="F56" i="3"/>
  <c r="F481" i="3"/>
  <c r="F294" i="3"/>
  <c r="F693" i="3"/>
  <c r="F94" i="3"/>
  <c r="F502" i="3"/>
  <c r="F361" i="3"/>
  <c r="F367" i="3"/>
  <c r="F746" i="3"/>
  <c r="F1066" i="3"/>
  <c r="F463" i="3"/>
  <c r="F897" i="3"/>
  <c r="F1032" i="3"/>
  <c r="F268" i="3"/>
  <c r="F1203" i="3"/>
  <c r="F1094" i="3"/>
  <c r="F960" i="3"/>
  <c r="F942" i="3"/>
  <c r="F648" i="3"/>
  <c r="F824" i="3"/>
  <c r="F468" i="3"/>
  <c r="F1170" i="3"/>
  <c r="F1158" i="3"/>
  <c r="F217" i="3"/>
  <c r="F1131" i="3"/>
  <c r="F625" i="3"/>
  <c r="F29" i="3"/>
  <c r="F628" i="3"/>
  <c r="F749" i="3"/>
  <c r="F345" i="3"/>
  <c r="F1213" i="3"/>
  <c r="F1122" i="3"/>
  <c r="F968" i="3"/>
  <c r="F1060" i="3"/>
  <c r="F785" i="3"/>
  <c r="F1162" i="3"/>
  <c r="F939" i="3"/>
  <c r="F368" i="3"/>
  <c r="F250" i="3"/>
  <c r="F289" i="3"/>
  <c r="F1230" i="3"/>
  <c r="F273" i="3"/>
  <c r="F141" i="3"/>
  <c r="F310" i="3"/>
  <c r="F938" i="3"/>
  <c r="F839" i="3"/>
  <c r="F1188" i="3"/>
  <c r="F1172" i="3"/>
  <c r="F1208" i="3"/>
  <c r="F1111" i="3"/>
  <c r="F967" i="3"/>
  <c r="F1098" i="3"/>
  <c r="F1005" i="3"/>
  <c r="F990" i="3"/>
  <c r="F898" i="3"/>
  <c r="F954" i="3"/>
  <c r="F836" i="3"/>
  <c r="F762" i="3"/>
  <c r="F878" i="3"/>
  <c r="F716" i="3"/>
  <c r="F712" i="3"/>
  <c r="F782" i="3"/>
  <c r="F95" i="3"/>
  <c r="F1186" i="3"/>
  <c r="F172" i="3"/>
  <c r="F1055" i="3"/>
  <c r="F595" i="3"/>
  <c r="F317" i="3"/>
  <c r="F1040" i="3"/>
  <c r="F825" i="3"/>
  <c r="F1140" i="3"/>
  <c r="F699" i="3"/>
  <c r="F98" i="3"/>
  <c r="F63" i="3"/>
  <c r="F930" i="3"/>
  <c r="F88" i="3"/>
  <c r="F243" i="3"/>
  <c r="F1193" i="3"/>
  <c r="F1219" i="3"/>
  <c r="F970" i="3"/>
  <c r="F1175" i="3"/>
  <c r="F1039" i="3"/>
  <c r="F587" i="3"/>
  <c r="F828" i="3"/>
  <c r="F1232" i="3"/>
  <c r="F87" i="3"/>
  <c r="F168" i="3"/>
  <c r="F203" i="3"/>
  <c r="F400" i="3"/>
  <c r="F783" i="3"/>
  <c r="F1228" i="3"/>
  <c r="F302" i="3"/>
  <c r="F433" i="3"/>
  <c r="F647" i="3"/>
  <c r="F225" i="3"/>
  <c r="F392" i="3"/>
  <c r="F1003" i="3"/>
  <c r="F173" i="3"/>
  <c r="F1013" i="3"/>
  <c r="F1223" i="3"/>
  <c r="F435" i="3"/>
  <c r="F752" i="3"/>
  <c r="F232" i="3"/>
  <c r="F71" i="3"/>
  <c r="F215" i="3"/>
  <c r="F818" i="3"/>
  <c r="F81" i="3"/>
  <c r="F1107" i="3"/>
  <c r="F275" i="3"/>
  <c r="F986" i="3"/>
  <c r="F1221" i="3"/>
  <c r="F1075" i="3"/>
  <c r="F1018" i="3"/>
  <c r="F405" i="3"/>
  <c r="F708" i="3"/>
  <c r="F851" i="3"/>
  <c r="F311" i="3"/>
  <c r="F659" i="3"/>
  <c r="F1204" i="3"/>
  <c r="F1198" i="3"/>
  <c r="F1169" i="3"/>
  <c r="F1171" i="3"/>
  <c r="F1043" i="3"/>
  <c r="F1061" i="3"/>
  <c r="F1028" i="3"/>
  <c r="F991" i="3"/>
  <c r="F1120" i="3"/>
  <c r="F1116" i="3"/>
  <c r="F952" i="3"/>
  <c r="F1113" i="3"/>
  <c r="F1081" i="3"/>
  <c r="F909" i="3"/>
  <c r="F1042" i="3"/>
  <c r="F920" i="3"/>
  <c r="F1073" i="3"/>
  <c r="F1037" i="3"/>
  <c r="F1050" i="3"/>
  <c r="F1017" i="3"/>
  <c r="F1030" i="3"/>
  <c r="F985" i="3"/>
  <c r="F1009" i="3"/>
  <c r="F955" i="3"/>
  <c r="F722" i="3"/>
  <c r="F894" i="3"/>
  <c r="F877" i="3"/>
  <c r="F919" i="3"/>
  <c r="F635" i="3"/>
  <c r="F834" i="3"/>
  <c r="F816" i="3"/>
  <c r="F853" i="3"/>
  <c r="F841" i="3"/>
  <c r="F620" i="3"/>
  <c r="F822" i="3"/>
  <c r="F808" i="3"/>
  <c r="F770" i="3"/>
  <c r="F711" i="3"/>
  <c r="F703" i="3"/>
  <c r="F738" i="3"/>
  <c r="F482" i="3"/>
  <c r="F656" i="3"/>
  <c r="F679" i="3"/>
  <c r="F666" i="3"/>
  <c r="F682" i="3"/>
  <c r="F599" i="3"/>
  <c r="F588" i="3"/>
  <c r="F574" i="3"/>
  <c r="F611" i="3"/>
  <c r="F547" i="3"/>
  <c r="F627" i="3"/>
  <c r="F567" i="3"/>
  <c r="F554" i="3"/>
  <c r="F505" i="3"/>
  <c r="F494" i="3"/>
  <c r="F553" i="3"/>
  <c r="F583" i="3"/>
  <c r="F516" i="3"/>
  <c r="F507" i="3"/>
  <c r="F453" i="3"/>
  <c r="F419" i="3"/>
  <c r="F470" i="3"/>
  <c r="F388" i="3"/>
  <c r="F412" i="3"/>
  <c r="F390" i="3"/>
  <c r="F316" i="3"/>
  <c r="F344" i="3"/>
  <c r="F319" i="3"/>
  <c r="F304" i="3"/>
  <c r="F267" i="3"/>
  <c r="F265" i="3"/>
  <c r="F204" i="3"/>
  <c r="F182" i="3"/>
  <c r="F159" i="3"/>
  <c r="F145" i="3"/>
  <c r="F138" i="3"/>
  <c r="F133" i="3"/>
  <c r="F116" i="3"/>
  <c r="F79" i="3"/>
  <c r="F55" i="3"/>
  <c r="F43" i="3"/>
  <c r="F33" i="3"/>
  <c r="F22" i="3"/>
  <c r="F10" i="3"/>
  <c r="T170" i="3"/>
  <c r="W170" i="3" s="1"/>
  <c r="F76" i="3"/>
  <c r="F306" i="3"/>
  <c r="F701" i="3"/>
  <c r="F150" i="3"/>
  <c r="F229" i="3"/>
  <c r="F691" i="3"/>
  <c r="F736" i="3"/>
  <c r="F601" i="3"/>
  <c r="F454" i="3"/>
  <c r="F44" i="3"/>
  <c r="F64" i="3"/>
  <c r="F1148" i="3"/>
  <c r="F199" i="3"/>
  <c r="F139" i="3"/>
  <c r="F221" i="3"/>
  <c r="F1185" i="3"/>
  <c r="F670" i="3"/>
  <c r="F864" i="3"/>
  <c r="F178" i="3"/>
  <c r="F861" i="3"/>
  <c r="F261" i="3"/>
  <c r="F1109" i="3"/>
  <c r="F1053" i="3"/>
  <c r="F971" i="3"/>
  <c r="F887" i="3"/>
  <c r="F792" i="3"/>
  <c r="F624" i="3"/>
  <c r="F469" i="3"/>
  <c r="F449" i="3"/>
  <c r="F218" i="3"/>
  <c r="F1229" i="3"/>
  <c r="F633" i="3"/>
  <c r="F744" i="3"/>
  <c r="F247" i="3"/>
  <c r="F192" i="3"/>
  <c r="F1216" i="3"/>
  <c r="F536" i="3"/>
  <c r="F1115" i="3"/>
  <c r="F1102" i="3"/>
  <c r="F1046" i="3"/>
  <c r="F1076" i="3"/>
  <c r="F751" i="3"/>
  <c r="F288" i="3"/>
  <c r="F210" i="3"/>
  <c r="F89" i="3"/>
  <c r="F953" i="3"/>
  <c r="F1123" i="3"/>
  <c r="F194" i="3"/>
  <c r="F739" i="3"/>
  <c r="F39" i="3"/>
  <c r="F364" i="3"/>
  <c r="F471" i="3"/>
  <c r="F1197" i="3"/>
  <c r="F409" i="3"/>
  <c r="F852" i="3"/>
  <c r="F1082" i="3"/>
  <c r="F992" i="3"/>
  <c r="F931" i="3"/>
  <c r="F944" i="3"/>
  <c r="F940" i="3"/>
  <c r="F492" i="3"/>
  <c r="F188" i="3"/>
  <c r="F92" i="3"/>
  <c r="F158" i="3"/>
  <c r="F114" i="3"/>
  <c r="F694" i="3"/>
  <c r="F219" i="3"/>
  <c r="F108" i="3"/>
  <c r="F90" i="3"/>
  <c r="F249" i="3"/>
  <c r="F350" i="3"/>
  <c r="F780" i="3"/>
  <c r="F1205" i="3"/>
  <c r="F278" i="3"/>
  <c r="F328" i="3"/>
  <c r="F438" i="3"/>
  <c r="F723" i="3"/>
  <c r="F181" i="3"/>
  <c r="F663" i="3"/>
  <c r="F993" i="3"/>
  <c r="F581" i="3"/>
  <c r="F772" i="3"/>
  <c r="F202" i="3"/>
  <c r="F72" i="3"/>
  <c r="F83" i="3"/>
  <c r="F912" i="3"/>
  <c r="F1207" i="3"/>
  <c r="F685" i="3"/>
  <c r="F292" i="3"/>
  <c r="F1047" i="3"/>
  <c r="F683" i="3"/>
  <c r="F688" i="3"/>
  <c r="F756" i="3"/>
  <c r="F758" i="3"/>
  <c r="F428" i="3"/>
  <c r="F811" i="3"/>
  <c r="F297" i="3"/>
  <c r="F866" i="3"/>
  <c r="F389" i="3"/>
  <c r="F486" i="3"/>
  <c r="F354" i="3"/>
  <c r="F230" i="3"/>
  <c r="F550" i="3"/>
  <c r="F545" i="3"/>
  <c r="F452" i="3"/>
  <c r="F348" i="3"/>
  <c r="F1059" i="3"/>
  <c r="F686" i="3"/>
  <c r="F1177" i="3"/>
  <c r="F1226" i="3"/>
  <c r="F1164" i="3"/>
  <c r="F1220" i="3"/>
  <c r="F425" i="3"/>
  <c r="F1196" i="3"/>
  <c r="F1134" i="3"/>
  <c r="F1117" i="3"/>
  <c r="F1118" i="3"/>
  <c r="F1138" i="3"/>
  <c r="F1124" i="3"/>
  <c r="F1128" i="3"/>
  <c r="F1083" i="3"/>
  <c r="F1119" i="3"/>
  <c r="F1062" i="3"/>
  <c r="F1101" i="3"/>
  <c r="F961" i="3"/>
  <c r="F1079" i="3"/>
  <c r="F855" i="3"/>
  <c r="F1065" i="3"/>
  <c r="F1058" i="3"/>
  <c r="F1031" i="3"/>
  <c r="F1036" i="3"/>
  <c r="F1001" i="3"/>
  <c r="F1014" i="3"/>
  <c r="F934" i="3"/>
  <c r="F950" i="3"/>
  <c r="F900" i="3"/>
  <c r="F951" i="3"/>
  <c r="F973" i="3"/>
  <c r="F892" i="3"/>
  <c r="F876" i="3"/>
  <c r="F733" i="3"/>
  <c r="F845" i="3"/>
  <c r="F880" i="3"/>
  <c r="F815" i="3"/>
  <c r="F806" i="3"/>
  <c r="F840" i="3"/>
  <c r="F776" i="3"/>
  <c r="F649" i="3"/>
  <c r="F705" i="3"/>
  <c r="F730" i="3"/>
  <c r="F761" i="3"/>
  <c r="F796" i="3"/>
  <c r="F769" i="3"/>
  <c r="F667" i="3"/>
  <c r="F655" i="3"/>
  <c r="F729" i="3"/>
  <c r="F630" i="3"/>
  <c r="F650" i="3"/>
  <c r="F598" i="3"/>
  <c r="F626" i="3"/>
  <c r="F619" i="3"/>
  <c r="F610" i="3"/>
  <c r="F546" i="3"/>
  <c r="F586" i="3"/>
  <c r="F614" i="3"/>
  <c r="F511" i="3"/>
  <c r="F534" i="3"/>
  <c r="F523" i="3"/>
  <c r="F552" i="3"/>
  <c r="F501" i="3"/>
  <c r="F467" i="3"/>
  <c r="F473" i="3"/>
  <c r="F472" i="3"/>
  <c r="F460" i="3"/>
  <c r="F442" i="3"/>
  <c r="F385" i="3"/>
  <c r="F387" i="3"/>
  <c r="F386" i="3"/>
  <c r="F332" i="3"/>
  <c r="F337" i="3"/>
  <c r="F315" i="3"/>
  <c r="F291" i="3"/>
  <c r="F254" i="3"/>
  <c r="F262" i="3"/>
  <c r="F197" i="3"/>
  <c r="F179" i="3"/>
  <c r="F147" i="3"/>
  <c r="F143" i="3"/>
  <c r="F137" i="3"/>
  <c r="F124" i="3"/>
  <c r="F111" i="3"/>
  <c r="F60" i="3"/>
  <c r="F51" i="3"/>
  <c r="F42" i="3"/>
  <c r="F38" i="3"/>
  <c r="F21" i="3"/>
  <c r="F9" i="3"/>
  <c r="T732" i="3"/>
  <c r="W732" i="3" s="1"/>
  <c r="T464" i="3"/>
  <c r="W464" i="3" s="1"/>
  <c r="F462" i="3"/>
  <c r="F151" i="3"/>
  <c r="F49" i="3"/>
  <c r="F312" i="3"/>
  <c r="F322" i="3"/>
  <c r="F1080" i="3"/>
  <c r="F320" i="3"/>
  <c r="F23" i="3"/>
  <c r="F933" i="3"/>
  <c r="F407" i="3"/>
  <c r="F343" i="3"/>
  <c r="F675" i="3"/>
  <c r="F65" i="3"/>
  <c r="F1146" i="3"/>
  <c r="F149" i="3"/>
  <c r="F1020" i="3"/>
  <c r="F904" i="3"/>
  <c r="F1179" i="3"/>
  <c r="F737" i="3"/>
  <c r="F1231" i="3"/>
  <c r="F1156" i="3"/>
  <c r="F1069" i="3"/>
  <c r="F889" i="3"/>
  <c r="F680" i="3"/>
  <c r="F886" i="3"/>
  <c r="F754" i="3"/>
  <c r="F661" i="3"/>
  <c r="F1104" i="3"/>
  <c r="F1100" i="3"/>
  <c r="F226" i="3"/>
  <c r="F246" i="3"/>
  <c r="F556" i="3"/>
  <c r="F923" i="3"/>
  <c r="F53" i="3"/>
  <c r="F867" i="3"/>
  <c r="F757" i="3"/>
  <c r="F1200" i="3"/>
  <c r="F1132" i="3"/>
  <c r="F879" i="3"/>
  <c r="F965" i="3"/>
  <c r="F755" i="3"/>
  <c r="F925" i="3"/>
  <c r="F778" i="3"/>
  <c r="F235" i="3"/>
  <c r="F1142" i="3"/>
  <c r="F800" i="3"/>
  <c r="F476" i="3"/>
  <c r="F956" i="3"/>
  <c r="F331" i="3"/>
  <c r="F340" i="3"/>
  <c r="F977" i="3"/>
  <c r="F408" i="3"/>
  <c r="F983" i="3"/>
  <c r="F869" i="3"/>
  <c r="F1125" i="3"/>
  <c r="F1049" i="3"/>
  <c r="F1056" i="3"/>
  <c r="F1022" i="3"/>
  <c r="F849" i="3"/>
  <c r="F949" i="3"/>
  <c r="F475" i="3"/>
  <c r="F148" i="3"/>
  <c r="F557" i="3"/>
  <c r="F140" i="3"/>
  <c r="F775" i="3"/>
  <c r="F301" i="3"/>
  <c r="F281" i="3"/>
  <c r="F99" i="3"/>
  <c r="F309" i="3"/>
  <c r="F50" i="3"/>
  <c r="F283" i="3"/>
  <c r="F109" i="3"/>
  <c r="F237" i="3"/>
  <c r="F668" i="3"/>
  <c r="F234" i="3"/>
  <c r="F73" i="3"/>
  <c r="F362" i="3"/>
  <c r="F767" i="3"/>
  <c r="F664" i="3"/>
  <c r="F1174" i="3"/>
  <c r="F812" i="3"/>
  <c r="F517" i="3"/>
  <c r="F1215" i="3"/>
  <c r="F846" i="3"/>
  <c r="F1136" i="3"/>
  <c r="F321" i="3"/>
  <c r="F914" i="3"/>
  <c r="F106" i="3"/>
  <c r="F271" i="3"/>
  <c r="F1199" i="3"/>
  <c r="F191" i="3"/>
  <c r="F632" i="3"/>
  <c r="F1211" i="3"/>
  <c r="F1217" i="3"/>
  <c r="F104" i="3"/>
  <c r="F1201" i="3"/>
  <c r="F365" i="3"/>
  <c r="F242" i="3"/>
  <c r="F943" i="3"/>
  <c r="F1157" i="3"/>
  <c r="F257" i="3"/>
  <c r="F964" i="3"/>
  <c r="F998" i="3"/>
  <c r="F103" i="3"/>
  <c r="F863" i="3"/>
  <c r="F69" i="3"/>
  <c r="F1153" i="3"/>
  <c r="F395" i="3"/>
  <c r="F735" i="3"/>
  <c r="F357" i="3"/>
  <c r="F31" i="3"/>
  <c r="F1187" i="3"/>
  <c r="F1160" i="3"/>
  <c r="F1224" i="3"/>
  <c r="F911" i="3"/>
  <c r="F284" i="3"/>
  <c r="F171" i="3"/>
  <c r="F497" i="3"/>
  <c r="F1176" i="3"/>
  <c r="F1147" i="3"/>
  <c r="F1092" i="3"/>
  <c r="F1096" i="3"/>
  <c r="F1135" i="3"/>
  <c r="F1151" i="3"/>
  <c r="F1144" i="3"/>
  <c r="F1141" i="3"/>
  <c r="F974" i="3"/>
  <c r="F1089" i="3"/>
  <c r="F1072" i="3"/>
  <c r="F1088" i="3"/>
  <c r="F1078" i="3"/>
  <c r="F1051" i="3"/>
  <c r="F1064" i="3"/>
  <c r="F1057" i="3"/>
  <c r="F1027" i="3"/>
  <c r="F1012" i="3"/>
  <c r="F1048" i="3"/>
  <c r="F774" i="3"/>
  <c r="F962" i="3"/>
  <c r="F1011" i="3"/>
  <c r="F966" i="3"/>
  <c r="F918" i="3"/>
  <c r="F903" i="3"/>
  <c r="F932" i="3"/>
  <c r="F875" i="3"/>
  <c r="F915" i="3"/>
  <c r="F893" i="3"/>
  <c r="F833" i="3"/>
  <c r="F865" i="3"/>
  <c r="F803" i="3"/>
  <c r="F793" i="3"/>
  <c r="F870" i="3"/>
  <c r="F860" i="3"/>
  <c r="F799" i="3"/>
  <c r="F768" i="3"/>
  <c r="F671" i="3"/>
  <c r="F695" i="3"/>
  <c r="F559" i="3"/>
  <c r="F707" i="3"/>
  <c r="F742" i="3"/>
  <c r="F726" i="3"/>
  <c r="F697" i="3"/>
  <c r="F602" i="3"/>
  <c r="F706" i="3"/>
  <c r="F456" i="3"/>
  <c r="F616" i="3"/>
  <c r="F606" i="3"/>
  <c r="F597" i="3"/>
  <c r="F585" i="3"/>
  <c r="F524" i="3"/>
  <c r="F548" i="3"/>
  <c r="F503" i="3"/>
  <c r="F519" i="3"/>
  <c r="F549" i="3"/>
  <c r="F575" i="3"/>
  <c r="F465" i="3"/>
  <c r="F500" i="3"/>
  <c r="F447" i="3"/>
  <c r="F416" i="3"/>
  <c r="F401" i="3"/>
  <c r="F397" i="3"/>
  <c r="F371" i="3"/>
  <c r="F370" i="3"/>
  <c r="F379" i="3"/>
  <c r="F334" i="3"/>
  <c r="F227" i="3"/>
  <c r="F290" i="3"/>
  <c r="F280" i="3"/>
  <c r="F228" i="3"/>
  <c r="F196" i="3"/>
  <c r="F176" i="3"/>
  <c r="F146" i="3"/>
  <c r="F152" i="3"/>
  <c r="F136" i="3"/>
  <c r="F128" i="3"/>
  <c r="F102" i="3"/>
  <c r="F57" i="3"/>
  <c r="F52" i="3"/>
  <c r="F37" i="3"/>
  <c r="F30" i="3"/>
  <c r="F17" i="3"/>
  <c r="F7" i="3"/>
  <c r="T696" i="3"/>
  <c r="W696" i="3" s="1"/>
  <c r="T164" i="3"/>
  <c r="W164" i="3" s="1"/>
  <c r="F220" i="3"/>
  <c r="F336" i="3"/>
  <c r="F338" i="3"/>
  <c r="F193" i="3"/>
  <c r="F376" i="3"/>
  <c r="F821" i="3"/>
  <c r="F518" i="3"/>
  <c r="F272" i="3"/>
  <c r="F1054" i="3"/>
  <c r="F245" i="3"/>
  <c r="F634" i="3"/>
  <c r="F93" i="3"/>
  <c r="F144" i="3"/>
  <c r="F856" i="3"/>
  <c r="F270" i="3"/>
  <c r="F107" i="3"/>
  <c r="F617" i="3"/>
  <c r="F100" i="3"/>
  <c r="F902" i="3"/>
  <c r="F658" i="3"/>
  <c r="F381" i="3"/>
  <c r="F1129" i="3"/>
  <c r="F1106" i="3"/>
  <c r="F1084" i="3"/>
  <c r="F704" i="3"/>
  <c r="F777" i="3"/>
  <c r="F805" i="3"/>
  <c r="F645" i="3"/>
  <c r="F13" i="3"/>
  <c r="F238" i="3"/>
  <c r="F857" i="3"/>
  <c r="F459" i="3"/>
  <c r="F201" i="3"/>
  <c r="F725" i="3"/>
  <c r="F167" i="3"/>
  <c r="F1139" i="3"/>
  <c r="F997" i="3"/>
  <c r="F1218" i="3"/>
  <c r="F1105" i="3"/>
  <c r="F1077" i="3"/>
  <c r="F784" i="3"/>
  <c r="F713" i="3"/>
  <c r="F994" i="3"/>
  <c r="F728" i="3"/>
  <c r="F603" i="3"/>
  <c r="F978" i="3"/>
  <c r="F363" i="3"/>
  <c r="F84" i="3"/>
  <c r="F644" i="3"/>
  <c r="F760" i="3"/>
  <c r="F1006" i="3"/>
  <c r="F1154" i="3"/>
  <c r="F684" i="3"/>
  <c r="F374" i="3"/>
  <c r="F1163" i="3"/>
  <c r="F1168" i="3"/>
  <c r="F1099" i="3"/>
  <c r="F948" i="3"/>
  <c r="F871" i="3"/>
  <c r="F959" i="3"/>
  <c r="F1194" i="3"/>
  <c r="F28" i="3"/>
  <c r="F18" i="3"/>
  <c r="F333" i="3"/>
  <c r="F439" i="3"/>
  <c r="F544" i="3"/>
  <c r="F451" i="3"/>
  <c r="F461" i="3"/>
  <c r="F426" i="3"/>
  <c r="F698" i="3"/>
  <c r="F239" i="3"/>
  <c r="F236" i="3"/>
  <c r="F74" i="3"/>
  <c r="F885" i="3"/>
  <c r="F97" i="3"/>
  <c r="F1192" i="3"/>
  <c r="F110" i="3"/>
  <c r="F1095" i="3"/>
  <c r="F801" i="3"/>
  <c r="F1227" i="3"/>
  <c r="F418" i="3"/>
  <c r="F1023" i="3"/>
  <c r="F1000" i="3"/>
  <c r="F862" i="3"/>
  <c r="F848" i="3"/>
  <c r="F455" i="3"/>
  <c r="F844" i="3"/>
  <c r="F231" i="3"/>
  <c r="F891" i="3"/>
  <c r="F972" i="3"/>
  <c r="F431" i="3"/>
  <c r="F335" i="3"/>
  <c r="F850" i="3"/>
  <c r="F982" i="3"/>
  <c r="F16" i="3"/>
  <c r="F926" i="3"/>
  <c r="F854" i="3"/>
  <c r="F642" i="3"/>
  <c r="F1233" i="3"/>
  <c r="F989" i="3"/>
  <c r="F82" i="3"/>
  <c r="F1165" i="3"/>
  <c r="F753" i="3"/>
  <c r="F474" i="3"/>
  <c r="F1178" i="3"/>
  <c r="F924" i="3"/>
  <c r="F112" i="3"/>
  <c r="F1010" i="3"/>
  <c r="F314" i="3"/>
  <c r="F1190" i="3"/>
  <c r="F504" i="3"/>
  <c r="F1214" i="3"/>
  <c r="F979" i="3"/>
  <c r="F837" i="3"/>
  <c r="F804" i="3"/>
  <c r="F1137" i="3"/>
  <c r="F279" i="3"/>
  <c r="F1222" i="3"/>
  <c r="F1145" i="3"/>
  <c r="F1091" i="3"/>
  <c r="F1045" i="3"/>
  <c r="F1074" i="3"/>
  <c r="F980" i="3"/>
  <c r="F1110" i="3"/>
  <c r="F988" i="3"/>
  <c r="F1097" i="3"/>
  <c r="F999" i="3"/>
  <c r="F969" i="3"/>
  <c r="F1087" i="3"/>
  <c r="F946" i="3"/>
  <c r="F1070" i="3"/>
  <c r="F1041" i="3"/>
  <c r="F827" i="3"/>
  <c r="F1024" i="3"/>
  <c r="F1008" i="3"/>
  <c r="F1044" i="3"/>
  <c r="F975" i="3"/>
  <c r="F1026" i="3"/>
  <c r="F945" i="3"/>
  <c r="F936" i="3"/>
  <c r="F917" i="3"/>
  <c r="F715" i="3"/>
  <c r="F702" i="3"/>
  <c r="F958" i="3"/>
  <c r="F947" i="3"/>
  <c r="F700" i="3"/>
  <c r="F660" i="3"/>
  <c r="F813" i="3"/>
  <c r="F896" i="3"/>
  <c r="F594" i="3"/>
  <c r="F826" i="3"/>
  <c r="F720" i="3"/>
  <c r="F843" i="3"/>
  <c r="F814" i="3"/>
  <c r="F709" i="3"/>
  <c r="F789" i="3"/>
  <c r="F677" i="3"/>
  <c r="F797" i="3"/>
  <c r="F618" i="3"/>
  <c r="F646" i="3"/>
  <c r="F662" i="3"/>
  <c r="F678" i="3"/>
  <c r="F665" i="3"/>
  <c r="F623" i="3"/>
  <c r="F615" i="3"/>
  <c r="F605" i="3"/>
  <c r="F541" i="3"/>
  <c r="F584" i="3"/>
  <c r="F651" i="3"/>
  <c r="F542" i="3"/>
  <c r="F530" i="3"/>
  <c r="F491" i="3"/>
  <c r="F479" i="3"/>
  <c r="F528" i="3"/>
  <c r="F488" i="3"/>
  <c r="F448" i="3"/>
  <c r="F445" i="3"/>
  <c r="F393" i="3"/>
  <c r="F420" i="3"/>
  <c r="F396" i="3"/>
  <c r="F402" i="3"/>
  <c r="F369" i="3"/>
  <c r="F378" i="3"/>
  <c r="F356" i="3"/>
  <c r="F300" i="3"/>
  <c r="F266" i="3"/>
  <c r="F260" i="3"/>
  <c r="F208" i="3"/>
  <c r="F183" i="3"/>
  <c r="F162" i="3"/>
  <c r="F157" i="3"/>
  <c r="F156" i="3"/>
  <c r="F130" i="3"/>
  <c r="F121" i="3"/>
  <c r="F113" i="3"/>
  <c r="F66" i="3"/>
  <c r="F45" i="3"/>
  <c r="F40" i="3"/>
  <c r="F24" i="3"/>
  <c r="F20" i="3"/>
  <c r="F6" i="3"/>
  <c r="K4" i="7" s="1"/>
  <c r="T403" i="3"/>
  <c r="W403" i="3" s="1"/>
  <c r="T339" i="3"/>
  <c r="W339" i="3" s="1"/>
  <c r="F180" i="3"/>
  <c r="F569" i="3"/>
  <c r="F612" i="3"/>
  <c r="F346" i="3"/>
  <c r="F1182" i="3"/>
  <c r="F529" i="3"/>
  <c r="F573" i="3"/>
  <c r="F299" i="3"/>
  <c r="F160" i="3"/>
  <c r="F1130" i="3"/>
  <c r="F394" i="3"/>
  <c r="F342" i="3"/>
  <c r="F200" i="3"/>
  <c r="F318" i="3"/>
  <c r="V272" i="3"/>
  <c r="U821" i="3"/>
  <c r="U856" i="3"/>
  <c r="V518" i="3"/>
  <c r="U376" i="3"/>
  <c r="U144" i="3"/>
  <c r="V821" i="3"/>
  <c r="V856" i="3"/>
  <c r="U193" i="3"/>
  <c r="U93" i="3"/>
  <c r="V376" i="3"/>
  <c r="V144" i="3"/>
  <c r="U338" i="3"/>
  <c r="U634" i="3"/>
  <c r="T220" i="3"/>
  <c r="W220" i="3" s="1"/>
  <c r="T336" i="3"/>
  <c r="W336" i="3" s="1"/>
  <c r="T338" i="3"/>
  <c r="W338" i="3" s="1"/>
  <c r="T193" i="3"/>
  <c r="W193" i="3" s="1"/>
  <c r="T376" i="3"/>
  <c r="W376" i="3" s="1"/>
  <c r="T821" i="3"/>
  <c r="W821" i="3" s="1"/>
  <c r="T518" i="3"/>
  <c r="W518" i="3" s="1"/>
  <c r="T272" i="3"/>
  <c r="W272" i="3" s="1"/>
  <c r="T1054" i="3"/>
  <c r="W1054" i="3" s="1"/>
  <c r="T245" i="3"/>
  <c r="W245" i="3" s="1"/>
  <c r="T634" i="3"/>
  <c r="W634" i="3" s="1"/>
  <c r="T93" i="3"/>
  <c r="W93" i="3" s="1"/>
  <c r="T144" i="3"/>
  <c r="W144" i="3" s="1"/>
  <c r="T856" i="3"/>
  <c r="W856" i="3" s="1"/>
  <c r="V193" i="3"/>
  <c r="V93" i="3"/>
  <c r="U336" i="3"/>
  <c r="U245" i="3"/>
  <c r="V338" i="3"/>
  <c r="V634" i="3"/>
  <c r="U220" i="3"/>
  <c r="U1054" i="3"/>
  <c r="V336" i="3"/>
  <c r="V245" i="3"/>
  <c r="U272" i="3"/>
  <c r="U696" i="3"/>
  <c r="U577" i="3"/>
  <c r="V77" i="3"/>
  <c r="V347" i="3"/>
  <c r="V714" i="3"/>
  <c r="V403" i="3"/>
  <c r="V696" i="3"/>
  <c r="V732" i="3"/>
  <c r="V170" i="3"/>
  <c r="V349" i="3"/>
  <c r="V577" i="3"/>
  <c r="V404" i="3"/>
  <c r="V446" i="3"/>
  <c r="V339" i="3"/>
  <c r="V164" i="3"/>
  <c r="V464" i="3"/>
  <c r="U347" i="3"/>
  <c r="U404" i="3"/>
  <c r="U403" i="3"/>
  <c r="U464" i="3"/>
  <c r="U714" i="3"/>
  <c r="U446" i="3"/>
  <c r="U77" i="3"/>
  <c r="U349" i="3"/>
  <c r="U170" i="3"/>
  <c r="U164" i="3"/>
  <c r="U732" i="3"/>
  <c r="U339" i="3"/>
  <c r="BB267" i="1"/>
  <c r="AZ267" i="1" s="1"/>
  <c r="Q432" i="3" s="1"/>
  <c r="BB656" i="1"/>
  <c r="BB618" i="1"/>
  <c r="AZ618" i="1" s="1"/>
  <c r="Q992" i="3" s="1"/>
  <c r="BB478" i="1"/>
  <c r="AZ478" i="1" s="1"/>
  <c r="Q715" i="3" s="1"/>
  <c r="BB569" i="1"/>
  <c r="AZ569" i="1" s="1"/>
  <c r="Q909" i="3" s="1"/>
  <c r="BB508" i="1"/>
  <c r="AZ508" i="1" s="1"/>
  <c r="Q890" i="3" s="1"/>
  <c r="BB135" i="1"/>
  <c r="AZ135" i="1" s="1"/>
  <c r="Q227" i="3" s="1"/>
  <c r="BB438" i="1"/>
  <c r="AZ438" i="1" s="1"/>
  <c r="Q660" i="3" s="1"/>
  <c r="BB626" i="1"/>
  <c r="AZ626" i="1" s="1"/>
  <c r="Q1049" i="3" s="1"/>
  <c r="BB651" i="1"/>
  <c r="AZ651" i="1" s="1"/>
  <c r="Q1122" i="3" s="1"/>
  <c r="BB379" i="1"/>
  <c r="BB625" i="1"/>
  <c r="AZ625" i="1" s="1"/>
  <c r="Q1028" i="3" s="1"/>
  <c r="BB449" i="1"/>
  <c r="AZ449" i="1" s="1"/>
  <c r="Q635" i="3" s="1"/>
  <c r="BB540" i="1"/>
  <c r="AZ540" i="1" s="1"/>
  <c r="Q795" i="3" s="1"/>
  <c r="BB633" i="1"/>
  <c r="AZ633" i="1" s="1"/>
  <c r="Q1061" i="3" s="1"/>
  <c r="BB554" i="1"/>
  <c r="AZ554" i="1" s="1"/>
  <c r="Q922" i="3" s="1"/>
  <c r="BB654" i="1"/>
  <c r="AZ654" i="1" s="1"/>
  <c r="Q1091" i="3" s="1"/>
  <c r="BB108" i="1"/>
  <c r="AZ108" i="1" s="1"/>
  <c r="Q169" i="3" s="1"/>
  <c r="BB370" i="1"/>
  <c r="AZ370" i="1" s="1"/>
  <c r="Q551" i="3" s="1"/>
  <c r="BB333" i="1"/>
  <c r="AZ333" i="1" s="1"/>
  <c r="Q468" i="3" s="1"/>
  <c r="BB655" i="1"/>
  <c r="AZ655" i="1" s="1"/>
  <c r="Q1092" i="3" s="1"/>
  <c r="BB546" i="1"/>
  <c r="AZ546" i="1" s="1"/>
  <c r="Q944" i="3" s="1"/>
  <c r="BB638" i="1"/>
  <c r="AZ638" i="1" s="1"/>
  <c r="Q1074" i="3" s="1"/>
  <c r="BB456" i="1"/>
  <c r="AZ456" i="1" s="1"/>
  <c r="Q733" i="3" s="1"/>
  <c r="BB674" i="1"/>
  <c r="AZ674" i="1" s="1"/>
  <c r="Q1208" i="3" s="1"/>
  <c r="BB603" i="1"/>
  <c r="AZ603" i="1" s="1"/>
  <c r="Q968" i="3" s="1"/>
  <c r="BB396" i="1"/>
  <c r="AZ396" i="1" s="1"/>
  <c r="Q608" i="3" s="1"/>
  <c r="BB484" i="1"/>
  <c r="AZ484" i="1" s="1"/>
  <c r="Q817" i="3" s="1"/>
  <c r="BB650" i="1"/>
  <c r="AZ650" i="1" s="1"/>
  <c r="Q1082" i="3" s="1"/>
  <c r="BB584" i="1"/>
  <c r="AZ584" i="1" s="1"/>
  <c r="Q961" i="3" s="1"/>
  <c r="BB139" i="1"/>
  <c r="AZ139" i="1" s="1"/>
  <c r="Q269" i="3" s="1"/>
  <c r="BB666" i="1"/>
  <c r="AZ666" i="1" s="1"/>
  <c r="Q1163" i="3" s="1"/>
  <c r="BB630" i="1"/>
  <c r="AZ630" i="1" s="1"/>
  <c r="Q980" i="3" s="1"/>
  <c r="BB491" i="1"/>
  <c r="AZ491" i="1" s="1"/>
  <c r="Q755" i="3" s="1"/>
  <c r="BB476" i="1"/>
  <c r="AZ476" i="1" s="1"/>
  <c r="Q674" i="3" s="1"/>
  <c r="BB613" i="1"/>
  <c r="AZ613" i="1" s="1"/>
  <c r="Q987" i="3" s="1"/>
  <c r="BB648" i="1"/>
  <c r="AZ648" i="1" s="1"/>
  <c r="Q1118" i="3" s="1"/>
  <c r="BB532" i="1"/>
  <c r="AZ532" i="1" s="1"/>
  <c r="Q905" i="3" s="1"/>
  <c r="BB467" i="1"/>
  <c r="BB414" i="1"/>
  <c r="AZ414" i="1" s="1"/>
  <c r="Q594" i="3" s="1"/>
  <c r="BB524" i="1"/>
  <c r="AZ524" i="1" s="1"/>
  <c r="Q786" i="3" s="1"/>
  <c r="BB658" i="1"/>
  <c r="AZ658" i="1" s="1"/>
  <c r="Q1125" i="3" s="1"/>
  <c r="BB507" i="1"/>
  <c r="AZ507" i="1" s="1"/>
  <c r="Q785" i="3" s="1"/>
  <c r="BB397" i="1"/>
  <c r="AZ397" i="1" s="1"/>
  <c r="Q609" i="3" s="1"/>
  <c r="BB331" i="1"/>
  <c r="AZ331" i="1" s="1"/>
  <c r="Q512" i="3" s="1"/>
  <c r="BB499" i="1"/>
  <c r="AZ499" i="1" s="1"/>
  <c r="Q763" i="3" s="1"/>
  <c r="BB598" i="1"/>
  <c r="AZ598" i="1" s="1"/>
  <c r="Q999" i="3" s="1"/>
  <c r="BB387" i="1"/>
  <c r="AZ387" i="1" s="1"/>
  <c r="Q506" i="3" s="1"/>
  <c r="BB470" i="1"/>
  <c r="AZ470" i="1" s="1"/>
  <c r="Q702" i="3" s="1"/>
  <c r="BB548" i="1"/>
  <c r="AZ548" i="1" s="1"/>
  <c r="Q868" i="3" s="1"/>
  <c r="BB602" i="1"/>
  <c r="AZ602" i="1" s="1"/>
  <c r="Q967" i="3" s="1"/>
  <c r="BB359" i="1"/>
  <c r="AZ359" i="1" s="1"/>
  <c r="Q559" i="3" s="1"/>
  <c r="BB77" i="1"/>
  <c r="AZ77" i="1" s="1"/>
  <c r="Q117" i="3" s="1"/>
  <c r="BB525" i="1"/>
  <c r="AZ525" i="1" s="1"/>
  <c r="Q788" i="3" s="1"/>
  <c r="AZ467" i="1"/>
  <c r="Q751" i="3" s="1"/>
  <c r="BB419" i="1"/>
  <c r="BB672" i="1"/>
  <c r="AZ672" i="1" s="1"/>
  <c r="Q1196" i="3" s="1"/>
  <c r="BB154" i="1"/>
  <c r="AZ154" i="1" s="1"/>
  <c r="Q263" i="3" s="1"/>
  <c r="BB538" i="1"/>
  <c r="AZ538" i="1" s="1"/>
  <c r="Q871" i="3" s="1"/>
  <c r="BB629" i="1"/>
  <c r="AZ629" i="1" s="1"/>
  <c r="Q1033" i="3" s="1"/>
  <c r="BB578" i="1"/>
  <c r="AZ578" i="1" s="1"/>
  <c r="Q948" i="3" s="1"/>
  <c r="BB617" i="1"/>
  <c r="AZ617" i="1" s="1"/>
  <c r="Q991" i="3" s="1"/>
  <c r="BB400" i="1"/>
  <c r="AZ400" i="1" s="1"/>
  <c r="Q649" i="3" s="1"/>
  <c r="BB403" i="1"/>
  <c r="AZ403" i="1" s="1"/>
  <c r="Q652" i="3" s="1"/>
  <c r="BB541" i="1"/>
  <c r="AZ541" i="1" s="1"/>
  <c r="Q889" i="3" s="1"/>
  <c r="BB614" i="1"/>
  <c r="AZ614" i="1" s="1"/>
  <c r="Q988" i="3" s="1"/>
  <c r="BB595" i="1"/>
  <c r="AZ595" i="1" s="1"/>
  <c r="Q957" i="3" s="1"/>
  <c r="BB659" i="1"/>
  <c r="AZ659" i="1" s="1"/>
  <c r="Q1115" i="3" s="1"/>
  <c r="BB641" i="1"/>
  <c r="AZ641" i="1" s="1"/>
  <c r="Q1043" i="3" s="1"/>
  <c r="BB523" i="1"/>
  <c r="AZ523" i="1" s="1"/>
  <c r="Q784" i="3" s="1"/>
  <c r="BB673" i="1"/>
  <c r="AZ673" i="1" s="1"/>
  <c r="Q1204" i="3" s="1"/>
  <c r="BB557" i="1"/>
  <c r="AZ557" i="1" s="1"/>
  <c r="Q960" i="3" s="1"/>
  <c r="BB553" i="1"/>
  <c r="AZ553" i="1" s="1"/>
  <c r="Q920" i="3" s="1"/>
  <c r="BB475" i="1"/>
  <c r="AZ475" i="1" s="1"/>
  <c r="Q713" i="3" s="1"/>
  <c r="BB452" i="1"/>
  <c r="AZ452" i="1" s="1"/>
  <c r="Q673" i="3" s="1"/>
  <c r="BB516" i="1"/>
  <c r="AZ516" i="1" s="1"/>
  <c r="Q764" i="3" s="1"/>
  <c r="BB662" i="1"/>
  <c r="AZ662" i="1" s="1"/>
  <c r="Q1145" i="3" s="1"/>
  <c r="BB675" i="1"/>
  <c r="AZ675" i="1" s="1"/>
  <c r="Q1218" i="3" s="1"/>
  <c r="BB485" i="1"/>
  <c r="AZ485" i="1" s="1"/>
  <c r="Q680" i="3" s="1"/>
  <c r="BB353" i="1"/>
  <c r="AZ353" i="1" s="1"/>
  <c r="Q482" i="3" s="1"/>
  <c r="AZ419" i="1"/>
  <c r="Q543" i="3" s="1"/>
  <c r="AZ379" i="1"/>
  <c r="Q560" i="3" s="1"/>
  <c r="AZ656" i="1"/>
  <c r="Q1117" i="3" s="1"/>
  <c r="BB593" i="1"/>
  <c r="AZ593" i="1" s="1"/>
  <c r="Q952" i="3" s="1"/>
  <c r="BB646" i="1"/>
  <c r="AZ646" i="1" s="1"/>
  <c r="Q1045" i="3" s="1"/>
  <c r="BB421" i="1"/>
  <c r="AZ421" i="1" s="1"/>
  <c r="Q596" i="3" s="1"/>
  <c r="BB636" i="1"/>
  <c r="AZ636" i="1" s="1"/>
  <c r="Q1004" i="3" s="1"/>
  <c r="BB568" i="1"/>
  <c r="AZ568" i="1" s="1"/>
  <c r="Q855" i="3" s="1"/>
  <c r="BB519" i="1"/>
  <c r="AZ519" i="1" s="1"/>
  <c r="Q774" i="3" s="1"/>
  <c r="BB574" i="1"/>
  <c r="AZ574" i="1" s="1"/>
  <c r="Q946" i="3" s="1"/>
  <c r="BB453" i="1"/>
  <c r="AZ453" i="1" s="1"/>
  <c r="Q648" i="3" s="1"/>
  <c r="BB409" i="1"/>
  <c r="AZ409" i="1" s="1"/>
  <c r="Q620" i="3" s="1"/>
  <c r="BB664" i="1"/>
  <c r="AZ664" i="1" s="1"/>
  <c r="Q1134" i="3" s="1"/>
  <c r="BB607" i="1"/>
  <c r="AZ607" i="1" s="1"/>
  <c r="Q974" i="3" s="1"/>
  <c r="BB671" i="1"/>
  <c r="AZ671" i="1" s="1"/>
  <c r="Q1176" i="3" s="1"/>
  <c r="BB550" i="1"/>
  <c r="AZ550" i="1" s="1"/>
  <c r="Q827" i="3" s="1"/>
  <c r="BB446" i="1"/>
  <c r="AZ446" i="1" s="1"/>
  <c r="Q700" i="3" s="1"/>
  <c r="BB481" i="1"/>
  <c r="AZ481" i="1" s="1"/>
  <c r="Q722" i="3" s="1"/>
  <c r="BB235" i="1"/>
  <c r="AZ235" i="1" s="1"/>
  <c r="Q423" i="3" s="1"/>
  <c r="BB493" i="1"/>
  <c r="AZ493" i="1" s="1"/>
  <c r="Q704" i="3" s="1"/>
  <c r="BB303" i="1"/>
  <c r="AZ303" i="1" s="1"/>
  <c r="Q456" i="3" s="1"/>
  <c r="BB586" i="1"/>
  <c r="AZ586" i="1" s="1"/>
  <c r="Q931" i="3" s="1"/>
  <c r="BB590" i="1"/>
  <c r="AZ590" i="1" s="1"/>
  <c r="Q969" i="3" s="1"/>
  <c r="BB579" i="1"/>
  <c r="AZ579" i="1" s="1"/>
  <c r="Q879" i="3" s="1"/>
  <c r="BB596" i="1"/>
  <c r="AZ596" i="1" s="1"/>
  <c r="Q995" i="3" s="1"/>
  <c r="BB395" i="1"/>
  <c r="AZ395" i="1" s="1"/>
  <c r="Q607" i="3" s="1"/>
  <c r="BB647" i="1"/>
  <c r="AZ647" i="1" s="1"/>
  <c r="Q1096" i="3" s="1"/>
  <c r="BB539" i="1"/>
  <c r="AZ539" i="1" s="1"/>
  <c r="Q882" i="3" s="1"/>
  <c r="BB514" i="1"/>
  <c r="AZ514" i="1" s="1"/>
  <c r="Q849" i="3" s="1"/>
  <c r="BB663" i="1"/>
  <c r="AZ663" i="1" s="1"/>
  <c r="Q1147" i="3" s="1"/>
  <c r="AP5" i="2"/>
  <c r="AP85" i="2"/>
  <c r="AP10" i="2"/>
  <c r="AP11" i="2"/>
  <c r="AP66" i="2"/>
  <c r="AP18" i="2"/>
  <c r="AP7" i="2"/>
  <c r="AP8" i="2"/>
  <c r="AP160" i="2"/>
  <c r="AP13" i="2"/>
  <c r="AP83" i="2"/>
  <c r="AP12" i="2"/>
  <c r="AP196" i="2"/>
  <c r="AP202" i="2"/>
  <c r="AP322" i="2"/>
  <c r="AP383" i="2"/>
  <c r="AP9" i="2"/>
  <c r="AP14" i="2"/>
  <c r="AP16" i="2"/>
  <c r="AP185" i="2"/>
  <c r="AP76" i="2"/>
  <c r="AP63" i="2"/>
  <c r="AP346" i="2"/>
  <c r="AP291" i="2"/>
  <c r="AP65" i="2"/>
  <c r="AP51" i="2"/>
  <c r="AP265" i="2"/>
  <c r="AP433" i="2"/>
  <c r="AP453" i="2"/>
  <c r="AP180" i="2"/>
  <c r="AP75" i="2"/>
  <c r="AP61" i="2"/>
  <c r="AP74" i="2"/>
  <c r="AP126" i="2"/>
  <c r="AP438" i="2"/>
  <c r="AP127" i="2"/>
  <c r="AP81" i="2"/>
  <c r="AP15" i="2"/>
  <c r="AP100" i="2"/>
  <c r="AP71" i="2"/>
  <c r="AP129" i="2"/>
  <c r="AP67" i="2"/>
  <c r="AP92" i="2"/>
  <c r="AP149" i="2"/>
  <c r="AP377" i="2"/>
  <c r="AP87" i="2"/>
  <c r="AP164" i="2"/>
  <c r="AP86" i="2"/>
  <c r="AP77" i="2"/>
  <c r="AP261" i="2"/>
  <c r="AP493" i="2"/>
  <c r="AP230" i="2"/>
  <c r="AP96" i="2"/>
  <c r="AP200" i="2"/>
  <c r="AP79" i="2"/>
  <c r="AP32" i="2"/>
  <c r="AP386" i="2"/>
  <c r="AP103" i="2"/>
  <c r="AP203" i="2"/>
  <c r="AP194" i="2"/>
  <c r="AP368" i="2"/>
  <c r="AP215" i="2"/>
  <c r="AP224" i="2"/>
  <c r="AP190" i="2"/>
  <c r="AP307" i="2"/>
  <c r="AP223" i="2"/>
  <c r="AP206" i="2"/>
  <c r="AP17" i="2"/>
  <c r="AP523" i="2"/>
  <c r="AP234" i="2"/>
  <c r="AP408" i="2"/>
  <c r="AP122" i="2"/>
  <c r="AP301" i="2"/>
  <c r="AP402" i="2"/>
  <c r="AP183" i="2"/>
  <c r="AP167" i="2"/>
  <c r="AP105" i="2"/>
  <c r="AP239" i="2"/>
  <c r="AP159" i="2"/>
  <c r="AP262" i="2"/>
  <c r="AP281" i="2"/>
  <c r="AP274" i="2"/>
  <c r="AP207" i="2"/>
  <c r="AP170" i="2"/>
  <c r="AP354" i="2"/>
  <c r="AP53" i="2"/>
  <c r="AP415" i="2"/>
  <c r="AP372" i="2"/>
  <c r="AP106" i="2"/>
  <c r="AP435" i="2"/>
  <c r="AP119" i="2"/>
  <c r="AP134" i="2"/>
  <c r="AP355" i="2"/>
  <c r="AP124" i="2"/>
  <c r="AP161" i="2"/>
  <c r="AP353" i="2"/>
  <c r="AP91" i="2"/>
  <c r="AP429" i="2"/>
  <c r="AP70" i="2"/>
  <c r="AP418" i="2"/>
  <c r="AP107" i="2"/>
  <c r="AP175" i="2"/>
  <c r="AP328" i="2"/>
  <c r="AP270" i="2"/>
  <c r="AP385" i="2"/>
  <c r="AP166" i="2"/>
  <c r="AP443" i="2"/>
  <c r="AP347" i="2"/>
  <c r="AP72" i="2"/>
  <c r="AP52" i="2"/>
  <c r="AP84" i="2"/>
  <c r="AP110" i="2"/>
  <c r="AP130" i="2"/>
  <c r="AP271" i="2"/>
  <c r="AP187" i="2"/>
  <c r="AP369" i="2"/>
  <c r="AP188" i="2"/>
  <c r="AP50" i="2"/>
  <c r="AP69" i="2"/>
  <c r="AP251" i="2"/>
  <c r="AP356" i="2"/>
  <c r="AP267" i="2"/>
  <c r="AP157" i="2"/>
  <c r="AP242" i="2"/>
  <c r="AP298" i="2"/>
  <c r="AP442" i="2"/>
  <c r="AP189" i="2"/>
  <c r="AP417" i="2"/>
  <c r="AP397" i="2"/>
  <c r="AP21" i="2"/>
  <c r="AP31" i="2"/>
  <c r="AP109" i="2"/>
  <c r="AP90" i="2"/>
  <c r="AP363" i="2"/>
  <c r="AP446" i="2"/>
  <c r="AP131" i="2"/>
  <c r="AP427" i="2"/>
  <c r="AP371" i="2"/>
  <c r="AP186" i="2"/>
  <c r="AP477" i="2"/>
  <c r="AP150" i="2"/>
  <c r="AP458" i="2"/>
  <c r="AP227" i="2"/>
  <c r="AP362" i="2"/>
  <c r="AP231" i="2"/>
  <c r="AP275" i="2"/>
  <c r="AP205" i="2"/>
  <c r="AP174" i="2"/>
  <c r="AP80" i="2"/>
  <c r="AP396" i="2"/>
  <c r="AP184" i="2"/>
  <c r="AP390" i="2"/>
  <c r="AP475" i="2"/>
  <c r="AP256" i="2"/>
  <c r="AP221" i="2"/>
  <c r="AP258" i="2"/>
  <c r="AP309" i="2"/>
  <c r="AP293" i="2"/>
  <c r="AP156" i="2"/>
  <c r="AP62" i="2"/>
  <c r="AP101" i="2"/>
  <c r="AP384" i="2"/>
  <c r="AP482" i="2"/>
  <c r="AP499" i="2"/>
  <c r="AP165" i="2"/>
  <c r="AP491" i="2"/>
  <c r="AP162" i="2"/>
  <c r="AP336" i="2"/>
  <c r="AP451" i="2"/>
  <c r="AP323" i="2"/>
  <c r="AP457" i="2"/>
  <c r="AP405" i="2"/>
  <c r="AP216" i="2"/>
  <c r="AP299" i="2"/>
  <c r="AP278" i="2"/>
  <c r="AP498" i="2"/>
  <c r="AP325" i="2"/>
  <c r="AP204" i="2"/>
  <c r="AP407" i="2"/>
  <c r="AP97" i="2"/>
  <c r="AP506" i="2"/>
  <c r="AP163" i="2"/>
  <c r="AP340" i="2"/>
  <c r="AP320" i="2"/>
  <c r="AP411" i="2"/>
  <c r="AP73" i="2"/>
  <c r="AP352" i="2"/>
  <c r="AP240" i="2"/>
  <c r="AP123" i="2"/>
  <c r="AP244" i="2"/>
  <c r="AP284" i="2"/>
  <c r="AP220" i="2"/>
  <c r="AP255" i="2"/>
  <c r="AP358" i="2"/>
  <c r="AP137" i="2"/>
  <c r="AP178" i="2"/>
  <c r="AP125" i="2"/>
  <c r="AP243" i="2"/>
  <c r="AP421" i="2"/>
  <c r="AP273" i="2"/>
  <c r="AP403" i="2"/>
  <c r="AP327" i="2"/>
  <c r="AP154" i="2"/>
  <c r="AP277" i="2"/>
  <c r="AP525" i="2"/>
  <c r="AP540" i="2"/>
  <c r="AP288" i="2"/>
  <c r="AP546" i="2"/>
  <c r="AP136" i="2"/>
  <c r="AP253" i="2"/>
  <c r="AP82" i="2"/>
  <c r="AP64" i="2"/>
  <c r="AP68" i="2"/>
  <c r="AP292" i="2"/>
  <c r="AP410" i="2"/>
  <c r="AP318" i="2"/>
  <c r="AP329" i="2"/>
  <c r="AP520" i="2"/>
  <c r="AP361" i="2"/>
  <c r="AP250" i="2"/>
  <c r="AP414" i="2"/>
  <c r="AP388" i="2"/>
  <c r="AP226" i="2"/>
  <c r="AP158" i="2"/>
  <c r="AP409" i="2"/>
  <c r="AP431" i="2"/>
  <c r="AP198" i="2"/>
  <c r="AP237" i="2"/>
  <c r="AP201" i="2"/>
  <c r="AP280" i="2"/>
  <c r="AP448" i="2"/>
  <c r="AP425" i="2"/>
  <c r="AP310" i="2"/>
  <c r="AP341" i="2"/>
  <c r="AP233" i="2"/>
  <c r="AP264" i="2"/>
  <c r="AP104" i="2"/>
  <c r="AP195" i="2"/>
  <c r="AP348" i="2"/>
  <c r="AP266" i="2"/>
  <c r="AP447" i="2"/>
  <c r="AP168" i="2"/>
  <c r="AP406" i="2"/>
  <c r="AP229" i="2"/>
  <c r="AP257" i="2"/>
  <c r="AP393" i="2"/>
  <c r="AP287" i="2"/>
  <c r="AP276" i="2"/>
  <c r="AP394" i="2"/>
  <c r="AP254" i="2"/>
  <c r="AP334" i="2"/>
  <c r="AP471" i="2"/>
  <c r="AP507" i="2"/>
  <c r="AP432" i="2"/>
  <c r="AP151" i="2"/>
  <c r="AP269" i="2"/>
  <c r="AP547" i="2"/>
  <c r="AP335" i="2"/>
  <c r="AP559" i="2"/>
  <c r="AP382" i="2"/>
  <c r="AP395" i="2"/>
  <c r="AP306" i="2"/>
  <c r="AP462" i="2"/>
  <c r="AP359" i="2"/>
  <c r="AP192" i="2"/>
  <c r="AP419" i="2"/>
  <c r="AP228" i="2"/>
  <c r="AP279" i="2"/>
  <c r="AP351" i="2"/>
  <c r="AP197" i="2"/>
  <c r="AP424" i="2"/>
  <c r="AP450" i="2"/>
  <c r="AP132" i="2"/>
  <c r="AP225" i="2"/>
  <c r="AP560" i="2"/>
  <c r="AP454" i="2"/>
  <c r="AP303" i="2"/>
  <c r="AP324" i="2"/>
  <c r="AP259" i="2"/>
  <c r="AP179" i="2"/>
  <c r="AP345" i="2"/>
  <c r="AP236" i="2"/>
  <c r="AP209" i="2"/>
  <c r="AP169" i="2"/>
  <c r="AP349" i="2"/>
  <c r="AP193" i="2"/>
  <c r="AP497" i="2"/>
  <c r="AP375" i="2"/>
  <c r="AP366" i="2"/>
  <c r="AP504" i="2"/>
  <c r="AP387" i="2"/>
  <c r="AP501" i="2"/>
  <c r="AP480" i="2"/>
  <c r="AP378" i="2"/>
  <c r="AP490" i="2"/>
  <c r="AP509" i="2"/>
  <c r="AP488" i="2"/>
  <c r="AP235" i="2"/>
  <c r="AP364" i="2"/>
  <c r="AP337" i="2"/>
  <c r="AP464" i="2"/>
  <c r="AP528" i="2"/>
  <c r="AP317" i="2"/>
  <c r="AP213" i="2"/>
  <c r="AP316" i="2"/>
  <c r="AP102" i="2"/>
  <c r="AP479" i="2"/>
  <c r="AP99" i="2"/>
  <c r="AP245" i="2"/>
  <c r="AP465" i="2"/>
  <c r="AP469" i="2"/>
  <c r="AP557" i="2"/>
  <c r="AP308" i="2"/>
  <c r="AP297" i="2"/>
  <c r="AP487" i="2"/>
  <c r="AP249" i="2"/>
  <c r="AP218" i="2"/>
  <c r="AP556" i="2"/>
  <c r="AP527" i="2"/>
  <c r="AP272" i="2"/>
  <c r="AP321" i="2"/>
  <c r="AP553" i="2"/>
  <c r="AP434" i="2"/>
  <c r="AP333" i="2"/>
  <c r="AP508" i="2"/>
  <c r="AP212" i="2"/>
  <c r="AP133" i="2"/>
  <c r="AP381" i="2"/>
  <c r="AP400" i="2"/>
  <c r="AP360" i="2"/>
  <c r="AP260" i="2"/>
  <c r="AP445" i="2"/>
  <c r="AP537" i="2"/>
  <c r="AP128" i="2"/>
  <c r="AP412" i="2"/>
  <c r="AP545" i="2"/>
  <c r="AP536" i="2"/>
  <c r="AP500" i="2"/>
  <c r="AP219" i="2"/>
  <c r="AP530" i="2"/>
  <c r="AP495" i="2"/>
  <c r="AP374" i="2"/>
  <c r="AP177" i="2"/>
  <c r="AP455" i="2"/>
  <c r="AP440" i="2"/>
  <c r="AP461" i="2"/>
  <c r="AP513" i="2"/>
  <c r="AP319" i="2"/>
  <c r="AP562" i="2"/>
  <c r="AP247" i="2"/>
  <c r="AP551" i="2"/>
  <c r="AP238" i="2"/>
  <c r="AP496" i="2"/>
  <c r="AP392" i="2"/>
  <c r="AP391" i="2"/>
  <c r="AP357" i="2"/>
  <c r="AP456" i="2"/>
  <c r="AP304" i="2"/>
  <c r="AP555" i="2"/>
  <c r="AP263" i="2"/>
  <c r="AP441" i="2"/>
  <c r="AP302" i="2"/>
  <c r="AP413" i="2"/>
  <c r="AP208" i="2"/>
  <c r="AP399" i="2"/>
  <c r="AP561" i="2"/>
  <c r="AP379" i="2"/>
  <c r="AP463" i="2"/>
  <c r="AP338" i="2"/>
  <c r="AP483" i="2"/>
  <c r="AP467" i="2"/>
  <c r="AP222" i="2"/>
  <c r="AP268" i="2"/>
  <c r="AP332" i="2"/>
  <c r="AP286" i="2"/>
  <c r="AP172" i="2"/>
  <c r="AP176" i="2"/>
  <c r="AP452" i="2"/>
  <c r="AP373" i="2"/>
  <c r="AP314" i="2"/>
  <c r="AP152" i="2"/>
  <c r="AP210" i="2"/>
  <c r="AP459" i="2"/>
  <c r="AP542" i="2"/>
  <c r="AP365" i="2"/>
  <c r="AP539" i="2"/>
  <c r="AP512" i="2"/>
  <c r="AP476" i="2"/>
  <c r="AP380" i="2"/>
  <c r="AP439" i="2"/>
  <c r="AP246" i="2"/>
  <c r="AP494" i="2"/>
  <c r="AP532" i="2"/>
  <c r="AP350" i="2"/>
  <c r="AP486" i="2"/>
  <c r="AP173" i="2"/>
  <c r="AP538" i="2"/>
  <c r="AP401" i="2"/>
  <c r="AP531" i="2"/>
  <c r="AP519" i="2"/>
  <c r="AP416" i="2"/>
  <c r="AP422" i="2"/>
  <c r="AP283" i="2"/>
  <c r="AP444" i="2"/>
  <c r="AP437" i="2"/>
  <c r="AP478" i="2"/>
  <c r="AP552" i="2"/>
  <c r="AP344" i="2"/>
  <c r="AP295" i="2"/>
  <c r="AP503" i="2"/>
  <c r="AP282" i="2"/>
  <c r="AP505" i="2"/>
  <c r="AP389" i="2"/>
  <c r="AP330" i="2"/>
  <c r="AP214" i="2"/>
  <c r="AP182" i="2"/>
  <c r="AP313" i="2"/>
  <c r="AP481" i="2"/>
  <c r="AP420" i="2"/>
  <c r="AP470" i="2"/>
  <c r="AP554" i="2"/>
  <c r="AP289" i="2"/>
  <c r="AP544" i="2"/>
  <c r="AP290" i="2"/>
  <c r="AP460" i="2"/>
  <c r="AP248" i="2"/>
  <c r="AP517" i="2"/>
  <c r="AP181" i="2"/>
  <c r="AP474" i="2"/>
  <c r="AP398" i="2"/>
  <c r="AP339" i="2"/>
  <c r="AP549" i="2"/>
  <c r="AP515" i="2"/>
  <c r="AP252" i="2"/>
  <c r="AP511" i="2"/>
  <c r="AP211" i="2"/>
  <c r="AP311" i="2"/>
  <c r="AP423" i="2"/>
  <c r="AP502" i="2"/>
  <c r="AP485" i="2"/>
  <c r="AP518" i="2"/>
  <c r="AP312" i="2"/>
  <c r="AP436" i="2"/>
  <c r="AP285" i="2"/>
  <c r="AP524" i="2"/>
  <c r="AP514" i="2"/>
  <c r="AP430" i="2"/>
  <c r="AP370" i="2"/>
  <c r="AP534" i="2"/>
  <c r="AP473" i="2"/>
  <c r="AP492" i="2"/>
  <c r="AP472" i="2"/>
  <c r="AP428" i="2"/>
  <c r="AP550" i="2"/>
  <c r="AP522" i="2"/>
  <c r="AP484" i="2"/>
  <c r="AP558" i="2"/>
  <c r="AP155" i="2"/>
  <c r="AP296" i="2"/>
  <c r="AP543" i="2"/>
  <c r="AP535" i="2"/>
  <c r="AP449" i="2"/>
  <c r="AP342" i="2"/>
  <c r="AP516" i="2"/>
  <c r="AP315" i="2"/>
  <c r="AP153" i="2"/>
  <c r="AP300" i="2"/>
  <c r="AP232" i="2"/>
  <c r="AP376" i="2"/>
  <c r="AP404" i="2"/>
  <c r="AP294" i="2"/>
  <c r="AP135" i="2"/>
  <c r="AP326" i="2"/>
  <c r="AP541" i="2"/>
  <c r="AP521" i="2"/>
  <c r="AP241" i="2"/>
  <c r="AP426" i="2"/>
  <c r="AP526" i="2"/>
  <c r="AP548" i="2"/>
  <c r="AP367" i="2"/>
  <c r="AP305" i="2"/>
  <c r="AP217" i="2"/>
  <c r="AP199" i="2"/>
  <c r="AP489" i="2"/>
  <c r="AP529" i="2"/>
  <c r="AP343" i="2"/>
  <c r="AP533" i="2"/>
  <c r="AP331" i="2"/>
  <c r="AP191" i="2"/>
  <c r="AP510" i="2"/>
  <c r="AP468" i="2"/>
  <c r="AP466" i="2"/>
  <c r="AP6" i="2"/>
  <c r="U38" i="3"/>
  <c r="U15" i="3"/>
  <c r="U14" i="3"/>
  <c r="U22" i="3"/>
  <c r="U142" i="3"/>
  <c r="U32" i="3"/>
  <c r="U20" i="3"/>
  <c r="U12" i="3"/>
  <c r="U102" i="3"/>
  <c r="U37" i="3"/>
  <c r="U248" i="3"/>
  <c r="U67" i="3"/>
  <c r="U5" i="3"/>
  <c r="U129" i="3"/>
  <c r="U137" i="3"/>
  <c r="U136" i="3"/>
  <c r="U17" i="3"/>
  <c r="U117" i="3"/>
  <c r="U666" i="3"/>
  <c r="U36" i="3"/>
  <c r="U442" i="3"/>
  <c r="U624" i="3"/>
  <c r="U720" i="3"/>
  <c r="U184" i="3"/>
  <c r="U143" i="3"/>
  <c r="U553" i="3"/>
  <c r="U116" i="3"/>
  <c r="U59" i="3"/>
  <c r="U1081" i="3"/>
  <c r="U931" i="3"/>
  <c r="U54" i="3"/>
  <c r="U520" i="3"/>
  <c r="U185" i="3"/>
  <c r="U131" i="3"/>
  <c r="U133" i="3"/>
  <c r="U269" i="3"/>
  <c r="U593" i="3"/>
  <c r="U410" i="3"/>
  <c r="U213" i="3"/>
  <c r="U328" i="3"/>
  <c r="U618" i="3"/>
  <c r="U1014" i="3"/>
  <c r="U1098" i="3"/>
  <c r="U121" i="3"/>
  <c r="U865" i="3"/>
  <c r="U636" i="3"/>
  <c r="U909" i="3"/>
  <c r="U304" i="3"/>
  <c r="U145" i="3"/>
  <c r="U263" i="3"/>
  <c r="U1184" i="3"/>
  <c r="U470" i="3"/>
  <c r="U1044" i="3"/>
  <c r="U177" i="3"/>
  <c r="U66" i="3"/>
  <c r="U639" i="3"/>
  <c r="U445" i="3"/>
  <c r="U1220" i="3"/>
  <c r="U731" i="3"/>
  <c r="U695" i="3"/>
  <c r="U734" i="3"/>
  <c r="U352" i="3"/>
  <c r="U115" i="3"/>
  <c r="U467" i="3"/>
  <c r="U41" i="3"/>
  <c r="U388" i="3"/>
  <c r="U366" i="3"/>
  <c r="U1092" i="3"/>
  <c r="U681" i="3"/>
  <c r="U1169" i="3"/>
  <c r="U118" i="3"/>
  <c r="U948" i="3"/>
  <c r="U381" i="3"/>
  <c r="U384" i="3"/>
  <c r="U794" i="3"/>
  <c r="U697" i="3"/>
  <c r="U139" i="3"/>
  <c r="U1105" i="3"/>
  <c r="U667" i="3"/>
  <c r="U959" i="3"/>
  <c r="U542" i="3"/>
  <c r="U1003" i="3"/>
  <c r="U397" i="3"/>
  <c r="U1029" i="3"/>
  <c r="U663" i="3"/>
  <c r="U1056" i="3"/>
  <c r="U826" i="3"/>
  <c r="U1191" i="3"/>
  <c r="U329" i="3"/>
  <c r="U631" i="3"/>
  <c r="U40" i="3"/>
  <c r="U748" i="3"/>
  <c r="U506" i="3"/>
  <c r="U872" i="3"/>
  <c r="U1199" i="3"/>
  <c r="U1109" i="3"/>
  <c r="U30" i="3"/>
  <c r="U637" i="3"/>
  <c r="U327" i="3"/>
  <c r="U914" i="3"/>
  <c r="U362" i="3"/>
  <c r="U476" i="3"/>
  <c r="U836" i="3"/>
  <c r="U181" i="3"/>
  <c r="U522" i="3"/>
  <c r="U500" i="3"/>
  <c r="U1209" i="3"/>
  <c r="U652" i="3"/>
  <c r="U273" i="3"/>
  <c r="U665" i="3"/>
  <c r="U779" i="3"/>
  <c r="U183" i="3"/>
  <c r="U664" i="3"/>
  <c r="U1028" i="3"/>
  <c r="U764" i="3"/>
  <c r="U711" i="3"/>
  <c r="U278" i="3"/>
  <c r="U646" i="3"/>
  <c r="U219" i="3"/>
  <c r="U444" i="3"/>
  <c r="U466" i="3"/>
  <c r="U285" i="3"/>
  <c r="U295" i="3"/>
  <c r="U609" i="3"/>
  <c r="U943" i="3"/>
  <c r="U950" i="3"/>
  <c r="U804" i="3"/>
  <c r="U296" i="3"/>
  <c r="U154" i="3"/>
  <c r="U447" i="3"/>
  <c r="U983" i="3"/>
  <c r="U134" i="3"/>
  <c r="U24" i="3"/>
  <c r="U913" i="3"/>
  <c r="U284" i="3"/>
  <c r="U1179" i="3"/>
  <c r="U729" i="3"/>
  <c r="U472" i="3"/>
  <c r="U1053" i="3"/>
  <c r="U628" i="3"/>
  <c r="U878" i="3"/>
  <c r="U586" i="3"/>
  <c r="U917" i="3"/>
  <c r="U857" i="3"/>
  <c r="U591" i="3"/>
  <c r="U708" i="3"/>
  <c r="U330" i="3"/>
  <c r="U735" i="3"/>
  <c r="U600" i="3"/>
  <c r="U176" i="3"/>
  <c r="U679" i="3"/>
  <c r="U1077" i="3"/>
  <c r="U620" i="3"/>
  <c r="U351" i="3"/>
  <c r="U684" i="3"/>
  <c r="U765" i="3"/>
  <c r="U860" i="3"/>
  <c r="U1108" i="3"/>
  <c r="U311" i="3"/>
  <c r="U130" i="3"/>
  <c r="U438" i="3"/>
  <c r="U1146" i="3"/>
  <c r="U803" i="3"/>
  <c r="U781" i="3"/>
  <c r="U1133" i="3"/>
  <c r="U896" i="3"/>
  <c r="U1166" i="3"/>
  <c r="U859" i="3"/>
  <c r="U250" i="3"/>
  <c r="U146" i="3"/>
  <c r="U1052" i="3"/>
  <c r="U767" i="3"/>
  <c r="U372" i="3"/>
  <c r="U267" i="3"/>
  <c r="U373" i="3"/>
  <c r="U539" i="3"/>
  <c r="U57" i="3"/>
  <c r="U655" i="3"/>
  <c r="U69" i="3"/>
  <c r="U521" i="3"/>
  <c r="U989" i="3"/>
  <c r="U883" i="3"/>
  <c r="U528" i="3"/>
  <c r="U508" i="3"/>
  <c r="U501" i="3"/>
  <c r="U958" i="3"/>
  <c r="U1178" i="3"/>
  <c r="U973" i="3"/>
  <c r="U1076" i="3"/>
  <c r="U331" i="3"/>
  <c r="U319" i="3"/>
  <c r="U8" i="3"/>
  <c r="U1174" i="3"/>
  <c r="U1110" i="3"/>
  <c r="U431" i="3"/>
  <c r="U905" i="3"/>
  <c r="U906" i="3"/>
  <c r="U509" i="3"/>
  <c r="U227" i="3"/>
  <c r="U698" i="3"/>
  <c r="U938" i="3"/>
  <c r="U827" i="3"/>
  <c r="U606" i="3"/>
  <c r="U746" i="3"/>
  <c r="U1099" i="3"/>
  <c r="U805" i="3"/>
  <c r="U852" i="3"/>
  <c r="U967" i="3"/>
  <c r="U535" i="3"/>
  <c r="U550" i="3"/>
  <c r="U194" i="3"/>
  <c r="U348" i="3"/>
  <c r="U776" i="3"/>
  <c r="U537" i="3"/>
  <c r="U1218" i="3"/>
  <c r="U385" i="3"/>
  <c r="U585" i="3"/>
  <c r="U840" i="3"/>
  <c r="U486" i="3"/>
  <c r="U217" i="3"/>
  <c r="U1019" i="3"/>
  <c r="U1018" i="3"/>
  <c r="U993" i="3"/>
  <c r="U669" i="3"/>
  <c r="U633" i="3"/>
  <c r="U564" i="3"/>
  <c r="U507" i="3"/>
  <c r="U357" i="3"/>
  <c r="U949" i="3"/>
  <c r="U889" i="3"/>
  <c r="U707" i="3"/>
  <c r="U584" i="3"/>
  <c r="U505" i="3"/>
  <c r="U1013" i="3"/>
  <c r="U355" i="3"/>
  <c r="U1205" i="3"/>
  <c r="U589" i="3"/>
  <c r="U191" i="3"/>
  <c r="U526" i="3"/>
  <c r="U656" i="3"/>
  <c r="U1084" i="3"/>
  <c r="U892" i="3"/>
  <c r="U1032" i="3"/>
  <c r="U450" i="3"/>
  <c r="U1069" i="3"/>
  <c r="U903" i="3"/>
  <c r="U575" i="3"/>
  <c r="U846" i="3"/>
  <c r="U788" i="3"/>
  <c r="U970" i="3"/>
  <c r="U823" i="3"/>
  <c r="U789" i="3"/>
  <c r="U683" i="3"/>
  <c r="U209" i="3"/>
  <c r="U1149" i="3"/>
  <c r="U942" i="3"/>
  <c r="U544" i="3"/>
  <c r="U653" i="3"/>
  <c r="U364" i="3"/>
  <c r="U231" i="3"/>
  <c r="U406" i="3"/>
  <c r="U576" i="3"/>
  <c r="U877" i="3"/>
  <c r="U232" i="3"/>
  <c r="U936" i="3"/>
  <c r="U777" i="3"/>
  <c r="U802" i="3"/>
  <c r="U198" i="3"/>
  <c r="U651" i="3"/>
  <c r="U156" i="3"/>
  <c r="U189" i="3"/>
  <c r="U435" i="3"/>
  <c r="U617" i="3"/>
  <c r="U706" i="3"/>
  <c r="U1147" i="3"/>
  <c r="U782" i="3"/>
  <c r="U996" i="3"/>
  <c r="U687" i="3"/>
  <c r="U523" i="3"/>
  <c r="U630" i="3"/>
  <c r="U1107" i="3"/>
  <c r="U11" i="3"/>
  <c r="U972" i="3"/>
  <c r="U63" i="3"/>
  <c r="U298" i="3"/>
  <c r="U980" i="3"/>
  <c r="U379" i="3"/>
  <c r="U315" i="3"/>
  <c r="U900" i="3"/>
  <c r="U971" i="3"/>
  <c r="U1156" i="3"/>
  <c r="U128" i="3"/>
  <c r="U510" i="3"/>
  <c r="U259" i="3"/>
  <c r="U658" i="3"/>
  <c r="U310" i="3"/>
  <c r="U876" i="3"/>
  <c r="U411" i="3"/>
  <c r="U1026" i="3"/>
  <c r="U680" i="3"/>
  <c r="U534" i="3"/>
  <c r="U81" i="3"/>
  <c r="U786" i="3"/>
  <c r="U1202" i="3"/>
  <c r="U871" i="3"/>
  <c r="U1035" i="3"/>
  <c r="U513" i="3"/>
  <c r="U844" i="3"/>
  <c r="U570" i="3"/>
  <c r="U1171" i="3"/>
  <c r="U1062" i="3"/>
  <c r="U890" i="3"/>
  <c r="U915" i="3"/>
  <c r="U752" i="3"/>
  <c r="U774" i="3"/>
  <c r="U824" i="3"/>
  <c r="U835" i="3"/>
  <c r="U603" i="3"/>
  <c r="U389" i="3"/>
  <c r="U792" i="3"/>
  <c r="U1172" i="3"/>
  <c r="U685" i="3"/>
  <c r="U1219" i="3"/>
  <c r="U71" i="3"/>
  <c r="U517" i="3"/>
  <c r="U153" i="3"/>
  <c r="U135" i="3"/>
  <c r="U1059" i="3"/>
  <c r="U215" i="3"/>
  <c r="U274" i="3"/>
  <c r="U422" i="3"/>
  <c r="U1125" i="3"/>
  <c r="U549" i="3"/>
  <c r="U140" i="3"/>
  <c r="U582" i="3"/>
  <c r="U885" i="3"/>
  <c r="U1203" i="3"/>
  <c r="U321" i="3"/>
  <c r="U1010" i="3"/>
  <c r="U203" i="3"/>
  <c r="U912" i="3"/>
  <c r="U211" i="3"/>
  <c r="U1055" i="3"/>
  <c r="U918" i="3"/>
  <c r="U1173" i="3"/>
  <c r="U80" i="3"/>
  <c r="U581" i="3"/>
  <c r="U923" i="3"/>
  <c r="U702" i="3"/>
  <c r="U179" i="3"/>
  <c r="U68" i="3"/>
  <c r="U718" i="3"/>
  <c r="U867" i="3"/>
  <c r="U541" i="3"/>
  <c r="U875" i="3"/>
  <c r="U484" i="3"/>
  <c r="U1137" i="3"/>
  <c r="U745" i="3"/>
  <c r="U210" i="3"/>
  <c r="U738" i="3"/>
  <c r="U828" i="3"/>
  <c r="U662" i="3"/>
  <c r="U202" i="3"/>
  <c r="U110" i="3"/>
  <c r="U750" i="3"/>
  <c r="U772" i="3"/>
  <c r="U616" i="3"/>
  <c r="U897" i="3"/>
  <c r="U457" i="3"/>
  <c r="U717" i="3"/>
  <c r="U1048" i="3"/>
  <c r="U629" i="3"/>
  <c r="U504" i="3"/>
  <c r="U761" i="3"/>
  <c r="U904" i="3"/>
  <c r="U474" i="3"/>
  <c r="U886" i="3"/>
  <c r="U271" i="3"/>
  <c r="U763" i="3"/>
  <c r="U291" i="3"/>
  <c r="U95" i="3"/>
  <c r="U1162" i="3"/>
  <c r="U592" i="3"/>
  <c r="U607" i="3"/>
  <c r="U1198" i="3"/>
  <c r="U703" i="3"/>
  <c r="U850" i="3"/>
  <c r="U353" i="3"/>
  <c r="U1164" i="3"/>
  <c r="U659" i="3"/>
  <c r="U688" i="3"/>
  <c r="U1087" i="3"/>
  <c r="U201" i="3"/>
  <c r="U551" i="3"/>
  <c r="U939" i="3"/>
  <c r="U567" i="3"/>
  <c r="U654" i="3"/>
  <c r="U323" i="3"/>
  <c r="U124" i="3"/>
  <c r="U1022" i="3"/>
  <c r="U515" i="3"/>
  <c r="U282" i="3"/>
  <c r="U419" i="3"/>
  <c r="U841" i="3"/>
  <c r="U398" i="3"/>
  <c r="U678" i="3"/>
  <c r="U300" i="3"/>
  <c r="U975" i="3"/>
  <c r="U1111" i="3"/>
  <c r="U945" i="3"/>
  <c r="U477" i="3"/>
  <c r="U1067" i="3"/>
  <c r="U710" i="3"/>
  <c r="U216" i="3"/>
  <c r="U169" i="3"/>
  <c r="U546" i="3"/>
  <c r="U1023" i="3"/>
  <c r="U728" i="3"/>
  <c r="U497" i="3"/>
  <c r="U332" i="3"/>
  <c r="U290" i="3"/>
  <c r="U453" i="3"/>
  <c r="U1228" i="3"/>
  <c r="U1223" i="3"/>
  <c r="U197" i="3"/>
  <c r="U409" i="3"/>
  <c r="U159" i="3"/>
  <c r="U230" i="3"/>
  <c r="U947" i="3"/>
  <c r="U451" i="3"/>
  <c r="U377" i="3"/>
  <c r="U920" i="3"/>
  <c r="U1027" i="3"/>
  <c r="U1175" i="3"/>
  <c r="U429" i="3"/>
  <c r="U61" i="3"/>
  <c r="U1128" i="3"/>
  <c r="U174" i="3"/>
  <c r="U207" i="3"/>
  <c r="U1049" i="3"/>
  <c r="U487" i="3"/>
  <c r="U1196" i="3"/>
  <c r="U1020" i="3"/>
  <c r="U1155" i="3"/>
  <c r="U496" i="3"/>
  <c r="U60" i="3"/>
  <c r="U31" i="3"/>
  <c r="U749" i="3"/>
  <c r="U689" i="3"/>
  <c r="U527" i="3"/>
  <c r="U275" i="3"/>
  <c r="U1033" i="3"/>
  <c r="U433" i="3"/>
  <c r="U469" i="3"/>
  <c r="U126" i="3"/>
  <c r="U392" i="3"/>
  <c r="U1012" i="3"/>
  <c r="U489" i="3"/>
  <c r="U632" i="3"/>
  <c r="U690" i="3"/>
  <c r="U335" i="3"/>
  <c r="U1060" i="3"/>
  <c r="U966" i="3"/>
  <c r="U1226" i="3"/>
  <c r="U463" i="3"/>
  <c r="U956" i="3"/>
  <c r="U916" i="3"/>
  <c r="U374" i="3"/>
  <c r="U981" i="3"/>
  <c r="U861" i="3"/>
  <c r="U72" i="3"/>
  <c r="U1142" i="3"/>
  <c r="U260" i="3"/>
  <c r="U524" i="3"/>
  <c r="U705" i="3"/>
  <c r="U891" i="3"/>
  <c r="U483" i="3"/>
  <c r="U932" i="3"/>
  <c r="U391" i="3"/>
  <c r="U97" i="3"/>
  <c r="U100" i="3"/>
  <c r="U880" i="3"/>
  <c r="U773" i="3"/>
  <c r="U543" i="3"/>
  <c r="U1000" i="3"/>
  <c r="U1041" i="3"/>
  <c r="U7" i="3"/>
  <c r="U19" i="3"/>
  <c r="U165" i="3"/>
  <c r="U356" i="3"/>
  <c r="U473" i="3"/>
  <c r="U42" i="3"/>
  <c r="U34" i="3"/>
  <c r="U113" i="3"/>
  <c r="U33" i="3"/>
  <c r="U264" i="3"/>
  <c r="U52" i="3"/>
  <c r="U771" i="3"/>
  <c r="U478" i="3"/>
  <c r="U1117" i="3"/>
  <c r="U162" i="3"/>
  <c r="U427" i="3"/>
  <c r="U1195" i="3"/>
  <c r="U458" i="3"/>
  <c r="U533" i="3"/>
  <c r="U456" i="3"/>
  <c r="U465" i="3"/>
  <c r="U460" i="3"/>
  <c r="U660" i="3"/>
  <c r="U1183" i="3"/>
  <c r="U754" i="3"/>
  <c r="U813" i="3"/>
  <c r="U571" i="3"/>
  <c r="U957" i="3"/>
  <c r="U491" i="3"/>
  <c r="U760" i="3"/>
  <c r="U744" i="3"/>
  <c r="U801" i="3"/>
  <c r="U434" i="3"/>
  <c r="U1021" i="3"/>
  <c r="U228" i="3"/>
  <c r="U1134" i="3"/>
  <c r="U305" i="3"/>
  <c r="U420" i="3"/>
  <c r="U621" i="3"/>
  <c r="U479" i="3"/>
  <c r="U1177" i="3"/>
  <c r="U579" i="3"/>
  <c r="U682" i="3"/>
  <c r="U661" i="3"/>
  <c r="U755" i="3"/>
  <c r="U719" i="3"/>
  <c r="U686" i="3"/>
  <c r="U962" i="3"/>
  <c r="U1042" i="3"/>
  <c r="U125" i="3"/>
  <c r="U946" i="3"/>
  <c r="U499" i="3"/>
  <c r="U415" i="3"/>
  <c r="U155" i="3"/>
  <c r="U649" i="3"/>
  <c r="U796" i="3"/>
  <c r="U498" i="3"/>
  <c r="U598" i="3"/>
  <c r="U402" i="3"/>
  <c r="U768" i="3"/>
  <c r="U375" i="3"/>
  <c r="U762" i="3"/>
  <c r="U1001" i="3"/>
  <c r="U127" i="3"/>
  <c r="U643" i="3"/>
  <c r="U558" i="3"/>
  <c r="U370" i="3"/>
  <c r="U822" i="3"/>
  <c r="U530" i="3"/>
  <c r="U208" i="3"/>
  <c r="U901" i="3"/>
  <c r="U837" i="3"/>
  <c r="U395" i="3"/>
  <c r="U894" i="3"/>
  <c r="U1210" i="3"/>
  <c r="U396" i="3"/>
  <c r="U814" i="3"/>
  <c r="U619" i="3"/>
  <c r="U326" i="3"/>
  <c r="U1043" i="3"/>
  <c r="U204" i="3"/>
  <c r="U1118" i="3"/>
  <c r="U790" i="3"/>
  <c r="U1234" i="3"/>
  <c r="U9" i="3"/>
  <c r="U316" i="3"/>
  <c r="U287" i="3"/>
  <c r="U1214" i="3"/>
  <c r="U770" i="3"/>
  <c r="U568" i="3"/>
  <c r="U222" i="3"/>
  <c r="U987" i="3"/>
  <c r="U560" i="3"/>
  <c r="U895" i="3"/>
  <c r="U196" i="3"/>
  <c r="U562" i="3"/>
  <c r="U725" i="3"/>
  <c r="U313" i="3"/>
  <c r="U1037" i="3"/>
  <c r="U266" i="3"/>
  <c r="U1151" i="3"/>
  <c r="U1031" i="3"/>
  <c r="U908" i="3"/>
  <c r="U223" i="3"/>
  <c r="U123" i="3"/>
  <c r="U730" i="3"/>
  <c r="U843" i="3"/>
  <c r="U990" i="3"/>
  <c r="U816" i="3"/>
  <c r="U488" i="3"/>
  <c r="U206" i="3"/>
  <c r="U954" i="3"/>
  <c r="U1176" i="3"/>
  <c r="U1180" i="3"/>
  <c r="U83" i="3"/>
  <c r="U399" i="3"/>
  <c r="U301" i="3"/>
  <c r="U1089" i="3"/>
  <c r="U1047" i="3"/>
  <c r="U1095" i="3"/>
  <c r="U168" i="3"/>
  <c r="U1221" i="3"/>
  <c r="U849" i="3"/>
  <c r="U704" i="3"/>
  <c r="U1006" i="3"/>
  <c r="U1009" i="3"/>
  <c r="U1073" i="3"/>
  <c r="U829" i="3"/>
  <c r="U251" i="3"/>
  <c r="U138" i="3"/>
  <c r="U363" i="3"/>
  <c r="U279" i="3"/>
  <c r="U927" i="3"/>
  <c r="U758" i="3"/>
  <c r="U416" i="3"/>
  <c r="U1116" i="3"/>
  <c r="U887" i="3"/>
  <c r="U1222" i="3"/>
  <c r="U817" i="3"/>
  <c r="U1126" i="3"/>
  <c r="U1034" i="3"/>
  <c r="U233" i="3"/>
  <c r="U1154" i="3"/>
  <c r="U1129" i="3"/>
  <c r="U345" i="3"/>
  <c r="U1138" i="3"/>
  <c r="U641" i="3"/>
  <c r="U452" i="3"/>
  <c r="U753" i="3"/>
  <c r="U795" i="3"/>
  <c r="U818" i="3"/>
  <c r="U929" i="3"/>
  <c r="U884" i="3"/>
  <c r="U862" i="3"/>
  <c r="U955" i="3"/>
  <c r="U354" i="3"/>
  <c r="U994" i="3"/>
  <c r="U55" i="3"/>
  <c r="U1070" i="3"/>
  <c r="U1002" i="3"/>
  <c r="U303" i="3"/>
  <c r="U615" i="3"/>
  <c r="U1083" i="3"/>
  <c r="U51" i="3"/>
  <c r="U978" i="3"/>
  <c r="U1074" i="3"/>
  <c r="U105" i="3"/>
  <c r="U382" i="3"/>
  <c r="U1104" i="3"/>
  <c r="U963" i="3"/>
  <c r="U449" i="3"/>
  <c r="U43" i="3"/>
  <c r="U898" i="3"/>
  <c r="U977" i="3"/>
  <c r="U552" i="3"/>
  <c r="U1190" i="3"/>
  <c r="U536" i="3"/>
  <c r="U178" i="3"/>
  <c r="U1200" i="3"/>
  <c r="U1225" i="3"/>
  <c r="U88" i="3"/>
  <c r="U1112" i="3"/>
  <c r="U1008" i="3"/>
  <c r="U192" i="3"/>
  <c r="U436" i="3"/>
  <c r="U737" i="3"/>
  <c r="U692" i="3"/>
  <c r="U532" i="3"/>
  <c r="U911" i="3"/>
  <c r="U281" i="3"/>
  <c r="U1207" i="3"/>
  <c r="U1144" i="3"/>
  <c r="U1213" i="3"/>
  <c r="U292" i="3"/>
  <c r="U492" i="3"/>
  <c r="U1068" i="3"/>
  <c r="U674" i="3"/>
  <c r="U1189" i="3"/>
  <c r="U960" i="3"/>
  <c r="U314" i="3"/>
  <c r="U848" i="3"/>
  <c r="U421" i="3"/>
  <c r="U74" i="3"/>
  <c r="U907" i="3"/>
  <c r="U1064" i="3"/>
  <c r="U58" i="3"/>
  <c r="U417" i="3"/>
  <c r="U919" i="3"/>
  <c r="U881" i="3"/>
  <c r="U1011" i="3"/>
  <c r="U1101" i="3"/>
  <c r="U976" i="3"/>
  <c r="U1216" i="3"/>
  <c r="U408" i="3"/>
  <c r="U333" i="3"/>
  <c r="U1206" i="3"/>
  <c r="U727" i="3"/>
  <c r="U1024" i="3"/>
  <c r="U1231" i="3"/>
  <c r="U1194" i="3"/>
  <c r="U111" i="3"/>
  <c r="U565" i="3"/>
  <c r="U1193" i="3"/>
  <c r="U112" i="3"/>
  <c r="U225" i="3"/>
  <c r="U627" i="3"/>
  <c r="U516" i="3"/>
  <c r="U910" i="3"/>
  <c r="U79" i="3"/>
  <c r="U214" i="3"/>
  <c r="U1233" i="3"/>
  <c r="U46" i="3"/>
  <c r="U1063" i="3"/>
  <c r="U724" i="3"/>
  <c r="U1165" i="3"/>
  <c r="U1086" i="3"/>
  <c r="U1090" i="3"/>
  <c r="U414" i="3"/>
  <c r="U1168" i="3"/>
  <c r="U1093" i="3"/>
  <c r="U726" i="3"/>
  <c r="U1131" i="3"/>
  <c r="U341" i="3"/>
  <c r="U244" i="3"/>
  <c r="U242" i="3"/>
  <c r="U1217" i="3"/>
  <c r="U985" i="3"/>
  <c r="U280" i="3"/>
  <c r="U1096" i="3"/>
  <c r="U390" i="3"/>
  <c r="U671" i="3"/>
  <c r="U1215" i="3"/>
  <c r="U538" i="3"/>
  <c r="U793" i="3"/>
  <c r="U806" i="3"/>
  <c r="U853" i="3"/>
  <c r="U1079" i="3"/>
  <c r="U277" i="3"/>
  <c r="U18" i="3"/>
  <c r="U1120" i="3"/>
  <c r="U988" i="3"/>
  <c r="U596" i="3"/>
  <c r="U741" i="3"/>
  <c r="U924" i="3"/>
  <c r="U430" i="3"/>
  <c r="U747" i="3"/>
  <c r="U578" i="3"/>
  <c r="U991" i="3"/>
  <c r="U485" i="3"/>
  <c r="U25" i="3"/>
  <c r="U90" i="3"/>
  <c r="U519" i="3"/>
  <c r="U1211" i="3"/>
  <c r="U378" i="3"/>
  <c r="U35" i="3"/>
  <c r="U1065" i="3"/>
  <c r="U1201" i="3"/>
  <c r="U253" i="3"/>
  <c r="U640" i="3"/>
  <c r="U475" i="3"/>
  <c r="U613" i="3"/>
  <c r="U545" i="3"/>
  <c r="U1160" i="3"/>
  <c r="U226" i="3"/>
  <c r="U941" i="3"/>
  <c r="U1051" i="3"/>
  <c r="U1097" i="3"/>
  <c r="U1140" i="3"/>
  <c r="U1102" i="3"/>
  <c r="U561" i="3"/>
  <c r="U86" i="3"/>
  <c r="U1106" i="3"/>
  <c r="U780" i="3"/>
  <c r="U85" i="3"/>
  <c r="U1124" i="3"/>
  <c r="U1082" i="3"/>
  <c r="U1230" i="3"/>
  <c r="U833" i="3"/>
  <c r="U997" i="3"/>
  <c r="U182" i="3"/>
  <c r="U238" i="3"/>
  <c r="U783" i="3"/>
  <c r="U1103" i="3"/>
  <c r="U670" i="3"/>
  <c r="U834" i="3"/>
  <c r="U882" i="3"/>
  <c r="U1159" i="3"/>
  <c r="U733" i="3"/>
  <c r="U838" i="3"/>
  <c r="U1153" i="3"/>
  <c r="U1094" i="3"/>
  <c r="U676" i="3"/>
  <c r="U82" i="3"/>
  <c r="U635" i="3"/>
  <c r="U961" i="3"/>
  <c r="U874" i="3"/>
  <c r="U925" i="3"/>
  <c r="U47" i="3"/>
  <c r="U108" i="3"/>
  <c r="U888" i="3"/>
  <c r="U119" i="3"/>
  <c r="U820" i="3"/>
  <c r="U163" i="3"/>
  <c r="U493" i="3"/>
  <c r="U815" i="3"/>
  <c r="U337" i="3"/>
  <c r="U1167" i="3"/>
  <c r="U785" i="3"/>
  <c r="U851" i="3"/>
  <c r="U825" i="3"/>
  <c r="U968" i="3"/>
  <c r="U1046" i="3"/>
  <c r="U673" i="3"/>
  <c r="U96" i="3"/>
  <c r="U158" i="3"/>
  <c r="U556" i="3"/>
  <c r="U255" i="3"/>
  <c r="U344" i="3"/>
  <c r="U715" i="3"/>
  <c r="U309" i="3"/>
  <c r="U302" i="3"/>
  <c r="U716" i="3"/>
  <c r="U166" i="3"/>
  <c r="U1127" i="3"/>
  <c r="U107" i="3"/>
  <c r="U1057" i="3"/>
  <c r="U246" i="3"/>
  <c r="U863" i="3"/>
  <c r="U471" i="3"/>
  <c r="U45" i="3"/>
  <c r="U791" i="3"/>
  <c r="U986" i="3"/>
  <c r="U974" i="3"/>
  <c r="U412" i="3"/>
  <c r="U525" i="3"/>
  <c r="U1163" i="3"/>
  <c r="U952" i="3"/>
  <c r="U1123" i="3"/>
  <c r="U104" i="3"/>
  <c r="U350" i="3"/>
  <c r="U1066" i="3"/>
  <c r="U694" i="3"/>
  <c r="U668" i="3"/>
  <c r="U1114" i="3"/>
  <c r="U951" i="3"/>
  <c r="U930" i="3"/>
  <c r="U563" i="3"/>
  <c r="U70" i="3"/>
  <c r="U317" i="3"/>
  <c r="U365" i="3"/>
  <c r="U647" i="3"/>
  <c r="U195" i="3"/>
  <c r="U548" i="3"/>
  <c r="U147" i="3"/>
  <c r="U221" i="3"/>
  <c r="U778" i="3"/>
  <c r="U393" i="3"/>
  <c r="U480" i="3"/>
  <c r="U114" i="3"/>
  <c r="U218" i="3"/>
  <c r="U614" i="3"/>
  <c r="U713" i="3"/>
  <c r="U512" i="3"/>
  <c r="U369" i="3"/>
  <c r="U247" i="3"/>
  <c r="U236" i="3"/>
  <c r="U1030" i="3"/>
  <c r="U89" i="3"/>
  <c r="U1150" i="3"/>
  <c r="U340" i="3"/>
  <c r="U873" i="3"/>
  <c r="U1061" i="3"/>
  <c r="U599" i="3"/>
  <c r="U1188" i="3"/>
  <c r="U812" i="3"/>
  <c r="U588" i="3"/>
  <c r="U554" i="3"/>
  <c r="U1122" i="3"/>
  <c r="U1017" i="3"/>
  <c r="U604" i="3"/>
  <c r="U650" i="3"/>
  <c r="U50" i="3"/>
  <c r="U623" i="3"/>
  <c r="U830" i="3"/>
  <c r="U1135" i="3"/>
  <c r="U847" i="3"/>
  <c r="U969" i="3"/>
  <c r="U48" i="3"/>
  <c r="U610" i="3"/>
  <c r="U334" i="3"/>
  <c r="U73" i="3"/>
  <c r="U547" i="3"/>
  <c r="U425" i="3"/>
  <c r="U1227" i="3"/>
  <c r="U1187" i="3"/>
  <c r="U638" i="3"/>
  <c r="U360" i="3"/>
  <c r="U644" i="3"/>
  <c r="U1071" i="3"/>
  <c r="U1091" i="3"/>
  <c r="U999" i="3"/>
  <c r="U1158" i="3"/>
  <c r="U757" i="3"/>
  <c r="U928" i="3"/>
  <c r="U175" i="3"/>
  <c r="U418" i="3"/>
  <c r="U39" i="3"/>
  <c r="U1224" i="3"/>
  <c r="U832" i="3"/>
  <c r="U424" i="3"/>
  <c r="U1038" i="3"/>
  <c r="U149" i="3"/>
  <c r="U53" i="3"/>
  <c r="U461" i="3"/>
  <c r="U756" i="3"/>
  <c r="U700" i="3"/>
  <c r="U235" i="3"/>
  <c r="U439" i="3"/>
  <c r="U1088" i="3"/>
  <c r="U811" i="3"/>
  <c r="U555" i="3"/>
  <c r="U699" i="3"/>
  <c r="U270" i="3"/>
  <c r="U595" i="3"/>
  <c r="U922" i="3"/>
  <c r="U677" i="3"/>
  <c r="U611" i="3"/>
  <c r="U625" i="3"/>
  <c r="U1170" i="3"/>
  <c r="U380" i="3"/>
  <c r="U759" i="3"/>
  <c r="U797" i="3"/>
  <c r="U141" i="3"/>
  <c r="U21" i="3"/>
  <c r="AU27" i="1"/>
  <c r="AV27" i="1"/>
  <c r="AW27" i="1"/>
  <c r="AX27" i="1"/>
  <c r="AY27" i="1"/>
  <c r="BF27" i="1"/>
  <c r="AU28" i="1"/>
  <c r="AV28" i="1"/>
  <c r="AW28" i="1"/>
  <c r="AX28" i="1"/>
  <c r="AY28" i="1"/>
  <c r="BF28" i="1"/>
  <c r="AU125" i="1"/>
  <c r="AV125" i="1"/>
  <c r="AW125" i="1"/>
  <c r="AX125" i="1"/>
  <c r="AY125" i="1"/>
  <c r="BF125" i="1"/>
  <c r="AU101" i="1"/>
  <c r="AV101" i="1"/>
  <c r="AW101" i="1"/>
  <c r="AX101" i="1"/>
  <c r="AY101" i="1"/>
  <c r="BF101" i="1"/>
  <c r="AU198" i="1"/>
  <c r="AV198" i="1"/>
  <c r="AW198" i="1"/>
  <c r="AX198" i="1"/>
  <c r="AY198" i="1"/>
  <c r="BF198" i="1"/>
  <c r="AU56" i="1"/>
  <c r="AV56" i="1"/>
  <c r="AW56" i="1"/>
  <c r="AX56" i="1"/>
  <c r="AY56" i="1"/>
  <c r="BF56" i="1"/>
  <c r="AU16" i="1"/>
  <c r="AV16" i="1"/>
  <c r="AW16" i="1"/>
  <c r="AX16" i="1"/>
  <c r="AY16" i="1"/>
  <c r="BF16" i="1"/>
  <c r="AU23" i="1"/>
  <c r="AV23" i="1"/>
  <c r="AW23" i="1"/>
  <c r="AX23" i="1"/>
  <c r="AY23" i="1"/>
  <c r="BF23" i="1"/>
  <c r="AU78" i="1"/>
  <c r="AV78" i="1"/>
  <c r="AW78" i="1"/>
  <c r="AX78" i="1"/>
  <c r="AY78" i="1"/>
  <c r="BF78" i="1"/>
  <c r="AU162" i="1"/>
  <c r="AV162" i="1"/>
  <c r="AW162" i="1"/>
  <c r="AX162" i="1"/>
  <c r="AY162" i="1"/>
  <c r="BF162" i="1"/>
  <c r="AU33" i="1"/>
  <c r="AV33" i="1"/>
  <c r="AW33" i="1"/>
  <c r="AX33" i="1"/>
  <c r="AY33" i="1"/>
  <c r="BF33" i="1"/>
  <c r="AU150" i="1"/>
  <c r="AV150" i="1"/>
  <c r="AW150" i="1"/>
  <c r="AX150" i="1"/>
  <c r="AY150" i="1"/>
  <c r="BF150" i="1"/>
  <c r="AU88" i="1"/>
  <c r="AV88" i="1"/>
  <c r="AW88" i="1"/>
  <c r="AX88" i="1"/>
  <c r="AY88" i="1"/>
  <c r="BF88" i="1"/>
  <c r="AU71" i="1"/>
  <c r="AV71" i="1"/>
  <c r="AW71" i="1"/>
  <c r="AX71" i="1"/>
  <c r="AY71" i="1"/>
  <c r="BF71" i="1"/>
  <c r="AU59" i="1"/>
  <c r="AV59" i="1"/>
  <c r="AW59" i="1"/>
  <c r="AX59" i="1"/>
  <c r="AY59" i="1"/>
  <c r="BF59" i="1"/>
  <c r="AU153" i="1"/>
  <c r="AV153" i="1"/>
  <c r="AW153" i="1"/>
  <c r="AX153" i="1"/>
  <c r="AY153" i="1"/>
  <c r="BF153" i="1"/>
  <c r="AU86" i="1"/>
  <c r="AV86" i="1"/>
  <c r="AW86" i="1"/>
  <c r="AX86" i="1"/>
  <c r="AY86" i="1"/>
  <c r="BF86" i="1"/>
  <c r="AU40" i="1"/>
  <c r="AV40" i="1"/>
  <c r="AW40" i="1"/>
  <c r="AX40" i="1"/>
  <c r="AY40" i="1"/>
  <c r="BF40" i="1"/>
  <c r="AU420" i="1"/>
  <c r="AV420" i="1"/>
  <c r="AW420" i="1"/>
  <c r="AX420" i="1"/>
  <c r="AY420" i="1"/>
  <c r="BF420" i="1"/>
  <c r="AU57" i="1"/>
  <c r="AV57" i="1"/>
  <c r="AW57" i="1"/>
  <c r="AX57" i="1"/>
  <c r="AY57" i="1"/>
  <c r="BF57" i="1"/>
  <c r="AU21" i="1"/>
  <c r="AV21" i="1"/>
  <c r="AW21" i="1"/>
  <c r="AX21" i="1"/>
  <c r="AY21" i="1"/>
  <c r="BF21" i="1"/>
  <c r="AU109" i="1"/>
  <c r="AV109" i="1"/>
  <c r="AW109" i="1"/>
  <c r="AX109" i="1"/>
  <c r="AY109" i="1"/>
  <c r="BF109" i="1"/>
  <c r="AU67" i="1"/>
  <c r="AV67" i="1"/>
  <c r="AW67" i="1"/>
  <c r="AX67" i="1"/>
  <c r="AY67" i="1"/>
  <c r="BF67" i="1"/>
  <c r="AU443" i="1"/>
  <c r="AV443" i="1"/>
  <c r="AW443" i="1"/>
  <c r="AX443" i="1"/>
  <c r="AY443" i="1"/>
  <c r="BF443" i="1"/>
  <c r="AU103" i="1"/>
  <c r="AV103" i="1"/>
  <c r="AW103" i="1"/>
  <c r="AX103" i="1"/>
  <c r="AY103" i="1"/>
  <c r="BF103" i="1"/>
  <c r="AU12" i="1"/>
  <c r="AV12" i="1"/>
  <c r="AW12" i="1"/>
  <c r="AX12" i="1"/>
  <c r="AY12" i="1"/>
  <c r="BF12" i="1"/>
  <c r="AU11" i="1"/>
  <c r="AV11" i="1"/>
  <c r="AW11" i="1"/>
  <c r="AX11" i="1"/>
  <c r="AY11" i="1"/>
  <c r="BF11" i="1"/>
  <c r="AU95" i="1"/>
  <c r="AV95" i="1"/>
  <c r="AW95" i="1"/>
  <c r="AX95" i="1"/>
  <c r="AY95" i="1"/>
  <c r="BF95" i="1"/>
  <c r="AU75" i="1"/>
  <c r="AV75" i="1"/>
  <c r="AW75" i="1"/>
  <c r="AX75" i="1"/>
  <c r="AY75" i="1"/>
  <c r="BF75" i="1"/>
  <c r="AU311" i="1"/>
  <c r="AV311" i="1"/>
  <c r="AW311" i="1"/>
  <c r="AX311" i="1"/>
  <c r="AY311" i="1"/>
  <c r="BF311" i="1"/>
  <c r="AU85" i="1"/>
  <c r="AV85" i="1"/>
  <c r="AW85" i="1"/>
  <c r="AX85" i="1"/>
  <c r="AY85" i="1"/>
  <c r="BF85" i="1"/>
  <c r="AU122" i="1"/>
  <c r="AV122" i="1"/>
  <c r="AW122" i="1"/>
  <c r="AX122" i="1"/>
  <c r="AY122" i="1"/>
  <c r="BF122" i="1"/>
  <c r="AU213" i="1"/>
  <c r="AV213" i="1"/>
  <c r="AW213" i="1"/>
  <c r="AX213" i="1"/>
  <c r="AY213" i="1"/>
  <c r="BF213" i="1"/>
  <c r="AU214" i="1"/>
  <c r="AV214" i="1"/>
  <c r="AW214" i="1"/>
  <c r="AX214" i="1"/>
  <c r="AY214" i="1"/>
  <c r="BF214" i="1"/>
  <c r="AU26" i="1"/>
  <c r="AV26" i="1"/>
  <c r="AW26" i="1"/>
  <c r="AX26" i="1"/>
  <c r="AY26" i="1"/>
  <c r="BF26" i="1"/>
  <c r="AU90" i="1"/>
  <c r="AV90" i="1"/>
  <c r="AW90" i="1"/>
  <c r="AX90" i="1"/>
  <c r="AY90" i="1"/>
  <c r="BF90" i="1"/>
  <c r="AU156" i="1"/>
  <c r="AV156" i="1"/>
  <c r="AW156" i="1"/>
  <c r="AX156" i="1"/>
  <c r="AY156" i="1"/>
  <c r="BF156" i="1"/>
  <c r="AU15" i="1"/>
  <c r="AV15" i="1"/>
  <c r="AW15" i="1"/>
  <c r="AX15" i="1"/>
  <c r="AY15" i="1"/>
  <c r="BF15" i="1"/>
  <c r="AU22" i="1"/>
  <c r="AV22" i="1"/>
  <c r="AW22" i="1"/>
  <c r="AX22" i="1"/>
  <c r="AY22" i="1"/>
  <c r="BF22" i="1"/>
  <c r="AU328" i="1"/>
  <c r="AV328" i="1"/>
  <c r="AW328" i="1"/>
  <c r="AX328" i="1"/>
  <c r="AY328" i="1"/>
  <c r="BF328" i="1"/>
  <c r="AU91" i="1"/>
  <c r="AV91" i="1"/>
  <c r="AW91" i="1"/>
  <c r="AX91" i="1"/>
  <c r="AY91" i="1"/>
  <c r="BF91" i="1"/>
  <c r="AU161" i="1"/>
  <c r="AV161" i="1"/>
  <c r="AW161" i="1"/>
  <c r="AX161" i="1"/>
  <c r="AY161" i="1"/>
  <c r="BF161" i="1"/>
  <c r="AU130" i="1"/>
  <c r="AV130" i="1"/>
  <c r="AW130" i="1"/>
  <c r="AX130" i="1"/>
  <c r="AY130" i="1"/>
  <c r="BF130" i="1"/>
  <c r="AU202" i="1"/>
  <c r="AV202" i="1"/>
  <c r="AW202" i="1"/>
  <c r="AX202" i="1"/>
  <c r="AY202" i="1"/>
  <c r="BF202" i="1"/>
  <c r="AU140" i="1"/>
  <c r="AV140" i="1"/>
  <c r="AW140" i="1"/>
  <c r="AX140" i="1"/>
  <c r="AY140" i="1"/>
  <c r="BF140" i="1"/>
  <c r="AU133" i="1"/>
  <c r="AV133" i="1"/>
  <c r="AW133" i="1"/>
  <c r="AX133" i="1"/>
  <c r="AY133" i="1"/>
  <c r="BF133" i="1"/>
  <c r="AU385" i="1"/>
  <c r="AV385" i="1"/>
  <c r="AW385" i="1"/>
  <c r="AX385" i="1"/>
  <c r="AY385" i="1"/>
  <c r="BF385" i="1"/>
  <c r="AU220" i="1"/>
  <c r="AV220" i="1"/>
  <c r="AW220" i="1"/>
  <c r="AX220" i="1"/>
  <c r="AY220" i="1"/>
  <c r="BF220" i="1"/>
  <c r="AU170" i="1"/>
  <c r="AV170" i="1"/>
  <c r="AW170" i="1"/>
  <c r="AX170" i="1"/>
  <c r="AY170" i="1"/>
  <c r="BF170" i="1"/>
  <c r="AU204" i="1"/>
  <c r="AV204" i="1"/>
  <c r="AW204" i="1"/>
  <c r="AX204" i="1"/>
  <c r="AY204" i="1"/>
  <c r="BF204" i="1"/>
  <c r="AU255" i="1"/>
  <c r="AV255" i="1"/>
  <c r="AW255" i="1"/>
  <c r="AX255" i="1"/>
  <c r="AY255" i="1"/>
  <c r="BF255" i="1"/>
  <c r="AU292" i="1"/>
  <c r="AV292" i="1"/>
  <c r="AW292" i="1"/>
  <c r="AX292" i="1"/>
  <c r="AY292" i="1"/>
  <c r="BF292" i="1"/>
  <c r="AU190" i="1"/>
  <c r="AV190" i="1"/>
  <c r="AW190" i="1"/>
  <c r="AX190" i="1"/>
  <c r="AY190" i="1"/>
  <c r="BF190" i="1"/>
  <c r="AU158" i="1"/>
  <c r="AV158" i="1"/>
  <c r="AW158" i="1"/>
  <c r="AX158" i="1"/>
  <c r="AY158" i="1"/>
  <c r="BF158" i="1"/>
  <c r="AU66" i="1"/>
  <c r="AV66" i="1"/>
  <c r="AW66" i="1"/>
  <c r="AX66" i="1"/>
  <c r="AY66" i="1"/>
  <c r="BF66" i="1"/>
  <c r="AU102" i="1"/>
  <c r="AV102" i="1"/>
  <c r="AW102" i="1"/>
  <c r="AX102" i="1"/>
  <c r="AY102" i="1"/>
  <c r="BF102" i="1"/>
  <c r="AU142" i="1"/>
  <c r="AV142" i="1"/>
  <c r="AW142" i="1"/>
  <c r="AX142" i="1"/>
  <c r="AY142" i="1"/>
  <c r="BF142" i="1"/>
  <c r="AU512" i="1"/>
  <c r="AV512" i="1"/>
  <c r="AW512" i="1"/>
  <c r="AX512" i="1"/>
  <c r="AY512" i="1"/>
  <c r="BF512" i="1"/>
  <c r="AU306" i="1"/>
  <c r="AV306" i="1"/>
  <c r="AW306" i="1"/>
  <c r="AX306" i="1"/>
  <c r="AY306" i="1"/>
  <c r="BF306" i="1"/>
  <c r="AU210" i="1"/>
  <c r="AV210" i="1"/>
  <c r="AW210" i="1"/>
  <c r="AX210" i="1"/>
  <c r="AY210" i="1"/>
  <c r="BF210" i="1"/>
  <c r="AU282" i="1"/>
  <c r="AV282" i="1"/>
  <c r="AW282" i="1"/>
  <c r="AX282" i="1"/>
  <c r="AY282" i="1"/>
  <c r="BF282" i="1"/>
  <c r="AU378" i="1"/>
  <c r="AV378" i="1"/>
  <c r="AW378" i="1"/>
  <c r="AX378" i="1"/>
  <c r="AY378" i="1"/>
  <c r="BF378" i="1"/>
  <c r="AU624" i="1"/>
  <c r="AV624" i="1"/>
  <c r="AW624" i="1"/>
  <c r="AX624" i="1"/>
  <c r="AY624" i="1"/>
  <c r="BF624" i="1"/>
  <c r="AU520" i="1"/>
  <c r="AV520" i="1"/>
  <c r="AW520" i="1"/>
  <c r="AX520" i="1"/>
  <c r="AY520" i="1"/>
  <c r="BF520" i="1"/>
  <c r="AU526" i="1"/>
  <c r="AV526" i="1"/>
  <c r="AW526" i="1"/>
  <c r="AX526" i="1"/>
  <c r="AY526" i="1"/>
  <c r="BF526" i="1"/>
  <c r="AU181" i="1"/>
  <c r="AV181" i="1"/>
  <c r="AW181" i="1"/>
  <c r="AX181" i="1"/>
  <c r="AY181" i="1"/>
  <c r="BF181" i="1"/>
  <c r="AU411" i="1"/>
  <c r="AV411" i="1"/>
  <c r="AW411" i="1"/>
  <c r="AX411" i="1"/>
  <c r="AY411" i="1"/>
  <c r="BF411" i="1"/>
  <c r="AU196" i="1"/>
  <c r="AV196" i="1"/>
  <c r="AW196" i="1"/>
  <c r="AX196" i="1"/>
  <c r="AY196" i="1"/>
  <c r="BF196" i="1"/>
  <c r="AU119" i="1"/>
  <c r="AV119" i="1"/>
  <c r="AW119" i="1"/>
  <c r="AX119" i="1"/>
  <c r="AY119" i="1"/>
  <c r="BF119" i="1"/>
  <c r="AU503" i="1"/>
  <c r="AV503" i="1"/>
  <c r="AW503" i="1"/>
  <c r="AX503" i="1"/>
  <c r="AY503" i="1"/>
  <c r="BF503" i="1"/>
  <c r="AU669" i="1"/>
  <c r="AV669" i="1"/>
  <c r="AW669" i="1"/>
  <c r="AX669" i="1"/>
  <c r="AY669" i="1"/>
  <c r="BF669" i="1"/>
  <c r="AU350" i="1"/>
  <c r="AV350" i="1"/>
  <c r="AW350" i="1"/>
  <c r="AX350" i="1"/>
  <c r="AY350" i="1"/>
  <c r="BF350" i="1"/>
  <c r="AU259" i="1"/>
  <c r="AV259" i="1"/>
  <c r="AW259" i="1"/>
  <c r="AX259" i="1"/>
  <c r="AY259" i="1"/>
  <c r="BF259" i="1"/>
  <c r="AU24" i="1"/>
  <c r="AV24" i="1"/>
  <c r="AW24" i="1"/>
  <c r="AX24" i="1"/>
  <c r="AY24" i="1"/>
  <c r="BF24" i="1"/>
  <c r="AU61" i="1"/>
  <c r="AV61" i="1"/>
  <c r="AW61" i="1"/>
  <c r="AX61" i="1"/>
  <c r="AY61" i="1"/>
  <c r="BF61" i="1"/>
  <c r="AU232" i="1"/>
  <c r="AV232" i="1"/>
  <c r="AW232" i="1"/>
  <c r="AX232" i="1"/>
  <c r="AY232" i="1"/>
  <c r="BF232" i="1"/>
  <c r="AU60" i="1"/>
  <c r="AV60" i="1"/>
  <c r="AW60" i="1"/>
  <c r="AX60" i="1"/>
  <c r="AY60" i="1"/>
  <c r="BF60" i="1"/>
  <c r="AU444" i="1"/>
  <c r="AV444" i="1"/>
  <c r="AW444" i="1"/>
  <c r="AX444" i="1"/>
  <c r="AY444" i="1"/>
  <c r="BF444" i="1"/>
  <c r="AU212" i="1"/>
  <c r="AV212" i="1"/>
  <c r="AW212" i="1"/>
  <c r="AX212" i="1"/>
  <c r="AY212" i="1"/>
  <c r="BF212" i="1"/>
  <c r="AU314" i="1"/>
  <c r="AV314" i="1"/>
  <c r="AW314" i="1"/>
  <c r="AX314" i="1"/>
  <c r="AY314" i="1"/>
  <c r="BF314" i="1"/>
  <c r="AU134" i="1"/>
  <c r="AV134" i="1"/>
  <c r="AW134" i="1"/>
  <c r="AX134" i="1"/>
  <c r="AY134" i="1"/>
  <c r="BF134" i="1"/>
  <c r="AU104" i="1"/>
  <c r="AV104" i="1"/>
  <c r="AW104" i="1"/>
  <c r="AX104" i="1"/>
  <c r="AY104" i="1"/>
  <c r="BF104" i="1"/>
  <c r="AU183" i="1"/>
  <c r="AV183" i="1"/>
  <c r="AW183" i="1"/>
  <c r="AX183" i="1"/>
  <c r="AY183" i="1"/>
  <c r="BF183" i="1"/>
  <c r="AU487" i="1"/>
  <c r="AV487" i="1"/>
  <c r="AW487" i="1"/>
  <c r="AX487" i="1"/>
  <c r="AY487" i="1"/>
  <c r="BF487" i="1"/>
  <c r="AU604" i="1"/>
  <c r="AV604" i="1"/>
  <c r="AW604" i="1"/>
  <c r="AX604" i="1"/>
  <c r="AY604" i="1"/>
  <c r="BF604" i="1"/>
  <c r="AU667" i="1"/>
  <c r="AV667" i="1"/>
  <c r="AW667" i="1"/>
  <c r="AX667" i="1"/>
  <c r="AY667" i="1"/>
  <c r="BF667" i="1"/>
  <c r="AU462" i="1"/>
  <c r="AV462" i="1"/>
  <c r="AW462" i="1"/>
  <c r="AX462" i="1"/>
  <c r="AY462" i="1"/>
  <c r="BF462" i="1"/>
  <c r="AU80" i="1"/>
  <c r="AV80" i="1"/>
  <c r="AW80" i="1"/>
  <c r="AX80" i="1"/>
  <c r="AY80" i="1"/>
  <c r="BF80" i="1"/>
  <c r="AU166" i="1"/>
  <c r="AV166" i="1"/>
  <c r="AW166" i="1"/>
  <c r="AX166" i="1"/>
  <c r="AY166" i="1"/>
  <c r="BF166" i="1"/>
  <c r="AU291" i="1"/>
  <c r="AV291" i="1"/>
  <c r="AW291" i="1"/>
  <c r="AX291" i="1"/>
  <c r="AY291" i="1"/>
  <c r="BF291" i="1"/>
  <c r="AU42" i="1"/>
  <c r="AV42" i="1"/>
  <c r="AW42" i="1"/>
  <c r="AX42" i="1"/>
  <c r="AY42" i="1"/>
  <c r="BF42" i="1"/>
  <c r="AU495" i="1"/>
  <c r="AV495" i="1"/>
  <c r="AW495" i="1"/>
  <c r="AX495" i="1"/>
  <c r="AY495" i="1"/>
  <c r="BF495" i="1"/>
  <c r="AU587" i="1"/>
  <c r="AV587" i="1"/>
  <c r="AW587" i="1"/>
  <c r="AX587" i="1"/>
  <c r="AY587" i="1"/>
  <c r="BF587" i="1"/>
  <c r="AU391" i="1"/>
  <c r="AV391" i="1"/>
  <c r="AW391" i="1"/>
  <c r="AX391" i="1"/>
  <c r="AY391" i="1"/>
  <c r="BF391" i="1"/>
  <c r="AU562" i="1"/>
  <c r="AV562" i="1"/>
  <c r="AW562" i="1"/>
  <c r="AX562" i="1"/>
  <c r="AY562" i="1"/>
  <c r="BF562" i="1"/>
  <c r="AU599" i="1"/>
  <c r="AV599" i="1"/>
  <c r="AW599" i="1"/>
  <c r="AX599" i="1"/>
  <c r="AY599" i="1"/>
  <c r="BF599" i="1"/>
  <c r="AU327" i="1"/>
  <c r="AV327" i="1"/>
  <c r="AW327" i="1"/>
  <c r="AX327" i="1"/>
  <c r="AY327" i="1"/>
  <c r="BF327" i="1"/>
  <c r="AU589" i="1"/>
  <c r="AV589" i="1"/>
  <c r="AW589" i="1"/>
  <c r="AX589" i="1"/>
  <c r="AY589" i="1"/>
  <c r="BF589" i="1"/>
  <c r="AU549" i="1"/>
  <c r="AV549" i="1"/>
  <c r="AW549" i="1"/>
  <c r="AX549" i="1"/>
  <c r="AY549" i="1"/>
  <c r="BF549" i="1"/>
  <c r="AU89" i="1"/>
  <c r="AV89" i="1"/>
  <c r="AW89" i="1"/>
  <c r="AX89" i="1"/>
  <c r="AY89" i="1"/>
  <c r="BF89" i="1"/>
  <c r="AU389" i="1"/>
  <c r="AV389" i="1"/>
  <c r="AW389" i="1"/>
  <c r="AX389" i="1"/>
  <c r="AY389" i="1"/>
  <c r="BF389" i="1"/>
  <c r="AU644" i="1"/>
  <c r="AV644" i="1"/>
  <c r="AW644" i="1"/>
  <c r="AX644" i="1"/>
  <c r="AY644" i="1"/>
  <c r="BF644" i="1"/>
  <c r="AU612" i="1"/>
  <c r="AV612" i="1"/>
  <c r="AW612" i="1"/>
  <c r="AX612" i="1"/>
  <c r="AY612" i="1"/>
  <c r="BF612" i="1"/>
  <c r="AU432" i="1"/>
  <c r="AV432" i="1"/>
  <c r="AW432" i="1"/>
  <c r="AX432" i="1"/>
  <c r="AY432" i="1"/>
  <c r="BF432" i="1"/>
  <c r="AU227" i="1"/>
  <c r="AV227" i="1"/>
  <c r="AW227" i="1"/>
  <c r="AX227" i="1"/>
  <c r="AY227" i="1"/>
  <c r="BF227" i="1"/>
  <c r="AU320" i="1"/>
  <c r="AV320" i="1"/>
  <c r="AW320" i="1"/>
  <c r="AX320" i="1"/>
  <c r="AY320" i="1"/>
  <c r="BF320" i="1"/>
  <c r="AU268" i="1"/>
  <c r="AV268" i="1"/>
  <c r="AW268" i="1"/>
  <c r="AX268" i="1"/>
  <c r="AY268" i="1"/>
  <c r="BF268" i="1"/>
  <c r="AU118" i="1"/>
  <c r="AV118" i="1"/>
  <c r="AW118" i="1"/>
  <c r="AX118" i="1"/>
  <c r="AY118" i="1"/>
  <c r="BF118" i="1"/>
  <c r="AU225" i="1"/>
  <c r="AV225" i="1"/>
  <c r="AW225" i="1"/>
  <c r="AX225" i="1"/>
  <c r="AY225" i="1"/>
  <c r="BF225" i="1"/>
  <c r="AU295" i="1"/>
  <c r="AV295" i="1"/>
  <c r="AW295" i="1"/>
  <c r="AX295" i="1"/>
  <c r="AY295" i="1"/>
  <c r="BF295" i="1"/>
  <c r="AU628" i="1"/>
  <c r="AV628" i="1"/>
  <c r="AW628" i="1"/>
  <c r="AX628" i="1"/>
  <c r="AY628" i="1"/>
  <c r="BF628" i="1"/>
  <c r="AU356" i="1"/>
  <c r="AV356" i="1"/>
  <c r="AW356" i="1"/>
  <c r="AX356" i="1"/>
  <c r="AY356" i="1"/>
  <c r="BF356" i="1"/>
  <c r="AU188" i="1"/>
  <c r="AV188" i="1"/>
  <c r="AW188" i="1"/>
  <c r="AX188" i="1"/>
  <c r="AY188" i="1"/>
  <c r="BF188" i="1"/>
  <c r="AU206" i="1"/>
  <c r="AV206" i="1"/>
  <c r="AW206" i="1"/>
  <c r="AX206" i="1"/>
  <c r="AY206" i="1"/>
  <c r="BF206" i="1"/>
  <c r="AU338" i="1"/>
  <c r="AV338" i="1"/>
  <c r="AW338" i="1"/>
  <c r="AX338" i="1"/>
  <c r="AY338" i="1"/>
  <c r="BF338" i="1"/>
  <c r="AU20" i="1"/>
  <c r="AV20" i="1"/>
  <c r="AW20" i="1"/>
  <c r="AX20" i="1"/>
  <c r="AY20" i="1"/>
  <c r="BF20" i="1"/>
  <c r="AU299" i="1"/>
  <c r="AV299" i="1"/>
  <c r="AW299" i="1"/>
  <c r="AX299" i="1"/>
  <c r="AY299" i="1"/>
  <c r="BF299" i="1"/>
  <c r="AU276" i="1"/>
  <c r="AV276" i="1"/>
  <c r="AW276" i="1"/>
  <c r="AX276" i="1"/>
  <c r="AY276" i="1"/>
  <c r="BF276" i="1"/>
  <c r="AU157" i="1"/>
  <c r="AV157" i="1"/>
  <c r="AW157" i="1"/>
  <c r="AX157" i="1"/>
  <c r="AY157" i="1"/>
  <c r="BF157" i="1"/>
  <c r="AU392" i="1"/>
  <c r="AV392" i="1"/>
  <c r="AW392" i="1"/>
  <c r="AX392" i="1"/>
  <c r="AY392" i="1"/>
  <c r="BF392" i="1"/>
  <c r="AU439" i="1"/>
  <c r="AV439" i="1"/>
  <c r="AW439" i="1"/>
  <c r="AX439" i="1"/>
  <c r="AY439" i="1"/>
  <c r="BF439" i="1"/>
  <c r="AU330" i="1"/>
  <c r="AV330" i="1"/>
  <c r="AW330" i="1"/>
  <c r="AX330" i="1"/>
  <c r="AY330" i="1"/>
  <c r="BF330" i="1"/>
  <c r="AU126" i="1"/>
  <c r="AV126" i="1"/>
  <c r="AW126" i="1"/>
  <c r="AX126" i="1"/>
  <c r="AY126" i="1"/>
  <c r="BF126" i="1"/>
  <c r="AU297" i="1"/>
  <c r="AV297" i="1"/>
  <c r="AW297" i="1"/>
  <c r="AX297" i="1"/>
  <c r="AY297" i="1"/>
  <c r="BF297" i="1"/>
  <c r="AU289" i="1"/>
  <c r="AV289" i="1"/>
  <c r="AW289" i="1"/>
  <c r="AX289" i="1"/>
  <c r="AY289" i="1"/>
  <c r="BF289" i="1"/>
  <c r="AU339" i="1"/>
  <c r="AV339" i="1"/>
  <c r="AW339" i="1"/>
  <c r="AX339" i="1"/>
  <c r="AY339" i="1"/>
  <c r="BF339" i="1"/>
  <c r="AU463" i="1"/>
  <c r="AV463" i="1"/>
  <c r="AW463" i="1"/>
  <c r="AX463" i="1"/>
  <c r="AY463" i="1"/>
  <c r="BF463" i="1"/>
  <c r="AU343" i="1"/>
  <c r="AV343" i="1"/>
  <c r="AW343" i="1"/>
  <c r="AX343" i="1"/>
  <c r="AY343" i="1"/>
  <c r="BF343" i="1"/>
  <c r="AU372" i="1"/>
  <c r="AV372" i="1"/>
  <c r="AW372" i="1"/>
  <c r="AX372" i="1"/>
  <c r="AY372" i="1"/>
  <c r="BF372" i="1"/>
  <c r="AU623" i="1"/>
  <c r="AV623" i="1"/>
  <c r="AW623" i="1"/>
  <c r="AX623" i="1"/>
  <c r="AY623" i="1"/>
  <c r="BF623" i="1"/>
  <c r="AU160" i="1"/>
  <c r="AV160" i="1"/>
  <c r="AW160" i="1"/>
  <c r="AX160" i="1"/>
  <c r="AY160" i="1"/>
  <c r="BF160" i="1"/>
  <c r="AU394" i="1"/>
  <c r="AV394" i="1"/>
  <c r="AW394" i="1"/>
  <c r="AX394" i="1"/>
  <c r="AY394" i="1"/>
  <c r="BF394" i="1"/>
  <c r="AU447" i="1"/>
  <c r="AV447" i="1"/>
  <c r="AW447" i="1"/>
  <c r="AX447" i="1"/>
  <c r="AY447" i="1"/>
  <c r="BF447" i="1"/>
  <c r="AU511" i="1"/>
  <c r="AV511" i="1"/>
  <c r="AW511" i="1"/>
  <c r="AX511" i="1"/>
  <c r="AY511" i="1"/>
  <c r="BF511" i="1"/>
  <c r="AU410" i="1"/>
  <c r="AV410" i="1"/>
  <c r="AW410" i="1"/>
  <c r="AX410" i="1"/>
  <c r="AY410" i="1"/>
  <c r="BF410" i="1"/>
  <c r="AU258" i="1"/>
  <c r="AV258" i="1"/>
  <c r="AW258" i="1"/>
  <c r="AX258" i="1"/>
  <c r="AY258" i="1"/>
  <c r="BF258" i="1"/>
  <c r="AU221" i="1"/>
  <c r="AV221" i="1"/>
  <c r="AW221" i="1"/>
  <c r="AX221" i="1"/>
  <c r="AY221" i="1"/>
  <c r="BF221" i="1"/>
  <c r="AU223" i="1"/>
  <c r="AV223" i="1"/>
  <c r="AW223" i="1"/>
  <c r="AX223" i="1"/>
  <c r="AY223" i="1"/>
  <c r="BF223" i="1"/>
  <c r="AU529" i="1"/>
  <c r="AV529" i="1"/>
  <c r="AW529" i="1"/>
  <c r="AX529" i="1"/>
  <c r="AY529" i="1"/>
  <c r="BF529" i="1"/>
  <c r="AU174" i="1"/>
  <c r="AV174" i="1"/>
  <c r="AW174" i="1"/>
  <c r="AX174" i="1"/>
  <c r="AY174" i="1"/>
  <c r="BF174" i="1"/>
  <c r="AU434" i="1"/>
  <c r="AV434" i="1"/>
  <c r="AW434" i="1"/>
  <c r="AX434" i="1"/>
  <c r="AY434" i="1"/>
  <c r="BF434" i="1"/>
  <c r="AU441" i="1"/>
  <c r="AV441" i="1"/>
  <c r="AW441" i="1"/>
  <c r="AX441" i="1"/>
  <c r="AY441" i="1"/>
  <c r="BF441" i="1"/>
  <c r="AU575" i="1"/>
  <c r="AV575" i="1"/>
  <c r="AW575" i="1"/>
  <c r="AX575" i="1"/>
  <c r="AY575" i="1"/>
  <c r="BF575" i="1"/>
  <c r="AU147" i="1"/>
  <c r="AV147" i="1"/>
  <c r="AW147" i="1"/>
  <c r="AX147" i="1"/>
  <c r="AY147" i="1"/>
  <c r="BF147" i="1"/>
  <c r="AU169" i="1"/>
  <c r="AV169" i="1"/>
  <c r="AW169" i="1"/>
  <c r="AX169" i="1"/>
  <c r="AY169" i="1"/>
  <c r="BF169" i="1"/>
  <c r="AU73" i="1"/>
  <c r="AV73" i="1"/>
  <c r="AW73" i="1"/>
  <c r="AX73" i="1"/>
  <c r="AY73" i="1"/>
  <c r="BF73" i="1"/>
  <c r="AU639" i="1"/>
  <c r="AV639" i="1"/>
  <c r="AW639" i="1"/>
  <c r="AX639" i="1"/>
  <c r="AY639" i="1"/>
  <c r="BF639" i="1"/>
  <c r="AU318" i="1"/>
  <c r="AV318" i="1"/>
  <c r="AW318" i="1"/>
  <c r="AX318" i="1"/>
  <c r="AY318" i="1"/>
  <c r="BF318" i="1"/>
  <c r="AU41" i="1"/>
  <c r="AV41" i="1"/>
  <c r="AW41" i="1"/>
  <c r="AX41" i="1"/>
  <c r="AY41" i="1"/>
  <c r="BF41" i="1"/>
  <c r="AU521" i="1"/>
  <c r="AV521" i="1"/>
  <c r="AW521" i="1"/>
  <c r="AX521" i="1"/>
  <c r="AY521" i="1"/>
  <c r="BF521" i="1"/>
  <c r="AU167" i="1"/>
  <c r="AV167" i="1"/>
  <c r="AW167" i="1"/>
  <c r="AX167" i="1"/>
  <c r="AY167" i="1"/>
  <c r="BF167" i="1"/>
  <c r="AU405" i="1"/>
  <c r="AV405" i="1"/>
  <c r="AW405" i="1"/>
  <c r="AX405" i="1"/>
  <c r="AY405" i="1"/>
  <c r="BF405" i="1"/>
  <c r="AU131" i="1"/>
  <c r="AV131" i="1"/>
  <c r="AW131" i="1"/>
  <c r="AX131" i="1"/>
  <c r="AY131" i="1"/>
  <c r="BF131" i="1"/>
  <c r="AU195" i="1"/>
  <c r="AV195" i="1"/>
  <c r="AW195" i="1"/>
  <c r="AX195" i="1"/>
  <c r="AY195" i="1"/>
  <c r="BF195" i="1"/>
  <c r="AU528" i="1"/>
  <c r="AV528" i="1"/>
  <c r="AW528" i="1"/>
  <c r="AX528" i="1"/>
  <c r="AY528" i="1"/>
  <c r="BF528" i="1"/>
  <c r="AU483" i="1"/>
  <c r="AV483" i="1"/>
  <c r="AW483" i="1"/>
  <c r="AX483" i="1"/>
  <c r="AY483" i="1"/>
  <c r="BF483" i="1"/>
  <c r="AU79" i="1"/>
  <c r="AV79" i="1"/>
  <c r="AW79" i="1"/>
  <c r="AX79" i="1"/>
  <c r="AY79" i="1"/>
  <c r="BF79" i="1"/>
  <c r="AU251" i="1"/>
  <c r="AV251" i="1"/>
  <c r="AW251" i="1"/>
  <c r="AX251" i="1"/>
  <c r="AY251" i="1"/>
  <c r="BF251" i="1"/>
  <c r="AU416" i="1"/>
  <c r="AV416" i="1"/>
  <c r="AW416" i="1"/>
  <c r="AX416" i="1"/>
  <c r="AY416" i="1"/>
  <c r="BF416" i="1"/>
  <c r="AU415" i="1"/>
  <c r="AV415" i="1"/>
  <c r="AW415" i="1"/>
  <c r="AX415" i="1"/>
  <c r="AY415" i="1"/>
  <c r="BF415" i="1"/>
  <c r="AU191" i="1"/>
  <c r="AV191" i="1"/>
  <c r="AW191" i="1"/>
  <c r="AX191" i="1"/>
  <c r="AY191" i="1"/>
  <c r="BF191" i="1"/>
  <c r="AU471" i="1"/>
  <c r="AV471" i="1"/>
  <c r="AW471" i="1"/>
  <c r="AX471" i="1"/>
  <c r="AY471" i="1"/>
  <c r="BF471" i="1"/>
  <c r="AU208" i="1"/>
  <c r="AV208" i="1"/>
  <c r="AW208" i="1"/>
  <c r="AX208" i="1"/>
  <c r="AY208" i="1"/>
  <c r="BF208" i="1"/>
  <c r="AU340" i="1"/>
  <c r="AV340" i="1"/>
  <c r="AW340" i="1"/>
  <c r="AX340" i="1"/>
  <c r="AY340" i="1"/>
  <c r="BF340" i="1"/>
  <c r="AU149" i="1"/>
  <c r="AV149" i="1"/>
  <c r="AW149" i="1"/>
  <c r="AX149" i="1"/>
  <c r="AY149" i="1"/>
  <c r="BF149" i="1"/>
  <c r="AU567" i="1"/>
  <c r="AV567" i="1"/>
  <c r="AW567" i="1"/>
  <c r="AX567" i="1"/>
  <c r="AY567" i="1"/>
  <c r="BF567" i="1"/>
  <c r="AU36" i="1"/>
  <c r="AV36" i="1"/>
  <c r="AW36" i="1"/>
  <c r="AX36" i="1"/>
  <c r="AY36" i="1"/>
  <c r="BF36" i="1"/>
  <c r="AU127" i="1"/>
  <c r="AV127" i="1"/>
  <c r="AW127" i="1"/>
  <c r="AX127" i="1"/>
  <c r="AY127" i="1"/>
  <c r="BF127" i="1"/>
  <c r="AU597" i="1"/>
  <c r="AV597" i="1"/>
  <c r="AW597" i="1"/>
  <c r="AX597" i="1"/>
  <c r="AY597" i="1"/>
  <c r="BF597" i="1"/>
  <c r="AU179" i="1"/>
  <c r="AV179" i="1"/>
  <c r="AW179" i="1"/>
  <c r="AX179" i="1"/>
  <c r="AY179" i="1"/>
  <c r="BF179" i="1"/>
  <c r="AU649" i="1"/>
  <c r="AV649" i="1"/>
  <c r="AW649" i="1"/>
  <c r="AX649" i="1"/>
  <c r="AY649" i="1"/>
  <c r="BF649" i="1"/>
  <c r="AU381" i="1"/>
  <c r="AV381" i="1"/>
  <c r="AW381" i="1"/>
  <c r="AX381" i="1"/>
  <c r="AY381" i="1"/>
  <c r="BF381" i="1"/>
  <c r="AU661" i="1"/>
  <c r="AV661" i="1"/>
  <c r="AW661" i="1"/>
  <c r="AX661" i="1"/>
  <c r="AY661" i="1"/>
  <c r="BF661" i="1"/>
  <c r="AU114" i="1"/>
  <c r="AV114" i="1"/>
  <c r="AW114" i="1"/>
  <c r="AX114" i="1"/>
  <c r="AY114" i="1"/>
  <c r="BF114" i="1"/>
  <c r="AU141" i="1"/>
  <c r="AV141" i="1"/>
  <c r="AW141" i="1"/>
  <c r="AX141" i="1"/>
  <c r="AY141" i="1"/>
  <c r="BF141" i="1"/>
  <c r="AU510" i="1"/>
  <c r="AV510" i="1"/>
  <c r="AW510" i="1"/>
  <c r="AX510" i="1"/>
  <c r="AY510" i="1"/>
  <c r="BF510" i="1"/>
  <c r="AU136" i="1"/>
  <c r="AV136" i="1"/>
  <c r="AW136" i="1"/>
  <c r="AX136" i="1"/>
  <c r="AY136" i="1"/>
  <c r="BF136" i="1"/>
  <c r="AU163" i="1"/>
  <c r="AV163" i="1"/>
  <c r="AW163" i="1"/>
  <c r="AX163" i="1"/>
  <c r="AY163" i="1"/>
  <c r="BF163" i="1"/>
  <c r="AU469" i="1"/>
  <c r="AV469" i="1"/>
  <c r="AW469" i="1"/>
  <c r="AX469" i="1"/>
  <c r="AY469" i="1"/>
  <c r="BF469" i="1"/>
  <c r="AU435" i="1"/>
  <c r="AV435" i="1"/>
  <c r="AW435" i="1"/>
  <c r="AX435" i="1"/>
  <c r="AY435" i="1"/>
  <c r="BF435" i="1"/>
  <c r="AU506" i="1"/>
  <c r="AV506" i="1"/>
  <c r="AW506" i="1"/>
  <c r="AX506" i="1"/>
  <c r="AY506" i="1"/>
  <c r="BF506" i="1"/>
  <c r="AU273" i="1"/>
  <c r="AV273" i="1"/>
  <c r="AW273" i="1"/>
  <c r="AX273" i="1"/>
  <c r="AY273" i="1"/>
  <c r="BF273" i="1"/>
  <c r="AU145" i="1"/>
  <c r="AV145" i="1"/>
  <c r="AW145" i="1"/>
  <c r="AX145" i="1"/>
  <c r="AY145" i="1"/>
  <c r="BF145" i="1"/>
  <c r="AU601" i="1"/>
  <c r="AV601" i="1"/>
  <c r="AW601" i="1"/>
  <c r="AX601" i="1"/>
  <c r="AY601" i="1"/>
  <c r="BF601" i="1"/>
  <c r="AU547" i="1"/>
  <c r="AV547" i="1"/>
  <c r="AW547" i="1"/>
  <c r="AX547" i="1"/>
  <c r="AY547" i="1"/>
  <c r="BF547" i="1"/>
  <c r="AU360" i="1"/>
  <c r="AV360" i="1"/>
  <c r="AW360" i="1"/>
  <c r="AX360" i="1"/>
  <c r="AY360" i="1"/>
  <c r="BF360" i="1"/>
  <c r="AU144" i="1"/>
  <c r="AV144" i="1"/>
  <c r="AW144" i="1"/>
  <c r="AX144" i="1"/>
  <c r="AY144" i="1"/>
  <c r="BF144" i="1"/>
  <c r="AU63" i="1"/>
  <c r="AV63" i="1"/>
  <c r="AW63" i="1"/>
  <c r="AX63" i="1"/>
  <c r="AY63" i="1"/>
  <c r="BF63" i="1"/>
  <c r="AU386" i="1"/>
  <c r="AV386" i="1"/>
  <c r="AW386" i="1"/>
  <c r="AX386" i="1"/>
  <c r="AY386" i="1"/>
  <c r="BF386" i="1"/>
  <c r="AU371" i="1"/>
  <c r="AV371" i="1"/>
  <c r="AW371" i="1"/>
  <c r="AX371" i="1"/>
  <c r="AY371" i="1"/>
  <c r="BF371" i="1"/>
  <c r="AU580" i="1"/>
  <c r="AV580" i="1"/>
  <c r="AW580" i="1"/>
  <c r="AX580" i="1"/>
  <c r="AY580" i="1"/>
  <c r="BF580" i="1"/>
  <c r="AU290" i="1"/>
  <c r="AV290" i="1"/>
  <c r="AW290" i="1"/>
  <c r="AX290" i="1"/>
  <c r="AY290" i="1"/>
  <c r="BF290" i="1"/>
  <c r="AU74" i="1"/>
  <c r="AV74" i="1"/>
  <c r="AW74" i="1"/>
  <c r="AX74" i="1"/>
  <c r="AY74" i="1"/>
  <c r="BF74" i="1"/>
  <c r="AU500" i="1"/>
  <c r="AV500" i="1"/>
  <c r="AW500" i="1"/>
  <c r="AX500" i="1"/>
  <c r="AY500" i="1"/>
  <c r="BF500" i="1"/>
  <c r="AU182" i="1"/>
  <c r="AV182" i="1"/>
  <c r="AW182" i="1"/>
  <c r="AX182" i="1"/>
  <c r="AY182" i="1"/>
  <c r="BF182" i="1"/>
  <c r="AU498" i="1"/>
  <c r="AV498" i="1"/>
  <c r="AW498" i="1"/>
  <c r="AX498" i="1"/>
  <c r="AY498" i="1"/>
  <c r="BF498" i="1"/>
  <c r="AU176" i="1"/>
  <c r="AV176" i="1"/>
  <c r="AW176" i="1"/>
  <c r="AX176" i="1"/>
  <c r="AY176" i="1"/>
  <c r="BF176" i="1"/>
  <c r="AU200" i="1"/>
  <c r="AV200" i="1"/>
  <c r="AW200" i="1"/>
  <c r="AX200" i="1"/>
  <c r="AY200" i="1"/>
  <c r="BF200" i="1"/>
  <c r="AU229" i="1"/>
  <c r="AV229" i="1"/>
  <c r="AW229" i="1"/>
  <c r="AX229" i="1"/>
  <c r="AY229" i="1"/>
  <c r="BF229" i="1"/>
  <c r="AU497" i="1"/>
  <c r="AV497" i="1"/>
  <c r="AW497" i="1"/>
  <c r="AX497" i="1"/>
  <c r="AY497" i="1"/>
  <c r="BF497" i="1"/>
  <c r="AU588" i="1"/>
  <c r="AV588" i="1"/>
  <c r="AW588" i="1"/>
  <c r="AX588" i="1"/>
  <c r="AY588" i="1"/>
  <c r="BF588" i="1"/>
  <c r="AU349" i="1"/>
  <c r="AV349" i="1"/>
  <c r="AW349" i="1"/>
  <c r="AX349" i="1"/>
  <c r="AY349" i="1"/>
  <c r="BF349" i="1"/>
  <c r="AU357" i="1"/>
  <c r="AV357" i="1"/>
  <c r="AW357" i="1"/>
  <c r="AX357" i="1"/>
  <c r="AY357" i="1"/>
  <c r="BF357" i="1"/>
  <c r="AU670" i="1"/>
  <c r="AV670" i="1"/>
  <c r="AW670" i="1"/>
  <c r="AX670" i="1"/>
  <c r="AY670" i="1"/>
  <c r="BF670" i="1"/>
  <c r="AU168" i="1"/>
  <c r="AV168" i="1"/>
  <c r="AW168" i="1"/>
  <c r="AX168" i="1"/>
  <c r="AY168" i="1"/>
  <c r="BF168" i="1"/>
  <c r="AU515" i="1"/>
  <c r="AV515" i="1"/>
  <c r="AW515" i="1"/>
  <c r="AX515" i="1"/>
  <c r="AY515" i="1"/>
  <c r="BF515" i="1"/>
  <c r="AU116" i="1"/>
  <c r="AV116" i="1"/>
  <c r="AW116" i="1"/>
  <c r="AX116" i="1"/>
  <c r="AY116" i="1"/>
  <c r="BF116" i="1"/>
  <c r="AU272" i="1"/>
  <c r="AV272" i="1"/>
  <c r="AW272" i="1"/>
  <c r="AX272" i="1"/>
  <c r="AY272" i="1"/>
  <c r="BF272" i="1"/>
  <c r="AU390" i="1"/>
  <c r="AV390" i="1"/>
  <c r="AW390" i="1"/>
  <c r="AX390" i="1"/>
  <c r="AY390" i="1"/>
  <c r="BF390" i="1"/>
  <c r="AU99" i="1"/>
  <c r="AV99" i="1"/>
  <c r="AW99" i="1"/>
  <c r="AX99" i="1"/>
  <c r="AY99" i="1"/>
  <c r="BF99" i="1"/>
  <c r="AU335" i="1"/>
  <c r="AV335" i="1"/>
  <c r="AW335" i="1"/>
  <c r="AX335" i="1"/>
  <c r="AY335" i="1"/>
  <c r="BF335" i="1"/>
  <c r="AU634" i="1"/>
  <c r="AV634" i="1"/>
  <c r="AW634" i="1"/>
  <c r="AX634" i="1"/>
  <c r="AY634" i="1"/>
  <c r="BF634" i="1"/>
  <c r="AU631" i="1"/>
  <c r="AV631" i="1"/>
  <c r="AW631" i="1"/>
  <c r="AX631" i="1"/>
  <c r="AY631" i="1"/>
  <c r="BF631" i="1"/>
  <c r="AU205" i="1"/>
  <c r="AV205" i="1"/>
  <c r="AW205" i="1"/>
  <c r="AX205" i="1"/>
  <c r="AY205" i="1"/>
  <c r="BF205" i="1"/>
  <c r="AU317" i="1"/>
  <c r="AV317" i="1"/>
  <c r="AW317" i="1"/>
  <c r="AX317" i="1"/>
  <c r="AY317" i="1"/>
  <c r="BF317" i="1"/>
  <c r="AU570" i="1"/>
  <c r="AV570" i="1"/>
  <c r="AW570" i="1"/>
  <c r="AX570" i="1"/>
  <c r="AY570" i="1"/>
  <c r="BF570" i="1"/>
  <c r="AU406" i="1"/>
  <c r="AV406" i="1"/>
  <c r="AW406" i="1"/>
  <c r="AX406" i="1"/>
  <c r="AY406" i="1"/>
  <c r="BF406" i="1"/>
  <c r="AU239" i="1"/>
  <c r="AV239" i="1"/>
  <c r="AW239" i="1"/>
  <c r="AX239" i="1"/>
  <c r="AY239" i="1"/>
  <c r="BF239" i="1"/>
  <c r="AU92" i="1"/>
  <c r="AV92" i="1"/>
  <c r="AW92" i="1"/>
  <c r="AX92" i="1"/>
  <c r="AY92" i="1"/>
  <c r="BF92" i="1"/>
  <c r="AU72" i="1"/>
  <c r="AV72" i="1"/>
  <c r="AW72" i="1"/>
  <c r="AX72" i="1"/>
  <c r="AY72" i="1"/>
  <c r="BF72" i="1"/>
  <c r="AU249" i="1"/>
  <c r="AV249" i="1"/>
  <c r="AW249" i="1"/>
  <c r="AX249" i="1"/>
  <c r="AY249" i="1"/>
  <c r="BF249" i="1"/>
  <c r="AU172" i="1"/>
  <c r="AV172" i="1"/>
  <c r="AW172" i="1"/>
  <c r="AX172" i="1"/>
  <c r="AY172" i="1"/>
  <c r="BF172" i="1"/>
  <c r="AU128" i="1"/>
  <c r="AV128" i="1"/>
  <c r="AW128" i="1"/>
  <c r="AX128" i="1"/>
  <c r="AY128" i="1"/>
  <c r="BF128" i="1"/>
  <c r="AU93" i="1"/>
  <c r="AV93" i="1"/>
  <c r="AW93" i="1"/>
  <c r="AX93" i="1"/>
  <c r="AY93" i="1"/>
  <c r="BF93" i="1"/>
  <c r="AU640" i="1"/>
  <c r="AV640" i="1"/>
  <c r="AW640" i="1"/>
  <c r="AX640" i="1"/>
  <c r="AY640" i="1"/>
  <c r="BF640" i="1"/>
  <c r="AU207" i="1"/>
  <c r="AV207" i="1"/>
  <c r="AW207" i="1"/>
  <c r="AX207" i="1"/>
  <c r="AY207" i="1"/>
  <c r="BF207" i="1"/>
  <c r="AU451" i="1"/>
  <c r="AV451" i="1"/>
  <c r="AW451" i="1"/>
  <c r="AX451" i="1"/>
  <c r="AY451" i="1"/>
  <c r="BF451" i="1"/>
  <c r="AU535" i="1"/>
  <c r="AV535" i="1"/>
  <c r="AW535" i="1"/>
  <c r="AX535" i="1"/>
  <c r="AY535" i="1"/>
  <c r="BF535" i="1"/>
  <c r="AU18" i="1"/>
  <c r="AV18" i="1"/>
  <c r="AW18" i="1"/>
  <c r="AX18" i="1"/>
  <c r="AY18" i="1"/>
  <c r="BF18" i="1"/>
  <c r="AU173" i="1"/>
  <c r="AV173" i="1"/>
  <c r="AW173" i="1"/>
  <c r="AX173" i="1"/>
  <c r="AY173" i="1"/>
  <c r="BF173" i="1"/>
  <c r="AU355" i="1"/>
  <c r="AV355" i="1"/>
  <c r="AW355" i="1"/>
  <c r="AX355" i="1"/>
  <c r="AY355" i="1"/>
  <c r="BF355" i="1"/>
  <c r="AU660" i="1"/>
  <c r="AV660" i="1"/>
  <c r="AW660" i="1"/>
  <c r="AX660" i="1"/>
  <c r="AY660" i="1"/>
  <c r="BF660" i="1"/>
  <c r="AU458" i="1"/>
  <c r="AV458" i="1"/>
  <c r="AW458" i="1"/>
  <c r="AX458" i="1"/>
  <c r="AY458" i="1"/>
  <c r="BF458" i="1"/>
  <c r="AU110" i="1"/>
  <c r="AV110" i="1"/>
  <c r="AW110" i="1"/>
  <c r="AX110" i="1"/>
  <c r="AY110" i="1"/>
  <c r="BF110" i="1"/>
  <c r="AU201" i="1"/>
  <c r="AV201" i="1"/>
  <c r="AW201" i="1"/>
  <c r="AX201" i="1"/>
  <c r="AY201" i="1"/>
  <c r="BF201" i="1"/>
  <c r="AU605" i="1"/>
  <c r="AV605" i="1"/>
  <c r="AW605" i="1"/>
  <c r="AX605" i="1"/>
  <c r="AY605" i="1"/>
  <c r="BF605" i="1"/>
  <c r="AU278" i="1"/>
  <c r="AV278" i="1"/>
  <c r="AW278" i="1"/>
  <c r="AX278" i="1"/>
  <c r="AY278" i="1"/>
  <c r="BF278" i="1"/>
  <c r="AU504" i="1"/>
  <c r="AV504" i="1"/>
  <c r="AW504" i="1"/>
  <c r="AX504" i="1"/>
  <c r="AY504" i="1"/>
  <c r="BF504" i="1"/>
  <c r="AU261" i="1"/>
  <c r="AV261" i="1"/>
  <c r="AW261" i="1"/>
  <c r="AX261" i="1"/>
  <c r="AY261" i="1"/>
  <c r="BF261" i="1"/>
  <c r="AU422" i="1"/>
  <c r="AV422" i="1"/>
  <c r="AW422" i="1"/>
  <c r="AX422" i="1"/>
  <c r="AY422" i="1"/>
  <c r="BF422" i="1"/>
  <c r="AU241" i="1"/>
  <c r="AV241" i="1"/>
  <c r="AW241" i="1"/>
  <c r="AX241" i="1"/>
  <c r="AY241" i="1"/>
  <c r="BF241" i="1"/>
  <c r="AU363" i="1"/>
  <c r="AV363" i="1"/>
  <c r="AW363" i="1"/>
  <c r="AX363" i="1"/>
  <c r="AY363" i="1"/>
  <c r="BF363" i="1"/>
  <c r="AU517" i="1"/>
  <c r="AV517" i="1"/>
  <c r="AW517" i="1"/>
  <c r="AX517" i="1"/>
  <c r="AY517" i="1"/>
  <c r="BF517" i="1"/>
  <c r="AU468" i="1"/>
  <c r="AV468" i="1"/>
  <c r="AW468" i="1"/>
  <c r="AX468" i="1"/>
  <c r="AY468" i="1"/>
  <c r="BF468" i="1"/>
  <c r="AU542" i="1"/>
  <c r="AV542" i="1"/>
  <c r="AW542" i="1"/>
  <c r="AX542" i="1"/>
  <c r="AY542" i="1"/>
  <c r="BF542" i="1"/>
  <c r="AU84" i="1"/>
  <c r="AV84" i="1"/>
  <c r="AW84" i="1"/>
  <c r="AX84" i="1"/>
  <c r="AY84" i="1"/>
  <c r="BF84" i="1"/>
  <c r="AU194" i="1"/>
  <c r="AV194" i="1"/>
  <c r="AW194" i="1"/>
  <c r="AX194" i="1"/>
  <c r="AY194" i="1"/>
  <c r="BF194" i="1"/>
  <c r="AU233" i="1"/>
  <c r="AV233" i="1"/>
  <c r="AW233" i="1"/>
  <c r="AX233" i="1"/>
  <c r="AY233" i="1"/>
  <c r="BF233" i="1"/>
  <c r="AU474" i="1"/>
  <c r="AV474" i="1"/>
  <c r="AW474" i="1"/>
  <c r="AX474" i="1"/>
  <c r="AY474" i="1"/>
  <c r="BF474" i="1"/>
  <c r="AU450" i="1"/>
  <c r="AV450" i="1"/>
  <c r="AW450" i="1"/>
  <c r="AX450" i="1"/>
  <c r="AY450" i="1"/>
  <c r="BF450" i="1"/>
  <c r="AU185" i="1"/>
  <c r="AV185" i="1"/>
  <c r="AW185" i="1"/>
  <c r="AX185" i="1"/>
  <c r="AY185" i="1"/>
  <c r="BF185" i="1"/>
  <c r="AU332" i="1"/>
  <c r="AV332" i="1"/>
  <c r="AW332" i="1"/>
  <c r="AX332" i="1"/>
  <c r="AY332" i="1"/>
  <c r="BF332" i="1"/>
  <c r="AU530" i="1"/>
  <c r="AV530" i="1"/>
  <c r="AW530" i="1"/>
  <c r="AX530" i="1"/>
  <c r="AY530" i="1"/>
  <c r="BF530" i="1"/>
  <c r="AU274" i="1"/>
  <c r="AV274" i="1"/>
  <c r="AW274" i="1"/>
  <c r="AX274" i="1"/>
  <c r="AY274" i="1"/>
  <c r="BF274" i="1"/>
  <c r="AU445" i="1"/>
  <c r="AV445" i="1"/>
  <c r="AW445" i="1"/>
  <c r="AX445" i="1"/>
  <c r="AY445" i="1"/>
  <c r="BF445" i="1"/>
  <c r="AU302" i="1"/>
  <c r="AV302" i="1"/>
  <c r="AW302" i="1"/>
  <c r="AX302" i="1"/>
  <c r="AY302" i="1"/>
  <c r="BF302" i="1"/>
  <c r="AU271" i="1"/>
  <c r="AV271" i="1"/>
  <c r="AW271" i="1"/>
  <c r="AX271" i="1"/>
  <c r="AY271" i="1"/>
  <c r="BF271" i="1"/>
  <c r="AU464" i="1"/>
  <c r="AV464" i="1"/>
  <c r="AW464" i="1"/>
  <c r="AX464" i="1"/>
  <c r="AY464" i="1"/>
  <c r="BF464" i="1"/>
  <c r="AU488" i="1"/>
  <c r="AV488" i="1"/>
  <c r="AW488" i="1"/>
  <c r="AX488" i="1"/>
  <c r="AY488" i="1"/>
  <c r="BF488" i="1"/>
  <c r="AU287" i="1"/>
  <c r="AV287" i="1"/>
  <c r="AW287" i="1"/>
  <c r="AX287" i="1"/>
  <c r="AY287" i="1"/>
  <c r="BF287" i="1"/>
  <c r="AU262" i="1"/>
  <c r="AV262" i="1"/>
  <c r="AW262" i="1"/>
  <c r="AX262" i="1"/>
  <c r="AY262" i="1"/>
  <c r="BF262" i="1"/>
  <c r="AU184" i="1"/>
  <c r="AV184" i="1"/>
  <c r="AW184" i="1"/>
  <c r="AX184" i="1"/>
  <c r="AY184" i="1"/>
  <c r="BF184" i="1"/>
  <c r="AU592" i="1"/>
  <c r="AV592" i="1"/>
  <c r="AW592" i="1"/>
  <c r="AX592" i="1"/>
  <c r="AY592" i="1"/>
  <c r="BF592" i="1"/>
  <c r="AU265" i="1"/>
  <c r="AV265" i="1"/>
  <c r="AW265" i="1"/>
  <c r="AX265" i="1"/>
  <c r="AY265" i="1"/>
  <c r="BF265" i="1"/>
  <c r="AU129" i="1"/>
  <c r="AV129" i="1"/>
  <c r="AW129" i="1"/>
  <c r="AX129" i="1"/>
  <c r="AY129" i="1"/>
  <c r="BF129" i="1"/>
  <c r="AU68" i="1"/>
  <c r="AV68" i="1"/>
  <c r="AW68" i="1"/>
  <c r="AX68" i="1"/>
  <c r="AY68" i="1"/>
  <c r="BF68" i="1"/>
  <c r="AU222" i="1"/>
  <c r="AV222" i="1"/>
  <c r="AW222" i="1"/>
  <c r="AX222" i="1"/>
  <c r="AY222" i="1"/>
  <c r="BF222" i="1"/>
  <c r="AU348" i="1"/>
  <c r="AV348" i="1"/>
  <c r="AW348" i="1"/>
  <c r="AX348" i="1"/>
  <c r="AY348" i="1"/>
  <c r="BF348" i="1"/>
  <c r="AU248" i="1"/>
  <c r="AV248" i="1"/>
  <c r="AW248" i="1"/>
  <c r="AX248" i="1"/>
  <c r="AY248" i="1"/>
  <c r="BF248" i="1"/>
  <c r="AU551" i="1"/>
  <c r="AV551" i="1"/>
  <c r="AW551" i="1"/>
  <c r="AX551" i="1"/>
  <c r="AY551" i="1"/>
  <c r="BF551" i="1"/>
  <c r="AU448" i="1"/>
  <c r="AV448" i="1"/>
  <c r="AW448" i="1"/>
  <c r="AX448" i="1"/>
  <c r="AY448" i="1"/>
  <c r="BF448" i="1"/>
  <c r="AU472" i="1"/>
  <c r="AV472" i="1"/>
  <c r="AW472" i="1"/>
  <c r="AX472" i="1"/>
  <c r="AY472" i="1"/>
  <c r="BF472" i="1"/>
  <c r="AU250" i="1"/>
  <c r="AV250" i="1"/>
  <c r="AW250" i="1"/>
  <c r="AX250" i="1"/>
  <c r="AY250" i="1"/>
  <c r="BF250" i="1"/>
  <c r="AU47" i="1"/>
  <c r="AV47" i="1"/>
  <c r="AW47" i="1"/>
  <c r="AX47" i="1"/>
  <c r="AY47" i="1"/>
  <c r="BF47" i="1"/>
  <c r="AU52" i="1"/>
  <c r="AV52" i="1"/>
  <c r="AW52" i="1"/>
  <c r="AX52" i="1"/>
  <c r="AY52" i="1"/>
  <c r="BF52" i="1"/>
  <c r="AU193" i="1"/>
  <c r="AV193" i="1"/>
  <c r="AW193" i="1"/>
  <c r="AX193" i="1"/>
  <c r="AY193" i="1"/>
  <c r="BF193" i="1"/>
  <c r="AU285" i="1"/>
  <c r="AV285" i="1"/>
  <c r="AW285" i="1"/>
  <c r="AX285" i="1"/>
  <c r="AY285" i="1"/>
  <c r="BF285" i="1"/>
  <c r="AU283" i="1"/>
  <c r="AV283" i="1"/>
  <c r="AW283" i="1"/>
  <c r="AX283" i="1"/>
  <c r="AY283" i="1"/>
  <c r="BF283" i="1"/>
  <c r="AU246" i="1"/>
  <c r="AV246" i="1"/>
  <c r="AW246" i="1"/>
  <c r="AX246" i="1"/>
  <c r="AY246" i="1"/>
  <c r="BF246" i="1"/>
  <c r="AU256" i="1"/>
  <c r="AV256" i="1"/>
  <c r="AW256" i="1"/>
  <c r="AX256" i="1"/>
  <c r="AY256" i="1"/>
  <c r="BF256" i="1"/>
  <c r="AU315" i="1"/>
  <c r="AV315" i="1"/>
  <c r="AW315" i="1"/>
  <c r="AX315" i="1"/>
  <c r="AY315" i="1"/>
  <c r="BF315" i="1"/>
  <c r="AU266" i="1"/>
  <c r="AV266" i="1"/>
  <c r="AW266" i="1"/>
  <c r="AX266" i="1"/>
  <c r="AY266" i="1"/>
  <c r="BF266" i="1"/>
  <c r="AU270" i="1"/>
  <c r="AV270" i="1"/>
  <c r="AW270" i="1"/>
  <c r="AX270" i="1"/>
  <c r="AY270" i="1"/>
  <c r="BF270" i="1"/>
  <c r="AU492" i="1"/>
  <c r="AV492" i="1"/>
  <c r="AW492" i="1"/>
  <c r="AX492" i="1"/>
  <c r="AY492" i="1"/>
  <c r="BF492" i="1"/>
  <c r="AU402" i="1"/>
  <c r="AV402" i="1"/>
  <c r="AW402" i="1"/>
  <c r="AX402" i="1"/>
  <c r="AY402" i="1"/>
  <c r="BF402" i="1"/>
  <c r="AU121" i="1"/>
  <c r="AV121" i="1"/>
  <c r="AW121" i="1"/>
  <c r="AX121" i="1"/>
  <c r="AY121" i="1"/>
  <c r="BF121" i="1"/>
  <c r="AU642" i="1"/>
  <c r="AV642" i="1"/>
  <c r="AW642" i="1"/>
  <c r="AX642" i="1"/>
  <c r="AY642" i="1"/>
  <c r="BF642" i="1"/>
  <c r="AU560" i="1"/>
  <c r="AV560" i="1"/>
  <c r="AW560" i="1"/>
  <c r="AX560" i="1"/>
  <c r="AY560" i="1"/>
  <c r="BF560" i="1"/>
  <c r="AU13" i="1"/>
  <c r="AV13" i="1"/>
  <c r="AW13" i="1"/>
  <c r="AX13" i="1"/>
  <c r="AY13" i="1"/>
  <c r="BF13" i="1"/>
  <c r="AU280" i="1"/>
  <c r="AV280" i="1"/>
  <c r="AW280" i="1"/>
  <c r="AX280" i="1"/>
  <c r="AY280" i="1"/>
  <c r="BF280" i="1"/>
  <c r="AU124" i="1"/>
  <c r="AV124" i="1"/>
  <c r="AW124" i="1"/>
  <c r="AX124" i="1"/>
  <c r="AY124" i="1"/>
  <c r="BF124" i="1"/>
  <c r="AU44" i="1"/>
  <c r="AV44" i="1"/>
  <c r="AW44" i="1"/>
  <c r="AX44" i="1"/>
  <c r="AY44" i="1"/>
  <c r="BF44" i="1"/>
  <c r="AU260" i="1"/>
  <c r="AV260" i="1"/>
  <c r="AW260" i="1"/>
  <c r="AX260" i="1"/>
  <c r="AY260" i="1"/>
  <c r="BF260" i="1"/>
  <c r="AU226" i="1"/>
  <c r="AV226" i="1"/>
  <c r="AW226" i="1"/>
  <c r="AX226" i="1"/>
  <c r="AY226" i="1"/>
  <c r="BF226" i="1"/>
  <c r="AU234" i="1"/>
  <c r="AV234" i="1"/>
  <c r="AW234" i="1"/>
  <c r="AX234" i="1"/>
  <c r="AY234" i="1"/>
  <c r="BF234" i="1"/>
  <c r="AU217" i="1"/>
  <c r="AV217" i="1"/>
  <c r="AW217" i="1"/>
  <c r="AX217" i="1"/>
  <c r="AY217" i="1"/>
  <c r="BF217" i="1"/>
  <c r="AU38" i="1"/>
  <c r="AV38" i="1"/>
  <c r="AW38" i="1"/>
  <c r="AX38" i="1"/>
  <c r="AY38" i="1"/>
  <c r="BF38" i="1"/>
  <c r="AU583" i="1"/>
  <c r="AV583" i="1"/>
  <c r="AW583" i="1"/>
  <c r="AX583" i="1"/>
  <c r="AY583" i="1"/>
  <c r="BF583" i="1"/>
  <c r="AU566" i="1"/>
  <c r="AV566" i="1"/>
  <c r="AW566" i="1"/>
  <c r="AX566" i="1"/>
  <c r="AY566" i="1"/>
  <c r="BF566" i="1"/>
  <c r="AU377" i="1"/>
  <c r="AV377" i="1"/>
  <c r="AW377" i="1"/>
  <c r="AX377" i="1"/>
  <c r="AY377" i="1"/>
  <c r="BF377" i="1"/>
  <c r="AU668" i="1"/>
  <c r="AV668" i="1"/>
  <c r="AW668" i="1"/>
  <c r="AX668" i="1"/>
  <c r="AY668" i="1"/>
  <c r="BF668" i="1"/>
  <c r="AU321" i="1"/>
  <c r="AV321" i="1"/>
  <c r="AW321" i="1"/>
  <c r="AX321" i="1"/>
  <c r="AY321" i="1"/>
  <c r="BF321" i="1"/>
  <c r="AU606" i="1"/>
  <c r="AV606" i="1"/>
  <c r="AW606" i="1"/>
  <c r="AX606" i="1"/>
  <c r="AY606" i="1"/>
  <c r="BF606" i="1"/>
  <c r="AU537" i="1"/>
  <c r="AV537" i="1"/>
  <c r="AW537" i="1"/>
  <c r="AX537" i="1"/>
  <c r="AY537" i="1"/>
  <c r="BF537" i="1"/>
  <c r="AU367" i="1"/>
  <c r="AV367" i="1"/>
  <c r="AW367" i="1"/>
  <c r="AX367" i="1"/>
  <c r="AY367" i="1"/>
  <c r="BF367" i="1"/>
  <c r="AU615" i="1"/>
  <c r="AV615" i="1"/>
  <c r="AW615" i="1"/>
  <c r="AX615" i="1"/>
  <c r="AY615" i="1"/>
  <c r="BF615" i="1"/>
  <c r="AU298" i="1"/>
  <c r="AV298" i="1"/>
  <c r="AW298" i="1"/>
  <c r="AX298" i="1"/>
  <c r="AY298" i="1"/>
  <c r="BF298" i="1"/>
  <c r="AU652" i="1"/>
  <c r="AV652" i="1"/>
  <c r="AW652" i="1"/>
  <c r="AX652" i="1"/>
  <c r="AY652" i="1"/>
  <c r="BF652" i="1"/>
  <c r="AU329" i="1"/>
  <c r="AV329" i="1"/>
  <c r="AW329" i="1"/>
  <c r="AX329" i="1"/>
  <c r="AY329" i="1"/>
  <c r="BF329" i="1"/>
  <c r="AU300" i="1"/>
  <c r="AV300" i="1"/>
  <c r="AW300" i="1"/>
  <c r="AX300" i="1"/>
  <c r="AY300" i="1"/>
  <c r="BF300" i="1"/>
  <c r="AU165" i="1"/>
  <c r="AV165" i="1"/>
  <c r="AW165" i="1"/>
  <c r="AX165" i="1"/>
  <c r="AY165" i="1"/>
  <c r="BF165" i="1"/>
  <c r="AU171" i="1"/>
  <c r="AV171" i="1"/>
  <c r="AW171" i="1"/>
  <c r="AX171" i="1"/>
  <c r="AY171" i="1"/>
  <c r="BF171" i="1"/>
  <c r="AU364" i="1"/>
  <c r="AV364" i="1"/>
  <c r="AW364" i="1"/>
  <c r="AX364" i="1"/>
  <c r="AY364" i="1"/>
  <c r="BF364" i="1"/>
  <c r="AU238" i="1"/>
  <c r="AV238" i="1"/>
  <c r="AW238" i="1"/>
  <c r="AX238" i="1"/>
  <c r="AY238" i="1"/>
  <c r="BF238" i="1"/>
  <c r="AU347" i="1"/>
  <c r="AV347" i="1"/>
  <c r="AW347" i="1"/>
  <c r="AX347" i="1"/>
  <c r="AY347" i="1"/>
  <c r="BF347" i="1"/>
  <c r="AU489" i="1"/>
  <c r="AV489" i="1"/>
  <c r="AW489" i="1"/>
  <c r="AX489" i="1"/>
  <c r="AY489" i="1"/>
  <c r="BF489" i="1"/>
  <c r="AU284" i="1"/>
  <c r="AV284" i="1"/>
  <c r="AW284" i="1"/>
  <c r="AX284" i="1"/>
  <c r="AY284" i="1"/>
  <c r="BF284" i="1"/>
  <c r="AU294" i="1"/>
  <c r="AV294" i="1"/>
  <c r="AW294" i="1"/>
  <c r="AX294" i="1"/>
  <c r="AY294" i="1"/>
  <c r="BF294" i="1"/>
  <c r="AU413" i="1"/>
  <c r="AV413" i="1"/>
  <c r="AW413" i="1"/>
  <c r="AX413" i="1"/>
  <c r="AY413" i="1"/>
  <c r="BF413" i="1"/>
  <c r="AU138" i="1"/>
  <c r="AV138" i="1"/>
  <c r="AW138" i="1"/>
  <c r="AX138" i="1"/>
  <c r="AY138" i="1"/>
  <c r="BF138" i="1"/>
  <c r="AU146" i="1"/>
  <c r="AV146" i="1"/>
  <c r="AW146" i="1"/>
  <c r="AX146" i="1"/>
  <c r="AY146" i="1"/>
  <c r="BF146" i="1"/>
  <c r="AU564" i="1"/>
  <c r="AV564" i="1"/>
  <c r="AW564" i="1"/>
  <c r="AX564" i="1"/>
  <c r="AY564" i="1"/>
  <c r="BF564" i="1"/>
  <c r="AU573" i="1"/>
  <c r="AV573" i="1"/>
  <c r="AW573" i="1"/>
  <c r="AX573" i="1"/>
  <c r="AY573" i="1"/>
  <c r="BF573" i="1"/>
  <c r="AU533" i="1"/>
  <c r="AV533" i="1"/>
  <c r="AW533" i="1"/>
  <c r="AX533" i="1"/>
  <c r="AY533" i="1"/>
  <c r="BF533" i="1"/>
  <c r="AU325" i="1"/>
  <c r="AV325" i="1"/>
  <c r="AW325" i="1"/>
  <c r="AX325" i="1"/>
  <c r="AY325" i="1"/>
  <c r="BF325" i="1"/>
  <c r="AU461" i="1"/>
  <c r="AV461" i="1"/>
  <c r="AW461" i="1"/>
  <c r="AX461" i="1"/>
  <c r="AY461" i="1"/>
  <c r="BF461" i="1"/>
  <c r="AU398" i="1"/>
  <c r="AV398" i="1"/>
  <c r="AW398" i="1"/>
  <c r="AX398" i="1"/>
  <c r="AY398" i="1"/>
  <c r="BF398" i="1"/>
  <c r="AU288" i="1"/>
  <c r="AV288" i="1"/>
  <c r="AW288" i="1"/>
  <c r="AX288" i="1"/>
  <c r="AY288" i="1"/>
  <c r="BF288" i="1"/>
  <c r="AU192" i="1"/>
  <c r="AV192" i="1"/>
  <c r="AW192" i="1"/>
  <c r="AX192" i="1"/>
  <c r="AY192" i="1"/>
  <c r="BF192" i="1"/>
  <c r="AU323" i="1"/>
  <c r="AV323" i="1"/>
  <c r="AW323" i="1"/>
  <c r="AX323" i="1"/>
  <c r="AY323" i="1"/>
  <c r="BF323" i="1"/>
  <c r="AU308" i="1"/>
  <c r="AV308" i="1"/>
  <c r="AW308" i="1"/>
  <c r="AX308" i="1"/>
  <c r="AY308" i="1"/>
  <c r="BF308" i="1"/>
  <c r="AU304" i="1"/>
  <c r="AV304" i="1"/>
  <c r="AW304" i="1"/>
  <c r="AX304" i="1"/>
  <c r="AY304" i="1"/>
  <c r="BF304" i="1"/>
  <c r="AU527" i="1"/>
  <c r="AV527" i="1"/>
  <c r="AW527" i="1"/>
  <c r="AX527" i="1"/>
  <c r="AY527" i="1"/>
  <c r="BF527" i="1"/>
  <c r="AU418" i="1"/>
  <c r="AV418" i="1"/>
  <c r="AW418" i="1"/>
  <c r="AX418" i="1"/>
  <c r="AY418" i="1"/>
  <c r="BF418" i="1"/>
  <c r="AU269" i="1"/>
  <c r="AV269" i="1"/>
  <c r="AW269" i="1"/>
  <c r="AX269" i="1"/>
  <c r="AY269" i="1"/>
  <c r="BF269" i="1"/>
  <c r="AU203" i="1"/>
  <c r="AV203" i="1"/>
  <c r="AW203" i="1"/>
  <c r="AX203" i="1"/>
  <c r="AY203" i="1"/>
  <c r="BF203" i="1"/>
  <c r="AU600" i="1"/>
  <c r="AV600" i="1"/>
  <c r="AW600" i="1"/>
  <c r="AX600" i="1"/>
  <c r="AY600" i="1"/>
  <c r="BF600" i="1"/>
  <c r="AU454" i="1"/>
  <c r="AV454" i="1"/>
  <c r="AW454" i="1"/>
  <c r="AX454" i="1"/>
  <c r="AY454" i="1"/>
  <c r="BF454" i="1"/>
  <c r="AU51" i="1"/>
  <c r="AV51" i="1"/>
  <c r="AW51" i="1"/>
  <c r="AX51" i="1"/>
  <c r="AY51" i="1"/>
  <c r="BF51" i="1"/>
  <c r="AU334" i="1"/>
  <c r="AV334" i="1"/>
  <c r="AW334" i="1"/>
  <c r="AX334" i="1"/>
  <c r="AY334" i="1"/>
  <c r="BF334" i="1"/>
  <c r="AU581" i="1"/>
  <c r="AV581" i="1"/>
  <c r="AW581" i="1"/>
  <c r="AX581" i="1"/>
  <c r="AY581" i="1"/>
  <c r="BF581" i="1"/>
  <c r="AU399" i="1"/>
  <c r="AV399" i="1"/>
  <c r="AW399" i="1"/>
  <c r="AX399" i="1"/>
  <c r="AY399" i="1"/>
  <c r="BF399" i="1"/>
  <c r="AU369" i="1"/>
  <c r="AV369" i="1"/>
  <c r="AW369" i="1"/>
  <c r="AX369" i="1"/>
  <c r="AY369" i="1"/>
  <c r="BF369" i="1"/>
  <c r="AU70" i="1"/>
  <c r="AV70" i="1"/>
  <c r="AW70" i="1"/>
  <c r="AX70" i="1"/>
  <c r="AY70" i="1"/>
  <c r="BF70" i="1"/>
  <c r="AU534" i="1"/>
  <c r="AV534" i="1"/>
  <c r="AW534" i="1"/>
  <c r="AX534" i="1"/>
  <c r="AY534" i="1"/>
  <c r="BF534" i="1"/>
  <c r="AU252" i="1"/>
  <c r="AV252" i="1"/>
  <c r="AW252" i="1"/>
  <c r="AX252" i="1"/>
  <c r="AY252" i="1"/>
  <c r="BF252" i="1"/>
  <c r="AU442" i="1"/>
  <c r="AV442" i="1"/>
  <c r="AW442" i="1"/>
  <c r="AX442" i="1"/>
  <c r="AY442" i="1"/>
  <c r="BF442" i="1"/>
  <c r="AU455" i="1"/>
  <c r="AV455" i="1"/>
  <c r="AW455" i="1"/>
  <c r="AX455" i="1"/>
  <c r="AY455" i="1"/>
  <c r="BF455" i="1"/>
  <c r="AU279" i="1"/>
  <c r="AV279" i="1"/>
  <c r="AW279" i="1"/>
  <c r="AX279" i="1"/>
  <c r="AY279" i="1"/>
  <c r="BF279" i="1"/>
  <c r="AU502" i="1"/>
  <c r="AV502" i="1"/>
  <c r="AW502" i="1"/>
  <c r="AX502" i="1"/>
  <c r="AY502" i="1"/>
  <c r="BF502" i="1"/>
  <c r="AU509" i="1"/>
  <c r="AV509" i="1"/>
  <c r="AW509" i="1"/>
  <c r="AX509" i="1"/>
  <c r="AY509" i="1"/>
  <c r="BF509" i="1"/>
  <c r="AU637" i="1"/>
  <c r="AV637" i="1"/>
  <c r="AW637" i="1"/>
  <c r="AX637" i="1"/>
  <c r="AY637" i="1"/>
  <c r="BF637" i="1"/>
  <c r="AU501" i="1"/>
  <c r="AV501" i="1"/>
  <c r="AW501" i="1"/>
  <c r="AX501" i="1"/>
  <c r="AY501" i="1"/>
  <c r="BF501" i="1"/>
  <c r="AU608" i="1"/>
  <c r="AV608" i="1"/>
  <c r="AW608" i="1"/>
  <c r="AX608" i="1"/>
  <c r="AY608" i="1"/>
  <c r="BF608" i="1"/>
  <c r="AU585" i="1"/>
  <c r="AV585" i="1"/>
  <c r="AW585" i="1"/>
  <c r="AX585" i="1"/>
  <c r="AY585" i="1"/>
  <c r="BF585" i="1"/>
  <c r="AU620" i="1"/>
  <c r="AV620" i="1"/>
  <c r="AW620" i="1"/>
  <c r="AX620" i="1"/>
  <c r="AY620" i="1"/>
  <c r="BF620" i="1"/>
  <c r="AU324" i="1"/>
  <c r="AV324" i="1"/>
  <c r="AW324" i="1"/>
  <c r="AX324" i="1"/>
  <c r="AY324" i="1"/>
  <c r="BF324" i="1"/>
  <c r="AU388" i="1"/>
  <c r="AV388" i="1"/>
  <c r="AW388" i="1"/>
  <c r="AX388" i="1"/>
  <c r="AY388" i="1"/>
  <c r="BF388" i="1"/>
  <c r="AU281" i="1"/>
  <c r="AV281" i="1"/>
  <c r="AW281" i="1"/>
  <c r="AX281" i="1"/>
  <c r="AY281" i="1"/>
  <c r="BF281" i="1"/>
  <c r="AU393" i="1"/>
  <c r="AV393" i="1"/>
  <c r="AW393" i="1"/>
  <c r="AX393" i="1"/>
  <c r="AY393" i="1"/>
  <c r="BF393" i="1"/>
  <c r="AU404" i="1"/>
  <c r="AV404" i="1"/>
  <c r="AW404" i="1"/>
  <c r="AX404" i="1"/>
  <c r="AY404" i="1"/>
  <c r="BF404" i="1"/>
  <c r="AU643" i="1"/>
  <c r="AV643" i="1"/>
  <c r="AW643" i="1"/>
  <c r="AX643" i="1"/>
  <c r="AY643" i="1"/>
  <c r="BF643" i="1"/>
  <c r="AU228" i="1"/>
  <c r="AV228" i="1"/>
  <c r="AW228" i="1"/>
  <c r="AX228" i="1"/>
  <c r="AY228" i="1"/>
  <c r="BF228" i="1"/>
  <c r="AU577" i="1"/>
  <c r="AV577" i="1"/>
  <c r="AW577" i="1"/>
  <c r="AX577" i="1"/>
  <c r="AY577" i="1"/>
  <c r="BF577" i="1"/>
  <c r="AU199" i="1"/>
  <c r="AV199" i="1"/>
  <c r="AW199" i="1"/>
  <c r="AX199" i="1"/>
  <c r="AY199" i="1"/>
  <c r="BF199" i="1"/>
  <c r="AU132" i="1"/>
  <c r="AV132" i="1"/>
  <c r="AW132" i="1"/>
  <c r="AX132" i="1"/>
  <c r="AY132" i="1"/>
  <c r="BF132" i="1"/>
  <c r="AU43" i="1"/>
  <c r="AV43" i="1"/>
  <c r="AW43" i="1"/>
  <c r="AX43" i="1"/>
  <c r="AY43" i="1"/>
  <c r="BF43" i="1"/>
  <c r="AU645" i="1"/>
  <c r="AV645" i="1"/>
  <c r="AW645" i="1"/>
  <c r="AX645" i="1"/>
  <c r="AY645" i="1"/>
  <c r="BF645" i="1"/>
  <c r="AU380" i="1"/>
  <c r="AV380" i="1"/>
  <c r="AW380" i="1"/>
  <c r="AX380" i="1"/>
  <c r="AY380" i="1"/>
  <c r="BF380" i="1"/>
  <c r="AU513" i="1"/>
  <c r="AV513" i="1"/>
  <c r="AW513" i="1"/>
  <c r="AX513" i="1"/>
  <c r="AY513" i="1"/>
  <c r="BF513" i="1"/>
  <c r="AU55" i="1"/>
  <c r="AV55" i="1"/>
  <c r="AW55" i="1"/>
  <c r="AX55" i="1"/>
  <c r="AY55" i="1"/>
  <c r="BF55" i="1"/>
  <c r="AU572" i="1"/>
  <c r="AV572" i="1"/>
  <c r="AW572" i="1"/>
  <c r="AX572" i="1"/>
  <c r="AY572" i="1"/>
  <c r="BF572" i="1"/>
  <c r="AU571" i="1"/>
  <c r="AV571" i="1"/>
  <c r="AW571" i="1"/>
  <c r="AX571" i="1"/>
  <c r="AY571" i="1"/>
  <c r="BF571" i="1"/>
  <c r="AU657" i="1"/>
  <c r="AV657" i="1"/>
  <c r="AW657" i="1"/>
  <c r="AX657" i="1"/>
  <c r="AY657" i="1"/>
  <c r="BF657" i="1"/>
  <c r="AU555" i="1"/>
  <c r="AV555" i="1"/>
  <c r="AW555" i="1"/>
  <c r="AX555" i="1"/>
  <c r="AY555" i="1"/>
  <c r="BF555" i="1"/>
  <c r="AU62" i="1"/>
  <c r="AV62" i="1"/>
  <c r="AW62" i="1"/>
  <c r="AX62" i="1"/>
  <c r="AY62" i="1"/>
  <c r="BF62" i="1"/>
  <c r="AU486" i="1"/>
  <c r="AV486" i="1"/>
  <c r="AW486" i="1"/>
  <c r="AX486" i="1"/>
  <c r="AY486" i="1"/>
  <c r="BF486" i="1"/>
  <c r="AU373" i="1"/>
  <c r="AV373" i="1"/>
  <c r="AW373" i="1"/>
  <c r="AX373" i="1"/>
  <c r="AY373" i="1"/>
  <c r="BF373" i="1"/>
  <c r="AU243" i="1"/>
  <c r="AV243" i="1"/>
  <c r="AW243" i="1"/>
  <c r="AX243" i="1"/>
  <c r="AY243" i="1"/>
  <c r="BF243" i="1"/>
  <c r="AU384" i="1"/>
  <c r="AV384" i="1"/>
  <c r="AW384" i="1"/>
  <c r="AX384" i="1"/>
  <c r="AY384" i="1"/>
  <c r="BF384" i="1"/>
  <c r="AU375" i="1"/>
  <c r="AV375" i="1"/>
  <c r="AW375" i="1"/>
  <c r="AX375" i="1"/>
  <c r="AY375" i="1"/>
  <c r="BF375" i="1"/>
  <c r="AU30" i="1"/>
  <c r="AV30" i="1"/>
  <c r="AW30" i="1"/>
  <c r="AX30" i="1"/>
  <c r="AY30" i="1"/>
  <c r="BF30" i="1"/>
  <c r="AU635" i="1"/>
  <c r="AV635" i="1"/>
  <c r="AW635" i="1"/>
  <c r="AX635" i="1"/>
  <c r="AY635" i="1"/>
  <c r="BF635" i="1"/>
  <c r="AU264" i="1"/>
  <c r="AV264" i="1"/>
  <c r="AW264" i="1"/>
  <c r="AX264" i="1"/>
  <c r="AY264" i="1"/>
  <c r="BF264" i="1"/>
  <c r="AU407" i="1"/>
  <c r="AV407" i="1"/>
  <c r="AW407" i="1"/>
  <c r="AX407" i="1"/>
  <c r="AY407" i="1"/>
  <c r="BF407" i="1"/>
  <c r="AU211" i="1"/>
  <c r="AV211" i="1"/>
  <c r="AW211" i="1"/>
  <c r="AX211" i="1"/>
  <c r="AY211" i="1"/>
  <c r="BF211" i="1"/>
  <c r="AU137" i="1"/>
  <c r="AV137" i="1"/>
  <c r="AW137" i="1"/>
  <c r="AX137" i="1"/>
  <c r="AY137" i="1"/>
  <c r="BF137" i="1"/>
  <c r="AU345" i="1"/>
  <c r="AV345" i="1"/>
  <c r="AW345" i="1"/>
  <c r="AX345" i="1"/>
  <c r="AY345" i="1"/>
  <c r="BF345" i="1"/>
  <c r="AU189" i="1"/>
  <c r="AV189" i="1"/>
  <c r="AW189" i="1"/>
  <c r="AX189" i="1"/>
  <c r="AY189" i="1"/>
  <c r="BF189" i="1"/>
  <c r="AU346" i="1"/>
  <c r="AV346" i="1"/>
  <c r="AW346" i="1"/>
  <c r="AX346" i="1"/>
  <c r="AY346" i="1"/>
  <c r="BF346" i="1"/>
  <c r="AU351" i="1"/>
  <c r="AV351" i="1"/>
  <c r="AW351" i="1"/>
  <c r="AX351" i="1"/>
  <c r="AY351" i="1"/>
  <c r="BF351" i="1"/>
  <c r="AU428" i="1"/>
  <c r="AV428" i="1"/>
  <c r="AW428" i="1"/>
  <c r="AX428" i="1"/>
  <c r="AY428" i="1"/>
  <c r="BF428" i="1"/>
  <c r="AU354" i="1"/>
  <c r="AV354" i="1"/>
  <c r="AW354" i="1"/>
  <c r="AX354" i="1"/>
  <c r="AY354" i="1"/>
  <c r="BF354" i="1"/>
  <c r="AU316" i="1"/>
  <c r="AV316" i="1"/>
  <c r="AW316" i="1"/>
  <c r="AX316" i="1"/>
  <c r="AY316" i="1"/>
  <c r="BF316" i="1"/>
  <c r="AU401" i="1"/>
  <c r="AV401" i="1"/>
  <c r="AW401" i="1"/>
  <c r="AX401" i="1"/>
  <c r="AY401" i="1"/>
  <c r="BF401" i="1"/>
  <c r="AU490" i="1"/>
  <c r="AV490" i="1"/>
  <c r="AW490" i="1"/>
  <c r="AX490" i="1"/>
  <c r="AY490" i="1"/>
  <c r="BF490" i="1"/>
  <c r="AU436" i="1"/>
  <c r="AV436" i="1"/>
  <c r="AW436" i="1"/>
  <c r="AX436" i="1"/>
  <c r="AY436" i="1"/>
  <c r="BF436" i="1"/>
  <c r="AU437" i="1"/>
  <c r="AV437" i="1"/>
  <c r="AW437" i="1"/>
  <c r="AX437" i="1"/>
  <c r="AY437" i="1"/>
  <c r="BF437" i="1"/>
  <c r="AU230" i="1"/>
  <c r="AV230" i="1"/>
  <c r="AW230" i="1"/>
  <c r="AX230" i="1"/>
  <c r="AY230" i="1"/>
  <c r="BF230" i="1"/>
  <c r="AU556" i="1"/>
  <c r="AV556" i="1"/>
  <c r="AW556" i="1"/>
  <c r="AX556" i="1"/>
  <c r="AY556" i="1"/>
  <c r="BF556" i="1"/>
  <c r="AU312" i="1"/>
  <c r="AV312" i="1"/>
  <c r="AW312" i="1"/>
  <c r="AX312" i="1"/>
  <c r="AY312" i="1"/>
  <c r="BF312" i="1"/>
  <c r="AU224" i="1"/>
  <c r="AV224" i="1"/>
  <c r="AW224" i="1"/>
  <c r="AX224" i="1"/>
  <c r="AY224" i="1"/>
  <c r="BF224" i="1"/>
  <c r="AU460" i="1"/>
  <c r="AV460" i="1"/>
  <c r="AW460" i="1"/>
  <c r="AX460" i="1"/>
  <c r="AY460" i="1"/>
  <c r="BF460" i="1"/>
  <c r="AU544" i="1"/>
  <c r="AV544" i="1"/>
  <c r="AW544" i="1"/>
  <c r="AX544" i="1"/>
  <c r="AY544" i="1"/>
  <c r="BF544" i="1"/>
  <c r="AU35" i="1"/>
  <c r="AV35" i="1"/>
  <c r="AW35" i="1"/>
  <c r="AX35" i="1"/>
  <c r="AY35" i="1"/>
  <c r="BF35" i="1"/>
  <c r="AU536" i="1"/>
  <c r="AV536" i="1"/>
  <c r="AW536" i="1"/>
  <c r="AX536" i="1"/>
  <c r="AY536" i="1"/>
  <c r="BF536" i="1"/>
  <c r="AU180" i="1"/>
  <c r="AV180" i="1"/>
  <c r="AW180" i="1"/>
  <c r="AX180" i="1"/>
  <c r="AY180" i="1"/>
  <c r="BF180" i="1"/>
  <c r="AU665" i="1"/>
  <c r="AV665" i="1"/>
  <c r="AW665" i="1"/>
  <c r="AX665" i="1"/>
  <c r="AY665" i="1"/>
  <c r="BF665" i="1"/>
  <c r="AU219" i="1"/>
  <c r="AV219" i="1"/>
  <c r="AW219" i="1"/>
  <c r="AX219" i="1"/>
  <c r="AY219" i="1"/>
  <c r="BF219" i="1"/>
  <c r="AU286" i="1"/>
  <c r="AV286" i="1"/>
  <c r="AW286" i="1"/>
  <c r="AX286" i="1"/>
  <c r="AY286" i="1"/>
  <c r="BF286" i="1"/>
  <c r="AU245" i="1"/>
  <c r="AV245" i="1"/>
  <c r="AW245" i="1"/>
  <c r="AX245" i="1"/>
  <c r="AY245" i="1"/>
  <c r="BF245" i="1"/>
  <c r="AU591" i="1"/>
  <c r="AV591" i="1"/>
  <c r="AW591" i="1"/>
  <c r="AX591" i="1"/>
  <c r="AY591" i="1"/>
  <c r="BF591" i="1"/>
  <c r="AU231" i="1"/>
  <c r="AV231" i="1"/>
  <c r="AW231" i="1"/>
  <c r="AX231" i="1"/>
  <c r="AY231" i="1"/>
  <c r="BF231" i="1"/>
  <c r="AU263" i="1"/>
  <c r="AV263" i="1"/>
  <c r="AW263" i="1"/>
  <c r="AX263" i="1"/>
  <c r="AY263" i="1"/>
  <c r="BF263" i="1"/>
  <c r="AU197" i="1"/>
  <c r="AV197" i="1"/>
  <c r="AW197" i="1"/>
  <c r="AX197" i="1"/>
  <c r="AY197" i="1"/>
  <c r="BF197" i="1"/>
  <c r="AU105" i="1"/>
  <c r="AV105" i="1"/>
  <c r="AW105" i="1"/>
  <c r="AX105" i="1"/>
  <c r="AY105" i="1"/>
  <c r="BF105" i="1"/>
  <c r="AU337" i="1"/>
  <c r="AV337" i="1"/>
  <c r="AW337" i="1"/>
  <c r="AX337" i="1"/>
  <c r="AY337" i="1"/>
  <c r="BF337" i="1"/>
  <c r="AU175" i="1"/>
  <c r="AV175" i="1"/>
  <c r="AW175" i="1"/>
  <c r="AX175" i="1"/>
  <c r="AY175" i="1"/>
  <c r="BF175" i="1"/>
  <c r="AU582" i="1"/>
  <c r="AV582" i="1"/>
  <c r="AW582" i="1"/>
  <c r="AX582" i="1"/>
  <c r="AY582" i="1"/>
  <c r="BF582" i="1"/>
  <c r="AU215" i="1"/>
  <c r="AV215" i="1"/>
  <c r="AW215" i="1"/>
  <c r="AX215" i="1"/>
  <c r="AY215" i="1"/>
  <c r="BF215" i="1"/>
  <c r="AU543" i="1"/>
  <c r="AV543" i="1"/>
  <c r="AW543" i="1"/>
  <c r="AX543" i="1"/>
  <c r="AY543" i="1"/>
  <c r="BF543" i="1"/>
  <c r="AU429" i="1"/>
  <c r="AV429" i="1"/>
  <c r="AW429" i="1"/>
  <c r="AX429" i="1"/>
  <c r="AY429" i="1"/>
  <c r="BF429" i="1"/>
  <c r="AU518" i="1"/>
  <c r="AV518" i="1"/>
  <c r="AW518" i="1"/>
  <c r="AX518" i="1"/>
  <c r="AY518" i="1"/>
  <c r="BF518" i="1"/>
  <c r="AU37" i="1"/>
  <c r="AV37" i="1"/>
  <c r="AW37" i="1"/>
  <c r="AX37" i="1"/>
  <c r="AY37" i="1"/>
  <c r="BF37" i="1"/>
  <c r="AU366" i="1"/>
  <c r="AV366" i="1"/>
  <c r="AW366" i="1"/>
  <c r="AX366" i="1"/>
  <c r="AY366" i="1"/>
  <c r="BF366" i="1"/>
  <c r="AU247" i="1"/>
  <c r="AV247" i="1"/>
  <c r="AW247" i="1"/>
  <c r="AX247" i="1"/>
  <c r="AY247" i="1"/>
  <c r="BF247" i="1"/>
  <c r="AU558" i="1"/>
  <c r="AV558" i="1"/>
  <c r="AW558" i="1"/>
  <c r="AX558" i="1"/>
  <c r="AY558" i="1"/>
  <c r="BF558" i="1"/>
  <c r="AU465" i="1"/>
  <c r="AV465" i="1"/>
  <c r="AW465" i="1"/>
  <c r="AX465" i="1"/>
  <c r="AY465" i="1"/>
  <c r="BF465" i="1"/>
  <c r="AU50" i="1"/>
  <c r="AV50" i="1"/>
  <c r="AW50" i="1"/>
  <c r="AX50" i="1"/>
  <c r="AY50" i="1"/>
  <c r="BF50" i="1"/>
  <c r="AU352" i="1"/>
  <c r="AV352" i="1"/>
  <c r="AW352" i="1"/>
  <c r="AX352" i="1"/>
  <c r="AY352" i="1"/>
  <c r="BF352" i="1"/>
  <c r="AU164" i="1"/>
  <c r="AV164" i="1"/>
  <c r="AW164" i="1"/>
  <c r="AX164" i="1"/>
  <c r="AY164" i="1"/>
  <c r="BF164" i="1"/>
  <c r="AU653" i="1"/>
  <c r="AV653" i="1"/>
  <c r="AW653" i="1"/>
  <c r="AX653" i="1"/>
  <c r="AY653" i="1"/>
  <c r="BF653" i="1"/>
  <c r="AU358" i="1"/>
  <c r="AV358" i="1"/>
  <c r="AW358" i="1"/>
  <c r="AX358" i="1"/>
  <c r="AY358" i="1"/>
  <c r="BF358" i="1"/>
  <c r="AU430" i="1"/>
  <c r="AV430" i="1"/>
  <c r="AW430" i="1"/>
  <c r="AX430" i="1"/>
  <c r="AY430" i="1"/>
  <c r="BF430" i="1"/>
  <c r="AU159" i="1"/>
  <c r="AV159" i="1"/>
  <c r="AW159" i="1"/>
  <c r="AX159" i="1"/>
  <c r="AY159" i="1"/>
  <c r="BF159" i="1"/>
  <c r="AU459" i="1"/>
  <c r="AV459" i="1"/>
  <c r="AW459" i="1"/>
  <c r="AX459" i="1"/>
  <c r="AY459" i="1"/>
  <c r="BF459" i="1"/>
  <c r="AU187" i="1"/>
  <c r="AV187" i="1"/>
  <c r="AW187" i="1"/>
  <c r="AX187" i="1"/>
  <c r="AY187" i="1"/>
  <c r="BF187" i="1"/>
  <c r="AU209" i="1"/>
  <c r="AV209" i="1"/>
  <c r="AW209" i="1"/>
  <c r="AX209" i="1"/>
  <c r="AY209" i="1"/>
  <c r="BF209" i="1"/>
  <c r="AU123" i="1"/>
  <c r="AV123" i="1"/>
  <c r="AW123" i="1"/>
  <c r="AX123" i="1"/>
  <c r="AY123" i="1"/>
  <c r="BF123" i="1"/>
  <c r="AU383" i="1"/>
  <c r="AV383" i="1"/>
  <c r="AW383" i="1"/>
  <c r="AX383" i="1"/>
  <c r="AY383" i="1"/>
  <c r="BF383" i="1"/>
  <c r="AU344" i="1"/>
  <c r="AV344" i="1"/>
  <c r="AW344" i="1"/>
  <c r="AX344" i="1"/>
  <c r="AY344" i="1"/>
  <c r="BF344" i="1"/>
  <c r="AU81" i="1"/>
  <c r="AV81" i="1"/>
  <c r="AW81" i="1"/>
  <c r="AX81" i="1"/>
  <c r="AY81" i="1"/>
  <c r="BF81" i="1"/>
  <c r="AU621" i="1"/>
  <c r="AV621" i="1"/>
  <c r="AW621" i="1"/>
  <c r="AX621" i="1"/>
  <c r="AY621" i="1"/>
  <c r="BF621" i="1"/>
  <c r="AU417" i="1"/>
  <c r="AV417" i="1"/>
  <c r="AW417" i="1"/>
  <c r="AX417" i="1"/>
  <c r="AY417" i="1"/>
  <c r="BF417" i="1"/>
  <c r="AU307" i="1"/>
  <c r="AV307" i="1"/>
  <c r="AW307" i="1"/>
  <c r="AX307" i="1"/>
  <c r="AY307" i="1"/>
  <c r="BF307" i="1"/>
  <c r="AU466" i="1"/>
  <c r="AV466" i="1"/>
  <c r="AW466" i="1"/>
  <c r="AX466" i="1"/>
  <c r="AY466" i="1"/>
  <c r="BF466" i="1"/>
  <c r="AU309" i="1"/>
  <c r="AV309" i="1"/>
  <c r="AW309" i="1"/>
  <c r="AX309" i="1"/>
  <c r="AY309" i="1"/>
  <c r="BF309" i="1"/>
  <c r="AU293" i="1"/>
  <c r="AV293" i="1"/>
  <c r="AW293" i="1"/>
  <c r="AX293" i="1"/>
  <c r="AY293" i="1"/>
  <c r="BF293" i="1"/>
  <c r="AU616" i="1"/>
  <c r="AV616" i="1"/>
  <c r="AW616" i="1"/>
  <c r="AX616" i="1"/>
  <c r="AY616" i="1"/>
  <c r="BF616" i="1"/>
  <c r="AU117" i="1"/>
  <c r="AV117" i="1"/>
  <c r="AW117" i="1"/>
  <c r="AX117" i="1"/>
  <c r="AY117" i="1"/>
  <c r="BF117" i="1"/>
  <c r="AU622" i="1"/>
  <c r="AV622" i="1"/>
  <c r="AW622" i="1"/>
  <c r="AX622" i="1"/>
  <c r="AY622" i="1"/>
  <c r="BF622" i="1"/>
  <c r="AU49" i="1"/>
  <c r="AV49" i="1"/>
  <c r="AW49" i="1"/>
  <c r="AX49" i="1"/>
  <c r="AY49" i="1"/>
  <c r="BF49" i="1"/>
  <c r="AU610" i="1"/>
  <c r="AV610" i="1"/>
  <c r="AW610" i="1"/>
  <c r="AX610" i="1"/>
  <c r="AY610" i="1"/>
  <c r="BF610" i="1"/>
  <c r="AU565" i="1"/>
  <c r="AV565" i="1"/>
  <c r="AW565" i="1"/>
  <c r="AX565" i="1"/>
  <c r="AY565" i="1"/>
  <c r="BF565" i="1"/>
  <c r="AU277" i="1"/>
  <c r="AV277" i="1"/>
  <c r="AW277" i="1"/>
  <c r="AX277" i="1"/>
  <c r="AY277" i="1"/>
  <c r="BF277" i="1"/>
  <c r="AU457" i="1"/>
  <c r="AV457" i="1"/>
  <c r="AW457" i="1"/>
  <c r="AX457" i="1"/>
  <c r="AY457" i="1"/>
  <c r="BF457" i="1"/>
  <c r="AU552" i="1"/>
  <c r="AV552" i="1"/>
  <c r="AW552" i="1"/>
  <c r="AX552" i="1"/>
  <c r="AY552" i="1"/>
  <c r="BF552" i="1"/>
  <c r="AU107" i="1"/>
  <c r="AV107" i="1"/>
  <c r="AW107" i="1"/>
  <c r="AX107" i="1"/>
  <c r="AY107" i="1"/>
  <c r="BF107" i="1"/>
  <c r="AU477" i="1"/>
  <c r="AV477" i="1"/>
  <c r="AW477" i="1"/>
  <c r="AX477" i="1"/>
  <c r="AY477" i="1"/>
  <c r="BF477" i="1"/>
  <c r="AU112" i="1"/>
  <c r="AV112" i="1"/>
  <c r="AW112" i="1"/>
  <c r="AX112" i="1"/>
  <c r="AY112" i="1"/>
  <c r="BF112" i="1"/>
  <c r="AU58" i="1"/>
  <c r="AV58" i="1"/>
  <c r="AW58" i="1"/>
  <c r="AX58" i="1"/>
  <c r="AY58" i="1"/>
  <c r="BF58" i="1"/>
  <c r="AU376" i="1"/>
  <c r="AV376" i="1"/>
  <c r="AW376" i="1"/>
  <c r="AX376" i="1"/>
  <c r="AY376" i="1"/>
  <c r="BF376" i="1"/>
  <c r="AU431" i="1"/>
  <c r="AV431" i="1"/>
  <c r="AW431" i="1"/>
  <c r="AX431" i="1"/>
  <c r="AY431" i="1"/>
  <c r="BF431" i="1"/>
  <c r="AU374" i="1"/>
  <c r="AV374" i="1"/>
  <c r="AW374" i="1"/>
  <c r="AX374" i="1"/>
  <c r="AY374" i="1"/>
  <c r="BF374" i="1"/>
  <c r="AU576" i="1"/>
  <c r="AV576" i="1"/>
  <c r="AW576" i="1"/>
  <c r="AX576" i="1"/>
  <c r="AY576" i="1"/>
  <c r="BF576" i="1"/>
  <c r="AU32" i="1"/>
  <c r="AV32" i="1"/>
  <c r="AW32" i="1"/>
  <c r="AX32" i="1"/>
  <c r="AY32" i="1"/>
  <c r="BF32" i="1"/>
  <c r="AU505" i="1"/>
  <c r="AV505" i="1"/>
  <c r="AW505" i="1"/>
  <c r="AX505" i="1"/>
  <c r="AY505" i="1"/>
  <c r="BF505" i="1"/>
  <c r="AU425" i="1"/>
  <c r="AV425" i="1"/>
  <c r="AW425" i="1"/>
  <c r="AX425" i="1"/>
  <c r="AY425" i="1"/>
  <c r="BF425" i="1"/>
  <c r="AU310" i="1"/>
  <c r="AV310" i="1"/>
  <c r="AW310" i="1"/>
  <c r="AX310" i="1"/>
  <c r="AY310" i="1"/>
  <c r="BF310" i="1"/>
  <c r="AU426" i="1"/>
  <c r="AV426" i="1"/>
  <c r="AW426" i="1"/>
  <c r="AX426" i="1"/>
  <c r="AY426" i="1"/>
  <c r="BF426" i="1"/>
  <c r="AU53" i="1"/>
  <c r="AV53" i="1"/>
  <c r="AW53" i="1"/>
  <c r="AX53" i="1"/>
  <c r="AY53" i="1"/>
  <c r="BF53" i="1"/>
  <c r="AU152" i="1"/>
  <c r="AV152" i="1"/>
  <c r="AW152" i="1"/>
  <c r="AX152" i="1"/>
  <c r="AY152" i="1"/>
  <c r="BF152" i="1"/>
  <c r="AU82" i="1"/>
  <c r="AV82" i="1"/>
  <c r="AW82" i="1"/>
  <c r="AX82" i="1"/>
  <c r="AY82" i="1"/>
  <c r="BF82" i="1"/>
  <c r="AU627" i="1"/>
  <c r="AV627" i="1"/>
  <c r="AW627" i="1"/>
  <c r="AX627" i="1"/>
  <c r="AY627" i="1"/>
  <c r="BF627" i="1"/>
  <c r="AU326" i="1"/>
  <c r="AV326" i="1"/>
  <c r="AW326" i="1"/>
  <c r="AX326" i="1"/>
  <c r="AY326" i="1"/>
  <c r="BF326" i="1"/>
  <c r="AU216" i="1"/>
  <c r="AV216" i="1"/>
  <c r="AW216" i="1"/>
  <c r="AX216" i="1"/>
  <c r="AY216" i="1"/>
  <c r="BF216" i="1"/>
  <c r="AU408" i="1"/>
  <c r="AV408" i="1"/>
  <c r="AW408" i="1"/>
  <c r="AX408" i="1"/>
  <c r="AY408" i="1"/>
  <c r="BF408" i="1"/>
  <c r="AU423" i="1"/>
  <c r="AV423" i="1"/>
  <c r="AW423" i="1"/>
  <c r="AX423" i="1"/>
  <c r="AY423" i="1"/>
  <c r="BF423" i="1"/>
  <c r="AU336" i="1"/>
  <c r="AV336" i="1"/>
  <c r="AW336" i="1"/>
  <c r="AX336" i="1"/>
  <c r="AY336" i="1"/>
  <c r="BF336" i="1"/>
  <c r="AU368" i="1"/>
  <c r="AV368" i="1"/>
  <c r="AW368" i="1"/>
  <c r="AX368" i="1"/>
  <c r="AY368" i="1"/>
  <c r="BF368" i="1"/>
  <c r="AU433" i="1"/>
  <c r="AV433" i="1"/>
  <c r="AW433" i="1"/>
  <c r="AX433" i="1"/>
  <c r="AY433" i="1"/>
  <c r="BF433" i="1"/>
  <c r="AU94" i="1"/>
  <c r="AV94" i="1"/>
  <c r="AW94" i="1"/>
  <c r="AX94" i="1"/>
  <c r="AY94" i="1"/>
  <c r="BF94" i="1"/>
  <c r="AU120" i="1"/>
  <c r="AV120" i="1"/>
  <c r="AW120" i="1"/>
  <c r="AX120" i="1"/>
  <c r="AY120" i="1"/>
  <c r="BF120" i="1"/>
  <c r="AU83" i="1"/>
  <c r="AV83" i="1"/>
  <c r="AW83" i="1"/>
  <c r="AX83" i="1"/>
  <c r="AY83" i="1"/>
  <c r="BF83" i="1"/>
  <c r="AU148" i="1"/>
  <c r="AV148" i="1"/>
  <c r="AW148" i="1"/>
  <c r="AX148" i="1"/>
  <c r="AY148" i="1"/>
  <c r="BF148" i="1"/>
  <c r="AU319" i="1"/>
  <c r="AV319" i="1"/>
  <c r="AW319" i="1"/>
  <c r="AX319" i="1"/>
  <c r="AY319" i="1"/>
  <c r="BF319" i="1"/>
  <c r="AU482" i="1"/>
  <c r="AV482" i="1"/>
  <c r="AW482" i="1"/>
  <c r="AX482" i="1"/>
  <c r="AY482" i="1"/>
  <c r="BF482" i="1"/>
  <c r="AU676" i="1"/>
  <c r="AV676" i="1"/>
  <c r="AW676" i="1"/>
  <c r="AX676" i="1"/>
  <c r="AY676" i="1"/>
  <c r="BF676" i="1"/>
  <c r="AU115" i="1"/>
  <c r="AV115" i="1"/>
  <c r="AW115" i="1"/>
  <c r="AX115" i="1"/>
  <c r="AY115" i="1"/>
  <c r="BF115" i="1"/>
  <c r="AU440" i="1"/>
  <c r="AV440" i="1"/>
  <c r="AW440" i="1"/>
  <c r="AX440" i="1"/>
  <c r="AY440" i="1"/>
  <c r="BF440" i="1"/>
  <c r="AU313" i="1"/>
  <c r="AV313" i="1"/>
  <c r="AW313" i="1"/>
  <c r="AX313" i="1"/>
  <c r="AY313" i="1"/>
  <c r="BF313" i="1"/>
  <c r="AU424" i="1"/>
  <c r="AV424" i="1"/>
  <c r="AW424" i="1"/>
  <c r="AX424" i="1"/>
  <c r="AY424" i="1"/>
  <c r="BF424" i="1"/>
  <c r="AU619" i="1"/>
  <c r="AV619" i="1"/>
  <c r="AW619" i="1"/>
  <c r="AX619" i="1"/>
  <c r="AY619" i="1"/>
  <c r="BF619" i="1"/>
  <c r="AU545" i="1"/>
  <c r="AV545" i="1"/>
  <c r="AW545" i="1"/>
  <c r="AX545" i="1"/>
  <c r="AY545" i="1"/>
  <c r="BF545" i="1"/>
  <c r="AU382" i="1"/>
  <c r="AV382" i="1"/>
  <c r="AW382" i="1"/>
  <c r="AX382" i="1"/>
  <c r="AY382" i="1"/>
  <c r="BF382" i="1"/>
  <c r="AU341" i="1"/>
  <c r="AV341" i="1"/>
  <c r="AW341" i="1"/>
  <c r="AX341" i="1"/>
  <c r="AY341" i="1"/>
  <c r="BF341" i="1"/>
  <c r="AU257" i="1"/>
  <c r="AV257" i="1"/>
  <c r="AW257" i="1"/>
  <c r="AX257" i="1"/>
  <c r="AY257" i="1"/>
  <c r="BF257" i="1"/>
  <c r="AU342" i="1"/>
  <c r="AV342" i="1"/>
  <c r="AW342" i="1"/>
  <c r="AX342" i="1"/>
  <c r="AY342" i="1"/>
  <c r="BF342" i="1"/>
  <c r="AU48" i="1"/>
  <c r="AV48" i="1"/>
  <c r="AW48" i="1"/>
  <c r="AX48" i="1"/>
  <c r="AY48" i="1"/>
  <c r="BF48" i="1"/>
  <c r="AU594" i="1"/>
  <c r="AV594" i="1"/>
  <c r="AW594" i="1"/>
  <c r="AX594" i="1"/>
  <c r="AY594" i="1"/>
  <c r="BF594" i="1"/>
  <c r="AU611" i="1"/>
  <c r="AV611" i="1"/>
  <c r="AW611" i="1"/>
  <c r="AX611" i="1"/>
  <c r="AY611" i="1"/>
  <c r="BF611" i="1"/>
  <c r="AU473" i="1"/>
  <c r="AV473" i="1"/>
  <c r="AW473" i="1"/>
  <c r="AX473" i="1"/>
  <c r="AY473" i="1"/>
  <c r="BF473" i="1"/>
  <c r="AU480" i="1"/>
  <c r="AV480" i="1"/>
  <c r="AW480" i="1"/>
  <c r="AX480" i="1"/>
  <c r="AY480" i="1"/>
  <c r="BF480" i="1"/>
  <c r="AU155" i="1"/>
  <c r="AV155" i="1"/>
  <c r="AW155" i="1"/>
  <c r="AX155" i="1"/>
  <c r="AY155" i="1"/>
  <c r="BF155" i="1"/>
  <c r="AU100" i="1"/>
  <c r="AV100" i="1"/>
  <c r="AW100" i="1"/>
  <c r="AX100" i="1"/>
  <c r="AY100" i="1"/>
  <c r="BF100" i="1"/>
  <c r="AU253" i="1"/>
  <c r="AV253" i="1"/>
  <c r="AW253" i="1"/>
  <c r="AX253" i="1"/>
  <c r="AY253" i="1"/>
  <c r="BF253" i="1"/>
  <c r="AU296" i="1"/>
  <c r="AV296" i="1"/>
  <c r="AW296" i="1"/>
  <c r="AX296" i="1"/>
  <c r="AY296" i="1"/>
  <c r="BF296" i="1"/>
  <c r="AU479" i="1"/>
  <c r="AV479" i="1"/>
  <c r="AW479" i="1"/>
  <c r="AX479" i="1"/>
  <c r="AY479" i="1"/>
  <c r="BF479" i="1"/>
  <c r="AU186" i="1"/>
  <c r="AV186" i="1"/>
  <c r="AW186" i="1"/>
  <c r="AX186" i="1"/>
  <c r="AY186" i="1"/>
  <c r="BF186" i="1"/>
  <c r="AU305" i="1"/>
  <c r="AV305" i="1"/>
  <c r="AW305" i="1"/>
  <c r="AX305" i="1"/>
  <c r="AY305" i="1"/>
  <c r="BF305" i="1"/>
  <c r="AU275" i="1"/>
  <c r="AV275" i="1"/>
  <c r="AW275" i="1"/>
  <c r="AX275" i="1"/>
  <c r="AY275" i="1"/>
  <c r="BF275" i="1"/>
  <c r="AU69" i="1"/>
  <c r="AV69" i="1"/>
  <c r="AW69" i="1"/>
  <c r="AX69" i="1"/>
  <c r="AY69" i="1"/>
  <c r="BF69" i="1"/>
  <c r="AU522" i="1"/>
  <c r="AV522" i="1"/>
  <c r="AW522" i="1"/>
  <c r="AX522" i="1"/>
  <c r="AY522" i="1"/>
  <c r="BF522" i="1"/>
  <c r="AU632" i="1"/>
  <c r="AV632" i="1"/>
  <c r="AW632" i="1"/>
  <c r="AX632" i="1"/>
  <c r="AY632" i="1"/>
  <c r="BF632" i="1"/>
  <c r="AU177" i="1"/>
  <c r="AV177" i="1"/>
  <c r="AW177" i="1"/>
  <c r="AX177" i="1"/>
  <c r="AY177" i="1"/>
  <c r="BF177" i="1"/>
  <c r="AU496" i="1"/>
  <c r="AV496" i="1"/>
  <c r="AW496" i="1"/>
  <c r="AX496" i="1"/>
  <c r="AY496" i="1"/>
  <c r="BF496" i="1"/>
  <c r="AU609" i="1"/>
  <c r="AV609" i="1"/>
  <c r="AW609" i="1"/>
  <c r="AX609" i="1"/>
  <c r="AY609" i="1"/>
  <c r="BF609" i="1"/>
  <c r="AU242" i="1"/>
  <c r="AV242" i="1"/>
  <c r="AW242" i="1"/>
  <c r="AX242" i="1"/>
  <c r="AY242" i="1"/>
  <c r="BF242" i="1"/>
  <c r="AU254" i="1"/>
  <c r="AV254" i="1"/>
  <c r="AW254" i="1"/>
  <c r="AX254" i="1"/>
  <c r="AY254" i="1"/>
  <c r="BF254" i="1"/>
  <c r="AU218" i="1"/>
  <c r="AV218" i="1"/>
  <c r="AW218" i="1"/>
  <c r="AX218" i="1"/>
  <c r="AY218" i="1"/>
  <c r="BF218" i="1"/>
  <c r="AU8" i="1"/>
  <c r="AV8" i="1"/>
  <c r="AW8" i="1"/>
  <c r="AX8" i="1"/>
  <c r="AY8" i="1"/>
  <c r="BF8" i="1"/>
  <c r="AU98" i="1"/>
  <c r="AV98" i="1"/>
  <c r="AW98" i="1"/>
  <c r="AX98" i="1"/>
  <c r="AY98" i="1"/>
  <c r="BF98" i="1"/>
  <c r="AU561" i="1"/>
  <c r="AV561" i="1"/>
  <c r="AW561" i="1"/>
  <c r="AX561" i="1"/>
  <c r="AY561" i="1"/>
  <c r="BF561" i="1"/>
  <c r="AU361" i="1"/>
  <c r="AV361" i="1"/>
  <c r="AW361" i="1"/>
  <c r="AX361" i="1"/>
  <c r="AY361" i="1"/>
  <c r="BF361" i="1"/>
  <c r="AU362" i="1"/>
  <c r="AV362" i="1"/>
  <c r="AW362" i="1"/>
  <c r="AX362" i="1"/>
  <c r="AY362" i="1"/>
  <c r="BF362" i="1"/>
  <c r="AU494" i="1"/>
  <c r="AV494" i="1"/>
  <c r="AW494" i="1"/>
  <c r="AX494" i="1"/>
  <c r="AY494" i="1"/>
  <c r="BF494" i="1"/>
  <c r="AU106" i="1"/>
  <c r="AV106" i="1"/>
  <c r="AW106" i="1"/>
  <c r="AX106" i="1"/>
  <c r="AY106" i="1"/>
  <c r="BF106" i="1"/>
  <c r="AU412" i="1"/>
  <c r="AV412" i="1"/>
  <c r="AW412" i="1"/>
  <c r="AX412" i="1"/>
  <c r="AY412" i="1"/>
  <c r="BF412" i="1"/>
  <c r="AU301" i="1"/>
  <c r="AV301" i="1"/>
  <c r="AW301" i="1"/>
  <c r="AX301" i="1"/>
  <c r="AY301" i="1"/>
  <c r="BF301" i="1"/>
  <c r="AU244" i="1"/>
  <c r="AV244" i="1"/>
  <c r="AW244" i="1"/>
  <c r="AX244" i="1"/>
  <c r="AY244" i="1"/>
  <c r="BF244" i="1"/>
  <c r="AU563" i="1"/>
  <c r="AV563" i="1"/>
  <c r="AW563" i="1"/>
  <c r="AX563" i="1"/>
  <c r="AY563" i="1"/>
  <c r="BF563" i="1"/>
  <c r="AU559" i="1"/>
  <c r="AV559" i="1"/>
  <c r="AW559" i="1"/>
  <c r="AX559" i="1"/>
  <c r="AY559" i="1"/>
  <c r="BF559" i="1"/>
  <c r="AU427" i="1"/>
  <c r="AV427" i="1"/>
  <c r="AW427" i="1"/>
  <c r="AX427" i="1"/>
  <c r="AY427" i="1"/>
  <c r="BF427" i="1"/>
  <c r="AU236" i="1"/>
  <c r="AV236" i="1"/>
  <c r="AW236" i="1"/>
  <c r="AX236" i="1"/>
  <c r="AY236" i="1"/>
  <c r="BF236" i="1"/>
  <c r="AU240" i="1"/>
  <c r="AV240" i="1"/>
  <c r="AW240" i="1"/>
  <c r="AX240" i="1"/>
  <c r="AY240" i="1"/>
  <c r="BF240" i="1"/>
  <c r="AU365" i="1"/>
  <c r="AV365" i="1"/>
  <c r="AW365" i="1"/>
  <c r="AX365" i="1"/>
  <c r="AY365" i="1"/>
  <c r="BF365" i="1"/>
  <c r="AU322" i="1"/>
  <c r="AV322" i="1"/>
  <c r="AW322" i="1"/>
  <c r="AX322" i="1"/>
  <c r="AY322" i="1"/>
  <c r="BF322" i="1"/>
  <c r="AU113" i="1"/>
  <c r="AV113" i="1"/>
  <c r="AW113" i="1"/>
  <c r="AX113" i="1"/>
  <c r="AY113" i="1"/>
  <c r="BF113" i="1"/>
  <c r="AU237" i="1"/>
  <c r="AV237" i="1"/>
  <c r="AW237" i="1"/>
  <c r="AX237" i="1"/>
  <c r="AY237" i="1"/>
  <c r="BF237" i="1"/>
  <c r="AU143" i="1"/>
  <c r="AV143" i="1"/>
  <c r="AW143" i="1"/>
  <c r="AX143" i="1"/>
  <c r="AY143" i="1"/>
  <c r="BF143" i="1"/>
  <c r="AU531" i="1"/>
  <c r="AV531" i="1"/>
  <c r="AW531" i="1"/>
  <c r="AX531" i="1"/>
  <c r="AY531" i="1"/>
  <c r="BF531" i="1"/>
  <c r="AU96" i="1"/>
  <c r="AV96" i="1"/>
  <c r="AW96" i="1"/>
  <c r="AX96" i="1"/>
  <c r="AY96" i="1"/>
  <c r="BF96" i="1"/>
  <c r="AU14" i="1"/>
  <c r="AV14" i="1"/>
  <c r="AW14" i="1"/>
  <c r="AX14" i="1"/>
  <c r="AY14" i="1"/>
  <c r="BF14" i="1"/>
  <c r="AU87" i="1"/>
  <c r="AV87" i="1"/>
  <c r="AW87" i="1"/>
  <c r="AX87" i="1"/>
  <c r="AY87" i="1"/>
  <c r="BF87" i="1"/>
  <c r="AU151" i="1"/>
  <c r="AV151" i="1"/>
  <c r="AW151" i="1"/>
  <c r="AX151" i="1"/>
  <c r="AY151" i="1"/>
  <c r="BF151" i="1"/>
  <c r="AU17" i="1"/>
  <c r="AV17" i="1"/>
  <c r="AW17" i="1"/>
  <c r="AX17" i="1"/>
  <c r="AY17" i="1"/>
  <c r="BF17" i="1"/>
  <c r="AU34" i="1"/>
  <c r="AV34" i="1"/>
  <c r="AW34" i="1"/>
  <c r="AX34" i="1"/>
  <c r="AY34" i="1"/>
  <c r="BF34" i="1"/>
  <c r="AU46" i="1"/>
  <c r="AV46" i="1"/>
  <c r="AW46" i="1"/>
  <c r="AX46" i="1"/>
  <c r="AY46" i="1"/>
  <c r="BF46" i="1"/>
  <c r="AU45" i="1"/>
  <c r="AV45" i="1"/>
  <c r="AW45" i="1"/>
  <c r="AX45" i="1"/>
  <c r="AY45" i="1"/>
  <c r="BF45" i="1"/>
  <c r="AU39" i="1"/>
  <c r="AV39" i="1"/>
  <c r="AW39" i="1"/>
  <c r="AX39" i="1"/>
  <c r="AY39" i="1"/>
  <c r="BF39" i="1"/>
  <c r="AU64" i="1"/>
  <c r="AV64" i="1"/>
  <c r="AW64" i="1"/>
  <c r="AX64" i="1"/>
  <c r="AY64" i="1"/>
  <c r="BF64" i="1"/>
  <c r="AU65" i="1"/>
  <c r="AV65" i="1"/>
  <c r="AW65" i="1"/>
  <c r="AX65" i="1"/>
  <c r="AY65" i="1"/>
  <c r="BF65" i="1"/>
  <c r="AU7" i="1"/>
  <c r="AV7" i="1"/>
  <c r="AW7" i="1"/>
  <c r="AX7" i="1"/>
  <c r="AY7" i="1"/>
  <c r="BF7" i="1"/>
  <c r="AU19" i="1"/>
  <c r="AV19" i="1"/>
  <c r="AW19" i="1"/>
  <c r="AX19" i="1"/>
  <c r="AY19" i="1"/>
  <c r="BF19" i="1"/>
  <c r="AU6" i="1"/>
  <c r="AV6" i="1"/>
  <c r="AW6" i="1"/>
  <c r="AX6" i="1"/>
  <c r="AY6" i="1"/>
  <c r="BF6" i="1"/>
  <c r="AU54" i="1"/>
  <c r="AV54" i="1"/>
  <c r="AW54" i="1"/>
  <c r="AX54" i="1"/>
  <c r="AY54" i="1"/>
  <c r="BF54" i="1"/>
  <c r="AU31" i="1"/>
  <c r="AV31" i="1"/>
  <c r="AW31" i="1"/>
  <c r="AX31" i="1"/>
  <c r="AY31" i="1"/>
  <c r="BF31" i="1"/>
  <c r="AU5" i="1"/>
  <c r="AV5" i="1"/>
  <c r="AW5" i="1"/>
  <c r="AX5" i="1"/>
  <c r="AY5" i="1"/>
  <c r="BF5" i="1"/>
  <c r="AU10" i="1"/>
  <c r="AV10" i="1"/>
  <c r="AW10" i="1"/>
  <c r="AX10" i="1"/>
  <c r="AY10" i="1"/>
  <c r="BF10" i="1"/>
  <c r="AU178" i="1"/>
  <c r="AV178" i="1"/>
  <c r="AW178" i="1"/>
  <c r="AX178" i="1"/>
  <c r="AY178" i="1"/>
  <c r="BF178" i="1"/>
  <c r="AU76" i="1"/>
  <c r="AV76" i="1"/>
  <c r="AW76" i="1"/>
  <c r="AX76" i="1"/>
  <c r="AY76" i="1"/>
  <c r="BF76" i="1"/>
  <c r="AU29" i="1"/>
  <c r="AV29" i="1"/>
  <c r="AW29" i="1"/>
  <c r="AX29" i="1"/>
  <c r="AY29" i="1"/>
  <c r="BF29" i="1"/>
  <c r="AU97" i="1"/>
  <c r="AV97" i="1"/>
  <c r="AW97" i="1"/>
  <c r="AX97" i="1"/>
  <c r="AY97" i="1"/>
  <c r="BF97" i="1"/>
  <c r="AO401" i="2"/>
  <c r="AS401" i="2"/>
  <c r="AW401" i="2"/>
  <c r="AO365" i="2"/>
  <c r="AS365" i="2"/>
  <c r="AW365" i="2"/>
  <c r="AO532" i="2"/>
  <c r="AS532" i="2"/>
  <c r="AW532" i="2"/>
  <c r="AO459" i="2"/>
  <c r="AS459" i="2"/>
  <c r="AW459" i="2"/>
  <c r="AO289" i="2"/>
  <c r="AS289" i="2"/>
  <c r="AW289" i="2"/>
  <c r="AO543" i="2"/>
  <c r="AS543" i="2"/>
  <c r="AW543" i="2"/>
  <c r="AO538" i="2"/>
  <c r="AS538" i="2"/>
  <c r="AW538" i="2"/>
  <c r="AO494" i="2"/>
  <c r="AS494" i="2"/>
  <c r="AW494" i="2"/>
  <c r="AO505" i="2"/>
  <c r="AS505" i="2"/>
  <c r="AW505" i="2"/>
  <c r="AO553" i="2"/>
  <c r="AS553" i="2"/>
  <c r="AW553" i="2"/>
  <c r="AO420" i="2"/>
  <c r="AS420" i="2"/>
  <c r="AW420" i="2"/>
  <c r="AO343" i="2"/>
  <c r="AS343" i="2"/>
  <c r="AW343" i="2"/>
  <c r="AO191" i="2"/>
  <c r="AS191" i="2"/>
  <c r="AW191" i="2"/>
  <c r="AO510" i="2"/>
  <c r="AS510" i="2"/>
  <c r="AW510" i="2"/>
  <c r="AO470" i="2"/>
  <c r="AS470" i="2"/>
  <c r="AW470" i="2"/>
  <c r="AO537" i="2"/>
  <c r="AS537" i="2"/>
  <c r="AW537" i="2"/>
  <c r="AO534" i="2"/>
  <c r="AS534" i="2"/>
  <c r="AW534" i="2"/>
  <c r="AO544" i="2"/>
  <c r="AS544" i="2"/>
  <c r="AW544" i="2"/>
  <c r="AO516" i="2"/>
  <c r="AS516" i="2"/>
  <c r="AW516" i="2"/>
  <c r="AO302" i="2"/>
  <c r="AS302" i="2"/>
  <c r="AW302" i="2"/>
  <c r="AO182" i="2"/>
  <c r="AS182" i="2"/>
  <c r="AW182" i="2"/>
  <c r="AO7" i="2"/>
  <c r="AS7" i="2"/>
  <c r="AW7" i="2"/>
  <c r="AO12" i="2"/>
  <c r="AS12" i="2"/>
  <c r="AW12" i="2"/>
  <c r="AO196" i="2"/>
  <c r="AS196" i="2"/>
  <c r="AW196" i="2"/>
  <c r="AO66" i="2"/>
  <c r="AS66" i="2"/>
  <c r="AW66" i="2"/>
  <c r="AO11" i="2"/>
  <c r="AS11" i="2"/>
  <c r="AW11" i="2"/>
  <c r="AO160" i="2"/>
  <c r="AS160" i="2"/>
  <c r="AW160" i="2"/>
  <c r="AO10" i="2"/>
  <c r="AS10" i="2"/>
  <c r="AW10" i="2"/>
  <c r="AO85" i="2"/>
  <c r="AS85" i="2"/>
  <c r="AW85" i="2"/>
  <c r="AO76" i="2"/>
  <c r="AS76" i="2"/>
  <c r="AW76" i="2"/>
  <c r="AO234" i="2"/>
  <c r="AS234" i="2"/>
  <c r="AW234" i="2"/>
  <c r="F3" i="3" l="1"/>
  <c r="AD691" i="3"/>
  <c r="AD481" i="3"/>
  <c r="AD62" i="3"/>
  <c r="AD338" i="3"/>
  <c r="AD44" i="3"/>
  <c r="AD23" i="3"/>
  <c r="AD93" i="3"/>
  <c r="AD612" i="3"/>
  <c r="AD312" i="3"/>
  <c r="AD286" i="3"/>
  <c r="AD318" i="3"/>
  <c r="AD346" i="3"/>
  <c r="AD933" i="3"/>
  <c r="AD529" i="3"/>
  <c r="AD601" i="3"/>
  <c r="AD634" i="3"/>
  <c r="AD144" i="3"/>
  <c r="AD573" i="3"/>
  <c r="AD56" i="3"/>
  <c r="AD193" i="3"/>
  <c r="AD293" i="3"/>
  <c r="AD212" i="3"/>
  <c r="AD199" i="3"/>
  <c r="AD64" i="3"/>
  <c r="BB645" i="1"/>
  <c r="AZ645" i="1" s="1"/>
  <c r="Q1156" i="3" s="1"/>
  <c r="BB393" i="1"/>
  <c r="AZ393" i="1" s="1"/>
  <c r="Q808" i="3" s="1"/>
  <c r="BB442" i="1"/>
  <c r="AZ442" i="1" s="1"/>
  <c r="Q836" i="3" s="1"/>
  <c r="BB114" i="1"/>
  <c r="AZ114" i="1" s="1"/>
  <c r="Q256" i="3" s="1"/>
  <c r="U590" i="3"/>
  <c r="T401" i="3"/>
  <c r="W401" i="3" s="1"/>
  <c r="U401" i="3"/>
  <c r="T1036" i="3"/>
  <c r="W1036" i="3" s="1"/>
  <c r="U1036" i="3"/>
  <c r="T190" i="3"/>
  <c r="W190" i="3" s="1"/>
  <c r="U190" i="3"/>
  <c r="T645" i="3"/>
  <c r="W645" i="3" s="1"/>
  <c r="U645" i="3"/>
  <c r="T739" i="3"/>
  <c r="W739" i="3" s="1"/>
  <c r="U739" i="3"/>
  <c r="V979" i="3"/>
  <c r="U979" i="3"/>
  <c r="U1072" i="3"/>
  <c r="T1050" i="3"/>
  <c r="W1050" i="3" s="1"/>
  <c r="U1050" i="3"/>
  <c r="U1161" i="3"/>
  <c r="U597" i="3"/>
  <c r="U468" i="3"/>
  <c r="T953" i="3"/>
  <c r="W953" i="3" s="1"/>
  <c r="U953" i="3"/>
  <c r="T1025" i="3"/>
  <c r="W1025" i="3" s="1"/>
  <c r="U1025" i="3"/>
  <c r="T921" i="3"/>
  <c r="W921" i="3" s="1"/>
  <c r="U921" i="3"/>
  <c r="V870" i="3"/>
  <c r="U870" i="3"/>
  <c r="T254" i="3"/>
  <c r="W254" i="3" s="1"/>
  <c r="U254" i="3"/>
  <c r="T428" i="3"/>
  <c r="W428" i="3" s="1"/>
  <c r="U428" i="3"/>
  <c r="T1045" i="3"/>
  <c r="W1045" i="3" s="1"/>
  <c r="U1045" i="3"/>
  <c r="T1181" i="3"/>
  <c r="W1181" i="3" s="1"/>
  <c r="U1181" i="3"/>
  <c r="T511" i="3"/>
  <c r="W511" i="3" s="1"/>
  <c r="U511" i="3"/>
  <c r="T1192" i="3"/>
  <c r="W1192" i="3" s="1"/>
  <c r="U1192" i="3"/>
  <c r="T173" i="3"/>
  <c r="W173" i="3" s="1"/>
  <c r="U173" i="3"/>
  <c r="T224" i="3"/>
  <c r="W224" i="3" s="1"/>
  <c r="U224" i="3"/>
  <c r="T490" i="3"/>
  <c r="W490" i="3" s="1"/>
  <c r="U490" i="3"/>
  <c r="T448" i="3"/>
  <c r="W448" i="3" s="1"/>
  <c r="U448" i="3"/>
  <c r="T1232" i="3"/>
  <c r="W1232" i="3" s="1"/>
  <c r="U1232" i="3"/>
  <c r="T152" i="3"/>
  <c r="W152" i="3" s="1"/>
  <c r="U152" i="3"/>
  <c r="U482" i="3"/>
  <c r="U426" i="3"/>
  <c r="T672" i="3"/>
  <c r="W672" i="3" s="1"/>
  <c r="U672" i="3"/>
  <c r="U605" i="3"/>
  <c r="T1040" i="3"/>
  <c r="W1040" i="3" s="1"/>
  <c r="U1040" i="3"/>
  <c r="T265" i="3"/>
  <c r="W265" i="3" s="1"/>
  <c r="U265" i="3"/>
  <c r="T1078" i="3"/>
  <c r="W1078" i="3" s="1"/>
  <c r="U1078" i="3"/>
  <c r="T1121" i="3"/>
  <c r="W1121" i="3" s="1"/>
  <c r="U1121" i="3"/>
  <c r="T995" i="3"/>
  <c r="W995" i="3" s="1"/>
  <c r="U995" i="3"/>
  <c r="T106" i="3"/>
  <c r="W106" i="3" s="1"/>
  <c r="U106" i="3"/>
  <c r="T268" i="3"/>
  <c r="W268" i="3" s="1"/>
  <c r="U268" i="3"/>
  <c r="T622" i="3"/>
  <c r="W622" i="3" s="1"/>
  <c r="U622" i="3"/>
  <c r="V944" i="3"/>
  <c r="U944" i="3"/>
  <c r="T574" i="3"/>
  <c r="W574" i="3" s="1"/>
  <c r="U574" i="3"/>
  <c r="T879" i="3"/>
  <c r="W879" i="3" s="1"/>
  <c r="U879" i="3"/>
  <c r="T1185" i="3"/>
  <c r="W1185" i="3" s="1"/>
  <c r="U1185" i="3"/>
  <c r="T157" i="3"/>
  <c r="W157" i="3" s="1"/>
  <c r="U157" i="3"/>
  <c r="T648" i="3"/>
  <c r="W648" i="3" s="1"/>
  <c r="U648" i="3"/>
  <c r="T167" i="3"/>
  <c r="W167" i="3" s="1"/>
  <c r="U167" i="3"/>
  <c r="T387" i="3"/>
  <c r="W387" i="3" s="1"/>
  <c r="U387" i="3"/>
  <c r="T608" i="3"/>
  <c r="W608" i="3" s="1"/>
  <c r="U608" i="3"/>
  <c r="U432" i="3"/>
  <c r="U742" i="3"/>
  <c r="U540" i="3"/>
  <c r="U657" i="3"/>
  <c r="V893" i="3"/>
  <c r="U893" i="3"/>
  <c r="T243" i="3"/>
  <c r="W243" i="3" s="1"/>
  <c r="U243" i="3"/>
  <c r="T237" i="3"/>
  <c r="W237" i="3" s="1"/>
  <c r="U237" i="3"/>
  <c r="T798" i="3"/>
  <c r="W798" i="3" s="1"/>
  <c r="U798" i="3"/>
  <c r="T103" i="3"/>
  <c r="W103" i="3" s="1"/>
  <c r="U103" i="3"/>
  <c r="T262" i="3"/>
  <c r="W262" i="3" s="1"/>
  <c r="U262" i="3"/>
  <c r="T16" i="3"/>
  <c r="W16" i="3" s="1"/>
  <c r="U16" i="3"/>
  <c r="T982" i="3"/>
  <c r="W982" i="3" s="1"/>
  <c r="U982" i="3"/>
  <c r="T258" i="3"/>
  <c r="W258" i="3" s="1"/>
  <c r="U258" i="3"/>
  <c r="T249" i="3"/>
  <c r="W249" i="3" s="1"/>
  <c r="U249" i="3"/>
  <c r="T1100" i="3"/>
  <c r="W1100" i="3" s="1"/>
  <c r="U1100" i="3"/>
  <c r="V1197" i="3"/>
  <c r="U1197" i="3"/>
  <c r="T288" i="3"/>
  <c r="W288" i="3" s="1"/>
  <c r="U288" i="3"/>
  <c r="V1007" i="3"/>
  <c r="U1007" i="3"/>
  <c r="T965" i="3"/>
  <c r="W965" i="3" s="1"/>
  <c r="U965" i="3"/>
  <c r="T1143" i="3"/>
  <c r="W1143" i="3" s="1"/>
  <c r="U1143" i="3"/>
  <c r="T566" i="3"/>
  <c r="W566" i="3" s="1"/>
  <c r="U566" i="3"/>
  <c r="U276" i="3"/>
  <c r="T1204" i="3"/>
  <c r="W1204" i="3" s="1"/>
  <c r="U1204" i="3"/>
  <c r="U769" i="3"/>
  <c r="V92" i="3"/>
  <c r="U92" i="3"/>
  <c r="T283" i="3"/>
  <c r="W283" i="3" s="1"/>
  <c r="U283" i="3"/>
  <c r="T383" i="3"/>
  <c r="W383" i="3" s="1"/>
  <c r="U383" i="3"/>
  <c r="T751" i="3"/>
  <c r="W751" i="3" s="1"/>
  <c r="U751" i="3"/>
  <c r="T868" i="3"/>
  <c r="W868" i="3" s="1"/>
  <c r="U868" i="3"/>
  <c r="T580" i="3"/>
  <c r="W580" i="3" s="1"/>
  <c r="U580" i="3"/>
  <c r="T1152" i="3"/>
  <c r="W1152" i="3" s="1"/>
  <c r="U1152" i="3"/>
  <c r="V1115" i="3"/>
  <c r="U1115" i="3"/>
  <c r="T27" i="3"/>
  <c r="W27" i="3" s="1"/>
  <c r="U27" i="3"/>
  <c r="U28" i="3"/>
  <c r="U368" i="3"/>
  <c r="U723" i="3"/>
  <c r="U503" i="3"/>
  <c r="U495" i="3"/>
  <c r="U1015" i="3"/>
  <c r="T712" i="3"/>
  <c r="W712" i="3" s="1"/>
  <c r="U712" i="3"/>
  <c r="T926" i="3"/>
  <c r="W926" i="3" s="1"/>
  <c r="U926" i="3"/>
  <c r="T1208" i="3"/>
  <c r="W1208" i="3" s="1"/>
  <c r="U1208" i="3"/>
  <c r="T187" i="3"/>
  <c r="W187" i="3" s="1"/>
  <c r="U187" i="3"/>
  <c r="T626" i="3"/>
  <c r="W626" i="3" s="1"/>
  <c r="U626" i="3"/>
  <c r="T766" i="3"/>
  <c r="W766" i="3" s="1"/>
  <c r="U766" i="3"/>
  <c r="T297" i="3"/>
  <c r="W297" i="3" s="1"/>
  <c r="U297" i="3"/>
  <c r="T787" i="3"/>
  <c r="W787" i="3" s="1"/>
  <c r="U787" i="3"/>
  <c r="T559" i="3"/>
  <c r="W559" i="3" s="1"/>
  <c r="U559" i="3"/>
  <c r="T1004" i="3"/>
  <c r="W1004" i="3" s="1"/>
  <c r="U1004" i="3"/>
  <c r="T709" i="3"/>
  <c r="W709" i="3" s="1"/>
  <c r="U709" i="3"/>
  <c r="T437" i="3"/>
  <c r="W437" i="3" s="1"/>
  <c r="U437" i="3"/>
  <c r="T307" i="3"/>
  <c r="W307" i="3" s="1"/>
  <c r="U307" i="3"/>
  <c r="T109" i="3"/>
  <c r="W109" i="3" s="1"/>
  <c r="U109" i="3"/>
  <c r="T459" i="3"/>
  <c r="W459" i="3" s="1"/>
  <c r="U459" i="3"/>
  <c r="U572" i="3"/>
  <c r="U866" i="3"/>
  <c r="T289" i="3"/>
  <c r="W289" i="3" s="1"/>
  <c r="U289" i="3"/>
  <c r="T87" i="3"/>
  <c r="W87" i="3" s="1"/>
  <c r="U87" i="3"/>
  <c r="T423" i="3"/>
  <c r="W423" i="3" s="1"/>
  <c r="U423" i="3"/>
  <c r="T455" i="3"/>
  <c r="W455" i="3" s="1"/>
  <c r="U455" i="3"/>
  <c r="T359" i="3"/>
  <c r="W359" i="3" s="1"/>
  <c r="U359" i="3"/>
  <c r="U594" i="3"/>
  <c r="U256" i="3"/>
  <c r="U743" i="3"/>
  <c r="U98" i="3"/>
  <c r="U800" i="3"/>
  <c r="T91" i="3"/>
  <c r="W91" i="3" s="1"/>
  <c r="U91" i="3"/>
  <c r="T1136" i="3"/>
  <c r="W1136" i="3" s="1"/>
  <c r="U1136" i="3"/>
  <c r="T1119" i="3"/>
  <c r="W1119" i="3" s="1"/>
  <c r="U1119" i="3"/>
  <c r="T808" i="3"/>
  <c r="W808" i="3" s="1"/>
  <c r="U808" i="3"/>
  <c r="T26" i="3"/>
  <c r="W26" i="3" s="1"/>
  <c r="U26" i="3"/>
  <c r="T1075" i="3"/>
  <c r="W1075" i="3" s="1"/>
  <c r="U1075" i="3"/>
  <c r="T799" i="3"/>
  <c r="W799" i="3" s="1"/>
  <c r="U799" i="3"/>
  <c r="T992" i="3"/>
  <c r="W992" i="3" s="1"/>
  <c r="U992" i="3"/>
  <c r="T940" i="3"/>
  <c r="W940" i="3" s="1"/>
  <c r="U940" i="3"/>
  <c r="T964" i="3"/>
  <c r="W964" i="3" s="1"/>
  <c r="U964" i="3"/>
  <c r="T864" i="3"/>
  <c r="W864" i="3" s="1"/>
  <c r="U864" i="3"/>
  <c r="T1139" i="3"/>
  <c r="W1139" i="3" s="1"/>
  <c r="U1139" i="3"/>
  <c r="T642" i="3"/>
  <c r="W642" i="3" s="1"/>
  <c r="U642" i="3"/>
  <c r="T557" i="3"/>
  <c r="W557" i="3" s="1"/>
  <c r="U557" i="3"/>
  <c r="T84" i="3"/>
  <c r="W84" i="3" s="1"/>
  <c r="U84" i="3"/>
  <c r="T810" i="3"/>
  <c r="W810" i="3" s="1"/>
  <c r="U810" i="3"/>
  <c r="T602" i="3"/>
  <c r="W602" i="3" s="1"/>
  <c r="U602" i="3"/>
  <c r="U400" i="3"/>
  <c r="U587" i="3"/>
  <c r="U148" i="3"/>
  <c r="T99" i="3"/>
  <c r="W99" i="3" s="1"/>
  <c r="U99" i="3"/>
  <c r="V854" i="3"/>
  <c r="U854" i="3"/>
  <c r="T1141" i="3"/>
  <c r="W1141" i="3" s="1"/>
  <c r="U1141" i="3"/>
  <c r="T1157" i="3"/>
  <c r="W1157" i="3" s="1"/>
  <c r="U1157" i="3"/>
  <c r="T367" i="3"/>
  <c r="W367" i="3" s="1"/>
  <c r="U367" i="3"/>
  <c r="T845" i="3"/>
  <c r="W845" i="3" s="1"/>
  <c r="U845" i="3"/>
  <c r="V839" i="3"/>
  <c r="U839" i="3"/>
  <c r="T902" i="3"/>
  <c r="W902" i="3" s="1"/>
  <c r="U902" i="3"/>
  <c r="T775" i="3"/>
  <c r="W775" i="3" s="1"/>
  <c r="U775" i="3"/>
  <c r="T257" i="3"/>
  <c r="W257" i="3" s="1"/>
  <c r="U257" i="3"/>
  <c r="T29" i="3"/>
  <c r="W29" i="3" s="1"/>
  <c r="U29" i="3"/>
  <c r="V869" i="3"/>
  <c r="U869" i="3"/>
  <c r="T998" i="3"/>
  <c r="W998" i="3" s="1"/>
  <c r="U998" i="3"/>
  <c r="V371" i="3"/>
  <c r="U371" i="3"/>
  <c r="T842" i="3"/>
  <c r="W842" i="3" s="1"/>
  <c r="U842" i="3"/>
  <c r="T722" i="3"/>
  <c r="W722" i="3" s="1"/>
  <c r="U722" i="3"/>
  <c r="T855" i="3"/>
  <c r="W855" i="3" s="1"/>
  <c r="U855" i="3"/>
  <c r="V1186" i="3"/>
  <c r="U1186" i="3"/>
  <c r="T386" i="3"/>
  <c r="W386" i="3" s="1"/>
  <c r="U386" i="3"/>
  <c r="T171" i="3"/>
  <c r="W171" i="3" s="1"/>
  <c r="U171" i="3"/>
  <c r="T261" i="3"/>
  <c r="W261" i="3" s="1"/>
  <c r="U261" i="3"/>
  <c r="T405" i="3"/>
  <c r="W405" i="3" s="1"/>
  <c r="U405" i="3"/>
  <c r="T494" i="3"/>
  <c r="W494" i="3" s="1"/>
  <c r="U494" i="3"/>
  <c r="U1005" i="3"/>
  <c r="U188" i="3"/>
  <c r="T1058" i="3"/>
  <c r="W1058" i="3" s="1"/>
  <c r="U1058" i="3"/>
  <c r="U1039" i="3"/>
  <c r="T1145" i="3"/>
  <c r="W1145" i="3" s="1"/>
  <c r="U1145" i="3"/>
  <c r="U1016" i="3"/>
  <c r="T858" i="3"/>
  <c r="W858" i="3" s="1"/>
  <c r="U858" i="3"/>
  <c r="T807" i="3"/>
  <c r="W807" i="3" s="1"/>
  <c r="U807" i="3"/>
  <c r="T740" i="3"/>
  <c r="W740" i="3" s="1"/>
  <c r="U740" i="3"/>
  <c r="T172" i="3"/>
  <c r="W172" i="3" s="1"/>
  <c r="U172" i="3"/>
  <c r="T583" i="3"/>
  <c r="W583" i="3" s="1"/>
  <c r="U583" i="3"/>
  <c r="T784" i="3"/>
  <c r="W784" i="3" s="1"/>
  <c r="U784" i="3"/>
  <c r="T441" i="3"/>
  <c r="W441" i="3" s="1"/>
  <c r="U441" i="3"/>
  <c r="T934" i="3"/>
  <c r="W934" i="3" s="1"/>
  <c r="U934" i="3"/>
  <c r="T1113" i="3"/>
  <c r="W1113" i="3" s="1"/>
  <c r="U1113" i="3"/>
  <c r="T1085" i="3"/>
  <c r="W1085" i="3" s="1"/>
  <c r="U1085" i="3"/>
  <c r="T1132" i="3"/>
  <c r="W1132" i="3" s="1"/>
  <c r="U1132" i="3"/>
  <c r="T239" i="3"/>
  <c r="W239" i="3" s="1"/>
  <c r="U239" i="3"/>
  <c r="T358" i="3"/>
  <c r="W358" i="3" s="1"/>
  <c r="U358" i="3"/>
  <c r="T234" i="3"/>
  <c r="W234" i="3" s="1"/>
  <c r="U234" i="3"/>
  <c r="T6" i="3"/>
  <c r="W6" i="3" s="1"/>
  <c r="U6" i="3"/>
  <c r="T1229" i="3"/>
  <c r="W1229" i="3" s="1"/>
  <c r="U1229" i="3"/>
  <c r="T13" i="3"/>
  <c r="W13" i="3" s="1"/>
  <c r="U13" i="3"/>
  <c r="BB276" i="1"/>
  <c r="AZ276" i="1" s="1"/>
  <c r="Q590" i="3" s="1"/>
  <c r="BB644" i="1"/>
  <c r="AZ644" i="1" s="1"/>
  <c r="Q1155" i="3" s="1"/>
  <c r="BB313" i="1"/>
  <c r="AZ313" i="1" s="1"/>
  <c r="Q599" i="3" s="1"/>
  <c r="BB236" i="1"/>
  <c r="AZ236" i="1" s="1"/>
  <c r="Q515" i="3" s="1"/>
  <c r="BB106" i="1"/>
  <c r="AZ106" i="1" s="1"/>
  <c r="Q223" i="3" s="1"/>
  <c r="BB676" i="1"/>
  <c r="AZ676" i="1" s="1"/>
  <c r="Q1234" i="3" s="1"/>
  <c r="BB433" i="1"/>
  <c r="AZ433" i="1" s="1"/>
  <c r="Q816" i="3" s="1"/>
  <c r="BB112" i="1"/>
  <c r="AZ112" i="1" s="1"/>
  <c r="Q262" i="3" s="1"/>
  <c r="BB610" i="1"/>
  <c r="AZ610" i="1" s="1"/>
  <c r="Q1099" i="3" s="1"/>
  <c r="BB307" i="1"/>
  <c r="AZ307" i="1" s="1"/>
  <c r="Q592" i="3" s="1"/>
  <c r="BB164" i="1"/>
  <c r="AZ164" i="1" s="1"/>
  <c r="Q360" i="3" s="1"/>
  <c r="BB518" i="1"/>
  <c r="AZ518" i="1" s="1"/>
  <c r="Q975" i="3" s="1"/>
  <c r="BB219" i="1"/>
  <c r="AZ219" i="1" s="1"/>
  <c r="Q493" i="3" s="1"/>
  <c r="BB354" i="1"/>
  <c r="AZ354" i="1" s="1"/>
  <c r="Q672" i="3" s="1"/>
  <c r="BB167" i="1"/>
  <c r="AZ167" i="1" s="1"/>
  <c r="Q371" i="3" s="1"/>
  <c r="BB575" i="1"/>
  <c r="AZ575" i="1" s="1"/>
  <c r="Q1078" i="3" s="1"/>
  <c r="BB410" i="1"/>
  <c r="AZ410" i="1" s="1"/>
  <c r="Q878" i="3" s="1"/>
  <c r="BB28" i="1"/>
  <c r="AZ28" i="1" s="1"/>
  <c r="Q36" i="3" s="1"/>
  <c r="BB165" i="1"/>
  <c r="AZ165" i="1" s="1"/>
  <c r="Q384" i="3" s="1"/>
  <c r="BB147" i="1"/>
  <c r="AZ147" i="1" s="1"/>
  <c r="Q330" i="3" s="1"/>
  <c r="BB227" i="1"/>
  <c r="AZ227" i="1" s="1"/>
  <c r="Q477" i="3" s="1"/>
  <c r="BB365" i="1"/>
  <c r="AZ365" i="1" s="1"/>
  <c r="Q690" i="3" s="1"/>
  <c r="BB8" i="1"/>
  <c r="AZ8" i="1" s="1"/>
  <c r="Q9" i="3" s="1"/>
  <c r="BB488" i="1"/>
  <c r="AZ488" i="1" s="1"/>
  <c r="Q951" i="3" s="1"/>
  <c r="BB42" i="1"/>
  <c r="AZ42" i="1" s="1"/>
  <c r="Q54" i="3" s="1"/>
  <c r="BB196" i="1"/>
  <c r="AZ196" i="1" s="1"/>
  <c r="Q422" i="3" s="1"/>
  <c r="BB292" i="1"/>
  <c r="AZ292" i="1" s="1"/>
  <c r="Q565" i="3" s="1"/>
  <c r="BB140" i="1"/>
  <c r="AZ140" i="1" s="1"/>
  <c r="Q352" i="3" s="1"/>
  <c r="BB238" i="1"/>
  <c r="AZ238" i="1" s="1"/>
  <c r="Q491" i="3" s="1"/>
  <c r="BB615" i="1"/>
  <c r="AZ615" i="1" s="1"/>
  <c r="Q1141" i="3" s="1"/>
  <c r="BB670" i="1"/>
  <c r="AZ670" i="1" s="1"/>
  <c r="Q1222" i="3" s="1"/>
  <c r="BB29" i="1"/>
  <c r="AZ29" i="1" s="1"/>
  <c r="Q32" i="3" s="1"/>
  <c r="BB179" i="1"/>
  <c r="AZ179" i="1" s="1"/>
  <c r="Q415" i="3" s="1"/>
  <c r="BB195" i="1"/>
  <c r="AZ195" i="1" s="1"/>
  <c r="Q399" i="3" s="1"/>
  <c r="BB623" i="1"/>
  <c r="AZ623" i="1" s="1"/>
  <c r="Q1144" i="3" s="1"/>
  <c r="BB291" i="1"/>
  <c r="AZ291" i="1" s="1"/>
  <c r="Q613" i="3" s="1"/>
  <c r="BB95" i="1"/>
  <c r="AZ95" i="1" s="1"/>
  <c r="Q176" i="3" s="1"/>
  <c r="BB57" i="1"/>
  <c r="AZ57" i="1" s="1"/>
  <c r="Q116" i="3" s="1"/>
  <c r="BB198" i="1"/>
  <c r="AZ198" i="1" s="1"/>
  <c r="Q445" i="3" s="1"/>
  <c r="BB649" i="1"/>
  <c r="AZ649" i="1" s="1"/>
  <c r="Q1171" i="3" s="1"/>
  <c r="BB336" i="1"/>
  <c r="AZ336" i="1" s="1"/>
  <c r="Q729" i="3" s="1"/>
  <c r="BB32" i="1"/>
  <c r="AZ32" i="1" s="1"/>
  <c r="Q42" i="3" s="1"/>
  <c r="BB107" i="1"/>
  <c r="AZ107" i="1" s="1"/>
  <c r="Q224" i="3" s="1"/>
  <c r="BB159" i="1"/>
  <c r="AZ159" i="1" s="1"/>
  <c r="Q370" i="3" s="1"/>
  <c r="BB50" i="1"/>
  <c r="AZ50" i="1" s="1"/>
  <c r="Q80" i="3" s="1"/>
  <c r="BB230" i="1"/>
  <c r="AZ230" i="1" s="1"/>
  <c r="Q479" i="3" s="1"/>
  <c r="BB635" i="1"/>
  <c r="AZ635" i="1" s="1"/>
  <c r="Q1112" i="3" s="1"/>
  <c r="BB298" i="1"/>
  <c r="AZ298" i="1" s="1"/>
  <c r="Q657" i="3" s="1"/>
  <c r="BB386" i="1"/>
  <c r="AZ386" i="1" s="1"/>
  <c r="Q830" i="3" s="1"/>
  <c r="BB506" i="1"/>
  <c r="AZ506" i="1" s="1"/>
  <c r="Q990" i="3" s="1"/>
  <c r="BB190" i="1"/>
  <c r="AZ190" i="1" s="1"/>
  <c r="Q393" i="3" s="1"/>
  <c r="BB407" i="1"/>
  <c r="AZ407" i="1" s="1"/>
  <c r="Q870" i="3" s="1"/>
  <c r="BB463" i="1"/>
  <c r="AZ463" i="1" s="1"/>
  <c r="Q875" i="3" s="1"/>
  <c r="BB86" i="1"/>
  <c r="AZ86" i="1" s="1"/>
  <c r="Q157" i="3" s="1"/>
  <c r="BB321" i="1"/>
  <c r="AZ321" i="1" s="1"/>
  <c r="Q682" i="3" s="1"/>
  <c r="BB93" i="1"/>
  <c r="AZ93" i="1" s="1"/>
  <c r="Q177" i="3" s="1"/>
  <c r="BB80" i="1"/>
  <c r="AZ80" i="1" s="1"/>
  <c r="Q143" i="3" s="1"/>
  <c r="BB134" i="1"/>
  <c r="AZ134" i="1" s="1"/>
  <c r="Q300" i="3" s="1"/>
  <c r="BB204" i="1"/>
  <c r="AZ204" i="1" s="1"/>
  <c r="Q483" i="3" s="1"/>
  <c r="BB161" i="1"/>
  <c r="AZ161" i="1" s="1"/>
  <c r="Q390" i="3" s="1"/>
  <c r="BB96" i="1"/>
  <c r="AZ96" i="1" s="1"/>
  <c r="Q179" i="3" s="1"/>
  <c r="BB530" i="1"/>
  <c r="AZ530" i="1" s="1"/>
  <c r="Q1005" i="3" s="1"/>
  <c r="BB545" i="1"/>
  <c r="AZ545" i="1" s="1"/>
  <c r="Q1073" i="3" s="1"/>
  <c r="BB44" i="1"/>
  <c r="AZ44" i="1" s="1"/>
  <c r="Q58" i="3" s="1"/>
  <c r="BB492" i="1"/>
  <c r="AZ492" i="1" s="1"/>
  <c r="Q928" i="3" s="1"/>
  <c r="BB274" i="1"/>
  <c r="AZ274" i="1" s="1"/>
  <c r="Q537" i="3" s="1"/>
  <c r="BB173" i="1"/>
  <c r="AZ173" i="1" s="1"/>
  <c r="Q380" i="3" s="1"/>
  <c r="BB172" i="1"/>
  <c r="AZ172" i="1" s="1"/>
  <c r="Q377" i="3" s="1"/>
  <c r="BB205" i="1"/>
  <c r="AZ205" i="1" s="1"/>
  <c r="Q466" i="3" s="1"/>
  <c r="BB580" i="1"/>
  <c r="AZ580" i="1" s="1"/>
  <c r="Q1085" i="3" s="1"/>
  <c r="BB151" i="1"/>
  <c r="AZ151" i="1" s="1"/>
  <c r="Q379" i="3" s="1"/>
  <c r="BB290" i="1"/>
  <c r="AZ290" i="1" s="1"/>
  <c r="Q563" i="3" s="1"/>
  <c r="BB143" i="1"/>
  <c r="AZ143" i="1" s="1"/>
  <c r="Q334" i="3" s="1"/>
  <c r="BB242" i="1"/>
  <c r="AZ242" i="1" s="1"/>
  <c r="Q568" i="3" s="1"/>
  <c r="BB203" i="1"/>
  <c r="AZ203" i="1" s="1"/>
  <c r="Q437" i="3" s="1"/>
  <c r="BB288" i="1"/>
  <c r="AZ288" i="1" s="1"/>
  <c r="Q610" i="3" s="1"/>
  <c r="BB640" i="1"/>
  <c r="AZ640" i="1" s="1"/>
  <c r="Q1138" i="3" s="1"/>
  <c r="BB390" i="1"/>
  <c r="AZ390" i="1" s="1"/>
  <c r="Q843" i="3" s="1"/>
  <c r="BB360" i="1"/>
  <c r="AZ360" i="1" s="1"/>
  <c r="Q769" i="3" s="1"/>
  <c r="BB163" i="1"/>
  <c r="AZ163" i="1" s="1"/>
  <c r="Q383" i="3" s="1"/>
  <c r="BB408" i="1"/>
  <c r="AZ408" i="1" s="1"/>
  <c r="Q776" i="3" s="1"/>
  <c r="BB293" i="1"/>
  <c r="AZ293" i="1" s="1"/>
  <c r="Q566" i="3" s="1"/>
  <c r="BB383" i="1"/>
  <c r="AZ383" i="1" s="1"/>
  <c r="Q768" i="3" s="1"/>
  <c r="BB247" i="1"/>
  <c r="AZ247" i="1" s="1"/>
  <c r="Q503" i="3" s="1"/>
  <c r="BB384" i="1"/>
  <c r="AZ384" i="1" s="1"/>
  <c r="Q730" i="3" s="1"/>
  <c r="BB324" i="1"/>
  <c r="AZ324" i="1" s="1"/>
  <c r="Q578" i="3" s="1"/>
  <c r="BB207" i="1"/>
  <c r="AZ207" i="1" s="1"/>
  <c r="Q500" i="3" s="1"/>
  <c r="BB20" i="1"/>
  <c r="AZ20" i="1" s="1"/>
  <c r="Q25" i="3" s="1"/>
  <c r="BB92" i="1"/>
  <c r="AZ92" i="1" s="1"/>
  <c r="Q175" i="3" s="1"/>
  <c r="BB434" i="1"/>
  <c r="AZ434" i="1" s="1"/>
  <c r="Q820" i="3" s="1"/>
  <c r="BB447" i="1"/>
  <c r="AZ447" i="1" s="1"/>
  <c r="Q893" i="3" s="1"/>
  <c r="BB570" i="1"/>
  <c r="AZ570" i="1" s="1"/>
  <c r="Q1098" i="3" s="1"/>
  <c r="BB350" i="1"/>
  <c r="AZ350" i="1" s="1"/>
  <c r="Q797" i="3" s="1"/>
  <c r="BB561" i="1"/>
  <c r="AZ561" i="1" s="1"/>
  <c r="Q1042" i="3" s="1"/>
  <c r="BB496" i="1"/>
  <c r="AZ496" i="1" s="1"/>
  <c r="Q900" i="3" s="1"/>
  <c r="BB480" i="1"/>
  <c r="AZ480" i="1" s="1"/>
  <c r="Q973" i="3" s="1"/>
  <c r="BB82" i="1"/>
  <c r="AZ82" i="1" s="1"/>
  <c r="Q135" i="3" s="1"/>
  <c r="BB417" i="1"/>
  <c r="AZ417" i="1" s="1"/>
  <c r="Q841" i="3" s="1"/>
  <c r="BB105" i="1"/>
  <c r="AZ105" i="1" s="1"/>
  <c r="Q204" i="3" s="1"/>
  <c r="BB665" i="1"/>
  <c r="AZ665" i="1" s="1"/>
  <c r="Q1198" i="3" s="1"/>
  <c r="BB556" i="1"/>
  <c r="AZ556" i="1" s="1"/>
  <c r="Q1019" i="3" s="1"/>
  <c r="BB380" i="1"/>
  <c r="AZ380" i="1" s="1"/>
  <c r="Q765" i="3" s="1"/>
  <c r="BB304" i="1"/>
  <c r="AZ304" i="1" s="1"/>
  <c r="Q626" i="3" s="1"/>
  <c r="BB533" i="1"/>
  <c r="AZ533" i="1" s="1"/>
  <c r="Q1007" i="3" s="1"/>
  <c r="BB124" i="1"/>
  <c r="AZ124" i="1" s="1"/>
  <c r="Q274" i="3" s="1"/>
  <c r="BB605" i="1"/>
  <c r="AZ605" i="1" s="1"/>
  <c r="Q1094" i="3" s="1"/>
  <c r="BB99" i="1"/>
  <c r="AZ99" i="1" s="1"/>
  <c r="Q198" i="3" s="1"/>
  <c r="BB144" i="1"/>
  <c r="AZ144" i="1" s="1"/>
  <c r="Q337" i="3" s="1"/>
  <c r="BB208" i="1"/>
  <c r="AZ208" i="1" s="1"/>
  <c r="Q473" i="3" s="1"/>
  <c r="BB528" i="1"/>
  <c r="AZ528" i="1" s="1"/>
  <c r="Q1001" i="3" s="1"/>
  <c r="BB639" i="1"/>
  <c r="AZ639" i="1" s="1"/>
  <c r="Q1135" i="3" s="1"/>
  <c r="BB529" i="1"/>
  <c r="AZ529" i="1" s="1"/>
  <c r="Q1050" i="3" s="1"/>
  <c r="BB320" i="1"/>
  <c r="AZ320" i="1" s="1"/>
  <c r="Q650" i="3" s="1"/>
  <c r="BB512" i="1"/>
  <c r="AZ512" i="1" s="1"/>
  <c r="Q934" i="3" s="1"/>
  <c r="BB130" i="1"/>
  <c r="AZ130" i="1" s="1"/>
  <c r="Q277" i="3" s="1"/>
  <c r="BB483" i="1"/>
  <c r="AZ483" i="1" s="1"/>
  <c r="Q910" i="3" s="1"/>
  <c r="BB394" i="1"/>
  <c r="AZ394" i="1" s="1"/>
  <c r="Q716" i="3" s="1"/>
  <c r="BB338" i="1"/>
  <c r="AZ338" i="1" s="1"/>
  <c r="Q734" i="3" s="1"/>
  <c r="BB89" i="1"/>
  <c r="AZ89" i="1" s="1"/>
  <c r="Q159" i="3" s="1"/>
  <c r="BB587" i="1"/>
  <c r="AZ587" i="1" s="1"/>
  <c r="Q1063" i="3" s="1"/>
  <c r="BB487" i="1"/>
  <c r="AZ487" i="1" s="1"/>
  <c r="Q918" i="3" s="1"/>
  <c r="BB440" i="1"/>
  <c r="AZ440" i="1" s="1"/>
  <c r="Q880" i="3" s="1"/>
  <c r="BB120" i="1"/>
  <c r="AZ120" i="1" s="1"/>
  <c r="Q254" i="3" s="1"/>
  <c r="BB94" i="1"/>
  <c r="AZ94" i="1" s="1"/>
  <c r="Q162" i="3" s="1"/>
  <c r="BB216" i="1"/>
  <c r="AZ216" i="1" s="1"/>
  <c r="Q467" i="3" s="1"/>
  <c r="BB425" i="1"/>
  <c r="AZ425" i="1" s="1"/>
  <c r="Q853" i="3" s="1"/>
  <c r="BB277" i="1"/>
  <c r="AZ277" i="1" s="1"/>
  <c r="Q510" i="3" s="1"/>
  <c r="BB309" i="1"/>
  <c r="AZ309" i="1" s="1"/>
  <c r="Q631" i="3" s="1"/>
  <c r="BB123" i="1"/>
  <c r="AZ123" i="1" s="1"/>
  <c r="Q287" i="3" s="1"/>
  <c r="BB366" i="1"/>
  <c r="AZ366" i="1" s="1"/>
  <c r="Q789" i="3" s="1"/>
  <c r="BB261" i="1"/>
  <c r="AZ261" i="1" s="1"/>
  <c r="Q564" i="3" s="1"/>
  <c r="BB631" i="1"/>
  <c r="AZ631" i="1" s="1"/>
  <c r="Q1151" i="3" s="1"/>
  <c r="BB371" i="1"/>
  <c r="AZ371" i="1" s="1"/>
  <c r="Q759" i="3" s="1"/>
  <c r="BB521" i="1"/>
  <c r="AZ521" i="1" s="1"/>
  <c r="Q1017" i="3" s="1"/>
  <c r="BB441" i="1"/>
  <c r="AZ441" i="1" s="1"/>
  <c r="Q834" i="3" s="1"/>
  <c r="BB339" i="1"/>
  <c r="AZ339" i="1" s="1"/>
  <c r="Q681" i="3" s="1"/>
  <c r="BB299" i="1"/>
  <c r="AZ299" i="1" s="1"/>
  <c r="Q622" i="3" s="1"/>
  <c r="BB225" i="1"/>
  <c r="AZ225" i="1" s="1"/>
  <c r="Q583" i="3" s="1"/>
  <c r="BB60" i="1"/>
  <c r="AZ60" i="1" s="1"/>
  <c r="Q119" i="3" s="1"/>
  <c r="BB311" i="1"/>
  <c r="AZ311" i="1" s="1"/>
  <c r="Q706" i="3" s="1"/>
  <c r="BB296" i="1"/>
  <c r="AZ296" i="1" s="1"/>
  <c r="Q619" i="3" s="1"/>
  <c r="BB594" i="1"/>
  <c r="AZ594" i="1" s="1"/>
  <c r="Q1056" i="3" s="1"/>
  <c r="BB424" i="1"/>
  <c r="AZ424" i="1" s="1"/>
  <c r="Q806" i="3" s="1"/>
  <c r="BB426" i="1"/>
  <c r="AZ426" i="1" s="1"/>
  <c r="Q762" i="3" s="1"/>
  <c r="BB374" i="1"/>
  <c r="AZ374" i="1" s="1"/>
  <c r="Q709" i="3" s="1"/>
  <c r="BB35" i="1"/>
  <c r="AZ35" i="1" s="1"/>
  <c r="Q41" i="3" s="1"/>
  <c r="BB375" i="1"/>
  <c r="AZ375" i="1" s="1"/>
  <c r="Q671" i="3" s="1"/>
  <c r="BB138" i="1"/>
  <c r="AZ138" i="1" s="1"/>
  <c r="Q298" i="3" s="1"/>
  <c r="BB537" i="1"/>
  <c r="AZ537" i="1" s="1"/>
  <c r="Q1037" i="3" s="1"/>
  <c r="BB234" i="1"/>
  <c r="AZ234" i="1" s="1"/>
  <c r="Q485" i="3" s="1"/>
  <c r="BB560" i="1"/>
  <c r="AZ560" i="1" s="1"/>
  <c r="Q1065" i="3" s="1"/>
  <c r="BB256" i="1"/>
  <c r="AZ256" i="1" s="1"/>
  <c r="Q511" i="3" s="1"/>
  <c r="BB129" i="1"/>
  <c r="AZ129" i="1" s="1"/>
  <c r="Q304" i="3" s="1"/>
  <c r="BB153" i="1"/>
  <c r="AZ153" i="1" s="1"/>
  <c r="Q316" i="3" s="1"/>
  <c r="BB23" i="1"/>
  <c r="AZ23" i="1" s="1"/>
  <c r="Q30" i="3" s="1"/>
  <c r="BB351" i="1"/>
  <c r="AZ351" i="1" s="1"/>
  <c r="Q707" i="3" s="1"/>
  <c r="BB382" i="1"/>
  <c r="AZ382" i="1" s="1"/>
  <c r="Q814" i="3" s="1"/>
  <c r="BB642" i="1"/>
  <c r="AZ642" i="1" s="1"/>
  <c r="Q1168" i="3" s="1"/>
  <c r="BB302" i="1"/>
  <c r="AZ302" i="1" s="1"/>
  <c r="Q623" i="3" s="1"/>
  <c r="BB330" i="1"/>
  <c r="AZ330" i="1" s="1"/>
  <c r="Q669" i="3" s="1"/>
  <c r="BB214" i="1"/>
  <c r="AZ214" i="1" s="1"/>
  <c r="Q488" i="3" s="1"/>
  <c r="BB113" i="1"/>
  <c r="AZ113" i="1" s="1"/>
  <c r="Q265" i="3" s="1"/>
  <c r="BB494" i="1"/>
  <c r="AZ494" i="1" s="1"/>
  <c r="Q936" i="3" s="1"/>
  <c r="BB155" i="1"/>
  <c r="AZ155" i="1" s="1"/>
  <c r="Q358" i="3" s="1"/>
  <c r="BB257" i="1"/>
  <c r="AZ257" i="1" s="1"/>
  <c r="Q554" i="3" s="1"/>
  <c r="BB316" i="1"/>
  <c r="AZ316" i="1" s="1"/>
  <c r="Q643" i="3" s="1"/>
  <c r="BB211" i="1"/>
  <c r="AZ211" i="1" s="1"/>
  <c r="Q484" i="3" s="1"/>
  <c r="BB373" i="1"/>
  <c r="AZ373" i="1" s="1"/>
  <c r="Q805" i="3" s="1"/>
  <c r="BB643" i="1"/>
  <c r="AZ643" i="1" s="1"/>
  <c r="Q1159" i="3" s="1"/>
  <c r="BB608" i="1"/>
  <c r="AZ608" i="1" s="1"/>
  <c r="Q1119" i="3" s="1"/>
  <c r="BB279" i="1"/>
  <c r="AZ279" i="1" s="1"/>
  <c r="Q597" i="3" s="1"/>
  <c r="BB489" i="1"/>
  <c r="AZ489" i="1" s="1"/>
  <c r="Q955" i="3" s="1"/>
  <c r="BB271" i="1"/>
  <c r="AZ271" i="1" s="1"/>
  <c r="Q585" i="3" s="1"/>
  <c r="BB233" i="1"/>
  <c r="AZ233" i="1" s="1"/>
  <c r="Q553" i="3" s="1"/>
  <c r="BB335" i="1"/>
  <c r="AZ335" i="1" s="1"/>
  <c r="Q726" i="3" s="1"/>
  <c r="BB500" i="1"/>
  <c r="AZ500" i="1" s="1"/>
  <c r="Q941" i="3" s="1"/>
  <c r="BB435" i="1"/>
  <c r="AZ435" i="1" s="1"/>
  <c r="Q823" i="3" s="1"/>
  <c r="BB318" i="1"/>
  <c r="AZ318" i="1" s="1"/>
  <c r="Q678" i="3" s="1"/>
  <c r="BB61" i="1"/>
  <c r="AZ61" i="1" s="1"/>
  <c r="Q115" i="3" s="1"/>
  <c r="BB411" i="1"/>
  <c r="AZ411" i="1" s="1"/>
  <c r="Q835" i="3" s="1"/>
  <c r="BB26" i="1"/>
  <c r="AZ26" i="1" s="1"/>
  <c r="Q34" i="3" s="1"/>
  <c r="BB12" i="1"/>
  <c r="AZ12" i="1" s="1"/>
  <c r="Q12" i="3" s="1"/>
  <c r="BB420" i="1"/>
  <c r="AZ420" i="1" s="1"/>
  <c r="Q794" i="3" s="1"/>
  <c r="BB150" i="1"/>
  <c r="AZ150" i="1" s="1"/>
  <c r="Q378" i="3" s="1"/>
  <c r="BB101" i="1"/>
  <c r="AZ101" i="1" s="1"/>
  <c r="Q190" i="3" s="1"/>
  <c r="BB5" i="1"/>
  <c r="AZ5" i="1" s="1"/>
  <c r="Q5" i="3" s="1"/>
  <c r="BB64" i="1"/>
  <c r="AZ64" i="1" s="1"/>
  <c r="Q124" i="3" s="1"/>
  <c r="BB14" i="1"/>
  <c r="AZ14" i="1" s="1"/>
  <c r="Q20" i="3" s="1"/>
  <c r="BB401" i="1"/>
  <c r="AZ401" i="1" s="1"/>
  <c r="Q822" i="3" s="1"/>
  <c r="BB620" i="1"/>
  <c r="AZ620" i="1" s="1"/>
  <c r="Q1108" i="3" s="1"/>
  <c r="BB585" i="1"/>
  <c r="AZ585" i="1" s="1"/>
  <c r="Q1113" i="3" s="1"/>
  <c r="BB502" i="1"/>
  <c r="AZ502" i="1" s="1"/>
  <c r="Q945" i="3" s="1"/>
  <c r="BB270" i="1"/>
  <c r="AZ270" i="1" s="1"/>
  <c r="Q584" i="3" s="1"/>
  <c r="BB348" i="1"/>
  <c r="AZ348" i="1" s="1"/>
  <c r="Q692" i="3" s="1"/>
  <c r="BB450" i="1"/>
  <c r="AZ450" i="1" s="1"/>
  <c r="Q895" i="3" s="1"/>
  <c r="BB363" i="1"/>
  <c r="AZ363" i="1" s="1"/>
  <c r="Q787" i="3" s="1"/>
  <c r="BB149" i="1"/>
  <c r="AZ149" i="1" s="1"/>
  <c r="Q351" i="3" s="1"/>
  <c r="BB282" i="1"/>
  <c r="AZ282" i="1" s="1"/>
  <c r="Q637" i="3" s="1"/>
  <c r="BB88" i="1"/>
  <c r="AZ88" i="1" s="1"/>
  <c r="Q147" i="3" s="1"/>
  <c r="BB490" i="1"/>
  <c r="AZ490" i="1" s="1"/>
  <c r="Q959" i="3" s="1"/>
  <c r="BB141" i="1"/>
  <c r="AZ141" i="1" s="1"/>
  <c r="Q353" i="3" s="1"/>
  <c r="BB562" i="1"/>
  <c r="AZ562" i="1" s="1"/>
  <c r="Q1022" i="3" s="1"/>
  <c r="BB667" i="1"/>
  <c r="AZ667" i="1" s="1"/>
  <c r="Q1200" i="3" s="1"/>
  <c r="BB444" i="1"/>
  <c r="AZ444" i="1" s="1"/>
  <c r="Q883" i="3" s="1"/>
  <c r="BB503" i="1"/>
  <c r="AZ503" i="1" s="1"/>
  <c r="Q1011" i="3" s="1"/>
  <c r="BB378" i="1"/>
  <c r="AZ378" i="1" s="1"/>
  <c r="Q712" i="3" s="1"/>
  <c r="BB385" i="1"/>
  <c r="AZ385" i="1" s="1"/>
  <c r="Q770" i="3" s="1"/>
  <c r="BB22" i="1"/>
  <c r="AZ22" i="1" s="1"/>
  <c r="Q24" i="3" s="1"/>
  <c r="BB109" i="1"/>
  <c r="AZ109" i="1" s="1"/>
  <c r="Q222" i="3" s="1"/>
  <c r="BB17" i="1"/>
  <c r="AZ17" i="1" s="1"/>
  <c r="Q22" i="3" s="1"/>
  <c r="BB76" i="1"/>
  <c r="AZ76" i="1" s="1"/>
  <c r="Q129" i="3" s="1"/>
  <c r="BB7" i="1"/>
  <c r="AZ7" i="1" s="1"/>
  <c r="Q7" i="3" s="1"/>
  <c r="BB632" i="1"/>
  <c r="AZ632" i="1" s="1"/>
  <c r="Q1124" i="3" s="1"/>
  <c r="BB619" i="1"/>
  <c r="AZ619" i="1" s="1"/>
  <c r="Q1105" i="3" s="1"/>
  <c r="BB437" i="1"/>
  <c r="AZ437" i="1" s="1"/>
  <c r="Q777" i="3" s="1"/>
  <c r="BB637" i="1"/>
  <c r="AZ637" i="1" s="1"/>
  <c r="Q1129" i="3" s="1"/>
  <c r="BB534" i="1"/>
  <c r="AZ534" i="1" s="1"/>
  <c r="Q1008" i="3" s="1"/>
  <c r="BB192" i="1"/>
  <c r="AZ192" i="1" s="1"/>
  <c r="Q460" i="3" s="1"/>
  <c r="BB146" i="1"/>
  <c r="AZ146" i="1" s="1"/>
  <c r="Q326" i="3" s="1"/>
  <c r="BB332" i="1"/>
  <c r="AZ332" i="1" s="1"/>
  <c r="Q636" i="3" s="1"/>
  <c r="BB468" i="1"/>
  <c r="AZ468" i="1" s="1"/>
  <c r="Q929" i="3" s="1"/>
  <c r="BB229" i="1"/>
  <c r="AZ229" i="1" s="1"/>
  <c r="Q478" i="3" s="1"/>
  <c r="BB601" i="1"/>
  <c r="AZ601" i="1" s="1"/>
  <c r="Q1116" i="3" s="1"/>
  <c r="BB405" i="1"/>
  <c r="AZ405" i="1" s="1"/>
  <c r="Q824" i="3" s="1"/>
  <c r="BB157" i="1"/>
  <c r="AZ157" i="1" s="1"/>
  <c r="Q366" i="3" s="1"/>
  <c r="BB669" i="1"/>
  <c r="AZ669" i="1" s="1"/>
  <c r="Q1209" i="3" s="1"/>
  <c r="BB220" i="1"/>
  <c r="AZ220" i="1" s="1"/>
  <c r="Q522" i="3" s="1"/>
  <c r="BB328" i="1"/>
  <c r="AZ328" i="1" s="1"/>
  <c r="Q630" i="3" s="1"/>
  <c r="BB122" i="1"/>
  <c r="AZ122" i="1" s="1"/>
  <c r="Q285" i="3" s="1"/>
  <c r="BB283" i="1"/>
  <c r="AZ283" i="1" s="1"/>
  <c r="Q638" i="3" s="1"/>
  <c r="BB551" i="1"/>
  <c r="AZ551" i="1" s="1"/>
  <c r="Q1057" i="3" s="1"/>
  <c r="BB592" i="1"/>
  <c r="AZ592" i="1" s="1"/>
  <c r="Q1101" i="3" s="1"/>
  <c r="BB239" i="1"/>
  <c r="AZ239" i="1" s="1"/>
  <c r="Q519" i="3" s="1"/>
  <c r="BB136" i="1"/>
  <c r="AZ136" i="1" s="1"/>
  <c r="Q315" i="3" s="1"/>
  <c r="BB131" i="1"/>
  <c r="AZ131" i="1" s="1"/>
  <c r="Q305" i="3" s="1"/>
  <c r="BB169" i="1"/>
  <c r="AZ169" i="1" s="1"/>
  <c r="Q412" i="3" s="1"/>
  <c r="BB439" i="1"/>
  <c r="AZ439" i="1" s="1"/>
  <c r="Q833" i="3" s="1"/>
  <c r="BB356" i="1"/>
  <c r="AZ356" i="1" s="1"/>
  <c r="Q718" i="3" s="1"/>
  <c r="BB314" i="1"/>
  <c r="AZ314" i="1" s="1"/>
  <c r="Q639" i="3" s="1"/>
  <c r="BB520" i="1"/>
  <c r="AZ520" i="1" s="1"/>
  <c r="Q1014" i="3" s="1"/>
  <c r="BB78" i="1"/>
  <c r="AZ78" i="1" s="1"/>
  <c r="Q156" i="3" s="1"/>
  <c r="BB27" i="1"/>
  <c r="AZ27" i="1" s="1"/>
  <c r="Q35" i="3" s="1"/>
  <c r="T869" i="3"/>
  <c r="W869" i="3" s="1"/>
  <c r="T979" i="3"/>
  <c r="W979" i="3" s="1"/>
  <c r="BB334" i="1"/>
  <c r="AZ334" i="1" s="1"/>
  <c r="Q646" i="3" s="1"/>
  <c r="BB217" i="1"/>
  <c r="AZ217" i="1" s="1"/>
  <c r="Q516" i="3" s="1"/>
  <c r="BB52" i="1"/>
  <c r="AZ52" i="1" s="1"/>
  <c r="Q68" i="3" s="1"/>
  <c r="BB515" i="1"/>
  <c r="AZ515" i="1" s="1"/>
  <c r="Q965" i="3" s="1"/>
  <c r="V28" i="3"/>
  <c r="T28" i="3"/>
  <c r="W28" i="3" s="1"/>
  <c r="V1161" i="3"/>
  <c r="V597" i="3"/>
  <c r="V866" i="3"/>
  <c r="T866" i="3"/>
  <c r="W866" i="3" s="1"/>
  <c r="V495" i="3"/>
  <c r="T495" i="3"/>
  <c r="W495" i="3" s="1"/>
  <c r="V1015" i="3"/>
  <c r="V657" i="3"/>
  <c r="T657" i="3"/>
  <c r="W657" i="3" s="1"/>
  <c r="V439" i="3"/>
  <c r="V149" i="3"/>
  <c r="V1071" i="3"/>
  <c r="T1071" i="3"/>
  <c r="W1071" i="3" s="1"/>
  <c r="V425" i="3"/>
  <c r="V847" i="3"/>
  <c r="T847" i="3"/>
  <c r="W847" i="3" s="1"/>
  <c r="V650" i="3"/>
  <c r="T650" i="3"/>
  <c r="W650" i="3" s="1"/>
  <c r="V588" i="3"/>
  <c r="V873" i="3"/>
  <c r="T873" i="3"/>
  <c r="W873" i="3" s="1"/>
  <c r="V236" i="3"/>
  <c r="V583" i="3"/>
  <c r="V218" i="3"/>
  <c r="T218" i="3"/>
  <c r="W218" i="3" s="1"/>
  <c r="V778" i="3"/>
  <c r="T778" i="3"/>
  <c r="W778" i="3" s="1"/>
  <c r="V317" i="3"/>
  <c r="T317" i="3"/>
  <c r="W317" i="3" s="1"/>
  <c r="V1066" i="3"/>
  <c r="V974" i="3"/>
  <c r="T974" i="3"/>
  <c r="W974" i="3" s="1"/>
  <c r="V1057" i="3"/>
  <c r="T1057" i="3"/>
  <c r="W1057" i="3" s="1"/>
  <c r="V344" i="3"/>
  <c r="V262" i="3"/>
  <c r="V785" i="3"/>
  <c r="T785" i="3"/>
  <c r="W785" i="3" s="1"/>
  <c r="V888" i="3"/>
  <c r="T888" i="3"/>
  <c r="W888" i="3" s="1"/>
  <c r="V82" i="3"/>
  <c r="T82" i="3"/>
  <c r="W82" i="3" s="1"/>
  <c r="V882" i="3"/>
  <c r="T882" i="3"/>
  <c r="W882" i="3" s="1"/>
  <c r="V997" i="3"/>
  <c r="T997" i="3"/>
  <c r="W997" i="3" s="1"/>
  <c r="V1106" i="3"/>
  <c r="T1106" i="3"/>
  <c r="W1106" i="3" s="1"/>
  <c r="V226" i="3"/>
  <c r="V1065" i="3"/>
  <c r="V991" i="3"/>
  <c r="T991" i="3"/>
  <c r="W991" i="3" s="1"/>
  <c r="V1120" i="3"/>
  <c r="T1120" i="3"/>
  <c r="W1120" i="3" s="1"/>
  <c r="V538" i="3"/>
  <c r="T538" i="3"/>
  <c r="W538" i="3" s="1"/>
  <c r="V1217" i="3"/>
  <c r="V414" i="3"/>
  <c r="V1233" i="3"/>
  <c r="T1233" i="3"/>
  <c r="W1233" i="3" s="1"/>
  <c r="V1193" i="3"/>
  <c r="T1193" i="3"/>
  <c r="W1193" i="3" s="1"/>
  <c r="V333" i="3"/>
  <c r="T333" i="3"/>
  <c r="W333" i="3" s="1"/>
  <c r="V417" i="3"/>
  <c r="T417" i="3"/>
  <c r="W417" i="3" s="1"/>
  <c r="V314" i="3"/>
  <c r="V1213" i="3"/>
  <c r="T1213" i="3"/>
  <c r="W1213" i="3" s="1"/>
  <c r="V436" i="3"/>
  <c r="T436" i="3"/>
  <c r="W436" i="3" s="1"/>
  <c r="V178" i="3"/>
  <c r="V449" i="3"/>
  <c r="V978" i="3"/>
  <c r="V994" i="3"/>
  <c r="T994" i="3"/>
  <c r="W994" i="3" s="1"/>
  <c r="V753" i="3"/>
  <c r="T753" i="3"/>
  <c r="W753" i="3" s="1"/>
  <c r="V1154" i="3"/>
  <c r="T1154" i="3"/>
  <c r="W1154" i="3" s="1"/>
  <c r="V887" i="3"/>
  <c r="T887" i="3"/>
  <c r="W887" i="3" s="1"/>
  <c r="V363" i="3"/>
  <c r="T363" i="3"/>
  <c r="W363" i="3" s="1"/>
  <c r="V704" i="3"/>
  <c r="T704" i="3"/>
  <c r="W704" i="3" s="1"/>
  <c r="V301" i="3"/>
  <c r="T301" i="3"/>
  <c r="W301" i="3" s="1"/>
  <c r="V816" i="3"/>
  <c r="T816" i="3"/>
  <c r="W816" i="3" s="1"/>
  <c r="V908" i="3"/>
  <c r="V562" i="3"/>
  <c r="T562" i="3"/>
  <c r="W562" i="3" s="1"/>
  <c r="V1214" i="3"/>
  <c r="T1214" i="3"/>
  <c r="W1214" i="3" s="1"/>
  <c r="V1043" i="3"/>
  <c r="T1043" i="3"/>
  <c r="W1043" i="3" s="1"/>
  <c r="V837" i="3"/>
  <c r="V127" i="3"/>
  <c r="V498" i="3"/>
  <c r="T498" i="3"/>
  <c r="W498" i="3" s="1"/>
  <c r="V125" i="3"/>
  <c r="T125" i="3"/>
  <c r="W125" i="3" s="1"/>
  <c r="V579" i="3"/>
  <c r="T579" i="3"/>
  <c r="W579" i="3" s="1"/>
  <c r="V1132" i="3"/>
  <c r="V957" i="3"/>
  <c r="T957" i="3"/>
  <c r="W957" i="3" s="1"/>
  <c r="V456" i="3"/>
  <c r="T456" i="3"/>
  <c r="W456" i="3" s="1"/>
  <c r="V771" i="3"/>
  <c r="T771" i="3"/>
  <c r="W771" i="3" s="1"/>
  <c r="V356" i="3"/>
  <c r="T356" i="3"/>
  <c r="W356" i="3" s="1"/>
  <c r="V880" i="3"/>
  <c r="T880" i="3"/>
  <c r="W880" i="3" s="1"/>
  <c r="V932" i="3"/>
  <c r="T932" i="3"/>
  <c r="W932" i="3" s="1"/>
  <c r="V1142" i="3"/>
  <c r="V1226" i="3"/>
  <c r="T1226" i="3"/>
  <c r="W1226" i="3" s="1"/>
  <c r="V1012" i="3"/>
  <c r="T1012" i="3"/>
  <c r="W1012" i="3" s="1"/>
  <c r="V275" i="3"/>
  <c r="V496" i="3"/>
  <c r="V1128" i="3"/>
  <c r="V377" i="3"/>
  <c r="T377" i="3"/>
  <c r="W377" i="3" s="1"/>
  <c r="V1228" i="3"/>
  <c r="T1228" i="3"/>
  <c r="W1228" i="3" s="1"/>
  <c r="V1023" i="3"/>
  <c r="V945" i="3"/>
  <c r="T945" i="3"/>
  <c r="W945" i="3" s="1"/>
  <c r="V939" i="3"/>
  <c r="T939" i="3"/>
  <c r="W939" i="3" s="1"/>
  <c r="V1164" i="3"/>
  <c r="T1164" i="3"/>
  <c r="W1164" i="3" s="1"/>
  <c r="V1162" i="3"/>
  <c r="T1162" i="3"/>
  <c r="W1162" i="3" s="1"/>
  <c r="V904" i="3"/>
  <c r="T904" i="3"/>
  <c r="W904" i="3" s="1"/>
  <c r="V717" i="3"/>
  <c r="T717" i="3"/>
  <c r="W717" i="3" s="1"/>
  <c r="V202" i="3"/>
  <c r="T202" i="3"/>
  <c r="W202" i="3" s="1"/>
  <c r="V1137" i="3"/>
  <c r="T1137" i="3"/>
  <c r="W1137" i="3" s="1"/>
  <c r="V787" i="3"/>
  <c r="V918" i="3"/>
  <c r="T918" i="3"/>
  <c r="W918" i="3" s="1"/>
  <c r="V885" i="3"/>
  <c r="V1059" i="3"/>
  <c r="T1059" i="3"/>
  <c r="W1059" i="3" s="1"/>
  <c r="V1172" i="3"/>
  <c r="T1172" i="3"/>
  <c r="W1172" i="3" s="1"/>
  <c r="V824" i="3"/>
  <c r="V1062" i="3"/>
  <c r="T1062" i="3"/>
  <c r="W1062" i="3" s="1"/>
  <c r="V1035" i="3"/>
  <c r="V680" i="3"/>
  <c r="T680" i="3"/>
  <c r="W680" i="3" s="1"/>
  <c r="V379" i="3"/>
  <c r="T379" i="3"/>
  <c r="W379" i="3" s="1"/>
  <c r="V11" i="3"/>
  <c r="T11" i="3"/>
  <c r="W11" i="3" s="1"/>
  <c r="V706" i="3"/>
  <c r="T706" i="3"/>
  <c r="W706" i="3" s="1"/>
  <c r="V802" i="3"/>
  <c r="V364" i="3"/>
  <c r="T364" i="3"/>
  <c r="W364" i="3" s="1"/>
  <c r="V789" i="3"/>
  <c r="V1069" i="3"/>
  <c r="T1069" i="3"/>
  <c r="W1069" i="3" s="1"/>
  <c r="V589" i="3"/>
  <c r="T589" i="3"/>
  <c r="W589" i="3" s="1"/>
  <c r="V949" i="3"/>
  <c r="T949" i="3"/>
  <c r="W949" i="3" s="1"/>
  <c r="V840" i="3"/>
  <c r="V194" i="3"/>
  <c r="T194" i="3"/>
  <c r="W194" i="3" s="1"/>
  <c r="V1099" i="3"/>
  <c r="T1099" i="3"/>
  <c r="W1099" i="3" s="1"/>
  <c r="V227" i="3"/>
  <c r="V1174" i="3"/>
  <c r="V958" i="3"/>
  <c r="T958" i="3"/>
  <c r="W958" i="3" s="1"/>
  <c r="V521" i="3"/>
  <c r="T521" i="3"/>
  <c r="W521" i="3" s="1"/>
  <c r="V57" i="3"/>
  <c r="T57" i="3"/>
  <c r="W57" i="3" s="1"/>
  <c r="V146" i="3"/>
  <c r="T146" i="3"/>
  <c r="W146" i="3" s="1"/>
  <c r="V781" i="3"/>
  <c r="T781" i="3"/>
  <c r="W781" i="3" s="1"/>
  <c r="V860" i="3"/>
  <c r="V176" i="3"/>
  <c r="V586" i="3"/>
  <c r="V729" i="3"/>
  <c r="T729" i="3"/>
  <c r="W729" i="3" s="1"/>
  <c r="V943" i="3"/>
  <c r="V646" i="3"/>
  <c r="V665" i="3"/>
  <c r="V836" i="3"/>
  <c r="V637" i="3"/>
  <c r="V748" i="3"/>
  <c r="T748" i="3"/>
  <c r="W748" i="3" s="1"/>
  <c r="V663" i="3"/>
  <c r="T663" i="3"/>
  <c r="W663" i="3" s="1"/>
  <c r="V667" i="3"/>
  <c r="T667" i="3"/>
  <c r="W667" i="3" s="1"/>
  <c r="V381" i="3"/>
  <c r="T381" i="3"/>
  <c r="W381" i="3" s="1"/>
  <c r="V388" i="3"/>
  <c r="T388" i="3"/>
  <c r="W388" i="3" s="1"/>
  <c r="V695" i="3"/>
  <c r="T695" i="3"/>
  <c r="W695" i="3" s="1"/>
  <c r="V470" i="3"/>
  <c r="T470" i="3"/>
  <c r="W470" i="3" s="1"/>
  <c r="V121" i="3"/>
  <c r="T121" i="3"/>
  <c r="W121" i="3" s="1"/>
  <c r="V269" i="3"/>
  <c r="T269" i="3"/>
  <c r="W269" i="3" s="1"/>
  <c r="V1081" i="3"/>
  <c r="T1081" i="3"/>
  <c r="W1081" i="3" s="1"/>
  <c r="V442" i="3"/>
  <c r="T442" i="3"/>
  <c r="W442" i="3" s="1"/>
  <c r="V129" i="3"/>
  <c r="T129" i="3"/>
  <c r="W129" i="3" s="1"/>
  <c r="V32" i="3"/>
  <c r="T32" i="3"/>
  <c r="W32" i="3" s="1"/>
  <c r="T449" i="3"/>
  <c r="W449" i="3" s="1"/>
  <c r="T885" i="3"/>
  <c r="W885" i="3" s="1"/>
  <c r="T1115" i="3"/>
  <c r="W1115" i="3" s="1"/>
  <c r="BB31" i="1"/>
  <c r="AZ31" i="1" s="1"/>
  <c r="Q37" i="3" s="1"/>
  <c r="BB39" i="1"/>
  <c r="AZ39" i="1" s="1"/>
  <c r="Q52" i="3" s="1"/>
  <c r="BB244" i="1"/>
  <c r="AZ244" i="1" s="1"/>
  <c r="Q498" i="3" s="1"/>
  <c r="BB48" i="1"/>
  <c r="AZ48" i="1" s="1"/>
  <c r="Q60" i="3" s="1"/>
  <c r="BB115" i="1"/>
  <c r="AZ115" i="1" s="1"/>
  <c r="Q258" i="3" s="1"/>
  <c r="BB152" i="1"/>
  <c r="AZ152" i="1" s="1"/>
  <c r="Q332" i="3" s="1"/>
  <c r="BB53" i="1"/>
  <c r="AZ53" i="1" s="1"/>
  <c r="Q96" i="3" s="1"/>
  <c r="BB286" i="1"/>
  <c r="AZ286" i="1" s="1"/>
  <c r="Q605" i="3" s="1"/>
  <c r="BB346" i="1"/>
  <c r="AZ346" i="1" s="1"/>
  <c r="Q689" i="3" s="1"/>
  <c r="BB657" i="1"/>
  <c r="AZ657" i="1" s="1"/>
  <c r="Q1169" i="3" s="1"/>
  <c r="BB577" i="1"/>
  <c r="AZ577" i="1" s="1"/>
  <c r="Q1081" i="3" s="1"/>
  <c r="BB228" i="1"/>
  <c r="AZ228" i="1" s="1"/>
  <c r="Q540" i="3" s="1"/>
  <c r="BB581" i="1"/>
  <c r="AZ581" i="1" s="1"/>
  <c r="Q1086" i="3" s="1"/>
  <c r="BB325" i="1"/>
  <c r="AZ325" i="1" s="1"/>
  <c r="Q661" i="3" s="1"/>
  <c r="BB652" i="1"/>
  <c r="AZ652" i="1" s="1"/>
  <c r="Q1181" i="3" s="1"/>
  <c r="BB583" i="1"/>
  <c r="AZ583" i="1" s="1"/>
  <c r="Q1088" i="3" s="1"/>
  <c r="BB193" i="1"/>
  <c r="AZ193" i="1" s="1"/>
  <c r="Q419" i="3" s="1"/>
  <c r="BB184" i="1"/>
  <c r="AZ184" i="1" s="1"/>
  <c r="Q442" i="3" s="1"/>
  <c r="BB422" i="1"/>
  <c r="AZ422" i="1" s="1"/>
  <c r="Q896" i="3" s="1"/>
  <c r="BB355" i="1"/>
  <c r="AZ355" i="1" s="1"/>
  <c r="Q717" i="3" s="1"/>
  <c r="BB249" i="1"/>
  <c r="AZ249" i="1" s="1"/>
  <c r="Q505" i="3" s="1"/>
  <c r="BB116" i="1"/>
  <c r="AZ116" i="1" s="1"/>
  <c r="Q248" i="3" s="1"/>
  <c r="BB74" i="1"/>
  <c r="AZ74" i="1" s="1"/>
  <c r="Q131" i="3" s="1"/>
  <c r="BB79" i="1"/>
  <c r="AZ79" i="1" s="1"/>
  <c r="Q152" i="3" s="1"/>
  <c r="BB174" i="1"/>
  <c r="AZ174" i="1" s="1"/>
  <c r="Q396" i="3" s="1"/>
  <c r="BB432" i="1"/>
  <c r="AZ432" i="1" s="1"/>
  <c r="Q815" i="3" s="1"/>
  <c r="BB327" i="1"/>
  <c r="AZ327" i="1" s="1"/>
  <c r="Q697" i="3" s="1"/>
  <c r="BB462" i="1"/>
  <c r="AZ462" i="1" s="1"/>
  <c r="Q958" i="3" s="1"/>
  <c r="BB119" i="1"/>
  <c r="AZ119" i="1" s="1"/>
  <c r="Q280" i="3" s="1"/>
  <c r="BB67" i="1"/>
  <c r="AZ67" i="1" s="1"/>
  <c r="Q126" i="3" s="1"/>
  <c r="BB40" i="1"/>
  <c r="AZ40" i="1" s="1"/>
  <c r="Q51" i="3" s="1"/>
  <c r="V594" i="3"/>
  <c r="V426" i="3"/>
  <c r="T426" i="3"/>
  <c r="W426" i="3" s="1"/>
  <c r="V672" i="3"/>
  <c r="V605" i="3"/>
  <c r="V98" i="3"/>
  <c r="T98" i="3"/>
  <c r="W98" i="3" s="1"/>
  <c r="V800" i="3"/>
  <c r="T800" i="3"/>
  <c r="W800" i="3" s="1"/>
  <c r="V555" i="3"/>
  <c r="T555" i="3"/>
  <c r="W555" i="3" s="1"/>
  <c r="V235" i="3"/>
  <c r="T235" i="3"/>
  <c r="W235" i="3" s="1"/>
  <c r="V1038" i="3"/>
  <c r="T1038" i="3"/>
  <c r="W1038" i="3" s="1"/>
  <c r="V928" i="3"/>
  <c r="T928" i="3"/>
  <c r="W928" i="3" s="1"/>
  <c r="V547" i="3"/>
  <c r="T547" i="3"/>
  <c r="W547" i="3" s="1"/>
  <c r="V604" i="3"/>
  <c r="T604" i="3"/>
  <c r="W604" i="3" s="1"/>
  <c r="V812" i="3"/>
  <c r="T812" i="3"/>
  <c r="W812" i="3" s="1"/>
  <c r="V512" i="3"/>
  <c r="T512" i="3"/>
  <c r="W512" i="3" s="1"/>
  <c r="V221" i="3"/>
  <c r="T221" i="3"/>
  <c r="W221" i="3" s="1"/>
  <c r="V70" i="3"/>
  <c r="T70" i="3"/>
  <c r="W70" i="3" s="1"/>
  <c r="V350" i="3"/>
  <c r="T350" i="3"/>
  <c r="W350" i="3" s="1"/>
  <c r="V986" i="3"/>
  <c r="T986" i="3"/>
  <c r="W986" i="3" s="1"/>
  <c r="V107" i="3"/>
  <c r="T107" i="3"/>
  <c r="W107" i="3" s="1"/>
  <c r="V255" i="3"/>
  <c r="T255" i="3"/>
  <c r="W255" i="3" s="1"/>
  <c r="V968" i="3"/>
  <c r="T968" i="3"/>
  <c r="W968" i="3" s="1"/>
  <c r="V1167" i="3"/>
  <c r="V108" i="3"/>
  <c r="T108" i="3"/>
  <c r="W108" i="3" s="1"/>
  <c r="V676" i="3"/>
  <c r="T676" i="3"/>
  <c r="W676" i="3" s="1"/>
  <c r="V834" i="3"/>
  <c r="T834" i="3"/>
  <c r="W834" i="3" s="1"/>
  <c r="V833" i="3"/>
  <c r="T833" i="3"/>
  <c r="W833" i="3" s="1"/>
  <c r="V86" i="3"/>
  <c r="T86" i="3"/>
  <c r="W86" i="3" s="1"/>
  <c r="V1160" i="3"/>
  <c r="T1160" i="3"/>
  <c r="W1160" i="3" s="1"/>
  <c r="V35" i="3"/>
  <c r="T35" i="3"/>
  <c r="W35" i="3" s="1"/>
  <c r="V578" i="3"/>
  <c r="T578" i="3"/>
  <c r="W578" i="3" s="1"/>
  <c r="V18" i="3"/>
  <c r="T18" i="3"/>
  <c r="W18" i="3" s="1"/>
  <c r="V1215" i="3"/>
  <c r="T1215" i="3"/>
  <c r="W1215" i="3" s="1"/>
  <c r="V242" i="3"/>
  <c r="T242" i="3"/>
  <c r="W242" i="3" s="1"/>
  <c r="V1090" i="3"/>
  <c r="T1090" i="3"/>
  <c r="W1090" i="3" s="1"/>
  <c r="V214" i="3"/>
  <c r="T214" i="3"/>
  <c r="W214" i="3" s="1"/>
  <c r="V565" i="3"/>
  <c r="T565" i="3"/>
  <c r="W565" i="3" s="1"/>
  <c r="V408" i="3"/>
  <c r="T408" i="3"/>
  <c r="W408" i="3" s="1"/>
  <c r="V58" i="3"/>
  <c r="T58" i="3"/>
  <c r="W58" i="3" s="1"/>
  <c r="V960" i="3"/>
  <c r="T960" i="3"/>
  <c r="W960" i="3" s="1"/>
  <c r="V1144" i="3"/>
  <c r="T1144" i="3"/>
  <c r="W1144" i="3" s="1"/>
  <c r="V192" i="3"/>
  <c r="T192" i="3"/>
  <c r="W192" i="3" s="1"/>
  <c r="V536" i="3"/>
  <c r="T536" i="3"/>
  <c r="W536" i="3" s="1"/>
  <c r="V963" i="3"/>
  <c r="T963" i="3"/>
  <c r="W963" i="3" s="1"/>
  <c r="V51" i="3"/>
  <c r="T51" i="3"/>
  <c r="W51" i="3" s="1"/>
  <c r="V354" i="3"/>
  <c r="T354" i="3"/>
  <c r="W354" i="3" s="1"/>
  <c r="V452" i="3"/>
  <c r="T452" i="3"/>
  <c r="W452" i="3" s="1"/>
  <c r="V233" i="3"/>
  <c r="T233" i="3"/>
  <c r="W233" i="3" s="1"/>
  <c r="V1078" i="3"/>
  <c r="V138" i="3"/>
  <c r="T138" i="3"/>
  <c r="W138" i="3" s="1"/>
  <c r="V849" i="3"/>
  <c r="V399" i="3"/>
  <c r="T399" i="3"/>
  <c r="W399" i="3" s="1"/>
  <c r="V990" i="3"/>
  <c r="T990" i="3"/>
  <c r="W990" i="3" s="1"/>
  <c r="V1031" i="3"/>
  <c r="T1031" i="3"/>
  <c r="W1031" i="3" s="1"/>
  <c r="V196" i="3"/>
  <c r="T196" i="3"/>
  <c r="W196" i="3" s="1"/>
  <c r="V287" i="3"/>
  <c r="T287" i="3"/>
  <c r="W287" i="3" s="1"/>
  <c r="V326" i="3"/>
  <c r="T326" i="3"/>
  <c r="W326" i="3" s="1"/>
  <c r="V901" i="3"/>
  <c r="T901" i="3"/>
  <c r="W901" i="3" s="1"/>
  <c r="V1001" i="3"/>
  <c r="T1001" i="3"/>
  <c r="W1001" i="3" s="1"/>
  <c r="V1042" i="3"/>
  <c r="T1042" i="3"/>
  <c r="W1042" i="3" s="1"/>
  <c r="V1177" i="3"/>
  <c r="T1177" i="3"/>
  <c r="W1177" i="3" s="1"/>
  <c r="V228" i="3"/>
  <c r="T228" i="3"/>
  <c r="W228" i="3" s="1"/>
  <c r="V571" i="3"/>
  <c r="T571" i="3"/>
  <c r="W571" i="3" s="1"/>
  <c r="V533" i="3"/>
  <c r="V52" i="3"/>
  <c r="T52" i="3"/>
  <c r="W52" i="3" s="1"/>
  <c r="V165" i="3"/>
  <c r="T165" i="3"/>
  <c r="W165" i="3" s="1"/>
  <c r="V645" i="3"/>
  <c r="V483" i="3"/>
  <c r="T483" i="3"/>
  <c r="W483" i="3" s="1"/>
  <c r="V72" i="3"/>
  <c r="V239" i="3"/>
  <c r="V902" i="3"/>
  <c r="V1155" i="3"/>
  <c r="V799" i="3"/>
  <c r="V451" i="3"/>
  <c r="T451" i="3"/>
  <c r="W451" i="3" s="1"/>
  <c r="V453" i="3"/>
  <c r="T453" i="3"/>
  <c r="W453" i="3" s="1"/>
  <c r="V546" i="3"/>
  <c r="T546" i="3"/>
  <c r="W546" i="3" s="1"/>
  <c r="V1111" i="3"/>
  <c r="T1111" i="3"/>
  <c r="W1111" i="3" s="1"/>
  <c r="V398" i="3"/>
  <c r="T398" i="3"/>
  <c r="W398" i="3" s="1"/>
  <c r="V1022" i="3"/>
  <c r="V551" i="3"/>
  <c r="V353" i="3"/>
  <c r="T353" i="3"/>
  <c r="W353" i="3" s="1"/>
  <c r="V95" i="3"/>
  <c r="V761" i="3"/>
  <c r="T761" i="3"/>
  <c r="W761" i="3" s="1"/>
  <c r="V457" i="3"/>
  <c r="T457" i="3"/>
  <c r="W457" i="3" s="1"/>
  <c r="V662" i="3"/>
  <c r="T662" i="3"/>
  <c r="W662" i="3" s="1"/>
  <c r="V484" i="3"/>
  <c r="T179" i="3"/>
  <c r="W179" i="3" s="1"/>
  <c r="V179" i="3"/>
  <c r="V1055" i="3"/>
  <c r="T1055" i="3"/>
  <c r="W1055" i="3" s="1"/>
  <c r="V582" i="3"/>
  <c r="T582" i="3"/>
  <c r="W582" i="3" s="1"/>
  <c r="V135" i="3"/>
  <c r="T135" i="3"/>
  <c r="W135" i="3" s="1"/>
  <c r="V559" i="3"/>
  <c r="V774" i="3"/>
  <c r="T774" i="3"/>
  <c r="W774" i="3" s="1"/>
  <c r="V1171" i="3"/>
  <c r="T1171" i="3"/>
  <c r="W1171" i="3" s="1"/>
  <c r="V871" i="3"/>
  <c r="T871" i="3"/>
  <c r="W871" i="3" s="1"/>
  <c r="V1026" i="3"/>
  <c r="T1026" i="3"/>
  <c r="W1026" i="3" s="1"/>
  <c r="V259" i="3"/>
  <c r="T259" i="3"/>
  <c r="W259" i="3" s="1"/>
  <c r="V980" i="3"/>
  <c r="V1107" i="3"/>
  <c r="V617" i="3"/>
  <c r="T617" i="3"/>
  <c r="W617" i="3" s="1"/>
  <c r="V777" i="3"/>
  <c r="V490" i="3"/>
  <c r="V823" i="3"/>
  <c r="T823" i="3"/>
  <c r="W823" i="3" s="1"/>
  <c r="V450" i="3"/>
  <c r="V1205" i="3"/>
  <c r="V357" i="3"/>
  <c r="T357" i="3"/>
  <c r="W357" i="3" s="1"/>
  <c r="V993" i="3"/>
  <c r="T993" i="3"/>
  <c r="W993" i="3" s="1"/>
  <c r="V585" i="3"/>
  <c r="T585" i="3"/>
  <c r="W585" i="3" s="1"/>
  <c r="V550" i="3"/>
  <c r="T550" i="3"/>
  <c r="W550" i="3" s="1"/>
  <c r="V746" i="3"/>
  <c r="V509" i="3"/>
  <c r="T509" i="3"/>
  <c r="W509" i="3" s="1"/>
  <c r="V8" i="3"/>
  <c r="T8" i="3"/>
  <c r="W8" i="3" s="1"/>
  <c r="V448" i="3"/>
  <c r="V69" i="3"/>
  <c r="T69" i="3"/>
  <c r="W69" i="3" s="1"/>
  <c r="V539" i="3"/>
  <c r="T539" i="3"/>
  <c r="W539" i="3" s="1"/>
  <c r="V250" i="3"/>
  <c r="T250" i="3"/>
  <c r="W250" i="3" s="1"/>
  <c r="V803" i="3"/>
  <c r="T803" i="3"/>
  <c r="W803" i="3" s="1"/>
  <c r="V765" i="3"/>
  <c r="T765" i="3"/>
  <c r="W765" i="3" s="1"/>
  <c r="V600" i="3"/>
  <c r="T600" i="3"/>
  <c r="W600" i="3" s="1"/>
  <c r="V878" i="3"/>
  <c r="T878" i="3"/>
  <c r="W878" i="3" s="1"/>
  <c r="V1179" i="3"/>
  <c r="T1179" i="3"/>
  <c r="W1179" i="3" s="1"/>
  <c r="V447" i="3"/>
  <c r="T447" i="3"/>
  <c r="W447" i="3" s="1"/>
  <c r="V609" i="3"/>
  <c r="T609" i="3"/>
  <c r="W609" i="3" s="1"/>
  <c r="V278" i="3"/>
  <c r="V273" i="3"/>
  <c r="T273" i="3"/>
  <c r="W273" i="3" s="1"/>
  <c r="V476" i="3"/>
  <c r="T476" i="3"/>
  <c r="W476" i="3" s="1"/>
  <c r="V30" i="3"/>
  <c r="T30" i="3"/>
  <c r="W30" i="3" s="1"/>
  <c r="V40" i="3"/>
  <c r="T40" i="3"/>
  <c r="W40" i="3" s="1"/>
  <c r="V1029" i="3"/>
  <c r="V1105" i="3"/>
  <c r="T1105" i="3"/>
  <c r="W1105" i="3" s="1"/>
  <c r="V948" i="3"/>
  <c r="T948" i="3"/>
  <c r="W948" i="3" s="1"/>
  <c r="V41" i="3"/>
  <c r="T41" i="3"/>
  <c r="W41" i="3" s="1"/>
  <c r="V731" i="3"/>
  <c r="T731" i="3"/>
  <c r="W731" i="3" s="1"/>
  <c r="V1184" i="3"/>
  <c r="T1184" i="3"/>
  <c r="W1184" i="3" s="1"/>
  <c r="V1098" i="3"/>
  <c r="T1098" i="3"/>
  <c r="W1098" i="3" s="1"/>
  <c r="V133" i="3"/>
  <c r="V59" i="3"/>
  <c r="T59" i="3"/>
  <c r="W59" i="3" s="1"/>
  <c r="V36" i="3"/>
  <c r="T36" i="3"/>
  <c r="W36" i="3" s="1"/>
  <c r="V5" i="3"/>
  <c r="T5" i="3"/>
  <c r="W5" i="3" s="1"/>
  <c r="V142" i="3"/>
  <c r="T142" i="3"/>
  <c r="W142" i="3" s="1"/>
  <c r="T893" i="3"/>
  <c r="W893" i="3" s="1"/>
  <c r="T450" i="3"/>
  <c r="W450" i="3" s="1"/>
  <c r="T92" i="3"/>
  <c r="W92" i="3" s="1"/>
  <c r="T824" i="3"/>
  <c r="W824" i="3" s="1"/>
  <c r="T1007" i="3"/>
  <c r="W1007" i="3" s="1"/>
  <c r="T746" i="3"/>
  <c r="W746" i="3" s="1"/>
  <c r="T840" i="3"/>
  <c r="W840" i="3" s="1"/>
  <c r="T605" i="3"/>
  <c r="W605" i="3" s="1"/>
  <c r="T1029" i="3"/>
  <c r="W1029" i="3" s="1"/>
  <c r="T496" i="3"/>
  <c r="W496" i="3" s="1"/>
  <c r="T227" i="3"/>
  <c r="W227" i="3" s="1"/>
  <c r="T344" i="3"/>
  <c r="W344" i="3" s="1"/>
  <c r="T978" i="3"/>
  <c r="W978" i="3" s="1"/>
  <c r="T1155" i="3"/>
  <c r="W1155" i="3" s="1"/>
  <c r="T908" i="3"/>
  <c r="W908" i="3" s="1"/>
  <c r="V400" i="3"/>
  <c r="T400" i="3"/>
  <c r="W400" i="3" s="1"/>
  <c r="V1170" i="3"/>
  <c r="T1170" i="3"/>
  <c r="W1170" i="3" s="1"/>
  <c r="V700" i="3"/>
  <c r="V73" i="3"/>
  <c r="V340" i="3"/>
  <c r="T340" i="3"/>
  <c r="W340" i="3" s="1"/>
  <c r="V147" i="3"/>
  <c r="T147" i="3"/>
  <c r="W147" i="3" s="1"/>
  <c r="V1127" i="3"/>
  <c r="T1127" i="3"/>
  <c r="W1127" i="3" s="1"/>
  <c r="V47" i="3"/>
  <c r="T47" i="3"/>
  <c r="W47" i="3" s="1"/>
  <c r="V561" i="3"/>
  <c r="T561" i="3"/>
  <c r="W561" i="3" s="1"/>
  <c r="V277" i="3"/>
  <c r="T277" i="3"/>
  <c r="W277" i="3" s="1"/>
  <c r="V79" i="3"/>
  <c r="T79" i="3"/>
  <c r="W79" i="3" s="1"/>
  <c r="V1189" i="3"/>
  <c r="T1189" i="3"/>
  <c r="W1189" i="3" s="1"/>
  <c r="V1104" i="3"/>
  <c r="T1104" i="3"/>
  <c r="W1104" i="3" s="1"/>
  <c r="V83" i="3"/>
  <c r="T83" i="3"/>
  <c r="W83" i="3" s="1"/>
  <c r="V316" i="3"/>
  <c r="T316" i="3"/>
  <c r="W316" i="3" s="1"/>
  <c r="V762" i="3"/>
  <c r="T762" i="3"/>
  <c r="W762" i="3" s="1"/>
  <c r="V479" i="3"/>
  <c r="T479" i="3"/>
  <c r="W479" i="3" s="1"/>
  <c r="V264" i="3"/>
  <c r="V861" i="3"/>
  <c r="T861" i="3"/>
  <c r="W861" i="3" s="1"/>
  <c r="V1020" i="3"/>
  <c r="T1020" i="3"/>
  <c r="W1020" i="3" s="1"/>
  <c r="V169" i="3"/>
  <c r="T169" i="3"/>
  <c r="W169" i="3" s="1"/>
  <c r="V201" i="3"/>
  <c r="T201" i="3"/>
  <c r="W201" i="3" s="1"/>
  <c r="V897" i="3"/>
  <c r="T897" i="3"/>
  <c r="W897" i="3" s="1"/>
  <c r="V211" i="3"/>
  <c r="V940" i="3"/>
  <c r="V510" i="3"/>
  <c r="T510" i="3"/>
  <c r="W510" i="3" s="1"/>
  <c r="V435" i="3"/>
  <c r="T435" i="3"/>
  <c r="W435" i="3" s="1"/>
  <c r="V936" i="3"/>
  <c r="T936" i="3"/>
  <c r="W936" i="3" s="1"/>
  <c r="V970" i="3"/>
  <c r="T970" i="3"/>
  <c r="W970" i="3" s="1"/>
  <c r="V507" i="3"/>
  <c r="T507" i="3"/>
  <c r="W507" i="3" s="1"/>
  <c r="V385" i="3"/>
  <c r="T385" i="3"/>
  <c r="W385" i="3" s="1"/>
  <c r="V535" i="3"/>
  <c r="T535" i="3"/>
  <c r="W535" i="3" s="1"/>
  <c r="V606" i="3"/>
  <c r="T606" i="3"/>
  <c r="W606" i="3" s="1"/>
  <c r="V906" i="3"/>
  <c r="T906" i="3"/>
  <c r="W906" i="3" s="1"/>
  <c r="V319" i="3"/>
  <c r="V501" i="3"/>
  <c r="T501" i="3"/>
  <c r="W501" i="3" s="1"/>
  <c r="V574" i="3"/>
  <c r="V373" i="3"/>
  <c r="T373" i="3"/>
  <c r="W373" i="3" s="1"/>
  <c r="V879" i="3"/>
  <c r="V1146" i="3"/>
  <c r="V684" i="3"/>
  <c r="T684" i="3"/>
  <c r="W684" i="3" s="1"/>
  <c r="V735" i="3"/>
  <c r="T735" i="3"/>
  <c r="W735" i="3" s="1"/>
  <c r="V628" i="3"/>
  <c r="V284" i="3"/>
  <c r="T284" i="3"/>
  <c r="W284" i="3" s="1"/>
  <c r="V154" i="3"/>
  <c r="V295" i="3"/>
  <c r="T295" i="3"/>
  <c r="W295" i="3" s="1"/>
  <c r="V711" i="3"/>
  <c r="T711" i="3"/>
  <c r="W711" i="3" s="1"/>
  <c r="V652" i="3"/>
  <c r="T652" i="3"/>
  <c r="W652" i="3" s="1"/>
  <c r="V362" i="3"/>
  <c r="T362" i="3"/>
  <c r="W362" i="3" s="1"/>
  <c r="V1109" i="3"/>
  <c r="T1109" i="3"/>
  <c r="W1109" i="3" s="1"/>
  <c r="V631" i="3"/>
  <c r="T631" i="3"/>
  <c r="W631" i="3" s="1"/>
  <c r="V397" i="3"/>
  <c r="T397" i="3"/>
  <c r="W397" i="3" s="1"/>
  <c r="V139" i="3"/>
  <c r="V118" i="3"/>
  <c r="T118" i="3"/>
  <c r="W118" i="3" s="1"/>
  <c r="V566" i="3"/>
  <c r="V1220" i="3"/>
  <c r="T1220" i="3"/>
  <c r="W1220" i="3" s="1"/>
  <c r="V263" i="3"/>
  <c r="T263" i="3"/>
  <c r="W263" i="3" s="1"/>
  <c r="V1014" i="3"/>
  <c r="T1014" i="3"/>
  <c r="W1014" i="3" s="1"/>
  <c r="V131" i="3"/>
  <c r="V116" i="3"/>
  <c r="T116" i="3"/>
  <c r="W116" i="3" s="1"/>
  <c r="V666" i="3"/>
  <c r="T666" i="3"/>
  <c r="W666" i="3" s="1"/>
  <c r="V67" i="3"/>
  <c r="T67" i="3"/>
  <c r="W67" i="3" s="1"/>
  <c r="V22" i="3"/>
  <c r="T22" i="3"/>
  <c r="W22" i="3" s="1"/>
  <c r="BB559" i="1"/>
  <c r="AZ559" i="1" s="1"/>
  <c r="Q1064" i="3" s="1"/>
  <c r="BB479" i="1"/>
  <c r="AZ479" i="1" s="1"/>
  <c r="Q903" i="3" s="1"/>
  <c r="BB627" i="1"/>
  <c r="AZ627" i="1" s="1"/>
  <c r="Q1132" i="3" s="1"/>
  <c r="BB622" i="1"/>
  <c r="AZ622" i="1" s="1"/>
  <c r="Q1110" i="3" s="1"/>
  <c r="BB621" i="1"/>
  <c r="AZ621" i="1" s="1"/>
  <c r="Q1109" i="3" s="1"/>
  <c r="BB175" i="1"/>
  <c r="AZ175" i="1" s="1"/>
  <c r="Q397" i="3" s="1"/>
  <c r="BB460" i="1"/>
  <c r="AZ460" i="1" s="1"/>
  <c r="Q872" i="3" s="1"/>
  <c r="BB428" i="1"/>
  <c r="AZ428" i="1" s="1"/>
  <c r="Q810" i="3" s="1"/>
  <c r="BB62" i="1"/>
  <c r="AZ62" i="1" s="1"/>
  <c r="Q121" i="3" s="1"/>
  <c r="BB509" i="1"/>
  <c r="AZ509" i="1" s="1"/>
  <c r="Q1002" i="3" s="1"/>
  <c r="BB369" i="1"/>
  <c r="AZ369" i="1" s="1"/>
  <c r="Q703" i="3" s="1"/>
  <c r="BB294" i="1"/>
  <c r="AZ294" i="1" s="1"/>
  <c r="Q615" i="3" s="1"/>
  <c r="BB329" i="1"/>
  <c r="AZ329" i="1" s="1"/>
  <c r="Q666" i="3" s="1"/>
  <c r="BB246" i="1"/>
  <c r="AZ246" i="1" s="1"/>
  <c r="Q530" i="3" s="1"/>
  <c r="BB448" i="1"/>
  <c r="AZ448" i="1" s="1"/>
  <c r="Q845" i="3" s="1"/>
  <c r="BB517" i="1"/>
  <c r="AZ517" i="1" s="1"/>
  <c r="Q971" i="3" s="1"/>
  <c r="BB458" i="1"/>
  <c r="AZ458" i="1" s="1"/>
  <c r="Q954" i="3" s="1"/>
  <c r="BB634" i="1"/>
  <c r="AZ634" i="1" s="1"/>
  <c r="Q1111" i="3" s="1"/>
  <c r="BB349" i="1"/>
  <c r="AZ349" i="1" s="1"/>
  <c r="Q624" i="3" s="1"/>
  <c r="BB588" i="1"/>
  <c r="AZ588" i="1" s="1"/>
  <c r="Q1067" i="3" s="1"/>
  <c r="BB547" i="1"/>
  <c r="AZ547" i="1" s="1"/>
  <c r="Q1034" i="3" s="1"/>
  <c r="BB127" i="1"/>
  <c r="AZ127" i="1" s="1"/>
  <c r="Q290" i="3" s="1"/>
  <c r="BB416" i="1"/>
  <c r="AZ416" i="1" s="1"/>
  <c r="Q840" i="3" s="1"/>
  <c r="BB268" i="1"/>
  <c r="AZ268" i="1" s="1"/>
  <c r="Q532" i="3" s="1"/>
  <c r="BB589" i="1"/>
  <c r="AZ589" i="1" s="1"/>
  <c r="Q1069" i="3" s="1"/>
  <c r="BB166" i="1"/>
  <c r="AZ166" i="1" s="1"/>
  <c r="Q402" i="3" s="1"/>
  <c r="BB158" i="1"/>
  <c r="AZ158" i="1" s="1"/>
  <c r="Q369" i="3" s="1"/>
  <c r="BB133" i="1"/>
  <c r="AZ133" i="1" s="1"/>
  <c r="Q295" i="3" s="1"/>
  <c r="BB15" i="1"/>
  <c r="AZ15" i="1" s="1"/>
  <c r="Q17" i="3" s="1"/>
  <c r="BB11" i="1"/>
  <c r="AZ11" i="1" s="1"/>
  <c r="Q11" i="3" s="1"/>
  <c r="BB162" i="1"/>
  <c r="AZ162" i="1" s="1"/>
  <c r="Q391" i="3" s="1"/>
  <c r="V1005" i="3"/>
  <c r="V188" i="3"/>
  <c r="T188" i="3"/>
  <c r="W188" i="3" s="1"/>
  <c r="V368" i="3"/>
  <c r="V723" i="3"/>
  <c r="V503" i="3"/>
  <c r="T503" i="3"/>
  <c r="W503" i="3" s="1"/>
  <c r="V625" i="3"/>
  <c r="T625" i="3"/>
  <c r="W625" i="3" s="1"/>
  <c r="V1016" i="3"/>
  <c r="V832" i="3"/>
  <c r="T832" i="3"/>
  <c r="W832" i="3" s="1"/>
  <c r="V1158" i="3"/>
  <c r="T1158" i="3"/>
  <c r="W1158" i="3" s="1"/>
  <c r="V360" i="3"/>
  <c r="V334" i="3"/>
  <c r="T334" i="3"/>
  <c r="W334" i="3" s="1"/>
  <c r="V807" i="3"/>
  <c r="V1017" i="3"/>
  <c r="T1017" i="3"/>
  <c r="W1017" i="3" s="1"/>
  <c r="V740" i="3"/>
  <c r="V247" i="3"/>
  <c r="T247" i="3"/>
  <c r="W247" i="3" s="1"/>
  <c r="V713" i="3"/>
  <c r="T713" i="3"/>
  <c r="W713" i="3" s="1"/>
  <c r="V114" i="3"/>
  <c r="T114" i="3"/>
  <c r="W114" i="3" s="1"/>
  <c r="V548" i="3"/>
  <c r="T548" i="3"/>
  <c r="W548" i="3" s="1"/>
  <c r="V930" i="3"/>
  <c r="T930" i="3"/>
  <c r="W930" i="3" s="1"/>
  <c r="V1123" i="3"/>
  <c r="T1123" i="3"/>
  <c r="W1123" i="3" s="1"/>
  <c r="V45" i="3"/>
  <c r="T45" i="3"/>
  <c r="W45" i="3" s="1"/>
  <c r="V166" i="3"/>
  <c r="T166" i="3"/>
  <c r="W166" i="3" s="1"/>
  <c r="V556" i="3"/>
  <c r="V851" i="3"/>
  <c r="T851" i="3"/>
  <c r="W851" i="3" s="1"/>
  <c r="V815" i="3"/>
  <c r="T815" i="3"/>
  <c r="W815" i="3" s="1"/>
  <c r="V925" i="3"/>
  <c r="T925" i="3"/>
  <c r="W925" i="3" s="1"/>
  <c r="T1153" i="3"/>
  <c r="W1153" i="3" s="1"/>
  <c r="V1153" i="3"/>
  <c r="V1119" i="3"/>
  <c r="V1082" i="3"/>
  <c r="T1082" i="3"/>
  <c r="W1082" i="3" s="1"/>
  <c r="V1102" i="3"/>
  <c r="T1102" i="3"/>
  <c r="W1102" i="3" s="1"/>
  <c r="V613" i="3"/>
  <c r="T613" i="3"/>
  <c r="W613" i="3" s="1"/>
  <c r="V1211" i="3"/>
  <c r="T1211" i="3"/>
  <c r="W1211" i="3" s="1"/>
  <c r="V430" i="3"/>
  <c r="T430" i="3"/>
  <c r="W430" i="3" s="1"/>
  <c r="V808" i="3"/>
  <c r="V390" i="3"/>
  <c r="T390" i="3"/>
  <c r="W390" i="3" s="1"/>
  <c r="V341" i="3"/>
  <c r="V1086" i="3"/>
  <c r="T1086" i="3"/>
  <c r="W1086" i="3" s="1"/>
  <c r="V910" i="3"/>
  <c r="T910" i="3"/>
  <c r="W910" i="3" s="1"/>
  <c r="V1194" i="3"/>
  <c r="V976" i="3"/>
  <c r="T976" i="3"/>
  <c r="W976" i="3" s="1"/>
  <c r="V907" i="3"/>
  <c r="V26" i="3"/>
  <c r="V281" i="3"/>
  <c r="V1112" i="3"/>
  <c r="T1112" i="3"/>
  <c r="W1112" i="3" s="1"/>
  <c r="V552" i="3"/>
  <c r="T552" i="3"/>
  <c r="W552" i="3" s="1"/>
  <c r="V382" i="3"/>
  <c r="T382" i="3"/>
  <c r="W382" i="3" s="1"/>
  <c r="V615" i="3"/>
  <c r="T615" i="3"/>
  <c r="W615" i="3" s="1"/>
  <c r="V862" i="3"/>
  <c r="T862" i="3"/>
  <c r="W862" i="3" s="1"/>
  <c r="V1138" i="3"/>
  <c r="T1138" i="3"/>
  <c r="W1138" i="3" s="1"/>
  <c r="V1034" i="3"/>
  <c r="T1034" i="3"/>
  <c r="W1034" i="3" s="1"/>
  <c r="V1208" i="3"/>
  <c r="V829" i="3"/>
  <c r="T829" i="3"/>
  <c r="W829" i="3" s="1"/>
  <c r="V168" i="3"/>
  <c r="T168" i="3"/>
  <c r="W168" i="3" s="1"/>
  <c r="V1180" i="3"/>
  <c r="V843" i="3"/>
  <c r="T843" i="3"/>
  <c r="W843" i="3" s="1"/>
  <c r="V266" i="3"/>
  <c r="T266" i="3"/>
  <c r="W266" i="3" s="1"/>
  <c r="V560" i="3"/>
  <c r="T560" i="3"/>
  <c r="W560" i="3" s="1"/>
  <c r="V9" i="3"/>
  <c r="T9" i="3"/>
  <c r="W9" i="3" s="1"/>
  <c r="V814" i="3"/>
  <c r="T814" i="3"/>
  <c r="W814" i="3" s="1"/>
  <c r="V530" i="3"/>
  <c r="T530" i="3"/>
  <c r="W530" i="3" s="1"/>
  <c r="V375" i="3"/>
  <c r="T375" i="3"/>
  <c r="W375" i="3" s="1"/>
  <c r="V649" i="3"/>
  <c r="T649" i="3"/>
  <c r="W649" i="3" s="1"/>
  <c r="V686" i="3"/>
  <c r="T686" i="3"/>
  <c r="W686" i="3" s="1"/>
  <c r="V621" i="3"/>
  <c r="T621" i="3"/>
  <c r="W621" i="3" s="1"/>
  <c r="V434" i="3"/>
  <c r="T434" i="3"/>
  <c r="W434" i="3" s="1"/>
  <c r="V754" i="3"/>
  <c r="T754" i="3"/>
  <c r="W754" i="3" s="1"/>
  <c r="V1195" i="3"/>
  <c r="T1195" i="3"/>
  <c r="W1195" i="3" s="1"/>
  <c r="V33" i="3"/>
  <c r="T33" i="3"/>
  <c r="W33" i="3" s="1"/>
  <c r="V7" i="3"/>
  <c r="V100" i="3"/>
  <c r="V995" i="3"/>
  <c r="V981" i="3"/>
  <c r="T981" i="3"/>
  <c r="W981" i="3" s="1"/>
  <c r="V1060" i="3"/>
  <c r="T1060" i="3"/>
  <c r="W1060" i="3" s="1"/>
  <c r="V126" i="3"/>
  <c r="T126" i="3"/>
  <c r="W126" i="3" s="1"/>
  <c r="V689" i="3"/>
  <c r="T689" i="3"/>
  <c r="W689" i="3" s="1"/>
  <c r="V1196" i="3"/>
  <c r="T1196" i="3"/>
  <c r="W1196" i="3" s="1"/>
  <c r="V429" i="3"/>
  <c r="V230" i="3"/>
  <c r="V290" i="3"/>
  <c r="V300" i="3"/>
  <c r="T300" i="3"/>
  <c r="W300" i="3" s="1"/>
  <c r="V419" i="3"/>
  <c r="V511" i="3"/>
  <c r="V580" i="3"/>
  <c r="V703" i="3"/>
  <c r="T703" i="3"/>
  <c r="W703" i="3" s="1"/>
  <c r="V763" i="3"/>
  <c r="T763" i="3"/>
  <c r="W763" i="3" s="1"/>
  <c r="V6" i="3"/>
  <c r="V616" i="3"/>
  <c r="V828" i="3"/>
  <c r="T828" i="3"/>
  <c r="W828" i="3" s="1"/>
  <c r="V875" i="3"/>
  <c r="T875" i="3"/>
  <c r="W875" i="3" s="1"/>
  <c r="V923" i="3"/>
  <c r="T923" i="3"/>
  <c r="W923" i="3" s="1"/>
  <c r="V912" i="3"/>
  <c r="V549" i="3"/>
  <c r="V517" i="3"/>
  <c r="T517" i="3"/>
  <c r="W517" i="3" s="1"/>
  <c r="V915" i="3"/>
  <c r="V570" i="3"/>
  <c r="T570" i="3"/>
  <c r="W570" i="3" s="1"/>
  <c r="V786" i="3"/>
  <c r="T786" i="3"/>
  <c r="W786" i="3" s="1"/>
  <c r="V876" i="3"/>
  <c r="T876" i="3"/>
  <c r="W876" i="3" s="1"/>
  <c r="V128" i="3"/>
  <c r="V1100" i="3"/>
  <c r="V523" i="3"/>
  <c r="T523" i="3"/>
  <c r="W523" i="3" s="1"/>
  <c r="V189" i="3"/>
  <c r="V232" i="3"/>
  <c r="T232" i="3"/>
  <c r="W232" i="3" s="1"/>
  <c r="V544" i="3"/>
  <c r="T544" i="3"/>
  <c r="W544" i="3" s="1"/>
  <c r="V788" i="3"/>
  <c r="T788" i="3"/>
  <c r="W788" i="3" s="1"/>
  <c r="V892" i="3"/>
  <c r="T892" i="3"/>
  <c r="W892" i="3" s="1"/>
  <c r="V1013" i="3"/>
  <c r="V288" i="3"/>
  <c r="V967" i="3"/>
  <c r="T967" i="3"/>
  <c r="W967" i="3" s="1"/>
  <c r="V827" i="3"/>
  <c r="T827" i="3"/>
  <c r="W827" i="3" s="1"/>
  <c r="V905" i="3"/>
  <c r="T905" i="3"/>
  <c r="W905" i="3" s="1"/>
  <c r="V331" i="3"/>
  <c r="T331" i="3"/>
  <c r="W331" i="3" s="1"/>
  <c r="V508" i="3"/>
  <c r="T508" i="3"/>
  <c r="W508" i="3" s="1"/>
  <c r="V965" i="3"/>
  <c r="V267" i="3"/>
  <c r="T267" i="3"/>
  <c r="W267" i="3" s="1"/>
  <c r="V859" i="3"/>
  <c r="T859" i="3"/>
  <c r="W859" i="3" s="1"/>
  <c r="V438" i="3"/>
  <c r="V351" i="3"/>
  <c r="T351" i="3"/>
  <c r="W351" i="3" s="1"/>
  <c r="V330" i="3"/>
  <c r="V1053" i="3"/>
  <c r="T1053" i="3"/>
  <c r="W1053" i="3" s="1"/>
  <c r="V1185" i="3"/>
  <c r="V296" i="3"/>
  <c r="T296" i="3"/>
  <c r="W296" i="3" s="1"/>
  <c r="V285" i="3"/>
  <c r="T285" i="3"/>
  <c r="W285" i="3" s="1"/>
  <c r="V764" i="3"/>
  <c r="T764" i="3"/>
  <c r="W764" i="3" s="1"/>
  <c r="V1209" i="3"/>
  <c r="T1209" i="3"/>
  <c r="W1209" i="3" s="1"/>
  <c r="V914" i="3"/>
  <c r="T914" i="3"/>
  <c r="W914" i="3" s="1"/>
  <c r="V329" i="3"/>
  <c r="T329" i="3"/>
  <c r="W329" i="3" s="1"/>
  <c r="V1169" i="3"/>
  <c r="T1169" i="3"/>
  <c r="W1169" i="3" s="1"/>
  <c r="V467" i="3"/>
  <c r="T467" i="3"/>
  <c r="W467" i="3" s="1"/>
  <c r="V445" i="3"/>
  <c r="T445" i="3"/>
  <c r="W445" i="3" s="1"/>
  <c r="V145" i="3"/>
  <c r="T145" i="3"/>
  <c r="W145" i="3" s="1"/>
  <c r="V618" i="3"/>
  <c r="T618" i="3"/>
  <c r="W618" i="3" s="1"/>
  <c r="V185" i="3"/>
  <c r="T185" i="3"/>
  <c r="W185" i="3" s="1"/>
  <c r="V553" i="3"/>
  <c r="T553" i="3"/>
  <c r="W553" i="3" s="1"/>
  <c r="V117" i="3"/>
  <c r="T117" i="3"/>
  <c r="W117" i="3" s="1"/>
  <c r="V248" i="3"/>
  <c r="T248" i="3"/>
  <c r="W248" i="3" s="1"/>
  <c r="V14" i="3"/>
  <c r="T14" i="3"/>
  <c r="W14" i="3" s="1"/>
  <c r="T368" i="3"/>
  <c r="W368" i="3" s="1"/>
  <c r="T1174" i="3"/>
  <c r="W1174" i="3" s="1"/>
  <c r="T1161" i="3"/>
  <c r="W1161" i="3" s="1"/>
  <c r="T360" i="3"/>
  <c r="W360" i="3" s="1"/>
  <c r="T943" i="3"/>
  <c r="W943" i="3" s="1"/>
  <c r="T1005" i="3"/>
  <c r="W1005" i="3" s="1"/>
  <c r="T1015" i="3"/>
  <c r="W1015" i="3" s="1"/>
  <c r="T275" i="3"/>
  <c r="W275" i="3" s="1"/>
  <c r="T597" i="3"/>
  <c r="W597" i="3" s="1"/>
  <c r="T330" i="3"/>
  <c r="W330" i="3" s="1"/>
  <c r="T419" i="3"/>
  <c r="W419" i="3" s="1"/>
  <c r="T189" i="3"/>
  <c r="W189" i="3" s="1"/>
  <c r="T1205" i="3"/>
  <c r="W1205" i="3" s="1"/>
  <c r="T839" i="3"/>
  <c r="W839" i="3" s="1"/>
  <c r="T1128" i="3"/>
  <c r="W1128" i="3" s="1"/>
  <c r="T533" i="3"/>
  <c r="W533" i="3" s="1"/>
  <c r="T133" i="3"/>
  <c r="W133" i="3" s="1"/>
  <c r="V380" i="3"/>
  <c r="T380" i="3"/>
  <c r="W380" i="3" s="1"/>
  <c r="V595" i="3"/>
  <c r="T595" i="3"/>
  <c r="W595" i="3" s="1"/>
  <c r="V757" i="3"/>
  <c r="V1135" i="3"/>
  <c r="T1135" i="3"/>
  <c r="W1135" i="3" s="1"/>
  <c r="V798" i="3"/>
  <c r="V104" i="3"/>
  <c r="T104" i="3"/>
  <c r="W104" i="3" s="1"/>
  <c r="V825" i="3"/>
  <c r="T825" i="3"/>
  <c r="W825" i="3" s="1"/>
  <c r="V670" i="3"/>
  <c r="T670" i="3"/>
  <c r="W670" i="3" s="1"/>
  <c r="V378" i="3"/>
  <c r="T378" i="3"/>
  <c r="W378" i="3" s="1"/>
  <c r="V926" i="3"/>
  <c r="V1064" i="3"/>
  <c r="T1064" i="3"/>
  <c r="W1064" i="3" s="1"/>
  <c r="V1190" i="3"/>
  <c r="T1190" i="3"/>
  <c r="W1190" i="3" s="1"/>
  <c r="V641" i="3"/>
  <c r="T641" i="3"/>
  <c r="W641" i="3" s="1"/>
  <c r="V1221" i="3"/>
  <c r="T1221" i="3"/>
  <c r="W1221" i="3" s="1"/>
  <c r="V895" i="3"/>
  <c r="T895" i="3"/>
  <c r="W895" i="3" s="1"/>
  <c r="V796" i="3"/>
  <c r="T796" i="3"/>
  <c r="W796" i="3" s="1"/>
  <c r="V962" i="3"/>
  <c r="T962" i="3"/>
  <c r="W962" i="3" s="1"/>
  <c r="V458" i="3"/>
  <c r="T458" i="3"/>
  <c r="W458" i="3" s="1"/>
  <c r="V891" i="3"/>
  <c r="T891" i="3"/>
  <c r="W891" i="3" s="1"/>
  <c r="V527" i="3"/>
  <c r="T527" i="3"/>
  <c r="W527" i="3" s="1"/>
  <c r="V841" i="3"/>
  <c r="V850" i="3"/>
  <c r="T850" i="3"/>
  <c r="W850" i="3" s="1"/>
  <c r="V257" i="3"/>
  <c r="V153" i="3"/>
  <c r="V411" i="3"/>
  <c r="T411" i="3"/>
  <c r="W411" i="3" s="1"/>
  <c r="V1032" i="3"/>
  <c r="T1032" i="3"/>
  <c r="W1032" i="3" s="1"/>
  <c r="V276" i="3"/>
  <c r="V572" i="3"/>
  <c r="T572" i="3"/>
  <c r="W572" i="3" s="1"/>
  <c r="V797" i="3"/>
  <c r="V256" i="3"/>
  <c r="T256" i="3"/>
  <c r="W256" i="3" s="1"/>
  <c r="V743" i="3"/>
  <c r="T743" i="3"/>
  <c r="W743" i="3" s="1"/>
  <c r="V769" i="3"/>
  <c r="T769" i="3"/>
  <c r="W769" i="3" s="1"/>
  <c r="V270" i="3"/>
  <c r="T270" i="3"/>
  <c r="W270" i="3" s="1"/>
  <c r="V756" i="3"/>
  <c r="T756" i="3"/>
  <c r="W756" i="3" s="1"/>
  <c r="V1224" i="3"/>
  <c r="T1224" i="3"/>
  <c r="W1224" i="3" s="1"/>
  <c r="V999" i="3"/>
  <c r="T999" i="3"/>
  <c r="W999" i="3" s="1"/>
  <c r="V638" i="3"/>
  <c r="V610" i="3"/>
  <c r="T610" i="3"/>
  <c r="W610" i="3" s="1"/>
  <c r="V830" i="3"/>
  <c r="T830" i="3"/>
  <c r="W830" i="3" s="1"/>
  <c r="V283" i="3"/>
  <c r="V599" i="3"/>
  <c r="T599" i="3"/>
  <c r="W599" i="3" s="1"/>
  <c r="V1150" i="3"/>
  <c r="V614" i="3"/>
  <c r="T614" i="3"/>
  <c r="W614" i="3" s="1"/>
  <c r="V480" i="3"/>
  <c r="T480" i="3"/>
  <c r="W480" i="3" s="1"/>
  <c r="V195" i="3"/>
  <c r="T195" i="3"/>
  <c r="W195" i="3" s="1"/>
  <c r="V951" i="3"/>
  <c r="T951" i="3"/>
  <c r="W951" i="3" s="1"/>
  <c r="V952" i="3"/>
  <c r="T952" i="3"/>
  <c r="W952" i="3" s="1"/>
  <c r="V471" i="3"/>
  <c r="T471" i="3"/>
  <c r="W471" i="3" s="1"/>
  <c r="V716" i="3"/>
  <c r="T716" i="3"/>
  <c r="W716" i="3" s="1"/>
  <c r="V158" i="3"/>
  <c r="T158" i="3"/>
  <c r="W158" i="3" s="1"/>
  <c r="V784" i="3"/>
  <c r="V493" i="3"/>
  <c r="T493" i="3"/>
  <c r="W493" i="3" s="1"/>
  <c r="V874" i="3"/>
  <c r="T874" i="3"/>
  <c r="W874" i="3" s="1"/>
  <c r="V838" i="3"/>
  <c r="V1103" i="3"/>
  <c r="T1103" i="3"/>
  <c r="W1103" i="3" s="1"/>
  <c r="V1124" i="3"/>
  <c r="T1124" i="3"/>
  <c r="W1124" i="3" s="1"/>
  <c r="V1140" i="3"/>
  <c r="T1140" i="3"/>
  <c r="W1140" i="3" s="1"/>
  <c r="V475" i="3"/>
  <c r="T475" i="3"/>
  <c r="W475" i="3" s="1"/>
  <c r="V519" i="3"/>
  <c r="T519" i="3"/>
  <c r="W519" i="3" s="1"/>
  <c r="V924" i="3"/>
  <c r="T924" i="3"/>
  <c r="W924" i="3" s="1"/>
  <c r="V1079" i="3"/>
  <c r="T1079" i="3"/>
  <c r="W1079" i="3" s="1"/>
  <c r="V1096" i="3"/>
  <c r="T1096" i="3"/>
  <c r="W1096" i="3" s="1"/>
  <c r="V1131" i="3"/>
  <c r="T1131" i="3"/>
  <c r="W1131" i="3" s="1"/>
  <c r="V1165" i="3"/>
  <c r="T1165" i="3"/>
  <c r="W1165" i="3" s="1"/>
  <c r="V516" i="3"/>
  <c r="T516" i="3"/>
  <c r="W516" i="3" s="1"/>
  <c r="V1231" i="3"/>
  <c r="T1231" i="3"/>
  <c r="W1231" i="3" s="1"/>
  <c r="V1101" i="3"/>
  <c r="V74" i="3"/>
  <c r="T74" i="3"/>
  <c r="W74" i="3" s="1"/>
  <c r="V674" i="3"/>
  <c r="T674" i="3"/>
  <c r="W674" i="3" s="1"/>
  <c r="V911" i="3"/>
  <c r="T911" i="3"/>
  <c r="W911" i="3" s="1"/>
  <c r="V88" i="3"/>
  <c r="V977" i="3"/>
  <c r="T977" i="3"/>
  <c r="W977" i="3" s="1"/>
  <c r="V105" i="3"/>
  <c r="T105" i="3"/>
  <c r="W105" i="3" s="1"/>
  <c r="V303" i="3"/>
  <c r="T303" i="3"/>
  <c r="W303" i="3" s="1"/>
  <c r="V884" i="3"/>
  <c r="T884" i="3"/>
  <c r="W884" i="3" s="1"/>
  <c r="V345" i="3"/>
  <c r="T345" i="3"/>
  <c r="W345" i="3" s="1"/>
  <c r="V1126" i="3"/>
  <c r="T1126" i="3"/>
  <c r="W1126" i="3" s="1"/>
  <c r="V416" i="3"/>
  <c r="T416" i="3"/>
  <c r="W416" i="3" s="1"/>
  <c r="V1095" i="3"/>
  <c r="V1176" i="3"/>
  <c r="T1176" i="3"/>
  <c r="W1176" i="3" s="1"/>
  <c r="V187" i="3"/>
  <c r="V1037" i="3"/>
  <c r="T1037" i="3"/>
  <c r="W1037" i="3" s="1"/>
  <c r="V987" i="3"/>
  <c r="T987" i="3"/>
  <c r="W987" i="3" s="1"/>
  <c r="V1234" i="3"/>
  <c r="T1234" i="3"/>
  <c r="W1234" i="3" s="1"/>
  <c r="V396" i="3"/>
  <c r="T396" i="3"/>
  <c r="W396" i="3" s="1"/>
  <c r="V822" i="3"/>
  <c r="T822" i="3"/>
  <c r="W822" i="3" s="1"/>
  <c r="V768" i="3"/>
  <c r="T768" i="3"/>
  <c r="W768" i="3" s="1"/>
  <c r="V155" i="3"/>
  <c r="T155" i="3"/>
  <c r="W155" i="3" s="1"/>
  <c r="V719" i="3"/>
  <c r="T719" i="3"/>
  <c r="W719" i="3" s="1"/>
  <c r="V420" i="3"/>
  <c r="T420" i="3"/>
  <c r="W420" i="3" s="1"/>
  <c r="V801" i="3"/>
  <c r="T801" i="3"/>
  <c r="W801" i="3" s="1"/>
  <c r="V1183" i="3"/>
  <c r="T1183" i="3"/>
  <c r="W1183" i="3" s="1"/>
  <c r="V427" i="3"/>
  <c r="T427" i="3"/>
  <c r="W427" i="3" s="1"/>
  <c r="V113" i="3"/>
  <c r="T113" i="3"/>
  <c r="W113" i="3" s="1"/>
  <c r="V1041" i="3"/>
  <c r="T1041" i="3"/>
  <c r="W1041" i="3" s="1"/>
  <c r="V97" i="3"/>
  <c r="T97" i="3"/>
  <c r="W97" i="3" s="1"/>
  <c r="V374" i="3"/>
  <c r="V335" i="3"/>
  <c r="T335" i="3"/>
  <c r="W335" i="3" s="1"/>
  <c r="V469" i="3"/>
  <c r="T469" i="3"/>
  <c r="W469" i="3" s="1"/>
  <c r="V749" i="3"/>
  <c r="T749" i="3"/>
  <c r="W749" i="3" s="1"/>
  <c r="V487" i="3"/>
  <c r="T487" i="3"/>
  <c r="W487" i="3" s="1"/>
  <c r="V1175" i="3"/>
  <c r="T1175" i="3"/>
  <c r="W1175" i="3" s="1"/>
  <c r="V159" i="3"/>
  <c r="T159" i="3"/>
  <c r="W159" i="3" s="1"/>
  <c r="V358" i="3"/>
  <c r="V216" i="3"/>
  <c r="T216" i="3"/>
  <c r="W216" i="3" s="1"/>
  <c r="V678" i="3"/>
  <c r="T678" i="3"/>
  <c r="W678" i="3" s="1"/>
  <c r="V323" i="3"/>
  <c r="T323" i="3"/>
  <c r="W323" i="3" s="1"/>
  <c r="V1087" i="3"/>
  <c r="T1087" i="3"/>
  <c r="W1087" i="3" s="1"/>
  <c r="V1192" i="3"/>
  <c r="V271" i="3"/>
  <c r="T271" i="3"/>
  <c r="W271" i="3" s="1"/>
  <c r="V504" i="3"/>
  <c r="T504" i="3"/>
  <c r="W504" i="3" s="1"/>
  <c r="V772" i="3"/>
  <c r="T772" i="3"/>
  <c r="W772" i="3" s="1"/>
  <c r="V738" i="3"/>
  <c r="T738" i="3"/>
  <c r="W738" i="3" s="1"/>
  <c r="V541" i="3"/>
  <c r="T541" i="3"/>
  <c r="W541" i="3" s="1"/>
  <c r="V581" i="3"/>
  <c r="T581" i="3"/>
  <c r="W581" i="3" s="1"/>
  <c r="V203" i="3"/>
  <c r="T203" i="3"/>
  <c r="W203" i="3" s="1"/>
  <c r="V1125" i="3"/>
  <c r="T1125" i="3"/>
  <c r="W1125" i="3" s="1"/>
  <c r="V71" i="3"/>
  <c r="T71" i="3"/>
  <c r="W71" i="3" s="1"/>
  <c r="V389" i="3"/>
  <c r="T389" i="3"/>
  <c r="W389" i="3" s="1"/>
  <c r="V890" i="3"/>
  <c r="T890" i="3"/>
  <c r="W890" i="3" s="1"/>
  <c r="V844" i="3"/>
  <c r="T844" i="3"/>
  <c r="W844" i="3" s="1"/>
  <c r="V81" i="3"/>
  <c r="T81" i="3"/>
  <c r="W81" i="3" s="1"/>
  <c r="V998" i="3"/>
  <c r="V1156" i="3"/>
  <c r="V63" i="3"/>
  <c r="T63" i="3"/>
  <c r="W63" i="3" s="1"/>
  <c r="V687" i="3"/>
  <c r="T687" i="3"/>
  <c r="W687" i="3" s="1"/>
  <c r="V156" i="3"/>
  <c r="T156" i="3"/>
  <c r="W156" i="3" s="1"/>
  <c r="V877" i="3"/>
  <c r="T877" i="3"/>
  <c r="W877" i="3" s="1"/>
  <c r="V942" i="3"/>
  <c r="V846" i="3"/>
  <c r="V1084" i="3"/>
  <c r="T1084" i="3"/>
  <c r="W1084" i="3" s="1"/>
  <c r="V505" i="3"/>
  <c r="T505" i="3"/>
  <c r="W505" i="3" s="1"/>
  <c r="V564" i="3"/>
  <c r="T564" i="3"/>
  <c r="W564" i="3" s="1"/>
  <c r="V1019" i="3"/>
  <c r="V1218" i="3"/>
  <c r="T1218" i="3"/>
  <c r="W1218" i="3" s="1"/>
  <c r="V852" i="3"/>
  <c r="T852" i="3"/>
  <c r="W852" i="3" s="1"/>
  <c r="V938" i="3"/>
  <c r="T938" i="3"/>
  <c r="W938" i="3" s="1"/>
  <c r="V1004" i="3"/>
  <c r="V709" i="3"/>
  <c r="V528" i="3"/>
  <c r="T528" i="3"/>
  <c r="W528" i="3" s="1"/>
  <c r="V437" i="3"/>
  <c r="V372" i="3"/>
  <c r="T372" i="3"/>
  <c r="W372" i="3" s="1"/>
  <c r="V130" i="3"/>
  <c r="T130" i="3"/>
  <c r="W130" i="3" s="1"/>
  <c r="V620" i="3"/>
  <c r="T620" i="3"/>
  <c r="W620" i="3" s="1"/>
  <c r="V708" i="3"/>
  <c r="T708" i="3"/>
  <c r="W708" i="3" s="1"/>
  <c r="V472" i="3"/>
  <c r="T472" i="3"/>
  <c r="W472" i="3" s="1"/>
  <c r="V913" i="3"/>
  <c r="T913" i="3"/>
  <c r="W913" i="3" s="1"/>
  <c r="V157" i="3"/>
  <c r="V648" i="3"/>
  <c r="V1028" i="3"/>
  <c r="V500" i="3"/>
  <c r="T500" i="3"/>
  <c r="W500" i="3" s="1"/>
  <c r="V167" i="3"/>
  <c r="V1232" i="3"/>
  <c r="V1191" i="3"/>
  <c r="T1191" i="3"/>
  <c r="W1191" i="3" s="1"/>
  <c r="V1003" i="3"/>
  <c r="T1003" i="3"/>
  <c r="W1003" i="3" s="1"/>
  <c r="V681" i="3"/>
  <c r="T681" i="3"/>
  <c r="W681" i="3" s="1"/>
  <c r="V115" i="3"/>
  <c r="T115" i="3"/>
  <c r="W115" i="3" s="1"/>
  <c r="V639" i="3"/>
  <c r="V304" i="3"/>
  <c r="T304" i="3"/>
  <c r="W304" i="3" s="1"/>
  <c r="V328" i="3"/>
  <c r="T328" i="3"/>
  <c r="W328" i="3" s="1"/>
  <c r="V520" i="3"/>
  <c r="T520" i="3"/>
  <c r="W520" i="3" s="1"/>
  <c r="V143" i="3"/>
  <c r="T143" i="3"/>
  <c r="W143" i="3" s="1"/>
  <c r="V17" i="3"/>
  <c r="T17" i="3"/>
  <c r="W17" i="3" s="1"/>
  <c r="V37" i="3"/>
  <c r="T37" i="3"/>
  <c r="W37" i="3" s="1"/>
  <c r="V15" i="3"/>
  <c r="T15" i="3"/>
  <c r="W15" i="3" s="1"/>
  <c r="T439" i="3"/>
  <c r="W439" i="3" s="1"/>
  <c r="T281" i="3"/>
  <c r="W281" i="3" s="1"/>
  <c r="T915" i="3"/>
  <c r="W915" i="3" s="1"/>
  <c r="T723" i="3"/>
  <c r="W723" i="3" s="1"/>
  <c r="T797" i="3"/>
  <c r="W797" i="3" s="1"/>
  <c r="T100" i="3"/>
  <c r="W100" i="3" s="1"/>
  <c r="T912" i="3"/>
  <c r="W912" i="3" s="1"/>
  <c r="T588" i="3"/>
  <c r="W588" i="3" s="1"/>
  <c r="T757" i="3"/>
  <c r="W757" i="3" s="1"/>
  <c r="T1013" i="3"/>
  <c r="W1013" i="3" s="1"/>
  <c r="T1028" i="3"/>
  <c r="W1028" i="3" s="1"/>
  <c r="T586" i="3"/>
  <c r="W586" i="3" s="1"/>
  <c r="T484" i="3"/>
  <c r="W484" i="3" s="1"/>
  <c r="T371" i="3"/>
  <c r="W371" i="3" s="1"/>
  <c r="T1023" i="3"/>
  <c r="W1023" i="3" s="1"/>
  <c r="T838" i="3"/>
  <c r="W838" i="3" s="1"/>
  <c r="T849" i="3"/>
  <c r="W849" i="3" s="1"/>
  <c r="T314" i="3"/>
  <c r="W314" i="3" s="1"/>
  <c r="T131" i="3"/>
  <c r="W131" i="3" s="1"/>
  <c r="V432" i="3"/>
  <c r="T432" i="3"/>
  <c r="W432" i="3" s="1"/>
  <c r="V611" i="3"/>
  <c r="V424" i="3"/>
  <c r="T424" i="3"/>
  <c r="W424" i="3" s="1"/>
  <c r="V1188" i="3"/>
  <c r="T1188" i="3"/>
  <c r="W1188" i="3" s="1"/>
  <c r="V367" i="3"/>
  <c r="V791" i="3"/>
  <c r="T791" i="3"/>
  <c r="W791" i="3" s="1"/>
  <c r="V337" i="3"/>
  <c r="T337" i="3"/>
  <c r="W337" i="3" s="1"/>
  <c r="V1230" i="3"/>
  <c r="T1230" i="3"/>
  <c r="W1230" i="3" s="1"/>
  <c r="V747" i="3"/>
  <c r="T747" i="3"/>
  <c r="W747" i="3" s="1"/>
  <c r="V244" i="3"/>
  <c r="T244" i="3"/>
  <c r="W244" i="3" s="1"/>
  <c r="V1216" i="3"/>
  <c r="T1216" i="3"/>
  <c r="W1216" i="3" s="1"/>
  <c r="V1008" i="3"/>
  <c r="T1008" i="3"/>
  <c r="W1008" i="3" s="1"/>
  <c r="V955" i="3"/>
  <c r="T955" i="3"/>
  <c r="W955" i="3" s="1"/>
  <c r="V1116" i="3"/>
  <c r="T1116" i="3"/>
  <c r="W1116" i="3" s="1"/>
  <c r="V1121" i="3"/>
  <c r="V619" i="3"/>
  <c r="T619" i="3"/>
  <c r="W619" i="3" s="1"/>
  <c r="V813" i="3"/>
  <c r="T813" i="3"/>
  <c r="W813" i="3" s="1"/>
  <c r="V1181" i="3"/>
  <c r="V392" i="3"/>
  <c r="T392" i="3"/>
  <c r="W392" i="3" s="1"/>
  <c r="V61" i="3"/>
  <c r="T61" i="3"/>
  <c r="W61" i="3" s="1"/>
  <c r="V124" i="3"/>
  <c r="T124" i="3"/>
  <c r="W124" i="3" s="1"/>
  <c r="V775" i="3"/>
  <c r="V702" i="3"/>
  <c r="T702" i="3"/>
  <c r="W702" i="3" s="1"/>
  <c r="V752" i="3"/>
  <c r="T752" i="3"/>
  <c r="W752" i="3" s="1"/>
  <c r="V298" i="3"/>
  <c r="T298" i="3"/>
  <c r="W298" i="3" s="1"/>
  <c r="V355" i="3"/>
  <c r="T355" i="3"/>
  <c r="W355" i="3" s="1"/>
  <c r="BB186" i="1"/>
  <c r="AZ186" i="1" s="1"/>
  <c r="Q406" i="3" s="1"/>
  <c r="BB226" i="1"/>
  <c r="AZ226" i="1" s="1"/>
  <c r="Q508" i="3" s="1"/>
  <c r="BB542" i="1"/>
  <c r="AZ542" i="1" s="1"/>
  <c r="Q1024" i="3" s="1"/>
  <c r="BB182" i="1"/>
  <c r="AZ182" i="1" s="1"/>
  <c r="Q420" i="3" s="1"/>
  <c r="BB118" i="1"/>
  <c r="AZ118" i="1" s="1"/>
  <c r="Q260" i="3" s="1"/>
  <c r="V1072" i="3"/>
  <c r="V1050" i="3"/>
  <c r="V587" i="3"/>
  <c r="T587" i="3"/>
  <c r="W587" i="3" s="1"/>
  <c r="V148" i="3"/>
  <c r="T148" i="3"/>
  <c r="W148" i="3" s="1"/>
  <c r="V540" i="3"/>
  <c r="T540" i="3"/>
  <c r="W540" i="3" s="1"/>
  <c r="V468" i="3"/>
  <c r="T468" i="3"/>
  <c r="W468" i="3" s="1"/>
  <c r="V590" i="3"/>
  <c r="T590" i="3"/>
  <c r="W590" i="3" s="1"/>
  <c r="V858" i="3"/>
  <c r="V461" i="3"/>
  <c r="T461" i="3"/>
  <c r="W461" i="3" s="1"/>
  <c r="V39" i="3"/>
  <c r="V91" i="3"/>
  <c r="V48" i="3"/>
  <c r="T48" i="3"/>
  <c r="W48" i="3" s="1"/>
  <c r="V623" i="3"/>
  <c r="T623" i="3"/>
  <c r="W623" i="3" s="1"/>
  <c r="V1122" i="3"/>
  <c r="V1025" i="3"/>
  <c r="V172" i="3"/>
  <c r="V103" i="3"/>
  <c r="V921" i="3"/>
  <c r="V1114" i="3"/>
  <c r="T1114" i="3"/>
  <c r="W1114" i="3" s="1"/>
  <c r="V1163" i="3"/>
  <c r="T1163" i="3"/>
  <c r="W1163" i="3" s="1"/>
  <c r="V863" i="3"/>
  <c r="T863" i="3"/>
  <c r="W863" i="3" s="1"/>
  <c r="V302" i="3"/>
  <c r="T302" i="3"/>
  <c r="W302" i="3" s="1"/>
  <c r="V96" i="3"/>
  <c r="T96" i="3"/>
  <c r="W96" i="3" s="1"/>
  <c r="V87" i="3"/>
  <c r="V163" i="3"/>
  <c r="T163" i="3"/>
  <c r="W163" i="3" s="1"/>
  <c r="V961" i="3"/>
  <c r="T961" i="3"/>
  <c r="W961" i="3" s="1"/>
  <c r="V733" i="3"/>
  <c r="T733" i="3"/>
  <c r="W733" i="3" s="1"/>
  <c r="V783" i="3"/>
  <c r="T783" i="3"/>
  <c r="W783" i="3" s="1"/>
  <c r="V85" i="3"/>
  <c r="T85" i="3"/>
  <c r="W85" i="3" s="1"/>
  <c r="V1097" i="3"/>
  <c r="T1097" i="3"/>
  <c r="W1097" i="3" s="1"/>
  <c r="V640" i="3"/>
  <c r="T640" i="3"/>
  <c r="W640" i="3" s="1"/>
  <c r="V90" i="3"/>
  <c r="T90" i="3"/>
  <c r="W90" i="3" s="1"/>
  <c r="V741" i="3"/>
  <c r="T741" i="3"/>
  <c r="W741" i="3" s="1"/>
  <c r="V853" i="3"/>
  <c r="T853" i="3"/>
  <c r="W853" i="3" s="1"/>
  <c r="V280" i="3"/>
  <c r="T280" i="3"/>
  <c r="W280" i="3" s="1"/>
  <c r="V726" i="3"/>
  <c r="T726" i="3"/>
  <c r="W726" i="3" s="1"/>
  <c r="V724" i="3"/>
  <c r="T724" i="3"/>
  <c r="W724" i="3" s="1"/>
  <c r="V627" i="3"/>
  <c r="V1024" i="3"/>
  <c r="T1024" i="3"/>
  <c r="W1024" i="3" s="1"/>
  <c r="V1011" i="3"/>
  <c r="T1011" i="3"/>
  <c r="W1011" i="3" s="1"/>
  <c r="V441" i="3"/>
  <c r="V1068" i="3"/>
  <c r="T1068" i="3"/>
  <c r="W1068" i="3" s="1"/>
  <c r="V532" i="3"/>
  <c r="T532" i="3"/>
  <c r="W532" i="3" s="1"/>
  <c r="V934" i="3"/>
  <c r="V898" i="3"/>
  <c r="T898" i="3"/>
  <c r="W898" i="3" s="1"/>
  <c r="V1074" i="3"/>
  <c r="T1074" i="3"/>
  <c r="W1074" i="3" s="1"/>
  <c r="V1002" i="3"/>
  <c r="T1002" i="3"/>
  <c r="W1002" i="3" s="1"/>
  <c r="V929" i="3"/>
  <c r="V1129" i="3"/>
  <c r="T1129" i="3"/>
  <c r="W1129" i="3" s="1"/>
  <c r="V817" i="3"/>
  <c r="T817" i="3"/>
  <c r="W817" i="3" s="1"/>
  <c r="V758" i="3"/>
  <c r="T758" i="3"/>
  <c r="W758" i="3" s="1"/>
  <c r="V1073" i="3"/>
  <c r="V1047" i="3"/>
  <c r="T1047" i="3"/>
  <c r="W1047" i="3" s="1"/>
  <c r="V954" i="3"/>
  <c r="T954" i="3"/>
  <c r="W954" i="3" s="1"/>
  <c r="V730" i="3"/>
  <c r="T730" i="3"/>
  <c r="W730" i="3" s="1"/>
  <c r="V313" i="3"/>
  <c r="T313" i="3"/>
  <c r="W313" i="3" s="1"/>
  <c r="V222" i="3"/>
  <c r="T222" i="3"/>
  <c r="W222" i="3" s="1"/>
  <c r="V790" i="3"/>
  <c r="T790" i="3"/>
  <c r="W790" i="3" s="1"/>
  <c r="V1210" i="3"/>
  <c r="T1210" i="3"/>
  <c r="W1210" i="3" s="1"/>
  <c r="V370" i="3"/>
  <c r="T370" i="3"/>
  <c r="W370" i="3" s="1"/>
  <c r="V1075" i="3"/>
  <c r="V415" i="3"/>
  <c r="T415" i="3"/>
  <c r="W415" i="3" s="1"/>
  <c r="V755" i="3"/>
  <c r="T755" i="3"/>
  <c r="W755" i="3" s="1"/>
  <c r="V626" i="3"/>
  <c r="V744" i="3"/>
  <c r="T744" i="3"/>
  <c r="W744" i="3" s="1"/>
  <c r="V660" i="3"/>
  <c r="T660" i="3"/>
  <c r="W660" i="3" s="1"/>
  <c r="V162" i="3"/>
  <c r="V34" i="3"/>
  <c r="T34" i="3"/>
  <c r="W34" i="3" s="1"/>
  <c r="V1000" i="3"/>
  <c r="V766" i="3"/>
  <c r="V705" i="3"/>
  <c r="T705" i="3"/>
  <c r="W705" i="3" s="1"/>
  <c r="V916" i="3"/>
  <c r="T916" i="3"/>
  <c r="W916" i="3" s="1"/>
  <c r="V690" i="3"/>
  <c r="T690" i="3"/>
  <c r="W690" i="3" s="1"/>
  <c r="V106" i="3"/>
  <c r="V31" i="3"/>
  <c r="T31" i="3"/>
  <c r="W31" i="3" s="1"/>
  <c r="V1049" i="3"/>
  <c r="T1049" i="3"/>
  <c r="W1049" i="3" s="1"/>
  <c r="V1027" i="3"/>
  <c r="T1027" i="3"/>
  <c r="W1027" i="3" s="1"/>
  <c r="V409" i="3"/>
  <c r="T409" i="3"/>
  <c r="W409" i="3" s="1"/>
  <c r="V332" i="3"/>
  <c r="T332" i="3"/>
  <c r="W332" i="3" s="1"/>
  <c r="V710" i="3"/>
  <c r="T710" i="3"/>
  <c r="W710" i="3" s="1"/>
  <c r="V234" i="3"/>
  <c r="V282" i="3"/>
  <c r="T282" i="3"/>
  <c r="W282" i="3" s="1"/>
  <c r="V688" i="3"/>
  <c r="T688" i="3"/>
  <c r="W688" i="3" s="1"/>
  <c r="V1198" i="3"/>
  <c r="T1198" i="3"/>
  <c r="W1198" i="3" s="1"/>
  <c r="V886" i="3"/>
  <c r="T886" i="3"/>
  <c r="W886" i="3" s="1"/>
  <c r="V629" i="3"/>
  <c r="T629" i="3"/>
  <c r="W629" i="3" s="1"/>
  <c r="V750" i="3"/>
  <c r="T750" i="3"/>
  <c r="W750" i="3" s="1"/>
  <c r="V210" i="3"/>
  <c r="V867" i="3"/>
  <c r="T867" i="3"/>
  <c r="W867" i="3" s="1"/>
  <c r="V1010" i="3"/>
  <c r="V422" i="3"/>
  <c r="T422" i="3"/>
  <c r="W422" i="3" s="1"/>
  <c r="V1219" i="3"/>
  <c r="T1219" i="3"/>
  <c r="W1219" i="3" s="1"/>
  <c r="V603" i="3"/>
  <c r="T603" i="3"/>
  <c r="W603" i="3" s="1"/>
  <c r="V1152" i="3"/>
  <c r="V534" i="3"/>
  <c r="T534" i="3"/>
  <c r="W534" i="3" s="1"/>
  <c r="V971" i="3"/>
  <c r="T971" i="3"/>
  <c r="W971" i="3" s="1"/>
  <c r="V964" i="3"/>
  <c r="V996" i="3"/>
  <c r="T996" i="3"/>
  <c r="W996" i="3" s="1"/>
  <c r="V651" i="3"/>
  <c r="T651" i="3"/>
  <c r="W651" i="3" s="1"/>
  <c r="V576" i="3"/>
  <c r="V1149" i="3"/>
  <c r="T1149" i="3"/>
  <c r="W1149" i="3" s="1"/>
  <c r="V575" i="3"/>
  <c r="V656" i="3"/>
  <c r="T656" i="3"/>
  <c r="W656" i="3" s="1"/>
  <c r="V584" i="3"/>
  <c r="T584" i="3"/>
  <c r="W584" i="3" s="1"/>
  <c r="V864" i="3"/>
  <c r="V217" i="3"/>
  <c r="T217" i="3"/>
  <c r="W217" i="3" s="1"/>
  <c r="V537" i="3"/>
  <c r="T537" i="3"/>
  <c r="W537" i="3" s="1"/>
  <c r="V805" i="3"/>
  <c r="V1139" i="3"/>
  <c r="V431" i="3"/>
  <c r="T431" i="3"/>
  <c r="W431" i="3" s="1"/>
  <c r="V1076" i="3"/>
  <c r="T1076" i="3"/>
  <c r="W1076" i="3" s="1"/>
  <c r="V642" i="3"/>
  <c r="V557" i="3"/>
  <c r="V84" i="3"/>
  <c r="V1166" i="3"/>
  <c r="T1166" i="3"/>
  <c r="W1166" i="3" s="1"/>
  <c r="V311" i="3"/>
  <c r="T311" i="3"/>
  <c r="W311" i="3" s="1"/>
  <c r="V1077" i="3"/>
  <c r="T1077" i="3"/>
  <c r="W1077" i="3" s="1"/>
  <c r="V591" i="3"/>
  <c r="T591" i="3"/>
  <c r="W591" i="3" s="1"/>
  <c r="V307" i="3"/>
  <c r="V24" i="3"/>
  <c r="T24" i="3"/>
  <c r="W24" i="3" s="1"/>
  <c r="V804" i="3"/>
  <c r="V466" i="3"/>
  <c r="V664" i="3"/>
  <c r="V522" i="3"/>
  <c r="T522" i="3"/>
  <c r="W522" i="3" s="1"/>
  <c r="V1143" i="3"/>
  <c r="V1199" i="3"/>
  <c r="T1199" i="3"/>
  <c r="W1199" i="3" s="1"/>
  <c r="V387" i="3"/>
  <c r="V542" i="3"/>
  <c r="T542" i="3"/>
  <c r="W542" i="3" s="1"/>
  <c r="V697" i="3"/>
  <c r="T697" i="3"/>
  <c r="W697" i="3" s="1"/>
  <c r="V1092" i="3"/>
  <c r="T1092" i="3"/>
  <c r="W1092" i="3" s="1"/>
  <c r="V352" i="3"/>
  <c r="T352" i="3"/>
  <c r="W352" i="3" s="1"/>
  <c r="V66" i="3"/>
  <c r="T66" i="3"/>
  <c r="W66" i="3" s="1"/>
  <c r="V909" i="3"/>
  <c r="T909" i="3"/>
  <c r="W909" i="3" s="1"/>
  <c r="V213" i="3"/>
  <c r="T213" i="3"/>
  <c r="W213" i="3" s="1"/>
  <c r="V54" i="3"/>
  <c r="T54" i="3"/>
  <c r="W54" i="3" s="1"/>
  <c r="V184" i="3"/>
  <c r="T184" i="3"/>
  <c r="W184" i="3" s="1"/>
  <c r="V494" i="3"/>
  <c r="V102" i="3"/>
  <c r="T102" i="3"/>
  <c r="W102" i="3" s="1"/>
  <c r="V38" i="3"/>
  <c r="T38" i="3"/>
  <c r="W38" i="3" s="1"/>
  <c r="T139" i="3"/>
  <c r="W139" i="3" s="1"/>
  <c r="T638" i="3"/>
  <c r="W638" i="3" s="1"/>
  <c r="T425" i="3"/>
  <c r="W425" i="3" s="1"/>
  <c r="T837" i="3"/>
  <c r="W837" i="3" s="1"/>
  <c r="T594" i="3"/>
  <c r="W594" i="3" s="1"/>
  <c r="T1072" i="3"/>
  <c r="W1072" i="3" s="1"/>
  <c r="T646" i="3"/>
  <c r="W646" i="3" s="1"/>
  <c r="T438" i="3"/>
  <c r="W438" i="3" s="1"/>
  <c r="T211" i="3"/>
  <c r="W211" i="3" s="1"/>
  <c r="T1035" i="3"/>
  <c r="W1035" i="3" s="1"/>
  <c r="T804" i="3"/>
  <c r="W804" i="3" s="1"/>
  <c r="T627" i="3"/>
  <c r="W627" i="3" s="1"/>
  <c r="T429" i="3"/>
  <c r="W429" i="3" s="1"/>
  <c r="T290" i="3"/>
  <c r="W290" i="3" s="1"/>
  <c r="T154" i="3"/>
  <c r="W154" i="3" s="1"/>
  <c r="T88" i="3"/>
  <c r="W88" i="3" s="1"/>
  <c r="T1194" i="3"/>
  <c r="W1194" i="3" s="1"/>
  <c r="T664" i="3"/>
  <c r="W664" i="3" s="1"/>
  <c r="T1022" i="3"/>
  <c r="W1022" i="3" s="1"/>
  <c r="T1167" i="3"/>
  <c r="W1167" i="3" s="1"/>
  <c r="T942" i="3"/>
  <c r="W942" i="3" s="1"/>
  <c r="T929" i="3"/>
  <c r="W929" i="3" s="1"/>
  <c r="T1010" i="3"/>
  <c r="W1010" i="3" s="1"/>
  <c r="T639" i="3"/>
  <c r="W639" i="3" s="1"/>
  <c r="V21" i="3"/>
  <c r="T21" i="3"/>
  <c r="W21" i="3" s="1"/>
  <c r="V742" i="3"/>
  <c r="T742" i="3"/>
  <c r="W742" i="3" s="1"/>
  <c r="V811" i="3"/>
  <c r="T811" i="3"/>
  <c r="W811" i="3" s="1"/>
  <c r="V644" i="3"/>
  <c r="T644" i="3"/>
  <c r="W644" i="3" s="1"/>
  <c r="V1141" i="3"/>
  <c r="V563" i="3"/>
  <c r="T563" i="3"/>
  <c r="W563" i="3" s="1"/>
  <c r="V1136" i="3"/>
  <c r="V1094" i="3"/>
  <c r="T1094" i="3"/>
  <c r="W1094" i="3" s="1"/>
  <c r="V545" i="3"/>
  <c r="T545" i="3"/>
  <c r="W545" i="3" s="1"/>
  <c r="V671" i="3"/>
  <c r="T671" i="3"/>
  <c r="W671" i="3" s="1"/>
  <c r="V111" i="3"/>
  <c r="T111" i="3"/>
  <c r="W111" i="3" s="1"/>
  <c r="V1207" i="3"/>
  <c r="T1207" i="3"/>
  <c r="W1207" i="3" s="1"/>
  <c r="V1083" i="3"/>
  <c r="T1083" i="3"/>
  <c r="W1083" i="3" s="1"/>
  <c r="V251" i="3"/>
  <c r="T251" i="3"/>
  <c r="W251" i="3" s="1"/>
  <c r="V1151" i="3"/>
  <c r="T1151" i="3"/>
  <c r="W1151" i="3" s="1"/>
  <c r="V208" i="3"/>
  <c r="T208" i="3"/>
  <c r="W208" i="3" s="1"/>
  <c r="V1021" i="3"/>
  <c r="T1021" i="3"/>
  <c r="W1021" i="3" s="1"/>
  <c r="V19" i="3"/>
  <c r="T19" i="3"/>
  <c r="W19" i="3" s="1"/>
  <c r="V966" i="3"/>
  <c r="T966" i="3"/>
  <c r="W966" i="3" s="1"/>
  <c r="V947" i="3"/>
  <c r="T947" i="3"/>
  <c r="W947" i="3" s="1"/>
  <c r="V975" i="3"/>
  <c r="T975" i="3"/>
  <c r="W975" i="3" s="1"/>
  <c r="T291" i="3"/>
  <c r="W291" i="3" s="1"/>
  <c r="V291" i="3"/>
  <c r="V29" i="3"/>
  <c r="V140" i="3"/>
  <c r="T140" i="3"/>
  <c r="W140" i="3" s="1"/>
  <c r="V792" i="3"/>
  <c r="T792" i="3"/>
  <c r="W792" i="3" s="1"/>
  <c r="V1202" i="3"/>
  <c r="T1202" i="3"/>
  <c r="W1202" i="3" s="1"/>
  <c r="V630" i="3"/>
  <c r="T630" i="3"/>
  <c r="W630" i="3" s="1"/>
  <c r="V653" i="3"/>
  <c r="T653" i="3"/>
  <c r="W653" i="3" s="1"/>
  <c r="V1018" i="3"/>
  <c r="T1018" i="3"/>
  <c r="W1018" i="3" s="1"/>
  <c r="BB97" i="1"/>
  <c r="AZ97" i="1" s="1"/>
  <c r="Q182" i="3" s="1"/>
  <c r="BB19" i="1"/>
  <c r="AZ19" i="1" s="1"/>
  <c r="Q19" i="3" s="1"/>
  <c r="BB275" i="1"/>
  <c r="AZ275" i="1" s="1"/>
  <c r="Q589" i="3" s="1"/>
  <c r="BB319" i="1"/>
  <c r="AZ319" i="1" s="1"/>
  <c r="Q602" i="3" s="1"/>
  <c r="BB58" i="1"/>
  <c r="AZ58" i="1" s="1"/>
  <c r="Q118" i="3" s="1"/>
  <c r="BB187" i="1"/>
  <c r="AZ187" i="1" s="1"/>
  <c r="Q427" i="3" s="1"/>
  <c r="BB197" i="1"/>
  <c r="AZ197" i="1" s="1"/>
  <c r="Q424" i="3" s="1"/>
  <c r="BB180" i="1"/>
  <c r="AZ180" i="1" s="1"/>
  <c r="Q417" i="3" s="1"/>
  <c r="BB243" i="1"/>
  <c r="AZ243" i="1" s="1"/>
  <c r="Q496" i="3" s="1"/>
  <c r="BB278" i="1"/>
  <c r="AZ278" i="1" s="1"/>
  <c r="Q541" i="3" s="1"/>
  <c r="BB535" i="1"/>
  <c r="AZ535" i="1" s="1"/>
  <c r="Q1012" i="3" s="1"/>
  <c r="BB451" i="1"/>
  <c r="AZ451" i="1" s="1"/>
  <c r="Q847" i="3" s="1"/>
  <c r="BB498" i="1"/>
  <c r="AZ498" i="1" s="1"/>
  <c r="Q940" i="3" s="1"/>
  <c r="BB63" i="1"/>
  <c r="AZ63" i="1" s="1"/>
  <c r="Q128" i="3" s="1"/>
  <c r="BB469" i="1"/>
  <c r="AZ469" i="1" s="1"/>
  <c r="Q887" i="3" s="1"/>
  <c r="BB381" i="1"/>
  <c r="AZ381" i="1" s="1"/>
  <c r="Q766" i="3" s="1"/>
  <c r="BB471" i="1"/>
  <c r="AZ471" i="1" s="1"/>
  <c r="Q932" i="3" s="1"/>
  <c r="BB41" i="1"/>
  <c r="AZ41" i="1" s="1"/>
  <c r="Q55" i="3" s="1"/>
  <c r="BB295" i="1"/>
  <c r="AZ295" i="1" s="1"/>
  <c r="Q616" i="3" s="1"/>
  <c r="BB391" i="1"/>
  <c r="AZ391" i="1" s="1"/>
  <c r="Q799" i="3" s="1"/>
  <c r="BB232" i="1"/>
  <c r="AZ232" i="1" s="1"/>
  <c r="Q552" i="3" s="1"/>
  <c r="BB142" i="1"/>
  <c r="AZ142" i="1" s="1"/>
  <c r="Q356" i="3" s="1"/>
  <c r="BB85" i="1"/>
  <c r="AZ85" i="1" s="1"/>
  <c r="Q165" i="3" s="1"/>
  <c r="V482" i="3"/>
  <c r="T482" i="3"/>
  <c r="W482" i="3" s="1"/>
  <c r="V1058" i="3"/>
  <c r="V1039" i="3"/>
  <c r="T1039" i="3"/>
  <c r="W1039" i="3" s="1"/>
  <c r="V99" i="3"/>
  <c r="V677" i="3"/>
  <c r="T677" i="3"/>
  <c r="W677" i="3" s="1"/>
  <c r="V953" i="3"/>
  <c r="V289" i="3"/>
  <c r="V53" i="3"/>
  <c r="T53" i="3"/>
  <c r="W53" i="3" s="1"/>
  <c r="V418" i="3"/>
  <c r="T418" i="3"/>
  <c r="W418" i="3" s="1"/>
  <c r="V1091" i="3"/>
  <c r="T1091" i="3"/>
  <c r="W1091" i="3" s="1"/>
  <c r="V1187" i="3"/>
  <c r="T1187" i="3"/>
  <c r="W1187" i="3" s="1"/>
  <c r="V1040" i="3"/>
  <c r="V554" i="3"/>
  <c r="T554" i="3"/>
  <c r="W554" i="3" s="1"/>
  <c r="V1061" i="3"/>
  <c r="T1061" i="3"/>
  <c r="W1061" i="3" s="1"/>
  <c r="V89" i="3"/>
  <c r="T89" i="3"/>
  <c r="W89" i="3" s="1"/>
  <c r="V369" i="3"/>
  <c r="T369" i="3"/>
  <c r="W369" i="3" s="1"/>
  <c r="V265" i="3"/>
  <c r="V647" i="3"/>
  <c r="T647" i="3"/>
  <c r="W647" i="3" s="1"/>
  <c r="V668" i="3"/>
  <c r="T668" i="3"/>
  <c r="W668" i="3" s="1"/>
  <c r="V525" i="3"/>
  <c r="T525" i="3"/>
  <c r="W525" i="3" s="1"/>
  <c r="V309" i="3"/>
  <c r="T309" i="3"/>
  <c r="W309" i="3" s="1"/>
  <c r="V673" i="3"/>
  <c r="T673" i="3"/>
  <c r="W673" i="3" s="1"/>
  <c r="V254" i="3"/>
  <c r="V820" i="3"/>
  <c r="T820" i="3"/>
  <c r="W820" i="3" s="1"/>
  <c r="V401" i="3"/>
  <c r="V423" i="3"/>
  <c r="V238" i="3"/>
  <c r="T238" i="3"/>
  <c r="W238" i="3" s="1"/>
  <c r="V455" i="3"/>
  <c r="V1051" i="3"/>
  <c r="T1051" i="3"/>
  <c r="W1051" i="3" s="1"/>
  <c r="V253" i="3"/>
  <c r="T253" i="3"/>
  <c r="W253" i="3" s="1"/>
  <c r="V25" i="3"/>
  <c r="T25" i="3"/>
  <c r="W25" i="3" s="1"/>
  <c r="V596" i="3"/>
  <c r="T596" i="3"/>
  <c r="W596" i="3" s="1"/>
  <c r="V806" i="3"/>
  <c r="T806" i="3"/>
  <c r="W806" i="3" s="1"/>
  <c r="V383" i="3"/>
  <c r="V1093" i="3"/>
  <c r="T1093" i="3"/>
  <c r="W1093" i="3" s="1"/>
  <c r="V1063" i="3"/>
  <c r="T1063" i="3"/>
  <c r="W1063" i="3" s="1"/>
  <c r="V225" i="3"/>
  <c r="T225" i="3"/>
  <c r="W225" i="3" s="1"/>
  <c r="V727" i="3"/>
  <c r="T727" i="3"/>
  <c r="W727" i="3" s="1"/>
  <c r="V881" i="3"/>
  <c r="T881" i="3"/>
  <c r="W881" i="3" s="1"/>
  <c r="V421" i="3"/>
  <c r="T421" i="3"/>
  <c r="W421" i="3" s="1"/>
  <c r="V492" i="3"/>
  <c r="T492" i="3"/>
  <c r="W492" i="3" s="1"/>
  <c r="V692" i="3"/>
  <c r="T692" i="3"/>
  <c r="W692" i="3" s="1"/>
  <c r="V1225" i="3"/>
  <c r="T1225" i="3"/>
  <c r="W1225" i="3" s="1"/>
  <c r="V1036" i="3"/>
  <c r="V751" i="3"/>
  <c r="V1070" i="3"/>
  <c r="T1070" i="3"/>
  <c r="W1070" i="3" s="1"/>
  <c r="V818" i="3"/>
  <c r="T818" i="3"/>
  <c r="W818" i="3" s="1"/>
  <c r="V190" i="3"/>
  <c r="V1113" i="3"/>
  <c r="V927" i="3"/>
  <c r="T927" i="3"/>
  <c r="W927" i="3" s="1"/>
  <c r="V1009" i="3"/>
  <c r="T1009" i="3"/>
  <c r="W1009" i="3" s="1"/>
  <c r="V845" i="3"/>
  <c r="V206" i="3"/>
  <c r="T206" i="3"/>
  <c r="W206" i="3" s="1"/>
  <c r="V123" i="3"/>
  <c r="T123" i="3"/>
  <c r="W123" i="3" s="1"/>
  <c r="V725" i="3"/>
  <c r="T725" i="3"/>
  <c r="W725" i="3" s="1"/>
  <c r="V568" i="3"/>
  <c r="T568" i="3"/>
  <c r="W568" i="3" s="1"/>
  <c r="V1118" i="3"/>
  <c r="T1118" i="3"/>
  <c r="W1118" i="3" s="1"/>
  <c r="V894" i="3"/>
  <c r="T894" i="3"/>
  <c r="W894" i="3" s="1"/>
  <c r="V558" i="3"/>
  <c r="T558" i="3"/>
  <c r="W558" i="3" s="1"/>
  <c r="V402" i="3"/>
  <c r="T402" i="3"/>
  <c r="W402" i="3" s="1"/>
  <c r="V499" i="3"/>
  <c r="V661" i="3"/>
  <c r="T661" i="3"/>
  <c r="W661" i="3" s="1"/>
  <c r="V305" i="3"/>
  <c r="T305" i="3"/>
  <c r="W305" i="3" s="1"/>
  <c r="V760" i="3"/>
  <c r="T760" i="3"/>
  <c r="W760" i="3" s="1"/>
  <c r="V460" i="3"/>
  <c r="T460" i="3"/>
  <c r="W460" i="3" s="1"/>
  <c r="V1117" i="3"/>
  <c r="T1117" i="3"/>
  <c r="W1117" i="3" s="1"/>
  <c r="V42" i="3"/>
  <c r="T42" i="3"/>
  <c r="W42" i="3" s="1"/>
  <c r="V543" i="3"/>
  <c r="T543" i="3"/>
  <c r="W543" i="3" s="1"/>
  <c r="V391" i="3"/>
  <c r="T391" i="3"/>
  <c r="W391" i="3" s="1"/>
  <c r="V524" i="3"/>
  <c r="T524" i="3"/>
  <c r="W524" i="3" s="1"/>
  <c r="V956" i="3"/>
  <c r="T956" i="3"/>
  <c r="W956" i="3" s="1"/>
  <c r="V632" i="3"/>
  <c r="T632" i="3"/>
  <c r="W632" i="3" s="1"/>
  <c r="V433" i="3"/>
  <c r="T433" i="3"/>
  <c r="W433" i="3" s="1"/>
  <c r="V207" i="3"/>
  <c r="V920" i="3"/>
  <c r="T920" i="3"/>
  <c r="W920" i="3" s="1"/>
  <c r="V197" i="3"/>
  <c r="T197" i="3"/>
  <c r="W197" i="3" s="1"/>
  <c r="V497" i="3"/>
  <c r="T497" i="3"/>
  <c r="W497" i="3" s="1"/>
  <c r="V1067" i="3"/>
  <c r="T1067" i="3"/>
  <c r="W1067" i="3" s="1"/>
  <c r="V992" i="3"/>
  <c r="V654" i="3"/>
  <c r="T654" i="3"/>
  <c r="W654" i="3" s="1"/>
  <c r="V659" i="3"/>
  <c r="T659" i="3"/>
  <c r="W659" i="3" s="1"/>
  <c r="V607" i="3"/>
  <c r="T607" i="3"/>
  <c r="W607" i="3" s="1"/>
  <c r="V1048" i="3"/>
  <c r="T1048" i="3"/>
  <c r="W1048" i="3" s="1"/>
  <c r="V110" i="3"/>
  <c r="T110" i="3"/>
  <c r="W110" i="3" s="1"/>
  <c r="V745" i="3"/>
  <c r="T745" i="3"/>
  <c r="W745" i="3" s="1"/>
  <c r="V718" i="3"/>
  <c r="T718" i="3"/>
  <c r="W718" i="3" s="1"/>
  <c r="V80" i="3"/>
  <c r="T80" i="3"/>
  <c r="W80" i="3" s="1"/>
  <c r="V321" i="3"/>
  <c r="T321" i="3"/>
  <c r="W321" i="3" s="1"/>
  <c r="V274" i="3"/>
  <c r="T274" i="3"/>
  <c r="W274" i="3" s="1"/>
  <c r="V685" i="3"/>
  <c r="T685" i="3"/>
  <c r="W685" i="3" s="1"/>
  <c r="V835" i="3"/>
  <c r="T835" i="3"/>
  <c r="W835" i="3" s="1"/>
  <c r="V173" i="3"/>
  <c r="V359" i="3"/>
  <c r="V739" i="3"/>
  <c r="V310" i="3"/>
  <c r="T310" i="3"/>
  <c r="W310" i="3" s="1"/>
  <c r="V900" i="3"/>
  <c r="T900" i="3"/>
  <c r="W900" i="3" s="1"/>
  <c r="V972" i="3"/>
  <c r="T972" i="3"/>
  <c r="W972" i="3" s="1"/>
  <c r="V782" i="3"/>
  <c r="T782" i="3"/>
  <c r="W782" i="3" s="1"/>
  <c r="V406" i="3"/>
  <c r="T406" i="3"/>
  <c r="W406" i="3" s="1"/>
  <c r="V209" i="3"/>
  <c r="T209" i="3"/>
  <c r="W209" i="3" s="1"/>
  <c r="V842" i="3"/>
  <c r="V526" i="3"/>
  <c r="T526" i="3"/>
  <c r="W526" i="3" s="1"/>
  <c r="V707" i="3"/>
  <c r="T707" i="3"/>
  <c r="W707" i="3" s="1"/>
  <c r="V633" i="3"/>
  <c r="T633" i="3"/>
  <c r="W633" i="3" s="1"/>
  <c r="V722" i="3"/>
  <c r="V776" i="3"/>
  <c r="T776" i="3"/>
  <c r="W776" i="3" s="1"/>
  <c r="V855" i="3"/>
  <c r="V386" i="3"/>
  <c r="V973" i="3"/>
  <c r="T973" i="3"/>
  <c r="W973" i="3" s="1"/>
  <c r="V883" i="3"/>
  <c r="T883" i="3"/>
  <c r="W883" i="3" s="1"/>
  <c r="V171" i="3"/>
  <c r="V767" i="3"/>
  <c r="T767" i="3"/>
  <c r="W767" i="3" s="1"/>
  <c r="V896" i="3"/>
  <c r="T896" i="3"/>
  <c r="W896" i="3" s="1"/>
  <c r="V810" i="3"/>
  <c r="V679" i="3"/>
  <c r="T679" i="3"/>
  <c r="W679" i="3" s="1"/>
  <c r="V857" i="3"/>
  <c r="T857" i="3"/>
  <c r="W857" i="3" s="1"/>
  <c r="V602" i="3"/>
  <c r="V134" i="3"/>
  <c r="V109" i="3"/>
  <c r="V444" i="3"/>
  <c r="T444" i="3"/>
  <c r="W444" i="3" s="1"/>
  <c r="V183" i="3"/>
  <c r="T183" i="3"/>
  <c r="W183" i="3" s="1"/>
  <c r="V459" i="3"/>
  <c r="V327" i="3"/>
  <c r="T327" i="3"/>
  <c r="W327" i="3" s="1"/>
  <c r="V872" i="3"/>
  <c r="T872" i="3"/>
  <c r="W872" i="3" s="1"/>
  <c r="V826" i="3"/>
  <c r="T826" i="3"/>
  <c r="W826" i="3" s="1"/>
  <c r="V794" i="3"/>
  <c r="T794" i="3"/>
  <c r="W794" i="3" s="1"/>
  <c r="V366" i="3"/>
  <c r="T366" i="3"/>
  <c r="W366" i="3" s="1"/>
  <c r="V734" i="3"/>
  <c r="T734" i="3"/>
  <c r="W734" i="3" s="1"/>
  <c r="V177" i="3"/>
  <c r="T177" i="3"/>
  <c r="W177" i="3" s="1"/>
  <c r="V636" i="3"/>
  <c r="T636" i="3"/>
  <c r="W636" i="3" s="1"/>
  <c r="V410" i="3"/>
  <c r="T410" i="3"/>
  <c r="W410" i="3" s="1"/>
  <c r="V931" i="3"/>
  <c r="T931" i="3"/>
  <c r="W931" i="3" s="1"/>
  <c r="V720" i="3"/>
  <c r="T720" i="3"/>
  <c r="W720" i="3" s="1"/>
  <c r="V136" i="3"/>
  <c r="T136" i="3"/>
  <c r="W136" i="3" s="1"/>
  <c r="V12" i="3"/>
  <c r="T12" i="3"/>
  <c r="W12" i="3" s="1"/>
  <c r="V10" i="3"/>
  <c r="T10" i="3"/>
  <c r="W10" i="3" s="1"/>
  <c r="T1016" i="3"/>
  <c r="W1016" i="3" s="1"/>
  <c r="T39" i="3"/>
  <c r="W39" i="3" s="1"/>
  <c r="T207" i="3"/>
  <c r="W207" i="3" s="1"/>
  <c r="T805" i="3"/>
  <c r="W805" i="3" s="1"/>
  <c r="T210" i="3"/>
  <c r="W210" i="3" s="1"/>
  <c r="T802" i="3"/>
  <c r="W802" i="3" s="1"/>
  <c r="T276" i="3"/>
  <c r="W276" i="3" s="1"/>
  <c r="T153" i="3"/>
  <c r="W153" i="3" s="1"/>
  <c r="T73" i="3"/>
  <c r="W73" i="3" s="1"/>
  <c r="T278" i="3"/>
  <c r="W278" i="3" s="1"/>
  <c r="T789" i="3"/>
  <c r="W789" i="3" s="1"/>
  <c r="T576" i="3"/>
  <c r="W576" i="3" s="1"/>
  <c r="T95" i="3"/>
  <c r="W95" i="3" s="1"/>
  <c r="T1122" i="3"/>
  <c r="W1122" i="3" s="1"/>
  <c r="T628" i="3"/>
  <c r="W628" i="3" s="1"/>
  <c r="T611" i="3"/>
  <c r="W611" i="3" s="1"/>
  <c r="T1107" i="3"/>
  <c r="W1107" i="3" s="1"/>
  <c r="T575" i="3"/>
  <c r="W575" i="3" s="1"/>
  <c r="T319" i="3"/>
  <c r="W319" i="3" s="1"/>
  <c r="T1156" i="3"/>
  <c r="W1156" i="3" s="1"/>
  <c r="T374" i="3"/>
  <c r="W374" i="3" s="1"/>
  <c r="T549" i="3"/>
  <c r="W549" i="3" s="1"/>
  <c r="T414" i="3"/>
  <c r="W414" i="3" s="1"/>
  <c r="T128" i="3"/>
  <c r="W128" i="3" s="1"/>
  <c r="T1146" i="3"/>
  <c r="W1146" i="3" s="1"/>
  <c r="T907" i="3"/>
  <c r="W907" i="3" s="1"/>
  <c r="T1101" i="3"/>
  <c r="W1101" i="3" s="1"/>
  <c r="T1065" i="3"/>
  <c r="W1065" i="3" s="1"/>
  <c r="T846" i="3"/>
  <c r="W846" i="3" s="1"/>
  <c r="T341" i="3"/>
  <c r="W341" i="3" s="1"/>
  <c r="T178" i="3"/>
  <c r="W178" i="3" s="1"/>
  <c r="T1217" i="3"/>
  <c r="W1217" i="3" s="1"/>
  <c r="T1073" i="3"/>
  <c r="W1073" i="3" s="1"/>
  <c r="T162" i="3"/>
  <c r="W162" i="3" s="1"/>
  <c r="T127" i="3"/>
  <c r="W127" i="3" s="1"/>
  <c r="V141" i="3"/>
  <c r="T141" i="3"/>
  <c r="W141" i="3" s="1"/>
  <c r="T759" i="3"/>
  <c r="W759" i="3" s="1"/>
  <c r="V1204" i="3"/>
  <c r="V1145" i="3"/>
  <c r="V922" i="3"/>
  <c r="T922" i="3"/>
  <c r="W922" i="3" s="1"/>
  <c r="V699" i="3"/>
  <c r="V1088" i="3"/>
  <c r="T1088" i="3"/>
  <c r="W1088" i="3" s="1"/>
  <c r="V175" i="3"/>
  <c r="T175" i="3"/>
  <c r="W175" i="3" s="1"/>
  <c r="V1227" i="3"/>
  <c r="T1227" i="3"/>
  <c r="W1227" i="3" s="1"/>
  <c r="V969" i="3"/>
  <c r="T969" i="3"/>
  <c r="W969" i="3" s="1"/>
  <c r="V50" i="3"/>
  <c r="T50" i="3"/>
  <c r="W50" i="3" s="1"/>
  <c r="V243" i="3"/>
  <c r="V237" i="3"/>
  <c r="V1030" i="3"/>
  <c r="T1030" i="3"/>
  <c r="W1030" i="3" s="1"/>
  <c r="V1157" i="3"/>
  <c r="V712" i="3"/>
  <c r="V393" i="3"/>
  <c r="T393" i="3"/>
  <c r="W393" i="3" s="1"/>
  <c r="V365" i="3"/>
  <c r="T365" i="3"/>
  <c r="W365" i="3" s="1"/>
  <c r="V694" i="3"/>
  <c r="T694" i="3"/>
  <c r="W694" i="3" s="1"/>
  <c r="V412" i="3"/>
  <c r="T412" i="3"/>
  <c r="W412" i="3" s="1"/>
  <c r="V246" i="3"/>
  <c r="T246" i="3"/>
  <c r="W246" i="3" s="1"/>
  <c r="V715" i="3"/>
  <c r="T715" i="3"/>
  <c r="W715" i="3" s="1"/>
  <c r="V1046" i="3"/>
  <c r="T1046" i="3"/>
  <c r="W1046" i="3" s="1"/>
  <c r="V119" i="3"/>
  <c r="T119" i="3"/>
  <c r="W119" i="3" s="1"/>
  <c r="V635" i="3"/>
  <c r="T635" i="3"/>
  <c r="W635" i="3" s="1"/>
  <c r="V1159" i="3"/>
  <c r="T1159" i="3"/>
  <c r="W1159" i="3" s="1"/>
  <c r="V182" i="3"/>
  <c r="T182" i="3"/>
  <c r="W182" i="3" s="1"/>
  <c r="V780" i="3"/>
  <c r="T780" i="3"/>
  <c r="W780" i="3" s="1"/>
  <c r="V941" i="3"/>
  <c r="T941" i="3"/>
  <c r="W941" i="3" s="1"/>
  <c r="V1201" i="3"/>
  <c r="T1201" i="3"/>
  <c r="W1201" i="3" s="1"/>
  <c r="V485" i="3"/>
  <c r="T485" i="3"/>
  <c r="W485" i="3" s="1"/>
  <c r="V988" i="3"/>
  <c r="T988" i="3"/>
  <c r="W988" i="3" s="1"/>
  <c r="V793" i="3"/>
  <c r="T793" i="3"/>
  <c r="W793" i="3" s="1"/>
  <c r="V985" i="3"/>
  <c r="T985" i="3"/>
  <c r="W985" i="3" s="1"/>
  <c r="V1168" i="3"/>
  <c r="T1168" i="3"/>
  <c r="W1168" i="3" s="1"/>
  <c r="V46" i="3"/>
  <c r="T46" i="3"/>
  <c r="W46" i="3" s="1"/>
  <c r="V112" i="3"/>
  <c r="V1206" i="3"/>
  <c r="T1206" i="3"/>
  <c r="W1206" i="3" s="1"/>
  <c r="V919" i="3"/>
  <c r="T919" i="3"/>
  <c r="W919" i="3" s="1"/>
  <c r="V848" i="3"/>
  <c r="T848" i="3"/>
  <c r="W848" i="3" s="1"/>
  <c r="V292" i="3"/>
  <c r="T292" i="3"/>
  <c r="W292" i="3" s="1"/>
  <c r="V737" i="3"/>
  <c r="T737" i="3"/>
  <c r="W737" i="3" s="1"/>
  <c r="V1200" i="3"/>
  <c r="T1200" i="3"/>
  <c r="W1200" i="3" s="1"/>
  <c r="V43" i="3"/>
  <c r="T43" i="3"/>
  <c r="W43" i="3" s="1"/>
  <c r="V428" i="3"/>
  <c r="V55" i="3"/>
  <c r="T55" i="3"/>
  <c r="W55" i="3" s="1"/>
  <c r="V795" i="3"/>
  <c r="T795" i="3"/>
  <c r="W795" i="3" s="1"/>
  <c r="V1045" i="3"/>
  <c r="V1222" i="3"/>
  <c r="T1222" i="3"/>
  <c r="W1222" i="3" s="1"/>
  <c r="V279" i="3"/>
  <c r="T279" i="3"/>
  <c r="W279" i="3" s="1"/>
  <c r="V1006" i="3"/>
  <c r="T1006" i="3"/>
  <c r="W1006" i="3" s="1"/>
  <c r="V1089" i="3"/>
  <c r="T1089" i="3"/>
  <c r="W1089" i="3" s="1"/>
  <c r="V488" i="3"/>
  <c r="T488" i="3"/>
  <c r="W488" i="3" s="1"/>
  <c r="V223" i="3"/>
  <c r="T223" i="3"/>
  <c r="W223" i="3" s="1"/>
  <c r="V1085" i="3"/>
  <c r="V770" i="3"/>
  <c r="T770" i="3"/>
  <c r="W770" i="3" s="1"/>
  <c r="V204" i="3"/>
  <c r="T204" i="3"/>
  <c r="W204" i="3" s="1"/>
  <c r="V395" i="3"/>
  <c r="T395" i="3"/>
  <c r="W395" i="3" s="1"/>
  <c r="V643" i="3"/>
  <c r="T643" i="3"/>
  <c r="W643" i="3" s="1"/>
  <c r="V598" i="3"/>
  <c r="T598" i="3"/>
  <c r="W598" i="3" s="1"/>
  <c r="V946" i="3"/>
  <c r="T946" i="3"/>
  <c r="W946" i="3" s="1"/>
  <c r="V682" i="3"/>
  <c r="T682" i="3"/>
  <c r="W682" i="3" s="1"/>
  <c r="V1134" i="3"/>
  <c r="T1134" i="3"/>
  <c r="W1134" i="3" s="1"/>
  <c r="V491" i="3"/>
  <c r="T491" i="3"/>
  <c r="W491" i="3" s="1"/>
  <c r="V465" i="3"/>
  <c r="T465" i="3"/>
  <c r="W465" i="3" s="1"/>
  <c r="V478" i="3"/>
  <c r="T478" i="3"/>
  <c r="W478" i="3" s="1"/>
  <c r="V473" i="3"/>
  <c r="T473" i="3"/>
  <c r="W473" i="3" s="1"/>
  <c r="V773" i="3"/>
  <c r="T773" i="3"/>
  <c r="W773" i="3" s="1"/>
  <c r="V260" i="3"/>
  <c r="T260" i="3"/>
  <c r="W260" i="3" s="1"/>
  <c r="V463" i="3"/>
  <c r="T463" i="3"/>
  <c r="W463" i="3" s="1"/>
  <c r="V489" i="3"/>
  <c r="T489" i="3"/>
  <c r="W489" i="3" s="1"/>
  <c r="V1033" i="3"/>
  <c r="T1033" i="3"/>
  <c r="W1033" i="3" s="1"/>
  <c r="V60" i="3"/>
  <c r="T60" i="3"/>
  <c r="W60" i="3" s="1"/>
  <c r="V174" i="3"/>
  <c r="T174" i="3"/>
  <c r="W174" i="3" s="1"/>
  <c r="V16" i="3"/>
  <c r="V1223" i="3"/>
  <c r="T1223" i="3"/>
  <c r="W1223" i="3" s="1"/>
  <c r="V728" i="3"/>
  <c r="T728" i="3"/>
  <c r="W728" i="3" s="1"/>
  <c r="V477" i="3"/>
  <c r="T477" i="3"/>
  <c r="W477" i="3" s="1"/>
  <c r="V868" i="3"/>
  <c r="V515" i="3"/>
  <c r="T515" i="3"/>
  <c r="W515" i="3" s="1"/>
  <c r="V567" i="3"/>
  <c r="T567" i="3"/>
  <c r="W567" i="3" s="1"/>
  <c r="V297" i="3"/>
  <c r="V592" i="3"/>
  <c r="V474" i="3"/>
  <c r="T474" i="3"/>
  <c r="W474" i="3" s="1"/>
  <c r="V982" i="3"/>
  <c r="V258" i="3"/>
  <c r="V249" i="3"/>
  <c r="V68" i="3"/>
  <c r="T68" i="3"/>
  <c r="W68" i="3" s="1"/>
  <c r="V1173" i="3"/>
  <c r="T1173" i="3"/>
  <c r="W1173" i="3" s="1"/>
  <c r="V1203" i="3"/>
  <c r="T1203" i="3"/>
  <c r="W1203" i="3" s="1"/>
  <c r="V215" i="3"/>
  <c r="T215" i="3"/>
  <c r="W215" i="3" s="1"/>
  <c r="V268" i="3"/>
  <c r="V622" i="3"/>
  <c r="V513" i="3"/>
  <c r="T513" i="3"/>
  <c r="W513" i="3" s="1"/>
  <c r="V224" i="3"/>
  <c r="V658" i="3"/>
  <c r="T658" i="3"/>
  <c r="W658" i="3" s="1"/>
  <c r="V315" i="3"/>
  <c r="T315" i="3"/>
  <c r="W315" i="3" s="1"/>
  <c r="V1229" i="3"/>
  <c r="V1147" i="3"/>
  <c r="T1147" i="3"/>
  <c r="W1147" i="3" s="1"/>
  <c r="V198" i="3"/>
  <c r="T198" i="3"/>
  <c r="W198" i="3" s="1"/>
  <c r="V231" i="3"/>
  <c r="T231" i="3"/>
  <c r="W231" i="3" s="1"/>
  <c r="V683" i="3"/>
  <c r="T683" i="3"/>
  <c r="W683" i="3" s="1"/>
  <c r="V903" i="3"/>
  <c r="T903" i="3"/>
  <c r="W903" i="3" s="1"/>
  <c r="V191" i="3"/>
  <c r="T191" i="3"/>
  <c r="W191" i="3" s="1"/>
  <c r="V889" i="3"/>
  <c r="T889" i="3"/>
  <c r="W889" i="3" s="1"/>
  <c r="V669" i="3"/>
  <c r="T669" i="3"/>
  <c r="W669" i="3" s="1"/>
  <c r="V486" i="3"/>
  <c r="T486" i="3"/>
  <c r="W486" i="3" s="1"/>
  <c r="V348" i="3"/>
  <c r="T348" i="3"/>
  <c r="W348" i="3" s="1"/>
  <c r="V13" i="3"/>
  <c r="V698" i="3"/>
  <c r="T698" i="3"/>
  <c r="W698" i="3" s="1"/>
  <c r="V1110" i="3"/>
  <c r="T1110" i="3"/>
  <c r="W1110" i="3" s="1"/>
  <c r="V1178" i="3"/>
  <c r="T1178" i="3"/>
  <c r="W1178" i="3" s="1"/>
  <c r="V989" i="3"/>
  <c r="T989" i="3"/>
  <c r="W989" i="3" s="1"/>
  <c r="V655" i="3"/>
  <c r="T655" i="3"/>
  <c r="W655" i="3" s="1"/>
  <c r="V1052" i="3"/>
  <c r="T1052" i="3"/>
  <c r="W1052" i="3" s="1"/>
  <c r="V1133" i="3"/>
  <c r="T1133" i="3"/>
  <c r="W1133" i="3" s="1"/>
  <c r="V1108" i="3"/>
  <c r="T1108" i="3"/>
  <c r="W1108" i="3" s="1"/>
  <c r="V261" i="3"/>
  <c r="V917" i="3"/>
  <c r="T917" i="3"/>
  <c r="W917" i="3" s="1"/>
  <c r="V405" i="3"/>
  <c r="V983" i="3"/>
  <c r="T983" i="3"/>
  <c r="W983" i="3" s="1"/>
  <c r="V950" i="3"/>
  <c r="T950" i="3"/>
  <c r="W950" i="3" s="1"/>
  <c r="V219" i="3"/>
  <c r="T219" i="3"/>
  <c r="W219" i="3" s="1"/>
  <c r="V779" i="3"/>
  <c r="T779" i="3"/>
  <c r="W779" i="3" s="1"/>
  <c r="V181" i="3"/>
  <c r="T181" i="3"/>
  <c r="W181" i="3" s="1"/>
  <c r="V506" i="3"/>
  <c r="T506" i="3"/>
  <c r="W506" i="3" s="1"/>
  <c r="V1056" i="3"/>
  <c r="T1056" i="3"/>
  <c r="W1056" i="3" s="1"/>
  <c r="V959" i="3"/>
  <c r="T959" i="3"/>
  <c r="W959" i="3" s="1"/>
  <c r="V384" i="3"/>
  <c r="T384" i="3"/>
  <c r="W384" i="3" s="1"/>
  <c r="V608" i="3"/>
  <c r="V152" i="3"/>
  <c r="V1044" i="3"/>
  <c r="T1044" i="3"/>
  <c r="W1044" i="3" s="1"/>
  <c r="V865" i="3"/>
  <c r="T865" i="3"/>
  <c r="W865" i="3" s="1"/>
  <c r="V593" i="3"/>
  <c r="T593" i="3"/>
  <c r="W593" i="3" s="1"/>
  <c r="V27" i="3"/>
  <c r="V624" i="3"/>
  <c r="T624" i="3"/>
  <c r="W624" i="3" s="1"/>
  <c r="V137" i="3"/>
  <c r="T137" i="3"/>
  <c r="W137" i="3" s="1"/>
  <c r="V20" i="3"/>
  <c r="T20" i="3"/>
  <c r="W20" i="3" s="1"/>
  <c r="T7" i="3"/>
  <c r="W7" i="3" s="1"/>
  <c r="T1186" i="3"/>
  <c r="W1186" i="3" s="1"/>
  <c r="T854" i="3"/>
  <c r="W854" i="3" s="1"/>
  <c r="T699" i="3"/>
  <c r="W699" i="3" s="1"/>
  <c r="T1197" i="3"/>
  <c r="W1197" i="3" s="1"/>
  <c r="T870" i="3"/>
  <c r="W870" i="3" s="1"/>
  <c r="T944" i="3"/>
  <c r="W944" i="3" s="1"/>
  <c r="T149" i="3"/>
  <c r="W149" i="3" s="1"/>
  <c r="T1142" i="3"/>
  <c r="W1142" i="3" s="1"/>
  <c r="T236" i="3"/>
  <c r="W236" i="3" s="1"/>
  <c r="T841" i="3"/>
  <c r="W841" i="3" s="1"/>
  <c r="T665" i="3"/>
  <c r="W665" i="3" s="1"/>
  <c r="T616" i="3"/>
  <c r="W616" i="3" s="1"/>
  <c r="T72" i="3"/>
  <c r="W72" i="3" s="1"/>
  <c r="T1150" i="3"/>
  <c r="W1150" i="3" s="1"/>
  <c r="T230" i="3"/>
  <c r="W230" i="3" s="1"/>
  <c r="T637" i="3"/>
  <c r="W637" i="3" s="1"/>
  <c r="T1019" i="3"/>
  <c r="W1019" i="3" s="1"/>
  <c r="T1180" i="3"/>
  <c r="W1180" i="3" s="1"/>
  <c r="T700" i="3"/>
  <c r="W700" i="3" s="1"/>
  <c r="T466" i="3"/>
  <c r="W466" i="3" s="1"/>
  <c r="T777" i="3"/>
  <c r="W777" i="3" s="1"/>
  <c r="T860" i="3"/>
  <c r="W860" i="3" s="1"/>
  <c r="T592" i="3"/>
  <c r="W592" i="3" s="1"/>
  <c r="T176" i="3"/>
  <c r="W176" i="3" s="1"/>
  <c r="T134" i="3"/>
  <c r="W134" i="3" s="1"/>
  <c r="T1095" i="3"/>
  <c r="W1095" i="3" s="1"/>
  <c r="T980" i="3"/>
  <c r="W980" i="3" s="1"/>
  <c r="T1066" i="3"/>
  <c r="W1066" i="3" s="1"/>
  <c r="T226" i="3"/>
  <c r="W226" i="3" s="1"/>
  <c r="T1000" i="3"/>
  <c r="W1000" i="3" s="1"/>
  <c r="T556" i="3"/>
  <c r="W556" i="3" s="1"/>
  <c r="T112" i="3"/>
  <c r="W112" i="3" s="1"/>
  <c r="T836" i="3"/>
  <c r="W836" i="3" s="1"/>
  <c r="T551" i="3"/>
  <c r="W551" i="3" s="1"/>
  <c r="T499" i="3"/>
  <c r="W499" i="3" s="1"/>
  <c r="T264" i="3"/>
  <c r="W264" i="3" s="1"/>
  <c r="V759" i="3"/>
  <c r="BB10" i="1"/>
  <c r="AZ10" i="1" s="1"/>
  <c r="Q14" i="3" s="1"/>
  <c r="BB322" i="1"/>
  <c r="AZ322" i="1" s="1"/>
  <c r="Q653" i="3" s="1"/>
  <c r="BB611" i="1"/>
  <c r="AZ611" i="1" s="1"/>
  <c r="Q1102" i="3" s="1"/>
  <c r="BB376" i="1"/>
  <c r="AZ376" i="1" s="1"/>
  <c r="Q761" i="3" s="1"/>
  <c r="BB543" i="1"/>
  <c r="AZ543" i="1" s="1"/>
  <c r="Q1027" i="3" s="1"/>
  <c r="BB364" i="1"/>
  <c r="AZ364" i="1" s="1"/>
  <c r="Q745" i="3" s="1"/>
  <c r="BB221" i="1"/>
  <c r="AZ221" i="1" s="1"/>
  <c r="Q499" i="3" s="1"/>
  <c r="BB178" i="1"/>
  <c r="AZ178" i="1" s="1"/>
  <c r="Q411" i="3" s="1"/>
  <c r="BB237" i="1"/>
  <c r="AZ237" i="1" s="1"/>
  <c r="Q490" i="3" s="1"/>
  <c r="BB362" i="1"/>
  <c r="AZ362" i="1" s="1"/>
  <c r="Q782" i="3" s="1"/>
  <c r="BB361" i="1"/>
  <c r="AZ361" i="1" s="1"/>
  <c r="Q738" i="3" s="1"/>
  <c r="BB473" i="1"/>
  <c r="AZ473" i="1" s="1"/>
  <c r="Q894" i="3" s="1"/>
  <c r="BB431" i="1"/>
  <c r="AZ431" i="1" s="1"/>
  <c r="Q865" i="3" s="1"/>
  <c r="BB194" i="1"/>
  <c r="AZ194" i="1" s="1"/>
  <c r="Q421" i="3" s="1"/>
  <c r="BB45" i="1"/>
  <c r="AZ45" i="1" s="1"/>
  <c r="Q61" i="3" s="1"/>
  <c r="BB427" i="1"/>
  <c r="AZ427" i="1" s="1"/>
  <c r="Q858" i="3" s="1"/>
  <c r="BB563" i="1"/>
  <c r="AZ563" i="1" s="1"/>
  <c r="Q1046" i="3" s="1"/>
  <c r="BB34" i="1"/>
  <c r="AZ34" i="1" s="1"/>
  <c r="Q46" i="3" s="1"/>
  <c r="BB301" i="1"/>
  <c r="AZ301" i="1" s="1"/>
  <c r="Q580" i="3" s="1"/>
  <c r="BB254" i="1"/>
  <c r="AZ254" i="1" s="1"/>
  <c r="Q542" i="3" s="1"/>
  <c r="BB609" i="1"/>
  <c r="AZ609" i="1" s="1"/>
  <c r="Q1120" i="3" s="1"/>
  <c r="BB177" i="1"/>
  <c r="AZ177" i="1" s="1"/>
  <c r="Q388" i="3" s="1"/>
  <c r="BB253" i="1"/>
  <c r="AZ253" i="1" s="1"/>
  <c r="Q539" i="3" s="1"/>
  <c r="BB100" i="1"/>
  <c r="AZ100" i="1" s="1"/>
  <c r="Q187" i="3" s="1"/>
  <c r="BB148" i="1"/>
  <c r="AZ148" i="1" s="1"/>
  <c r="Q373" i="3" s="1"/>
  <c r="BB358" i="1"/>
  <c r="AZ358" i="1" s="1"/>
  <c r="Q677" i="3" s="1"/>
  <c r="BB206" i="1"/>
  <c r="AZ206" i="1" s="1"/>
  <c r="Q448" i="3" s="1"/>
  <c r="BB6" i="1"/>
  <c r="AZ6" i="1" s="1"/>
  <c r="Q6" i="3" s="1"/>
  <c r="BB305" i="1"/>
  <c r="AZ305" i="1" s="1"/>
  <c r="Q588" i="3" s="1"/>
  <c r="BB183" i="1"/>
  <c r="AZ183" i="1" s="1"/>
  <c r="Q401" i="3" s="1"/>
  <c r="BB600" i="1"/>
  <c r="AZ600" i="1" s="1"/>
  <c r="Q1062" i="3" s="1"/>
  <c r="BB461" i="1"/>
  <c r="AZ461" i="1" s="1"/>
  <c r="Q874" i="3" s="1"/>
  <c r="BB606" i="1"/>
  <c r="AZ606" i="1" s="1"/>
  <c r="Q1097" i="3" s="1"/>
  <c r="BB185" i="1"/>
  <c r="AZ185" i="1" s="1"/>
  <c r="Q470" i="3" s="1"/>
  <c r="BB326" i="1"/>
  <c r="AZ326" i="1" s="1"/>
  <c r="Q662" i="3" s="1"/>
  <c r="BB505" i="1"/>
  <c r="AZ505" i="1" s="1"/>
  <c r="Q985" i="3" s="1"/>
  <c r="BB576" i="1"/>
  <c r="AZ576" i="1" s="1"/>
  <c r="Q1079" i="3" s="1"/>
  <c r="BB457" i="1"/>
  <c r="AZ457" i="1" s="1"/>
  <c r="Q919" i="3" s="1"/>
  <c r="BB459" i="1"/>
  <c r="AZ459" i="1" s="1"/>
  <c r="Q921" i="3" s="1"/>
  <c r="BB558" i="1"/>
  <c r="AZ558" i="1" s="1"/>
  <c r="Q1041" i="3" s="1"/>
  <c r="BB536" i="1"/>
  <c r="AZ536" i="1" s="1"/>
  <c r="Q1036" i="3" s="1"/>
  <c r="BB345" i="1"/>
  <c r="AZ345" i="1" s="1"/>
  <c r="Q656" i="3" s="1"/>
  <c r="BB513" i="1"/>
  <c r="AZ513" i="1" s="1"/>
  <c r="Q1030" i="3" s="1"/>
  <c r="BB388" i="1"/>
  <c r="AZ388" i="1" s="1"/>
  <c r="Q748" i="3" s="1"/>
  <c r="BB455" i="1"/>
  <c r="AZ455" i="1" s="1"/>
  <c r="Q915" i="3" s="1"/>
  <c r="BB454" i="1"/>
  <c r="AZ454" i="1" s="1"/>
  <c r="Q947" i="3" s="1"/>
  <c r="BB284" i="1"/>
  <c r="AZ284" i="1" s="1"/>
  <c r="Q555" i="3" s="1"/>
  <c r="BB367" i="1"/>
  <c r="AZ367" i="1" s="1"/>
  <c r="Q695" i="3" s="1"/>
  <c r="BB260" i="1"/>
  <c r="AZ260" i="1" s="1"/>
  <c r="Q521" i="3" s="1"/>
  <c r="BB280" i="1"/>
  <c r="AZ280" i="1" s="1"/>
  <c r="Q546" i="3" s="1"/>
  <c r="BB250" i="1"/>
  <c r="AZ250" i="1" s="1"/>
  <c r="Q535" i="3" s="1"/>
  <c r="BB287" i="1"/>
  <c r="AZ287" i="1" s="1"/>
  <c r="Q606" i="3" s="1"/>
  <c r="BB445" i="1"/>
  <c r="AZ445" i="1" s="1"/>
  <c r="Q886" i="3" s="1"/>
  <c r="BB406" i="1"/>
  <c r="AZ406" i="1" s="1"/>
  <c r="Q826" i="3" s="1"/>
  <c r="BB317" i="1"/>
  <c r="AZ317" i="1" s="1"/>
  <c r="Q645" i="3" s="1"/>
  <c r="BB145" i="1"/>
  <c r="AZ145" i="1" s="1"/>
  <c r="Q344" i="3" s="1"/>
  <c r="BB273" i="1"/>
  <c r="AZ273" i="1" s="1"/>
  <c r="Q627" i="3" s="1"/>
  <c r="BB567" i="1"/>
  <c r="AZ567" i="1" s="1"/>
  <c r="Q1051" i="3" s="1"/>
  <c r="BB73" i="1"/>
  <c r="AZ73" i="1" s="1"/>
  <c r="Q138" i="3" s="1"/>
  <c r="BB160" i="1"/>
  <c r="AZ160" i="1" s="1"/>
  <c r="Q386" i="3" s="1"/>
  <c r="BB495" i="1"/>
  <c r="AZ495" i="1" s="1"/>
  <c r="Q966" i="3" s="1"/>
  <c r="BB24" i="1"/>
  <c r="AZ24" i="1" s="1"/>
  <c r="Q38" i="3" s="1"/>
  <c r="BB66" i="1"/>
  <c r="AZ66" i="1" s="1"/>
  <c r="Q125" i="3" s="1"/>
  <c r="BB90" i="1"/>
  <c r="AZ90" i="1" s="1"/>
  <c r="Q163" i="3" s="1"/>
  <c r="BB56" i="1"/>
  <c r="AZ56" i="1" s="1"/>
  <c r="Q111" i="3" s="1"/>
  <c r="BB368" i="1"/>
  <c r="AZ368" i="1" s="1"/>
  <c r="Q796" i="3" s="1"/>
  <c r="BB423" i="1"/>
  <c r="AZ423" i="1" s="1"/>
  <c r="Q803" i="3" s="1"/>
  <c r="BB310" i="1"/>
  <c r="AZ310" i="1" s="1"/>
  <c r="Q665" i="3" s="1"/>
  <c r="BB477" i="1"/>
  <c r="AZ477" i="1" s="1"/>
  <c r="Q901" i="3" s="1"/>
  <c r="BB616" i="1"/>
  <c r="AZ616" i="1" s="1"/>
  <c r="Q1083" i="3" s="1"/>
  <c r="BB352" i="1"/>
  <c r="AZ352" i="1" s="1"/>
  <c r="Q667" i="3" s="1"/>
  <c r="BB582" i="1"/>
  <c r="AZ582" i="1" s="1"/>
  <c r="Q1087" i="3" s="1"/>
  <c r="BB572" i="1"/>
  <c r="AZ572" i="1" s="1"/>
  <c r="Q1052" i="3" s="1"/>
  <c r="BB404" i="1"/>
  <c r="AZ404" i="1" s="1"/>
  <c r="Q771" i="3" s="1"/>
  <c r="BB323" i="1"/>
  <c r="AZ323" i="1" s="1"/>
  <c r="Q571" i="3" s="1"/>
  <c r="BB300" i="1"/>
  <c r="AZ300" i="1" s="1"/>
  <c r="Q579" i="3" s="1"/>
  <c r="BB285" i="1"/>
  <c r="AZ285" i="1" s="1"/>
  <c r="Q604" i="3" s="1"/>
  <c r="BB68" i="1"/>
  <c r="AZ68" i="1" s="1"/>
  <c r="Q134" i="3" s="1"/>
  <c r="BB128" i="1"/>
  <c r="AZ128" i="1" s="1"/>
  <c r="Q291" i="3" s="1"/>
  <c r="BB357" i="1"/>
  <c r="AZ357" i="1" s="1"/>
  <c r="Q719" i="3" s="1"/>
  <c r="BB597" i="1"/>
  <c r="AZ597" i="1" s="1"/>
  <c r="Q1106" i="3" s="1"/>
  <c r="BB599" i="1"/>
  <c r="AZ599" i="1" s="1"/>
  <c r="Q1089" i="3" s="1"/>
  <c r="BB212" i="1"/>
  <c r="AZ212" i="1" s="1"/>
  <c r="Q487" i="3" s="1"/>
  <c r="BB306" i="1"/>
  <c r="AZ306" i="1" s="1"/>
  <c r="Q591" i="3" s="1"/>
  <c r="BB202" i="1"/>
  <c r="AZ202" i="1" s="1"/>
  <c r="Q434" i="3" s="1"/>
  <c r="BB71" i="1"/>
  <c r="AZ71" i="1" s="1"/>
  <c r="Q136" i="3" s="1"/>
  <c r="BB628" i="1"/>
  <c r="AZ628" i="1" s="1"/>
  <c r="Q1133" i="3" s="1"/>
  <c r="BB482" i="1"/>
  <c r="AZ482" i="1" s="1"/>
  <c r="Q908" i="3" s="1"/>
  <c r="BB83" i="1"/>
  <c r="AZ83" i="1" s="1"/>
  <c r="Q154" i="3" s="1"/>
  <c r="BB49" i="1"/>
  <c r="AZ49" i="1" s="1"/>
  <c r="Q79" i="3" s="1"/>
  <c r="BB344" i="1"/>
  <c r="AZ344" i="1" s="1"/>
  <c r="Q655" i="3" s="1"/>
  <c r="BB429" i="1"/>
  <c r="AZ429" i="1" s="1"/>
  <c r="Q859" i="3" s="1"/>
  <c r="BB231" i="1"/>
  <c r="AZ231" i="1" s="1"/>
  <c r="Q549" i="3" s="1"/>
  <c r="BB591" i="1"/>
  <c r="AZ591" i="1" s="1"/>
  <c r="Q1072" i="3" s="1"/>
  <c r="BB312" i="1"/>
  <c r="AZ312" i="1" s="1"/>
  <c r="Q598" i="3" s="1"/>
  <c r="BB555" i="1"/>
  <c r="AZ555" i="1" s="1"/>
  <c r="Q1060" i="3" s="1"/>
  <c r="BB527" i="1"/>
  <c r="AZ527" i="1" s="1"/>
  <c r="Q1048" i="3" s="1"/>
  <c r="BB564" i="1"/>
  <c r="AZ564" i="1" s="1"/>
  <c r="Q1025" i="3" s="1"/>
  <c r="BB315" i="1"/>
  <c r="AZ315" i="1" s="1"/>
  <c r="Q641" i="3" s="1"/>
  <c r="BB248" i="1"/>
  <c r="AZ248" i="1" s="1"/>
  <c r="Q534" i="3" s="1"/>
  <c r="BB84" i="1"/>
  <c r="AZ84" i="1" s="1"/>
  <c r="Q155" i="3" s="1"/>
  <c r="BB18" i="1"/>
  <c r="AZ18" i="1" s="1"/>
  <c r="Q27" i="3" s="1"/>
  <c r="BB168" i="1"/>
  <c r="AZ168" i="1" s="1"/>
  <c r="Q387" i="3" s="1"/>
  <c r="BB176" i="1"/>
  <c r="AZ176" i="1" s="1"/>
  <c r="Q385" i="3" s="1"/>
  <c r="BB415" i="1"/>
  <c r="AZ415" i="1" s="1"/>
  <c r="Q793" i="3" s="1"/>
  <c r="BB251" i="1"/>
  <c r="AZ251" i="1" s="1"/>
  <c r="Q509" i="3" s="1"/>
  <c r="BB297" i="1"/>
  <c r="AZ297" i="1" s="1"/>
  <c r="Q574" i="3" s="1"/>
  <c r="BB126" i="1"/>
  <c r="AZ126" i="1" s="1"/>
  <c r="Q266" i="3" s="1"/>
  <c r="BB188" i="1"/>
  <c r="AZ188" i="1" s="1"/>
  <c r="Q430" i="3" s="1"/>
  <c r="BB549" i="1"/>
  <c r="AZ549" i="1" s="1"/>
  <c r="Q1084" i="3" s="1"/>
  <c r="BB104" i="1"/>
  <c r="AZ104" i="1" s="1"/>
  <c r="Q197" i="3" s="1"/>
  <c r="BB624" i="1"/>
  <c r="AZ624" i="1" s="1"/>
  <c r="Q1128" i="3" s="1"/>
  <c r="BB264" i="1"/>
  <c r="AZ264" i="1" s="1"/>
  <c r="Q614" i="3" s="1"/>
  <c r="BB486" i="1"/>
  <c r="AZ486" i="1" s="1"/>
  <c r="Q917" i="3" s="1"/>
  <c r="BB199" i="1"/>
  <c r="AZ199" i="1" s="1"/>
  <c r="Q447" i="3" s="1"/>
  <c r="BB501" i="1"/>
  <c r="AZ501" i="1" s="1"/>
  <c r="Q942" i="3" s="1"/>
  <c r="BB70" i="1"/>
  <c r="AZ70" i="1" s="1"/>
  <c r="Q130" i="3" s="1"/>
  <c r="BB418" i="1"/>
  <c r="AZ418" i="1" s="1"/>
  <c r="Q842" i="3" s="1"/>
  <c r="BB377" i="1"/>
  <c r="AZ377" i="1" s="1"/>
  <c r="Q711" i="3" s="1"/>
  <c r="BB474" i="1"/>
  <c r="AZ474" i="1" s="1"/>
  <c r="Q898" i="3" s="1"/>
  <c r="BB110" i="1"/>
  <c r="AZ110" i="1" s="1"/>
  <c r="Q208" i="3" s="1"/>
  <c r="BB272" i="1"/>
  <c r="AZ272" i="1" s="1"/>
  <c r="Q586" i="3" s="1"/>
  <c r="BB510" i="1"/>
  <c r="AZ510" i="1" s="1"/>
  <c r="Q1026" i="3" s="1"/>
  <c r="BB223" i="1"/>
  <c r="AZ223" i="1" s="1"/>
  <c r="Q575" i="3" s="1"/>
  <c r="BB612" i="1"/>
  <c r="AZ612" i="1" s="1"/>
  <c r="Q1103" i="3" s="1"/>
  <c r="BB389" i="1"/>
  <c r="AZ389" i="1" s="1"/>
  <c r="Q754" i="3" s="1"/>
  <c r="BB604" i="1"/>
  <c r="AZ604" i="1" s="1"/>
  <c r="Q1093" i="3" s="1"/>
  <c r="BB181" i="1"/>
  <c r="AZ181" i="1" s="1"/>
  <c r="Q398" i="3" s="1"/>
  <c r="BB255" i="1"/>
  <c r="AZ255" i="1" s="1"/>
  <c r="Q548" i="3" s="1"/>
  <c r="BB170" i="1"/>
  <c r="AZ170" i="1" s="1"/>
  <c r="Q375" i="3" s="1"/>
  <c r="BB443" i="1"/>
  <c r="AZ443" i="1" s="1"/>
  <c r="Q881" i="3" s="1"/>
  <c r="BB55" i="1"/>
  <c r="AZ55" i="1" s="1"/>
  <c r="Q102" i="3" s="1"/>
  <c r="BB30" i="1"/>
  <c r="AZ30" i="1" s="1"/>
  <c r="Q40" i="3" s="1"/>
  <c r="BB571" i="1"/>
  <c r="AZ571" i="1" s="1"/>
  <c r="Q1077" i="3" s="1"/>
  <c r="BB189" i="1"/>
  <c r="AZ189" i="1" s="1"/>
  <c r="Q410" i="3" s="1"/>
  <c r="BB531" i="1"/>
  <c r="AZ531" i="1" s="1"/>
  <c r="Q1076" i="3" s="1"/>
  <c r="BB240" i="1"/>
  <c r="AZ240" i="1" s="1"/>
  <c r="Q523" i="3" s="1"/>
  <c r="BB218" i="1"/>
  <c r="AZ218" i="1" s="1"/>
  <c r="Q520" i="3" s="1"/>
  <c r="BB342" i="1"/>
  <c r="AZ342" i="1" s="1"/>
  <c r="Q618" i="3" s="1"/>
  <c r="BB412" i="1"/>
  <c r="AZ412" i="1" s="1"/>
  <c r="Q790" i="3" s="1"/>
  <c r="BB98" i="1"/>
  <c r="AZ98" i="1" s="1"/>
  <c r="Q185" i="3" s="1"/>
  <c r="BB522" i="1"/>
  <c r="AZ522" i="1" s="1"/>
  <c r="Q1038" i="3" s="1"/>
  <c r="BB69" i="1"/>
  <c r="AZ69" i="1" s="1"/>
  <c r="Q127" i="3" s="1"/>
  <c r="BB341" i="1"/>
  <c r="AZ341" i="1" s="1"/>
  <c r="Q654" i="3" s="1"/>
  <c r="BB544" i="1"/>
  <c r="AZ544" i="1" s="1"/>
  <c r="Q1031" i="3" s="1"/>
  <c r="BB224" i="1"/>
  <c r="AZ224" i="1" s="1"/>
  <c r="Q501" i="3" s="1"/>
  <c r="BB436" i="1"/>
  <c r="AZ436" i="1" s="1"/>
  <c r="Q829" i="3" s="1"/>
  <c r="BB245" i="1"/>
  <c r="AZ245" i="1" s="1"/>
  <c r="Q527" i="3" s="1"/>
  <c r="BB281" i="1"/>
  <c r="AZ281" i="1" s="1"/>
  <c r="Q547" i="3" s="1"/>
  <c r="BB552" i="1"/>
  <c r="AZ552" i="1" s="1"/>
  <c r="Q1058" i="3" s="1"/>
  <c r="BB565" i="1"/>
  <c r="AZ565" i="1" s="1"/>
  <c r="Q1068" i="3" s="1"/>
  <c r="BB117" i="1"/>
  <c r="AZ117" i="1" s="1"/>
  <c r="Q259" i="3" s="1"/>
  <c r="BB466" i="1"/>
  <c r="AZ466" i="1" s="1"/>
  <c r="Q927" i="3" s="1"/>
  <c r="BB81" i="1"/>
  <c r="AZ81" i="1" s="1"/>
  <c r="Q145" i="3" s="1"/>
  <c r="BB209" i="1"/>
  <c r="AZ209" i="1" s="1"/>
  <c r="Q507" i="3" s="1"/>
  <c r="BB430" i="1"/>
  <c r="AZ430" i="1" s="1"/>
  <c r="Q813" i="3" s="1"/>
  <c r="BB653" i="1"/>
  <c r="AZ653" i="1" s="1"/>
  <c r="Q1183" i="3" s="1"/>
  <c r="BB465" i="1"/>
  <c r="AZ465" i="1" s="1"/>
  <c r="Q877" i="3" s="1"/>
  <c r="BB37" i="1"/>
  <c r="AZ37" i="1" s="1"/>
  <c r="Q48" i="3" s="1"/>
  <c r="BB215" i="1"/>
  <c r="AZ215" i="1" s="1"/>
  <c r="Q465" i="3" s="1"/>
  <c r="BB337" i="1"/>
  <c r="AZ337" i="1" s="1"/>
  <c r="Q679" i="3" s="1"/>
  <c r="BB263" i="1"/>
  <c r="AZ263" i="1" s="1"/>
  <c r="Q524" i="3" s="1"/>
  <c r="BB137" i="1"/>
  <c r="AZ137" i="1" s="1"/>
  <c r="Q319" i="3" s="1"/>
  <c r="BB38" i="1"/>
  <c r="AZ38" i="1" s="1"/>
  <c r="Q45" i="3" s="1"/>
  <c r="BB132" i="1"/>
  <c r="AZ132" i="1" s="1"/>
  <c r="Q282" i="3" s="1"/>
  <c r="BB668" i="1"/>
  <c r="AZ668" i="1" s="1"/>
  <c r="Q1210" i="3" s="1"/>
  <c r="BB566" i="1"/>
  <c r="AZ566" i="1" s="1"/>
  <c r="Q1070" i="3" s="1"/>
  <c r="BB252" i="1"/>
  <c r="AZ252" i="1" s="1"/>
  <c r="Q538" i="3" s="1"/>
  <c r="BB399" i="1"/>
  <c r="AZ399" i="1" s="1"/>
  <c r="Q860" i="3" s="1"/>
  <c r="BB51" i="1"/>
  <c r="AZ51" i="1" s="1"/>
  <c r="Q67" i="3" s="1"/>
  <c r="BB269" i="1"/>
  <c r="AZ269" i="1" s="1"/>
  <c r="Q533" i="3" s="1"/>
  <c r="BB308" i="1"/>
  <c r="AZ308" i="1" s="1"/>
  <c r="Q593" i="3" s="1"/>
  <c r="BB398" i="1"/>
  <c r="AZ398" i="1" s="1"/>
  <c r="Q720" i="3" s="1"/>
  <c r="BB573" i="1"/>
  <c r="AZ573" i="1" s="1"/>
  <c r="Q1053" i="3" s="1"/>
  <c r="BB413" i="1"/>
  <c r="AZ413" i="1" s="1"/>
  <c r="Q792" i="3" s="1"/>
  <c r="BB347" i="1"/>
  <c r="AZ347" i="1" s="1"/>
  <c r="Q621" i="3" s="1"/>
  <c r="BB171" i="1"/>
  <c r="AZ171" i="1" s="1"/>
  <c r="Q414" i="3" s="1"/>
  <c r="BB660" i="1"/>
  <c r="AZ660" i="1" s="1"/>
  <c r="Q1189" i="3" s="1"/>
  <c r="BB43" i="1"/>
  <c r="AZ43" i="1" s="1"/>
  <c r="Q59" i="3" s="1"/>
  <c r="BB201" i="1"/>
  <c r="AZ201" i="1" s="1"/>
  <c r="Q453" i="3" s="1"/>
  <c r="BB504" i="1"/>
  <c r="AZ504" i="1" s="1"/>
  <c r="Q950" i="3" s="1"/>
  <c r="BB241" i="1"/>
  <c r="AZ241" i="1" s="1"/>
  <c r="Q494" i="3" s="1"/>
  <c r="BB497" i="1"/>
  <c r="AZ497" i="1" s="1"/>
  <c r="Q1009" i="3" s="1"/>
  <c r="BB47" i="1"/>
  <c r="AZ47" i="1" s="1"/>
  <c r="Q57" i="3" s="1"/>
  <c r="BB472" i="1"/>
  <c r="AZ472" i="1" s="1"/>
  <c r="Q892" i="3" s="1"/>
  <c r="BB222" i="1"/>
  <c r="AZ222" i="1" s="1"/>
  <c r="Q528" i="3" s="1"/>
  <c r="BB265" i="1"/>
  <c r="AZ265" i="1" s="1"/>
  <c r="Q567" i="3" s="1"/>
  <c r="BB13" i="1"/>
  <c r="AZ13" i="1" s="1"/>
  <c r="Q15" i="3" s="1"/>
  <c r="BB121" i="1"/>
  <c r="AZ121" i="1" s="1"/>
  <c r="Q267" i="3" s="1"/>
  <c r="BB464" i="1"/>
  <c r="AZ464" i="1" s="1"/>
  <c r="Q876" i="3" s="1"/>
  <c r="BB36" i="1"/>
  <c r="AZ36" i="1" s="1"/>
  <c r="Q47" i="3" s="1"/>
  <c r="BB402" i="1"/>
  <c r="AZ402" i="1" s="1"/>
  <c r="Q731" i="3" s="1"/>
  <c r="BB266" i="1"/>
  <c r="AZ266" i="1" s="1"/>
  <c r="Q572" i="3" s="1"/>
  <c r="BB661" i="1"/>
  <c r="AZ661" i="1" s="1"/>
  <c r="Q1203" i="3" s="1"/>
  <c r="BB262" i="1"/>
  <c r="AZ262" i="1" s="1"/>
  <c r="Q651" i="3" s="1"/>
  <c r="BB72" i="1"/>
  <c r="AZ72" i="1" s="1"/>
  <c r="Q137" i="3" s="1"/>
  <c r="BB200" i="1"/>
  <c r="AZ200" i="1" s="1"/>
  <c r="Q472" i="3" s="1"/>
  <c r="BB340" i="1"/>
  <c r="AZ340" i="1" s="1"/>
  <c r="Q740" i="3" s="1"/>
  <c r="BB511" i="1"/>
  <c r="AZ511" i="1" s="1"/>
  <c r="Q962" i="3" s="1"/>
  <c r="BB258" i="1"/>
  <c r="AZ258" i="1" s="1"/>
  <c r="Q558" i="3" s="1"/>
  <c r="BB210" i="1"/>
  <c r="AZ210" i="1" s="1"/>
  <c r="Q480" i="3" s="1"/>
  <c r="BB191" i="1"/>
  <c r="AZ191" i="1" s="1"/>
  <c r="Q416" i="3" s="1"/>
  <c r="BB343" i="1"/>
  <c r="AZ343" i="1" s="1"/>
  <c r="Q742" i="3" s="1"/>
  <c r="BB392" i="1"/>
  <c r="AZ392" i="1" s="1"/>
  <c r="Q705" i="3" s="1"/>
  <c r="BB289" i="1"/>
  <c r="AZ289" i="1" s="1"/>
  <c r="Q611" i="3" s="1"/>
  <c r="BB372" i="1"/>
  <c r="AZ372" i="1" s="1"/>
  <c r="Q802" i="3" s="1"/>
  <c r="BB102" i="1"/>
  <c r="AZ102" i="1" s="1"/>
  <c r="Q183" i="3" s="1"/>
  <c r="BB259" i="1"/>
  <c r="AZ259" i="1" s="1"/>
  <c r="Q562" i="3" s="1"/>
  <c r="BB526" i="1"/>
  <c r="AZ526" i="1" s="1"/>
  <c r="Q1044" i="3" s="1"/>
  <c r="BB59" i="1"/>
  <c r="AZ59" i="1" s="1"/>
  <c r="Q123" i="3" s="1"/>
  <c r="BB91" i="1"/>
  <c r="AZ91" i="1" s="1"/>
  <c r="Q184" i="3" s="1"/>
  <c r="BB33" i="1"/>
  <c r="AZ33" i="1" s="1"/>
  <c r="Q43" i="3" s="1"/>
  <c r="BB156" i="1"/>
  <c r="AZ156" i="1" s="1"/>
  <c r="Q359" i="3" s="1"/>
  <c r="BB16" i="1"/>
  <c r="AZ16" i="1" s="1"/>
  <c r="Q21" i="3" s="1"/>
  <c r="BB213" i="1"/>
  <c r="AZ213" i="1" s="1"/>
  <c r="Q513" i="3" s="1"/>
  <c r="BB125" i="1"/>
  <c r="AZ125" i="1" s="1"/>
  <c r="Q264" i="3" s="1"/>
  <c r="BB75" i="1"/>
  <c r="AZ75" i="1" s="1"/>
  <c r="Q142" i="3" s="1"/>
  <c r="BB103" i="1"/>
  <c r="AZ103" i="1" s="1"/>
  <c r="Q196" i="3" s="1"/>
  <c r="BB21" i="1"/>
  <c r="AZ21" i="1" s="1"/>
  <c r="Q26" i="3" s="1"/>
  <c r="BB54" i="1"/>
  <c r="AZ54" i="1" s="1"/>
  <c r="Q113" i="3" s="1"/>
  <c r="BB65" i="1"/>
  <c r="AZ65" i="1" s="1"/>
  <c r="Q133" i="3" s="1"/>
  <c r="BB46" i="1"/>
  <c r="AZ46" i="1" s="1"/>
  <c r="Q66" i="3" s="1"/>
  <c r="BB87" i="1"/>
  <c r="AZ87" i="1" s="1"/>
  <c r="Q146" i="3" s="1"/>
  <c r="AV1" i="2"/>
  <c r="AD935" i="3" l="1"/>
  <c r="AD569" i="3"/>
  <c r="AD1148" i="3"/>
  <c r="AD462" i="3"/>
  <c r="AD308" i="3"/>
  <c r="AD120" i="3"/>
  <c r="AD376" i="3"/>
  <c r="AD132" i="3"/>
  <c r="AD693" i="3"/>
  <c r="AD899" i="3"/>
  <c r="AD937" i="3"/>
  <c r="AD361" i="3"/>
  <c r="AD831" i="3"/>
  <c r="AD306" i="3"/>
  <c r="AD65" i="3"/>
  <c r="AD819" i="3"/>
  <c r="AD150" i="3"/>
  <c r="AD407" i="3"/>
  <c r="AD394" i="3"/>
  <c r="AD75" i="3"/>
  <c r="AD675" i="3"/>
  <c r="AD299" i="3"/>
  <c r="AD736" i="3"/>
  <c r="AD101" i="3"/>
  <c r="AD76" i="3"/>
  <c r="AD200" i="3"/>
  <c r="AD151" i="3"/>
  <c r="AD443" i="3"/>
  <c r="AD240" i="3"/>
  <c r="AD78" i="3"/>
  <c r="AD1182" i="3"/>
  <c r="AD229" i="3"/>
  <c r="AD161" i="3"/>
  <c r="AD1080" i="3"/>
  <c r="AD160" i="3"/>
  <c r="AD252" i="3"/>
  <c r="AD294" i="3"/>
  <c r="AD721" i="3"/>
  <c r="AD454" i="3"/>
  <c r="AD180" i="3"/>
  <c r="AD440" i="3"/>
  <c r="AD324" i="3"/>
  <c r="AD342" i="3"/>
  <c r="AD502" i="3"/>
  <c r="AD1212" i="3"/>
  <c r="AD325" i="3"/>
  <c r="AD94" i="3"/>
  <c r="AD322" i="3"/>
  <c r="AD984" i="3"/>
  <c r="AD320" i="3"/>
  <c r="AD514" i="3"/>
  <c r="AD241" i="3"/>
  <c r="AD186" i="3"/>
  <c r="AD343" i="3"/>
  <c r="AD49" i="3"/>
  <c r="AD413" i="3"/>
  <c r="AD122" i="3"/>
  <c r="AD701" i="3"/>
  <c r="AD1130" i="3"/>
  <c r="AD531" i="3"/>
  <c r="AD205" i="3"/>
  <c r="AD809" i="3"/>
  <c r="AD856" i="3"/>
  <c r="AD220" i="3"/>
  <c r="AD518" i="3"/>
  <c r="AD336" i="3"/>
  <c r="AD245" i="3"/>
  <c r="AD821" i="3"/>
  <c r="AD1054" i="3"/>
  <c r="AD272" i="3"/>
  <c r="AD696" i="3"/>
  <c r="AD349" i="3"/>
  <c r="AD403" i="3"/>
  <c r="AD732" i="3"/>
  <c r="AD577" i="3"/>
  <c r="AD347" i="3"/>
  <c r="AD77" i="3"/>
  <c r="AD464" i="3"/>
  <c r="AD339" i="3"/>
  <c r="AD714" i="3"/>
  <c r="AD446" i="3"/>
  <c r="AD170" i="3"/>
  <c r="AD164" i="3"/>
  <c r="AD404" i="3"/>
  <c r="AD188" i="3"/>
  <c r="AD800" i="3"/>
  <c r="AD1050" i="3"/>
  <c r="AD426" i="3"/>
  <c r="AD595" i="3"/>
  <c r="AD99" i="3"/>
  <c r="AD611" i="3"/>
  <c r="AD672" i="3"/>
  <c r="AD1005" i="3"/>
  <c r="AX111" i="1"/>
  <c r="AX25" i="1"/>
  <c r="AX9" i="1"/>
  <c r="AS493" i="2"/>
  <c r="AS5" i="2"/>
  <c r="AS354" i="2"/>
  <c r="AS6" i="2"/>
  <c r="AS224" i="2"/>
  <c r="AS67" i="2"/>
  <c r="AS71" i="2"/>
  <c r="AS261" i="2"/>
  <c r="AS291" i="2"/>
  <c r="AS353" i="2"/>
  <c r="AS359" i="2"/>
  <c r="AS363" i="2"/>
  <c r="AS346" i="2"/>
  <c r="AS496" i="2"/>
  <c r="AS125" i="2"/>
  <c r="AS438" i="2"/>
  <c r="AS130" i="2"/>
  <c r="AS180" i="2"/>
  <c r="AS203" i="2"/>
  <c r="AS15" i="2"/>
  <c r="AS410" i="2"/>
  <c r="AS83" i="2"/>
  <c r="AS167" i="2"/>
  <c r="AS223" i="2"/>
  <c r="AS525" i="2"/>
  <c r="AS382" i="2"/>
  <c r="AS355" i="2"/>
  <c r="AS240" i="2"/>
  <c r="AS384" i="2"/>
  <c r="AS307" i="2"/>
  <c r="AS77" i="2"/>
  <c r="AS79" i="2"/>
  <c r="AS523" i="2"/>
  <c r="AS127" i="2"/>
  <c r="AS170" i="2"/>
  <c r="AS215" i="2"/>
  <c r="AS415" i="2"/>
  <c r="AS345" i="2"/>
  <c r="AS13" i="2"/>
  <c r="AS14" i="2"/>
  <c r="AS189" i="2"/>
  <c r="AS75" i="2"/>
  <c r="AS377" i="2"/>
  <c r="AS81" i="2"/>
  <c r="AS301" i="2"/>
  <c r="AS18" i="2"/>
  <c r="AS92" i="2"/>
  <c r="AS274" i="2"/>
  <c r="AS372" i="2"/>
  <c r="AS87" i="2"/>
  <c r="AS348" i="2"/>
  <c r="AS540" i="2"/>
  <c r="AS190" i="2"/>
  <c r="AS86" i="2"/>
  <c r="AS137" i="2"/>
  <c r="AS322" i="2"/>
  <c r="AS287" i="2"/>
  <c r="AS207" i="2"/>
  <c r="AS310" i="2"/>
  <c r="AS185" i="2"/>
  <c r="AS51" i="2"/>
  <c r="AS106" i="2"/>
  <c r="AS166" i="2"/>
  <c r="AS351" i="2"/>
  <c r="AS403" i="2"/>
  <c r="AS213" i="2"/>
  <c r="AS339" i="2"/>
  <c r="AS477" i="2"/>
  <c r="AS198" i="2"/>
  <c r="AS380" i="2"/>
  <c r="AS132" i="2"/>
  <c r="AS386" i="2"/>
  <c r="AS159" i="2"/>
  <c r="AS102" i="2"/>
  <c r="AS447" i="2"/>
  <c r="AS517" i="2"/>
  <c r="AS433" i="2"/>
  <c r="AS423" i="2"/>
  <c r="AS239" i="2"/>
  <c r="AS368" i="2"/>
  <c r="AS281" i="2"/>
  <c r="AS385" i="2"/>
  <c r="AS487" i="2"/>
  <c r="AS50" i="2"/>
  <c r="AS204" i="2"/>
  <c r="AS556" i="2"/>
  <c r="AS16" i="2"/>
  <c r="AS418" i="2"/>
  <c r="AS206" i="2"/>
  <c r="AS126" i="2"/>
  <c r="AS436" i="2"/>
  <c r="AS530" i="2"/>
  <c r="AS296" i="2"/>
  <c r="AS376" i="2"/>
  <c r="AS122" i="2"/>
  <c r="AS153" i="2"/>
  <c r="AS173" i="2"/>
  <c r="AS367" i="2"/>
  <c r="AS453" i="2"/>
  <c r="AS162" i="2"/>
  <c r="AS96" i="2"/>
  <c r="AS61" i="2"/>
  <c r="AS391" i="2"/>
  <c r="AS104" i="2"/>
  <c r="AS74" i="2"/>
  <c r="AS186" i="2"/>
  <c r="AS136" i="2"/>
  <c r="AS260" i="2"/>
  <c r="AS267" i="2"/>
  <c r="AS168" i="2"/>
  <c r="AS32" i="2"/>
  <c r="AS325" i="2"/>
  <c r="AS444" i="2"/>
  <c r="AS462" i="2"/>
  <c r="AS446" i="2"/>
  <c r="AS149" i="2"/>
  <c r="AS429" i="2"/>
  <c r="AS471" i="2"/>
  <c r="AS265" i="2"/>
  <c r="AS134" i="2"/>
  <c r="AS232" i="2"/>
  <c r="AS258" i="2"/>
  <c r="AS507" i="2"/>
  <c r="AS316" i="2"/>
  <c r="AS373" i="2"/>
  <c r="AS542" i="2"/>
  <c r="AS435" i="2"/>
  <c r="AS210" i="2"/>
  <c r="AS502" i="2"/>
  <c r="AS133" i="2"/>
  <c r="AS445" i="2"/>
  <c r="AS8" i="2"/>
  <c r="AS294" i="2"/>
  <c r="AS304" i="2"/>
  <c r="AS231" i="2"/>
  <c r="AS473" i="2"/>
  <c r="AS129" i="2"/>
  <c r="AS327" i="2"/>
  <c r="AS360" i="2"/>
  <c r="AS399" i="2"/>
  <c r="AS529" i="2"/>
  <c r="AS416" i="2"/>
  <c r="AS464" i="2"/>
  <c r="AS558" i="2"/>
  <c r="AS315" i="2"/>
  <c r="AS409" i="2"/>
  <c r="AS506" i="2"/>
  <c r="AS381" i="2"/>
  <c r="AS202" i="2"/>
  <c r="AS547" i="2"/>
  <c r="AS552" i="2"/>
  <c r="AS484" i="2"/>
  <c r="AS485" i="2"/>
  <c r="AS176" i="2"/>
  <c r="AS297" i="2"/>
  <c r="AS305" i="2"/>
  <c r="AS194" i="2"/>
  <c r="AS90" i="2"/>
  <c r="AS217" i="2"/>
  <c r="AS155" i="2"/>
  <c r="AS408" i="2"/>
  <c r="AS123" i="2"/>
  <c r="AS541" i="2"/>
  <c r="AS64" i="2"/>
  <c r="AS188" i="2"/>
  <c r="AS460" i="2"/>
  <c r="AS332" i="2"/>
  <c r="AS467" i="2"/>
  <c r="AS246" i="2"/>
  <c r="AS349" i="2"/>
  <c r="AS324" i="2"/>
  <c r="AS222" i="2"/>
  <c r="AS158" i="2"/>
  <c r="AS519" i="2"/>
  <c r="AS72" i="2"/>
  <c r="AS218" i="2"/>
  <c r="AS548" i="2"/>
  <c r="AS448" i="2"/>
  <c r="AS336" i="2"/>
  <c r="AS392" i="2"/>
  <c r="AS463" i="2"/>
  <c r="AS393" i="2"/>
  <c r="AS432" i="2"/>
  <c r="AS491" i="2"/>
  <c r="AS181" i="2"/>
  <c r="AS344" i="2"/>
  <c r="AS183" i="2"/>
  <c r="AS216" i="2"/>
  <c r="AS549" i="2"/>
  <c r="AS330" i="2"/>
  <c r="AS63" i="2"/>
  <c r="AS97" i="2"/>
  <c r="AS362" i="2"/>
  <c r="AS312" i="2"/>
  <c r="AS419" i="2"/>
  <c r="AS440" i="2"/>
  <c r="AS257" i="2"/>
  <c r="AS103" i="2"/>
  <c r="AS411" i="2"/>
  <c r="AS249" i="2"/>
  <c r="AS515" i="2"/>
  <c r="AS275" i="2"/>
  <c r="AS561" i="2"/>
  <c r="AS551" i="2"/>
  <c r="AS398" i="2"/>
  <c r="AS454" i="2"/>
  <c r="AS333" i="2"/>
  <c r="AS338" i="2"/>
  <c r="AS161" i="2"/>
  <c r="AS299" i="2"/>
  <c r="AS254" i="2"/>
  <c r="AS197" i="2"/>
  <c r="AS290" i="2"/>
  <c r="AS192" i="2"/>
  <c r="AS331" i="2"/>
  <c r="AS554" i="2"/>
  <c r="AS226" i="2"/>
  <c r="AS492" i="2"/>
  <c r="AS407" i="2"/>
  <c r="AS52" i="2"/>
  <c r="AS172" i="2"/>
  <c r="AS237" i="2"/>
  <c r="AS53" i="2"/>
  <c r="AS500" i="2"/>
  <c r="AS100" i="2"/>
  <c r="AS208" i="2"/>
  <c r="AS69" i="2"/>
  <c r="AS154" i="2"/>
  <c r="AS422" i="2"/>
  <c r="AS395" i="2"/>
  <c r="AS9" i="2"/>
  <c r="AS375" i="2"/>
  <c r="AS518" i="2"/>
  <c r="AS535" i="2"/>
  <c r="AS452" i="2"/>
  <c r="AS230" i="2"/>
  <c r="AS450" i="2"/>
  <c r="AS361" i="2"/>
  <c r="AS430" i="2"/>
  <c r="AS335" i="2"/>
  <c r="AS439" i="2"/>
  <c r="AS513" i="2"/>
  <c r="AS174" i="2"/>
  <c r="AS490" i="2"/>
  <c r="AS195" i="2"/>
  <c r="AS366" i="2"/>
  <c r="AS458" i="2"/>
  <c r="AS269" i="2"/>
  <c r="AS426" i="2"/>
  <c r="AS550" i="2"/>
  <c r="AS443" i="2"/>
  <c r="AS413" i="2"/>
  <c r="AS178" i="2"/>
  <c r="AS390" i="2"/>
  <c r="AS498" i="2"/>
  <c r="AS17" i="2"/>
  <c r="AS379" i="2"/>
  <c r="AS62" i="2"/>
  <c r="AS135" i="2"/>
  <c r="AS465" i="2"/>
  <c r="AS449" i="2"/>
  <c r="AS328" i="2"/>
  <c r="AS521" i="2"/>
  <c r="AS512" i="2"/>
  <c r="AS227" i="2"/>
  <c r="AS200" i="2"/>
  <c r="AS364" i="2"/>
  <c r="AS489" i="2"/>
  <c r="AS259" i="2"/>
  <c r="AS501" i="2"/>
  <c r="AS84" i="2"/>
  <c r="AS272" i="2"/>
  <c r="AS503" i="2"/>
  <c r="AS476" i="2"/>
  <c r="AS248" i="2"/>
  <c r="AS263" i="2"/>
  <c r="AS374" i="2"/>
  <c r="AS520" i="2"/>
  <c r="AS277" i="2"/>
  <c r="AS533" i="2"/>
  <c r="AS479" i="2"/>
  <c r="AS221" i="2"/>
  <c r="AS559" i="2"/>
  <c r="AS428" i="2"/>
  <c r="AS317" i="2"/>
  <c r="AS131" i="2"/>
  <c r="AS243" i="2"/>
  <c r="AS156" i="2"/>
  <c r="AS527" i="2"/>
  <c r="AS179" i="2"/>
  <c r="AS536" i="2"/>
  <c r="AS357" i="2"/>
  <c r="AS482" i="2"/>
  <c r="AS164" i="2"/>
  <c r="AS256" i="2"/>
  <c r="AS119" i="2"/>
  <c r="AS434" i="2"/>
  <c r="AS284" i="2"/>
  <c r="AS421" i="2"/>
  <c r="AS295" i="2"/>
  <c r="AS271" i="2"/>
  <c r="AS214" i="2"/>
  <c r="AS110" i="2"/>
  <c r="AS285" i="2"/>
  <c r="AS341" i="2"/>
  <c r="AS546" i="2"/>
  <c r="AS539" i="2"/>
  <c r="AS475" i="2"/>
  <c r="AS425" i="2"/>
  <c r="AS220" i="2"/>
  <c r="AS199" i="2"/>
  <c r="AS545" i="2"/>
  <c r="AS229" i="2"/>
  <c r="AS323" i="2"/>
  <c r="AS370" i="2"/>
  <c r="AS456" i="2"/>
  <c r="AS251" i="2"/>
  <c r="AS437" i="2"/>
  <c r="AS262" i="2"/>
  <c r="AS414" i="2"/>
  <c r="AS236" i="2"/>
  <c r="AS201" i="2"/>
  <c r="AS562" i="2"/>
  <c r="AS165" i="2"/>
  <c r="AS383" i="2"/>
  <c r="AS466" i="2"/>
  <c r="AS472" i="2"/>
  <c r="AS334" i="2"/>
  <c r="AS483" i="2"/>
  <c r="AS82" i="2"/>
  <c r="AS225" i="2"/>
  <c r="AS555" i="2"/>
  <c r="AS150" i="2"/>
  <c r="AS461" i="2"/>
  <c r="AS514" i="2"/>
  <c r="AS352" i="2"/>
  <c r="AS509" i="2"/>
  <c r="AS211" i="2"/>
  <c r="AS319" i="2"/>
  <c r="AS508" i="2"/>
  <c r="AS318" i="2"/>
  <c r="AS526" i="2"/>
  <c r="AS65" i="2"/>
  <c r="AS293" i="2"/>
  <c r="AS340" i="2"/>
  <c r="AS405" i="2"/>
  <c r="AS273" i="2"/>
  <c r="AS242" i="2"/>
  <c r="AS253" i="2"/>
  <c r="AS109" i="2"/>
  <c r="AS522" i="2"/>
  <c r="AS488" i="2"/>
  <c r="AS350" i="2"/>
  <c r="AS264" i="2"/>
  <c r="AS177" i="2"/>
  <c r="AS388" i="2"/>
  <c r="AS495" i="2"/>
  <c r="AS151" i="2"/>
  <c r="AS378" i="2"/>
  <c r="AS68" i="2"/>
  <c r="AS184" i="2"/>
  <c r="AS187" i="2"/>
  <c r="AS244" i="2"/>
  <c r="AS358" i="2"/>
  <c r="AS219" i="2"/>
  <c r="AS480" i="2"/>
  <c r="AS266" i="2"/>
  <c r="AS21" i="2"/>
  <c r="AS486" i="2"/>
  <c r="AS31" i="2"/>
  <c r="AS329" i="2"/>
  <c r="AS337" i="2"/>
  <c r="AS478" i="2"/>
  <c r="AS314" i="2"/>
  <c r="AS270" i="2"/>
  <c r="AS457" i="2"/>
  <c r="AS400" i="2"/>
  <c r="AS306" i="2"/>
  <c r="AS342" i="2"/>
  <c r="AS157" i="2"/>
  <c r="AS250" i="2"/>
  <c r="AS279" i="2"/>
  <c r="AS511" i="2"/>
  <c r="AS280" i="2"/>
  <c r="AS394" i="2"/>
  <c r="AS73" i="2"/>
  <c r="AS347" i="2"/>
  <c r="AS455" i="2"/>
  <c r="AS276" i="2"/>
  <c r="AS247" i="2"/>
  <c r="AS481" i="2"/>
  <c r="AS282" i="2"/>
  <c r="AS474" i="2"/>
  <c r="AS402" i="2"/>
  <c r="AS245" i="2"/>
  <c r="AS389" i="2"/>
  <c r="AS469" i="2"/>
  <c r="AS424" i="2"/>
  <c r="AS451" i="2"/>
  <c r="AS101" i="2"/>
  <c r="AS107" i="2"/>
  <c r="AS396" i="2"/>
  <c r="AS326" i="2"/>
  <c r="AS560" i="2"/>
  <c r="AS235" i="2"/>
  <c r="AS241" i="2"/>
  <c r="AS209" i="2"/>
  <c r="AS497" i="2"/>
  <c r="AS292" i="2"/>
  <c r="AS238" i="2"/>
  <c r="AS442" i="2"/>
  <c r="AS528" i="2"/>
  <c r="AS406" i="2"/>
  <c r="AS356" i="2"/>
  <c r="AS468" i="2"/>
  <c r="AS320" i="2"/>
  <c r="AS91" i="2"/>
  <c r="AS321" i="2"/>
  <c r="AS417" i="2"/>
  <c r="AS80" i="2"/>
  <c r="AS524" i="2"/>
  <c r="AS557" i="2"/>
  <c r="AS309" i="2"/>
  <c r="AS387" i="2"/>
  <c r="AS288" i="2"/>
  <c r="AS300" i="2"/>
  <c r="AS504" i="2"/>
  <c r="AS441" i="2"/>
  <c r="AS268" i="2"/>
  <c r="AS175" i="2"/>
  <c r="AS371" i="2"/>
  <c r="AS252" i="2"/>
  <c r="AS128" i="2"/>
  <c r="AS369" i="2"/>
  <c r="AS404" i="2"/>
  <c r="AS205" i="2"/>
  <c r="AS124" i="2"/>
  <c r="AS163" i="2"/>
  <c r="AS311" i="2"/>
  <c r="AS105" i="2"/>
  <c r="AS233" i="2"/>
  <c r="AS283" i="2"/>
  <c r="AS313" i="2"/>
  <c r="AS427" i="2"/>
  <c r="AS286" i="2"/>
  <c r="AS212" i="2"/>
  <c r="AS152" i="2"/>
  <c r="AS193" i="2"/>
  <c r="AS397" i="2"/>
  <c r="AS298" i="2"/>
  <c r="AS169" i="2"/>
  <c r="AS70" i="2"/>
  <c r="AS431" i="2"/>
  <c r="AS303" i="2"/>
  <c r="AS412" i="2"/>
  <c r="AS228" i="2"/>
  <c r="AS255" i="2"/>
  <c r="AS308" i="2"/>
  <c r="AS531" i="2"/>
  <c r="AS278" i="2"/>
  <c r="AS499" i="2"/>
  <c r="AS99" i="2"/>
  <c r="AD276" i="3" l="1"/>
  <c r="AD495" i="3"/>
  <c r="AD1072" i="3"/>
  <c r="AD587" i="3"/>
  <c r="AD482" i="3"/>
  <c r="AD468" i="3"/>
  <c r="AD866" i="3"/>
  <c r="AD98" i="3"/>
  <c r="AD1161" i="3"/>
  <c r="AD625" i="3"/>
  <c r="AD1058" i="3"/>
  <c r="AD677" i="3"/>
  <c r="AD594" i="3"/>
  <c r="AD922" i="3"/>
  <c r="AD148" i="3"/>
  <c r="AD1145" i="3"/>
  <c r="AD590" i="3"/>
  <c r="AD1170" i="3"/>
  <c r="AD270" i="3"/>
  <c r="AD699" i="3"/>
  <c r="AD797" i="3"/>
  <c r="AD28" i="3"/>
  <c r="AD141" i="3"/>
  <c r="AD723" i="3"/>
  <c r="AD1016" i="3"/>
  <c r="AD1039" i="3"/>
  <c r="AD368" i="3"/>
  <c r="AD743" i="3"/>
  <c r="AU3" i="2"/>
  <c r="AO480" i="2" l="1"/>
  <c r="AW480" i="2"/>
  <c r="AO431" i="2"/>
  <c r="AW431" i="2"/>
  <c r="AO270" i="2"/>
  <c r="AW270" i="2"/>
  <c r="AO292" i="2"/>
  <c r="AW292" i="2"/>
  <c r="AO279" i="2"/>
  <c r="AW279" i="2"/>
  <c r="AO225" i="2"/>
  <c r="AW225" i="2"/>
  <c r="AO404" i="2"/>
  <c r="AW404" i="2"/>
  <c r="AO17" i="2"/>
  <c r="AW17" i="2"/>
  <c r="AO443" i="2"/>
  <c r="AW443" i="2"/>
  <c r="AO185" i="2" l="1"/>
  <c r="AD657" i="3" l="1"/>
  <c r="AD400" i="3"/>
  <c r="AO107" i="2"/>
  <c r="AO238" i="2"/>
  <c r="H22" i="10" l="1"/>
  <c r="H19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8" i="9"/>
  <c r="AD597" i="3" l="1"/>
  <c r="AO237" i="2"/>
  <c r="AO531" i="2"/>
  <c r="AO415" i="2"/>
  <c r="AO188" i="2"/>
  <c r="AO493" i="2"/>
  <c r="AO205" i="2"/>
  <c r="AO390" i="2"/>
  <c r="AO546" i="2"/>
  <c r="AO73" i="2"/>
  <c r="AO184" i="2"/>
  <c r="AO323" i="2"/>
  <c r="AO307" i="2"/>
  <c r="AO463" i="2"/>
  <c r="AO472" i="2"/>
  <c r="AO366" i="2"/>
  <c r="AO186" i="2"/>
  <c r="AO547" i="2"/>
  <c r="AO220" i="2"/>
  <c r="AO450" i="2"/>
  <c r="AO92" i="2"/>
  <c r="AO194" i="2"/>
  <c r="AO446" i="2"/>
  <c r="AO528" i="2"/>
  <c r="AO74" i="2"/>
  <c r="AO183" i="2"/>
  <c r="AO315" i="2"/>
  <c r="AO364" i="2"/>
  <c r="AO163" i="2"/>
  <c r="AO474" i="2"/>
  <c r="AO231" i="2"/>
  <c r="AO265" i="2"/>
  <c r="AO362" i="2"/>
  <c r="AO381" i="2"/>
  <c r="AO244" i="2"/>
  <c r="AO423" i="2"/>
  <c r="AO187" i="2"/>
  <c r="AO303" i="2"/>
  <c r="AO236" i="2"/>
  <c r="AO135" i="2"/>
  <c r="AO312" i="2"/>
  <c r="AO477" i="2"/>
  <c r="AO475" i="2"/>
  <c r="AO16" i="2"/>
  <c r="AO331" i="2"/>
  <c r="AO395" i="2"/>
  <c r="AO457" i="2"/>
  <c r="AO406" i="2"/>
  <c r="AO109" i="2"/>
  <c r="AO124" i="2"/>
  <c r="AO435" i="2"/>
  <c r="AO310" i="2"/>
  <c r="AO453" i="2"/>
  <c r="AO481" i="2"/>
  <c r="AO324" i="2"/>
  <c r="AO507" i="2"/>
  <c r="AO354" i="2"/>
  <c r="AO213" i="2"/>
  <c r="AO449" i="2"/>
  <c r="AO68" i="2"/>
  <c r="AO6" i="2"/>
  <c r="AO268" i="2"/>
  <c r="AO272" i="2"/>
  <c r="AO8" i="2"/>
  <c r="AO353" i="2"/>
  <c r="AO96" i="2"/>
  <c r="AO53" i="2"/>
  <c r="AO465" i="2"/>
  <c r="AO551" i="2"/>
  <c r="AO495" i="2"/>
  <c r="AO458" i="2"/>
  <c r="AO217" i="2"/>
  <c r="AO153" i="2"/>
  <c r="AO422" i="2"/>
  <c r="AO15" i="2"/>
  <c r="AO428" i="2"/>
  <c r="AO432" i="2"/>
  <c r="AO363" i="2"/>
  <c r="AO155" i="2"/>
  <c r="AO511" i="2"/>
  <c r="AO488" i="2"/>
  <c r="AO215" i="2"/>
  <c r="AO154" i="2"/>
  <c r="AO290" i="2"/>
  <c r="AO247" i="2"/>
  <c r="AO335" i="2"/>
  <c r="AO219" i="2"/>
  <c r="AO224" i="2"/>
  <c r="AO429" i="2"/>
  <c r="AO50" i="2"/>
  <c r="AO309" i="2"/>
  <c r="AO461" i="2"/>
  <c r="AO398" i="2"/>
  <c r="AO233" i="2"/>
  <c r="AO557" i="2"/>
  <c r="AO351" i="2"/>
  <c r="AO161" i="2"/>
  <c r="AO319" i="2"/>
  <c r="AO350" i="2"/>
  <c r="AO556" i="2"/>
  <c r="AO295" i="2"/>
  <c r="AO173" i="2"/>
  <c r="AO61" i="2"/>
  <c r="AO288" i="2"/>
  <c r="AO298" i="2"/>
  <c r="AO229" i="2"/>
  <c r="AO103" i="2"/>
  <c r="AO243" i="2"/>
  <c r="AO436" i="2"/>
  <c r="AO67" i="2"/>
  <c r="AO232" i="2"/>
  <c r="AO512" i="2"/>
  <c r="AO162" i="2"/>
  <c r="AO530" i="2"/>
  <c r="AO425" i="2"/>
  <c r="AO559" i="2"/>
  <c r="AO294" i="2"/>
  <c r="AO479" i="2"/>
  <c r="AO79" i="2"/>
  <c r="AO235" i="2"/>
  <c r="AO228" i="2"/>
  <c r="AO230" i="2"/>
  <c r="AO455" i="2"/>
  <c r="AO508" i="2"/>
  <c r="AO328" i="2"/>
  <c r="AO264" i="2"/>
  <c r="AO179" i="2"/>
  <c r="AO348" i="2"/>
  <c r="AO414" i="2"/>
  <c r="AO304" i="2"/>
  <c r="AO433" i="2"/>
  <c r="AO503" i="2"/>
  <c r="AO552" i="2"/>
  <c r="AO201" i="2"/>
  <c r="AO486" i="2"/>
  <c r="AO277" i="2"/>
  <c r="AO377" i="2"/>
  <c r="AO81" i="2"/>
  <c r="AO416" i="2"/>
  <c r="AO300" i="2"/>
  <c r="AO128" i="2"/>
  <c r="AO347" i="2"/>
  <c r="AO334" i="2"/>
  <c r="AO86" i="2"/>
  <c r="AO554" i="2"/>
  <c r="AO388" i="2"/>
  <c r="AO367" i="2"/>
  <c r="AO438" i="2"/>
  <c r="AO263" i="2"/>
  <c r="AO90" i="2"/>
  <c r="AO490" i="2"/>
  <c r="AO259" i="2"/>
  <c r="AO361" i="2"/>
  <c r="AO502" i="2"/>
  <c r="AO209" i="2"/>
  <c r="AO325" i="2"/>
  <c r="AO526" i="2"/>
  <c r="AO352" i="2"/>
  <c r="AO384" i="2"/>
  <c r="AO31" i="2"/>
  <c r="AO434" i="2"/>
  <c r="AO211" i="2"/>
  <c r="AO131" i="2"/>
  <c r="AO166" i="2"/>
  <c r="AO156" i="2"/>
  <c r="AO223" i="2"/>
  <c r="AO151" i="2"/>
  <c r="AO291" i="2"/>
  <c r="AO529" i="2"/>
  <c r="AO281" i="2"/>
  <c r="AO240" i="2"/>
  <c r="AO97" i="2"/>
  <c r="AO523" i="2"/>
  <c r="AO392" i="2"/>
  <c r="AO460" i="2"/>
  <c r="AO394" i="2"/>
  <c r="AO127" i="2"/>
  <c r="AO387" i="2"/>
  <c r="AO197" i="2"/>
  <c r="AO62" i="2"/>
  <c r="AO226" i="2"/>
  <c r="AO122" i="2"/>
  <c r="AO221" i="2"/>
  <c r="AO256" i="2"/>
  <c r="AO400" i="2"/>
  <c r="AO424" i="2"/>
  <c r="AO426" i="2"/>
  <c r="AO514" i="2"/>
  <c r="AO105" i="2"/>
  <c r="AO360" i="2"/>
  <c r="AO72" i="2"/>
  <c r="AO202" i="2"/>
  <c r="AO513" i="2"/>
  <c r="AO402" i="2"/>
  <c r="AO342" i="2"/>
  <c r="AO9" i="2"/>
  <c r="AO338" i="2"/>
  <c r="AO102" i="2"/>
  <c r="AO409" i="2"/>
  <c r="AO273" i="2"/>
  <c r="AO430" i="2"/>
  <c r="AO164" i="2"/>
  <c r="AO368" i="2"/>
  <c r="AO340" i="2"/>
  <c r="AO515" i="2"/>
  <c r="AO129" i="2"/>
  <c r="AO517" i="2"/>
  <c r="AO542" i="2"/>
  <c r="AO407" i="2"/>
  <c r="AO441" i="2"/>
  <c r="AO410" i="2"/>
  <c r="AO101" i="2"/>
  <c r="AO193" i="2"/>
  <c r="AO419" i="2"/>
  <c r="AO159" i="2"/>
  <c r="AO110" i="2"/>
  <c r="AO222" i="2"/>
  <c r="AO545" i="2"/>
  <c r="AO149" i="2"/>
  <c r="AO245" i="2"/>
  <c r="AO253" i="2"/>
  <c r="AO301" i="2"/>
  <c r="AO266" i="2"/>
  <c r="AO255" i="2"/>
  <c r="AO258" i="2"/>
  <c r="AO285" i="2"/>
  <c r="AO521" i="2"/>
  <c r="AO320" i="2"/>
  <c r="AO445" i="2"/>
  <c r="AO174" i="2"/>
  <c r="AO199" i="2"/>
  <c r="AO311" i="2"/>
  <c r="AO84" i="2"/>
  <c r="AO257" i="2"/>
  <c r="AO411" i="2"/>
  <c r="AO178" i="2"/>
  <c r="AO157" i="2"/>
  <c r="AO239" i="2"/>
  <c r="AO262" i="2"/>
  <c r="AO484" i="2"/>
  <c r="AO313" i="2"/>
  <c r="AO284" i="2"/>
  <c r="AO195" i="2"/>
  <c r="AO210" i="2"/>
  <c r="AO83" i="2"/>
  <c r="AO286" i="2"/>
  <c r="AO536" i="2"/>
  <c r="AO555" i="2"/>
  <c r="AO500" i="2"/>
  <c r="AO329" i="2"/>
  <c r="AO383" i="2"/>
  <c r="AO308" i="2"/>
  <c r="AO558" i="2"/>
  <c r="AO509" i="2"/>
  <c r="AO548" i="2"/>
  <c r="AO370" i="2"/>
  <c r="AO287" i="2"/>
  <c r="AO280" i="2"/>
  <c r="AO439" i="2"/>
  <c r="AO376" i="2"/>
  <c r="AO282" i="2"/>
  <c r="AO130" i="2"/>
  <c r="AO520" i="2"/>
  <c r="AO80" i="2"/>
  <c r="AO252" i="2"/>
  <c r="AO119" i="2"/>
  <c r="AO454" i="2"/>
  <c r="AO136" i="2"/>
  <c r="AO396" i="2"/>
  <c r="AO91" i="2"/>
  <c r="AO491" i="2"/>
  <c r="AO378" i="2"/>
  <c r="AO471" i="2"/>
  <c r="AO261" i="2"/>
  <c r="AO158" i="2"/>
  <c r="AO496" i="2"/>
  <c r="AO397" i="2"/>
  <c r="AO316" i="2"/>
  <c r="AO214" i="2"/>
  <c r="AO399" i="2"/>
  <c r="AO560" i="2"/>
  <c r="AO483" i="2"/>
  <c r="AO393" i="2"/>
  <c r="AO522" i="2"/>
  <c r="AO408" i="2"/>
  <c r="AO267" i="2"/>
  <c r="AO82" i="2"/>
  <c r="AO21" i="2"/>
  <c r="AO180" i="2"/>
  <c r="AO412" i="2"/>
  <c r="AO260" i="2"/>
  <c r="AO200" i="2"/>
  <c r="AO562" i="2"/>
  <c r="AO369" i="2"/>
  <c r="AO504" i="2"/>
  <c r="AO274" i="2"/>
  <c r="AO218" i="2"/>
  <c r="AO248" i="2"/>
  <c r="AO468" i="2"/>
  <c r="AO14" i="2"/>
  <c r="AO341" i="2"/>
  <c r="AO346" i="2"/>
  <c r="AO317" i="2"/>
  <c r="AO177" i="2"/>
  <c r="AO539" i="2"/>
  <c r="AO349" i="2"/>
  <c r="AO69" i="2"/>
  <c r="AO87" i="2"/>
  <c r="AO506" i="2"/>
  <c r="AO299" i="2"/>
  <c r="AO332" i="2"/>
  <c r="AO106" i="2"/>
  <c r="AO337" i="2"/>
  <c r="AO5" i="2"/>
  <c r="AO492" i="2"/>
  <c r="AO71" i="2"/>
  <c r="AO104" i="2"/>
  <c r="AO405" i="2"/>
  <c r="AO345" i="2"/>
  <c r="AO518" i="2"/>
  <c r="AO501" i="2"/>
  <c r="AO305" i="2"/>
  <c r="AO65" i="2"/>
  <c r="AO123" i="2"/>
  <c r="AO535" i="2"/>
  <c r="AO254" i="2"/>
  <c r="AO99" i="2"/>
  <c r="AO413" i="2"/>
  <c r="AO152" i="2"/>
  <c r="AO385" i="2"/>
  <c r="AO125" i="2"/>
  <c r="AO437" i="2"/>
  <c r="AO326" i="2"/>
  <c r="AO550" i="2"/>
  <c r="AO150" i="2"/>
  <c r="AO318" i="2"/>
  <c r="AO358" i="2"/>
  <c r="AO249" i="2"/>
  <c r="AO204" i="2"/>
  <c r="AO100" i="2"/>
  <c r="AO485" i="2"/>
  <c r="AO251" i="2"/>
  <c r="AO216" i="2"/>
  <c r="AO379" i="2"/>
  <c r="AO489" i="2"/>
  <c r="AO527" i="2"/>
  <c r="AO227" i="2"/>
  <c r="AO314" i="2"/>
  <c r="AO250" i="2"/>
  <c r="AO519" i="2"/>
  <c r="AO192" i="2"/>
  <c r="AO478" i="2"/>
  <c r="AO212" i="2"/>
  <c r="AO283" i="2"/>
  <c r="AO276" i="2"/>
  <c r="AO203" i="2"/>
  <c r="AO380" i="2"/>
  <c r="AO355" i="2"/>
  <c r="AO487" i="2"/>
  <c r="AO427" i="2"/>
  <c r="AO275" i="2"/>
  <c r="AO524" i="2"/>
  <c r="AO421" i="2"/>
  <c r="AO189" i="2"/>
  <c r="AO442" i="2"/>
  <c r="AO269" i="2"/>
  <c r="AO126" i="2"/>
  <c r="AO499" i="2"/>
  <c r="AO451" i="2"/>
  <c r="AO482" i="2"/>
  <c r="AO469" i="2"/>
  <c r="AO549" i="2"/>
  <c r="AO321" i="2"/>
  <c r="AO462" i="2"/>
  <c r="AO389" i="2"/>
  <c r="AO168" i="2"/>
  <c r="AO198" i="2"/>
  <c r="AO467" i="2"/>
  <c r="AO452" i="2"/>
  <c r="AO296" i="2"/>
  <c r="AO18" i="2"/>
  <c r="AO70" i="2"/>
  <c r="AO241" i="2"/>
  <c r="AO448" i="2"/>
  <c r="AO464" i="2"/>
  <c r="AO417" i="2"/>
  <c r="AO333" i="2"/>
  <c r="AO344" i="2"/>
  <c r="AO403" i="2"/>
  <c r="AO137" i="2"/>
  <c r="AO336" i="2"/>
  <c r="AO359" i="2"/>
  <c r="AO374" i="2"/>
  <c r="AO357" i="2"/>
  <c r="AO64" i="2"/>
  <c r="AO242" i="2"/>
  <c r="AO271" i="2"/>
  <c r="AO52" i="2"/>
  <c r="AO132" i="2"/>
  <c r="AO63" i="2"/>
  <c r="AO375" i="2"/>
  <c r="AO330" i="2"/>
  <c r="AO456" i="2"/>
  <c r="AO356" i="2"/>
  <c r="AO561" i="2"/>
  <c r="AO172" i="2"/>
  <c r="AO497" i="2"/>
  <c r="AO525" i="2"/>
  <c r="AO181" i="2"/>
  <c r="AO306" i="2"/>
  <c r="AO322" i="2"/>
  <c r="AO327" i="2"/>
  <c r="AO32" i="2"/>
  <c r="AO170" i="2"/>
  <c r="AO371" i="2"/>
  <c r="AO293" i="2"/>
  <c r="AO77" i="2"/>
  <c r="AO444" i="2"/>
  <c r="AO476" i="2"/>
  <c r="AO541" i="2"/>
  <c r="AO540" i="2"/>
  <c r="AO169" i="2"/>
  <c r="AO440" i="2"/>
  <c r="AO498" i="2"/>
  <c r="AO165" i="2"/>
  <c r="AO391" i="2"/>
  <c r="AO206" i="2"/>
  <c r="AO167" i="2"/>
  <c r="AO386" i="2"/>
  <c r="AO297" i="2"/>
  <c r="AO466" i="2"/>
  <c r="AO75" i="2"/>
  <c r="AO208" i="2"/>
  <c r="AO278" i="2"/>
  <c r="AO372" i="2"/>
  <c r="AO134" i="2"/>
  <c r="AO207" i="2"/>
  <c r="AO51" i="2"/>
  <c r="AO418" i="2"/>
  <c r="AO447" i="2"/>
  <c r="AO382" i="2"/>
  <c r="AO133" i="2"/>
  <c r="AO473" i="2"/>
  <c r="AO246" i="2"/>
  <c r="AO373" i="2"/>
  <c r="AO339" i="2"/>
  <c r="AO190" i="2"/>
  <c r="AO13" i="2"/>
  <c r="AO533" i="2"/>
  <c r="AO176" i="2"/>
  <c r="AY111" i="1"/>
  <c r="AW111" i="1"/>
  <c r="AU111" i="1"/>
  <c r="AY9" i="1"/>
  <c r="AW9" i="1"/>
  <c r="AU9" i="1"/>
  <c r="AY25" i="1"/>
  <c r="AW25" i="1"/>
  <c r="AU25" i="1"/>
  <c r="BB111" i="1" l="1"/>
  <c r="BB9" i="1"/>
  <c r="BB25" i="1"/>
  <c r="D40" i="11" l="1"/>
  <c r="B40" i="11"/>
  <c r="F40" i="11"/>
  <c r="G40" i="11"/>
  <c r="E40" i="11"/>
  <c r="C40" i="11"/>
  <c r="E39" i="11"/>
  <c r="C41" i="11"/>
  <c r="G41" i="11"/>
  <c r="D39" i="11"/>
  <c r="B41" i="11"/>
  <c r="F41" i="11"/>
  <c r="F39" i="11"/>
  <c r="D41" i="11"/>
  <c r="G39" i="11"/>
  <c r="E41" i="11"/>
  <c r="C39" i="11"/>
  <c r="B39" i="11"/>
  <c r="AD572" i="3" l="1"/>
  <c r="AD759" i="3"/>
  <c r="AD503" i="3"/>
  <c r="AD432" i="3"/>
  <c r="AD742" i="3"/>
  <c r="AD605" i="3"/>
  <c r="AD1204" i="3"/>
  <c r="AD953" i="3"/>
  <c r="AD769" i="3"/>
  <c r="AD1015" i="3"/>
  <c r="AD380" i="3"/>
  <c r="AD540" i="3"/>
  <c r="AD256" i="3"/>
  <c r="H5" i="10"/>
  <c r="H20" i="10"/>
  <c r="H21" i="10"/>
  <c r="H26" i="10"/>
  <c r="H25" i="10"/>
  <c r="H6" i="10"/>
  <c r="H27" i="10"/>
  <c r="H8" i="10"/>
  <c r="H17" i="10"/>
  <c r="H13" i="10"/>
  <c r="H28" i="10"/>
  <c r="H9" i="10"/>
  <c r="H15" i="10"/>
  <c r="H18" i="10"/>
  <c r="H3" i="10"/>
  <c r="H12" i="10"/>
  <c r="H16" i="10"/>
  <c r="H14" i="10"/>
  <c r="H24" i="10"/>
  <c r="H10" i="10"/>
  <c r="H23" i="10"/>
  <c r="H11" i="10"/>
  <c r="H4" i="10"/>
  <c r="H7" i="10"/>
  <c r="AW464" i="2" l="1"/>
  <c r="AW478" i="2"/>
  <c r="AW366" i="2"/>
  <c r="AW125" i="2"/>
  <c r="H29" i="10"/>
  <c r="AW541" i="2" l="1"/>
  <c r="AW472" i="2"/>
  <c r="AW159" i="2"/>
  <c r="AW204" i="2"/>
  <c r="AW303" i="2"/>
  <c r="AW546" i="2"/>
  <c r="AW135" i="2"/>
  <c r="AW415" i="2"/>
  <c r="AW346" i="2"/>
  <c r="AW276" i="2"/>
  <c r="AW230" i="2"/>
  <c r="AW167" i="2"/>
  <c r="AW233" i="2"/>
  <c r="AW315" i="2"/>
  <c r="AW62" i="2"/>
  <c r="AW74" i="2"/>
  <c r="AW562" i="2"/>
  <c r="AW77" i="2"/>
  <c r="AW189" i="2"/>
  <c r="AW161" i="2"/>
  <c r="AW187" i="2"/>
  <c r="AW482" i="2"/>
  <c r="AW220" i="2"/>
  <c r="AW92" i="2"/>
  <c r="AW105" i="2"/>
  <c r="AW416" i="2"/>
  <c r="AW313" i="2"/>
  <c r="AW268" i="2"/>
  <c r="AW342" i="2"/>
  <c r="AW453" i="2"/>
  <c r="AW255" i="2"/>
  <c r="AW194" i="2"/>
  <c r="AW381" i="2"/>
  <c r="AW451" i="2"/>
  <c r="AW236" i="2"/>
  <c r="AW483" i="2"/>
  <c r="AW552" i="2"/>
  <c r="AW395" i="2"/>
  <c r="AW150" i="2"/>
  <c r="AW69" i="2"/>
  <c r="AW511" i="2"/>
  <c r="AW152" i="2"/>
  <c r="AW439" i="2"/>
  <c r="AW332" i="2"/>
  <c r="AW484" i="2"/>
  <c r="AW284" i="2"/>
  <c r="AW211" i="2"/>
  <c r="AW201" i="2"/>
  <c r="AW300" i="2"/>
  <c r="AW103" i="2"/>
  <c r="AW156" i="2"/>
  <c r="AW50" i="2"/>
  <c r="AW517" i="2"/>
  <c r="AW352" i="2"/>
  <c r="AW285" i="2"/>
  <c r="AW333" i="2"/>
  <c r="AW203" i="2"/>
  <c r="AW209" i="2"/>
  <c r="AW325" i="2"/>
  <c r="AW200" i="2"/>
  <c r="AW137" i="2"/>
  <c r="AW267" i="2"/>
  <c r="AW130" i="2"/>
  <c r="AW524" i="2"/>
  <c r="AW157" i="2"/>
  <c r="AW479" i="2"/>
  <c r="AW197" i="2"/>
  <c r="AW249" i="2"/>
  <c r="AW314" i="2"/>
  <c r="AW394" i="2"/>
  <c r="AW358" i="2"/>
  <c r="AW90" i="2"/>
  <c r="AW172" i="2"/>
  <c r="AW310" i="2"/>
  <c r="AW213" i="2"/>
  <c r="AW245" i="2"/>
  <c r="AW179" i="2"/>
  <c r="AW328" i="2"/>
  <c r="AW188" i="2"/>
  <c r="AW506" i="2"/>
  <c r="AW299" i="2"/>
  <c r="AW446" i="2"/>
  <c r="AW123" i="2"/>
  <c r="AW354" i="2"/>
  <c r="AW231" i="2"/>
  <c r="AW312" i="2"/>
  <c r="AW214" i="2"/>
  <c r="AW295" i="2"/>
  <c r="AW423" i="2"/>
  <c r="AW272" i="2"/>
  <c r="AW449" i="2"/>
  <c r="AW545" i="2"/>
  <c r="AW14" i="2"/>
  <c r="AW107" i="2"/>
  <c r="AW340" i="2"/>
  <c r="AW254" i="2"/>
  <c r="AW178" i="2"/>
  <c r="AW110" i="2"/>
  <c r="AW216" i="2"/>
  <c r="AW327" i="2"/>
  <c r="AW363" i="2"/>
  <c r="AW320" i="2"/>
  <c r="AW512" i="2"/>
  <c r="AW283" i="2"/>
  <c r="AW127" i="2"/>
  <c r="AW460" i="2"/>
  <c r="AW468" i="2"/>
  <c r="AW379" i="2"/>
  <c r="AW122" i="2"/>
  <c r="AW411" i="2"/>
  <c r="AW63" i="2"/>
  <c r="AW456" i="2"/>
  <c r="AW535" i="2"/>
  <c r="AW257" i="2"/>
  <c r="AW529" i="2"/>
  <c r="AW407" i="2"/>
  <c r="AW329" i="2"/>
  <c r="AW347" i="2"/>
  <c r="AW331" i="2"/>
  <c r="AW73" i="2"/>
  <c r="AW173" i="2"/>
  <c r="AW168" i="2"/>
  <c r="AW53" i="2"/>
  <c r="AW432" i="2"/>
  <c r="AW360" i="2"/>
  <c r="AW350" i="2"/>
  <c r="AW375" i="2"/>
  <c r="AW84" i="2"/>
  <c r="AW219" i="2"/>
  <c r="AW435" i="2"/>
  <c r="AW153" i="2"/>
  <c r="AW488" i="2"/>
  <c r="AW345" i="2"/>
  <c r="AW162" i="2"/>
  <c r="AW481" i="2"/>
  <c r="AW296" i="2"/>
  <c r="AW392" i="2"/>
  <c r="AW217" i="2"/>
  <c r="AW223" i="2"/>
  <c r="AW174" i="2"/>
  <c r="AW252" i="2"/>
  <c r="AW551" i="2"/>
  <c r="AW549" i="2"/>
  <c r="AW287" i="2"/>
  <c r="AW80" i="2"/>
  <c r="AW239" i="2"/>
  <c r="AW151" i="2"/>
  <c r="AW555" i="2"/>
  <c r="AW149" i="2"/>
  <c r="AW198" i="2"/>
  <c r="AW99" i="2"/>
  <c r="AW79" i="2"/>
  <c r="AW492" i="2"/>
  <c r="AW264" i="2"/>
  <c r="AW259" i="2"/>
  <c r="AW5" i="2"/>
  <c r="AW109" i="2"/>
  <c r="AW473" i="2"/>
  <c r="AW523" i="2"/>
  <c r="AW6" i="2"/>
  <c r="AW476" i="2"/>
  <c r="AW238" i="2"/>
  <c r="AW557" i="2"/>
  <c r="AW509" i="2"/>
  <c r="AW474" i="2"/>
  <c r="AW136" i="2"/>
  <c r="AW450" i="2"/>
  <c r="AW454" i="2"/>
  <c r="AW501" i="2"/>
  <c r="AW389" i="2"/>
  <c r="AW437" i="2"/>
  <c r="AW521" i="2"/>
  <c r="AW369" i="2"/>
  <c r="AW550" i="2"/>
  <c r="AW424" i="2"/>
  <c r="AW539" i="2"/>
  <c r="AW100" i="2"/>
  <c r="AW269" i="2"/>
  <c r="AW247" i="2"/>
  <c r="AW462" i="2"/>
  <c r="AW362" i="2"/>
  <c r="AW184" i="2"/>
  <c r="AW334" i="2"/>
  <c r="AW560" i="2"/>
  <c r="AW410" i="2"/>
  <c r="AW81" i="2"/>
  <c r="AW496" i="2"/>
  <c r="AW32" i="2"/>
  <c r="AW290" i="2"/>
  <c r="AW554" i="2"/>
  <c r="AW467" i="2"/>
  <c r="AW469" i="2"/>
  <c r="AW341" i="2"/>
  <c r="AW106" i="2"/>
  <c r="AW405" i="2"/>
  <c r="AW304" i="2"/>
  <c r="AW183" i="2"/>
  <c r="AW556" i="2"/>
  <c r="AW224" i="2"/>
  <c r="AW367" i="2"/>
  <c r="AW338" i="2"/>
  <c r="AW528" i="2"/>
  <c r="AW265" i="2"/>
  <c r="AW337" i="2"/>
  <c r="AW393" i="2"/>
  <c r="AW308" i="2"/>
  <c r="AW355" i="2"/>
  <c r="AW561" i="2"/>
  <c r="AW403" i="2"/>
  <c r="AW274" i="2"/>
  <c r="AW86" i="2"/>
  <c r="AW316" i="2"/>
  <c r="AW406" i="2"/>
  <c r="AW186" i="2"/>
  <c r="AW228" i="2"/>
  <c r="AW277" i="2"/>
  <c r="AW421" i="2"/>
  <c r="AW102" i="2"/>
  <c r="AW558" i="2"/>
  <c r="AW452" i="2"/>
  <c r="AW311" i="2"/>
  <c r="AW547" i="2"/>
  <c r="AW128" i="2"/>
  <c r="AW357" i="2"/>
  <c r="AW353" i="2"/>
  <c r="AW475" i="2"/>
  <c r="AW377" i="2"/>
  <c r="AW330" i="2"/>
  <c r="AW8" i="2"/>
  <c r="AW193" i="2"/>
  <c r="AW235" i="2"/>
  <c r="AW97" i="2"/>
  <c r="AW542" i="2"/>
  <c r="AW126" i="2"/>
  <c r="AW471" i="2"/>
  <c r="AW502" i="2"/>
  <c r="AW15" i="2"/>
  <c r="AW384" i="2"/>
  <c r="AW419" i="2"/>
  <c r="AW376" i="2"/>
  <c r="AW486" i="2"/>
  <c r="AW260" i="2"/>
  <c r="AW294" i="2"/>
  <c r="AW91" i="2"/>
  <c r="AW429" i="2"/>
  <c r="AW237" i="2"/>
  <c r="AW520" i="2"/>
  <c r="AW504" i="2"/>
  <c r="AW326" i="2"/>
  <c r="AW104" i="2"/>
  <c r="AW319" i="2"/>
  <c r="AW368" i="2"/>
  <c r="AW52" i="2"/>
  <c r="AW87" i="2"/>
  <c r="AW72" i="2"/>
  <c r="AW253" i="2"/>
  <c r="AW192" i="2"/>
  <c r="AW232" i="2"/>
  <c r="AW387" i="2"/>
  <c r="AW307" i="2"/>
  <c r="AW335" i="2"/>
  <c r="AW221" i="2"/>
  <c r="AW83" i="2"/>
  <c r="AW263" i="2"/>
  <c r="AW218" i="2"/>
  <c r="AW425" i="2"/>
  <c r="AW321" i="2"/>
  <c r="AW324" i="2"/>
  <c r="AW240" i="2"/>
  <c r="AW278" i="2"/>
  <c r="AW426" i="2"/>
  <c r="AW527" i="2"/>
  <c r="AW199" i="2"/>
  <c r="AW164" i="2"/>
  <c r="AW275" i="2"/>
  <c r="AW514" i="2"/>
  <c r="AW227" i="2"/>
  <c r="AW301" i="2"/>
  <c r="AW380" i="2"/>
  <c r="AW158" i="2"/>
  <c r="AW258" i="2"/>
  <c r="AW463" i="2"/>
  <c r="AW273" i="2"/>
  <c r="AW256" i="2"/>
  <c r="AW244" i="2"/>
  <c r="AW461" i="2"/>
  <c r="AW434" i="2"/>
  <c r="AW248" i="2"/>
  <c r="AW408" i="2"/>
  <c r="AW318" i="2"/>
  <c r="AW491" i="2"/>
  <c r="AW131" i="2"/>
  <c r="AW21" i="2"/>
  <c r="AW222" i="2"/>
  <c r="AW31" i="2"/>
  <c r="AW397" i="2"/>
  <c r="AW177" i="2"/>
  <c r="AW348" i="2"/>
  <c r="AW493" i="2"/>
  <c r="AW202" i="2"/>
  <c r="AW445" i="2"/>
  <c r="AW101" i="2"/>
  <c r="AW536" i="2"/>
  <c r="AW383" i="2"/>
  <c r="AW398" i="2"/>
  <c r="AW559" i="2"/>
  <c r="AW518" i="2"/>
  <c r="AW154" i="2"/>
  <c r="AW129" i="2"/>
  <c r="AW385" i="2"/>
  <c r="AW229" i="2"/>
  <c r="AW250" i="2"/>
  <c r="AW286" i="2"/>
  <c r="AW68" i="2"/>
  <c r="AW515" i="2"/>
  <c r="AW438" i="2"/>
  <c r="AW500" i="2"/>
  <c r="AW298" i="2"/>
  <c r="AW61" i="2"/>
  <c r="AW507" i="2"/>
  <c r="AW67" i="2"/>
  <c r="AW251" i="2"/>
  <c r="AW16" i="2"/>
  <c r="AW180" i="2"/>
  <c r="AW205" i="2"/>
  <c r="AW282" i="2"/>
  <c r="AW266" i="2"/>
  <c r="AW9" i="2"/>
  <c r="AW351" i="2"/>
  <c r="AW305" i="2"/>
  <c r="AW399" i="2"/>
  <c r="AW428" i="2"/>
  <c r="AW433" i="2"/>
  <c r="AW495" i="2"/>
  <c r="AW519" i="2"/>
  <c r="AW508" i="2"/>
  <c r="AW262" i="2"/>
  <c r="AW513" i="2"/>
  <c r="AW195" i="2"/>
  <c r="AW364" i="2"/>
  <c r="AW530" i="2"/>
  <c r="AW210" i="2"/>
  <c r="AW323" i="2"/>
  <c r="AW522" i="2"/>
  <c r="AW293" i="2"/>
  <c r="AW96" i="2"/>
  <c r="AW349" i="2"/>
  <c r="I1" i="10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8" i="9"/>
  <c r="D9" i="9"/>
  <c r="B9" i="9" s="1"/>
  <c r="D10" i="9"/>
  <c r="B10" i="9" s="1"/>
  <c r="D11" i="9"/>
  <c r="B11" i="9" s="1"/>
  <c r="D12" i="9"/>
  <c r="B12" i="9" s="1"/>
  <c r="D13" i="9"/>
  <c r="B13" i="9" s="1"/>
  <c r="D14" i="9"/>
  <c r="B14" i="9" s="1"/>
  <c r="D15" i="9"/>
  <c r="B15" i="9" s="1"/>
  <c r="D16" i="9"/>
  <c r="B16" i="9" s="1"/>
  <c r="D17" i="9"/>
  <c r="B17" i="9" s="1"/>
  <c r="D18" i="9"/>
  <c r="B18" i="9" s="1"/>
  <c r="D19" i="9"/>
  <c r="B19" i="9" s="1"/>
  <c r="D20" i="9"/>
  <c r="B20" i="9" s="1"/>
  <c r="D21" i="9"/>
  <c r="B21" i="9" s="1"/>
  <c r="D22" i="9"/>
  <c r="B22" i="9" s="1"/>
  <c r="D23" i="9"/>
  <c r="B23" i="9" s="1"/>
  <c r="D24" i="9"/>
  <c r="B24" i="9" s="1"/>
  <c r="D25" i="9"/>
  <c r="B25" i="9" s="1"/>
  <c r="D26" i="9"/>
  <c r="B26" i="9" s="1"/>
  <c r="D27" i="9"/>
  <c r="B27" i="9" s="1"/>
  <c r="D28" i="9"/>
  <c r="B28" i="9" s="1"/>
  <c r="D29" i="9"/>
  <c r="B29" i="9" s="1"/>
  <c r="D30" i="9"/>
  <c r="B30" i="9" s="1"/>
  <c r="D31" i="9"/>
  <c r="B31" i="9" s="1"/>
  <c r="D32" i="9"/>
  <c r="B32" i="9" s="1"/>
  <c r="D33" i="9"/>
  <c r="B33" i="9" s="1"/>
  <c r="D34" i="9"/>
  <c r="B34" i="9" s="1"/>
  <c r="D35" i="9"/>
  <c r="B35" i="9" s="1"/>
  <c r="D36" i="9"/>
  <c r="B36" i="9" s="1"/>
  <c r="D37" i="9"/>
  <c r="B37" i="9" s="1"/>
  <c r="D38" i="9"/>
  <c r="B38" i="9" s="1"/>
  <c r="D39" i="9"/>
  <c r="B39" i="9" s="1"/>
  <c r="D40" i="9"/>
  <c r="B40" i="9" s="1"/>
  <c r="D41" i="9"/>
  <c r="B41" i="9" s="1"/>
  <c r="D42" i="9"/>
  <c r="B42" i="9" s="1"/>
  <c r="D43" i="9"/>
  <c r="B43" i="9" s="1"/>
  <c r="D44" i="9"/>
  <c r="B44" i="9" s="1"/>
  <c r="D45" i="9"/>
  <c r="B45" i="9" s="1"/>
  <c r="D46" i="9"/>
  <c r="B46" i="9" s="1"/>
  <c r="D47" i="9"/>
  <c r="B47" i="9" s="1"/>
  <c r="D48" i="9"/>
  <c r="B48" i="9" s="1"/>
  <c r="D49" i="9"/>
  <c r="B49" i="9" s="1"/>
  <c r="D50" i="9"/>
  <c r="B50" i="9" s="1"/>
  <c r="D51" i="9"/>
  <c r="B51" i="9" s="1"/>
  <c r="D52" i="9"/>
  <c r="B52" i="9" s="1"/>
  <c r="D53" i="9"/>
  <c r="B53" i="9" s="1"/>
  <c r="D54" i="9"/>
  <c r="B54" i="9" s="1"/>
  <c r="D55" i="9"/>
  <c r="B55" i="9" s="1"/>
  <c r="D56" i="9"/>
  <c r="B56" i="9" s="1"/>
  <c r="D57" i="9"/>
  <c r="B57" i="9" s="1"/>
  <c r="D58" i="9"/>
  <c r="B58" i="9" s="1"/>
  <c r="D59" i="9"/>
  <c r="B59" i="9" s="1"/>
  <c r="D60" i="9"/>
  <c r="B60" i="9" s="1"/>
  <c r="D61" i="9"/>
  <c r="B61" i="9" s="1"/>
  <c r="D62" i="9"/>
  <c r="B62" i="9" s="1"/>
  <c r="D63" i="9"/>
  <c r="B63" i="9" s="1"/>
  <c r="D64" i="9"/>
  <c r="B64" i="9" s="1"/>
  <c r="D65" i="9"/>
  <c r="B65" i="9" s="1"/>
  <c r="D66" i="9"/>
  <c r="B66" i="9" s="1"/>
  <c r="D67" i="9"/>
  <c r="B67" i="9" s="1"/>
  <c r="D68" i="9"/>
  <c r="B68" i="9" s="1"/>
  <c r="D69" i="9"/>
  <c r="B69" i="9" s="1"/>
  <c r="D70" i="9"/>
  <c r="B70" i="9" s="1"/>
  <c r="D71" i="9"/>
  <c r="B71" i="9" s="1"/>
  <c r="D72" i="9"/>
  <c r="B72" i="9" s="1"/>
  <c r="D73" i="9"/>
  <c r="B73" i="9" s="1"/>
  <c r="D74" i="9"/>
  <c r="B74" i="9" s="1"/>
  <c r="D75" i="9"/>
  <c r="B75" i="9" s="1"/>
  <c r="D76" i="9"/>
  <c r="B76" i="9" s="1"/>
  <c r="D77" i="9"/>
  <c r="B77" i="9" s="1"/>
  <c r="D78" i="9"/>
  <c r="B78" i="9" s="1"/>
  <c r="D79" i="9"/>
  <c r="B79" i="9" s="1"/>
  <c r="D80" i="9"/>
  <c r="B80" i="9" s="1"/>
  <c r="D81" i="9"/>
  <c r="B81" i="9" s="1"/>
  <c r="D82" i="9"/>
  <c r="B82" i="9" s="1"/>
  <c r="D83" i="9"/>
  <c r="B83" i="9" s="1"/>
  <c r="D84" i="9"/>
  <c r="B84" i="9" s="1"/>
  <c r="D85" i="9"/>
  <c r="B85" i="9" s="1"/>
  <c r="D86" i="9"/>
  <c r="B86" i="9" s="1"/>
  <c r="D87" i="9"/>
  <c r="B87" i="9" s="1"/>
  <c r="D88" i="9"/>
  <c r="B88" i="9" s="1"/>
  <c r="D89" i="9"/>
  <c r="B89" i="9" s="1"/>
  <c r="D90" i="9"/>
  <c r="B90" i="9" s="1"/>
  <c r="D91" i="9"/>
  <c r="B91" i="9" s="1"/>
  <c r="D92" i="9"/>
  <c r="B92" i="9" s="1"/>
  <c r="D93" i="9"/>
  <c r="B93" i="9" s="1"/>
  <c r="D94" i="9"/>
  <c r="B94" i="9" s="1"/>
  <c r="D95" i="9"/>
  <c r="B95" i="9" s="1"/>
  <c r="D96" i="9"/>
  <c r="B96" i="9" s="1"/>
  <c r="D97" i="9"/>
  <c r="B97" i="9" s="1"/>
  <c r="D98" i="9"/>
  <c r="B98" i="9" s="1"/>
  <c r="D99" i="9"/>
  <c r="B99" i="9" s="1"/>
  <c r="D100" i="9"/>
  <c r="B100" i="9" s="1"/>
  <c r="D101" i="9"/>
  <c r="B101" i="9" s="1"/>
  <c r="D102" i="9"/>
  <c r="B102" i="9" s="1"/>
  <c r="D103" i="9"/>
  <c r="B103" i="9" s="1"/>
  <c r="D104" i="9"/>
  <c r="B104" i="9" s="1"/>
  <c r="D105" i="9"/>
  <c r="B105" i="9" s="1"/>
  <c r="D106" i="9"/>
  <c r="B106" i="9" s="1"/>
  <c r="D8" i="9"/>
  <c r="B8" i="9" s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8" i="9"/>
  <c r="C20" i="8"/>
  <c r="T20" i="8" s="1"/>
  <c r="B20" i="8"/>
  <c r="C12" i="8"/>
  <c r="B12" i="8"/>
  <c r="C13" i="8"/>
  <c r="T13" i="8" s="1"/>
  <c r="B13" i="8"/>
  <c r="C19" i="8"/>
  <c r="B19" i="8"/>
  <c r="C18" i="8"/>
  <c r="B18" i="8"/>
  <c r="C17" i="8"/>
  <c r="B17" i="8"/>
  <c r="C16" i="8"/>
  <c r="B16" i="8"/>
  <c r="C15" i="8"/>
  <c r="T15" i="8" s="1"/>
  <c r="B15" i="8"/>
  <c r="C14" i="8"/>
  <c r="T14" i="8" s="1"/>
  <c r="B14" i="8"/>
  <c r="C11" i="8"/>
  <c r="T11" i="8" s="1"/>
  <c r="B11" i="8"/>
  <c r="C10" i="8"/>
  <c r="B10" i="8"/>
  <c r="C9" i="8"/>
  <c r="T9" i="8" s="1"/>
  <c r="B9" i="8"/>
  <c r="C8" i="8"/>
  <c r="T8" i="8" s="1"/>
  <c r="B8" i="8"/>
  <c r="C7" i="8"/>
  <c r="B7" i="8"/>
  <c r="C6" i="8"/>
  <c r="T6" i="8" s="1"/>
  <c r="B6" i="8"/>
  <c r="C5" i="8"/>
  <c r="B5" i="8"/>
  <c r="AC3" i="8"/>
  <c r="AC1" i="8"/>
  <c r="AO175" i="2"/>
  <c r="AO3" i="2"/>
  <c r="P3" i="2"/>
  <c r="O3" i="2"/>
  <c r="N3" i="2"/>
  <c r="M3" i="2"/>
  <c r="L3" i="2"/>
  <c r="M3" i="1"/>
  <c r="L3" i="1"/>
  <c r="AQ142" i="2" l="1"/>
  <c r="Q236" i="3" s="1"/>
  <c r="AQ144" i="2"/>
  <c r="Q237" i="3" s="1"/>
  <c r="AQ145" i="2"/>
  <c r="Q238" i="3" s="1"/>
  <c r="AQ44" i="2"/>
  <c r="Q86" i="3" s="1"/>
  <c r="AQ117" i="2"/>
  <c r="Q220" i="3" s="1"/>
  <c r="AQ33" i="2"/>
  <c r="Q87" i="3" s="1"/>
  <c r="AQ120" i="2"/>
  <c r="Q226" i="3" s="1"/>
  <c r="AQ38" i="2"/>
  <c r="Q88" i="3" s="1"/>
  <c r="AQ138" i="2"/>
  <c r="Q234" i="3" s="1"/>
  <c r="AQ27" i="2"/>
  <c r="Q71" i="3" s="1"/>
  <c r="AQ140" i="2"/>
  <c r="Q235" i="3" s="1"/>
  <c r="AQ35" i="2"/>
  <c r="Q81" i="3" s="1"/>
  <c r="AQ112" i="2"/>
  <c r="Q214" i="3" s="1"/>
  <c r="AQ113" i="2"/>
  <c r="Q215" i="3" s="1"/>
  <c r="AQ114" i="2"/>
  <c r="Q217" i="3" s="1"/>
  <c r="AQ49" i="2"/>
  <c r="Q98" i="3" s="1"/>
  <c r="AQ46" i="2"/>
  <c r="Q82" i="3" s="1"/>
  <c r="AQ57" i="2"/>
  <c r="Q103" i="3" s="1"/>
  <c r="AQ141" i="2"/>
  <c r="Q241" i="3" s="1"/>
  <c r="AQ60" i="2"/>
  <c r="Q109" i="3" s="1"/>
  <c r="AQ93" i="2"/>
  <c r="Q201" i="3" s="1"/>
  <c r="AQ26" i="2"/>
  <c r="Q70" i="3" s="1"/>
  <c r="AQ94" i="2"/>
  <c r="Q202" i="3" s="1"/>
  <c r="AQ88" i="2"/>
  <c r="Q195" i="3" s="1"/>
  <c r="AQ23" i="2"/>
  <c r="Q69" i="3" s="1"/>
  <c r="AQ116" i="2"/>
  <c r="Q216" i="3" s="1"/>
  <c r="AQ59" i="2"/>
  <c r="Q108" i="3" s="1"/>
  <c r="AQ98" i="2"/>
  <c r="Q209" i="3" s="1"/>
  <c r="AQ20" i="2"/>
  <c r="Q64" i="3" s="1"/>
  <c r="AQ147" i="2"/>
  <c r="Q239" i="3" s="1"/>
  <c r="AQ111" i="2"/>
  <c r="Q213" i="3" s="1"/>
  <c r="AQ36" i="2"/>
  <c r="Q84" i="3" s="1"/>
  <c r="AQ24" i="2"/>
  <c r="Q75" i="3" s="1"/>
  <c r="AQ25" i="2"/>
  <c r="Q72" i="3" s="1"/>
  <c r="AQ28" i="2"/>
  <c r="Q76" i="3" s="1"/>
  <c r="AQ58" i="2"/>
  <c r="Q106" i="3" s="1"/>
  <c r="AQ47" i="2"/>
  <c r="Q97" i="3" s="1"/>
  <c r="AQ39" i="2"/>
  <c r="Q89" i="3" s="1"/>
  <c r="AQ171" i="2"/>
  <c r="Q249" i="3" s="1"/>
  <c r="AQ29" i="2"/>
  <c r="Q74" i="3" s="1"/>
  <c r="AQ115" i="2"/>
  <c r="Q218" i="3" s="1"/>
  <c r="AQ143" i="2"/>
  <c r="Q232" i="3" s="1"/>
  <c r="AQ45" i="2"/>
  <c r="Q94" i="3" s="1"/>
  <c r="AQ95" i="2"/>
  <c r="Q203" i="3" s="1"/>
  <c r="AQ43" i="2"/>
  <c r="Q91" i="3" s="1"/>
  <c r="AQ54" i="2"/>
  <c r="Q105" i="3" s="1"/>
  <c r="AQ41" i="2"/>
  <c r="Q90" i="3" s="1"/>
  <c r="AQ55" i="2"/>
  <c r="Q107" i="3" s="1"/>
  <c r="AQ148" i="2"/>
  <c r="Q243" i="3" s="1"/>
  <c r="AQ22" i="2"/>
  <c r="Q73" i="3" s="1"/>
  <c r="AQ48" i="2"/>
  <c r="Q99" i="3" s="1"/>
  <c r="AQ89" i="2"/>
  <c r="Q194" i="3" s="1"/>
  <c r="AQ139" i="2"/>
  <c r="Q240" i="3" s="1"/>
  <c r="AQ42" i="2"/>
  <c r="Q93" i="3" s="1"/>
  <c r="AQ108" i="2"/>
  <c r="Q206" i="3" s="1"/>
  <c r="AQ121" i="2"/>
  <c r="Q225" i="3" s="1"/>
  <c r="AQ78" i="2"/>
  <c r="Q192" i="3" s="1"/>
  <c r="AQ146" i="2"/>
  <c r="Q233" i="3" s="1"/>
  <c r="AQ30" i="2"/>
  <c r="Q77" i="3" s="1"/>
  <c r="AQ118" i="2"/>
  <c r="Q219" i="3" s="1"/>
  <c r="AQ34" i="2"/>
  <c r="Q83" i="3" s="1"/>
  <c r="AQ37" i="2"/>
  <c r="Q85" i="3" s="1"/>
  <c r="AQ40" i="2"/>
  <c r="Q92" i="3" s="1"/>
  <c r="AQ56" i="2"/>
  <c r="Q104" i="3" s="1"/>
  <c r="AQ19" i="2"/>
  <c r="Q63" i="3" s="1"/>
  <c r="AN160" i="2"/>
  <c r="AN401" i="2"/>
  <c r="AM494" i="2"/>
  <c r="AM505" i="2"/>
  <c r="AN553" i="2"/>
  <c r="AN544" i="2"/>
  <c r="AM66" i="2"/>
  <c r="AN11" i="2"/>
  <c r="AM538" i="2"/>
  <c r="AN494" i="2"/>
  <c r="AN505" i="2"/>
  <c r="AM537" i="2"/>
  <c r="AM196" i="2"/>
  <c r="AN66" i="2"/>
  <c r="AM543" i="2"/>
  <c r="AN538" i="2"/>
  <c r="AM470" i="2"/>
  <c r="AN537" i="2"/>
  <c r="AN534" i="2"/>
  <c r="AM182" i="2"/>
  <c r="AM12" i="2"/>
  <c r="AM234" i="2"/>
  <c r="AM534" i="2"/>
  <c r="AN196" i="2"/>
  <c r="AN420" i="2"/>
  <c r="AM544" i="2"/>
  <c r="AM289" i="2"/>
  <c r="AN543" i="2"/>
  <c r="AM510" i="2"/>
  <c r="AN470" i="2"/>
  <c r="AN182" i="2"/>
  <c r="AM7" i="2"/>
  <c r="AN12" i="2"/>
  <c r="AM76" i="2"/>
  <c r="AN234" i="2"/>
  <c r="AN85" i="2"/>
  <c r="AN532" i="2"/>
  <c r="AN302" i="2"/>
  <c r="AM401" i="2"/>
  <c r="AM459" i="2"/>
  <c r="AN289" i="2"/>
  <c r="AM191" i="2"/>
  <c r="AN510" i="2"/>
  <c r="AN7" i="2"/>
  <c r="AM85" i="2"/>
  <c r="AN76" i="2"/>
  <c r="AM532" i="2"/>
  <c r="AN459" i="2"/>
  <c r="AM343" i="2"/>
  <c r="AM302" i="2"/>
  <c r="AM10" i="2"/>
  <c r="AM365" i="2"/>
  <c r="AM420" i="2"/>
  <c r="AN343" i="2"/>
  <c r="AM516" i="2"/>
  <c r="AN10" i="2"/>
  <c r="AN365" i="2"/>
  <c r="AM553" i="2"/>
  <c r="AN516" i="2"/>
  <c r="AM11" i="2"/>
  <c r="AN191" i="2"/>
  <c r="AM160" i="2"/>
  <c r="AD1100" i="3"/>
  <c r="AD927" i="3"/>
  <c r="AD395" i="3"/>
  <c r="AN480" i="2"/>
  <c r="AN270" i="2"/>
  <c r="AN279" i="2"/>
  <c r="AN404" i="2"/>
  <c r="AN443" i="2"/>
  <c r="AM431" i="2"/>
  <c r="AM292" i="2"/>
  <c r="AM225" i="2"/>
  <c r="AM17" i="2"/>
  <c r="AN431" i="2"/>
  <c r="AN292" i="2"/>
  <c r="AN225" i="2"/>
  <c r="AN17" i="2"/>
  <c r="AM480" i="2"/>
  <c r="AM270" i="2"/>
  <c r="AM279" i="2"/>
  <c r="AM404" i="2"/>
  <c r="AM443" i="2"/>
  <c r="AN185" i="2"/>
  <c r="AM185" i="2"/>
  <c r="AN107" i="2"/>
  <c r="AM238" i="2"/>
  <c r="AN238" i="2"/>
  <c r="AM107" i="2"/>
  <c r="AM415" i="2"/>
  <c r="AM493" i="2"/>
  <c r="AM205" i="2"/>
  <c r="AM546" i="2"/>
  <c r="AM184" i="2"/>
  <c r="AM323" i="2"/>
  <c r="AM186" i="2"/>
  <c r="AM450" i="2"/>
  <c r="AM92" i="2"/>
  <c r="AM194" i="2"/>
  <c r="AM528" i="2"/>
  <c r="AM74" i="2"/>
  <c r="AM183" i="2"/>
  <c r="AM315" i="2"/>
  <c r="AM364" i="2"/>
  <c r="AM231" i="2"/>
  <c r="AM423" i="2"/>
  <c r="AM135" i="2"/>
  <c r="AM477" i="2"/>
  <c r="AM331" i="2"/>
  <c r="AM395" i="2"/>
  <c r="AM406" i="2"/>
  <c r="AM109" i="2"/>
  <c r="AM124" i="2"/>
  <c r="AM310" i="2"/>
  <c r="AM481" i="2"/>
  <c r="AM507" i="2"/>
  <c r="AM449" i="2"/>
  <c r="AM68" i="2"/>
  <c r="AM6" i="2"/>
  <c r="AM272" i="2"/>
  <c r="AM8" i="2"/>
  <c r="AM353" i="2"/>
  <c r="AM53" i="2"/>
  <c r="AM237" i="2"/>
  <c r="AM531" i="2"/>
  <c r="AM188" i="2"/>
  <c r="AM390" i="2"/>
  <c r="AM73" i="2"/>
  <c r="AM307" i="2"/>
  <c r="AM463" i="2"/>
  <c r="AM472" i="2"/>
  <c r="AM366" i="2"/>
  <c r="AM547" i="2"/>
  <c r="AM220" i="2"/>
  <c r="AM446" i="2"/>
  <c r="AM163" i="2"/>
  <c r="AM474" i="2"/>
  <c r="AM265" i="2"/>
  <c r="AM362" i="2"/>
  <c r="AM381" i="2"/>
  <c r="AM244" i="2"/>
  <c r="AM187" i="2"/>
  <c r="AM303" i="2"/>
  <c r="AM236" i="2"/>
  <c r="AM312" i="2"/>
  <c r="AM475" i="2"/>
  <c r="AM16" i="2"/>
  <c r="AM457" i="2"/>
  <c r="AM435" i="2"/>
  <c r="AM453" i="2"/>
  <c r="AM324" i="2"/>
  <c r="AM354" i="2"/>
  <c r="AM213" i="2"/>
  <c r="AM268" i="2"/>
  <c r="AM96" i="2"/>
  <c r="AM465" i="2"/>
  <c r="AM551" i="2"/>
  <c r="AM458" i="2"/>
  <c r="AM217" i="2"/>
  <c r="AN415" i="2"/>
  <c r="AN546" i="2"/>
  <c r="AN184" i="2"/>
  <c r="AN186" i="2"/>
  <c r="AN194" i="2"/>
  <c r="AN74" i="2"/>
  <c r="AN315" i="2"/>
  <c r="AN331" i="2"/>
  <c r="AN406" i="2"/>
  <c r="AN507" i="2"/>
  <c r="AN68" i="2"/>
  <c r="AN353" i="2"/>
  <c r="AM153" i="2"/>
  <c r="AN15" i="2"/>
  <c r="AN428" i="2"/>
  <c r="AN488" i="2"/>
  <c r="AN154" i="2"/>
  <c r="AN429" i="2"/>
  <c r="AN50" i="2"/>
  <c r="AN398" i="2"/>
  <c r="AN233" i="2"/>
  <c r="AN557" i="2"/>
  <c r="AN319" i="2"/>
  <c r="AN556" i="2"/>
  <c r="AN493" i="2"/>
  <c r="AN205" i="2"/>
  <c r="AN323" i="2"/>
  <c r="AN450" i="2"/>
  <c r="AN92" i="2"/>
  <c r="AN528" i="2"/>
  <c r="AN183" i="2"/>
  <c r="AN364" i="2"/>
  <c r="AN231" i="2"/>
  <c r="AN423" i="2"/>
  <c r="AN135" i="2"/>
  <c r="AN395" i="2"/>
  <c r="AN109" i="2"/>
  <c r="AN310" i="2"/>
  <c r="AN481" i="2"/>
  <c r="AN449" i="2"/>
  <c r="AN6" i="2"/>
  <c r="AN272" i="2"/>
  <c r="AN8" i="2"/>
  <c r="AN53" i="2"/>
  <c r="AN551" i="2"/>
  <c r="AN495" i="2"/>
  <c r="AN217" i="2"/>
  <c r="AN432" i="2"/>
  <c r="AN363" i="2"/>
  <c r="AN511" i="2"/>
  <c r="AN290" i="2"/>
  <c r="AN247" i="2"/>
  <c r="AN335" i="2"/>
  <c r="AN219" i="2"/>
  <c r="AN224" i="2"/>
  <c r="AN461" i="2"/>
  <c r="AN351" i="2"/>
  <c r="AN161" i="2"/>
  <c r="AN350" i="2"/>
  <c r="AN295" i="2"/>
  <c r="AN61" i="2"/>
  <c r="AN463" i="2"/>
  <c r="AN265" i="2"/>
  <c r="AN381" i="2"/>
  <c r="AN312" i="2"/>
  <c r="AN324" i="2"/>
  <c r="AN213" i="2"/>
  <c r="AM495" i="2"/>
  <c r="AN153" i="2"/>
  <c r="AM363" i="2"/>
  <c r="AM219" i="2"/>
  <c r="AM224" i="2"/>
  <c r="AM161" i="2"/>
  <c r="AM295" i="2"/>
  <c r="AN173" i="2"/>
  <c r="AM298" i="2"/>
  <c r="AM103" i="2"/>
  <c r="AM67" i="2"/>
  <c r="AM512" i="2"/>
  <c r="AM162" i="2"/>
  <c r="AM559" i="2"/>
  <c r="AM294" i="2"/>
  <c r="AM479" i="2"/>
  <c r="AM79" i="2"/>
  <c r="AM228" i="2"/>
  <c r="AM508" i="2"/>
  <c r="AM328" i="2"/>
  <c r="AM264" i="2"/>
  <c r="AM348" i="2"/>
  <c r="AM304" i="2"/>
  <c r="AM433" i="2"/>
  <c r="AM552" i="2"/>
  <c r="AM277" i="2"/>
  <c r="AM300" i="2"/>
  <c r="AM347" i="2"/>
  <c r="AM334" i="2"/>
  <c r="AM86" i="2"/>
  <c r="AM554" i="2"/>
  <c r="AN188" i="2"/>
  <c r="AN472" i="2"/>
  <c r="AN220" i="2"/>
  <c r="AN446" i="2"/>
  <c r="AN475" i="2"/>
  <c r="AN435" i="2"/>
  <c r="AN354" i="2"/>
  <c r="AN237" i="2"/>
  <c r="AN366" i="2"/>
  <c r="AN303" i="2"/>
  <c r="AN16" i="2"/>
  <c r="AN453" i="2"/>
  <c r="AM422" i="2"/>
  <c r="AM432" i="2"/>
  <c r="AM155" i="2"/>
  <c r="AM511" i="2"/>
  <c r="AM290" i="2"/>
  <c r="AM247" i="2"/>
  <c r="AM335" i="2"/>
  <c r="AM461" i="2"/>
  <c r="AM351" i="2"/>
  <c r="AM350" i="2"/>
  <c r="AM229" i="2"/>
  <c r="AM243" i="2"/>
  <c r="AM436" i="2"/>
  <c r="AM232" i="2"/>
  <c r="AM530" i="2"/>
  <c r="AM425" i="2"/>
  <c r="AM235" i="2"/>
  <c r="AM230" i="2"/>
  <c r="AM455" i="2"/>
  <c r="AM179" i="2"/>
  <c r="AM414" i="2"/>
  <c r="AM503" i="2"/>
  <c r="AM201" i="2"/>
  <c r="AM486" i="2"/>
  <c r="AM377" i="2"/>
  <c r="AM81" i="2"/>
  <c r="AM416" i="2"/>
  <c r="AM128" i="2"/>
  <c r="AN73" i="2"/>
  <c r="AN307" i="2"/>
  <c r="AN547" i="2"/>
  <c r="AN474" i="2"/>
  <c r="AN362" i="2"/>
  <c r="AN244" i="2"/>
  <c r="AN187" i="2"/>
  <c r="AN236" i="2"/>
  <c r="AM15" i="2"/>
  <c r="AM215" i="2"/>
  <c r="AM429" i="2"/>
  <c r="AM398" i="2"/>
  <c r="AM233" i="2"/>
  <c r="AM319" i="2"/>
  <c r="AN298" i="2"/>
  <c r="AN103" i="2"/>
  <c r="AN67" i="2"/>
  <c r="AN512" i="2"/>
  <c r="AN162" i="2"/>
  <c r="AN559" i="2"/>
  <c r="AN294" i="2"/>
  <c r="AN479" i="2"/>
  <c r="AN79" i="2"/>
  <c r="AN228" i="2"/>
  <c r="AN508" i="2"/>
  <c r="AN328" i="2"/>
  <c r="AN264" i="2"/>
  <c r="AN348" i="2"/>
  <c r="AN304" i="2"/>
  <c r="AN433" i="2"/>
  <c r="AN552" i="2"/>
  <c r="AN277" i="2"/>
  <c r="AN96" i="2"/>
  <c r="AM556" i="2"/>
  <c r="AM61" i="2"/>
  <c r="AN229" i="2"/>
  <c r="AN235" i="2"/>
  <c r="AN201" i="2"/>
  <c r="AN334" i="2"/>
  <c r="AN554" i="2"/>
  <c r="AM388" i="2"/>
  <c r="AM367" i="2"/>
  <c r="AM438" i="2"/>
  <c r="AM263" i="2"/>
  <c r="AM361" i="2"/>
  <c r="AM209" i="2"/>
  <c r="AM526" i="2"/>
  <c r="AM352" i="2"/>
  <c r="AM434" i="2"/>
  <c r="AM211" i="2"/>
  <c r="AM166" i="2"/>
  <c r="AM151" i="2"/>
  <c r="AM529" i="2"/>
  <c r="AM240" i="2"/>
  <c r="AM97" i="2"/>
  <c r="AM392" i="2"/>
  <c r="AM387" i="2"/>
  <c r="AM62" i="2"/>
  <c r="AM221" i="2"/>
  <c r="AM256" i="2"/>
  <c r="AM424" i="2"/>
  <c r="AM360" i="2"/>
  <c r="AM402" i="2"/>
  <c r="AM338" i="2"/>
  <c r="AM409" i="2"/>
  <c r="AM273" i="2"/>
  <c r="AM164" i="2"/>
  <c r="AM129" i="2"/>
  <c r="AM542" i="2"/>
  <c r="AM441" i="2"/>
  <c r="AM101" i="2"/>
  <c r="AM159" i="2"/>
  <c r="AM428" i="2"/>
  <c r="AM488" i="2"/>
  <c r="AM557" i="2"/>
  <c r="AN230" i="2"/>
  <c r="AN486" i="2"/>
  <c r="AN416" i="2"/>
  <c r="AN128" i="2"/>
  <c r="AN90" i="2"/>
  <c r="AN259" i="2"/>
  <c r="AN502" i="2"/>
  <c r="AN325" i="2"/>
  <c r="AN384" i="2"/>
  <c r="AN31" i="2"/>
  <c r="AN131" i="2"/>
  <c r="AN156" i="2"/>
  <c r="AN223" i="2"/>
  <c r="AN523" i="2"/>
  <c r="AN460" i="2"/>
  <c r="AN394" i="2"/>
  <c r="AN127" i="2"/>
  <c r="AN197" i="2"/>
  <c r="AN122" i="2"/>
  <c r="AN426" i="2"/>
  <c r="AN514" i="2"/>
  <c r="AN105" i="2"/>
  <c r="AN72" i="2"/>
  <c r="AN202" i="2"/>
  <c r="AN513" i="2"/>
  <c r="AN342" i="2"/>
  <c r="AN9" i="2"/>
  <c r="AN102" i="2"/>
  <c r="AM154" i="2"/>
  <c r="AM50" i="2"/>
  <c r="AM288" i="2"/>
  <c r="AN530" i="2"/>
  <c r="AN179" i="2"/>
  <c r="AN377" i="2"/>
  <c r="AN300" i="2"/>
  <c r="AN347" i="2"/>
  <c r="AN86" i="2"/>
  <c r="AM90" i="2"/>
  <c r="AM490" i="2"/>
  <c r="AM259" i="2"/>
  <c r="AM502" i="2"/>
  <c r="AM325" i="2"/>
  <c r="AM384" i="2"/>
  <c r="AM31" i="2"/>
  <c r="AM131" i="2"/>
  <c r="AM156" i="2"/>
  <c r="AM223" i="2"/>
  <c r="AM291" i="2"/>
  <c r="AM281" i="2"/>
  <c r="AN268" i="2"/>
  <c r="AM309" i="2"/>
  <c r="AM173" i="2"/>
  <c r="AN232" i="2"/>
  <c r="AN425" i="2"/>
  <c r="AN81" i="2"/>
  <c r="AN367" i="2"/>
  <c r="AN438" i="2"/>
  <c r="AN263" i="2"/>
  <c r="AN209" i="2"/>
  <c r="AN352" i="2"/>
  <c r="AN434" i="2"/>
  <c r="AN211" i="2"/>
  <c r="AN151" i="2"/>
  <c r="AN529" i="2"/>
  <c r="AN240" i="2"/>
  <c r="AN97" i="2"/>
  <c r="AN392" i="2"/>
  <c r="AN387" i="2"/>
  <c r="AN62" i="2"/>
  <c r="AN221" i="2"/>
  <c r="AN256" i="2"/>
  <c r="AN424" i="2"/>
  <c r="AN360" i="2"/>
  <c r="AN338" i="2"/>
  <c r="AN273" i="2"/>
  <c r="AM197" i="2"/>
  <c r="AM72" i="2"/>
  <c r="AM342" i="2"/>
  <c r="AM102" i="2"/>
  <c r="AN368" i="2"/>
  <c r="AM340" i="2"/>
  <c r="AN542" i="2"/>
  <c r="AM410" i="2"/>
  <c r="AM110" i="2"/>
  <c r="AM222" i="2"/>
  <c r="AM149" i="2"/>
  <c r="AM253" i="2"/>
  <c r="AM255" i="2"/>
  <c r="AM285" i="2"/>
  <c r="AM320" i="2"/>
  <c r="AM174" i="2"/>
  <c r="AM84" i="2"/>
  <c r="AM257" i="2"/>
  <c r="AM411" i="2"/>
  <c r="AM239" i="2"/>
  <c r="AM484" i="2"/>
  <c r="AM195" i="2"/>
  <c r="AM83" i="2"/>
  <c r="AM286" i="2"/>
  <c r="AM536" i="2"/>
  <c r="AM555" i="2"/>
  <c r="AM308" i="2"/>
  <c r="AM558" i="2"/>
  <c r="AM509" i="2"/>
  <c r="AM280" i="2"/>
  <c r="AM376" i="2"/>
  <c r="AM252" i="2"/>
  <c r="AM454" i="2"/>
  <c r="AM136" i="2"/>
  <c r="AM471" i="2"/>
  <c r="AM496" i="2"/>
  <c r="AM316" i="2"/>
  <c r="AM214" i="2"/>
  <c r="AM483" i="2"/>
  <c r="AM267" i="2"/>
  <c r="AM82" i="2"/>
  <c r="AM180" i="2"/>
  <c r="AM562" i="2"/>
  <c r="AM369" i="2"/>
  <c r="AM504" i="2"/>
  <c r="AM274" i="2"/>
  <c r="AM218" i="2"/>
  <c r="AM341" i="2"/>
  <c r="AM346" i="2"/>
  <c r="AM317" i="2"/>
  <c r="AM177" i="2"/>
  <c r="AM349" i="2"/>
  <c r="AM87" i="2"/>
  <c r="AM299" i="2"/>
  <c r="AM106" i="2"/>
  <c r="AM492" i="2"/>
  <c r="AM71" i="2"/>
  <c r="AM104" i="2"/>
  <c r="AM405" i="2"/>
  <c r="AM518" i="2"/>
  <c r="AM501" i="2"/>
  <c r="AM65" i="2"/>
  <c r="AM535" i="2"/>
  <c r="AM413" i="2"/>
  <c r="AM125" i="2"/>
  <c r="AM326" i="2"/>
  <c r="AM460" i="2"/>
  <c r="AM226" i="2"/>
  <c r="AM426" i="2"/>
  <c r="AM9" i="2"/>
  <c r="AM368" i="2"/>
  <c r="AN129" i="2"/>
  <c r="AN407" i="2"/>
  <c r="AN101" i="2"/>
  <c r="AN419" i="2"/>
  <c r="AN545" i="2"/>
  <c r="AN245" i="2"/>
  <c r="AN301" i="2"/>
  <c r="AN266" i="2"/>
  <c r="AN258" i="2"/>
  <c r="AN521" i="2"/>
  <c r="AN445" i="2"/>
  <c r="AN199" i="2"/>
  <c r="AN311" i="2"/>
  <c r="AN178" i="2"/>
  <c r="AN157" i="2"/>
  <c r="AN262" i="2"/>
  <c r="AN313" i="2"/>
  <c r="AN284" i="2"/>
  <c r="AN210" i="2"/>
  <c r="AN500" i="2"/>
  <c r="AN329" i="2"/>
  <c r="AN383" i="2"/>
  <c r="AN287" i="2"/>
  <c r="AN439" i="2"/>
  <c r="AN282" i="2"/>
  <c r="AN130" i="2"/>
  <c r="AN520" i="2"/>
  <c r="AN80" i="2"/>
  <c r="AN91" i="2"/>
  <c r="AN491" i="2"/>
  <c r="AN158" i="2"/>
  <c r="AN397" i="2"/>
  <c r="AN399" i="2"/>
  <c r="AN560" i="2"/>
  <c r="AN393" i="2"/>
  <c r="AN522" i="2"/>
  <c r="AN408" i="2"/>
  <c r="AN21" i="2"/>
  <c r="AN260" i="2"/>
  <c r="AN200" i="2"/>
  <c r="AN248" i="2"/>
  <c r="AN468" i="2"/>
  <c r="AN14" i="2"/>
  <c r="AN539" i="2"/>
  <c r="AN69" i="2"/>
  <c r="AN506" i="2"/>
  <c r="AN332" i="2"/>
  <c r="AM394" i="2"/>
  <c r="AM122" i="2"/>
  <c r="AM514" i="2"/>
  <c r="AM202" i="2"/>
  <c r="AM430" i="2"/>
  <c r="AN515" i="2"/>
  <c r="AN517" i="2"/>
  <c r="AM407" i="2"/>
  <c r="AN193" i="2"/>
  <c r="AM419" i="2"/>
  <c r="AM545" i="2"/>
  <c r="AM245" i="2"/>
  <c r="AM301" i="2"/>
  <c r="AM266" i="2"/>
  <c r="AM258" i="2"/>
  <c r="AM521" i="2"/>
  <c r="AM445" i="2"/>
  <c r="AM199" i="2"/>
  <c r="AM311" i="2"/>
  <c r="AM178" i="2"/>
  <c r="AM157" i="2"/>
  <c r="AM262" i="2"/>
  <c r="AM313" i="2"/>
  <c r="AM284" i="2"/>
  <c r="AM210" i="2"/>
  <c r="AM500" i="2"/>
  <c r="AM329" i="2"/>
  <c r="AM383" i="2"/>
  <c r="AM548" i="2"/>
  <c r="AM370" i="2"/>
  <c r="AM287" i="2"/>
  <c r="AM439" i="2"/>
  <c r="AM282" i="2"/>
  <c r="AM130" i="2"/>
  <c r="AM520" i="2"/>
  <c r="AM80" i="2"/>
  <c r="AM119" i="2"/>
  <c r="AM396" i="2"/>
  <c r="AM91" i="2"/>
  <c r="AM491" i="2"/>
  <c r="AM378" i="2"/>
  <c r="AM261" i="2"/>
  <c r="AM158" i="2"/>
  <c r="AM397" i="2"/>
  <c r="AM399" i="2"/>
  <c r="AM560" i="2"/>
  <c r="AM393" i="2"/>
  <c r="AM522" i="2"/>
  <c r="AM408" i="2"/>
  <c r="AM21" i="2"/>
  <c r="AM412" i="2"/>
  <c r="AM260" i="2"/>
  <c r="AM200" i="2"/>
  <c r="AM248" i="2"/>
  <c r="AM468" i="2"/>
  <c r="AM14" i="2"/>
  <c r="AM539" i="2"/>
  <c r="AM69" i="2"/>
  <c r="AM506" i="2"/>
  <c r="AM332" i="2"/>
  <c r="AM337" i="2"/>
  <c r="AM5" i="2"/>
  <c r="AM345" i="2"/>
  <c r="AM305" i="2"/>
  <c r="AM123" i="2"/>
  <c r="AM254" i="2"/>
  <c r="AM99" i="2"/>
  <c r="AM152" i="2"/>
  <c r="AM385" i="2"/>
  <c r="AM437" i="2"/>
  <c r="AM523" i="2"/>
  <c r="AM127" i="2"/>
  <c r="AM400" i="2"/>
  <c r="AM105" i="2"/>
  <c r="AM513" i="2"/>
  <c r="AN164" i="2"/>
  <c r="AN340" i="2"/>
  <c r="AM515" i="2"/>
  <c r="AM517" i="2"/>
  <c r="AN410" i="2"/>
  <c r="AM193" i="2"/>
  <c r="AN159" i="2"/>
  <c r="AN110" i="2"/>
  <c r="AN222" i="2"/>
  <c r="AN149" i="2"/>
  <c r="AN253" i="2"/>
  <c r="AN255" i="2"/>
  <c r="AN285" i="2"/>
  <c r="AN320" i="2"/>
  <c r="AN174" i="2"/>
  <c r="AN84" i="2"/>
  <c r="AN257" i="2"/>
  <c r="AN411" i="2"/>
  <c r="AN239" i="2"/>
  <c r="AN484" i="2"/>
  <c r="AN195" i="2"/>
  <c r="AN83" i="2"/>
  <c r="AN286" i="2"/>
  <c r="AN536" i="2"/>
  <c r="AN555" i="2"/>
  <c r="AN308" i="2"/>
  <c r="AN558" i="2"/>
  <c r="AN509" i="2"/>
  <c r="AN376" i="2"/>
  <c r="AN252" i="2"/>
  <c r="AN454" i="2"/>
  <c r="AN136" i="2"/>
  <c r="AN471" i="2"/>
  <c r="AN496" i="2"/>
  <c r="AN316" i="2"/>
  <c r="AN214" i="2"/>
  <c r="AN483" i="2"/>
  <c r="AN267" i="2"/>
  <c r="AN180" i="2"/>
  <c r="AN562" i="2"/>
  <c r="AN369" i="2"/>
  <c r="AN504" i="2"/>
  <c r="AN274" i="2"/>
  <c r="AN218" i="2"/>
  <c r="AN341" i="2"/>
  <c r="AN346" i="2"/>
  <c r="AN177" i="2"/>
  <c r="AN349" i="2"/>
  <c r="AN87" i="2"/>
  <c r="AN299" i="2"/>
  <c r="AN106" i="2"/>
  <c r="AN337" i="2"/>
  <c r="AN5" i="2"/>
  <c r="AN345" i="2"/>
  <c r="AN305" i="2"/>
  <c r="AN254" i="2"/>
  <c r="AN437" i="2"/>
  <c r="AN326" i="2"/>
  <c r="AM249" i="2"/>
  <c r="AM204" i="2"/>
  <c r="AM100" i="2"/>
  <c r="AM485" i="2"/>
  <c r="AM251" i="2"/>
  <c r="AM379" i="2"/>
  <c r="AM527" i="2"/>
  <c r="AM227" i="2"/>
  <c r="AM250" i="2"/>
  <c r="AM192" i="2"/>
  <c r="AM478" i="2"/>
  <c r="AM212" i="2"/>
  <c r="AM380" i="2"/>
  <c r="AM427" i="2"/>
  <c r="AM524" i="2"/>
  <c r="AM189" i="2"/>
  <c r="AM126" i="2"/>
  <c r="AM451" i="2"/>
  <c r="AM482" i="2"/>
  <c r="AM469" i="2"/>
  <c r="AM549" i="2"/>
  <c r="AM462" i="2"/>
  <c r="AM389" i="2"/>
  <c r="AM198" i="2"/>
  <c r="AM452" i="2"/>
  <c r="AM18" i="2"/>
  <c r="AM241" i="2"/>
  <c r="AM448" i="2"/>
  <c r="AM417" i="2"/>
  <c r="AM333" i="2"/>
  <c r="AM403" i="2"/>
  <c r="AM336" i="2"/>
  <c r="AM374" i="2"/>
  <c r="AM64" i="2"/>
  <c r="AM132" i="2"/>
  <c r="AM330" i="2"/>
  <c r="AM356" i="2"/>
  <c r="AM172" i="2"/>
  <c r="AM497" i="2"/>
  <c r="AM525" i="2"/>
  <c r="AM327" i="2"/>
  <c r="AM32" i="2"/>
  <c r="AM371" i="2"/>
  <c r="AM293" i="2"/>
  <c r="AM444" i="2"/>
  <c r="AM541" i="2"/>
  <c r="AM440" i="2"/>
  <c r="AM165" i="2"/>
  <c r="AM386" i="2"/>
  <c r="AM466" i="2"/>
  <c r="AM75" i="2"/>
  <c r="AM207" i="2"/>
  <c r="AM418" i="2"/>
  <c r="AM447" i="2"/>
  <c r="AM473" i="2"/>
  <c r="AM373" i="2"/>
  <c r="AM190" i="2"/>
  <c r="AM533" i="2"/>
  <c r="AN152" i="2"/>
  <c r="AN385" i="2"/>
  <c r="AM318" i="2"/>
  <c r="AM519" i="2"/>
  <c r="AM487" i="2"/>
  <c r="AM442" i="2"/>
  <c r="AM269" i="2"/>
  <c r="AM168" i="2"/>
  <c r="AM467" i="2"/>
  <c r="AM70" i="2"/>
  <c r="AM464" i="2"/>
  <c r="AN492" i="2"/>
  <c r="AN104" i="2"/>
  <c r="AN518" i="2"/>
  <c r="AN550" i="2"/>
  <c r="AN150" i="2"/>
  <c r="AN318" i="2"/>
  <c r="AN358" i="2"/>
  <c r="AN216" i="2"/>
  <c r="AN314" i="2"/>
  <c r="AN519" i="2"/>
  <c r="AN283" i="2"/>
  <c r="AN276" i="2"/>
  <c r="AN203" i="2"/>
  <c r="AN355" i="2"/>
  <c r="AN275" i="2"/>
  <c r="AN421" i="2"/>
  <c r="AN269" i="2"/>
  <c r="AN321" i="2"/>
  <c r="AN168" i="2"/>
  <c r="AN467" i="2"/>
  <c r="AN296" i="2"/>
  <c r="AN464" i="2"/>
  <c r="AN137" i="2"/>
  <c r="AN357" i="2"/>
  <c r="AN52" i="2"/>
  <c r="AN63" i="2"/>
  <c r="AN375" i="2"/>
  <c r="AN456" i="2"/>
  <c r="AN561" i="2"/>
  <c r="AN77" i="2"/>
  <c r="AN476" i="2"/>
  <c r="AN167" i="2"/>
  <c r="AN278" i="2"/>
  <c r="AN405" i="2"/>
  <c r="AN501" i="2"/>
  <c r="AN535" i="2"/>
  <c r="AN125" i="2"/>
  <c r="AN249" i="2"/>
  <c r="AN204" i="2"/>
  <c r="AN100" i="2"/>
  <c r="AN251" i="2"/>
  <c r="AN379" i="2"/>
  <c r="AN527" i="2"/>
  <c r="AN227" i="2"/>
  <c r="AN250" i="2"/>
  <c r="AN192" i="2"/>
  <c r="AN478" i="2"/>
  <c r="AN380" i="2"/>
  <c r="AN524" i="2"/>
  <c r="AN189" i="2"/>
  <c r="AN126" i="2"/>
  <c r="AN451" i="2"/>
  <c r="AN482" i="2"/>
  <c r="AN469" i="2"/>
  <c r="AN549" i="2"/>
  <c r="AN462" i="2"/>
  <c r="AN389" i="2"/>
  <c r="AN198" i="2"/>
  <c r="AN452" i="2"/>
  <c r="AN333" i="2"/>
  <c r="AN403" i="2"/>
  <c r="AN330" i="2"/>
  <c r="AN172" i="2"/>
  <c r="AN327" i="2"/>
  <c r="AN32" i="2"/>
  <c r="AN293" i="2"/>
  <c r="AN541" i="2"/>
  <c r="AN473" i="2"/>
  <c r="AN123" i="2"/>
  <c r="AN99" i="2"/>
  <c r="AM550" i="2"/>
  <c r="AM150" i="2"/>
  <c r="AM358" i="2"/>
  <c r="AM216" i="2"/>
  <c r="AM489" i="2"/>
  <c r="AM314" i="2"/>
  <c r="AM283" i="2"/>
  <c r="AM276" i="2"/>
  <c r="AM203" i="2"/>
  <c r="AM355" i="2"/>
  <c r="AM275" i="2"/>
  <c r="AM421" i="2"/>
  <c r="AM499" i="2"/>
  <c r="AM321" i="2"/>
  <c r="AM296" i="2"/>
  <c r="AM344" i="2"/>
  <c r="AM137" i="2"/>
  <c r="AM359" i="2"/>
  <c r="AM357" i="2"/>
  <c r="AM52" i="2"/>
  <c r="AM375" i="2"/>
  <c r="AM322" i="2"/>
  <c r="AM77" i="2"/>
  <c r="AM167" i="2"/>
  <c r="AM134" i="2"/>
  <c r="AM133" i="2"/>
  <c r="AM13" i="2"/>
  <c r="AM476" i="2"/>
  <c r="AM498" i="2"/>
  <c r="AM297" i="2"/>
  <c r="AM278" i="2"/>
  <c r="AM51" i="2"/>
  <c r="AM246" i="2"/>
  <c r="AM271" i="2"/>
  <c r="AM63" i="2"/>
  <c r="AM561" i="2"/>
  <c r="AM306" i="2"/>
  <c r="AM169" i="2"/>
  <c r="AM206" i="2"/>
  <c r="AM208" i="2"/>
  <c r="AM176" i="2"/>
  <c r="AM242" i="2"/>
  <c r="AM456" i="2"/>
  <c r="AM181" i="2"/>
  <c r="AM170" i="2"/>
  <c r="AM540" i="2"/>
  <c r="AM391" i="2"/>
  <c r="AM372" i="2"/>
  <c r="AM382" i="2"/>
  <c r="AM339" i="2"/>
  <c r="T5" i="8"/>
  <c r="T7" i="8"/>
  <c r="T10" i="8"/>
  <c r="T16" i="8"/>
  <c r="T17" i="8"/>
  <c r="T18" i="8"/>
  <c r="T19" i="8"/>
  <c r="T12" i="8"/>
  <c r="AM175" i="2"/>
  <c r="Q19" i="8"/>
  <c r="E9" i="8"/>
  <c r="S11" i="8"/>
  <c r="V11" i="8" s="1"/>
  <c r="S14" i="8"/>
  <c r="V14" i="8" s="1"/>
  <c r="S15" i="8"/>
  <c r="V15" i="8" s="1"/>
  <c r="S7" i="8"/>
  <c r="V7" i="8" s="1"/>
  <c r="S8" i="8"/>
  <c r="V8" i="8" s="1"/>
  <c r="F16" i="8"/>
  <c r="N17" i="8"/>
  <c r="N18" i="8"/>
  <c r="N16" i="8"/>
  <c r="D14" i="8"/>
  <c r="F18" i="8"/>
  <c r="L11" i="8"/>
  <c r="L14" i="8"/>
  <c r="M9" i="8"/>
  <c r="H11" i="8"/>
  <c r="P11" i="8"/>
  <c r="H14" i="8"/>
  <c r="P14" i="8"/>
  <c r="D15" i="8"/>
  <c r="L15" i="8"/>
  <c r="H15" i="8"/>
  <c r="P15" i="8"/>
  <c r="S16" i="8"/>
  <c r="P16" i="8"/>
  <c r="L16" i="8"/>
  <c r="H16" i="8"/>
  <c r="D16" i="8"/>
  <c r="S18" i="8"/>
  <c r="P18" i="8"/>
  <c r="L18" i="8"/>
  <c r="H18" i="8"/>
  <c r="D18" i="8"/>
  <c r="F8" i="8"/>
  <c r="J8" i="8"/>
  <c r="N8" i="8"/>
  <c r="D7" i="8"/>
  <c r="H7" i="8"/>
  <c r="L7" i="8"/>
  <c r="P7" i="8"/>
  <c r="H8" i="8"/>
  <c r="L8" i="8"/>
  <c r="P8" i="8"/>
  <c r="I9" i="8"/>
  <c r="F11" i="8"/>
  <c r="J11" i="8"/>
  <c r="N11" i="8"/>
  <c r="F14" i="8"/>
  <c r="J14" i="8"/>
  <c r="N14" i="8"/>
  <c r="F15" i="8"/>
  <c r="J15" i="8"/>
  <c r="N15" i="8"/>
  <c r="J16" i="8"/>
  <c r="F17" i="8"/>
  <c r="J18" i="8"/>
  <c r="S17" i="8"/>
  <c r="P17" i="8"/>
  <c r="L17" i="8"/>
  <c r="H17" i="8"/>
  <c r="D17" i="8"/>
  <c r="F7" i="8"/>
  <c r="J7" i="8"/>
  <c r="N7" i="8"/>
  <c r="J17" i="8"/>
  <c r="P6" i="8"/>
  <c r="N6" i="8"/>
  <c r="L6" i="8"/>
  <c r="J6" i="8"/>
  <c r="H6" i="8"/>
  <c r="F6" i="8"/>
  <c r="E5" i="8"/>
  <c r="G5" i="8"/>
  <c r="I5" i="8"/>
  <c r="K5" i="8"/>
  <c r="M5" i="8"/>
  <c r="O5" i="8"/>
  <c r="Q5" i="8"/>
  <c r="S5" i="8"/>
  <c r="G6" i="8"/>
  <c r="K6" i="8"/>
  <c r="O6" i="8"/>
  <c r="S6" i="8"/>
  <c r="D5" i="8"/>
  <c r="F5" i="8"/>
  <c r="H5" i="8"/>
  <c r="J5" i="8"/>
  <c r="L5" i="8"/>
  <c r="N5" i="8"/>
  <c r="P5" i="8"/>
  <c r="E6" i="8"/>
  <c r="I6" i="8"/>
  <c r="M6" i="8"/>
  <c r="P9" i="8"/>
  <c r="N9" i="8"/>
  <c r="L9" i="8"/>
  <c r="J9" i="8"/>
  <c r="H9" i="8"/>
  <c r="F9" i="8"/>
  <c r="G9" i="8"/>
  <c r="K9" i="8"/>
  <c r="O9" i="8"/>
  <c r="S9" i="8"/>
  <c r="E10" i="8"/>
  <c r="I10" i="8"/>
  <c r="M10" i="8"/>
  <c r="P10" i="8"/>
  <c r="N10" i="8"/>
  <c r="L10" i="8"/>
  <c r="J10" i="8"/>
  <c r="H10" i="8"/>
  <c r="F10" i="8"/>
  <c r="D10" i="8"/>
  <c r="G10" i="8"/>
  <c r="K10" i="8"/>
  <c r="O10" i="8"/>
  <c r="S10" i="8"/>
  <c r="P19" i="8"/>
  <c r="N19" i="8"/>
  <c r="L19" i="8"/>
  <c r="J19" i="8"/>
  <c r="H19" i="8"/>
  <c r="F19" i="8"/>
  <c r="D19" i="8"/>
  <c r="P13" i="8"/>
  <c r="N13" i="8"/>
  <c r="L13" i="8"/>
  <c r="J13" i="8"/>
  <c r="H13" i="8"/>
  <c r="F13" i="8"/>
  <c r="D13" i="8"/>
  <c r="G19" i="8"/>
  <c r="K19" i="8"/>
  <c r="O19" i="8"/>
  <c r="S19" i="8"/>
  <c r="G13" i="8"/>
  <c r="K13" i="8"/>
  <c r="O13" i="8"/>
  <c r="S13" i="8"/>
  <c r="E7" i="8"/>
  <c r="G7" i="8"/>
  <c r="I7" i="8"/>
  <c r="K7" i="8"/>
  <c r="M7" i="8"/>
  <c r="O7" i="8"/>
  <c r="E8" i="8"/>
  <c r="G8" i="8"/>
  <c r="I8" i="8"/>
  <c r="K8" i="8"/>
  <c r="M8" i="8"/>
  <c r="O8" i="8"/>
  <c r="E11" i="8"/>
  <c r="G11" i="8"/>
  <c r="I11" i="8"/>
  <c r="K11" i="8"/>
  <c r="M11" i="8"/>
  <c r="O11" i="8"/>
  <c r="E14" i="8"/>
  <c r="G14" i="8"/>
  <c r="I14" i="8"/>
  <c r="K14" i="8"/>
  <c r="M14" i="8"/>
  <c r="O14" i="8"/>
  <c r="E19" i="8"/>
  <c r="I19" i="8"/>
  <c r="M19" i="8"/>
  <c r="E13" i="8"/>
  <c r="I13" i="8"/>
  <c r="M13" i="8"/>
  <c r="P12" i="8"/>
  <c r="N12" i="8"/>
  <c r="L12" i="8"/>
  <c r="J12" i="8"/>
  <c r="H12" i="8"/>
  <c r="F12" i="8"/>
  <c r="D12" i="8"/>
  <c r="P20" i="8"/>
  <c r="N20" i="8"/>
  <c r="L20" i="8"/>
  <c r="J20" i="8"/>
  <c r="H20" i="8"/>
  <c r="F20" i="8"/>
  <c r="D20" i="8"/>
  <c r="G12" i="8"/>
  <c r="K12" i="8"/>
  <c r="O12" i="8"/>
  <c r="S12" i="8"/>
  <c r="G20" i="8"/>
  <c r="K20" i="8"/>
  <c r="O20" i="8"/>
  <c r="S20" i="8"/>
  <c r="E15" i="8"/>
  <c r="G15" i="8"/>
  <c r="I15" i="8"/>
  <c r="K15" i="8"/>
  <c r="M15" i="8"/>
  <c r="O15" i="8"/>
  <c r="E16" i="8"/>
  <c r="G16" i="8"/>
  <c r="I16" i="8"/>
  <c r="K16" i="8"/>
  <c r="M16" i="8"/>
  <c r="O16" i="8"/>
  <c r="E17" i="8"/>
  <c r="G17" i="8"/>
  <c r="I17" i="8"/>
  <c r="K17" i="8"/>
  <c r="M17" i="8"/>
  <c r="O17" i="8"/>
  <c r="E18" i="8"/>
  <c r="G18" i="8"/>
  <c r="I18" i="8"/>
  <c r="K18" i="8"/>
  <c r="M18" i="8"/>
  <c r="O18" i="8"/>
  <c r="E12" i="8"/>
  <c r="I12" i="8"/>
  <c r="M12" i="8"/>
  <c r="E20" i="8"/>
  <c r="I20" i="8"/>
  <c r="M20" i="8"/>
  <c r="Q10" i="8"/>
  <c r="Q16" i="8"/>
  <c r="Q12" i="8"/>
  <c r="AQ523" i="2" l="1"/>
  <c r="Q1195" i="3" s="1"/>
  <c r="AQ105" i="2"/>
  <c r="Q193" i="3" s="1"/>
  <c r="AQ61" i="2"/>
  <c r="Q150" i="3" s="1"/>
  <c r="AQ556" i="2"/>
  <c r="Q1217" i="3" s="1"/>
  <c r="AQ14" i="2"/>
  <c r="Q49" i="3" s="1"/>
  <c r="AQ368" i="2"/>
  <c r="Q807" i="3" s="1"/>
  <c r="AQ375" i="2"/>
  <c r="Q659" i="3" s="1"/>
  <c r="AQ468" i="2"/>
  <c r="Q1003" i="3" s="1"/>
  <c r="AQ216" i="2"/>
  <c r="Q394" i="3" s="1"/>
  <c r="AQ557" i="2"/>
  <c r="Q1220" i="3" s="1"/>
  <c r="AQ513" i="2"/>
  <c r="Q1179" i="3" s="1"/>
  <c r="AQ398" i="2"/>
  <c r="Q904" i="3" s="1"/>
  <c r="AQ399" i="2"/>
  <c r="Q811" i="3" s="1"/>
  <c r="AQ278" i="2"/>
  <c r="Q464" i="3" s="1"/>
  <c r="AQ202" i="2"/>
  <c r="Q313" i="3" s="1"/>
  <c r="AQ233" i="2"/>
  <c r="Q426" i="3" s="1"/>
  <c r="AQ394" i="2"/>
  <c r="Q884" i="3" s="1"/>
  <c r="AQ295" i="2"/>
  <c r="Q601" i="3" s="1"/>
  <c r="AQ137" i="2"/>
  <c r="Q288" i="3" s="1"/>
  <c r="AQ355" i="2"/>
  <c r="Q767" i="3" s="1"/>
  <c r="AQ506" i="2"/>
  <c r="Q1143" i="3" s="1"/>
  <c r="AQ9" i="2"/>
  <c r="Q18" i="3" s="1"/>
  <c r="AQ15" i="2"/>
  <c r="Q50" i="3" s="1"/>
  <c r="AQ461" i="2"/>
  <c r="Q976" i="3" s="1"/>
  <c r="AQ363" i="2"/>
  <c r="Q891" i="3" s="1"/>
  <c r="AQ517" i="2"/>
  <c r="Q1184" i="3" s="1"/>
  <c r="AQ393" i="2"/>
  <c r="Q885" i="3" s="1"/>
  <c r="AQ515" i="2"/>
  <c r="Q1158" i="3" s="1"/>
  <c r="AQ287" i="2"/>
  <c r="Q486" i="3" s="1"/>
  <c r="AQ197" i="2"/>
  <c r="Q342" i="3" s="1"/>
  <c r="AQ350" i="2"/>
  <c r="Q750" i="3" s="1"/>
  <c r="AQ495" i="2"/>
  <c r="Q1177" i="3" s="1"/>
  <c r="AQ157" i="2"/>
  <c r="Q306" i="3" s="1"/>
  <c r="AQ301" i="2"/>
  <c r="Q525" i="3" s="1"/>
  <c r="AQ69" i="2"/>
  <c r="Q120" i="3" s="1"/>
  <c r="AQ550" i="2"/>
  <c r="Q1219" i="3" s="1"/>
  <c r="AQ408" i="2"/>
  <c r="Q839" i="3" s="1"/>
  <c r="AQ31" i="2"/>
  <c r="Q62" i="3" s="1"/>
  <c r="AQ488" i="2"/>
  <c r="Q1137" i="3" s="1"/>
  <c r="AQ247" i="2"/>
  <c r="Q376" i="3" s="1"/>
  <c r="AQ443" i="2"/>
  <c r="Q997" i="3" s="1"/>
  <c r="AQ544" i="2"/>
  <c r="Q1207" i="3" s="1"/>
  <c r="AQ319" i="2"/>
  <c r="Q644" i="3" s="1"/>
  <c r="AQ491" i="2"/>
  <c r="Q1071" i="3" s="1"/>
  <c r="AQ342" i="2"/>
  <c r="Q735" i="3" s="1"/>
  <c r="AQ259" i="2"/>
  <c r="Q440" i="3" s="1"/>
  <c r="AQ480" i="2"/>
  <c r="Q1130" i="3" s="1"/>
  <c r="AQ467" i="2"/>
  <c r="Q935" i="3" s="1"/>
  <c r="AQ99" i="2"/>
  <c r="Q170" i="3" s="1"/>
  <c r="AQ509" i="2"/>
  <c r="Q1173" i="3" s="1"/>
  <c r="AQ484" i="2"/>
  <c r="Q1142" i="3" s="1"/>
  <c r="AQ424" i="2"/>
  <c r="Q873" i="3" s="1"/>
  <c r="AQ529" i="2"/>
  <c r="Q1185" i="3" s="1"/>
  <c r="AQ347" i="2"/>
  <c r="Q744" i="3" s="1"/>
  <c r="AQ224" i="2"/>
  <c r="Q364" i="3" s="1"/>
  <c r="AQ213" i="2"/>
  <c r="Q418" i="3" s="1"/>
  <c r="AQ312" i="2"/>
  <c r="Q629" i="3" s="1"/>
  <c r="AQ520" i="2"/>
  <c r="Q1165" i="3" s="1"/>
  <c r="AQ329" i="2"/>
  <c r="Q685" i="3" s="1"/>
  <c r="AQ311" i="2"/>
  <c r="Q628" i="3" s="1"/>
  <c r="AQ545" i="2"/>
  <c r="Q1211" i="3" s="1"/>
  <c r="AQ420" i="2"/>
  <c r="Q861" i="3" s="1"/>
  <c r="AQ401" i="2"/>
  <c r="Q723" i="3" s="1"/>
  <c r="AQ7" i="2"/>
  <c r="Q16" i="3" s="1"/>
  <c r="AQ379" i="2"/>
  <c r="Q756" i="3" s="1"/>
  <c r="AQ345" i="2"/>
  <c r="Q581" i="3" s="1"/>
  <c r="AQ210" i="2"/>
  <c r="Q328" i="3" s="1"/>
  <c r="AQ445" i="2"/>
  <c r="Q1000" i="3" s="1"/>
  <c r="AQ326" i="2"/>
  <c r="Q600" i="3" s="1"/>
  <c r="AQ87" i="2"/>
  <c r="Q174" i="3" s="1"/>
  <c r="AQ274" i="2"/>
  <c r="Q658" i="3" s="1"/>
  <c r="AQ536" i="2"/>
  <c r="Q1224" i="3" s="1"/>
  <c r="AQ325" i="2"/>
  <c r="Q595" i="3" s="1"/>
  <c r="AQ387" i="2"/>
  <c r="Q772" i="3" s="1"/>
  <c r="AQ434" i="2"/>
  <c r="Q981" i="3" s="1"/>
  <c r="AQ81" i="2"/>
  <c r="Q164" i="3" s="1"/>
  <c r="AQ290" i="2"/>
  <c r="Q561" i="3" s="1"/>
  <c r="AQ435" i="2"/>
  <c r="Q983" i="3" s="1"/>
  <c r="AQ107" i="2"/>
  <c r="Q242" i="3" s="1"/>
  <c r="AQ279" i="2"/>
  <c r="Q514" i="3" s="1"/>
  <c r="AQ234" i="2"/>
  <c r="Q392" i="3" s="1"/>
  <c r="AQ358" i="2"/>
  <c r="Q783" i="3" s="1"/>
  <c r="AQ192" i="2"/>
  <c r="Q339" i="3" s="1"/>
  <c r="AQ180" i="2"/>
  <c r="Q261" i="3" s="1"/>
  <c r="AQ285" i="2"/>
  <c r="Q545" i="3" s="1"/>
  <c r="AQ90" i="2"/>
  <c r="Q160" i="3" s="1"/>
  <c r="AQ328" i="2"/>
  <c r="Q670" i="3" s="1"/>
  <c r="AQ162" i="2"/>
  <c r="Q293" i="3" s="1"/>
  <c r="AQ307" i="2"/>
  <c r="Q693" i="3" s="1"/>
  <c r="AQ53" i="2"/>
  <c r="Q95" i="3" s="1"/>
  <c r="AQ507" i="2"/>
  <c r="Q1146" i="3" s="1"/>
  <c r="AQ74" i="2"/>
  <c r="Q141" i="3" s="1"/>
  <c r="AQ546" i="2"/>
  <c r="Q1213" i="3" s="1"/>
  <c r="AQ185" i="2"/>
  <c r="Q296" i="3" s="1"/>
  <c r="AQ459" i="2"/>
  <c r="Q970" i="3" s="1"/>
  <c r="AQ77" i="2"/>
  <c r="Q173" i="3" s="1"/>
  <c r="AQ122" i="2"/>
  <c r="Q229" i="3" s="1"/>
  <c r="AQ460" i="2"/>
  <c r="Q972" i="3" s="1"/>
  <c r="AQ154" i="2"/>
  <c r="Q276" i="3" s="1"/>
  <c r="AQ10" i="2"/>
  <c r="Q28" i="3" s="1"/>
  <c r="AQ357" i="2"/>
  <c r="Q687" i="3" s="1"/>
  <c r="AQ313" i="2"/>
  <c r="Q701" i="3" s="1"/>
  <c r="AQ258" i="2"/>
  <c r="Q531" i="3" s="1"/>
  <c r="AQ349" i="2"/>
  <c r="Q749" i="3" s="1"/>
  <c r="AQ429" i="2"/>
  <c r="Q911" i="3" s="1"/>
  <c r="AQ486" i="2"/>
  <c r="Q1090" i="3" s="1"/>
  <c r="AQ323" i="2"/>
  <c r="Q747" i="3" s="1"/>
  <c r="AQ238" i="2"/>
  <c r="Q436" i="3" s="1"/>
  <c r="AQ431" i="2"/>
  <c r="Q913" i="3" s="1"/>
  <c r="AQ543" i="2"/>
  <c r="Q1205" i="3" s="1"/>
  <c r="AQ66" i="2"/>
  <c r="Q149" i="3" s="1"/>
  <c r="AQ332" i="2"/>
  <c r="Q798" i="3" s="1"/>
  <c r="AQ260" i="2"/>
  <c r="Q444" i="3" s="1"/>
  <c r="AQ204" i="2"/>
  <c r="Q350" i="3" s="1"/>
  <c r="AQ158" i="2"/>
  <c r="Q281" i="3" s="1"/>
  <c r="AQ156" i="2"/>
  <c r="Q279" i="3" s="1"/>
  <c r="AQ129" i="2"/>
  <c r="Q247" i="3" s="1"/>
  <c r="AQ474" i="2"/>
  <c r="Q1066" i="3" s="1"/>
  <c r="AQ516" i="2"/>
  <c r="Q1161" i="3" s="1"/>
  <c r="AQ318" i="2"/>
  <c r="Q800" i="3" s="1"/>
  <c r="AQ541" i="2"/>
  <c r="Q1180" i="3" s="1"/>
  <c r="AQ250" i="2"/>
  <c r="Q454" i="3" s="1"/>
  <c r="AQ80" i="2"/>
  <c r="Q161" i="3" s="1"/>
  <c r="AQ426" i="2"/>
  <c r="Q897" i="3" s="1"/>
  <c r="AQ128" i="2"/>
  <c r="Q268" i="3" s="1"/>
  <c r="AQ530" i="2"/>
  <c r="Q1186" i="3" s="1"/>
  <c r="AQ335" i="2"/>
  <c r="Q721" i="3" s="1"/>
  <c r="AQ508" i="2"/>
  <c r="Q1172" i="3" s="1"/>
  <c r="AQ512" i="2"/>
  <c r="Q1175" i="3" s="1"/>
  <c r="AQ353" i="2"/>
  <c r="Q757" i="3" s="1"/>
  <c r="AQ481" i="2"/>
  <c r="Q1095" i="3" s="1"/>
  <c r="AQ160" i="2"/>
  <c r="Q286" i="3" s="1"/>
  <c r="AQ289" i="2"/>
  <c r="Q557" i="3" s="1"/>
  <c r="AQ537" i="2"/>
  <c r="Q1212" i="3" s="1"/>
  <c r="AQ276" i="2"/>
  <c r="Q458" i="3" s="1"/>
  <c r="AQ173" i="2"/>
  <c r="Q331" i="3" s="1"/>
  <c r="AQ50" i="2"/>
  <c r="Q100" i="3" s="1"/>
  <c r="AQ273" i="2"/>
  <c r="Q577" i="3" s="1"/>
  <c r="AQ221" i="2"/>
  <c r="Q362" i="3" s="1"/>
  <c r="AQ179" i="2"/>
  <c r="Q289" i="3" s="1"/>
  <c r="AQ153" i="2"/>
  <c r="Q275" i="3" s="1"/>
  <c r="AQ493" i="2"/>
  <c r="Q1150" i="3" s="1"/>
  <c r="AQ85" i="2"/>
  <c r="Q171" i="3" s="1"/>
  <c r="AQ296" i="2"/>
  <c r="Q469" i="3" s="1"/>
  <c r="AQ269" i="2"/>
  <c r="Q502" i="3" s="1"/>
  <c r="AQ403" i="2"/>
  <c r="Q982" i="3" s="1"/>
  <c r="AQ305" i="2"/>
  <c r="Q683" i="3" s="1"/>
  <c r="AQ102" i="2"/>
  <c r="Q211" i="3" s="1"/>
  <c r="AQ17" i="2"/>
  <c r="Q56" i="3" s="1"/>
  <c r="AQ11" i="2"/>
  <c r="Q31" i="3" s="1"/>
  <c r="AQ476" i="2"/>
  <c r="Q1075" i="3" s="1"/>
  <c r="AQ321" i="2"/>
  <c r="Q504" i="3" s="1"/>
  <c r="AQ282" i="2"/>
  <c r="Q536" i="3" s="1"/>
  <c r="AQ6" i="2"/>
  <c r="Q13" i="3" s="1"/>
  <c r="AQ538" i="2"/>
  <c r="Q1170" i="3" s="1"/>
  <c r="AQ456" i="2"/>
  <c r="Q1023" i="3" s="1"/>
  <c r="AQ63" i="2"/>
  <c r="Q114" i="3" s="1"/>
  <c r="AQ52" i="2"/>
  <c r="Q112" i="3" s="1"/>
  <c r="AQ464" i="2"/>
  <c r="Q1035" i="3" s="1"/>
  <c r="AQ32" i="2"/>
  <c r="Q78" i="3" s="1"/>
  <c r="AQ549" i="2"/>
  <c r="Q1228" i="3" s="1"/>
  <c r="AQ380" i="2"/>
  <c r="Q760" i="3" s="1"/>
  <c r="AQ251" i="2"/>
  <c r="Q582" i="3" s="1"/>
  <c r="AQ437" i="2"/>
  <c r="Q986" i="3" s="1"/>
  <c r="AQ5" i="2"/>
  <c r="Q8" i="3" s="1"/>
  <c r="AQ248" i="2"/>
  <c r="Q452" i="3" s="1"/>
  <c r="AQ560" i="2"/>
  <c r="Q1231" i="3" s="1"/>
  <c r="AQ91" i="2"/>
  <c r="Q200" i="3" s="1"/>
  <c r="AQ439" i="2"/>
  <c r="Q925" i="3" s="1"/>
  <c r="AQ284" i="2"/>
  <c r="Q544" i="3" s="1"/>
  <c r="AQ521" i="2"/>
  <c r="Q1166" i="3" s="1"/>
  <c r="AQ407" i="2"/>
  <c r="Q837" i="3" s="1"/>
  <c r="AQ518" i="2"/>
  <c r="Q1162" i="3" s="1"/>
  <c r="AQ504" i="2"/>
  <c r="Q1164" i="3" s="1"/>
  <c r="AQ214" i="2"/>
  <c r="Q428" i="3" s="1"/>
  <c r="AQ252" i="2"/>
  <c r="Q462" i="3" s="1"/>
  <c r="AQ286" i="2"/>
  <c r="Q632" i="3" s="1"/>
  <c r="AQ84" i="2"/>
  <c r="Q168" i="3" s="1"/>
  <c r="AQ222" i="2"/>
  <c r="Q363" i="3" s="1"/>
  <c r="AQ72" i="2"/>
  <c r="Q151" i="3" s="1"/>
  <c r="AQ502" i="2"/>
  <c r="Q1131" i="3" s="1"/>
  <c r="AQ101" i="2"/>
  <c r="Q189" i="3" s="1"/>
  <c r="AQ392" i="2"/>
  <c r="Q781" i="3" s="1"/>
  <c r="AQ367" i="2"/>
  <c r="Q714" i="3" s="1"/>
  <c r="AQ377" i="2"/>
  <c r="Q752" i="3" s="1"/>
  <c r="AQ235" i="2"/>
  <c r="Q433" i="3" s="1"/>
  <c r="AQ229" i="2"/>
  <c r="Q408" i="3" s="1"/>
  <c r="AQ511" i="2"/>
  <c r="Q1174" i="3" s="1"/>
  <c r="AQ554" i="2"/>
  <c r="Q1227" i="3" s="1"/>
  <c r="AQ304" i="2"/>
  <c r="Q617" i="3" s="1"/>
  <c r="AQ479" i="2"/>
  <c r="Q1047" i="3" s="1"/>
  <c r="AQ381" i="2"/>
  <c r="Q676" i="3" s="1"/>
  <c r="AQ366" i="2"/>
  <c r="Q804" i="3" s="1"/>
  <c r="AQ237" i="2"/>
  <c r="Q474" i="3" s="1"/>
  <c r="AQ68" i="2"/>
  <c r="Q153" i="3" s="1"/>
  <c r="AQ406" i="2"/>
  <c r="Q832" i="3" s="1"/>
  <c r="AQ364" i="2"/>
  <c r="Q708" i="3" s="1"/>
  <c r="AQ186" i="2"/>
  <c r="Q329" i="3" s="1"/>
  <c r="AQ270" i="2"/>
  <c r="Q573" i="3" s="1"/>
  <c r="AQ292" i="2"/>
  <c r="Q569" i="3" s="1"/>
  <c r="AQ553" i="2"/>
  <c r="Q1226" i="3" s="1"/>
  <c r="AQ302" i="2"/>
  <c r="Q526" i="3" s="1"/>
  <c r="AQ534" i="2"/>
  <c r="Q1194" i="3" s="1"/>
  <c r="AQ421" i="2"/>
  <c r="Q863" i="3" s="1"/>
  <c r="AQ327" i="2"/>
  <c r="Q668" i="3" s="1"/>
  <c r="AQ469" i="2"/>
  <c r="Q1100" i="3" s="1"/>
  <c r="AQ385" i="2"/>
  <c r="Q866" i="3" s="1"/>
  <c r="AQ337" i="2"/>
  <c r="Q725" i="3" s="1"/>
  <c r="AQ200" i="2"/>
  <c r="Q346" i="3" s="1"/>
  <c r="AQ405" i="2"/>
  <c r="Q923" i="3" s="1"/>
  <c r="AQ369" i="2"/>
  <c r="Q906" i="3" s="1"/>
  <c r="AQ316" i="2"/>
  <c r="Q640" i="3" s="1"/>
  <c r="AQ376" i="2"/>
  <c r="Q926" i="3" s="1"/>
  <c r="AQ83" i="2"/>
  <c r="Q167" i="3" s="1"/>
  <c r="AQ174" i="2"/>
  <c r="Q283" i="3" s="1"/>
  <c r="AQ110" i="2"/>
  <c r="Q272" i="3" s="1"/>
  <c r="AQ97" i="2"/>
  <c r="Q207" i="3" s="1"/>
  <c r="AQ352" i="2"/>
  <c r="Q753" i="3" s="1"/>
  <c r="AQ86" i="2"/>
  <c r="Q172" i="3" s="1"/>
  <c r="AQ348" i="2"/>
  <c r="Q746" i="3" s="1"/>
  <c r="AQ294" i="2"/>
  <c r="Q664" i="3" s="1"/>
  <c r="AQ96" i="2"/>
  <c r="Q205" i="3" s="1"/>
  <c r="AQ16" i="2"/>
  <c r="Q39" i="3" s="1"/>
  <c r="AQ362" i="2"/>
  <c r="Q699" i="3" s="1"/>
  <c r="AQ472" i="2"/>
  <c r="Q949" i="3" s="1"/>
  <c r="AQ449" i="2"/>
  <c r="Q1010" i="3" s="1"/>
  <c r="AQ395" i="2"/>
  <c r="Q888" i="3" s="1"/>
  <c r="AQ315" i="2"/>
  <c r="Q550" i="3" s="1"/>
  <c r="AQ343" i="2"/>
  <c r="Q737" i="3" s="1"/>
  <c r="AQ275" i="2"/>
  <c r="Q457" i="3" s="1"/>
  <c r="AQ519" i="2"/>
  <c r="Q1191" i="3" s="1"/>
  <c r="AQ473" i="2"/>
  <c r="Q1107" i="3" s="1"/>
  <c r="AQ482" i="2"/>
  <c r="Q1055" i="3" s="1"/>
  <c r="AQ478" i="2"/>
  <c r="Q1039" i="3" s="1"/>
  <c r="AQ100" i="2"/>
  <c r="Q210" i="3" s="1"/>
  <c r="AQ152" i="2"/>
  <c r="Q273" i="3" s="1"/>
  <c r="AQ397" i="2"/>
  <c r="Q902" i="3" s="1"/>
  <c r="AQ262" i="2"/>
  <c r="Q446" i="3" s="1"/>
  <c r="AQ266" i="2"/>
  <c r="Q495" i="3" s="1"/>
  <c r="AQ125" i="2"/>
  <c r="Q231" i="3" s="1"/>
  <c r="AQ104" i="2"/>
  <c r="Q255" i="3" s="1"/>
  <c r="AQ177" i="2"/>
  <c r="Q312" i="3" s="1"/>
  <c r="AQ562" i="2"/>
  <c r="Q1233" i="3" s="1"/>
  <c r="AQ496" i="2"/>
  <c r="Q1123" i="3" s="1"/>
  <c r="AQ195" i="2"/>
  <c r="Q308" i="3" s="1"/>
  <c r="AQ320" i="2"/>
  <c r="Q818" i="3" s="1"/>
  <c r="AQ410" i="2"/>
  <c r="Q930" i="3" s="1"/>
  <c r="AQ223" i="2"/>
  <c r="Q320" i="3" s="1"/>
  <c r="AQ542" i="2"/>
  <c r="Q1221" i="3" s="1"/>
  <c r="AQ360" i="2"/>
  <c r="Q694" i="3" s="1"/>
  <c r="AQ240" i="2"/>
  <c r="Q439" i="3" s="1"/>
  <c r="AQ201" i="2"/>
  <c r="Q389" i="3" s="1"/>
  <c r="AQ351" i="2"/>
  <c r="Q663" i="3" s="1"/>
  <c r="AQ432" i="2"/>
  <c r="Q914" i="3" s="1"/>
  <c r="AQ334" i="2"/>
  <c r="Q647" i="3" s="1"/>
  <c r="AQ264" i="2"/>
  <c r="Q409" i="3" s="1"/>
  <c r="AQ559" i="2"/>
  <c r="Q1230" i="3" s="1"/>
  <c r="AQ161" i="2"/>
  <c r="Q292" i="3" s="1"/>
  <c r="AQ268" i="2"/>
  <c r="Q497" i="3" s="1"/>
  <c r="AQ475" i="2"/>
  <c r="Q1029" i="3" s="1"/>
  <c r="AQ265" i="2"/>
  <c r="Q450" i="3" s="1"/>
  <c r="AQ463" i="2"/>
  <c r="Q978" i="3" s="1"/>
  <c r="AQ331" i="2"/>
  <c r="Q780" i="3" s="1"/>
  <c r="AQ183" i="2"/>
  <c r="Q318" i="3" s="1"/>
  <c r="AQ184" i="2"/>
  <c r="Q321" i="3" s="1"/>
  <c r="AQ191" i="2"/>
  <c r="Q338" i="3" s="1"/>
  <c r="AQ510" i="2"/>
  <c r="Q1199" i="3" s="1"/>
  <c r="AQ12" i="2"/>
  <c r="Q29" i="3" s="1"/>
  <c r="AQ451" i="2"/>
  <c r="Q1104" i="3" s="1"/>
  <c r="AQ425" i="2"/>
  <c r="Q1020" i="3" s="1"/>
  <c r="AQ532" i="2"/>
  <c r="Q1188" i="3" s="1"/>
  <c r="AQ76" i="2"/>
  <c r="Q144" i="3" s="1"/>
  <c r="AQ196" i="2"/>
  <c r="Q341" i="3" s="1"/>
  <c r="AQ167" i="2"/>
  <c r="Q327" i="3" s="1"/>
  <c r="AQ203" i="2"/>
  <c r="Q348" i="3" s="1"/>
  <c r="AQ150" i="2"/>
  <c r="Q270" i="3" s="1"/>
  <c r="AQ168" i="2"/>
  <c r="Q297" i="3" s="1"/>
  <c r="AQ172" i="2"/>
  <c r="Q302" i="3" s="1"/>
  <c r="AQ452" i="2"/>
  <c r="Q1015" i="3" s="1"/>
  <c r="AQ126" i="2"/>
  <c r="Q245" i="3" s="1"/>
  <c r="AQ249" i="2"/>
  <c r="Q413" i="3" s="1"/>
  <c r="AQ254" i="2"/>
  <c r="Q425" i="3" s="1"/>
  <c r="AQ21" i="2"/>
  <c r="Q65" i="3" s="1"/>
  <c r="AQ383" i="2"/>
  <c r="Q851" i="3" s="1"/>
  <c r="AQ178" i="2"/>
  <c r="Q347" i="3" s="1"/>
  <c r="AQ245" i="2"/>
  <c r="Q404" i="3" s="1"/>
  <c r="AQ492" i="2"/>
  <c r="Q1149" i="3" s="1"/>
  <c r="AQ346" i="2"/>
  <c r="Q743" i="3" s="1"/>
  <c r="AQ471" i="2"/>
  <c r="Q1013" i="3" s="1"/>
  <c r="AQ558" i="2"/>
  <c r="Q1229" i="3" s="1"/>
  <c r="AQ255" i="2"/>
  <c r="Q429" i="3" s="1"/>
  <c r="AQ340" i="2"/>
  <c r="Q819" i="3" s="1"/>
  <c r="AQ131" i="2"/>
  <c r="Q251" i="3" s="1"/>
  <c r="AQ164" i="2"/>
  <c r="Q294" i="3" s="1"/>
  <c r="AQ256" i="2"/>
  <c r="Q471" i="3" s="1"/>
  <c r="AQ151" i="2"/>
  <c r="Q271" i="3" s="1"/>
  <c r="AQ209" i="2"/>
  <c r="Q368" i="3" s="1"/>
  <c r="AQ300" i="2"/>
  <c r="Q612" i="3" s="1"/>
  <c r="AQ219" i="2"/>
  <c r="Q438" i="3" s="1"/>
  <c r="AQ217" i="2"/>
  <c r="Q395" i="3" s="1"/>
  <c r="AQ354" i="2"/>
  <c r="Q848" i="3" s="1"/>
  <c r="AQ236" i="2"/>
  <c r="Q435" i="3" s="1"/>
  <c r="AQ73" i="2"/>
  <c r="Q166" i="3" s="1"/>
  <c r="AQ135" i="2"/>
  <c r="Q257" i="3" s="1"/>
  <c r="AQ528" i="2"/>
  <c r="Q1206" i="3" s="1"/>
  <c r="AQ205" i="2"/>
  <c r="Q354" i="3" s="1"/>
  <c r="AQ182" i="2"/>
  <c r="Q357" i="3" s="1"/>
  <c r="AQ505" i="2"/>
  <c r="Q1140" i="3" s="1"/>
  <c r="AQ198" i="2"/>
  <c r="Q343" i="3" s="1"/>
  <c r="AQ189" i="2"/>
  <c r="Q335" i="3" s="1"/>
  <c r="AQ227" i="2"/>
  <c r="Q405" i="3" s="1"/>
  <c r="AQ193" i="2"/>
  <c r="Q340" i="3" s="1"/>
  <c r="AQ123" i="2"/>
  <c r="Q230" i="3" s="1"/>
  <c r="AQ539" i="2"/>
  <c r="Q1202" i="3" s="1"/>
  <c r="AQ514" i="2"/>
  <c r="Q1127" i="3" s="1"/>
  <c r="AQ535" i="2"/>
  <c r="Q1193" i="3" s="1"/>
  <c r="AQ106" i="2"/>
  <c r="Q180" i="3" s="1"/>
  <c r="AQ341" i="2"/>
  <c r="Q821" i="3" s="1"/>
  <c r="AQ267" i="2"/>
  <c r="Q451" i="3" s="1"/>
  <c r="AQ308" i="2"/>
  <c r="Q625" i="3" s="1"/>
  <c r="AQ239" i="2"/>
  <c r="Q475" i="3" s="1"/>
  <c r="AQ232" i="2"/>
  <c r="Q461" i="3" s="1"/>
  <c r="AQ277" i="2"/>
  <c r="Q459" i="3" s="1"/>
  <c r="AQ67" i="2"/>
  <c r="Q110" i="3" s="1"/>
  <c r="AQ324" i="2"/>
  <c r="Q587" i="3" s="1"/>
  <c r="AQ303" i="2"/>
  <c r="Q529" i="3" s="1"/>
  <c r="AQ446" i="2"/>
  <c r="Q937" i="3" s="1"/>
  <c r="AQ8" i="2"/>
  <c r="Q23" i="3" s="1"/>
  <c r="AQ310" i="2"/>
  <c r="Q791" i="3" s="1"/>
  <c r="AQ423" i="2"/>
  <c r="Q953" i="3" s="1"/>
  <c r="AQ194" i="2"/>
  <c r="Q307" i="3" s="1"/>
  <c r="AQ494" i="2"/>
  <c r="Q1121" i="3" s="1"/>
  <c r="AQ283" i="2"/>
  <c r="Q481" i="3" s="1"/>
  <c r="AQ293" i="2"/>
  <c r="Q570" i="3" s="1"/>
  <c r="AQ330" i="2"/>
  <c r="Q684" i="3" s="1"/>
  <c r="AQ389" i="2"/>
  <c r="Q775" i="3" s="1"/>
  <c r="AQ524" i="2"/>
  <c r="Q1197" i="3" s="1"/>
  <c r="AQ527" i="2"/>
  <c r="Q1182" i="3" s="1"/>
  <c r="AQ127" i="2"/>
  <c r="Q246" i="3" s="1"/>
  <c r="AQ522" i="2"/>
  <c r="Q1167" i="3" s="1"/>
  <c r="AQ130" i="2"/>
  <c r="Q250" i="3" s="1"/>
  <c r="AQ500" i="2"/>
  <c r="Q1157" i="3" s="1"/>
  <c r="AQ199" i="2"/>
  <c r="Q345" i="3" s="1"/>
  <c r="AQ419" i="2"/>
  <c r="Q862" i="3" s="1"/>
  <c r="AQ299" i="2"/>
  <c r="Q675" i="3" s="1"/>
  <c r="AQ218" i="2"/>
  <c r="Q355" i="3" s="1"/>
  <c r="AQ483" i="2"/>
  <c r="Q1059" i="3" s="1"/>
  <c r="AQ136" i="2"/>
  <c r="Q284" i="3" s="1"/>
  <c r="AQ555" i="2"/>
  <c r="Q1215" i="3" s="1"/>
  <c r="AQ411" i="2"/>
  <c r="Q844" i="3" s="1"/>
  <c r="AQ253" i="2"/>
  <c r="Q463" i="3" s="1"/>
  <c r="AQ384" i="2"/>
  <c r="Q864" i="3" s="1"/>
  <c r="AQ428" i="2"/>
  <c r="Q907" i="3" s="1"/>
  <c r="AQ62" i="2"/>
  <c r="Q140" i="3" s="1"/>
  <c r="AQ211" i="2"/>
  <c r="Q301" i="3" s="1"/>
  <c r="AQ263" i="2"/>
  <c r="Q489" i="3" s="1"/>
  <c r="AQ416" i="2"/>
  <c r="Q854" i="3" s="1"/>
  <c r="AQ552" i="2"/>
  <c r="Q1225" i="3" s="1"/>
  <c r="AQ228" i="2"/>
  <c r="Q407" i="3" s="1"/>
  <c r="AQ103" i="2"/>
  <c r="Q212" i="3" s="1"/>
  <c r="AQ551" i="2"/>
  <c r="Q1223" i="3" s="1"/>
  <c r="AQ453" i="2"/>
  <c r="Q1018" i="3" s="1"/>
  <c r="AQ187" i="2"/>
  <c r="Q303" i="3" s="1"/>
  <c r="AQ220" i="2"/>
  <c r="Q361" i="3" s="1"/>
  <c r="AQ188" i="2"/>
  <c r="Q381" i="3" s="1"/>
  <c r="AQ272" i="2"/>
  <c r="Q455" i="3" s="1"/>
  <c r="AQ231" i="2"/>
  <c r="Q333" i="3" s="1"/>
  <c r="AQ92" i="2"/>
  <c r="Q181" i="3" s="1"/>
  <c r="AQ415" i="2"/>
  <c r="Q852" i="3" s="1"/>
  <c r="AQ404" i="2"/>
  <c r="Q831" i="3" s="1"/>
  <c r="AQ365" i="2"/>
  <c r="Q801" i="3" s="1"/>
  <c r="AQ561" i="2"/>
  <c r="Q1232" i="3" s="1"/>
  <c r="AQ314" i="2"/>
  <c r="Q633" i="3" s="1"/>
  <c r="AQ333" i="2"/>
  <c r="Q710" i="3" s="1"/>
  <c r="AQ462" i="2"/>
  <c r="Q977" i="3" s="1"/>
  <c r="AQ501" i="2"/>
  <c r="Q1160" i="3" s="1"/>
  <c r="AQ454" i="2"/>
  <c r="Q956" i="3" s="1"/>
  <c r="AQ257" i="2"/>
  <c r="Q431" i="3" s="1"/>
  <c r="AQ149" i="2"/>
  <c r="Q244" i="3" s="1"/>
  <c r="AQ159" i="2"/>
  <c r="Q309" i="3" s="1"/>
  <c r="AQ338" i="2"/>
  <c r="Q727" i="3" s="1"/>
  <c r="AQ438" i="2"/>
  <c r="Q924" i="3" s="1"/>
  <c r="AQ230" i="2"/>
  <c r="Q374" i="3" s="1"/>
  <c r="AQ433" i="2"/>
  <c r="Q979" i="3" s="1"/>
  <c r="AQ79" i="2"/>
  <c r="Q148" i="3" s="1"/>
  <c r="AQ298" i="2"/>
  <c r="Q518" i="3" s="1"/>
  <c r="AQ244" i="2"/>
  <c r="Q443" i="3" s="1"/>
  <c r="AQ547" i="2"/>
  <c r="Q1214" i="3" s="1"/>
  <c r="AQ109" i="2"/>
  <c r="Q186" i="3" s="1"/>
  <c r="AQ450" i="2"/>
  <c r="Q943" i="3" s="1"/>
  <c r="AQ225" i="2"/>
  <c r="Q403" i="3" s="1"/>
  <c r="AQ470" i="2"/>
  <c r="Q1054" i="3" s="1"/>
  <c r="G3" i="3"/>
  <c r="D11" i="8"/>
  <c r="Z11" i="8" s="1"/>
  <c r="D6" i="8"/>
  <c r="Z6" i="8" s="1"/>
  <c r="AD1132" i="3"/>
  <c r="AD1125" i="3"/>
  <c r="AD344" i="3"/>
  <c r="AD181" i="3"/>
  <c r="D8" i="8"/>
  <c r="Y8" i="8" s="1"/>
  <c r="AD850" i="3"/>
  <c r="Q9" i="8"/>
  <c r="AD617" i="3"/>
  <c r="AD1174" i="3"/>
  <c r="AD458" i="3"/>
  <c r="AD175" i="3"/>
  <c r="AD145" i="3"/>
  <c r="AD409" i="3"/>
  <c r="AD1143" i="3"/>
  <c r="AD683" i="3"/>
  <c r="AD977" i="3"/>
  <c r="AD873" i="3"/>
  <c r="AD664" i="3"/>
  <c r="AD191" i="3"/>
  <c r="AD972" i="3"/>
  <c r="AD738" i="3"/>
  <c r="Q15" i="8"/>
  <c r="D9" i="8"/>
  <c r="AA9" i="8" s="1"/>
  <c r="Y12" i="8"/>
  <c r="AA12" i="8"/>
  <c r="X12" i="8"/>
  <c r="Z12" i="8"/>
  <c r="Y19" i="8"/>
  <c r="AA19" i="8"/>
  <c r="X19" i="8"/>
  <c r="Z19" i="8"/>
  <c r="Y10" i="8"/>
  <c r="AA10" i="8"/>
  <c r="X10" i="8"/>
  <c r="Z10" i="8"/>
  <c r="Z5" i="8"/>
  <c r="X5" i="8"/>
  <c r="AA5" i="8"/>
  <c r="Y5" i="8"/>
  <c r="Y17" i="8"/>
  <c r="AA17" i="8"/>
  <c r="X17" i="8"/>
  <c r="Z17" i="8"/>
  <c r="Y16" i="8"/>
  <c r="AA16" i="8"/>
  <c r="X16" i="8"/>
  <c r="Z16" i="8"/>
  <c r="Y15" i="8"/>
  <c r="AA15" i="8"/>
  <c r="X15" i="8"/>
  <c r="Z15" i="8"/>
  <c r="Y20" i="8"/>
  <c r="AA20" i="8"/>
  <c r="X20" i="8"/>
  <c r="Z20" i="8"/>
  <c r="Y13" i="8"/>
  <c r="AA13" i="8"/>
  <c r="X13" i="8"/>
  <c r="Z13" i="8"/>
  <c r="Y7" i="8"/>
  <c r="AA7" i="8"/>
  <c r="X7" i="8"/>
  <c r="Z7" i="8"/>
  <c r="Y18" i="8"/>
  <c r="AA18" i="8"/>
  <c r="X18" i="8"/>
  <c r="Z18" i="8"/>
  <c r="Y14" i="8"/>
  <c r="AA14" i="8"/>
  <c r="X14" i="8"/>
  <c r="Z14" i="8"/>
  <c r="AD909" i="3"/>
  <c r="AD1102" i="3"/>
  <c r="AD90" i="3"/>
  <c r="AD288" i="3"/>
  <c r="AD764" i="3"/>
  <c r="AD1188" i="3"/>
  <c r="AD971" i="3"/>
  <c r="AD965" i="3"/>
  <c r="AD1053" i="3"/>
  <c r="AD363" i="3"/>
  <c r="AD419" i="3"/>
  <c r="AD735" i="3"/>
  <c r="AD924" i="3"/>
  <c r="AD734" i="3"/>
  <c r="AD436" i="3"/>
  <c r="AD474" i="3"/>
  <c r="AD558" i="3"/>
  <c r="AD81" i="3"/>
  <c r="AD1156" i="3"/>
  <c r="AD739" i="3"/>
  <c r="AD35" i="3"/>
  <c r="AD955" i="3"/>
  <c r="AD232" i="3"/>
  <c r="AD1068" i="3"/>
  <c r="AD1201" i="3"/>
  <c r="AD532" i="3"/>
  <c r="AD560" i="3"/>
  <c r="AD877" i="3"/>
  <c r="AD194" i="3"/>
  <c r="AD678" i="3"/>
  <c r="AD1083" i="3"/>
  <c r="AD147" i="3"/>
  <c r="AD1031" i="3"/>
  <c r="AD622" i="3"/>
  <c r="AD1226" i="3"/>
  <c r="AD1165" i="3"/>
  <c r="AD915" i="3"/>
  <c r="AD1059" i="3"/>
  <c r="AD152" i="3"/>
  <c r="AD9" i="3"/>
  <c r="AD238" i="3"/>
  <c r="AD945" i="3"/>
  <c r="AD598" i="3"/>
  <c r="AD925" i="3"/>
  <c r="AD22" i="3"/>
  <c r="AD471" i="3"/>
  <c r="AD923" i="3"/>
  <c r="AD100" i="3"/>
  <c r="AD695" i="3"/>
  <c r="AD283" i="3"/>
  <c r="AD544" i="3"/>
  <c r="AD1120" i="3"/>
  <c r="AD1047" i="3"/>
  <c r="AD1103" i="3"/>
  <c r="AD837" i="3"/>
  <c r="AD345" i="3"/>
  <c r="AD995" i="3"/>
  <c r="AD998" i="3"/>
  <c r="AD932" i="3"/>
  <c r="AD660" i="3"/>
  <c r="AD158" i="3"/>
  <c r="AD1228" i="3"/>
  <c r="AD278" i="3"/>
  <c r="AD631" i="3"/>
  <c r="AD1004" i="3"/>
  <c r="AD416" i="3"/>
  <c r="AD894" i="3"/>
  <c r="AD244" i="3"/>
  <c r="AD952" i="3"/>
  <c r="AD73" i="3"/>
  <c r="AD67" i="3"/>
  <c r="AD460" i="3"/>
  <c r="AD149" i="3"/>
  <c r="AD1007" i="3"/>
  <c r="AD751" i="3"/>
  <c r="AD912" i="3"/>
  <c r="AD772" i="3"/>
  <c r="AD1178" i="3"/>
  <c r="AD515" i="3"/>
  <c r="AD125" i="3"/>
  <c r="AD1171" i="3"/>
  <c r="AD949" i="3"/>
  <c r="AD576" i="3"/>
  <c r="AD265" i="3"/>
  <c r="AD659" i="3"/>
  <c r="AD328" i="3"/>
  <c r="AD557" i="3"/>
  <c r="AD197" i="3"/>
  <c r="AD337" i="3"/>
  <c r="AD1093" i="3"/>
  <c r="AD885" i="3"/>
  <c r="AD792" i="3"/>
  <c r="AD1106" i="3"/>
  <c r="AD225" i="3"/>
  <c r="AD195" i="3"/>
  <c r="AD1128" i="3"/>
  <c r="AD411" i="3"/>
  <c r="AD1146" i="3"/>
  <c r="AD947" i="3"/>
  <c r="AD138" i="3"/>
  <c r="AD321" i="3"/>
  <c r="AD97" i="3"/>
  <c r="AD171" i="3"/>
  <c r="AD635" i="3"/>
  <c r="AD82" i="3"/>
  <c r="AD198" i="3"/>
  <c r="AD650" i="3"/>
  <c r="AD38" i="3"/>
  <c r="AD169" i="3"/>
  <c r="AD102" i="3"/>
  <c r="AD655" i="3"/>
  <c r="AD128" i="3"/>
  <c r="AD522" i="3"/>
  <c r="AD1087" i="3"/>
  <c r="AD242" i="3"/>
  <c r="AD273" i="3"/>
  <c r="AD1064" i="3"/>
  <c r="AD944" i="3"/>
  <c r="AD53" i="3"/>
  <c r="AD778" i="3"/>
  <c r="AD1214" i="3"/>
  <c r="AD16" i="3"/>
  <c r="AD463" i="3"/>
  <c r="AD1099" i="3"/>
  <c r="AD1041" i="3"/>
  <c r="AD1089" i="3"/>
  <c r="AD486" i="3"/>
  <c r="AD919" i="3"/>
  <c r="AD717" i="3"/>
  <c r="AD993" i="3"/>
  <c r="AD1224" i="3"/>
  <c r="AD1194" i="3"/>
  <c r="AD402" i="3"/>
  <c r="AD874" i="3"/>
  <c r="AD726" i="3"/>
  <c r="AD786" i="3"/>
  <c r="AD1067" i="3"/>
  <c r="AD1026" i="3"/>
  <c r="AD829" i="3"/>
  <c r="AD25" i="3"/>
  <c r="AD121" i="3"/>
  <c r="AD231" i="3"/>
  <c r="AD297" i="3"/>
  <c r="AD668" i="3"/>
  <c r="AD740" i="3"/>
  <c r="AD1152" i="3"/>
  <c r="AD897" i="3"/>
  <c r="AD92" i="3"/>
  <c r="AD776" i="3"/>
  <c r="AD864" i="3"/>
  <c r="AD1150" i="3"/>
  <c r="AD1061" i="3"/>
  <c r="AD281" i="3"/>
  <c r="AD42" i="3"/>
  <c r="AD351" i="3"/>
  <c r="AD852" i="3"/>
  <c r="AD630" i="3"/>
  <c r="AD976" i="3"/>
  <c r="AD887" i="3"/>
  <c r="AD1172" i="3"/>
  <c r="AD807" i="3"/>
  <c r="AD920" i="3"/>
  <c r="AD365" i="3"/>
  <c r="AD1144" i="3"/>
  <c r="AD118" i="3"/>
  <c r="AD812" i="3"/>
  <c r="AD26" i="3"/>
  <c r="AD1217" i="3"/>
  <c r="Q17" i="8"/>
  <c r="Q11" i="8"/>
  <c r="Q7" i="8"/>
  <c r="Q20" i="8"/>
  <c r="Q18" i="8"/>
  <c r="Q13" i="8"/>
  <c r="Q14" i="8"/>
  <c r="Q8" i="8"/>
  <c r="Q6" i="8"/>
  <c r="V17" i="8"/>
  <c r="V18" i="8"/>
  <c r="V16" i="8"/>
  <c r="V20" i="8"/>
  <c r="V12" i="8"/>
  <c r="V13" i="8"/>
  <c r="V19" i="8"/>
  <c r="V10" i="8"/>
  <c r="V5" i="8"/>
  <c r="V9" i="8"/>
  <c r="V6" i="8"/>
  <c r="AD763" i="3" l="1"/>
  <c r="AD843" i="3"/>
  <c r="AD533" i="3"/>
  <c r="Y11" i="8"/>
  <c r="X11" i="8"/>
  <c r="AA11" i="8"/>
  <c r="Y6" i="8"/>
  <c r="AA6" i="8"/>
  <c r="X6" i="8"/>
  <c r="AW169" i="2"/>
  <c r="AN169" i="2"/>
  <c r="AQ169" i="2" s="1"/>
  <c r="Q372" i="3" s="1"/>
  <c r="AW448" i="2"/>
  <c r="AN448" i="2"/>
  <c r="AQ448" i="2" s="1"/>
  <c r="Q1006" i="3" s="1"/>
  <c r="AW215" i="2"/>
  <c r="AN215" i="2"/>
  <c r="AQ215" i="2" s="1"/>
  <c r="Q349" i="3" s="1"/>
  <c r="AW400" i="2"/>
  <c r="AN400" i="2"/>
  <c r="AQ400" i="2" s="1"/>
  <c r="Q812" i="3" s="1"/>
  <c r="AW436" i="2"/>
  <c r="AN436" i="2"/>
  <c r="AQ436" i="2" s="1"/>
  <c r="Q984" i="3" s="1"/>
  <c r="AW498" i="2"/>
  <c r="AN498" i="2"/>
  <c r="AQ498" i="2" s="1"/>
  <c r="Q1153" i="3" s="1"/>
  <c r="AW430" i="2"/>
  <c r="AN430" i="2"/>
  <c r="AQ430" i="2" s="1"/>
  <c r="Q912" i="3" s="1"/>
  <c r="AW155" i="2"/>
  <c r="AN155" i="2"/>
  <c r="AQ155" i="2" s="1"/>
  <c r="Q278" i="3" s="1"/>
  <c r="AW51" i="2"/>
  <c r="AN51" i="2"/>
  <c r="AQ51" i="2" s="1"/>
  <c r="Q101" i="3" s="1"/>
  <c r="AW409" i="2"/>
  <c r="AN409" i="2"/>
  <c r="AQ409" i="2" s="1"/>
  <c r="Q998" i="3" s="1"/>
  <c r="AW71" i="2"/>
  <c r="AN71" i="2"/>
  <c r="AQ71" i="2" s="1"/>
  <c r="Q122" i="3" s="1"/>
  <c r="AW382" i="2"/>
  <c r="AN382" i="2"/>
  <c r="AQ382" i="2" s="1"/>
  <c r="Q850" i="3" s="1"/>
  <c r="AW370" i="2"/>
  <c r="AN370" i="2"/>
  <c r="AQ370" i="2" s="1"/>
  <c r="Q809" i="3" s="1"/>
  <c r="AW185" i="2"/>
  <c r="AW422" i="2"/>
  <c r="AN422" i="2"/>
  <c r="AQ422" i="2" s="1"/>
  <c r="Q1016" i="3" s="1"/>
  <c r="AW378" i="2"/>
  <c r="AN378" i="2"/>
  <c r="AQ378" i="2" s="1"/>
  <c r="Q838" i="3" s="1"/>
  <c r="AW533" i="2"/>
  <c r="AN533" i="2"/>
  <c r="AQ533" i="2" s="1"/>
  <c r="Q1192" i="3" s="1"/>
  <c r="AW124" i="2"/>
  <c r="AN124" i="2"/>
  <c r="AQ124" i="2" s="1"/>
  <c r="Q199" i="3" s="1"/>
  <c r="AW531" i="2"/>
  <c r="AN531" i="2"/>
  <c r="AQ531" i="2" s="1"/>
  <c r="Q1187" i="3" s="1"/>
  <c r="AW477" i="2"/>
  <c r="AN477" i="2"/>
  <c r="AQ477" i="2" s="1"/>
  <c r="Q1080" i="3" s="1"/>
  <c r="AW396" i="2"/>
  <c r="AN396" i="2"/>
  <c r="AQ396" i="2" s="1"/>
  <c r="Q964" i="3" s="1"/>
  <c r="AW246" i="2"/>
  <c r="AN246" i="2"/>
  <c r="AQ246" i="2" s="1"/>
  <c r="Q492" i="3" s="1"/>
  <c r="AW447" i="2"/>
  <c r="AN447" i="2"/>
  <c r="AQ447" i="2" s="1"/>
  <c r="Q938" i="3" s="1"/>
  <c r="AW175" i="2"/>
  <c r="AN175" i="2"/>
  <c r="AQ175" i="2" s="1"/>
  <c r="Q310" i="3" s="1"/>
  <c r="AW373" i="2"/>
  <c r="AN373" i="2"/>
  <c r="AQ373" i="2" s="1"/>
  <c r="Q739" i="3" s="1"/>
  <c r="AW64" i="2"/>
  <c r="AN64" i="2"/>
  <c r="AQ64" i="2" s="1"/>
  <c r="Q158" i="3" s="1"/>
  <c r="AW297" i="2"/>
  <c r="AN297" i="2"/>
  <c r="AQ297" i="2" s="1"/>
  <c r="Q517" i="3" s="1"/>
  <c r="AW291" i="2"/>
  <c r="AN291" i="2"/>
  <c r="AQ291" i="2" s="1"/>
  <c r="Q449" i="3" s="1"/>
  <c r="AW170" i="2"/>
  <c r="AN170" i="2"/>
  <c r="AQ170" i="2" s="1"/>
  <c r="Q299" i="3" s="1"/>
  <c r="AW391" i="2"/>
  <c r="AN391" i="2"/>
  <c r="AQ391" i="2" s="1"/>
  <c r="Q779" i="3" s="1"/>
  <c r="AW440" i="2"/>
  <c r="AN440" i="2"/>
  <c r="AQ440" i="2" s="1"/>
  <c r="Q993" i="3" s="1"/>
  <c r="AW339" i="2"/>
  <c r="AN339" i="2"/>
  <c r="AQ339" i="2" s="1"/>
  <c r="Q728" i="3" s="1"/>
  <c r="AW271" i="2"/>
  <c r="AN271" i="2"/>
  <c r="AQ271" i="2" s="1"/>
  <c r="Q576" i="3" s="1"/>
  <c r="AW13" i="2"/>
  <c r="AN13" i="2"/>
  <c r="AQ13" i="2" s="1"/>
  <c r="Q44" i="3" s="1"/>
  <c r="AW455" i="2"/>
  <c r="AN455" i="2"/>
  <c r="AQ455" i="2" s="1"/>
  <c r="Q1021" i="3" s="1"/>
  <c r="AW322" i="2"/>
  <c r="AN322" i="2"/>
  <c r="AQ322" i="2" s="1"/>
  <c r="Q741" i="3" s="1"/>
  <c r="AW359" i="2"/>
  <c r="AN359" i="2"/>
  <c r="AQ359" i="2" s="1"/>
  <c r="Q691" i="3" s="1"/>
  <c r="AW548" i="2"/>
  <c r="AN548" i="2"/>
  <c r="AQ548" i="2" s="1"/>
  <c r="Q1216" i="3" s="1"/>
  <c r="AW371" i="2"/>
  <c r="AN371" i="2"/>
  <c r="AQ371" i="2" s="1"/>
  <c r="Q732" i="3" s="1"/>
  <c r="AW526" i="2"/>
  <c r="AN526" i="2"/>
  <c r="AQ526" i="2" s="1"/>
  <c r="Q1201" i="3" s="1"/>
  <c r="AW166" i="2"/>
  <c r="AN166" i="2"/>
  <c r="AQ166" i="2" s="1"/>
  <c r="Q323" i="3" s="1"/>
  <c r="AW418" i="2"/>
  <c r="AN418" i="2"/>
  <c r="AQ418" i="2" s="1"/>
  <c r="Q857" i="3" s="1"/>
  <c r="AW503" i="2"/>
  <c r="AN503" i="2"/>
  <c r="AQ503" i="2" s="1"/>
  <c r="Q1190" i="3" s="1"/>
  <c r="AW317" i="2"/>
  <c r="AN317" i="2"/>
  <c r="AQ317" i="2" s="1"/>
  <c r="Q642" i="3" s="1"/>
  <c r="AW457" i="2"/>
  <c r="AN457" i="2"/>
  <c r="AQ457" i="2" s="1"/>
  <c r="Q963" i="3" s="1"/>
  <c r="AW181" i="2"/>
  <c r="AN181" i="2"/>
  <c r="AQ181" i="2" s="1"/>
  <c r="Q314" i="3" s="1"/>
  <c r="AW390" i="2"/>
  <c r="AN390" i="2"/>
  <c r="AQ390" i="2" s="1"/>
  <c r="Q869" i="3" s="1"/>
  <c r="AW485" i="2"/>
  <c r="AN485" i="2"/>
  <c r="AQ485" i="2" s="1"/>
  <c r="Q1126" i="3" s="1"/>
  <c r="AW356" i="2"/>
  <c r="AN356" i="2"/>
  <c r="AQ356" i="2" s="1"/>
  <c r="Q778" i="3" s="1"/>
  <c r="AW465" i="2"/>
  <c r="AN465" i="2"/>
  <c r="AQ465" i="2" s="1"/>
  <c r="Q989" i="3" s="1"/>
  <c r="AW134" i="2"/>
  <c r="AN134" i="2"/>
  <c r="AQ134" i="2" s="1"/>
  <c r="Q221" i="3" s="1"/>
  <c r="AW242" i="2"/>
  <c r="AN242" i="2"/>
  <c r="AQ242" i="2" s="1"/>
  <c r="Q400" i="3" s="1"/>
  <c r="AW344" i="2"/>
  <c r="AN344" i="2"/>
  <c r="AQ344" i="2" s="1"/>
  <c r="Q825" i="3" s="1"/>
  <c r="AW306" i="2"/>
  <c r="AN306" i="2"/>
  <c r="AQ306" i="2" s="1"/>
  <c r="Q686" i="3" s="1"/>
  <c r="AW82" i="2"/>
  <c r="AN82" i="2"/>
  <c r="AQ82" i="2" s="1"/>
  <c r="Q178" i="3" s="1"/>
  <c r="AW165" i="2"/>
  <c r="AN165" i="2"/>
  <c r="AQ165" i="2" s="1"/>
  <c r="Q322" i="3" s="1"/>
  <c r="AW497" i="2"/>
  <c r="AN497" i="2"/>
  <c r="AQ497" i="2" s="1"/>
  <c r="Q1152" i="3" s="1"/>
  <c r="AW441" i="2"/>
  <c r="AN441" i="2"/>
  <c r="AQ441" i="2" s="1"/>
  <c r="Q994" i="3" s="1"/>
  <c r="AW442" i="2"/>
  <c r="AN442" i="2"/>
  <c r="AQ442" i="2" s="1"/>
  <c r="Q996" i="3" s="1"/>
  <c r="AW280" i="2"/>
  <c r="AN280" i="2"/>
  <c r="AQ280" i="2" s="1"/>
  <c r="Q603" i="3" s="1"/>
  <c r="AW386" i="2"/>
  <c r="AN386" i="2"/>
  <c r="AQ386" i="2" s="1"/>
  <c r="Q867" i="3" s="1"/>
  <c r="AW525" i="2"/>
  <c r="AN525" i="2"/>
  <c r="AQ525" i="2" s="1"/>
  <c r="Q1148" i="3" s="1"/>
  <c r="AW288" i="2"/>
  <c r="AN288" i="2"/>
  <c r="AQ288" i="2" s="1"/>
  <c r="Q556" i="3" s="1"/>
  <c r="AW132" i="2"/>
  <c r="AN132" i="2"/>
  <c r="AQ132" i="2" s="1"/>
  <c r="Q252" i="3" s="1"/>
  <c r="AW444" i="2"/>
  <c r="AN444" i="2"/>
  <c r="AQ444" i="2" s="1"/>
  <c r="Q933" i="3" s="1"/>
  <c r="AW212" i="2"/>
  <c r="AN212" i="2"/>
  <c r="AQ212" i="2" s="1"/>
  <c r="Q382" i="3" s="1"/>
  <c r="AW417" i="2"/>
  <c r="AN417" i="2"/>
  <c r="AQ417" i="2" s="1"/>
  <c r="Q856" i="3" s="1"/>
  <c r="AW414" i="2"/>
  <c r="AN414" i="2"/>
  <c r="AQ414" i="2" s="1"/>
  <c r="Q939" i="3" s="1"/>
  <c r="AW75" i="2"/>
  <c r="AN75" i="2"/>
  <c r="AQ75" i="2" s="1"/>
  <c r="Q188" i="3" s="1"/>
  <c r="AW243" i="2"/>
  <c r="AN243" i="2"/>
  <c r="AQ243" i="2" s="1"/>
  <c r="Q441" i="3" s="1"/>
  <c r="AW499" i="2"/>
  <c r="AN499" i="2"/>
  <c r="AQ499" i="2" s="1"/>
  <c r="Q1154" i="3" s="1"/>
  <c r="AW241" i="2"/>
  <c r="AN241" i="2"/>
  <c r="AQ241" i="2" s="1"/>
  <c r="Q476" i="3" s="1"/>
  <c r="AW413" i="2"/>
  <c r="AN413" i="2"/>
  <c r="AQ413" i="2" s="1"/>
  <c r="Q758" i="3" s="1"/>
  <c r="AW372" i="2"/>
  <c r="AN372" i="2"/>
  <c r="AQ372" i="2" s="1"/>
  <c r="Q736" i="3" s="1"/>
  <c r="AW466" i="2"/>
  <c r="AN466" i="2"/>
  <c r="AQ466" i="2" s="1"/>
  <c r="Q1040" i="3" s="1"/>
  <c r="AW309" i="2"/>
  <c r="AN309" i="2"/>
  <c r="AQ309" i="2" s="1"/>
  <c r="Q696" i="3" s="1"/>
  <c r="AW490" i="2"/>
  <c r="AN490" i="2"/>
  <c r="AQ490" i="2" s="1"/>
  <c r="Q1114" i="3" s="1"/>
  <c r="AW412" i="2"/>
  <c r="AN412" i="2"/>
  <c r="AQ412" i="2" s="1"/>
  <c r="Q846" i="3" s="1"/>
  <c r="AW261" i="2"/>
  <c r="AN261" i="2"/>
  <c r="AQ261" i="2" s="1"/>
  <c r="Q634" i="3" s="1"/>
  <c r="AW489" i="2"/>
  <c r="AN489" i="2"/>
  <c r="AQ489" i="2" s="1"/>
  <c r="Q1139" i="3" s="1"/>
  <c r="AW361" i="2"/>
  <c r="AN361" i="2"/>
  <c r="AQ361" i="2" s="1"/>
  <c r="Q698" i="3" s="1"/>
  <c r="AW65" i="2"/>
  <c r="AN65" i="2"/>
  <c r="AQ65" i="2" s="1"/>
  <c r="Q132" i="3" s="1"/>
  <c r="AW281" i="2"/>
  <c r="AN281" i="2"/>
  <c r="AQ281" i="2" s="1"/>
  <c r="Q688" i="3" s="1"/>
  <c r="AW207" i="2"/>
  <c r="AN207" i="2"/>
  <c r="AQ207" i="2" s="1"/>
  <c r="Q365" i="3" s="1"/>
  <c r="AW427" i="2"/>
  <c r="AN427" i="2"/>
  <c r="AQ427" i="2" s="1"/>
  <c r="Q899" i="3" s="1"/>
  <c r="AW176" i="2"/>
  <c r="AN176" i="2"/>
  <c r="AQ176" i="2" s="1"/>
  <c r="Q311" i="3" s="1"/>
  <c r="AW402" i="2"/>
  <c r="AN402" i="2"/>
  <c r="AQ402" i="2" s="1"/>
  <c r="Q916" i="3" s="1"/>
  <c r="AW119" i="2"/>
  <c r="AN119" i="2"/>
  <c r="AQ119" i="2" s="1"/>
  <c r="Q191" i="3" s="1"/>
  <c r="AW226" i="2"/>
  <c r="AN226" i="2"/>
  <c r="AQ226" i="2" s="1"/>
  <c r="Q325" i="3" s="1"/>
  <c r="AW18" i="2"/>
  <c r="AN18" i="2"/>
  <c r="AQ18" i="2" s="1"/>
  <c r="Q53" i="3" s="1"/>
  <c r="AW206" i="2"/>
  <c r="AN206" i="2"/>
  <c r="AQ206" i="2" s="1"/>
  <c r="Q324" i="3" s="1"/>
  <c r="AW458" i="2"/>
  <c r="AN458" i="2"/>
  <c r="AQ458" i="2" s="1"/>
  <c r="Q1032" i="3" s="1"/>
  <c r="AW336" i="2"/>
  <c r="AN336" i="2"/>
  <c r="AQ336" i="2" s="1"/>
  <c r="Q724" i="3" s="1"/>
  <c r="AW388" i="2"/>
  <c r="AN388" i="2"/>
  <c r="AQ388" i="2" s="1"/>
  <c r="Q773" i="3" s="1"/>
  <c r="AW133" i="2"/>
  <c r="AN133" i="2"/>
  <c r="AQ133" i="2" s="1"/>
  <c r="Q253" i="3" s="1"/>
  <c r="AW163" i="2"/>
  <c r="AN163" i="2"/>
  <c r="AQ163" i="2" s="1"/>
  <c r="Q317" i="3" s="1"/>
  <c r="AW487" i="2"/>
  <c r="AN487" i="2"/>
  <c r="AQ487" i="2" s="1"/>
  <c r="Q1136" i="3" s="1"/>
  <c r="AW70" i="2"/>
  <c r="AN70" i="2"/>
  <c r="AQ70" i="2" s="1"/>
  <c r="Q139" i="3" s="1"/>
  <c r="AW190" i="2"/>
  <c r="AN190" i="2"/>
  <c r="AQ190" i="2" s="1"/>
  <c r="Q336" i="3" s="1"/>
  <c r="AW374" i="2"/>
  <c r="AN374" i="2"/>
  <c r="AQ374" i="2" s="1"/>
  <c r="Q828" i="3" s="1"/>
  <c r="AW208" i="2"/>
  <c r="AN208" i="2"/>
  <c r="AQ208" i="2" s="1"/>
  <c r="Q367" i="3" s="1"/>
  <c r="AW540" i="2"/>
  <c r="AN540" i="2"/>
  <c r="AQ540" i="2" s="1"/>
  <c r="Q1178" i="3" s="1"/>
  <c r="AD1012" i="3"/>
  <c r="AD427" i="3"/>
  <c r="AD1065" i="3"/>
  <c r="AD670" i="3"/>
  <c r="BF111" i="1"/>
  <c r="AV111" i="1"/>
  <c r="AZ111" i="1" s="1"/>
  <c r="Q228" i="3" s="1"/>
  <c r="BF25" i="1"/>
  <c r="AV25" i="1"/>
  <c r="AZ25" i="1" s="1"/>
  <c r="Q33" i="3" s="1"/>
  <c r="BF9" i="1"/>
  <c r="AV9" i="1"/>
  <c r="AZ9" i="1" s="1"/>
  <c r="Q10" i="3" s="1"/>
  <c r="AD418" i="3"/>
  <c r="AD5" i="3"/>
  <c r="AD882" i="3"/>
  <c r="AD1134" i="3"/>
  <c r="AD771" i="3"/>
  <c r="AD455" i="3"/>
  <c r="AD1195" i="3"/>
  <c r="AD159" i="3"/>
  <c r="AD136" i="3"/>
  <c r="AD981" i="3"/>
  <c r="AD813" i="3"/>
  <c r="AD592" i="3"/>
  <c r="AD439" i="3"/>
  <c r="AD725" i="3"/>
  <c r="AD538" i="3"/>
  <c r="AD1123" i="3"/>
  <c r="AD889" i="3"/>
  <c r="AD614" i="3"/>
  <c r="AD442" i="3"/>
  <c r="X8" i="8"/>
  <c r="AD374" i="3"/>
  <c r="AD15" i="3"/>
  <c r="AD335" i="3"/>
  <c r="AD218" i="3"/>
  <c r="Z8" i="8"/>
  <c r="AA8" i="8"/>
  <c r="AD473" i="3"/>
  <c r="AD489" i="3"/>
  <c r="AD861" i="3"/>
  <c r="AD766" i="3"/>
  <c r="AD561" i="3"/>
  <c r="AD7" i="3"/>
  <c r="R15" i="8"/>
  <c r="R10" i="8"/>
  <c r="Y9" i="8"/>
  <c r="AD33" i="3"/>
  <c r="X9" i="8"/>
  <c r="Z9" i="8"/>
  <c r="R9" i="8"/>
  <c r="R12" i="8"/>
  <c r="R19" i="8"/>
  <c r="R16" i="8"/>
  <c r="R13" i="8"/>
  <c r="R20" i="8"/>
  <c r="R17" i="8"/>
  <c r="R18" i="8"/>
  <c r="R7" i="8"/>
  <c r="R14" i="8"/>
  <c r="R11" i="8"/>
  <c r="R8" i="8"/>
  <c r="R6" i="8"/>
  <c r="AR27" i="2" l="1"/>
  <c r="R71" i="3" s="1"/>
  <c r="AR36" i="2"/>
  <c r="R84" i="3" s="1"/>
  <c r="AR78" i="2"/>
  <c r="R192" i="3" s="1"/>
  <c r="AR142" i="2"/>
  <c r="R236" i="3" s="1"/>
  <c r="AR46" i="2"/>
  <c r="R82" i="3" s="1"/>
  <c r="AR60" i="2"/>
  <c r="R109" i="3" s="1"/>
  <c r="AR47" i="2"/>
  <c r="R97" i="3" s="1"/>
  <c r="AR112" i="2"/>
  <c r="R214" i="3" s="1"/>
  <c r="AR121" i="2"/>
  <c r="R225" i="3" s="1"/>
  <c r="AR141" i="2"/>
  <c r="R241" i="3" s="1"/>
  <c r="AR88" i="2"/>
  <c r="R195" i="3" s="1"/>
  <c r="AR37" i="2"/>
  <c r="R85" i="3" s="1"/>
  <c r="AR144" i="2"/>
  <c r="R237" i="3" s="1"/>
  <c r="AR145" i="2"/>
  <c r="R238" i="3" s="1"/>
  <c r="AR44" i="2"/>
  <c r="R86" i="3" s="1"/>
  <c r="AR26" i="2"/>
  <c r="R70" i="3" s="1"/>
  <c r="AR115" i="2"/>
  <c r="R218" i="3" s="1"/>
  <c r="AR57" i="2"/>
  <c r="R103" i="3" s="1"/>
  <c r="AR139" i="2"/>
  <c r="R240" i="3" s="1"/>
  <c r="AR25" i="2"/>
  <c r="R72" i="3" s="1"/>
  <c r="AR171" i="2"/>
  <c r="R249" i="3" s="1"/>
  <c r="AR89" i="2"/>
  <c r="R194" i="3" s="1"/>
  <c r="AR116" i="2"/>
  <c r="R216" i="3" s="1"/>
  <c r="AR56" i="2"/>
  <c r="R104" i="3" s="1"/>
  <c r="AR24" i="2"/>
  <c r="R75" i="3" s="1"/>
  <c r="AR34" i="2"/>
  <c r="R83" i="3" s="1"/>
  <c r="AR39" i="2"/>
  <c r="R89" i="3" s="1"/>
  <c r="AR113" i="2"/>
  <c r="R215" i="3" s="1"/>
  <c r="AR19" i="2"/>
  <c r="R63" i="3" s="1"/>
  <c r="AR22" i="2"/>
  <c r="R73" i="3" s="1"/>
  <c r="AR42" i="2"/>
  <c r="R93" i="3" s="1"/>
  <c r="AR54" i="2"/>
  <c r="R105" i="3" s="1"/>
  <c r="AR148" i="2"/>
  <c r="R243" i="3" s="1"/>
  <c r="AR118" i="2"/>
  <c r="R219" i="3" s="1"/>
  <c r="AR58" i="2"/>
  <c r="R106" i="3" s="1"/>
  <c r="AR59" i="2"/>
  <c r="R108" i="3" s="1"/>
  <c r="AR98" i="2"/>
  <c r="R209" i="3" s="1"/>
  <c r="AR55" i="2"/>
  <c r="R107" i="3" s="1"/>
  <c r="AR95" i="2"/>
  <c r="R203" i="3" s="1"/>
  <c r="AR93" i="2"/>
  <c r="R201" i="3" s="1"/>
  <c r="AR30" i="2"/>
  <c r="R77" i="3" s="1"/>
  <c r="AR146" i="2"/>
  <c r="R233" i="3" s="1"/>
  <c r="AR33" i="2"/>
  <c r="R87" i="3" s="1"/>
  <c r="AR49" i="2"/>
  <c r="R98" i="3" s="1"/>
  <c r="AR43" i="2"/>
  <c r="R91" i="3" s="1"/>
  <c r="AR23" i="2"/>
  <c r="R69" i="3" s="1"/>
  <c r="AR48" i="2"/>
  <c r="R99" i="3" s="1"/>
  <c r="AR28" i="2"/>
  <c r="R76" i="3" s="1"/>
  <c r="AR94" i="2"/>
  <c r="R202" i="3" s="1"/>
  <c r="AR114" i="2"/>
  <c r="R217" i="3" s="1"/>
  <c r="AR117" i="2"/>
  <c r="R220" i="3" s="1"/>
  <c r="AR45" i="2"/>
  <c r="R94" i="3" s="1"/>
  <c r="AR147" i="2"/>
  <c r="R239" i="3" s="1"/>
  <c r="AR111" i="2"/>
  <c r="R213" i="3" s="1"/>
  <c r="AR35" i="2"/>
  <c r="R81" i="3" s="1"/>
  <c r="AR40" i="2"/>
  <c r="R92" i="3" s="1"/>
  <c r="AR29" i="2"/>
  <c r="R74" i="3" s="1"/>
  <c r="AR38" i="2"/>
  <c r="R88" i="3" s="1"/>
  <c r="AR143" i="2"/>
  <c r="R232" i="3" s="1"/>
  <c r="AR108" i="2"/>
  <c r="R206" i="3" s="1"/>
  <c r="AR120" i="2"/>
  <c r="R226" i="3" s="1"/>
  <c r="AR138" i="2"/>
  <c r="R234" i="3" s="1"/>
  <c r="AR140" i="2"/>
  <c r="R235" i="3" s="1"/>
  <c r="AR20" i="2"/>
  <c r="R64" i="3" s="1"/>
  <c r="AR41" i="2"/>
  <c r="R90" i="3" s="1"/>
  <c r="BA77" i="1"/>
  <c r="R117" i="3" s="1"/>
  <c r="BA476" i="1"/>
  <c r="R674" i="3" s="1"/>
  <c r="BA630" i="1"/>
  <c r="R980" i="3" s="1"/>
  <c r="BA484" i="1"/>
  <c r="R817" i="3" s="1"/>
  <c r="BA491" i="1"/>
  <c r="R755" i="3" s="1"/>
  <c r="BA614" i="1"/>
  <c r="R988" i="3" s="1"/>
  <c r="BA525" i="1"/>
  <c r="R788" i="3" s="1"/>
  <c r="BA507" i="1"/>
  <c r="R785" i="3" s="1"/>
  <c r="BA658" i="1"/>
  <c r="R1125" i="3" s="1"/>
  <c r="BA625" i="1"/>
  <c r="R1028" i="3" s="1"/>
  <c r="BA353" i="1"/>
  <c r="R482" i="3" s="1"/>
  <c r="BA485" i="1"/>
  <c r="R680" i="3" s="1"/>
  <c r="BA524" i="1"/>
  <c r="R786" i="3" s="1"/>
  <c r="BA414" i="1"/>
  <c r="R594" i="3" s="1"/>
  <c r="BA467" i="1"/>
  <c r="R751" i="3" s="1"/>
  <c r="BA532" i="1"/>
  <c r="R905" i="3" s="1"/>
  <c r="BA359" i="1"/>
  <c r="R559" i="3" s="1"/>
  <c r="BA478" i="1"/>
  <c r="R715" i="3" s="1"/>
  <c r="BA267" i="1"/>
  <c r="R432" i="3" s="1"/>
  <c r="BA403" i="1"/>
  <c r="R652" i="3" s="1"/>
  <c r="BA584" i="1"/>
  <c r="BA397" i="1"/>
  <c r="R609" i="3" s="1"/>
  <c r="BA396" i="1"/>
  <c r="R608" i="3" s="1"/>
  <c r="BA438" i="1"/>
  <c r="R660" i="3" s="1"/>
  <c r="BA508" i="1"/>
  <c r="R890" i="3" s="1"/>
  <c r="BA602" i="1"/>
  <c r="R967" i="3" s="1"/>
  <c r="BA656" i="1"/>
  <c r="R1117" i="3" s="1"/>
  <c r="BA650" i="1"/>
  <c r="R1082" i="3" s="1"/>
  <c r="BA626" i="1"/>
  <c r="R1049" i="3" s="1"/>
  <c r="BA135" i="1"/>
  <c r="R227" i="3" s="1"/>
  <c r="BA569" i="1"/>
  <c r="R909" i="3" s="1"/>
  <c r="BA618" i="1"/>
  <c r="R992" i="3" s="1"/>
  <c r="BA659" i="1"/>
  <c r="R1115" i="3" s="1"/>
  <c r="BA331" i="1"/>
  <c r="R512" i="3" s="1"/>
  <c r="BA666" i="1"/>
  <c r="R1163" i="3" s="1"/>
  <c r="BA651" i="1"/>
  <c r="R1122" i="3" s="1"/>
  <c r="BA595" i="1"/>
  <c r="R957" i="3" s="1"/>
  <c r="BA139" i="1"/>
  <c r="R269" i="3" s="1"/>
  <c r="BA613" i="1"/>
  <c r="R987" i="3" s="1"/>
  <c r="BA617" i="1"/>
  <c r="R991" i="3" s="1"/>
  <c r="BA654" i="1"/>
  <c r="R1091" i="3" s="1"/>
  <c r="BA641" i="1"/>
  <c r="R1043" i="3" s="1"/>
  <c r="BA452" i="1"/>
  <c r="R673" i="3" s="1"/>
  <c r="BA648" i="1"/>
  <c r="R1118" i="3" s="1"/>
  <c r="BA499" i="1"/>
  <c r="R763" i="3" s="1"/>
  <c r="BA108" i="1"/>
  <c r="R169" i="3" s="1"/>
  <c r="BA470" i="1"/>
  <c r="R702" i="3" s="1"/>
  <c r="BA548" i="1"/>
  <c r="R868" i="3" s="1"/>
  <c r="BA379" i="1"/>
  <c r="R560" i="3" s="1"/>
  <c r="BA419" i="1"/>
  <c r="R543" i="3" s="1"/>
  <c r="BA400" i="1"/>
  <c r="R649" i="3" s="1"/>
  <c r="BA370" i="1"/>
  <c r="R551" i="3" s="1"/>
  <c r="BA523" i="1"/>
  <c r="R784" i="3" s="1"/>
  <c r="BA516" i="1"/>
  <c r="R764" i="3" s="1"/>
  <c r="BA672" i="1"/>
  <c r="R1196" i="3" s="1"/>
  <c r="BA540" i="1"/>
  <c r="R795" i="3" s="1"/>
  <c r="BA333" i="1"/>
  <c r="R468" i="3" s="1"/>
  <c r="BA673" i="1"/>
  <c r="R1204" i="3" s="1"/>
  <c r="BA662" i="1"/>
  <c r="R1145" i="3" s="1"/>
  <c r="BA154" i="1"/>
  <c r="R263" i="3" s="1"/>
  <c r="BA598" i="1"/>
  <c r="R999" i="3" s="1"/>
  <c r="BA655" i="1"/>
  <c r="R1092" i="3" s="1"/>
  <c r="BA557" i="1"/>
  <c r="R960" i="3" s="1"/>
  <c r="BA675" i="1"/>
  <c r="R1218" i="3" s="1"/>
  <c r="BA603" i="1"/>
  <c r="R968" i="3" s="1"/>
  <c r="BA538" i="1"/>
  <c r="R871" i="3" s="1"/>
  <c r="BA541" i="1"/>
  <c r="R889" i="3" s="1"/>
  <c r="BA546" i="1"/>
  <c r="R944" i="3" s="1"/>
  <c r="BA387" i="1"/>
  <c r="R506" i="3" s="1"/>
  <c r="BA449" i="1"/>
  <c r="R635" i="3" s="1"/>
  <c r="BA629" i="1"/>
  <c r="R1033" i="3" s="1"/>
  <c r="BA633" i="1"/>
  <c r="R1061" i="3" s="1"/>
  <c r="BA638" i="1"/>
  <c r="R1074" i="3" s="1"/>
  <c r="BA553" i="1"/>
  <c r="R920" i="3" s="1"/>
  <c r="BA674" i="1"/>
  <c r="R1208" i="3" s="1"/>
  <c r="BA578" i="1"/>
  <c r="R948" i="3" s="1"/>
  <c r="BA554" i="1"/>
  <c r="R922" i="3" s="1"/>
  <c r="BA456" i="1"/>
  <c r="R733" i="3" s="1"/>
  <c r="BA475" i="1"/>
  <c r="R713" i="3" s="1"/>
  <c r="BA514" i="1"/>
  <c r="R849" i="3" s="1"/>
  <c r="BA421" i="1"/>
  <c r="R596" i="3" s="1"/>
  <c r="BA395" i="1"/>
  <c r="R607" i="3" s="1"/>
  <c r="BA579" i="1"/>
  <c r="R879" i="3" s="1"/>
  <c r="BA493" i="1"/>
  <c r="R704" i="3" s="1"/>
  <c r="BA646" i="1"/>
  <c r="R1045" i="3" s="1"/>
  <c r="BA586" i="1"/>
  <c r="R931" i="3" s="1"/>
  <c r="BA550" i="1"/>
  <c r="R827" i="3" s="1"/>
  <c r="BA519" i="1"/>
  <c r="R774" i="3" s="1"/>
  <c r="BA596" i="1"/>
  <c r="R995" i="3" s="1"/>
  <c r="BA481" i="1"/>
  <c r="R722" i="3" s="1"/>
  <c r="BA568" i="1"/>
  <c r="R855" i="3" s="1"/>
  <c r="BA235" i="1"/>
  <c r="R423" i="3" s="1"/>
  <c r="BA593" i="1"/>
  <c r="R952" i="3" s="1"/>
  <c r="BA303" i="1"/>
  <c r="R456" i="3" s="1"/>
  <c r="BA607" i="1"/>
  <c r="R974" i="3" s="1"/>
  <c r="BA663" i="1"/>
  <c r="R1147" i="3" s="1"/>
  <c r="BA664" i="1"/>
  <c r="R1134" i="3" s="1"/>
  <c r="BA446" i="1"/>
  <c r="R700" i="3" s="1"/>
  <c r="BA590" i="1"/>
  <c r="R969" i="3" s="1"/>
  <c r="BA574" i="1"/>
  <c r="R946" i="3" s="1"/>
  <c r="BA409" i="1"/>
  <c r="R620" i="3" s="1"/>
  <c r="BA671" i="1"/>
  <c r="R1176" i="3" s="1"/>
  <c r="BA539" i="1"/>
  <c r="R882" i="3" s="1"/>
  <c r="BA453" i="1"/>
  <c r="R648" i="3" s="1"/>
  <c r="BA636" i="1"/>
  <c r="R1004" i="3" s="1"/>
  <c r="BA647" i="1"/>
  <c r="R1096" i="3" s="1"/>
  <c r="AD790" i="3"/>
  <c r="AD853" i="3"/>
  <c r="AD574" i="3"/>
  <c r="AD467" i="3"/>
  <c r="AD748" i="3"/>
  <c r="AD210" i="3"/>
  <c r="AD767" i="3"/>
  <c r="AD109" i="3"/>
  <c r="AD327" i="3"/>
  <c r="AD846" i="3"/>
  <c r="AD1169" i="3"/>
  <c r="AD1109" i="3"/>
  <c r="AD828" i="3"/>
  <c r="AD84" i="3"/>
  <c r="AD508" i="3"/>
  <c r="AD388" i="3"/>
  <c r="AD329" i="3"/>
  <c r="AD593" i="3"/>
  <c r="AD466" i="3"/>
  <c r="AD1076" i="3"/>
  <c r="AD906" i="3"/>
  <c r="AD602" i="3"/>
  <c r="AD865" i="3"/>
  <c r="AD1209" i="3"/>
  <c r="AD185" i="3"/>
  <c r="AD386" i="3"/>
  <c r="AD648" i="3"/>
  <c r="AD295" i="3"/>
  <c r="AD584" i="3"/>
  <c r="AD646" i="3"/>
  <c r="AD931" i="3"/>
  <c r="AD698" i="3"/>
  <c r="AD600" i="3"/>
  <c r="AD1108" i="3"/>
  <c r="AD500" i="3"/>
  <c r="AD823" i="3"/>
  <c r="AD217" i="3"/>
  <c r="AD203" i="3"/>
  <c r="AD667" i="3"/>
  <c r="AD133" i="3"/>
  <c r="AD720" i="3"/>
  <c r="AD948" i="3"/>
  <c r="AD966" i="3"/>
  <c r="AD875" i="3"/>
  <c r="AD586" i="3"/>
  <c r="AD116" i="3"/>
  <c r="AD219" i="3"/>
  <c r="AD319" i="3"/>
  <c r="AD24" i="3"/>
  <c r="AD69" i="3"/>
  <c r="AD663" i="3"/>
  <c r="AD642" i="3"/>
  <c r="AD1115" i="3"/>
  <c r="AD711" i="3"/>
  <c r="AD842" i="3"/>
  <c r="AD1069" i="3"/>
  <c r="AD330" i="3"/>
  <c r="AD379" i="3"/>
  <c r="AD1107" i="3"/>
  <c r="AD549" i="3"/>
  <c r="AD1049" i="3"/>
  <c r="AD708" i="3"/>
  <c r="AD296" i="3"/>
  <c r="AD804" i="3"/>
  <c r="AD876" i="3"/>
  <c r="AD658" i="3"/>
  <c r="AD106" i="3"/>
  <c r="AD405" i="3"/>
  <c r="AD282" i="3"/>
  <c r="BA258" i="1"/>
  <c r="R558" i="3" s="1"/>
  <c r="BA102" i="1"/>
  <c r="R183" i="3" s="1"/>
  <c r="BA343" i="1"/>
  <c r="R742" i="3" s="1"/>
  <c r="BA262" i="1"/>
  <c r="R651" i="3" s="1"/>
  <c r="BA340" i="1"/>
  <c r="R740" i="3" s="1"/>
  <c r="BA571" i="1"/>
  <c r="R1077" i="3" s="1"/>
  <c r="BA504" i="1"/>
  <c r="R950" i="3" s="1"/>
  <c r="BA439" i="1"/>
  <c r="R833" i="3" s="1"/>
  <c r="BA668" i="1"/>
  <c r="R1210" i="3" s="1"/>
  <c r="BA11" i="1"/>
  <c r="R11" i="3" s="1"/>
  <c r="BA503" i="1"/>
  <c r="R1011" i="3" s="1"/>
  <c r="BA41" i="1"/>
  <c r="R55" i="3" s="1"/>
  <c r="BA248" i="1"/>
  <c r="R534" i="3" s="1"/>
  <c r="BA165" i="1"/>
  <c r="R384" i="3" s="1"/>
  <c r="BA322" i="1"/>
  <c r="R653" i="3" s="1"/>
  <c r="BA354" i="1"/>
  <c r="R672" i="3" s="1"/>
  <c r="BA305" i="1"/>
  <c r="R588" i="3" s="1"/>
  <c r="BA172" i="1"/>
  <c r="R377" i="3" s="1"/>
  <c r="BA95" i="1"/>
  <c r="R176" i="3" s="1"/>
  <c r="BA24" i="1"/>
  <c r="R38" i="3" s="1"/>
  <c r="BA405" i="1"/>
  <c r="R824" i="3" s="1"/>
  <c r="BA445" i="1"/>
  <c r="R886" i="3" s="1"/>
  <c r="BA321" i="1"/>
  <c r="R682" i="3" s="1"/>
  <c r="BA336" i="1"/>
  <c r="R729" i="3" s="1"/>
  <c r="BA643" i="1"/>
  <c r="R1159" i="3" s="1"/>
  <c r="BA440" i="1"/>
  <c r="R880" i="3" s="1"/>
  <c r="BA51" i="1"/>
  <c r="R67" i="3" s="1"/>
  <c r="BA289" i="1"/>
  <c r="R611" i="3" s="1"/>
  <c r="BA601" i="1"/>
  <c r="R1116" i="3" s="1"/>
  <c r="BA567" i="1"/>
  <c r="R1051" i="3" s="1"/>
  <c r="BA517" i="1"/>
  <c r="R971" i="3" s="1"/>
  <c r="BA509" i="1"/>
  <c r="R1002" i="3" s="1"/>
  <c r="BA62" i="1"/>
  <c r="R121" i="3" s="1"/>
  <c r="BA50" i="1"/>
  <c r="R80" i="3" s="1"/>
  <c r="BA459" i="1"/>
  <c r="R921" i="3" s="1"/>
  <c r="BA110" i="1"/>
  <c r="R208" i="3" s="1"/>
  <c r="BA12" i="1"/>
  <c r="R12" i="3" s="1"/>
  <c r="BA104" i="1"/>
  <c r="R197" i="3" s="1"/>
  <c r="BA447" i="1"/>
  <c r="R893" i="3" s="1"/>
  <c r="BA551" i="1"/>
  <c r="R1057" i="3" s="1"/>
  <c r="BA367" i="1"/>
  <c r="R695" i="3" s="1"/>
  <c r="BA544" i="1"/>
  <c r="R1031" i="3" s="1"/>
  <c r="BA407" i="1"/>
  <c r="R870" i="3" s="1"/>
  <c r="BA228" i="1"/>
  <c r="R540" i="3" s="1"/>
  <c r="BA63" i="1"/>
  <c r="R128" i="3" s="1"/>
  <c r="BA79" i="1"/>
  <c r="R152" i="3" s="1"/>
  <c r="BA492" i="1"/>
  <c r="R928" i="3" s="1"/>
  <c r="BA461" i="1"/>
  <c r="R874" i="3" s="1"/>
  <c r="BA465" i="1"/>
  <c r="R877" i="3" s="1"/>
  <c r="BA189" i="1"/>
  <c r="R410" i="3" s="1"/>
  <c r="BA344" i="1"/>
  <c r="R655" i="3" s="1"/>
  <c r="BA106" i="1"/>
  <c r="R223" i="3" s="1"/>
  <c r="BA198" i="1"/>
  <c r="R445" i="3" s="1"/>
  <c r="BA232" i="1"/>
  <c r="R552" i="3" s="1"/>
  <c r="BA127" i="1"/>
  <c r="R290" i="3" s="1"/>
  <c r="BA488" i="1"/>
  <c r="R951" i="3" s="1"/>
  <c r="BA454" i="1"/>
  <c r="R947" i="3" s="1"/>
  <c r="BA152" i="1"/>
  <c r="R332" i="3" s="1"/>
  <c r="BA30" i="1"/>
  <c r="R40" i="3" s="1"/>
  <c r="BA237" i="1"/>
  <c r="R490" i="3" s="1"/>
  <c r="BA150" i="1"/>
  <c r="R378" i="3" s="1"/>
  <c r="BA153" i="1"/>
  <c r="R316" i="3" s="1"/>
  <c r="BA392" i="1"/>
  <c r="R705" i="3" s="1"/>
  <c r="BA360" i="1"/>
  <c r="R769" i="3" s="1"/>
  <c r="BA229" i="1"/>
  <c r="R478" i="3" s="1"/>
  <c r="BA583" i="1"/>
  <c r="R1088" i="3" s="1"/>
  <c r="BA479" i="1"/>
  <c r="R903" i="3" s="1"/>
  <c r="BA14" i="1"/>
  <c r="R20" i="3" s="1"/>
  <c r="BA5" i="1"/>
  <c r="R5" i="3" s="1"/>
  <c r="BA6" i="1"/>
  <c r="R6" i="3" s="1"/>
  <c r="BA430" i="1"/>
  <c r="R813" i="3" s="1"/>
  <c r="BA138" i="1"/>
  <c r="R298" i="3" s="1"/>
  <c r="BA188" i="1"/>
  <c r="R430" i="3" s="1"/>
  <c r="BA670" i="1"/>
  <c r="R1222" i="3" s="1"/>
  <c r="BA296" i="1"/>
  <c r="R619" i="3" s="1"/>
  <c r="BA513" i="1"/>
  <c r="R1030" i="3" s="1"/>
  <c r="BA164" i="1"/>
  <c r="R360" i="3" s="1"/>
  <c r="BA416" i="1"/>
  <c r="R840" i="3" s="1"/>
  <c r="BA70" i="1"/>
  <c r="R130" i="3" s="1"/>
  <c r="BA26" i="1"/>
  <c r="R34" i="3" s="1"/>
  <c r="BA266" i="1"/>
  <c r="R572" i="3" s="1"/>
  <c r="BA43" i="1"/>
  <c r="R59" i="3" s="1"/>
  <c r="BA398" i="1"/>
  <c r="R720" i="3" s="1"/>
  <c r="BA472" i="1"/>
  <c r="R892" i="3" s="1"/>
  <c r="BA200" i="1"/>
  <c r="R472" i="3" s="1"/>
  <c r="BA259" i="1"/>
  <c r="R562" i="3" s="1"/>
  <c r="BA413" i="1"/>
  <c r="R792" i="3" s="1"/>
  <c r="BA318" i="1"/>
  <c r="R678" i="3" s="1"/>
  <c r="BA281" i="1"/>
  <c r="R547" i="3" s="1"/>
  <c r="BA122" i="1"/>
  <c r="R285" i="3" s="1"/>
  <c r="BA204" i="1"/>
  <c r="R483" i="3" s="1"/>
  <c r="BA355" i="1"/>
  <c r="R717" i="3" s="1"/>
  <c r="BA194" i="1"/>
  <c r="R421" i="3" s="1"/>
  <c r="BA146" i="1"/>
  <c r="R326" i="3" s="1"/>
  <c r="BA197" i="1"/>
  <c r="R424" i="3" s="1"/>
  <c r="BA254" i="1"/>
  <c r="R542" i="3" s="1"/>
  <c r="BA390" i="1"/>
  <c r="R843" i="3" s="1"/>
  <c r="BA220" i="1"/>
  <c r="R522" i="3" s="1"/>
  <c r="BA196" i="1"/>
  <c r="R422" i="3" s="1"/>
  <c r="BA147" i="1"/>
  <c r="R330" i="3" s="1"/>
  <c r="BA92" i="1"/>
  <c r="R175" i="3" s="1"/>
  <c r="BA364" i="1"/>
  <c r="R745" i="3" s="1"/>
  <c r="BA159" i="1"/>
  <c r="R370" i="3" s="1"/>
  <c r="BA316" i="1"/>
  <c r="R643" i="3" s="1"/>
  <c r="BA225" i="1"/>
  <c r="R583" i="3" s="1"/>
  <c r="BA32" i="1"/>
  <c r="R42" i="3" s="1"/>
  <c r="BA60" i="1"/>
  <c r="R119" i="3" s="1"/>
  <c r="BA20" i="1"/>
  <c r="R25" i="3" s="1"/>
  <c r="BA176" i="1"/>
  <c r="R385" i="3" s="1"/>
  <c r="BA274" i="1"/>
  <c r="R537" i="3" s="1"/>
  <c r="BA286" i="1"/>
  <c r="R605" i="3" s="1"/>
  <c r="BA277" i="1"/>
  <c r="R510" i="3" s="1"/>
  <c r="BA632" i="1"/>
  <c r="R1124" i="3" s="1"/>
  <c r="BA542" i="1"/>
  <c r="R1024" i="3" s="1"/>
  <c r="BA71" i="1"/>
  <c r="R136" i="3" s="1"/>
  <c r="BA42" i="1"/>
  <c r="R54" i="3" s="1"/>
  <c r="BA469" i="1"/>
  <c r="R887" i="3" s="1"/>
  <c r="BA458" i="1"/>
  <c r="R954" i="3" s="1"/>
  <c r="BA537" i="1"/>
  <c r="R1037" i="3" s="1"/>
  <c r="BA148" i="1"/>
  <c r="R373" i="3" s="1"/>
  <c r="BA319" i="1"/>
  <c r="R602" i="3" s="1"/>
  <c r="BA125" i="1"/>
  <c r="R264" i="3" s="1"/>
  <c r="BA335" i="1"/>
  <c r="R726" i="3" s="1"/>
  <c r="BA604" i="1"/>
  <c r="R1093" i="3" s="1"/>
  <c r="BA371" i="1"/>
  <c r="R759" i="3" s="1"/>
  <c r="BA450" i="1"/>
  <c r="R895" i="3" s="1"/>
  <c r="BA600" i="1"/>
  <c r="R1062" i="3" s="1"/>
  <c r="BA81" i="1"/>
  <c r="R145" i="3" s="1"/>
  <c r="BA473" i="1"/>
  <c r="R894" i="3" s="1"/>
  <c r="BA559" i="1"/>
  <c r="R1064" i="3" s="1"/>
  <c r="BA22" i="1"/>
  <c r="R24" i="3" s="1"/>
  <c r="BA161" i="1"/>
  <c r="R390" i="3" s="1"/>
  <c r="BA580" i="1"/>
  <c r="R1085" i="3" s="1"/>
  <c r="BA207" i="1"/>
  <c r="R500" i="3" s="1"/>
  <c r="BA455" i="1"/>
  <c r="R915" i="3" s="1"/>
  <c r="BA425" i="1"/>
  <c r="R853" i="3" s="1"/>
  <c r="BA545" i="1"/>
  <c r="R1073" i="3" s="1"/>
  <c r="BA378" i="1"/>
  <c r="R712" i="3" s="1"/>
  <c r="BA292" i="1"/>
  <c r="R565" i="3" s="1"/>
  <c r="BA589" i="1"/>
  <c r="R1069" i="3" s="1"/>
  <c r="BA174" i="1"/>
  <c r="R396" i="3" s="1"/>
  <c r="BA173" i="1"/>
  <c r="R380" i="3" s="1"/>
  <c r="BA199" i="1"/>
  <c r="R447" i="3" s="1"/>
  <c r="BA35" i="1"/>
  <c r="R41" i="3" s="1"/>
  <c r="BA637" i="1"/>
  <c r="R1129" i="3" s="1"/>
  <c r="BA112" i="1"/>
  <c r="R262" i="3" s="1"/>
  <c r="BA175" i="1"/>
  <c r="R397" i="3" s="1"/>
  <c r="BA19" i="1"/>
  <c r="R19" i="3" s="1"/>
  <c r="BA10" i="1"/>
  <c r="R14" i="3" s="1"/>
  <c r="BA85" i="1"/>
  <c r="R165" i="3" s="1"/>
  <c r="BA404" i="1"/>
  <c r="R771" i="3" s="1"/>
  <c r="BA320" i="1"/>
  <c r="R650" i="3" s="1"/>
  <c r="BA610" i="1"/>
  <c r="R1099" i="3" s="1"/>
  <c r="BA562" i="1"/>
  <c r="R1022" i="3" s="1"/>
  <c r="BA13" i="1"/>
  <c r="R15" i="3" s="1"/>
  <c r="BA566" i="1"/>
  <c r="R1070" i="3" s="1"/>
  <c r="BA466" i="1"/>
  <c r="R927" i="3" s="1"/>
  <c r="BA308" i="1"/>
  <c r="R593" i="3" s="1"/>
  <c r="BA661" i="1"/>
  <c r="R1203" i="3" s="1"/>
  <c r="BA347" i="1"/>
  <c r="R621" i="3" s="1"/>
  <c r="BA399" i="1"/>
  <c r="R860" i="3" s="1"/>
  <c r="BA381" i="1"/>
  <c r="R766" i="3" s="1"/>
  <c r="BA501" i="1"/>
  <c r="R942" i="3" s="1"/>
  <c r="BA78" i="1"/>
  <c r="R156" i="3" s="1"/>
  <c r="BA126" i="1"/>
  <c r="R266" i="3" s="1"/>
  <c r="BA521" i="1"/>
  <c r="R1017" i="3" s="1"/>
  <c r="BA406" i="1"/>
  <c r="R826" i="3" s="1"/>
  <c r="BA304" i="1"/>
  <c r="R626" i="3" s="1"/>
  <c r="BA427" i="1"/>
  <c r="R858" i="3" s="1"/>
  <c r="BA368" i="1"/>
  <c r="R796" i="3" s="1"/>
  <c r="BA300" i="1"/>
  <c r="R579" i="3" s="1"/>
  <c r="BA393" i="1"/>
  <c r="R808" i="3" s="1"/>
  <c r="BA162" i="1"/>
  <c r="R391" i="3" s="1"/>
  <c r="BA297" i="1"/>
  <c r="R574" i="3" s="1"/>
  <c r="BA179" i="1"/>
  <c r="R415" i="3" s="1"/>
  <c r="BA448" i="1"/>
  <c r="R845" i="3" s="1"/>
  <c r="BA564" i="1"/>
  <c r="R1025" i="3" s="1"/>
  <c r="BA572" i="1"/>
  <c r="R1052" i="3" s="1"/>
  <c r="BA518" i="1"/>
  <c r="R975" i="3" s="1"/>
  <c r="BA145" i="1"/>
  <c r="R344" i="3" s="1"/>
  <c r="BA253" i="1"/>
  <c r="R539" i="3" s="1"/>
  <c r="BA119" i="1"/>
  <c r="R280" i="3" s="1"/>
  <c r="BA415" i="1"/>
  <c r="R793" i="3" s="1"/>
  <c r="BA592" i="1"/>
  <c r="R1101" i="3" s="1"/>
  <c r="BA44" i="1"/>
  <c r="R58" i="3" s="1"/>
  <c r="BA37" i="1"/>
  <c r="R48" i="3" s="1"/>
  <c r="BA555" i="1"/>
  <c r="R1060" i="3" s="1"/>
  <c r="BA561" i="1"/>
  <c r="R1042" i="3" s="1"/>
  <c r="BA372" i="1"/>
  <c r="R802" i="3" s="1"/>
  <c r="BA323" i="1"/>
  <c r="R571" i="3" s="1"/>
  <c r="BA28" i="1"/>
  <c r="R36" i="3" s="1"/>
  <c r="BA487" i="1"/>
  <c r="R918" i="3" s="1"/>
  <c r="BA528" i="1"/>
  <c r="R1001" i="3" s="1"/>
  <c r="BA260" i="1"/>
  <c r="R521" i="3" s="1"/>
  <c r="BA238" i="1"/>
  <c r="R491" i="3" s="1"/>
  <c r="BA374" i="1"/>
  <c r="R709" i="3" s="1"/>
  <c r="BA309" i="1"/>
  <c r="R631" i="3" s="1"/>
  <c r="BA15" i="1"/>
  <c r="R17" i="3" s="1"/>
  <c r="BA256" i="1"/>
  <c r="R511" i="3" s="1"/>
  <c r="BA526" i="1"/>
  <c r="R1044" i="3" s="1"/>
  <c r="BA547" i="1"/>
  <c r="R1034" i="3" s="1"/>
  <c r="BA402" i="1"/>
  <c r="R731" i="3" s="1"/>
  <c r="BA442" i="1"/>
  <c r="R836" i="3" s="1"/>
  <c r="BA552" i="1"/>
  <c r="R1058" i="3" s="1"/>
  <c r="BA243" i="1"/>
  <c r="R496" i="3" s="1"/>
  <c r="BA563" i="1"/>
  <c r="R1046" i="3" s="1"/>
  <c r="BA91" i="1"/>
  <c r="R184" i="3" s="1"/>
  <c r="BA214" i="1"/>
  <c r="R488" i="3" s="1"/>
  <c r="BA535" i="1"/>
  <c r="R1012" i="3" s="1"/>
  <c r="BA560" i="1"/>
  <c r="R1065" i="3" s="1"/>
  <c r="BA280" i="1"/>
  <c r="R546" i="3" s="1"/>
  <c r="BA627" i="1"/>
  <c r="R1132" i="3" s="1"/>
  <c r="BA264" i="1"/>
  <c r="R614" i="3" s="1"/>
  <c r="BA482" i="1"/>
  <c r="R908" i="3" s="1"/>
  <c r="BA40" i="1"/>
  <c r="R51" i="3" s="1"/>
  <c r="BA157" i="1"/>
  <c r="R366" i="3" s="1"/>
  <c r="BA66" i="1"/>
  <c r="R125" i="3" s="1"/>
  <c r="BA649" i="1"/>
  <c r="R1171" i="3" s="1"/>
  <c r="BA287" i="1"/>
  <c r="R606" i="3" s="1"/>
  <c r="BA205" i="1"/>
  <c r="R466" i="3" s="1"/>
  <c r="BA310" i="1"/>
  <c r="R665" i="3" s="1"/>
  <c r="BA58" i="1"/>
  <c r="R118" i="3" s="1"/>
  <c r="BA244" i="1"/>
  <c r="R498" i="3" s="1"/>
  <c r="BA177" i="1"/>
  <c r="R388" i="3" s="1"/>
  <c r="BA29" i="1"/>
  <c r="R32" i="3" s="1"/>
  <c r="BA151" i="1"/>
  <c r="R379" i="3" s="1"/>
  <c r="BA103" i="1"/>
  <c r="R196" i="3" s="1"/>
  <c r="BA609" i="1"/>
  <c r="R1120" i="3" s="1"/>
  <c r="BA391" i="1"/>
  <c r="R799" i="3" s="1"/>
  <c r="BA84" i="1"/>
  <c r="R155" i="3" s="1"/>
  <c r="BA212" i="1"/>
  <c r="R487" i="3" s="1"/>
  <c r="BA114" i="1"/>
  <c r="R256" i="3" s="1"/>
  <c r="BA236" i="1"/>
  <c r="R515" i="3" s="1"/>
  <c r="BA257" i="1"/>
  <c r="R554" i="3" s="1"/>
  <c r="BA382" i="1"/>
  <c r="R814" i="3" s="1"/>
  <c r="BA98" i="1"/>
  <c r="R185" i="3" s="1"/>
  <c r="BA436" i="1"/>
  <c r="R829" i="3" s="1"/>
  <c r="BA117" i="1"/>
  <c r="R259" i="3" s="1"/>
  <c r="BA121" i="1"/>
  <c r="R267" i="3" s="1"/>
  <c r="BA337" i="1"/>
  <c r="R679" i="3" s="1"/>
  <c r="BA38" i="1"/>
  <c r="R45" i="3" s="1"/>
  <c r="BA233" i="1"/>
  <c r="R553" i="3" s="1"/>
  <c r="BA558" i="1"/>
  <c r="R1041" i="3" s="1"/>
  <c r="BA101" i="1"/>
  <c r="R190" i="3" s="1"/>
  <c r="BA667" i="1"/>
  <c r="R1200" i="3" s="1"/>
  <c r="BA163" i="1"/>
  <c r="R383" i="3" s="1"/>
  <c r="BA315" i="1"/>
  <c r="R641" i="3" s="1"/>
  <c r="BA581" i="1"/>
  <c r="R1086" i="3" s="1"/>
  <c r="BA380" i="1"/>
  <c r="R765" i="3" s="1"/>
  <c r="BA619" i="1"/>
  <c r="R1105" i="3" s="1"/>
  <c r="BA313" i="1"/>
  <c r="R599" i="3" s="1"/>
  <c r="BA88" i="1"/>
  <c r="R147" i="3" s="1"/>
  <c r="BA549" i="1"/>
  <c r="R1084" i="3" s="1"/>
  <c r="BA529" i="1"/>
  <c r="R1050" i="3" s="1"/>
  <c r="BA302" i="1"/>
  <c r="R623" i="3" s="1"/>
  <c r="BA527" i="1"/>
  <c r="R1048" i="3" s="1"/>
  <c r="BA123" i="1"/>
  <c r="R287" i="3" s="1"/>
  <c r="BA247" i="1"/>
  <c r="R503" i="3" s="1"/>
  <c r="BA441" i="1"/>
  <c r="R834" i="3" s="1"/>
  <c r="BA158" i="1"/>
  <c r="R369" i="3" s="1"/>
  <c r="BA133" i="1"/>
  <c r="R295" i="3" s="1"/>
  <c r="BA639" i="1"/>
  <c r="R1135" i="3" s="1"/>
  <c r="BA451" i="1"/>
  <c r="R847" i="3" s="1"/>
  <c r="BA606" i="1"/>
  <c r="R1097" i="3" s="1"/>
  <c r="BA209" i="1"/>
  <c r="R507" i="3" s="1"/>
  <c r="BA366" i="1"/>
  <c r="R789" i="3" s="1"/>
  <c r="BA361" i="1"/>
  <c r="R738" i="3" s="1"/>
  <c r="BA295" i="1"/>
  <c r="R616" i="3" s="1"/>
  <c r="BA573" i="1"/>
  <c r="R1053" i="3" s="1"/>
  <c r="BA512" i="1"/>
  <c r="R934" i="3" s="1"/>
  <c r="BA282" i="1"/>
  <c r="R637" i="3" s="1"/>
  <c r="BA435" i="1"/>
  <c r="R823" i="3" s="1"/>
  <c r="BA285" i="1"/>
  <c r="R604" i="3" s="1"/>
  <c r="BA325" i="1"/>
  <c r="R661" i="3" s="1"/>
  <c r="BA307" i="1"/>
  <c r="R592" i="3" s="1"/>
  <c r="BA27" i="1"/>
  <c r="R35" i="3" s="1"/>
  <c r="BA605" i="1"/>
  <c r="R1094" i="3" s="1"/>
  <c r="BA191" i="1"/>
  <c r="R416" i="3" s="1"/>
  <c r="BA99" i="1"/>
  <c r="R198" i="3" s="1"/>
  <c r="BA241" i="1"/>
  <c r="R494" i="3" s="1"/>
  <c r="BA660" i="1"/>
  <c r="R1189" i="3" s="1"/>
  <c r="BA594" i="1"/>
  <c r="R1056" i="3" s="1"/>
  <c r="BA616" i="1"/>
  <c r="R1083" i="3" s="1"/>
  <c r="BA301" i="1"/>
  <c r="R580" i="3" s="1"/>
  <c r="BA181" i="1"/>
  <c r="R398" i="3" s="1"/>
  <c r="BA420" i="1"/>
  <c r="R794" i="3" s="1"/>
  <c r="BA597" i="1"/>
  <c r="R1106" i="3" s="1"/>
  <c r="BA498" i="1"/>
  <c r="R940" i="3" s="1"/>
  <c r="BA226" i="1"/>
  <c r="R508" i="3" s="1"/>
  <c r="BA193" i="1"/>
  <c r="R419" i="3" s="1"/>
  <c r="BA665" i="1"/>
  <c r="R1198" i="3" s="1"/>
  <c r="BA271" i="1"/>
  <c r="R585" i="3" s="1"/>
  <c r="BA611" i="1"/>
  <c r="R1102" i="3" s="1"/>
  <c r="BA118" i="1"/>
  <c r="R260" i="3" s="1"/>
  <c r="BA208" i="1"/>
  <c r="R473" i="3" s="1"/>
  <c r="BA463" i="1"/>
  <c r="R875" i="3" s="1"/>
  <c r="BA73" i="1"/>
  <c r="R138" i="3" s="1"/>
  <c r="BA249" i="1"/>
  <c r="R505" i="3" s="1"/>
  <c r="BA329" i="1"/>
  <c r="R666" i="3" s="1"/>
  <c r="BA234" i="1"/>
  <c r="R485" i="3" s="1"/>
  <c r="BA270" i="1"/>
  <c r="R584" i="3" s="1"/>
  <c r="BA460" i="1"/>
  <c r="R872" i="3" s="1"/>
  <c r="BA87" i="1"/>
  <c r="R146" i="3" s="1"/>
  <c r="BA96" i="1"/>
  <c r="R179" i="3" s="1"/>
  <c r="BA46" i="1"/>
  <c r="R66" i="3" s="1"/>
  <c r="BA265" i="1"/>
  <c r="R567" i="3" s="1"/>
  <c r="BA326" i="1"/>
  <c r="R662" i="3" s="1"/>
  <c r="BA61" i="1"/>
  <c r="R115" i="3" s="1"/>
  <c r="BA530" i="1"/>
  <c r="R1005" i="3" s="1"/>
  <c r="BA129" i="1"/>
  <c r="R304" i="3" s="1"/>
  <c r="BA156" i="1"/>
  <c r="R359" i="3" s="1"/>
  <c r="BA218" i="1"/>
  <c r="R520" i="3" s="1"/>
  <c r="BA412" i="1"/>
  <c r="R790" i="3" s="1"/>
  <c r="BA224" i="1"/>
  <c r="R501" i="3" s="1"/>
  <c r="BA269" i="1"/>
  <c r="R533" i="3" s="1"/>
  <c r="BA16" i="1"/>
  <c r="R21" i="3" s="1"/>
  <c r="BA215" i="1"/>
  <c r="R465" i="3" s="1"/>
  <c r="BA202" i="1"/>
  <c r="R434" i="3" s="1"/>
  <c r="BA350" i="1"/>
  <c r="R797" i="3" s="1"/>
  <c r="BA389" i="1"/>
  <c r="R754" i="3" s="1"/>
  <c r="BA278" i="1"/>
  <c r="R541" i="3" s="1"/>
  <c r="BA620" i="1"/>
  <c r="R1108" i="3" s="1"/>
  <c r="BA211" i="1"/>
  <c r="R484" i="3" s="1"/>
  <c r="BA94" i="1"/>
  <c r="R162" i="3" s="1"/>
  <c r="BA624" i="1"/>
  <c r="R1128" i="3" s="1"/>
  <c r="BA536" i="1"/>
  <c r="R1036" i="3" s="1"/>
  <c r="BA417" i="1"/>
  <c r="R841" i="3" s="1"/>
  <c r="BA255" i="1"/>
  <c r="R548" i="3" s="1"/>
  <c r="BA483" i="1"/>
  <c r="R910" i="3" s="1"/>
  <c r="BA506" i="1"/>
  <c r="R990" i="3" s="1"/>
  <c r="BA128" i="1"/>
  <c r="R291" i="3" s="1"/>
  <c r="BA369" i="1"/>
  <c r="R703" i="3" s="1"/>
  <c r="BA657" i="1"/>
  <c r="R1169" i="3" s="1"/>
  <c r="BA275" i="1"/>
  <c r="R589" i="3" s="1"/>
  <c r="BA631" i="1"/>
  <c r="R1151" i="3" s="1"/>
  <c r="BA33" i="1"/>
  <c r="R43" i="3" s="1"/>
  <c r="BA394" i="1"/>
  <c r="R716" i="3" s="1"/>
  <c r="BA136" i="1"/>
  <c r="R315" i="3" s="1"/>
  <c r="BA250" i="1"/>
  <c r="R535" i="3" s="1"/>
  <c r="BA565" i="1"/>
  <c r="R1068" i="3" s="1"/>
  <c r="BA375" i="1"/>
  <c r="R671" i="3" s="1"/>
  <c r="BA8" i="1"/>
  <c r="R9" i="3" s="1"/>
  <c r="BA272" i="1"/>
  <c r="R586" i="3" s="1"/>
  <c r="BA132" i="1"/>
  <c r="R282" i="3" s="1"/>
  <c r="BA90" i="1"/>
  <c r="R163" i="3" s="1"/>
  <c r="BA67" i="1"/>
  <c r="R126" i="3" s="1"/>
  <c r="BA141" i="1"/>
  <c r="R353" i="3" s="1"/>
  <c r="BA283" i="1"/>
  <c r="R638" i="3" s="1"/>
  <c r="BA203" i="1"/>
  <c r="R437" i="3" s="1"/>
  <c r="BA486" i="1"/>
  <c r="R917" i="3" s="1"/>
  <c r="BA644" i="1"/>
  <c r="R1155" i="3" s="1"/>
  <c r="BA363" i="1"/>
  <c r="R787" i="3" s="1"/>
  <c r="BA410" i="1"/>
  <c r="R878" i="3" s="1"/>
  <c r="BA116" i="1"/>
  <c r="R248" i="3" s="1"/>
  <c r="BA474" i="1"/>
  <c r="R898" i="3" s="1"/>
  <c r="BA388" i="1"/>
  <c r="R748" i="3" s="1"/>
  <c r="BA377" i="1"/>
  <c r="R711" i="3" s="1"/>
  <c r="BA345" i="1"/>
  <c r="R656" i="3" s="1"/>
  <c r="BA113" i="1"/>
  <c r="R265" i="3" s="1"/>
  <c r="BA140" i="1"/>
  <c r="R352" i="3" s="1"/>
  <c r="BA462" i="1"/>
  <c r="R958" i="3" s="1"/>
  <c r="BA223" i="1"/>
  <c r="R575" i="3" s="1"/>
  <c r="BA239" i="1"/>
  <c r="R519" i="3" s="1"/>
  <c r="BA608" i="1"/>
  <c r="R1119" i="3" s="1"/>
  <c r="BA556" i="1"/>
  <c r="R1019" i="3" s="1"/>
  <c r="BA642" i="1"/>
  <c r="R1168" i="3" s="1"/>
  <c r="BA622" i="1"/>
  <c r="R1110" i="3" s="1"/>
  <c r="BA591" i="1"/>
  <c r="R1072" i="3" s="1"/>
  <c r="BA599" i="1"/>
  <c r="R1089" i="3" s="1"/>
  <c r="BA56" i="1"/>
  <c r="R111" i="3" s="1"/>
  <c r="BA314" i="1"/>
  <c r="R639" i="3" s="1"/>
  <c r="BA623" i="1"/>
  <c r="R1144" i="3" s="1"/>
  <c r="BA349" i="1"/>
  <c r="R624" i="3" s="1"/>
  <c r="BA294" i="1"/>
  <c r="R615" i="3" s="1"/>
  <c r="BA231" i="1"/>
  <c r="R549" i="3" s="1"/>
  <c r="BA428" i="1"/>
  <c r="R810" i="3" s="1"/>
  <c r="BA676" i="1"/>
  <c r="R1234" i="3" s="1"/>
  <c r="BA76" i="1"/>
  <c r="R129" i="3" s="1"/>
  <c r="BA7" i="1"/>
  <c r="R7" i="3" s="1"/>
  <c r="BA65" i="1"/>
  <c r="R133" i="3" s="1"/>
  <c r="BA72" i="1"/>
  <c r="R137" i="3" s="1"/>
  <c r="BA219" i="1"/>
  <c r="R493" i="3" s="1"/>
  <c r="BA408" i="1"/>
  <c r="R776" i="3" s="1"/>
  <c r="BA222" i="1"/>
  <c r="R528" i="3" s="1"/>
  <c r="BA201" i="1"/>
  <c r="R453" i="3" s="1"/>
  <c r="BA511" i="1"/>
  <c r="R962" i="3" s="1"/>
  <c r="BA531" i="1"/>
  <c r="R1076" i="3" s="1"/>
  <c r="BA653" i="1"/>
  <c r="R1183" i="3" s="1"/>
  <c r="BA210" i="1"/>
  <c r="R480" i="3" s="1"/>
  <c r="BA245" i="1"/>
  <c r="R527" i="3" s="1"/>
  <c r="BA52" i="1"/>
  <c r="R68" i="3" s="1"/>
  <c r="BA585" i="1"/>
  <c r="R1113" i="3" s="1"/>
  <c r="BA170" i="1"/>
  <c r="R375" i="3" s="1"/>
  <c r="BA628" i="1"/>
  <c r="R1133" i="3" s="1"/>
  <c r="BA471" i="1"/>
  <c r="R932" i="3" s="1"/>
  <c r="BA74" i="1"/>
  <c r="R131" i="3" s="1"/>
  <c r="BA645" i="1"/>
  <c r="R1156" i="3" s="1"/>
  <c r="BA505" i="1"/>
  <c r="R985" i="3" s="1"/>
  <c r="BA186" i="1"/>
  <c r="R406" i="3" s="1"/>
  <c r="BA411" i="1"/>
  <c r="R835" i="3" s="1"/>
  <c r="BA426" i="1"/>
  <c r="R762" i="3" s="1"/>
  <c r="BA105" i="1"/>
  <c r="R204" i="3" s="1"/>
  <c r="BA166" i="1"/>
  <c r="R402" i="3" s="1"/>
  <c r="BA273" i="1"/>
  <c r="R627" i="3" s="1"/>
  <c r="BA144" i="1"/>
  <c r="R337" i="3" s="1"/>
  <c r="BA422" i="1"/>
  <c r="R896" i="3" s="1"/>
  <c r="BA324" i="1"/>
  <c r="R578" i="3" s="1"/>
  <c r="BA582" i="1"/>
  <c r="R1087" i="3" s="1"/>
  <c r="BA431" i="1"/>
  <c r="R865" i="3" s="1"/>
  <c r="BA290" i="1"/>
  <c r="R563" i="3" s="1"/>
  <c r="BA23" i="1"/>
  <c r="R30" i="3" s="1"/>
  <c r="BA444" i="1"/>
  <c r="R883" i="3" s="1"/>
  <c r="BA251" i="1"/>
  <c r="R509" i="3" s="1"/>
  <c r="BA47" i="1"/>
  <c r="R57" i="3" s="1"/>
  <c r="BA533" i="1"/>
  <c r="R1007" i="3" s="1"/>
  <c r="BA216" i="1"/>
  <c r="R467" i="3" s="1"/>
  <c r="BA83" i="1"/>
  <c r="R154" i="3" s="1"/>
  <c r="BA669" i="1"/>
  <c r="R1209" i="3" s="1"/>
  <c r="BA429" i="1"/>
  <c r="R859" i="3" s="1"/>
  <c r="BA311" i="1"/>
  <c r="R706" i="3" s="1"/>
  <c r="BA500" i="1"/>
  <c r="R941" i="3" s="1"/>
  <c r="BA261" i="1"/>
  <c r="R564" i="3" s="1"/>
  <c r="BA534" i="1"/>
  <c r="R1008" i="3" s="1"/>
  <c r="BA433" i="1"/>
  <c r="R816" i="3" s="1"/>
  <c r="BA362" i="1"/>
  <c r="R782" i="3" s="1"/>
  <c r="BA330" i="1"/>
  <c r="R669" i="3" s="1"/>
  <c r="BA246" i="1"/>
  <c r="R530" i="3" s="1"/>
  <c r="BA434" i="1"/>
  <c r="R820" i="3" s="1"/>
  <c r="BA570" i="1"/>
  <c r="R1098" i="3" s="1"/>
  <c r="BA652" i="1"/>
  <c r="R1181" i="3" s="1"/>
  <c r="BA577" i="1"/>
  <c r="R1081" i="3" s="1"/>
  <c r="BA107" i="1"/>
  <c r="R224" i="3" s="1"/>
  <c r="BA424" i="1"/>
  <c r="R806" i="3" s="1"/>
  <c r="BA59" i="1"/>
  <c r="R123" i="3" s="1"/>
  <c r="BA190" i="1"/>
  <c r="R393" i="3" s="1"/>
  <c r="BA195" i="1"/>
  <c r="R399" i="3" s="1"/>
  <c r="BA464" i="1"/>
  <c r="R876" i="3" s="1"/>
  <c r="BA298" i="1"/>
  <c r="R657" i="3" s="1"/>
  <c r="BA477" i="1"/>
  <c r="R901" i="3" s="1"/>
  <c r="BA437" i="1"/>
  <c r="R777" i="3" s="1"/>
  <c r="BA496" i="1"/>
  <c r="R900" i="3" s="1"/>
  <c r="BA100" i="1"/>
  <c r="R187" i="3" s="1"/>
  <c r="BA80" i="1"/>
  <c r="R143" i="3" s="1"/>
  <c r="BA328" i="1"/>
  <c r="R630" i="3" s="1"/>
  <c r="BA142" i="1"/>
  <c r="R356" i="3" s="1"/>
  <c r="BA510" i="1"/>
  <c r="R1026" i="3" s="1"/>
  <c r="BA634" i="1"/>
  <c r="R1111" i="3" s="1"/>
  <c r="BA192" i="1"/>
  <c r="R460" i="3" s="1"/>
  <c r="BA401" i="1"/>
  <c r="R822" i="3" s="1"/>
  <c r="BA490" i="1"/>
  <c r="R959" i="3" s="1"/>
  <c r="BA31" i="1"/>
  <c r="R37" i="3" s="1"/>
  <c r="BA39" i="1"/>
  <c r="R52" i="3" s="1"/>
  <c r="BA64" i="1"/>
  <c r="R124" i="3" s="1"/>
  <c r="BA522" i="1"/>
  <c r="R1038" i="3" s="1"/>
  <c r="BA293" i="1"/>
  <c r="R566" i="3" s="1"/>
  <c r="BA386" i="1"/>
  <c r="R830" i="3" s="1"/>
  <c r="BA276" i="1"/>
  <c r="R590" i="3" s="1"/>
  <c r="BA137" i="1"/>
  <c r="R319" i="3" s="1"/>
  <c r="BA252" i="1"/>
  <c r="R538" i="3" s="1"/>
  <c r="BA75" i="1"/>
  <c r="R142" i="3" s="1"/>
  <c r="BA134" i="1"/>
  <c r="R300" i="3" s="1"/>
  <c r="BA171" i="1"/>
  <c r="R414" i="3" s="1"/>
  <c r="BA36" i="1"/>
  <c r="R47" i="3" s="1"/>
  <c r="BA69" i="1"/>
  <c r="R127" i="3" s="1"/>
  <c r="BA185" i="1"/>
  <c r="R470" i="3" s="1"/>
  <c r="BA341" i="1"/>
  <c r="R654" i="3" s="1"/>
  <c r="BA183" i="1"/>
  <c r="R401" i="3" s="1"/>
  <c r="BA291" i="1"/>
  <c r="R613" i="3" s="1"/>
  <c r="BA332" i="1"/>
  <c r="R636" i="3" s="1"/>
  <c r="BA502" i="1"/>
  <c r="R945" i="3" s="1"/>
  <c r="BA180" i="1"/>
  <c r="R417" i="3" s="1"/>
  <c r="BA543" i="1"/>
  <c r="R1027" i="3" s="1"/>
  <c r="BA49" i="1"/>
  <c r="R79" i="3" s="1"/>
  <c r="BA432" i="1"/>
  <c r="R815" i="3" s="1"/>
  <c r="BA376" i="1"/>
  <c r="R761" i="3" s="1"/>
  <c r="BA155" i="1"/>
  <c r="R358" i="3" s="1"/>
  <c r="BA306" i="1"/>
  <c r="R591" i="3" s="1"/>
  <c r="BA339" i="1"/>
  <c r="R681" i="3" s="1"/>
  <c r="BA268" i="1"/>
  <c r="R532" i="3" s="1"/>
  <c r="BA168" i="1"/>
  <c r="R387" i="3" s="1"/>
  <c r="BA384" i="1"/>
  <c r="R730" i="3" s="1"/>
  <c r="BA53" i="1"/>
  <c r="R96" i="3" s="1"/>
  <c r="BA494" i="1"/>
  <c r="R936" i="3" s="1"/>
  <c r="BA348" i="1"/>
  <c r="R692" i="3" s="1"/>
  <c r="BA495" i="1"/>
  <c r="R966" i="3" s="1"/>
  <c r="BA227" i="1"/>
  <c r="R477" i="3" s="1"/>
  <c r="BA93" i="1"/>
  <c r="R177" i="3" s="1"/>
  <c r="BA418" i="1"/>
  <c r="R842" i="3" s="1"/>
  <c r="BA312" i="1"/>
  <c r="R598" i="3" s="1"/>
  <c r="BA187" i="1"/>
  <c r="R427" i="3" s="1"/>
  <c r="BA365" i="1"/>
  <c r="R690" i="3" s="1"/>
  <c r="BA68" i="1"/>
  <c r="R134" i="3" s="1"/>
  <c r="BA385" i="1"/>
  <c r="R770" i="3" s="1"/>
  <c r="BA86" i="1"/>
  <c r="R157" i="3" s="1"/>
  <c r="BA356" i="1"/>
  <c r="R718" i="3" s="1"/>
  <c r="BA588" i="1"/>
  <c r="R1067" i="3" s="1"/>
  <c r="BA515" i="1"/>
  <c r="R965" i="3" s="1"/>
  <c r="BA373" i="1"/>
  <c r="R805" i="3" s="1"/>
  <c r="BA221" i="1"/>
  <c r="BA575" i="1"/>
  <c r="R1078" i="3" s="1"/>
  <c r="BA468" i="1"/>
  <c r="R929" i="3" s="1"/>
  <c r="BA615" i="1"/>
  <c r="R1141" i="3" s="1"/>
  <c r="BA230" i="1"/>
  <c r="R479" i="3" s="1"/>
  <c r="BA457" i="1"/>
  <c r="R919" i="3" s="1"/>
  <c r="BA55" i="1"/>
  <c r="R102" i="3" s="1"/>
  <c r="BA383" i="1"/>
  <c r="R768" i="3" s="1"/>
  <c r="BA160" i="1"/>
  <c r="R386" i="3" s="1"/>
  <c r="BA89" i="1"/>
  <c r="R159" i="3" s="1"/>
  <c r="BA169" i="1"/>
  <c r="R412" i="3" s="1"/>
  <c r="BA182" i="1"/>
  <c r="R420" i="3" s="1"/>
  <c r="BA284" i="1"/>
  <c r="R555" i="3" s="1"/>
  <c r="BA576" i="1"/>
  <c r="R1079" i="3" s="1"/>
  <c r="BA143" i="1"/>
  <c r="R334" i="3" s="1"/>
  <c r="BA240" i="1"/>
  <c r="R523" i="3" s="1"/>
  <c r="BA21" i="1"/>
  <c r="R26" i="3" s="1"/>
  <c r="BA520" i="1"/>
  <c r="R1014" i="3" s="1"/>
  <c r="BA130" i="1"/>
  <c r="R277" i="3" s="1"/>
  <c r="BA612" i="1"/>
  <c r="R1103" i="3" s="1"/>
  <c r="BA317" i="1"/>
  <c r="R645" i="3" s="1"/>
  <c r="BA184" i="1"/>
  <c r="R442" i="3" s="1"/>
  <c r="BA334" i="1"/>
  <c r="R646" i="3" s="1"/>
  <c r="BA124" i="1"/>
  <c r="BA242" i="1"/>
  <c r="R568" i="3" s="1"/>
  <c r="BA480" i="1"/>
  <c r="R973" i="3" s="1"/>
  <c r="BA34" i="1"/>
  <c r="R46" i="3" s="1"/>
  <c r="BA178" i="1"/>
  <c r="R411" i="3" s="1"/>
  <c r="BA54" i="1"/>
  <c r="R113" i="3" s="1"/>
  <c r="BA342" i="1"/>
  <c r="R618" i="3" s="1"/>
  <c r="BA299" i="1"/>
  <c r="R622" i="3" s="1"/>
  <c r="BA497" i="1"/>
  <c r="R1009" i="3" s="1"/>
  <c r="BA357" i="1"/>
  <c r="R719" i="3" s="1"/>
  <c r="BA621" i="1"/>
  <c r="R1109" i="3" s="1"/>
  <c r="BA82" i="1"/>
  <c r="R135" i="3" s="1"/>
  <c r="BA635" i="1"/>
  <c r="R1112" i="3" s="1"/>
  <c r="BA18" i="1"/>
  <c r="R27" i="3" s="1"/>
  <c r="BA115" i="1"/>
  <c r="R258" i="3" s="1"/>
  <c r="BA120" i="1"/>
  <c r="R254" i="3" s="1"/>
  <c r="BA351" i="1"/>
  <c r="R707" i="3" s="1"/>
  <c r="BA279" i="1"/>
  <c r="R597" i="3" s="1"/>
  <c r="BA149" i="1"/>
  <c r="R351" i="3" s="1"/>
  <c r="BA352" i="1"/>
  <c r="R667" i="3" s="1"/>
  <c r="BA358" i="1"/>
  <c r="R677" i="3" s="1"/>
  <c r="BA423" i="1"/>
  <c r="R803" i="3" s="1"/>
  <c r="BA213" i="1"/>
  <c r="R513" i="3" s="1"/>
  <c r="BA443" i="1"/>
  <c r="R881" i="3" s="1"/>
  <c r="BA109" i="1"/>
  <c r="R222" i="3" s="1"/>
  <c r="BA346" i="1"/>
  <c r="R689" i="3" s="1"/>
  <c r="BA206" i="1"/>
  <c r="R448" i="3" s="1"/>
  <c r="BA587" i="1"/>
  <c r="R1063" i="3" s="1"/>
  <c r="BA131" i="1"/>
  <c r="R305" i="3" s="1"/>
  <c r="BA48" i="1"/>
  <c r="R60" i="3" s="1"/>
  <c r="BA640" i="1"/>
  <c r="R1138" i="3" s="1"/>
  <c r="BA217" i="1"/>
  <c r="R516" i="3" s="1"/>
  <c r="BA338" i="1"/>
  <c r="R734" i="3" s="1"/>
  <c r="BA57" i="1"/>
  <c r="R116" i="3" s="1"/>
  <c r="BA17" i="1"/>
  <c r="R22" i="3" s="1"/>
  <c r="BA288" i="1"/>
  <c r="R610" i="3" s="1"/>
  <c r="BA97" i="1"/>
  <c r="R182" i="3" s="1"/>
  <c r="BA489" i="1"/>
  <c r="R955" i="3" s="1"/>
  <c r="BA167" i="1"/>
  <c r="R371" i="3" s="1"/>
  <c r="BA327" i="1"/>
  <c r="R697" i="3" s="1"/>
  <c r="BA45" i="1"/>
  <c r="R61" i="3" s="1"/>
  <c r="BA263" i="1"/>
  <c r="R524" i="3" s="1"/>
  <c r="AD366" i="3"/>
  <c r="AD247" i="3"/>
  <c r="AD737" i="3"/>
  <c r="AD420" i="3"/>
  <c r="AD236" i="3"/>
  <c r="AD331" i="3"/>
  <c r="AD1121" i="3"/>
  <c r="AD656" i="3"/>
  <c r="AD177" i="3"/>
  <c r="AD753" i="3"/>
  <c r="AD868" i="3"/>
  <c r="AD930" i="3"/>
  <c r="AD615" i="3"/>
  <c r="AD1173" i="3"/>
  <c r="AD488" i="3"/>
  <c r="AD1032" i="3"/>
  <c r="AD255" i="3"/>
  <c r="AD358" i="3"/>
  <c r="AD730" i="3"/>
  <c r="AD332" i="3"/>
  <c r="AD890" i="3"/>
  <c r="AD501" i="3"/>
  <c r="AD326" i="3"/>
  <c r="AD794" i="3"/>
  <c r="AD943" i="3"/>
  <c r="AD1192" i="3"/>
  <c r="AD1073" i="3"/>
  <c r="AD448" i="3"/>
  <c r="AD472" i="3"/>
  <c r="AD1110" i="3"/>
  <c r="AD662" i="3"/>
  <c r="AD731" i="3"/>
  <c r="AD1207" i="3"/>
  <c r="AD756" i="3"/>
  <c r="AD292" i="3"/>
  <c r="AD761" i="3"/>
  <c r="AD1081" i="3"/>
  <c r="AD360" i="3"/>
  <c r="AD684" i="3"/>
  <c r="AD315" i="3"/>
  <c r="AD963" i="3"/>
  <c r="AD1044" i="3"/>
  <c r="AD581" i="3"/>
  <c r="AD1231" i="3"/>
  <c r="AD1112" i="3"/>
  <c r="AD157" i="3"/>
  <c r="AD369" i="3"/>
  <c r="AD782" i="3"/>
  <c r="AD401" i="3"/>
  <c r="AD323" i="3"/>
  <c r="AD834" i="3"/>
  <c r="AD765" i="3"/>
  <c r="AD1084" i="3"/>
  <c r="AD827" i="3"/>
  <c r="AD79" i="3"/>
  <c r="AD902" i="3"/>
  <c r="AD959" i="3"/>
  <c r="AD1160" i="3"/>
  <c r="AD907" i="3"/>
  <c r="AD697" i="3"/>
  <c r="AD469" i="3"/>
  <c r="AD253" i="3"/>
  <c r="AD88" i="3"/>
  <c r="AD1184" i="3"/>
  <c r="AD722" i="3"/>
  <c r="AD146" i="3"/>
  <c r="AD994" i="3"/>
  <c r="AD879" i="3"/>
  <c r="AD649" i="3"/>
  <c r="AD183" i="3"/>
  <c r="AD1199" i="3"/>
  <c r="AD126" i="3"/>
  <c r="AD860" i="3"/>
  <c r="AD803" i="3"/>
  <c r="AD1232" i="3"/>
  <c r="AD516" i="3"/>
  <c r="AD470" i="3"/>
  <c r="AD204" i="3"/>
  <c r="AD802" i="3"/>
  <c r="AD941" i="3"/>
  <c r="AD950" i="3"/>
  <c r="AD904" i="3"/>
  <c r="AD91" i="3"/>
  <c r="AD607" i="3"/>
  <c r="AD263" i="3"/>
  <c r="AD530" i="3"/>
  <c r="AD832" i="3"/>
  <c r="AD780" i="3"/>
  <c r="AD215" i="3"/>
  <c r="AD968" i="3"/>
  <c r="AD956" i="3"/>
  <c r="AD521" i="3"/>
  <c r="AD859" i="3"/>
  <c r="AD1048" i="3"/>
  <c r="AD623" i="3"/>
  <c r="AD509" i="3"/>
  <c r="AD313" i="3"/>
  <c r="AD709" i="3"/>
  <c r="AD985" i="3"/>
  <c r="AD652" i="3"/>
  <c r="AD653" i="3"/>
  <c r="AD844" i="3"/>
  <c r="AD1162" i="3"/>
  <c r="AD727" i="3"/>
  <c r="AD563" i="3"/>
  <c r="AD130" i="3"/>
  <c r="AD997" i="3"/>
  <c r="AD568" i="3"/>
  <c r="AD1033" i="3"/>
  <c r="AD123" i="3"/>
  <c r="AD480" i="3"/>
  <c r="AD582" i="3"/>
  <c r="AD841" i="3"/>
  <c r="AD430" i="3"/>
  <c r="AD777" i="3"/>
  <c r="AD111" i="3"/>
  <c r="AD1036" i="3"/>
  <c r="AD85" i="3"/>
  <c r="AD999" i="3"/>
  <c r="AD1017" i="3"/>
  <c r="AD190" i="3"/>
  <c r="AD671" i="3"/>
  <c r="AD6" i="3"/>
  <c r="AD1137" i="3"/>
  <c r="AD457" i="3"/>
  <c r="AD389" i="3"/>
  <c r="AD855" i="3"/>
  <c r="AD746" i="3"/>
  <c r="AD810" i="3"/>
  <c r="AD913" i="3"/>
  <c r="AD1220" i="3"/>
  <c r="AD1043" i="3"/>
  <c r="AD1038" i="3"/>
  <c r="AD307" i="3"/>
  <c r="AD373" i="3"/>
  <c r="AD517" i="3"/>
  <c r="AD791" i="3"/>
  <c r="AD806" i="3"/>
  <c r="AD1027" i="3"/>
  <c r="AD41" i="3"/>
  <c r="AD140" i="3"/>
  <c r="AD168" i="3"/>
  <c r="AD1189" i="3"/>
  <c r="AD911" i="3"/>
  <c r="AD946" i="3"/>
  <c r="AD1090" i="3"/>
  <c r="AD512" i="3"/>
  <c r="AD962" i="3"/>
  <c r="AD1098" i="3"/>
  <c r="AD17" i="3"/>
  <c r="AD173" i="3"/>
  <c r="AD406" i="3"/>
  <c r="AD83" i="3"/>
  <c r="AD475" i="3"/>
  <c r="AD499" i="3"/>
  <c r="AD580" i="3"/>
  <c r="AD431" i="3"/>
  <c r="AD647" i="3"/>
  <c r="AD1028" i="3"/>
  <c r="AD310" i="3"/>
  <c r="AD973" i="3"/>
  <c r="AD1149" i="3"/>
  <c r="AD285" i="3"/>
  <c r="AD1210" i="3"/>
  <c r="AD1213" i="3"/>
  <c r="AD779" i="3"/>
  <c r="AD243" i="3"/>
  <c r="AD537" i="3"/>
  <c r="AD523" i="3"/>
  <c r="AD770" i="3"/>
  <c r="AD1092" i="3"/>
  <c r="AD918" i="3"/>
  <c r="AD1225" i="3"/>
  <c r="AD1013" i="3"/>
  <c r="AD1234" i="3"/>
  <c r="AD716" i="3"/>
  <c r="AD526" i="3"/>
  <c r="AD539" i="3"/>
  <c r="AD729" i="3"/>
  <c r="AD1002" i="3"/>
  <c r="AD1024" i="3"/>
  <c r="AD641" i="3"/>
  <c r="AD206" i="3"/>
  <c r="AD192" i="3"/>
  <c r="AD1119" i="3"/>
  <c r="AD1001" i="3"/>
  <c r="AD775" i="3"/>
  <c r="AD884" i="3"/>
  <c r="AD1183" i="3"/>
  <c r="AD127" i="3"/>
  <c r="AD435" i="3"/>
  <c r="AD1105" i="3"/>
  <c r="AD274" i="3"/>
  <c r="AD21" i="3"/>
  <c r="AD983" i="3"/>
  <c r="AD939" i="3"/>
  <c r="AD260" i="3"/>
  <c r="AD268" i="3"/>
  <c r="AD961" i="3"/>
  <c r="AD747" i="3"/>
  <c r="AD422" i="3"/>
  <c r="AD383" i="3"/>
  <c r="AD1157" i="3"/>
  <c r="AD916" i="3"/>
  <c r="AD279" i="3"/>
  <c r="AD1203" i="3"/>
  <c r="AD565" i="3"/>
  <c r="AD928" i="3"/>
  <c r="AD428" i="3"/>
  <c r="AD494" i="3"/>
  <c r="AD991" i="3"/>
  <c r="AD1006" i="3"/>
  <c r="AD1085" i="3"/>
  <c r="AD1219" i="3"/>
  <c r="AD553" i="3"/>
  <c r="AD818" i="3"/>
  <c r="AD305" i="3"/>
  <c r="AD1181" i="3"/>
  <c r="AD277" i="3"/>
  <c r="AD505" i="3"/>
  <c r="AD1135" i="3"/>
  <c r="AD387" i="3"/>
  <c r="AD1057" i="3"/>
  <c r="AD934" i="3"/>
  <c r="AD107" i="3"/>
  <c r="AD498" i="3"/>
  <c r="AD1113" i="3"/>
  <c r="AD825" i="3"/>
  <c r="AD1211" i="3"/>
  <c r="AD61" i="3"/>
  <c r="AD838" i="3"/>
  <c r="AD796" i="3"/>
  <c r="AD987" i="3"/>
  <c r="AD588" i="3"/>
  <c r="AD603" i="3"/>
  <c r="AD910" i="3"/>
  <c r="AD822" i="3"/>
  <c r="AD112" i="3"/>
  <c r="AD534" i="3"/>
  <c r="AD666" i="3"/>
  <c r="AD19" i="3"/>
  <c r="AD34" i="3"/>
  <c r="AD1063" i="3"/>
  <c r="AD290" i="3"/>
  <c r="AD257" i="3"/>
  <c r="AD811" i="3"/>
  <c r="AD352" i="3"/>
  <c r="AD815" i="3"/>
  <c r="AD275" i="3"/>
  <c r="AD262" i="3"/>
  <c r="AD639" i="3"/>
  <c r="AD718" i="3"/>
  <c r="AD11" i="3"/>
  <c r="AD690" i="3"/>
  <c r="AD1208" i="3"/>
  <c r="AD840" i="3"/>
  <c r="AD510" i="3"/>
  <c r="AD415" i="3"/>
  <c r="AD556" i="3"/>
  <c r="AD115" i="3"/>
  <c r="AD1052" i="3"/>
  <c r="AD1040" i="3"/>
  <c r="AD960" i="3"/>
  <c r="AD905" i="3"/>
  <c r="AD55" i="3"/>
  <c r="AD799" i="3"/>
  <c r="AD535" i="3"/>
  <c r="AD507" i="3"/>
  <c r="AD372" i="3"/>
  <c r="AD1078" i="3"/>
  <c r="AD969" i="3"/>
  <c r="AD599" i="3"/>
  <c r="AD1008" i="3"/>
  <c r="AD687" i="3"/>
  <c r="AD117" i="3"/>
  <c r="AD547" i="3"/>
  <c r="AD867" i="3"/>
  <c r="AD103" i="3"/>
  <c r="AD356" i="3"/>
  <c r="AD545" i="3"/>
  <c r="AD762" i="3"/>
  <c r="AD559" i="3"/>
  <c r="AD166" i="3"/>
  <c r="AD1131" i="3"/>
  <c r="AD1062" i="3"/>
  <c r="AD550" i="3"/>
  <c r="AD787" i="3"/>
  <c r="AD542" i="3"/>
  <c r="AD921" i="3"/>
  <c r="AD235" i="3"/>
  <c r="AD223" i="3"/>
  <c r="AD760" i="3"/>
  <c r="AD1082" i="3"/>
  <c r="AD1154" i="3"/>
  <c r="AD1094" i="3"/>
  <c r="AD298" i="3"/>
  <c r="AD391" i="3"/>
  <c r="AD795" i="3"/>
  <c r="AD883" i="3"/>
  <c r="AD214" i="3"/>
  <c r="AD954" i="3"/>
  <c r="AD788" i="3"/>
  <c r="AD707" i="3"/>
  <c r="AD1079" i="3"/>
  <c r="AD929" i="3"/>
  <c r="AD967" i="3"/>
  <c r="AD1147" i="3"/>
  <c r="AD552" i="3"/>
  <c r="AD513" i="3"/>
  <c r="AD129" i="3"/>
  <c r="AD654" i="3"/>
  <c r="AD1186" i="3"/>
  <c r="AD1187" i="3"/>
  <c r="AD452" i="3"/>
  <c r="AD724" i="3"/>
  <c r="AD988" i="3"/>
  <c r="AD445" i="3"/>
  <c r="AD72" i="3"/>
  <c r="AD628" i="3"/>
  <c r="AD1196" i="3"/>
  <c r="AD341" i="3"/>
  <c r="AD246" i="3"/>
  <c r="AD258" i="3"/>
  <c r="AD638" i="3"/>
  <c r="AD254" i="3"/>
  <c r="AD713" i="3"/>
  <c r="AD629" i="3"/>
  <c r="AD178" i="3"/>
  <c r="AD163" i="3"/>
  <c r="AD1223" i="3"/>
  <c r="AD48" i="3"/>
  <c r="AD211" i="3"/>
  <c r="AD421" i="3"/>
  <c r="AD755" i="3"/>
  <c r="AD179" i="3"/>
  <c r="AD805" i="3"/>
  <c r="AD251" i="3"/>
  <c r="AD216" i="3"/>
  <c r="AD497" i="3"/>
  <c r="AD1055" i="3"/>
  <c r="AD685" i="3"/>
  <c r="AD1177" i="3"/>
  <c r="AD1034" i="3"/>
  <c r="AD414" i="3"/>
  <c r="AD1129" i="3"/>
  <c r="AD895" i="3"/>
  <c r="AD633" i="3"/>
  <c r="AD957" i="3"/>
  <c r="AD555" i="3"/>
  <c r="AD898" i="3"/>
  <c r="AD870" i="3"/>
  <c r="AD385" i="3"/>
  <c r="AD836" i="3"/>
  <c r="AD982" i="3"/>
  <c r="AD719" i="3"/>
  <c r="AD1086" i="3"/>
  <c r="AD302" i="3"/>
  <c r="AD903" i="3"/>
  <c r="AD783" i="3"/>
  <c r="AD264" i="3"/>
  <c r="AD124" i="3"/>
  <c r="AD1133" i="3"/>
  <c r="AD1104" i="3"/>
  <c r="AD437" i="3"/>
  <c r="AD674" i="3"/>
  <c r="AD493" i="3"/>
  <c r="AD768" i="3"/>
  <c r="AD528" i="3"/>
  <c r="AD620" i="3"/>
  <c r="AD10" i="3"/>
  <c r="AD636" i="3"/>
  <c r="AD637" i="3"/>
  <c r="AD705" i="3"/>
  <c r="AD202" i="3"/>
  <c r="AD745" i="3"/>
  <c r="AD71" i="3"/>
  <c r="AD689" i="3"/>
  <c r="AD250" i="3"/>
  <c r="AD438" i="3"/>
  <c r="AD228" i="3"/>
  <c r="AD417" i="3"/>
  <c r="AD1159" i="3"/>
  <c r="AD1071" i="3"/>
  <c r="AD29" i="3"/>
  <c r="AD506" i="3"/>
  <c r="AD1202" i="3"/>
  <c r="AD304" i="3"/>
  <c r="AD348" i="3"/>
  <c r="AD679" i="3"/>
  <c r="AD381" i="3"/>
  <c r="AD490" i="3"/>
  <c r="AD354" i="3"/>
  <c r="AD862" i="3"/>
  <c r="AD113" i="3"/>
  <c r="AD70" i="3"/>
  <c r="AD784" i="3"/>
  <c r="AD669" i="3"/>
  <c r="AD1011" i="3"/>
  <c r="AD451" i="3"/>
  <c r="AD1124" i="3"/>
  <c r="AD334" i="3"/>
  <c r="AD1091" i="3"/>
  <c r="AD196" i="3"/>
  <c r="AD1114" i="3"/>
  <c r="AD1056" i="3"/>
  <c r="AD504" i="3"/>
  <c r="AD1030" i="3"/>
  <c r="AD280" i="3"/>
  <c r="AD353" i="3"/>
  <c r="AD182" i="3"/>
  <c r="AD1200" i="3"/>
  <c r="AD37" i="3"/>
  <c r="AD108" i="3"/>
  <c r="AD710" i="3"/>
  <c r="AD1077" i="3"/>
  <c r="AD39" i="3"/>
  <c r="AD554" i="3"/>
  <c r="AD1163" i="3"/>
  <c r="AD1164" i="3"/>
  <c r="AD1205" i="3"/>
  <c r="AD986" i="3"/>
  <c r="AD1191" i="3"/>
  <c r="AD227" i="3"/>
  <c r="AD1216" i="3"/>
  <c r="AD1151" i="3"/>
  <c r="AD80" i="3"/>
  <c r="AD66" i="3"/>
  <c r="AD896" i="3"/>
  <c r="AD87" i="3"/>
  <c r="AD226" i="3"/>
  <c r="AD536" i="3"/>
  <c r="AD914" i="3"/>
  <c r="AD187" i="3"/>
  <c r="AD1153" i="3"/>
  <c r="AD839" i="3"/>
  <c r="AD63" i="3"/>
  <c r="AD1167" i="3"/>
  <c r="AD596" i="3"/>
  <c r="AD484" i="3"/>
  <c r="AD239" i="3"/>
  <c r="AD814" i="3"/>
  <c r="AD951" i="3"/>
  <c r="AD793" i="3"/>
  <c r="AD589" i="3"/>
  <c r="AD412" i="3"/>
  <c r="AD975" i="3"/>
  <c r="AD60" i="3"/>
  <c r="AD564" i="3"/>
  <c r="AD237" i="3"/>
  <c r="AD390" i="3"/>
  <c r="AD139" i="3"/>
  <c r="AD936" i="3"/>
  <c r="AD849" i="3"/>
  <c r="AD1019" i="3"/>
  <c r="AD1227" i="3"/>
  <c r="AD485" i="3"/>
  <c r="AD964" i="3"/>
  <c r="AD817" i="3"/>
  <c r="AD888" i="3"/>
  <c r="AD583" i="3"/>
  <c r="AD267" i="3"/>
  <c r="AD249" i="3"/>
  <c r="AD378" i="3"/>
  <c r="AD1193" i="3"/>
  <c r="AD996" i="3"/>
  <c r="AD355" i="3"/>
  <c r="AD1045" i="3"/>
  <c r="AD36" i="3"/>
  <c r="AD131" i="3"/>
  <c r="AD396" i="3"/>
  <c r="AD1018" i="3"/>
  <c r="B19" i="10"/>
  <c r="B22" i="10"/>
  <c r="AD1042" i="3"/>
  <c r="AD728" i="3"/>
  <c r="AD1198" i="3"/>
  <c r="AD524" i="3"/>
  <c r="AD104" i="3"/>
  <c r="AD134" i="3"/>
  <c r="AD1155" i="3"/>
  <c r="AD757" i="3"/>
  <c r="AD377" i="3"/>
  <c r="AD744" i="3"/>
  <c r="AD359" i="3"/>
  <c r="AD519" i="3"/>
  <c r="AD57" i="3"/>
  <c r="AD143" i="3"/>
  <c r="AD441" i="3"/>
  <c r="AD135" i="3"/>
  <c r="AD1074" i="3"/>
  <c r="AD567" i="3"/>
  <c r="AD830" i="3"/>
  <c r="AD269" i="3"/>
  <c r="AD681" i="3"/>
  <c r="AD938" i="3"/>
  <c r="AD789" i="3"/>
  <c r="AD491" i="3"/>
  <c r="AD626" i="3"/>
  <c r="AD1051" i="3"/>
  <c r="AD45" i="3"/>
  <c r="AD224" i="3"/>
  <c r="AD682" i="3"/>
  <c r="AD627" i="3"/>
  <c r="AD89" i="3"/>
  <c r="AD184" i="3"/>
  <c r="AD990" i="3"/>
  <c r="AD591" i="3"/>
  <c r="AD1116" i="3"/>
  <c r="AD816" i="3"/>
  <c r="AD749" i="3"/>
  <c r="AD774" i="3"/>
  <c r="AD686" i="3"/>
  <c r="AD858" i="3"/>
  <c r="AD47" i="3"/>
  <c r="AD51" i="3"/>
  <c r="AD357" i="3"/>
  <c r="AD613" i="3"/>
  <c r="AD314" i="3"/>
  <c r="AD393" i="3"/>
  <c r="AD527" i="3"/>
  <c r="AD496" i="3"/>
  <c r="AD754" i="3"/>
  <c r="AD114" i="3"/>
  <c r="AD156" i="3"/>
  <c r="AD773" i="3"/>
  <c r="AD50" i="3"/>
  <c r="AD303" i="3"/>
  <c r="AD700" i="3"/>
  <c r="AD449" i="3"/>
  <c r="AD571" i="3"/>
  <c r="AD176" i="3"/>
  <c r="AD316" i="3"/>
  <c r="AD1175" i="3"/>
  <c r="AD632" i="3"/>
  <c r="AD1021" i="3"/>
  <c r="AD350" i="3"/>
  <c r="AD1140" i="3"/>
  <c r="AD230" i="3"/>
  <c r="AD1136" i="3"/>
  <c r="AD980" i="3"/>
  <c r="AD429" i="3"/>
  <c r="AD424" i="3"/>
  <c r="AD375" i="3"/>
  <c r="AD300" i="3"/>
  <c r="AD74" i="3"/>
  <c r="AD311" i="3"/>
  <c r="AD483" i="3"/>
  <c r="AD871" i="3"/>
  <c r="AD901" i="3"/>
  <c r="AD1197" i="3"/>
  <c r="AD741" i="3"/>
  <c r="AD604" i="3"/>
  <c r="AD271" i="3"/>
  <c r="AD137" i="3"/>
  <c r="AD824" i="3"/>
  <c r="AD579" i="3"/>
  <c r="AD1101" i="3"/>
  <c r="AD688" i="3"/>
  <c r="AD259" i="3"/>
  <c r="AD801" i="3"/>
  <c r="AD640" i="3"/>
  <c r="AD917" i="3"/>
  <c r="AD362" i="3"/>
  <c r="AD511" i="3"/>
  <c r="AD857" i="3"/>
  <c r="AD222" i="3"/>
  <c r="AD291" i="3"/>
  <c r="AD1035" i="3"/>
  <c r="AD848" i="3"/>
  <c r="AD608" i="3"/>
  <c r="AD989" i="3"/>
  <c r="AD978" i="3"/>
  <c r="AD847" i="3"/>
  <c r="AD520" i="3"/>
  <c r="AD680" i="3"/>
  <c r="AD880" i="3"/>
  <c r="AD367" i="3"/>
  <c r="AD52" i="3"/>
  <c r="AD798" i="3"/>
  <c r="AD1066" i="3"/>
  <c r="AD382" i="3"/>
  <c r="AD733" i="3"/>
  <c r="AD1096" i="3"/>
  <c r="AD59" i="3"/>
  <c r="AD808" i="3"/>
  <c r="AD1029" i="3"/>
  <c r="AD1142" i="3"/>
  <c r="AD644" i="3"/>
  <c r="AD833" i="3"/>
  <c r="AD478" i="3"/>
  <c r="AD673" i="3"/>
  <c r="AD958" i="3"/>
  <c r="AD942" i="3"/>
  <c r="AD886" i="3"/>
  <c r="AD40" i="3"/>
  <c r="AD970" i="3"/>
  <c r="AD706" i="3"/>
  <c r="AD704" i="3"/>
  <c r="AD548" i="3"/>
  <c r="AD1185" i="3"/>
  <c r="AD287" i="3"/>
  <c r="AD750" i="3"/>
  <c r="AD715" i="3"/>
  <c r="AD543" i="3"/>
  <c r="AD461" i="3"/>
  <c r="AD456" i="3"/>
  <c r="AD12" i="3"/>
  <c r="AD1139" i="3"/>
  <c r="AD643" i="3"/>
  <c r="AD546" i="3"/>
  <c r="AD1014" i="3"/>
  <c r="AD233" i="3"/>
  <c r="AD1233" i="3"/>
  <c r="AD410" i="3"/>
  <c r="AD208" i="3"/>
  <c r="AD1025" i="3"/>
  <c r="AD1176" i="3"/>
  <c r="AD86" i="3"/>
  <c r="AD1037" i="3"/>
  <c r="AD692" i="3"/>
  <c r="AD213" i="3"/>
  <c r="AD624" i="3"/>
  <c r="AD891" i="3"/>
  <c r="AD908" i="3"/>
  <c r="AD1010" i="3"/>
  <c r="AD465" i="3"/>
  <c r="AD31" i="3"/>
  <c r="AD105" i="3"/>
  <c r="AD1229" i="3"/>
  <c r="AD1023" i="3"/>
  <c r="AD477" i="3"/>
  <c r="AD384" i="3"/>
  <c r="AD570" i="3"/>
  <c r="AD201" i="3"/>
  <c r="AD1190" i="3"/>
  <c r="AD1009" i="3"/>
  <c r="AD447" i="3"/>
  <c r="AD606" i="3"/>
  <c r="AD1070" i="3"/>
  <c r="AD758" i="3"/>
  <c r="AD370" i="3"/>
  <c r="AD399" i="3"/>
  <c r="AD1020" i="3"/>
  <c r="AD661" i="3"/>
  <c r="AD317" i="3"/>
  <c r="AD881" i="3"/>
  <c r="AD43" i="3"/>
  <c r="AD153" i="3"/>
  <c r="AD364" i="3"/>
  <c r="AD167" i="3"/>
  <c r="AD309" i="3"/>
  <c r="AD234" i="3"/>
  <c r="AD835" i="3"/>
  <c r="AD18" i="3"/>
  <c r="AD621" i="3"/>
  <c r="AD1127" i="3"/>
  <c r="AD676" i="3"/>
  <c r="AD618" i="3"/>
  <c r="AD1075" i="3"/>
  <c r="AD266" i="3"/>
  <c r="AD487" i="3"/>
  <c r="AD248" i="3"/>
  <c r="AD900" i="3"/>
  <c r="AD453" i="3"/>
  <c r="AD221" i="3"/>
  <c r="AD1179" i="3"/>
  <c r="AD174" i="3"/>
  <c r="AD1218" i="3"/>
  <c r="AD820" i="3"/>
  <c r="AD541" i="3"/>
  <c r="AD110" i="3"/>
  <c r="AD1003" i="3"/>
  <c r="AD854" i="3"/>
  <c r="AD863" i="3"/>
  <c r="AD408" i="3"/>
  <c r="AD423" i="3"/>
  <c r="AD301" i="3"/>
  <c r="AD155" i="3"/>
  <c r="AD425" i="3"/>
  <c r="AD1118" i="3"/>
  <c r="AD609" i="3"/>
  <c r="AD476" i="3"/>
  <c r="AD1141" i="3"/>
  <c r="AD20" i="3"/>
  <c r="AD566" i="3"/>
  <c r="AD1180" i="3"/>
  <c r="AD30" i="3"/>
  <c r="AD479" i="3"/>
  <c r="AD162" i="3"/>
  <c r="AD32" i="3"/>
  <c r="AD8" i="3"/>
  <c r="AD119" i="3"/>
  <c r="AD1060" i="3"/>
  <c r="AD434" i="3"/>
  <c r="AD209" i="3"/>
  <c r="AD433" i="3"/>
  <c r="AD142" i="3"/>
  <c r="AD926" i="3"/>
  <c r="AD189" i="3"/>
  <c r="AD826" i="3"/>
  <c r="AD616" i="3"/>
  <c r="AD645" i="3"/>
  <c r="AD1215" i="3"/>
  <c r="AD1111" i="3"/>
  <c r="AD781" i="3"/>
  <c r="AD651" i="3"/>
  <c r="AD1206" i="3"/>
  <c r="AD284" i="3"/>
  <c r="AD68" i="3"/>
  <c r="AD1022" i="3"/>
  <c r="AD1095" i="3"/>
  <c r="AD940" i="3"/>
  <c r="AD13" i="3"/>
  <c r="AD154" i="3"/>
  <c r="AD562" i="3"/>
  <c r="AD398" i="3"/>
  <c r="AD1230" i="3"/>
  <c r="AD702" i="3"/>
  <c r="AD585" i="3"/>
  <c r="AD397" i="3"/>
  <c r="AD1158" i="3"/>
  <c r="AD845" i="3"/>
  <c r="AD1126" i="3"/>
  <c r="AD619" i="3"/>
  <c r="AD703" i="3"/>
  <c r="AD392" i="3"/>
  <c r="AD974" i="3"/>
  <c r="AD96" i="3"/>
  <c r="AD207" i="3"/>
  <c r="AD1122" i="3"/>
  <c r="AD1117" i="3"/>
  <c r="AD95" i="3"/>
  <c r="AD610" i="3"/>
  <c r="AD1222" i="3"/>
  <c r="AD694" i="3"/>
  <c r="AD893" i="3"/>
  <c r="AD450" i="3"/>
  <c r="AD459" i="3"/>
  <c r="AD785" i="3"/>
  <c r="AD14" i="3"/>
  <c r="AD992" i="3"/>
  <c r="AD752" i="3"/>
  <c r="AD892" i="3"/>
  <c r="AD1221" i="3"/>
  <c r="AD979" i="3"/>
  <c r="AD492" i="3"/>
  <c r="AD371" i="3"/>
  <c r="AD444" i="3"/>
  <c r="AD869" i="3"/>
  <c r="AD872" i="3"/>
  <c r="AD172" i="3"/>
  <c r="AD46" i="3"/>
  <c r="AD333" i="3"/>
  <c r="AD54" i="3"/>
  <c r="AD525" i="3"/>
  <c r="AD575" i="3"/>
  <c r="AD712" i="3"/>
  <c r="AD578" i="3"/>
  <c r="AD1168" i="3"/>
  <c r="AD878" i="3"/>
  <c r="AD1097" i="3"/>
  <c r="AD551" i="3"/>
  <c r="AD165" i="3"/>
  <c r="AD851" i="3"/>
  <c r="AD261" i="3"/>
  <c r="AD1088" i="3"/>
  <c r="AD340" i="3"/>
  <c r="AD1046" i="3"/>
  <c r="AD1000" i="3"/>
  <c r="AD1166" i="3"/>
  <c r="AD665" i="3"/>
  <c r="AD1138" i="3"/>
  <c r="AD27" i="3"/>
  <c r="AD289" i="3"/>
  <c r="AD58" i="3"/>
  <c r="R5" i="8"/>
  <c r="W5" i="8" s="1"/>
  <c r="B28" i="10"/>
  <c r="B14" i="10"/>
  <c r="B20" i="10"/>
  <c r="B21" i="10"/>
  <c r="B13" i="10"/>
  <c r="B24" i="10"/>
  <c r="B11" i="10"/>
  <c r="B18" i="10"/>
  <c r="B6" i="10"/>
  <c r="B4" i="10"/>
  <c r="B3" i="10"/>
  <c r="B27" i="10"/>
  <c r="B25" i="10"/>
  <c r="B7" i="10"/>
  <c r="B10" i="10"/>
  <c r="B12" i="10"/>
  <c r="B9" i="10"/>
  <c r="B8" i="10"/>
  <c r="B26" i="10"/>
  <c r="B5" i="10"/>
  <c r="B23" i="10"/>
  <c r="B16" i="10"/>
  <c r="B15" i="10"/>
  <c r="B17" i="10"/>
  <c r="W16" i="8"/>
  <c r="W10" i="8"/>
  <c r="W6" i="8"/>
  <c r="W12" i="8"/>
  <c r="W15" i="8"/>
  <c r="W9" i="8"/>
  <c r="W19" i="8"/>
  <c r="W8" i="8"/>
  <c r="W11" i="8"/>
  <c r="W14" i="8"/>
  <c r="W7" i="8"/>
  <c r="W18" i="8"/>
  <c r="W17" i="8"/>
  <c r="W20" i="8"/>
  <c r="W13" i="8"/>
  <c r="I40" i="11" l="1"/>
  <c r="R499" i="3"/>
  <c r="I39" i="11"/>
  <c r="R274" i="3"/>
  <c r="I41" i="11"/>
  <c r="R961" i="3"/>
  <c r="F14" i="10"/>
  <c r="AR302" i="2"/>
  <c r="R526" i="3" s="1"/>
  <c r="AR534" i="2"/>
  <c r="R1194" i="3" s="1"/>
  <c r="AR459" i="2"/>
  <c r="R970" i="3" s="1"/>
  <c r="AR191" i="2"/>
  <c r="R338" i="3" s="1"/>
  <c r="AR532" i="2"/>
  <c r="R1188" i="3" s="1"/>
  <c r="AR544" i="2"/>
  <c r="R1207" i="3" s="1"/>
  <c r="AR470" i="2"/>
  <c r="R1054" i="3" s="1"/>
  <c r="AR553" i="2"/>
  <c r="R1226" i="3" s="1"/>
  <c r="AR420" i="2"/>
  <c r="R861" i="3" s="1"/>
  <c r="AR505" i="2"/>
  <c r="R1140" i="3" s="1"/>
  <c r="AR343" i="2"/>
  <c r="R737" i="3" s="1"/>
  <c r="AR510" i="2"/>
  <c r="R1199" i="3" s="1"/>
  <c r="AR365" i="2"/>
  <c r="R801" i="3" s="1"/>
  <c r="AR289" i="2"/>
  <c r="R557" i="3" s="1"/>
  <c r="AR494" i="2"/>
  <c r="R1121" i="3" s="1"/>
  <c r="AR182" i="2"/>
  <c r="R357" i="3" s="1"/>
  <c r="AR516" i="2"/>
  <c r="R1161" i="3" s="1"/>
  <c r="AR401" i="2"/>
  <c r="R723" i="3" s="1"/>
  <c r="AR537" i="2"/>
  <c r="R1212" i="3" s="1"/>
  <c r="AR538" i="2"/>
  <c r="R1170" i="3" s="1"/>
  <c r="AR543" i="2"/>
  <c r="R1205" i="3" s="1"/>
  <c r="AR160" i="2"/>
  <c r="R286" i="3" s="1"/>
  <c r="AR196" i="2"/>
  <c r="R341" i="3" s="1"/>
  <c r="AR234" i="2"/>
  <c r="R392" i="3" s="1"/>
  <c r="AR12" i="2"/>
  <c r="R29" i="3" s="1"/>
  <c r="AR76" i="2"/>
  <c r="R144" i="3" s="1"/>
  <c r="AR11" i="2"/>
  <c r="R31" i="3" s="1"/>
  <c r="AR85" i="2"/>
  <c r="R171" i="3" s="1"/>
  <c r="AR66" i="2"/>
  <c r="R149" i="3" s="1"/>
  <c r="AR10" i="2"/>
  <c r="R28" i="3" s="1"/>
  <c r="AR7" i="2"/>
  <c r="R16" i="3" s="1"/>
  <c r="AR255" i="2"/>
  <c r="R429" i="3" s="1"/>
  <c r="AR554" i="2"/>
  <c r="R1227" i="3" s="1"/>
  <c r="F13" i="10"/>
  <c r="F3" i="10"/>
  <c r="F28" i="10"/>
  <c r="BA111" i="1"/>
  <c r="R228" i="3" s="1"/>
  <c r="BA25" i="1"/>
  <c r="R33" i="3" s="1"/>
  <c r="AR410" i="2"/>
  <c r="R930" i="3" s="1"/>
  <c r="AR198" i="2"/>
  <c r="R343" i="3" s="1"/>
  <c r="AR91" i="2"/>
  <c r="R200" i="3" s="1"/>
  <c r="AR558" i="2"/>
  <c r="R1229" i="3" s="1"/>
  <c r="AR207" i="2"/>
  <c r="R365" i="3" s="1"/>
  <c r="AR424" i="2"/>
  <c r="R873" i="3" s="1"/>
  <c r="AR334" i="2"/>
  <c r="R647" i="3" s="1"/>
  <c r="AR466" i="2"/>
  <c r="R1040" i="3" s="1"/>
  <c r="AR503" i="2"/>
  <c r="R1190" i="3" s="1"/>
  <c r="AR260" i="2"/>
  <c r="R444" i="3" s="1"/>
  <c r="AR309" i="2"/>
  <c r="R696" i="3" s="1"/>
  <c r="AR249" i="2"/>
  <c r="R413" i="3" s="1"/>
  <c r="AR552" i="2"/>
  <c r="R1225" i="3" s="1"/>
  <c r="AR178" i="2"/>
  <c r="R347" i="3" s="1"/>
  <c r="AR254" i="2"/>
  <c r="R425" i="3" s="1"/>
  <c r="AR515" i="2"/>
  <c r="R1158" i="3" s="1"/>
  <c r="AR223" i="2"/>
  <c r="R320" i="3" s="1"/>
  <c r="AR465" i="2"/>
  <c r="R989" i="3" s="1"/>
  <c r="AR51" i="2"/>
  <c r="R101" i="3" s="1"/>
  <c r="AR189" i="2"/>
  <c r="R335" i="3" s="1"/>
  <c r="AR345" i="2"/>
  <c r="R581" i="3" s="1"/>
  <c r="AR14" i="2"/>
  <c r="R49" i="3" s="1"/>
  <c r="AR101" i="2"/>
  <c r="R189" i="3" s="1"/>
  <c r="AR540" i="2"/>
  <c r="R1178" i="3" s="1"/>
  <c r="AR562" i="2"/>
  <c r="R1233" i="3" s="1"/>
  <c r="AR528" i="2"/>
  <c r="R1206" i="3" s="1"/>
  <c r="AR202" i="2"/>
  <c r="R313" i="3" s="1"/>
  <c r="AR425" i="2"/>
  <c r="R1020" i="3" s="1"/>
  <c r="AR159" i="2"/>
  <c r="R309" i="3" s="1"/>
  <c r="AR240" i="2"/>
  <c r="R439" i="3" s="1"/>
  <c r="AR318" i="2"/>
  <c r="R800" i="3" s="1"/>
  <c r="AR137" i="2"/>
  <c r="R288" i="3" s="1"/>
  <c r="AR71" i="2"/>
  <c r="R122" i="3" s="1"/>
  <c r="AR264" i="2"/>
  <c r="R409" i="3" s="1"/>
  <c r="AR349" i="2"/>
  <c r="R749" i="3" s="1"/>
  <c r="AR165" i="2"/>
  <c r="R322" i="3" s="1"/>
  <c r="AR497" i="2"/>
  <c r="R1152" i="3" s="1"/>
  <c r="AR393" i="2"/>
  <c r="R885" i="3" s="1"/>
  <c r="AR374" i="2"/>
  <c r="R828" i="3" s="1"/>
  <c r="AR492" i="2"/>
  <c r="R1149" i="3" s="1"/>
  <c r="AR372" i="2"/>
  <c r="R736" i="3" s="1"/>
  <c r="AR378" i="2"/>
  <c r="R838" i="3" s="1"/>
  <c r="AR310" i="2"/>
  <c r="R791" i="3" s="1"/>
  <c r="AR184" i="2"/>
  <c r="R321" i="3" s="1"/>
  <c r="AR194" i="2"/>
  <c r="R307" i="3" s="1"/>
  <c r="AR368" i="2"/>
  <c r="R807" i="3" s="1"/>
  <c r="AR176" i="2"/>
  <c r="R311" i="3" s="1"/>
  <c r="AR13" i="2"/>
  <c r="R44" i="3" s="1"/>
  <c r="AR230" i="2"/>
  <c r="R374" i="3" s="1"/>
  <c r="AR340" i="2"/>
  <c r="R819" i="3" s="1"/>
  <c r="AR479" i="2"/>
  <c r="R1047" i="3" s="1"/>
  <c r="AR151" i="2"/>
  <c r="R271" i="3" s="1"/>
  <c r="AR201" i="2"/>
  <c r="R389" i="3" s="1"/>
  <c r="AR380" i="2"/>
  <c r="R760" i="3" s="1"/>
  <c r="AR96" i="2"/>
  <c r="R205" i="3" s="1"/>
  <c r="AR330" i="2"/>
  <c r="R684" i="3" s="1"/>
  <c r="AR63" i="2"/>
  <c r="R114" i="3" s="1"/>
  <c r="AR415" i="2"/>
  <c r="R852" i="3" s="1"/>
  <c r="AR498" i="2"/>
  <c r="R1153" i="3" s="1"/>
  <c r="AR170" i="2"/>
  <c r="R299" i="3" s="1"/>
  <c r="AR485" i="2"/>
  <c r="R1126" i="3" s="1"/>
  <c r="AR348" i="2"/>
  <c r="R746" i="3" s="1"/>
  <c r="AR490" i="2"/>
  <c r="R1114" i="3" s="1"/>
  <c r="AR77" i="2"/>
  <c r="R173" i="3" s="1"/>
  <c r="AR359" i="2"/>
  <c r="R691" i="3" s="1"/>
  <c r="AR177" i="2"/>
  <c r="R312" i="3" s="1"/>
  <c r="AR379" i="2"/>
  <c r="R756" i="3" s="1"/>
  <c r="AR487" i="2"/>
  <c r="R1136" i="3" s="1"/>
  <c r="AR248" i="2"/>
  <c r="R452" i="3" s="1"/>
  <c r="AR400" i="2"/>
  <c r="R812" i="3" s="1"/>
  <c r="AR256" i="2"/>
  <c r="R471" i="3" s="1"/>
  <c r="AR436" i="2"/>
  <c r="R984" i="3" s="1"/>
  <c r="AR396" i="2"/>
  <c r="R964" i="3" s="1"/>
  <c r="AR395" i="2"/>
  <c r="R888" i="3" s="1"/>
  <c r="AR458" i="2"/>
  <c r="R1032" i="3" s="1"/>
  <c r="AR283" i="2"/>
  <c r="R481" i="3" s="1"/>
  <c r="AR235" i="2"/>
  <c r="R433" i="3" s="1"/>
  <c r="AR313" i="2"/>
  <c r="R701" i="3" s="1"/>
  <c r="AR333" i="2"/>
  <c r="R710" i="3" s="1"/>
  <c r="AR301" i="2"/>
  <c r="R525" i="3" s="1"/>
  <c r="AR531" i="2"/>
  <c r="R1187" i="3" s="1"/>
  <c r="AR86" i="2"/>
  <c r="R172" i="3" s="1"/>
  <c r="AR297" i="2"/>
  <c r="R517" i="3" s="1"/>
  <c r="AR560" i="2"/>
  <c r="R1231" i="3" s="1"/>
  <c r="AR357" i="2"/>
  <c r="R687" i="3" s="1"/>
  <c r="AR193" i="2"/>
  <c r="R340" i="3" s="1"/>
  <c r="AR541" i="2"/>
  <c r="R1180" i="3" s="1"/>
  <c r="AR303" i="2"/>
  <c r="R529" i="3" s="1"/>
  <c r="AR429" i="2"/>
  <c r="R911" i="3" s="1"/>
  <c r="AR475" i="2"/>
  <c r="R1029" i="3" s="1"/>
  <c r="AR364" i="2"/>
  <c r="R708" i="3" s="1"/>
  <c r="AR488" i="2"/>
  <c r="R1137" i="3" s="1"/>
  <c r="AR79" i="2"/>
  <c r="R148" i="3" s="1"/>
  <c r="AR180" i="2"/>
  <c r="R261" i="3" s="1"/>
  <c r="AR131" i="2"/>
  <c r="R251" i="3" s="1"/>
  <c r="AR489" i="2"/>
  <c r="R1139" i="3" s="1"/>
  <c r="AR320" i="2"/>
  <c r="R818" i="3" s="1"/>
  <c r="AR539" i="2"/>
  <c r="R1202" i="3" s="1"/>
  <c r="AR332" i="2"/>
  <c r="R798" i="3" s="1"/>
  <c r="AR307" i="2"/>
  <c r="R693" i="3" s="1"/>
  <c r="AR119" i="2"/>
  <c r="R191" i="3" s="1"/>
  <c r="AR482" i="2"/>
  <c r="R1055" i="3" s="1"/>
  <c r="AR341" i="2"/>
  <c r="R821" i="3" s="1"/>
  <c r="AR274" i="2"/>
  <c r="R658" i="3" s="1"/>
  <c r="AR474" i="2"/>
  <c r="R1066" i="3" s="1"/>
  <c r="AR523" i="2"/>
  <c r="R1195" i="3" s="1"/>
  <c r="AR375" i="2"/>
  <c r="R659" i="3" s="1"/>
  <c r="AR241" i="2"/>
  <c r="R476" i="3" s="1"/>
  <c r="AR265" i="2"/>
  <c r="R450" i="3" s="1"/>
  <c r="AR354" i="2"/>
  <c r="R848" i="3" s="1"/>
  <c r="AR405" i="2"/>
  <c r="R923" i="3" s="1"/>
  <c r="AR518" i="2"/>
  <c r="R1162" i="3" s="1"/>
  <c r="AR344" i="2"/>
  <c r="R825" i="3" s="1"/>
  <c r="AR238" i="2"/>
  <c r="R436" i="3" s="1"/>
  <c r="AR130" i="2"/>
  <c r="R250" i="3" s="1"/>
  <c r="AR472" i="2"/>
  <c r="R949" i="3" s="1"/>
  <c r="AR455" i="2"/>
  <c r="R1021" i="3" s="1"/>
  <c r="AR209" i="2"/>
  <c r="R368" i="3" s="1"/>
  <c r="AR394" i="2"/>
  <c r="R884" i="3" s="1"/>
  <c r="AR486" i="2"/>
  <c r="R1090" i="3" s="1"/>
  <c r="AR263" i="2"/>
  <c r="R489" i="3" s="1"/>
  <c r="AR367" i="2"/>
  <c r="R714" i="3" s="1"/>
  <c r="AR53" i="2"/>
  <c r="R95" i="3" s="1"/>
  <c r="AR369" i="2"/>
  <c r="R906" i="3" s="1"/>
  <c r="AR197" i="2"/>
  <c r="R342" i="3" s="1"/>
  <c r="AR473" i="2"/>
  <c r="R1107" i="3" s="1"/>
  <c r="AR526" i="2"/>
  <c r="R1201" i="3" s="1"/>
  <c r="AR342" i="2"/>
  <c r="R735" i="3" s="1"/>
  <c r="AR125" i="2"/>
  <c r="R231" i="3" s="1"/>
  <c r="AR382" i="2"/>
  <c r="R850" i="3" s="1"/>
  <c r="AR203" i="2"/>
  <c r="R348" i="3" s="1"/>
  <c r="AR135" i="2"/>
  <c r="R257" i="3" s="1"/>
  <c r="AR463" i="2"/>
  <c r="R978" i="3" s="1"/>
  <c r="AR517" i="2"/>
  <c r="R1184" i="3" s="1"/>
  <c r="AR50" i="2"/>
  <c r="R100" i="3" s="1"/>
  <c r="AR15" i="2"/>
  <c r="R50" i="3" s="1"/>
  <c r="AR416" i="2"/>
  <c r="R854" i="3" s="1"/>
  <c r="AR105" i="2"/>
  <c r="R193" i="3" s="1"/>
  <c r="AR551" i="2"/>
  <c r="R1223" i="3" s="1"/>
  <c r="AR317" i="2"/>
  <c r="R642" i="3" s="1"/>
  <c r="AR231" i="2"/>
  <c r="R333" i="3" s="1"/>
  <c r="AR438" i="2"/>
  <c r="R924" i="3" s="1"/>
  <c r="AR506" i="2"/>
  <c r="R1143" i="3" s="1"/>
  <c r="AR285" i="2"/>
  <c r="R545" i="3" s="1"/>
  <c r="AR550" i="2"/>
  <c r="R1219" i="3" s="1"/>
  <c r="AR16" i="2"/>
  <c r="R39" i="3" s="1"/>
  <c r="AR233" i="2"/>
  <c r="R426" i="3" s="1"/>
  <c r="AR92" i="2"/>
  <c r="R181" i="3" s="1"/>
  <c r="AR434" i="2"/>
  <c r="R981" i="3" s="1"/>
  <c r="AR232" i="2"/>
  <c r="R461" i="3" s="1"/>
  <c r="AR356" i="2"/>
  <c r="R778" i="3" s="1"/>
  <c r="AR199" i="2"/>
  <c r="R345" i="3" s="1"/>
  <c r="AR557" i="2"/>
  <c r="R1220" i="3" s="1"/>
  <c r="AR444" i="2"/>
  <c r="R933" i="3" s="1"/>
  <c r="AR73" i="2"/>
  <c r="R166" i="3" s="1"/>
  <c r="AR97" i="2"/>
  <c r="R207" i="3" s="1"/>
  <c r="AR347" i="2"/>
  <c r="R744" i="3" s="1"/>
  <c r="AR253" i="2"/>
  <c r="R463" i="3" s="1"/>
  <c r="AR483" i="2"/>
  <c r="R1059" i="3" s="1"/>
  <c r="AR352" i="2"/>
  <c r="R753" i="3" s="1"/>
  <c r="AR206" i="2"/>
  <c r="R324" i="3" s="1"/>
  <c r="AR500" i="2"/>
  <c r="R1157" i="3" s="1"/>
  <c r="AR469" i="2"/>
  <c r="R1100" i="3" s="1"/>
  <c r="AR226" i="2"/>
  <c r="R325" i="3" s="1"/>
  <c r="AR72" i="2"/>
  <c r="R151" i="3" s="1"/>
  <c r="AR324" i="2"/>
  <c r="R587" i="3" s="1"/>
  <c r="AR18" i="2"/>
  <c r="R53" i="3" s="1"/>
  <c r="AR430" i="2"/>
  <c r="R912" i="3" s="1"/>
  <c r="AR522" i="2"/>
  <c r="R1167" i="3" s="1"/>
  <c r="AR200" i="2"/>
  <c r="R346" i="3" s="1"/>
  <c r="AR450" i="2"/>
  <c r="R943" i="3" s="1"/>
  <c r="AR478" i="2"/>
  <c r="R1039" i="3" s="1"/>
  <c r="AR252" i="2"/>
  <c r="R462" i="3" s="1"/>
  <c r="AR399" i="2"/>
  <c r="R811" i="3" s="1"/>
  <c r="AR546" i="2"/>
  <c r="R1213" i="3" s="1"/>
  <c r="AR150" i="2"/>
  <c r="R270" i="3" s="1"/>
  <c r="AR406" i="2"/>
  <c r="R832" i="3" s="1"/>
  <c r="AR308" i="2"/>
  <c r="R625" i="3" s="1"/>
  <c r="AR215" i="2"/>
  <c r="R349" i="3" s="1"/>
  <c r="AR110" i="2"/>
  <c r="R272" i="3" s="1"/>
  <c r="AR174" i="2"/>
  <c r="R283" i="3" s="1"/>
  <c r="AR468" i="2"/>
  <c r="R1003" i="3" s="1"/>
  <c r="AR513" i="2"/>
  <c r="R1179" i="3" s="1"/>
  <c r="AR239" i="2"/>
  <c r="R475" i="3" s="1"/>
  <c r="AR326" i="2"/>
  <c r="R600" i="3" s="1"/>
  <c r="AR267" i="2"/>
  <c r="R451" i="3" s="1"/>
  <c r="AR295" i="2"/>
  <c r="R601" i="3" s="1"/>
  <c r="AR501" i="2"/>
  <c r="R1160" i="3" s="1"/>
  <c r="AR312" i="2"/>
  <c r="R629" i="3" s="1"/>
  <c r="AR521" i="2"/>
  <c r="R1166" i="3" s="1"/>
  <c r="AR163" i="2"/>
  <c r="R317" i="3" s="1"/>
  <c r="AR495" i="2"/>
  <c r="R1177" i="3" s="1"/>
  <c r="AR306" i="2"/>
  <c r="R686" i="3" s="1"/>
  <c r="AR423" i="2"/>
  <c r="R953" i="3" s="1"/>
  <c r="AR555" i="2"/>
  <c r="R1215" i="3" s="1"/>
  <c r="AR286" i="2"/>
  <c r="R632" i="3" s="1"/>
  <c r="AR327" i="2"/>
  <c r="R668" i="3" s="1"/>
  <c r="AR383" i="2"/>
  <c r="R851" i="3" s="1"/>
  <c r="AR216" i="2"/>
  <c r="R394" i="3" s="1"/>
  <c r="AR262" i="2"/>
  <c r="R446" i="3" s="1"/>
  <c r="AR452" i="2"/>
  <c r="R1015" i="3" s="1"/>
  <c r="AR457" i="2"/>
  <c r="R963" i="3" s="1"/>
  <c r="AR82" i="2"/>
  <c r="R178" i="3" s="1"/>
  <c r="AR404" i="2"/>
  <c r="R831" i="3" s="1"/>
  <c r="AR17" i="2"/>
  <c r="R56" i="3" s="1"/>
  <c r="AR353" i="2"/>
  <c r="R757" i="3" s="1"/>
  <c r="AR311" i="2"/>
  <c r="R628" i="3" s="1"/>
  <c r="AR281" i="2"/>
  <c r="R688" i="3" s="1"/>
  <c r="AR219" i="2"/>
  <c r="R438" i="3" s="1"/>
  <c r="AR100" i="2"/>
  <c r="R210" i="3" s="1"/>
  <c r="AR351" i="2"/>
  <c r="R663" i="3" s="1"/>
  <c r="AR402" i="2"/>
  <c r="R916" i="3" s="1"/>
  <c r="AR403" i="2"/>
  <c r="R982" i="3" s="1"/>
  <c r="AR529" i="2"/>
  <c r="R1185" i="3" s="1"/>
  <c r="AR323" i="2"/>
  <c r="R747" i="3" s="1"/>
  <c r="H41" i="11"/>
  <c r="AR122" i="2"/>
  <c r="R229" i="3" s="1"/>
  <c r="AR21" i="2"/>
  <c r="R65" i="3" s="1"/>
  <c r="AR278" i="2"/>
  <c r="R464" i="3" s="1"/>
  <c r="AR179" i="2"/>
  <c r="R289" i="3" s="1"/>
  <c r="AR245" i="2"/>
  <c r="R404" i="3" s="1"/>
  <c r="AR61" i="2"/>
  <c r="R150" i="3" s="1"/>
  <c r="AR388" i="2"/>
  <c r="R773" i="3" s="1"/>
  <c r="AR211" i="2"/>
  <c r="R301" i="3" s="1"/>
  <c r="AR62" i="2"/>
  <c r="R140" i="3" s="1"/>
  <c r="AR339" i="2"/>
  <c r="R728" i="3" s="1"/>
  <c r="AR440" i="2"/>
  <c r="R993" i="3" s="1"/>
  <c r="AR385" i="2"/>
  <c r="R866" i="3" s="1"/>
  <c r="AR214" i="2"/>
  <c r="R428" i="3" s="1"/>
  <c r="AR519" i="2"/>
  <c r="R1191" i="3" s="1"/>
  <c r="AR9" i="2"/>
  <c r="R18" i="3" s="1"/>
  <c r="AR481" i="2"/>
  <c r="R1095" i="3" s="1"/>
  <c r="AR126" i="2"/>
  <c r="R245" i="3" s="1"/>
  <c r="AR84" i="2"/>
  <c r="R168" i="3" s="1"/>
  <c r="AR484" i="2"/>
  <c r="R1142" i="3" s="1"/>
  <c r="AR68" i="2"/>
  <c r="R153" i="3" s="1"/>
  <c r="AR205" i="2"/>
  <c r="R354" i="3" s="1"/>
  <c r="AR335" i="2"/>
  <c r="R721" i="3" s="1"/>
  <c r="AR273" i="2"/>
  <c r="R577" i="3" s="1"/>
  <c r="AR172" i="2"/>
  <c r="R302" i="3" s="1"/>
  <c r="AR408" i="2"/>
  <c r="R839" i="3" s="1"/>
  <c r="AR536" i="2"/>
  <c r="R1224" i="3" s="1"/>
  <c r="AR449" i="2"/>
  <c r="R1010" i="3" s="1"/>
  <c r="AR426" i="2"/>
  <c r="R897" i="3" s="1"/>
  <c r="AR183" i="2"/>
  <c r="R318" i="3" s="1"/>
  <c r="AR433" i="2"/>
  <c r="R979" i="3" s="1"/>
  <c r="AR290" i="2"/>
  <c r="R561" i="3" s="1"/>
  <c r="AR535" i="2"/>
  <c r="R1193" i="3" s="1"/>
  <c r="AR314" i="2"/>
  <c r="R633" i="3" s="1"/>
  <c r="AR361" i="2"/>
  <c r="R698" i="3" s="1"/>
  <c r="AR336" i="2"/>
  <c r="R724" i="3" s="1"/>
  <c r="AR305" i="2"/>
  <c r="R683" i="3" s="1"/>
  <c r="AR428" i="2"/>
  <c r="R907" i="3" s="1"/>
  <c r="AR300" i="2"/>
  <c r="R612" i="3" s="1"/>
  <c r="AR228" i="2"/>
  <c r="R407" i="3" s="1"/>
  <c r="AR127" i="2"/>
  <c r="R246" i="3" s="1"/>
  <c r="AR167" i="2"/>
  <c r="R327" i="3" s="1"/>
  <c r="AR251" i="2"/>
  <c r="R582" i="3" s="1"/>
  <c r="AR371" i="2"/>
  <c r="R732" i="3" s="1"/>
  <c r="AR190" i="2"/>
  <c r="R336" i="3" s="1"/>
  <c r="AR325" i="2"/>
  <c r="R595" i="3" s="1"/>
  <c r="AR136" i="2"/>
  <c r="R284" i="3" s="1"/>
  <c r="AR451" i="2"/>
  <c r="R1104" i="3" s="1"/>
  <c r="AR257" i="2"/>
  <c r="R431" i="3" s="1"/>
  <c r="AR103" i="2"/>
  <c r="R212" i="3" s="1"/>
  <c r="AR421" i="2"/>
  <c r="R863" i="3" s="1"/>
  <c r="AR319" i="2"/>
  <c r="R644" i="3" s="1"/>
  <c r="AR411" i="2"/>
  <c r="R844" i="3" s="1"/>
  <c r="AR168" i="2"/>
  <c r="R297" i="3" s="1"/>
  <c r="AR8" i="2"/>
  <c r="R23" i="3" s="1"/>
  <c r="AR152" i="2"/>
  <c r="R273" i="3" s="1"/>
  <c r="AR243" i="2"/>
  <c r="R441" i="3" s="1"/>
  <c r="AR107" i="2"/>
  <c r="R242" i="3" s="1"/>
  <c r="AR250" i="2"/>
  <c r="R454" i="3" s="1"/>
  <c r="AR69" i="2"/>
  <c r="R120" i="3" s="1"/>
  <c r="AR298" i="2"/>
  <c r="R518" i="3" s="1"/>
  <c r="AR524" i="2"/>
  <c r="R1197" i="3" s="1"/>
  <c r="AR225" i="2"/>
  <c r="R403" i="3" s="1"/>
  <c r="AR496" i="2"/>
  <c r="R1123" i="3" s="1"/>
  <c r="AR227" i="2"/>
  <c r="R405" i="3" s="1"/>
  <c r="AR246" i="2"/>
  <c r="R492" i="3" s="1"/>
  <c r="AR266" i="2"/>
  <c r="R495" i="3" s="1"/>
  <c r="AR439" i="2"/>
  <c r="R925" i="3" s="1"/>
  <c r="AR67" i="2"/>
  <c r="R110" i="3" s="1"/>
  <c r="AR464" i="2"/>
  <c r="R1035" i="3" s="1"/>
  <c r="AR397" i="2"/>
  <c r="R902" i="3" s="1"/>
  <c r="AR548" i="2"/>
  <c r="R1216" i="3" s="1"/>
  <c r="AR407" i="2"/>
  <c r="R837" i="3" s="1"/>
  <c r="AR134" i="2"/>
  <c r="R221" i="3" s="1"/>
  <c r="AR99" i="2"/>
  <c r="R170" i="3" s="1"/>
  <c r="AR288" i="2"/>
  <c r="R556" i="3" s="1"/>
  <c r="AR461" i="2"/>
  <c r="R976" i="3" s="1"/>
  <c r="AR104" i="2"/>
  <c r="R255" i="3" s="1"/>
  <c r="AR155" i="2"/>
  <c r="R278" i="3" s="1"/>
  <c r="AR276" i="2"/>
  <c r="R458" i="3" s="1"/>
  <c r="AR287" i="2"/>
  <c r="R486" i="3" s="1"/>
  <c r="AR509" i="2"/>
  <c r="R1173" i="3" s="1"/>
  <c r="AR545" i="2"/>
  <c r="R1211" i="3" s="1"/>
  <c r="AR275" i="2"/>
  <c r="R457" i="3" s="1"/>
  <c r="AR417" i="2"/>
  <c r="R856" i="3" s="1"/>
  <c r="AR166" i="2"/>
  <c r="R323" i="3" s="1"/>
  <c r="AR456" i="2"/>
  <c r="R1023" i="3" s="1"/>
  <c r="AR80" i="2"/>
  <c r="R161" i="3" s="1"/>
  <c r="AR291" i="2"/>
  <c r="R449" i="3" s="1"/>
  <c r="AR208" i="2"/>
  <c r="R367" i="3" s="1"/>
  <c r="AR337" i="2"/>
  <c r="R725" i="3" s="1"/>
  <c r="AR392" i="2"/>
  <c r="R781" i="3" s="1"/>
  <c r="AR384" i="2"/>
  <c r="R864" i="3" s="1"/>
  <c r="AR525" i="2"/>
  <c r="R1148" i="3" s="1"/>
  <c r="AR362" i="2"/>
  <c r="R699" i="3" s="1"/>
  <c r="AR381" i="2"/>
  <c r="R676" i="3" s="1"/>
  <c r="AR161" i="2"/>
  <c r="R292" i="3" s="1"/>
  <c r="AR192" i="2"/>
  <c r="R339" i="3" s="1"/>
  <c r="AR220" i="2"/>
  <c r="R361" i="3" s="1"/>
  <c r="AR75" i="2"/>
  <c r="R188" i="3" s="1"/>
  <c r="AR460" i="2"/>
  <c r="R972" i="3" s="1"/>
  <c r="AR530" i="2"/>
  <c r="R1186" i="3" s="1"/>
  <c r="AR360" i="2"/>
  <c r="R694" i="3" s="1"/>
  <c r="AR561" i="2"/>
  <c r="R1232" i="3" s="1"/>
  <c r="AR419" i="2"/>
  <c r="R862" i="3" s="1"/>
  <c r="AR186" i="2"/>
  <c r="R329" i="3" s="1"/>
  <c r="AR427" i="2"/>
  <c r="R899" i="3" s="1"/>
  <c r="AR441" i="2"/>
  <c r="R994" i="3" s="1"/>
  <c r="AR338" i="2"/>
  <c r="R727" i="3" s="1"/>
  <c r="AR258" i="2"/>
  <c r="R531" i="3" s="1"/>
  <c r="AR81" i="2"/>
  <c r="R164" i="3" s="1"/>
  <c r="AR511" i="2"/>
  <c r="R1174" i="3" s="1"/>
  <c r="AR5" i="2"/>
  <c r="R8" i="3" s="1"/>
  <c r="AR507" i="2"/>
  <c r="R1146" i="3" s="1"/>
  <c r="AR377" i="2"/>
  <c r="R752" i="3" s="1"/>
  <c r="AR259" i="2"/>
  <c r="R440" i="3" s="1"/>
  <c r="AR185" i="2"/>
  <c r="R296" i="3" s="1"/>
  <c r="AR547" i="2"/>
  <c r="R1214" i="3" s="1"/>
  <c r="AR124" i="2"/>
  <c r="R199" i="3" s="1"/>
  <c r="AR331" i="2"/>
  <c r="R780" i="3" s="1"/>
  <c r="AR499" i="2"/>
  <c r="R1154" i="3" s="1"/>
  <c r="AR102" i="2"/>
  <c r="R211" i="3" s="1"/>
  <c r="AR181" i="2"/>
  <c r="R314" i="3" s="1"/>
  <c r="AR221" i="2"/>
  <c r="R362" i="3" s="1"/>
  <c r="AR447" i="2"/>
  <c r="R938" i="3" s="1"/>
  <c r="AR90" i="2"/>
  <c r="R160" i="3" s="1"/>
  <c r="AR224" i="2"/>
  <c r="R364" i="3" s="1"/>
  <c r="AR390" i="2"/>
  <c r="R869" i="3" s="1"/>
  <c r="AR556" i="2"/>
  <c r="R1217" i="3" s="1"/>
  <c r="AR493" i="2"/>
  <c r="R1150" i="3" s="1"/>
  <c r="AR32" i="2"/>
  <c r="R78" i="3" s="1"/>
  <c r="AR164" i="2"/>
  <c r="R294" i="3" s="1"/>
  <c r="AR363" i="2"/>
  <c r="R891" i="3" s="1"/>
  <c r="AR74" i="2"/>
  <c r="R141" i="3" s="1"/>
  <c r="AR132" i="2"/>
  <c r="R252" i="3" s="1"/>
  <c r="AR454" i="2"/>
  <c r="R956" i="3" s="1"/>
  <c r="AR83" i="2"/>
  <c r="R167" i="3" s="1"/>
  <c r="AR284" i="2"/>
  <c r="R544" i="3" s="1"/>
  <c r="AR471" i="2"/>
  <c r="R1013" i="3" s="1"/>
  <c r="AR549" i="2"/>
  <c r="R1228" i="3" s="1"/>
  <c r="AR268" i="2"/>
  <c r="R497" i="3" s="1"/>
  <c r="AR321" i="2"/>
  <c r="R504" i="3" s="1"/>
  <c r="AR366" i="2"/>
  <c r="R804" i="3" s="1"/>
  <c r="AR520" i="2"/>
  <c r="R1165" i="3" s="1"/>
  <c r="AR533" i="2"/>
  <c r="R1192" i="3" s="1"/>
  <c r="AR212" i="2"/>
  <c r="R382" i="3" s="1"/>
  <c r="AR293" i="2"/>
  <c r="R570" i="3" s="1"/>
  <c r="AR229" i="2"/>
  <c r="R408" i="3" s="1"/>
  <c r="AR153" i="2"/>
  <c r="R275" i="3" s="1"/>
  <c r="AR467" i="2"/>
  <c r="R935" i="3" s="1"/>
  <c r="AR350" i="2"/>
  <c r="R750" i="3" s="1"/>
  <c r="AR162" i="2"/>
  <c r="R293" i="3" s="1"/>
  <c r="AR409" i="2"/>
  <c r="R998" i="3" s="1"/>
  <c r="AR106" i="2"/>
  <c r="R180" i="3" s="1"/>
  <c r="AR386" i="2"/>
  <c r="R867" i="3" s="1"/>
  <c r="AR210" i="2"/>
  <c r="R328" i="3" s="1"/>
  <c r="AR304" i="2"/>
  <c r="R617" i="3" s="1"/>
  <c r="AR446" i="2"/>
  <c r="R937" i="3" s="1"/>
  <c r="AR491" i="2"/>
  <c r="R1071" i="3" s="1"/>
  <c r="AR70" i="2"/>
  <c r="R139" i="3" s="1"/>
  <c r="AR418" i="2"/>
  <c r="R857" i="3" s="1"/>
  <c r="AR213" i="2"/>
  <c r="R418" i="3" s="1"/>
  <c r="AR154" i="2"/>
  <c r="R276" i="3" s="1"/>
  <c r="AR346" i="2"/>
  <c r="R743" i="3" s="1"/>
  <c r="AR128" i="2"/>
  <c r="R268" i="3" s="1"/>
  <c r="AR476" i="2"/>
  <c r="R1075" i="3" s="1"/>
  <c r="AR169" i="2"/>
  <c r="R372" i="3" s="1"/>
  <c r="AR373" i="2"/>
  <c r="R739" i="3" s="1"/>
  <c r="AR442" i="2"/>
  <c r="R996" i="3" s="1"/>
  <c r="AR514" i="2"/>
  <c r="R1127" i="3" s="1"/>
  <c r="AR65" i="2"/>
  <c r="R132" i="3" s="1"/>
  <c r="AR271" i="2"/>
  <c r="R576" i="3" s="1"/>
  <c r="AR389" i="2"/>
  <c r="R775" i="3" s="1"/>
  <c r="AR294" i="2"/>
  <c r="R664" i="3" s="1"/>
  <c r="AR355" i="2"/>
  <c r="R767" i="3" s="1"/>
  <c r="AR299" i="2"/>
  <c r="R675" i="3" s="1"/>
  <c r="AR157" i="2"/>
  <c r="R306" i="3" s="1"/>
  <c r="AR282" i="2"/>
  <c r="R536" i="3" s="1"/>
  <c r="AR527" i="2"/>
  <c r="R1182" i="3" s="1"/>
  <c r="AR398" i="2"/>
  <c r="R904" i="3" s="1"/>
  <c r="AR462" i="2"/>
  <c r="R977" i="3" s="1"/>
  <c r="AR187" i="2"/>
  <c r="R303" i="3" s="1"/>
  <c r="AR188" i="2"/>
  <c r="R381" i="3" s="1"/>
  <c r="AR87" i="2"/>
  <c r="R174" i="3" s="1"/>
  <c r="AR437" i="2"/>
  <c r="R986" i="3" s="1"/>
  <c r="AR296" i="2"/>
  <c r="R469" i="3" s="1"/>
  <c r="AR329" i="2"/>
  <c r="R685" i="3" s="1"/>
  <c r="AR129" i="2"/>
  <c r="R247" i="3" s="1"/>
  <c r="AR387" i="2"/>
  <c r="R772" i="3" s="1"/>
  <c r="AR31" i="2"/>
  <c r="R62" i="3" s="1"/>
  <c r="AR173" i="2"/>
  <c r="R331" i="3" s="1"/>
  <c r="AR109" i="2"/>
  <c r="R186" i="3" s="1"/>
  <c r="AR376" i="2"/>
  <c r="R926" i="3" s="1"/>
  <c r="AR391" i="2"/>
  <c r="R779" i="3" s="1"/>
  <c r="AR370" i="2"/>
  <c r="R809" i="3" s="1"/>
  <c r="AR559" i="2"/>
  <c r="R1230" i="3" s="1"/>
  <c r="AR222" i="2"/>
  <c r="R363" i="3" s="1"/>
  <c r="AR149" i="2"/>
  <c r="R244" i="3" s="1"/>
  <c r="AR358" i="2"/>
  <c r="R783" i="3" s="1"/>
  <c r="AR432" i="2"/>
  <c r="R914" i="3" s="1"/>
  <c r="AR123" i="2"/>
  <c r="R230" i="3" s="1"/>
  <c r="AR272" i="2"/>
  <c r="R455" i="3" s="1"/>
  <c r="AR261" i="2"/>
  <c r="R634" i="3" s="1"/>
  <c r="AR133" i="2"/>
  <c r="R253" i="3" s="1"/>
  <c r="AR328" i="2"/>
  <c r="R670" i="3" s="1"/>
  <c r="AR512" i="2"/>
  <c r="R1175" i="3" s="1"/>
  <c r="AR422" i="2"/>
  <c r="R1016" i="3" s="1"/>
  <c r="AR217" i="2"/>
  <c r="R395" i="3" s="1"/>
  <c r="AR435" i="2"/>
  <c r="R983" i="3" s="1"/>
  <c r="AR270" i="2"/>
  <c r="R573" i="3" s="1"/>
  <c r="AR477" i="2"/>
  <c r="R1080" i="3" s="1"/>
  <c r="AR316" i="2"/>
  <c r="R640" i="3" s="1"/>
  <c r="AR542" i="2"/>
  <c r="R1221" i="3" s="1"/>
  <c r="AR175" i="2"/>
  <c r="R310" i="3" s="1"/>
  <c r="AR218" i="2"/>
  <c r="R355" i="3" s="1"/>
  <c r="AR64" i="2"/>
  <c r="R158" i="3" s="1"/>
  <c r="AR242" i="2"/>
  <c r="R400" i="3" s="1"/>
  <c r="AR448" i="2"/>
  <c r="R1006" i="3" s="1"/>
  <c r="AR236" i="2"/>
  <c r="R435" i="3" s="1"/>
  <c r="AR504" i="2"/>
  <c r="R1164" i="3" s="1"/>
  <c r="AR247" i="2"/>
  <c r="R376" i="3" s="1"/>
  <c r="AR322" i="2"/>
  <c r="R741" i="3" s="1"/>
  <c r="AR414" i="2"/>
  <c r="R939" i="3" s="1"/>
  <c r="AR480" i="2"/>
  <c r="R1130" i="3" s="1"/>
  <c r="AR279" i="2"/>
  <c r="R514" i="3" s="1"/>
  <c r="AR158" i="2"/>
  <c r="R281" i="3" s="1"/>
  <c r="AR6" i="2"/>
  <c r="R13" i="3" s="1"/>
  <c r="AR502" i="2"/>
  <c r="R1131" i="3" s="1"/>
  <c r="AR280" i="2"/>
  <c r="R603" i="3" s="1"/>
  <c r="AR244" i="2"/>
  <c r="R443" i="3" s="1"/>
  <c r="AR443" i="2"/>
  <c r="R997" i="3" s="1"/>
  <c r="AR431" i="2"/>
  <c r="R913" i="3" s="1"/>
  <c r="AR292" i="2"/>
  <c r="R569" i="3" s="1"/>
  <c r="BA9" i="1"/>
  <c r="R10" i="3" s="1"/>
  <c r="AR508" i="2"/>
  <c r="R1172" i="3" s="1"/>
  <c r="AR315" i="2"/>
  <c r="R550" i="3" s="1"/>
  <c r="AR204" i="2"/>
  <c r="R350" i="3" s="1"/>
  <c r="AR453" i="2"/>
  <c r="R1018" i="3" s="1"/>
  <c r="AR195" i="2"/>
  <c r="R308" i="3" s="1"/>
  <c r="AR412" i="2"/>
  <c r="R846" i="3" s="1"/>
  <c r="AR277" i="2"/>
  <c r="R459" i="3" s="1"/>
  <c r="AR269" i="2"/>
  <c r="R502" i="3" s="1"/>
  <c r="AR237" i="2"/>
  <c r="R474" i="3" s="1"/>
  <c r="AR52" i="2"/>
  <c r="R112" i="3" s="1"/>
  <c r="AR156" i="2"/>
  <c r="R279" i="3" s="1"/>
  <c r="AR445" i="2"/>
  <c r="R1000" i="3" s="1"/>
  <c r="AR413" i="2"/>
  <c r="R758" i="3" s="1"/>
  <c r="F25" i="10"/>
  <c r="F11" i="10"/>
  <c r="F27" i="10"/>
  <c r="F12" i="10"/>
  <c r="F5" i="10"/>
  <c r="F6" i="10"/>
  <c r="C6" i="10"/>
  <c r="C7" i="10"/>
  <c r="C12" i="10"/>
  <c r="C8" i="10"/>
  <c r="C13" i="10"/>
  <c r="C28" i="10"/>
  <c r="C5" i="10"/>
  <c r="C21" i="10"/>
  <c r="C9" i="10"/>
  <c r="C14" i="10"/>
  <c r="C26" i="10"/>
  <c r="C24" i="10"/>
  <c r="C18" i="10"/>
  <c r="C23" i="10"/>
  <c r="C22" i="10"/>
  <c r="C15" i="10"/>
  <c r="C17" i="10"/>
  <c r="C4" i="10"/>
  <c r="C16" i="10"/>
  <c r="C20" i="10"/>
  <c r="C27" i="10"/>
  <c r="C25" i="10"/>
  <c r="C3" i="10"/>
  <c r="C10" i="10"/>
  <c r="C11" i="10"/>
  <c r="C19" i="10"/>
  <c r="D23" i="10"/>
  <c r="F22" i="10"/>
  <c r="D25" i="10"/>
  <c r="G25" i="10" s="1"/>
  <c r="D11" i="10"/>
  <c r="G11" i="10" s="1"/>
  <c r="D5" i="10"/>
  <c r="D13" i="10"/>
  <c r="D27" i="10"/>
  <c r="G27" i="10" s="1"/>
  <c r="D26" i="10"/>
  <c r="G26" i="10" s="1"/>
  <c r="D15" i="10"/>
  <c r="D22" i="10"/>
  <c r="G22" i="10" s="1"/>
  <c r="D10" i="10"/>
  <c r="D6" i="10"/>
  <c r="G6" i="10" s="1"/>
  <c r="D19" i="10"/>
  <c r="D17" i="10"/>
  <c r="D7" i="10"/>
  <c r="D28" i="10"/>
  <c r="D9" i="10"/>
  <c r="D21" i="10"/>
  <c r="D20" i="10"/>
  <c r="D16" i="10"/>
  <c r="D14" i="10"/>
  <c r="D24" i="10"/>
  <c r="D3" i="10"/>
  <c r="G3" i="10" s="1"/>
  <c r="D12" i="10"/>
  <c r="G12" i="10" s="1"/>
  <c r="D18" i="10"/>
  <c r="D4" i="10"/>
  <c r="D8" i="10"/>
  <c r="F19" i="10"/>
  <c r="F10" i="10"/>
  <c r="F24" i="10"/>
  <c r="F21" i="10"/>
  <c r="F20" i="10"/>
  <c r="F15" i="10"/>
  <c r="F7" i="10"/>
  <c r="F23" i="10"/>
  <c r="F16" i="10"/>
  <c r="F8" i="10"/>
  <c r="F18" i="10"/>
  <c r="F9" i="10"/>
  <c r="F4" i="10"/>
  <c r="F26" i="10"/>
  <c r="F17" i="10"/>
  <c r="B29" i="10"/>
  <c r="H40" i="11" l="1"/>
  <c r="K40" i="11" s="1"/>
  <c r="H39" i="11"/>
  <c r="K39" i="11" s="1"/>
  <c r="M39" i="11" s="1"/>
  <c r="K41" i="11"/>
  <c r="L41" i="11" s="1"/>
  <c r="J41" i="11"/>
  <c r="E13" i="10"/>
  <c r="G10" i="10"/>
  <c r="G15" i="10"/>
  <c r="G20" i="10"/>
  <c r="G19" i="10"/>
  <c r="E28" i="10"/>
  <c r="G21" i="10"/>
  <c r="G7" i="10"/>
  <c r="G28" i="10"/>
  <c r="G18" i="10"/>
  <c r="G24" i="10"/>
  <c r="G8" i="10"/>
  <c r="E11" i="10"/>
  <c r="I11" i="10" s="1"/>
  <c r="E22" i="10"/>
  <c r="I22" i="10" s="1"/>
  <c r="E19" i="10"/>
  <c r="F29" i="10"/>
  <c r="G23" i="10"/>
  <c r="G9" i="10"/>
  <c r="E26" i="10"/>
  <c r="I26" i="10" s="1"/>
  <c r="E21" i="10"/>
  <c r="E9" i="10"/>
  <c r="E24" i="10"/>
  <c r="E5" i="10"/>
  <c r="E14" i="10"/>
  <c r="G5" i="10"/>
  <c r="G14" i="10"/>
  <c r="E12" i="10"/>
  <c r="I12" i="10" s="1"/>
  <c r="E20" i="10"/>
  <c r="E15" i="10"/>
  <c r="E23" i="10"/>
  <c r="E6" i="10"/>
  <c r="I6" i="10" s="1"/>
  <c r="E25" i="10"/>
  <c r="I25" i="10" s="1"/>
  <c r="E18" i="10"/>
  <c r="E16" i="10"/>
  <c r="E10" i="10"/>
  <c r="E7" i="10"/>
  <c r="G16" i="10"/>
  <c r="E17" i="10"/>
  <c r="E27" i="10"/>
  <c r="I27" i="10" s="1"/>
  <c r="E3" i="10"/>
  <c r="I3" i="10" s="1"/>
  <c r="D29" i="10"/>
  <c r="E4" i="10"/>
  <c r="G17" i="10"/>
  <c r="G4" i="10"/>
  <c r="G13" i="10"/>
  <c r="C29" i="10"/>
  <c r="E8" i="10"/>
  <c r="J40" i="11" l="1"/>
  <c r="M41" i="11"/>
  <c r="N41" i="11" s="1"/>
  <c r="L39" i="11"/>
  <c r="N39" i="11" s="1"/>
  <c r="J39" i="11"/>
  <c r="I13" i="10"/>
  <c r="I20" i="10"/>
  <c r="M40" i="11"/>
  <c r="L40" i="11"/>
  <c r="I10" i="10"/>
  <c r="I18" i="10"/>
  <c r="I23" i="10"/>
  <c r="I24" i="10"/>
  <c r="G29" i="10"/>
  <c r="I15" i="10"/>
  <c r="I19" i="10"/>
  <c r="I21" i="10"/>
  <c r="I14" i="10"/>
  <c r="I28" i="10"/>
  <c r="I4" i="10"/>
  <c r="I17" i="10"/>
  <c r="I16" i="10"/>
  <c r="I5" i="10"/>
  <c r="I7" i="10"/>
  <c r="I8" i="10"/>
  <c r="I9" i="10"/>
  <c r="E29" i="10"/>
  <c r="AD1" i="3"/>
  <c r="AD3" i="3"/>
  <c r="N40" i="11" l="1"/>
</calcChain>
</file>

<file path=xl/sharedStrings.xml><?xml version="1.0" encoding="utf-8"?>
<sst xmlns="http://schemas.openxmlformats.org/spreadsheetml/2006/main" count="32055" uniqueCount="1817">
  <si>
    <t>POS</t>
  </si>
  <si>
    <t>Name</t>
  </si>
  <si>
    <t>Age</t>
  </si>
  <si>
    <t>B</t>
  </si>
  <si>
    <t>T</t>
  </si>
  <si>
    <t>POT</t>
  </si>
  <si>
    <t>WE</t>
  </si>
  <si>
    <t>INT</t>
  </si>
  <si>
    <t>STU</t>
  </si>
  <si>
    <t>MOV</t>
  </si>
  <si>
    <t>CON</t>
  </si>
  <si>
    <t>STU P</t>
  </si>
  <si>
    <t>MOV P</t>
  </si>
  <si>
    <t>CON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</si>
  <si>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</si>
  <si>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</si>
  <si>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</si>
  <si>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</si>
  <si>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</si>
  <si>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</si>
  <si>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</si>
  <si>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</si>
  <si>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</si>
  <si>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</si>
  <si>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</si>
  <si>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</si>
  <si>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</si>
  <si>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</si>
  <si>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</si>
  <si>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</si>
  <si>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</si>
  <si>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</si>
  <si>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</si>
  <si>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</si>
  <si>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</si>
  <si>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</si>
  <si>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</si>
  <si>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</si>
  <si>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</si>
  <si>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</si>
  <si>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</si>
  <si>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DEM</t>
  </si>
  <si>
    <t>R</t>
  </si>
  <si>
    <t>Normal</t>
  </si>
  <si>
    <t>Low</t>
  </si>
  <si>
    <t>-</t>
  </si>
  <si>
    <t>97-99 Mph</t>
  </si>
  <si>
    <t>High</t>
  </si>
  <si>
    <t>95-97 Mph</t>
  </si>
  <si>
    <t>CL</t>
  </si>
  <si>
    <t>LF</t>
  </si>
  <si>
    <t>Very High</t>
  </si>
  <si>
    <t>82-84 Mph</t>
  </si>
  <si>
    <t>L</t>
  </si>
  <si>
    <t>94-96 Mph</t>
  </si>
  <si>
    <t>Very Low</t>
  </si>
  <si>
    <t>91-93 Mph</t>
  </si>
  <si>
    <t>90-92 Mph</t>
  </si>
  <si>
    <t>92-94 Mph</t>
  </si>
  <si>
    <t>98-100 Mph</t>
  </si>
  <si>
    <t>93-95 Mph</t>
  </si>
  <si>
    <t>96-98 Mph</t>
  </si>
  <si>
    <t>S</t>
  </si>
  <si>
    <t>99-101 Mph</t>
  </si>
  <si>
    <t>87-89 Mph</t>
  </si>
  <si>
    <t>85-87 Mph</t>
  </si>
  <si>
    <t>RF</t>
  </si>
  <si>
    <t>84-86 Mph</t>
  </si>
  <si>
    <t>86-88 Mph</t>
  </si>
  <si>
    <t>3B</t>
  </si>
  <si>
    <t>83-85 Mph</t>
  </si>
  <si>
    <t>2B</t>
  </si>
  <si>
    <t>SS</t>
  </si>
  <si>
    <t>80-83 Mph</t>
  </si>
  <si>
    <t>CF</t>
  </si>
  <si>
    <t>GAP</t>
  </si>
  <si>
    <t>POW</t>
  </si>
  <si>
    <t>EYE</t>
  </si>
  <si>
    <t>K's</t>
  </si>
  <si>
    <t>GAP P</t>
  </si>
  <si>
    <t>POW P</t>
  </si>
  <si>
    <t>EYE P</t>
  </si>
  <si>
    <t>K P</t>
  </si>
  <si>
    <t>IF ARM</t>
  </si>
  <si>
    <t>OF ARM</t>
  </si>
  <si>
    <t>C ARM</t>
  </si>
  <si>
    <t>C</t>
  </si>
  <si>
    <t>1B</t>
  </si>
  <si>
    <t>SPE</t>
  </si>
  <si>
    <t>STE</t>
  </si>
  <si>
    <t>RUN</t>
  </si>
  <si>
    <t>Rat</t>
  </si>
  <si>
    <t>Pitch</t>
  </si>
  <si>
    <t>Qpitch</t>
  </si>
  <si>
    <t>Velo</t>
  </si>
  <si>
    <t>Tot</t>
  </si>
  <si>
    <t>zScore</t>
  </si>
  <si>
    <t>Role</t>
  </si>
  <si>
    <t>Rnk</t>
  </si>
  <si>
    <t>List</t>
  </si>
  <si>
    <t>Sign</t>
  </si>
  <si>
    <t>ML</t>
  </si>
  <si>
    <t>Signed For</t>
  </si>
  <si>
    <t>Extremely Hard</t>
  </si>
  <si>
    <t>Very Easy</t>
  </si>
  <si>
    <t>Abbr</t>
  </si>
  <si>
    <t>VH</t>
  </si>
  <si>
    <t>H</t>
  </si>
  <si>
    <t>N</t>
  </si>
  <si>
    <t>VL</t>
  </si>
  <si>
    <t>Velocity</t>
  </si>
  <si>
    <t>Value</t>
  </si>
  <si>
    <t>&lt;75 Mph</t>
  </si>
  <si>
    <t>81-83 Mph</t>
  </si>
  <si>
    <t>101+ Mph</t>
  </si>
  <si>
    <t>Signability</t>
  </si>
  <si>
    <t>EH</t>
  </si>
  <si>
    <t>Hard</t>
  </si>
  <si>
    <t>Easy</t>
  </si>
  <si>
    <t>EZ</t>
  </si>
  <si>
    <t>VE</t>
  </si>
  <si>
    <t>Def</t>
  </si>
  <si>
    <t>Pos</t>
  </si>
  <si>
    <t>Luis</t>
  </si>
  <si>
    <t>Richard</t>
  </si>
  <si>
    <t>Dave</t>
  </si>
  <si>
    <t>Jorge</t>
  </si>
  <si>
    <t>Jon</t>
  </si>
  <si>
    <t>Juan</t>
  </si>
  <si>
    <t>Jeff</t>
  </si>
  <si>
    <t>Michael</t>
  </si>
  <si>
    <t>Davis</t>
  </si>
  <si>
    <t>Mark</t>
  </si>
  <si>
    <t>Brown</t>
  </si>
  <si>
    <t>Ralph</t>
  </si>
  <si>
    <t>Henry</t>
  </si>
  <si>
    <t>Matt</t>
  </si>
  <si>
    <t>Steve</t>
  </si>
  <si>
    <t>Johnson</t>
  </si>
  <si>
    <t>Jack</t>
  </si>
  <si>
    <t>Ron</t>
  </si>
  <si>
    <t>Tony</t>
  </si>
  <si>
    <t>Manuel</t>
  </si>
  <si>
    <t>Mike</t>
  </si>
  <si>
    <t>Clark</t>
  </si>
  <si>
    <t>Bill</t>
  </si>
  <si>
    <t>Tim</t>
  </si>
  <si>
    <t>Scott</t>
  </si>
  <si>
    <t>Alejandro</t>
  </si>
  <si>
    <t>Thomas</t>
  </si>
  <si>
    <t>Carter</t>
  </si>
  <si>
    <t>Rafael</t>
  </si>
  <si>
    <t>Rob</t>
  </si>
  <si>
    <t>Wilson</t>
  </si>
  <si>
    <t>Aaron</t>
  </si>
  <si>
    <t>Vincent</t>
  </si>
  <si>
    <t>Greg</t>
  </si>
  <si>
    <t>Smith</t>
  </si>
  <si>
    <t>Miller</t>
  </si>
  <si>
    <t>Jimmy</t>
  </si>
  <si>
    <t>Javier</t>
  </si>
  <si>
    <t>Manny</t>
  </si>
  <si>
    <t>Williams</t>
  </si>
  <si>
    <t>David</t>
  </si>
  <si>
    <t>Joseph</t>
  </si>
  <si>
    <t>Ward</t>
  </si>
  <si>
    <t>Ryan</t>
  </si>
  <si>
    <t>Bob</t>
  </si>
  <si>
    <t>Billy</t>
  </si>
  <si>
    <t>Anthony</t>
  </si>
  <si>
    <t>Jason</t>
  </si>
  <si>
    <t>Morales</t>
  </si>
  <si>
    <t>Pat</t>
  </si>
  <si>
    <t>Paul</t>
  </si>
  <si>
    <t>Garza</t>
  </si>
  <si>
    <t>Ricardo</t>
  </si>
  <si>
    <t>Dennis</t>
  </si>
  <si>
    <t>Pedro</t>
  </si>
  <si>
    <t>Ramos</t>
  </si>
  <si>
    <t>Joe</t>
  </si>
  <si>
    <t>James</t>
  </si>
  <si>
    <t>Dan</t>
  </si>
  <si>
    <t>Thompson</t>
  </si>
  <si>
    <t>Chris</t>
  </si>
  <si>
    <t>John</t>
  </si>
  <si>
    <t>Brian</t>
  </si>
  <si>
    <t>Lou</t>
  </si>
  <si>
    <t>Lee</t>
  </si>
  <si>
    <t>Eric</t>
  </si>
  <si>
    <t>Carlos</t>
  </si>
  <si>
    <t>Martin</t>
  </si>
  <si>
    <t>Miguel</t>
  </si>
  <si>
    <t>Phillips</t>
  </si>
  <si>
    <t>William</t>
  </si>
  <si>
    <t>Anderson</t>
  </si>
  <si>
    <t>Lewis</t>
  </si>
  <si>
    <t>Jones</t>
  </si>
  <si>
    <t>Salvador</t>
  </si>
  <si>
    <t>Fernando</t>
  </si>
  <si>
    <t>Jerry</t>
  </si>
  <si>
    <t>Nick</t>
  </si>
  <si>
    <t>Flores</t>
  </si>
  <si>
    <t>Robinson</t>
  </si>
  <si>
    <t>Daniel</t>
  </si>
  <si>
    <t>Harris</t>
  </si>
  <si>
    <t>Larry</t>
  </si>
  <si>
    <t>Francisco</t>
  </si>
  <si>
    <t>Rivera</t>
  </si>
  <si>
    <t>Moore</t>
  </si>
  <si>
    <t>George</t>
  </si>
  <si>
    <t>Fred</t>
  </si>
  <si>
    <t>Jim</t>
  </si>
  <si>
    <t>Jordan</t>
  </si>
  <si>
    <t>Torres</t>
  </si>
  <si>
    <t>PID</t>
  </si>
  <si>
    <t>CompID</t>
  </si>
  <si>
    <t>Avg:</t>
  </si>
  <si>
    <t>Con</t>
  </si>
  <si>
    <t>Gap</t>
  </si>
  <si>
    <t>Pow</t>
  </si>
  <si>
    <t>Eye</t>
  </si>
  <si>
    <t>AvK</t>
  </si>
  <si>
    <t>Med:</t>
  </si>
  <si>
    <t>Type</t>
  </si>
  <si>
    <t>Stf</t>
  </si>
  <si>
    <t>Mov</t>
  </si>
  <si>
    <t>Sta</t>
  </si>
  <si>
    <t>Demand</t>
  </si>
  <si>
    <t>pRnk</t>
  </si>
  <si>
    <t>TmpList</t>
  </si>
  <si>
    <t>FinList</t>
  </si>
  <si>
    <t>Ovr</t>
  </si>
  <si>
    <t>Rnd</t>
  </si>
  <si>
    <t>Pick</t>
  </si>
  <si>
    <t>Team</t>
  </si>
  <si>
    <t>Draft Diff</t>
  </si>
  <si>
    <t>Slot?</t>
  </si>
  <si>
    <t>Listing Name</t>
  </si>
  <si>
    <t>Dup</t>
  </si>
  <si>
    <t>??</t>
  </si>
  <si>
    <t>Round 1</t>
  </si>
  <si>
    <t>Player</t>
  </si>
  <si>
    <t>Yuma Bulldozers</t>
  </si>
  <si>
    <t>Aurora Borealis</t>
  </si>
  <si>
    <t>Reno Zephyrs</t>
  </si>
  <si>
    <t>Canton Longshoremen</t>
  </si>
  <si>
    <t>Palm Springs Codgers</t>
  </si>
  <si>
    <t>Kalamazoo Badgers</t>
  </si>
  <si>
    <t>Florida Featherheads</t>
  </si>
  <si>
    <t>West Virginia Alleghenies</t>
  </si>
  <si>
    <t>Kentucky Thoroughbreds</t>
  </si>
  <si>
    <t>London Underground</t>
  </si>
  <si>
    <t>Arlington Bureaucrats</t>
  </si>
  <si>
    <t>Crystal Lake Sandgnats</t>
  </si>
  <si>
    <t>Duluth Warriors</t>
  </si>
  <si>
    <t>Bakersfield Bears</t>
  </si>
  <si>
    <t>Round 2</t>
  </si>
  <si>
    <t>New Orleans Trendsetters</t>
  </si>
  <si>
    <t>Fargo Dinosaurs</t>
  </si>
  <si>
    <t>Round 3</t>
  </si>
  <si>
    <t>Round 4</t>
  </si>
  <si>
    <t>Round 5</t>
  </si>
  <si>
    <t>San Antonio Calzones of Laredo</t>
  </si>
  <si>
    <t>Full Text</t>
  </si>
  <si>
    <t>Bonus</t>
  </si>
  <si>
    <t>MLB</t>
  </si>
  <si>
    <t>MLB Salary</t>
  </si>
  <si>
    <t>MLB Term</t>
  </si>
  <si>
    <t>ID</t>
  </si>
  <si>
    <t>Drafted Players</t>
  </si>
  <si>
    <t>Bonus Eligible</t>
  </si>
  <si>
    <t>Signed</t>
  </si>
  <si>
    <t>Unsigned</t>
  </si>
  <si>
    <t>Avg Bonus</t>
  </si>
  <si>
    <t>Tot Bonus</t>
  </si>
  <si>
    <t>Total</t>
  </si>
  <si>
    <t>Len</t>
  </si>
  <si>
    <t>Text</t>
  </si>
  <si>
    <t>1BSherwood Alldritt21</t>
  </si>
  <si>
    <t>SSStan Phillips22</t>
  </si>
  <si>
    <t>1BGeorge Thomas20</t>
  </si>
  <si>
    <t>LFPaul Hughes18</t>
  </si>
  <si>
    <t>SPBartolo Esquivel22</t>
  </si>
  <si>
    <t>SPThad Taylor22</t>
  </si>
  <si>
    <t>SPDan Boorman18</t>
  </si>
  <si>
    <t>SPChris Longworth21</t>
  </si>
  <si>
    <t>MRTed Sepkiechler18</t>
  </si>
  <si>
    <t>CLRick Saunders21</t>
  </si>
  <si>
    <t>MRÁlex Ramos18</t>
  </si>
  <si>
    <t>C-John Klinger21</t>
  </si>
  <si>
    <t>C-Jesús López22</t>
  </si>
  <si>
    <t>Roberto</t>
  </si>
  <si>
    <t>Bryan</t>
  </si>
  <si>
    <t>Marcos</t>
  </si>
  <si>
    <t>Robert</t>
  </si>
  <si>
    <t>Will</t>
  </si>
  <si>
    <t>Morgan</t>
  </si>
  <si>
    <t>Salazar</t>
  </si>
  <si>
    <t>Roberts</t>
  </si>
  <si>
    <t>Vaughn</t>
  </si>
  <si>
    <t>Castro</t>
  </si>
  <si>
    <t>zScoreBat</t>
  </si>
  <si>
    <t>All Should Remain as Batters Except:</t>
  </si>
  <si>
    <t>posRnk</t>
  </si>
  <si>
    <t>Min Ranked:</t>
  </si>
  <si>
    <t>PEBA Std:</t>
  </si>
  <si>
    <t>PEBA Avg:</t>
  </si>
  <si>
    <t>CFPablo Padilla21</t>
  </si>
  <si>
    <t>MRDaniel Quillen18</t>
  </si>
  <si>
    <t>Picks 1-47</t>
  </si>
  <si>
    <t>48-74</t>
  </si>
  <si>
    <t>75-105</t>
  </si>
  <si>
    <t>106-129</t>
  </si>
  <si>
    <t>130-153</t>
  </si>
  <si>
    <t>Pick in Round</t>
  </si>
  <si>
    <t>Team Name</t>
  </si>
  <si>
    <t>Team ID</t>
  </si>
  <si>
    <t>Player ID</t>
  </si>
  <si>
    <t>eol</t>
  </si>
  <si>
    <t>Bradley</t>
  </si>
  <si>
    <t>Gerald</t>
  </si>
  <si>
    <t>Parker</t>
  </si>
  <si>
    <t>White</t>
  </si>
  <si>
    <t>Johnston</t>
  </si>
  <si>
    <t>Danny</t>
  </si>
  <si>
    <t>Esteban</t>
  </si>
  <si>
    <t>Gary</t>
  </si>
  <si>
    <t>Jesse</t>
  </si>
  <si>
    <t>Allen</t>
  </si>
  <si>
    <t>Ray</t>
  </si>
  <si>
    <t>Mendoza</t>
  </si>
  <si>
    <t>Orlando</t>
  </si>
  <si>
    <t>Delgado</t>
  </si>
  <si>
    <t>Josh</t>
  </si>
  <si>
    <t>Cole</t>
  </si>
  <si>
    <t>Alan</t>
  </si>
  <si>
    <t>Taylor</t>
  </si>
  <si>
    <t>Bobby</t>
  </si>
  <si>
    <t>Bruce</t>
  </si>
  <si>
    <t>Kyle</t>
  </si>
  <si>
    <t>Castillo</t>
  </si>
  <si>
    <t>Sean</t>
  </si>
  <si>
    <t>Ben</t>
  </si>
  <si>
    <t>Ken</t>
  </si>
  <si>
    <t>Berry</t>
  </si>
  <si>
    <t>Kent</t>
  </si>
  <si>
    <t>Howard</t>
  </si>
  <si>
    <t>Patrick</t>
  </si>
  <si>
    <t>Armando</t>
  </si>
  <si>
    <t>Alex</t>
  </si>
  <si>
    <t>Reed</t>
  </si>
  <si>
    <t>Oliver</t>
  </si>
  <si>
    <t>GB</t>
  </si>
  <si>
    <t>NEU</t>
  </si>
  <si>
    <t>EX GB</t>
  </si>
  <si>
    <t>88-90 Mph</t>
  </si>
  <si>
    <t>89-91 Mph</t>
  </si>
  <si>
    <t>EX FB</t>
  </si>
  <si>
    <t>Roger</t>
  </si>
  <si>
    <t>Jacob</t>
  </si>
  <si>
    <t>Tommy</t>
  </si>
  <si>
    <t>Derek</t>
  </si>
  <si>
    <t>bZscore</t>
  </si>
  <si>
    <t>pZscore</t>
  </si>
  <si>
    <t>cmbList</t>
  </si>
  <si>
    <t>zRnk</t>
  </si>
  <si>
    <t>Kato</t>
  </si>
  <si>
    <t>Kichida</t>
  </si>
  <si>
    <t>Justin</t>
  </si>
  <si>
    <t>Adams</t>
  </si>
  <si>
    <t>Doug</t>
  </si>
  <si>
    <t>Millard</t>
  </si>
  <si>
    <t>Tom</t>
  </si>
  <si>
    <t>Travis</t>
  </si>
  <si>
    <t>Curtis</t>
  </si>
  <si>
    <t>Hughes</t>
  </si>
  <si>
    <t>Phil</t>
  </si>
  <si>
    <t>Todd</t>
  </si>
  <si>
    <t>Sato</t>
  </si>
  <si>
    <t>Luke</t>
  </si>
  <si>
    <t>Brad</t>
  </si>
  <si>
    <t>Charles</t>
  </si>
  <si>
    <t>Bernard</t>
  </si>
  <si>
    <t>Alonso</t>
  </si>
  <si>
    <t>Guerra</t>
  </si>
  <si>
    <t>Ohayashi</t>
  </si>
  <si>
    <t>Ed</t>
  </si>
  <si>
    <t>Abe</t>
  </si>
  <si>
    <t>Suzuki</t>
  </si>
  <si>
    <t>Bernardo</t>
  </si>
  <si>
    <t>Foster</t>
  </si>
  <si>
    <t>Owen</t>
  </si>
  <si>
    <t>Moody</t>
  </si>
  <si>
    <t>Takahashi</t>
  </si>
  <si>
    <t>Kokawa</t>
  </si>
  <si>
    <t>Powell</t>
  </si>
  <si>
    <t>Reyes</t>
  </si>
  <si>
    <t>Arthur</t>
  </si>
  <si>
    <t>Terry</t>
  </si>
  <si>
    <t>Blanco</t>
  </si>
  <si>
    <t>Vicente</t>
  </si>
  <si>
    <t>Andrew</t>
  </si>
  <si>
    <t>Cunningham</t>
  </si>
  <si>
    <t>Cook</t>
  </si>
  <si>
    <t>Tanaka</t>
  </si>
  <si>
    <t>Murray</t>
  </si>
  <si>
    <t>Jeremy</t>
  </si>
  <si>
    <t>McCoy</t>
  </si>
  <si>
    <t>Christian</t>
  </si>
  <si>
    <t>Inoue</t>
  </si>
  <si>
    <t>Walt</t>
  </si>
  <si>
    <t>Carl</t>
  </si>
  <si>
    <t>Lloyd</t>
  </si>
  <si>
    <t>Stanley</t>
  </si>
  <si>
    <t>Fujita</t>
  </si>
  <si>
    <t>Reid</t>
  </si>
  <si>
    <t>Samurakami</t>
  </si>
  <si>
    <t>Hashimoto</t>
  </si>
  <si>
    <t>Peter</t>
  </si>
  <si>
    <t>King</t>
  </si>
  <si>
    <t>Matsumoto</t>
  </si>
  <si>
    <t>First</t>
  </si>
  <si>
    <t>Last</t>
  </si>
  <si>
    <t>$2.8m</t>
  </si>
  <si>
    <t>Payne</t>
  </si>
  <si>
    <t>$2.6m</t>
  </si>
  <si>
    <t>Ogai</t>
  </si>
  <si>
    <t>$2.4m</t>
  </si>
  <si>
    <t>$1.1m</t>
  </si>
  <si>
    <t>$1.9m</t>
  </si>
  <si>
    <t>RP</t>
  </si>
  <si>
    <t>$1.7m</t>
  </si>
  <si>
    <t>Dale</t>
  </si>
  <si>
    <t>Brandon</t>
  </si>
  <si>
    <t>$2.2m</t>
  </si>
  <si>
    <t>$1.4m</t>
  </si>
  <si>
    <t>Alexander</t>
  </si>
  <si>
    <t>Lawrence</t>
  </si>
  <si>
    <t>$2.0m</t>
  </si>
  <si>
    <t>Stewart</t>
  </si>
  <si>
    <t>Keith</t>
  </si>
  <si>
    <t>Frank</t>
  </si>
  <si>
    <t>$1.6m</t>
  </si>
  <si>
    <t>Albert</t>
  </si>
  <si>
    <t>Troy</t>
  </si>
  <si>
    <t>Boyd</t>
  </si>
  <si>
    <t>Brooks</t>
  </si>
  <si>
    <t>Bryant</t>
  </si>
  <si>
    <t>$1.8m</t>
  </si>
  <si>
    <t>Johnny</t>
  </si>
  <si>
    <t>Adam</t>
  </si>
  <si>
    <t>Ferguson</t>
  </si>
  <si>
    <t>Ismael</t>
  </si>
  <si>
    <t>Galindo</t>
  </si>
  <si>
    <t>Ernest</t>
  </si>
  <si>
    <t>Pablo</t>
  </si>
  <si>
    <t>Gordon</t>
  </si>
  <si>
    <t>Gray</t>
  </si>
  <si>
    <t>Neal</t>
  </si>
  <si>
    <t>Hicks</t>
  </si>
  <si>
    <t>Nate</t>
  </si>
  <si>
    <t>Luna</t>
  </si>
  <si>
    <t>Ronald</t>
  </si>
  <si>
    <t>Marvin</t>
  </si>
  <si>
    <t>Morris</t>
  </si>
  <si>
    <t>Morton</t>
  </si>
  <si>
    <t>Pete</t>
  </si>
  <si>
    <t>Edgardo</t>
  </si>
  <si>
    <t>Steven</t>
  </si>
  <si>
    <t>Eddie</t>
  </si>
  <si>
    <t>Romero</t>
  </si>
  <si>
    <t>Joey</t>
  </si>
  <si>
    <t>Saunders</t>
  </si>
  <si>
    <t>Sullivan</t>
  </si>
  <si>
    <t>Zack</t>
  </si>
  <si>
    <t>Vargas</t>
  </si>
  <si>
    <t>Vaughan</t>
  </si>
  <si>
    <t>Which</t>
  </si>
  <si>
    <t>P Action</t>
  </si>
  <si>
    <t>B Action</t>
  </si>
  <si>
    <t>Fin Action</t>
  </si>
  <si>
    <t>Diff</t>
  </si>
  <si>
    <t>San Juan Coqui</t>
  </si>
  <si>
    <t>Amsterdam Lions</t>
  </si>
  <si>
    <t>Scottish Claymores</t>
  </si>
  <si>
    <t>Toyama Wind Dancers</t>
  </si>
  <si>
    <t>Neo-Tokyo Akira</t>
  </si>
  <si>
    <t>Havana Leones</t>
  </si>
  <si>
    <t>Shin Seiki Evas</t>
  </si>
  <si>
    <t>Hartford Harpoon</t>
  </si>
  <si>
    <t>Okinawa Shisa</t>
  </si>
  <si>
    <t>Gray Out</t>
  </si>
  <si>
    <t>Amsterdam Lions: Signed Alberto Flores to a minor league contract with a signing bonus of $2,000,000.</t>
  </si>
  <si>
    <t>Amsterdam Lions: Signed Alonso González to a minor league contract with a signing bonus of $600,000.</t>
  </si>
  <si>
    <t>Amsterdam Lions: Signed Ashton Gilbert to a minor league contract with a signing bonus of $140,000.</t>
  </si>
  <si>
    <t>Amsterdam Lions: Signed Ewan Carne to a minor league contract with a signing bonus of $1,200,000.</t>
  </si>
  <si>
    <t>Amsterdam Lions: Signed Mark de Vries to a minor league contract with a signing bonus of $330,000.</t>
  </si>
  <si>
    <t>Arlington Bureaucrats: Signed Erskine Hill to a minor league contract with a signing bonus of $510,000.</t>
  </si>
  <si>
    <t>Arlington Bureaucrats: Signed Jerry Flores to a minor league contract with a signing bonus of $200,000.</t>
  </si>
  <si>
    <t>Arlington Bureaucrats: Signed Torcall Penrose to a minor league contract with a signing bonus of $1,370,000.</t>
  </si>
  <si>
    <t>Aurora Borealis: Signed Humberto Hernández to a minor league contract with a signing bonus of $240,000.</t>
  </si>
  <si>
    <t>Aurora Borealis: Signed James Ostrander to a minor league contract with a signing bonus of $400,000.</t>
  </si>
  <si>
    <t>Bakersfield Bears: Signed Haywood Riley to a minor league contract with a signing bonus of $350,000.</t>
  </si>
  <si>
    <t>Bakersfield Bears: Signed Lenny Horrocks to a minor league contract with a signing bonus of $250,000.</t>
  </si>
  <si>
    <t>Duluth Warriors: Signed Callum MacInnes to a minor league contract with a signing bonus of $140,000.</t>
  </si>
  <si>
    <t>Duluth Warriors: Signed Paquito de la Cruz to a minor league contract with a signing bonus of $180,000.</t>
  </si>
  <si>
    <t>Fargo Dinosaurs: Signed Alexander Ogilvy to a minor league contract with a signing bonus of $190,000.</t>
  </si>
  <si>
    <t>Fargo Dinosaurs: Signed Dave Dixon to a minor league contract with a signing bonus of $4,000,000.</t>
  </si>
  <si>
    <t>Fargo Dinosaurs: Signed Kevin Kirkpatrick to a minor league contract with a signing bonus of $460,000.</t>
  </si>
  <si>
    <t>Florida Featherheads: Signed Bas Lorentz to a minor league contract with a signing bonus of $180,000.</t>
  </si>
  <si>
    <t>Florida Featherheads: Signed Lou Drewery to a minor league contract with a signing bonus of $2,200,000.</t>
  </si>
  <si>
    <t>Florida Featherheads: Signed Mike Thompson to a minor league contract with a signing bonus of $850,000.</t>
  </si>
  <si>
    <t>Florida Featherheads: Signed Ryan Tate to a minor league contract with a signing bonus of $4,400,000.</t>
  </si>
  <si>
    <t>Hartford Harpoon: Signed Ed Black to a minor league contract with a signing bonus of $370,000.</t>
  </si>
  <si>
    <t>Havana Leones: Signed Sean Makepeace to a minor league contract with a signing bonus of $600,000.</t>
  </si>
  <si>
    <t>Kalamazoo Badgers: Signed Alex Payne to a minor league contract with a signing bonus of $220,000.</t>
  </si>
  <si>
    <t>Kalamazoo Badgers: Signed Ogai Ono to a minor league contract with a signing bonus of $2,000,000.</t>
  </si>
  <si>
    <t>Kentucky Thoroughbreds: Signed Ánibal Delgado to a minor league contract with a signing bonus of $500,000.</t>
  </si>
  <si>
    <t>Kentucky Thoroughbreds: Signed José Mora to a minor league contract with a signing bonus of $1,800,000.</t>
  </si>
  <si>
    <t>London Underground: Signed Duane Moss to a minor league contract with a signing bonus of $4,500,000.</t>
  </si>
  <si>
    <t>London Underground: Signed Roberto Alaniz to a minor league contract with a signing bonus of $220,000.</t>
  </si>
  <si>
    <t>Neo-Tokyo Akira: Signed António Bonilla to a minor league contract with a signing bonus of $140,000.</t>
  </si>
  <si>
    <t>Neo-Tokyo Akira: Signed Ben Wallace to a minor league contract with a signing bonus of $300,000.</t>
  </si>
  <si>
    <t>Neo-Tokyo Akira: Signed Ernesto Martínez to a minor league contract with a signing bonus of $1,520,000.</t>
  </si>
  <si>
    <t>Neo-Tokyo Akira: Signed Jake Conrad to a minor league contract with a signing bonus of $200,000.</t>
  </si>
  <si>
    <t>New Orleans Trendsetters: Signed Jason King to a minor league contract with a signing bonus of $500,000.</t>
  </si>
  <si>
    <t>New Orleans Trendsetters: Signed Júlio Nieves to a minor league contract with a signing bonus of $2,500,000.</t>
  </si>
  <si>
    <t>New Orleans Trendsetters: Signed Naizen Kato to a minor league contract with a signing bonus of $300,000.</t>
  </si>
  <si>
    <t>New Orleans Trendsetters: Signed Toby Woods to a minor league contract with a signing bonus of $350,000.</t>
  </si>
  <si>
    <t>Okinawa Shisa: Signed César López to a minor league contract with a signing bonus of $170,000.</t>
  </si>
  <si>
    <t>Okinawa Shisa: Signed Yoshiki Ikeda to a minor league contract with a signing bonus of $150,000.</t>
  </si>
  <si>
    <t>Reno Zephyrs: Signed Geert Neefs to a minor league contract with a signing bonus of $350,000.</t>
  </si>
  <si>
    <t>Reno Zephyrs: Signed Jorge Hart to a minor league contract with a signing bonus of $220,000.</t>
  </si>
  <si>
    <t>San Juan Coqui: Signed Simon Eykelbosch to a minor league contract with a signing bonus of $1,000,000.</t>
  </si>
  <si>
    <t>Scottish Claymores: Signed Corbin King to a minor league contract with a signing bonus of $140,000.</t>
  </si>
  <si>
    <t>Shin Seiki Evas: Signed Nolan McMahon to a minor league contract with a signing bonus of $250,000.</t>
  </si>
  <si>
    <t>Shin Seiki Evas: Signed Ronald Turner to a minor league contract with a signing bonus of $950,000.</t>
  </si>
  <si>
    <t>Toyama Wind Dancers: Signed Juan Encarnación to a minor league contract with a signing bonus of $320,000.</t>
  </si>
  <si>
    <t>Toyama Wind Dancers: Signed Neal Roach to a minor league contract with a signing bonus of $140,000.</t>
  </si>
  <si>
    <t>Toyama Wind Dancers: Signed Zenko Okada to a minor league contract with a signing bonus of $2,600,000.</t>
  </si>
  <si>
    <t>West Virginia Alleghenies: Signed David Lawson to a minor league contract with a signing bonus of $140,000.</t>
  </si>
  <si>
    <t>West Virginia Alleghenies: Signed Mason Gallagher to a minor league contract with a signing bonus of $440,000.</t>
  </si>
  <si>
    <t>Yuma Bulldozers: Signed Bryan Lee to a minor league contract with a signing bonus of $3,000,000.</t>
  </si>
  <si>
    <t>Yuma Bulldozers: Signed Gus Meikleham to a minor league contract with a signing bonus of $300,000.</t>
  </si>
  <si>
    <t>Yuma Bulldozers: Signed John Winters to a minor league contract with a signing bonus of $300,000.</t>
  </si>
  <si>
    <t>Yuma Bulldozers: Signed Ryan Coyfe to a minor league contract with a signing bonus of $500,000.</t>
  </si>
  <si>
    <t>$3.0m</t>
  </si>
  <si>
    <t>$3.2m</t>
  </si>
  <si>
    <t>Harrison</t>
  </si>
  <si>
    <t>Shoji</t>
  </si>
  <si>
    <t>Fujimoto</t>
  </si>
  <si>
    <t>McKinley</t>
  </si>
  <si>
    <t>Nakamura</t>
  </si>
  <si>
    <t>Adrian</t>
  </si>
  <si>
    <t>Hawkins</t>
  </si>
  <si>
    <t>Kennedy</t>
  </si>
  <si>
    <t>Sam</t>
  </si>
  <si>
    <t>Artie</t>
  </si>
  <si>
    <t>Konosuke</t>
  </si>
  <si>
    <t>Franco</t>
  </si>
  <si>
    <t>Mal</t>
  </si>
  <si>
    <t>Nakanishi</t>
  </si>
  <si>
    <t>Max</t>
  </si>
  <si>
    <t>Errol</t>
  </si>
  <si>
    <t>Dermot</t>
  </si>
  <si>
    <t>Dean</t>
  </si>
  <si>
    <t>Kieran</t>
  </si>
  <si>
    <t>Kelly</t>
  </si>
  <si>
    <t>Stan</t>
  </si>
  <si>
    <t>Simpson</t>
  </si>
  <si>
    <t>Ira</t>
  </si>
  <si>
    <t>Crawford</t>
  </si>
  <si>
    <t>Guerrero</t>
  </si>
  <si>
    <t>Kawai</t>
  </si>
  <si>
    <t>Pineda</t>
  </si>
  <si>
    <t>Sanders</t>
  </si>
  <si>
    <t>Joyce</t>
  </si>
  <si>
    <t>Victor</t>
  </si>
  <si>
    <t>Barry</t>
  </si>
  <si>
    <t>Eduardo</t>
  </si>
  <si>
    <t>Roku</t>
  </si>
  <si>
    <t>Matthews</t>
  </si>
  <si>
    <t>Nance</t>
  </si>
  <si>
    <t>Parks</t>
  </si>
  <si>
    <t>Shaw</t>
  </si>
  <si>
    <t>Guillermo</t>
  </si>
  <si>
    <t>STF P</t>
  </si>
  <si>
    <t>Charleston Statesmen</t>
  </si>
  <si>
    <t>Manchester Maulers</t>
  </si>
  <si>
    <t>$180k</t>
  </si>
  <si>
    <t>Alberto</t>
  </si>
  <si>
    <t>$250k</t>
  </si>
  <si>
    <t>Yoshiaga</t>
  </si>
  <si>
    <t>$100k</t>
  </si>
  <si>
    <t>Mitsuhide</t>
  </si>
  <si>
    <t>Yamaguchi</t>
  </si>
  <si>
    <t>$220k</t>
  </si>
  <si>
    <t>$230k</t>
  </si>
  <si>
    <t>Melvin</t>
  </si>
  <si>
    <t>$200k</t>
  </si>
  <si>
    <t>Endo</t>
  </si>
  <si>
    <t>$3.6m</t>
  </si>
  <si>
    <t>$190k</t>
  </si>
  <si>
    <t>Kiyomizu</t>
  </si>
  <si>
    <t>Claudio</t>
  </si>
  <si>
    <t>Ramiro</t>
  </si>
  <si>
    <t>$90k</t>
  </si>
  <si>
    <t>Yamasaki</t>
  </si>
  <si>
    <t>$270k</t>
  </si>
  <si>
    <t>Cliff</t>
  </si>
  <si>
    <t>$750k</t>
  </si>
  <si>
    <t>$340k</t>
  </si>
  <si>
    <t>Keller</t>
  </si>
  <si>
    <t>Morita</t>
  </si>
  <si>
    <t>Shohei</t>
  </si>
  <si>
    <t>$110k</t>
  </si>
  <si>
    <t>Nakano</t>
  </si>
  <si>
    <t>$1.3m</t>
  </si>
  <si>
    <t>Seki</t>
  </si>
  <si>
    <t>Wooten</t>
  </si>
  <si>
    <t>Ian</t>
  </si>
  <si>
    <t>Mata</t>
  </si>
  <si>
    <t>Oshima</t>
  </si>
  <si>
    <t>Edward</t>
  </si>
  <si>
    <t>Robertson</t>
  </si>
  <si>
    <t>Yamauchi</t>
  </si>
  <si>
    <t>Paco</t>
  </si>
  <si>
    <t>$130k</t>
  </si>
  <si>
    <t>Blankenship</t>
  </si>
  <si>
    <t>Stuart</t>
  </si>
  <si>
    <t>Carr</t>
  </si>
  <si>
    <t>Cerda</t>
  </si>
  <si>
    <t>$120k</t>
  </si>
  <si>
    <t>Daniels</t>
  </si>
  <si>
    <t>$550k</t>
  </si>
  <si>
    <t>Hamada</t>
  </si>
  <si>
    <t>Zak</t>
  </si>
  <si>
    <t>Denis</t>
  </si>
  <si>
    <t>Ingram</t>
  </si>
  <si>
    <t>Nathan</t>
  </si>
  <si>
    <t>Nobukazu</t>
  </si>
  <si>
    <t>Jay</t>
  </si>
  <si>
    <t>Lucas</t>
  </si>
  <si>
    <t>Mori</t>
  </si>
  <si>
    <t>Ogawa</t>
  </si>
  <si>
    <t>Liam</t>
  </si>
  <si>
    <t>Riley</t>
  </si>
  <si>
    <t>Rogers</t>
  </si>
  <si>
    <t>Sanu</t>
  </si>
  <si>
    <t>$280k</t>
  </si>
  <si>
    <t>Sosa</t>
  </si>
  <si>
    <t>Shigetoki</t>
  </si>
  <si>
    <t>Shigochiyo</t>
  </si>
  <si>
    <t>Welch</t>
  </si>
  <si>
    <t>Yamane</t>
  </si>
  <si>
    <t>Shojiro</t>
  </si>
  <si>
    <t>Soto</t>
  </si>
  <si>
    <t>Akiyama</t>
  </si>
  <si>
    <t>$240k</t>
  </si>
  <si>
    <t>$320k</t>
  </si>
  <si>
    <t>$330k</t>
  </si>
  <si>
    <t>Garrett</t>
  </si>
  <si>
    <t>Conway</t>
  </si>
  <si>
    <t>Iitsuka</t>
  </si>
  <si>
    <t>Matsuoka</t>
  </si>
  <si>
    <t>Okamoto</t>
  </si>
  <si>
    <t>Yasushi</t>
  </si>
  <si>
    <t>Yoshida</t>
  </si>
  <si>
    <t>$500k</t>
  </si>
  <si>
    <t>Gibson</t>
  </si>
  <si>
    <t>Goto</t>
  </si>
  <si>
    <t>Green</t>
  </si>
  <si>
    <t>$480k</t>
  </si>
  <si>
    <t>Toshiro</t>
  </si>
  <si>
    <t>Reece</t>
  </si>
  <si>
    <t>Shepherd</t>
  </si>
  <si>
    <t>Oscar</t>
  </si>
  <si>
    <t>Kamimura</t>
  </si>
  <si>
    <t>MacNicol</t>
  </si>
  <si>
    <t>Declan</t>
  </si>
  <si>
    <t>$290k</t>
  </si>
  <si>
    <t>Kinji</t>
  </si>
  <si>
    <t>Dudley</t>
  </si>
  <si>
    <t>Duane</t>
  </si>
  <si>
    <t>Marty</t>
  </si>
  <si>
    <t>Lyons</t>
  </si>
  <si>
    <t>Maeda</t>
  </si>
  <si>
    <t>Rice</t>
  </si>
  <si>
    <t>Shigemasa</t>
  </si>
  <si>
    <t>LEA</t>
  </si>
  <si>
    <t>Jamie</t>
  </si>
  <si>
    <t>By Rnd</t>
  </si>
  <si>
    <t>b/pRnk</t>
  </si>
  <si>
    <t>How</t>
  </si>
  <si>
    <t>Yuma Arroyos</t>
  </si>
  <si>
    <t>Niihama-shi Ghosts</t>
  </si>
  <si>
    <t>Madison Malts</t>
  </si>
  <si>
    <t>Tempe Knights</t>
  </si>
  <si>
    <t>Florida Farstriders</t>
  </si>
  <si>
    <t>C ABI</t>
  </si>
  <si>
    <t>SctAcc</t>
  </si>
  <si>
    <t>3.0 Stars</t>
  </si>
  <si>
    <t>2.5 Stars</t>
  </si>
  <si>
    <t>2.0 Stars</t>
  </si>
  <si>
    <t>$150k</t>
  </si>
  <si>
    <t>Average</t>
  </si>
  <si>
    <t>Jenkins</t>
  </si>
  <si>
    <t>Tokutomi</t>
  </si>
  <si>
    <t>Nori</t>
  </si>
  <si>
    <t>1.5 Stars</t>
  </si>
  <si>
    <t>Barrón</t>
  </si>
  <si>
    <t>1.0 Stars</t>
  </si>
  <si>
    <t>$39k</t>
  </si>
  <si>
    <t>Fuller</t>
  </si>
  <si>
    <t>Gamble</t>
  </si>
  <si>
    <t>César</t>
  </si>
  <si>
    <t>García</t>
  </si>
  <si>
    <t>$20k</t>
  </si>
  <si>
    <t>$65k</t>
  </si>
  <si>
    <t>Robby</t>
  </si>
  <si>
    <t>Stephen</t>
  </si>
  <si>
    <t>0.5 Stars</t>
  </si>
  <si>
    <t>Gonzáles</t>
  </si>
  <si>
    <t>$34k</t>
  </si>
  <si>
    <t>José</t>
  </si>
  <si>
    <t>Guzmán</t>
  </si>
  <si>
    <t>Hawk</t>
  </si>
  <si>
    <t>Hernández</t>
  </si>
  <si>
    <t>Kobayashi</t>
  </si>
  <si>
    <t>Kurota</t>
  </si>
  <si>
    <t>$75k</t>
  </si>
  <si>
    <t>Mack</t>
  </si>
  <si>
    <t>Lorenzo</t>
  </si>
  <si>
    <t>$85k</t>
  </si>
  <si>
    <t>$95k</t>
  </si>
  <si>
    <t>Ernesto</t>
  </si>
  <si>
    <t>Nash</t>
  </si>
  <si>
    <t>Toshikazu</t>
  </si>
  <si>
    <t>Shiba</t>
  </si>
  <si>
    <t>$70k</t>
  </si>
  <si>
    <t>Pacheco</t>
  </si>
  <si>
    <t>Elvis</t>
  </si>
  <si>
    <t>Pérez</t>
  </si>
  <si>
    <t>Puckett</t>
  </si>
  <si>
    <t>Rodríguez</t>
  </si>
  <si>
    <t>$80k</t>
  </si>
  <si>
    <t>Sakurai</t>
  </si>
  <si>
    <t>Kawanari</t>
  </si>
  <si>
    <t>Sasaki</t>
  </si>
  <si>
    <t>$850k</t>
  </si>
  <si>
    <t>Isao</t>
  </si>
  <si>
    <t>Umaba</t>
  </si>
  <si>
    <t>$40k</t>
  </si>
  <si>
    <t>Womack</t>
  </si>
  <si>
    <t>Yamamoto</t>
  </si>
  <si>
    <t>Michihiro</t>
  </si>
  <si>
    <t>Yamanaka</t>
  </si>
  <si>
    <t>York</t>
  </si>
  <si>
    <t>$38k</t>
  </si>
  <si>
    <t>Ames</t>
  </si>
  <si>
    <t>Andrews</t>
  </si>
  <si>
    <t>Arteaga</t>
  </si>
  <si>
    <t>Atkins</t>
  </si>
  <si>
    <t>Bailey</t>
  </si>
  <si>
    <t>$370k</t>
  </si>
  <si>
    <t>Bell</t>
  </si>
  <si>
    <t>Raúl</t>
  </si>
  <si>
    <t>Beltrán</t>
  </si>
  <si>
    <t>Mo</t>
  </si>
  <si>
    <t>Blenkin</t>
  </si>
  <si>
    <t>Burke</t>
  </si>
  <si>
    <t>Dwight</t>
  </si>
  <si>
    <t>Buys</t>
  </si>
  <si>
    <t>Ross</t>
  </si>
  <si>
    <t>Flynn</t>
  </si>
  <si>
    <t>Dávila</t>
  </si>
  <si>
    <t>Decker</t>
  </si>
  <si>
    <t>Díaz</t>
  </si>
  <si>
    <t>$60k</t>
  </si>
  <si>
    <t>Ramón</t>
  </si>
  <si>
    <t>Dixon</t>
  </si>
  <si>
    <t>Douglas</t>
  </si>
  <si>
    <t>Ensor</t>
  </si>
  <si>
    <t>Farquharson</t>
  </si>
  <si>
    <t>Frost</t>
  </si>
  <si>
    <t>Hikaru</t>
  </si>
  <si>
    <t>Fujii</t>
  </si>
  <si>
    <t>$400k</t>
  </si>
  <si>
    <t>Gaines</t>
  </si>
  <si>
    <t>Domingo</t>
  </si>
  <si>
    <t>Gallegos</t>
  </si>
  <si>
    <t>Víctor</t>
  </si>
  <si>
    <t>Gato</t>
  </si>
  <si>
    <t>Gómez</t>
  </si>
  <si>
    <t>Graham</t>
  </si>
  <si>
    <t>Katsunan</t>
  </si>
  <si>
    <t>Hayashi</t>
  </si>
  <si>
    <t>Earl</t>
  </si>
  <si>
    <t>António</t>
  </si>
  <si>
    <t>Irving</t>
  </si>
  <si>
    <t>Hill</t>
  </si>
  <si>
    <t>Holloway</t>
  </si>
  <si>
    <t>Jeffrey</t>
  </si>
  <si>
    <t>Nobuhisa</t>
  </si>
  <si>
    <t>Ine</t>
  </si>
  <si>
    <t>Chan-koo</t>
  </si>
  <si>
    <t>Kim</t>
  </si>
  <si>
    <t>Kojima</t>
  </si>
  <si>
    <t>Lancaster</t>
  </si>
  <si>
    <t>Leach</t>
  </si>
  <si>
    <t>López</t>
  </si>
  <si>
    <t>Clint</t>
  </si>
  <si>
    <t>Mallano</t>
  </si>
  <si>
    <t>Márquez</t>
  </si>
  <si>
    <t>$35k</t>
  </si>
  <si>
    <t>Jesús</t>
  </si>
  <si>
    <t>Martínez</t>
  </si>
  <si>
    <t>Martín</t>
  </si>
  <si>
    <t>Matsu</t>
  </si>
  <si>
    <t>May</t>
  </si>
  <si>
    <t>$140k</t>
  </si>
  <si>
    <t>Willie</t>
  </si>
  <si>
    <t>Miranda</t>
  </si>
  <si>
    <t>Montalvo</t>
  </si>
  <si>
    <t>Jun'ichi</t>
  </si>
  <si>
    <t>Mueller</t>
  </si>
  <si>
    <t>Nickels</t>
  </si>
  <si>
    <t>Nix</t>
  </si>
  <si>
    <t>O'Herlihy</t>
  </si>
  <si>
    <t>Naofumi</t>
  </si>
  <si>
    <t>Ortíz</t>
  </si>
  <si>
    <t>Júlio</t>
  </si>
  <si>
    <t>Ota</t>
  </si>
  <si>
    <t>Brant</t>
  </si>
  <si>
    <t>Parsons</t>
  </si>
  <si>
    <t>$36k</t>
  </si>
  <si>
    <t>Ted</t>
  </si>
  <si>
    <t>Patton</t>
  </si>
  <si>
    <t>Iván</t>
  </si>
  <si>
    <t>Peña</t>
  </si>
  <si>
    <t>Arturo</t>
  </si>
  <si>
    <t>Irwin</t>
  </si>
  <si>
    <t>Enrique</t>
  </si>
  <si>
    <t>Ramírez</t>
  </si>
  <si>
    <t>Richardson</t>
  </si>
  <si>
    <t>Russell</t>
  </si>
  <si>
    <t>Cristóbal</t>
  </si>
  <si>
    <t>Sánchez</t>
  </si>
  <si>
    <t>Alfonso</t>
  </si>
  <si>
    <t>Schmitt</t>
  </si>
  <si>
    <t>Seals</t>
  </si>
  <si>
    <t>Karl</t>
  </si>
  <si>
    <t>Sims</t>
  </si>
  <si>
    <t>Haywood</t>
  </si>
  <si>
    <t>Naoya</t>
  </si>
  <si>
    <t>Sumio</t>
  </si>
  <si>
    <t>Tsukamoto</t>
  </si>
  <si>
    <t>Vásquez</t>
  </si>
  <si>
    <t>Vázquez</t>
  </si>
  <si>
    <t>$390k</t>
  </si>
  <si>
    <t>Drew</t>
  </si>
  <si>
    <t>Daryl</t>
  </si>
  <si>
    <t>Blevins</t>
  </si>
  <si>
    <t>Burgess</t>
  </si>
  <si>
    <t>Caldwell</t>
  </si>
  <si>
    <t>Cantú</t>
  </si>
  <si>
    <t>Valentín</t>
  </si>
  <si>
    <t>Coriand</t>
  </si>
  <si>
    <t>Diéguez</t>
  </si>
  <si>
    <t>Dooley</t>
  </si>
  <si>
    <t>Downing</t>
  </si>
  <si>
    <t>Elton</t>
  </si>
  <si>
    <t>Dyment</t>
  </si>
  <si>
    <t>Ellison</t>
  </si>
  <si>
    <t>Encarnación</t>
  </si>
  <si>
    <t>Flowers</t>
  </si>
  <si>
    <t>Gane</t>
  </si>
  <si>
    <t>González</t>
  </si>
  <si>
    <t>Gutiérrez</t>
  </si>
  <si>
    <t>Hinojosa</t>
  </si>
  <si>
    <t>Hoyt</t>
  </si>
  <si>
    <t>Cris</t>
  </si>
  <si>
    <t>Ito</t>
  </si>
  <si>
    <t>Ángel</t>
  </si>
  <si>
    <t>Jiménez</t>
  </si>
  <si>
    <t>Kanno</t>
  </si>
  <si>
    <t>Kimura</t>
  </si>
  <si>
    <t>Leeuwenburgh</t>
  </si>
  <si>
    <t>Maurice</t>
  </si>
  <si>
    <t>Manush</t>
  </si>
  <si>
    <t>Miyamoto</t>
  </si>
  <si>
    <t>Stu</t>
  </si>
  <si>
    <t>Susumu</t>
  </si>
  <si>
    <t>Cedric</t>
  </si>
  <si>
    <t>Tomás</t>
  </si>
  <si>
    <t>Masayoshi</t>
  </si>
  <si>
    <t>Shimizu</t>
  </si>
  <si>
    <t>Stevens</t>
  </si>
  <si>
    <t>Donnie</t>
  </si>
  <si>
    <t>Trujillo</t>
  </si>
  <si>
    <t>Flobert</t>
  </si>
  <si>
    <t>van Houten</t>
  </si>
  <si>
    <t>Eibe</t>
  </si>
  <si>
    <t>van Meggelen</t>
  </si>
  <si>
    <t>Ryoma</t>
  </si>
  <si>
    <t>Yoriyoshi</t>
  </si>
  <si>
    <t>Willis</t>
  </si>
  <si>
    <t>3.5 Stars</t>
  </si>
  <si>
    <t>Campbell</t>
  </si>
  <si>
    <t>Álex</t>
  </si>
  <si>
    <t>Carson</t>
  </si>
  <si>
    <t>Horiuchi</t>
  </si>
  <si>
    <t>Wheeler</t>
  </si>
  <si>
    <t>$3.8m</t>
  </si>
  <si>
    <t>$160k</t>
  </si>
  <si>
    <t>Héctor</t>
  </si>
  <si>
    <t>$410k</t>
  </si>
  <si>
    <t>Rich</t>
  </si>
  <si>
    <t>Pruitt</t>
  </si>
  <si>
    <t>Yamada</t>
  </si>
  <si>
    <t>Lúcio</t>
  </si>
  <si>
    <t>Ando</t>
  </si>
  <si>
    <t>Árias</t>
  </si>
  <si>
    <t>Baba</t>
  </si>
  <si>
    <t>Baldwin</t>
  </si>
  <si>
    <t>Sun</t>
  </si>
  <si>
    <t>Bishop</t>
  </si>
  <si>
    <t>Bonilla</t>
  </si>
  <si>
    <t>Louis</t>
  </si>
  <si>
    <t>Al</t>
  </si>
  <si>
    <t>Camarillo</t>
  </si>
  <si>
    <t>Canales</t>
  </si>
  <si>
    <t>Walter</t>
  </si>
  <si>
    <t>Castaneda</t>
  </si>
  <si>
    <t>Shawn</t>
  </si>
  <si>
    <t>Chasco</t>
  </si>
  <si>
    <t>Chiesman</t>
  </si>
  <si>
    <t>Chikafuji</t>
  </si>
  <si>
    <t>Cleaves</t>
  </si>
  <si>
    <t>Reese</t>
  </si>
  <si>
    <t>Cruz</t>
  </si>
  <si>
    <t>Daly</t>
  </si>
  <si>
    <t>Kiyomitsu</t>
  </si>
  <si>
    <t>Estrada</t>
  </si>
  <si>
    <t>Franklin</t>
  </si>
  <si>
    <t>Filmer</t>
  </si>
  <si>
    <t>Reggie</t>
  </si>
  <si>
    <t>Gallardo</t>
  </si>
  <si>
    <t>Toshitsugu</t>
  </si>
  <si>
    <t>Gerardo</t>
  </si>
  <si>
    <t>Goodwin</t>
  </si>
  <si>
    <t>Augusto</t>
  </si>
  <si>
    <t>Hankey</t>
  </si>
  <si>
    <t>Shichirobei</t>
  </si>
  <si>
    <t>Rubén</t>
  </si>
  <si>
    <t>Santiago</t>
  </si>
  <si>
    <t>Gael</t>
  </si>
  <si>
    <t>Hide</t>
  </si>
  <si>
    <t>Jude</t>
  </si>
  <si>
    <t>Holmes</t>
  </si>
  <si>
    <t>Hurtado</t>
  </si>
  <si>
    <t>Bert</t>
  </si>
  <si>
    <t>Ikarashi</t>
  </si>
  <si>
    <t>Ishii</t>
  </si>
  <si>
    <t>Juárez</t>
  </si>
  <si>
    <t>Takanobu</t>
  </si>
  <si>
    <t>Kavanaugh</t>
  </si>
  <si>
    <t>Kelley</t>
  </si>
  <si>
    <t>Tetsu</t>
  </si>
  <si>
    <t>Kikuchi</t>
  </si>
  <si>
    <t>Masahide</t>
  </si>
  <si>
    <t>Kools</t>
  </si>
  <si>
    <t>Thom</t>
  </si>
  <si>
    <t>Long</t>
  </si>
  <si>
    <t>Kane</t>
  </si>
  <si>
    <t>MacDerment</t>
  </si>
  <si>
    <t>Masuda</t>
  </si>
  <si>
    <t>Matos</t>
  </si>
  <si>
    <t>Taizo</t>
  </si>
  <si>
    <t>Morán</t>
  </si>
  <si>
    <t>Murdoch</t>
  </si>
  <si>
    <t>Shuncho</t>
  </si>
  <si>
    <t>Nakagawa</t>
  </si>
  <si>
    <t>Yo</t>
  </si>
  <si>
    <t>Yosuke</t>
  </si>
  <si>
    <t>Sugimoto</t>
  </si>
  <si>
    <t>Yorikane</t>
  </si>
  <si>
    <t>Nicholson</t>
  </si>
  <si>
    <t>O'Reilly</t>
  </si>
  <si>
    <t>Masashige</t>
  </si>
  <si>
    <t>Trevor</t>
  </si>
  <si>
    <t>Orson</t>
  </si>
  <si>
    <t>Page</t>
  </si>
  <si>
    <t>Clement</t>
  </si>
  <si>
    <t>Ramsey</t>
  </si>
  <si>
    <t>Shaun</t>
  </si>
  <si>
    <t>Jarne</t>
  </si>
  <si>
    <t>Kenneth</t>
  </si>
  <si>
    <t>Saikawa</t>
  </si>
  <si>
    <t>Kagehisa</t>
  </si>
  <si>
    <t>Sakei</t>
  </si>
  <si>
    <t>Kiyonobu</t>
  </si>
  <si>
    <t>Santana</t>
  </si>
  <si>
    <t>Tulio</t>
  </si>
  <si>
    <t>Nobuatsu</t>
  </si>
  <si>
    <t>Donny</t>
  </si>
  <si>
    <t>Schipper</t>
  </si>
  <si>
    <t>Schmidt</t>
  </si>
  <si>
    <t>Yachi</t>
  </si>
  <si>
    <t>Skinner</t>
  </si>
  <si>
    <t>Emílio</t>
  </si>
  <si>
    <t>Roderick</t>
  </si>
  <si>
    <t>Charlie</t>
  </si>
  <si>
    <t>Strong</t>
  </si>
  <si>
    <t>Takeuchi</t>
  </si>
  <si>
    <t>Tavárez</t>
  </si>
  <si>
    <t>Christopher</t>
  </si>
  <si>
    <t>Urmston</t>
  </si>
  <si>
    <t>Valdés</t>
  </si>
  <si>
    <t>Watanabe</t>
  </si>
  <si>
    <t>Watcham</t>
  </si>
  <si>
    <t>Caleb</t>
  </si>
  <si>
    <t>Kimi</t>
  </si>
  <si>
    <t>Tanzan</t>
  </si>
  <si>
    <t>Late</t>
  </si>
  <si>
    <t>Young</t>
  </si>
  <si>
    <t>Favor</t>
  </si>
  <si>
    <t>Doss</t>
  </si>
  <si>
    <t>MacVurich</t>
  </si>
  <si>
    <t>Bradford</t>
  </si>
  <si>
    <t>$650k</t>
  </si>
  <si>
    <t>Takeichi</t>
  </si>
  <si>
    <t>Rien</t>
  </si>
  <si>
    <t>León</t>
  </si>
  <si>
    <t>MacNeil</t>
  </si>
  <si>
    <t>MacPherson</t>
  </si>
  <si>
    <t>Toshinobu</t>
  </si>
  <si>
    <t>Nakao</t>
  </si>
  <si>
    <t>Barnes</t>
  </si>
  <si>
    <t>Torvald</t>
  </si>
  <si>
    <t>Bouwman</t>
  </si>
  <si>
    <t>Mendel</t>
  </si>
  <si>
    <t>de Kok</t>
  </si>
  <si>
    <t>Oniji</t>
  </si>
  <si>
    <t>Kichikawa</t>
  </si>
  <si>
    <t>Knox</t>
  </si>
  <si>
    <t>Yoichibei</t>
  </si>
  <si>
    <t>Miura</t>
  </si>
  <si>
    <t>Corey</t>
  </si>
  <si>
    <t>Navarro</t>
  </si>
  <si>
    <t>Nii</t>
  </si>
  <si>
    <t>Picado</t>
  </si>
  <si>
    <t>Scragg</t>
  </si>
  <si>
    <t>Álvarez</t>
  </si>
  <si>
    <t>Carlton</t>
  </si>
  <si>
    <t>Sieb</t>
  </si>
  <si>
    <t>Angelbeek</t>
  </si>
  <si>
    <t>Bain</t>
  </si>
  <si>
    <t>Ballard</t>
  </si>
  <si>
    <t>Darrell</t>
  </si>
  <si>
    <t>Benjamin</t>
  </si>
  <si>
    <t>Bermúdez</t>
  </si>
  <si>
    <t>Chaundler</t>
  </si>
  <si>
    <t>Collins</t>
  </si>
  <si>
    <t>Coronado</t>
  </si>
  <si>
    <t>Daisen</t>
  </si>
  <si>
    <t>Alfredo</t>
  </si>
  <si>
    <t>Domínguez</t>
  </si>
  <si>
    <t>Dwennon</t>
  </si>
  <si>
    <t>Timmy</t>
  </si>
  <si>
    <t>Eenkhoorn</t>
  </si>
  <si>
    <t>Follitt</t>
  </si>
  <si>
    <t>Fukuda</t>
  </si>
  <si>
    <t>Ernie</t>
  </si>
  <si>
    <t>$360k</t>
  </si>
  <si>
    <t>Sergio</t>
  </si>
  <si>
    <t>Lynn</t>
  </si>
  <si>
    <t>Greene</t>
  </si>
  <si>
    <t>Royce</t>
  </si>
  <si>
    <t>Adrián</t>
  </si>
  <si>
    <t>Shimpei</t>
  </si>
  <si>
    <t>Hatsutori</t>
  </si>
  <si>
    <t>Iemitsu</t>
  </si>
  <si>
    <t>Hayagawa</t>
  </si>
  <si>
    <t>Kyrle</t>
  </si>
  <si>
    <t>Freddy</t>
  </si>
  <si>
    <t>Liriano</t>
  </si>
  <si>
    <t>Joshua</t>
  </si>
  <si>
    <t>MacLaine</t>
  </si>
  <si>
    <t>Yoshitsune</t>
  </si>
  <si>
    <t>Koji</t>
  </si>
  <si>
    <t>Matta</t>
  </si>
  <si>
    <t>Meléndez</t>
  </si>
  <si>
    <t>Mercado</t>
  </si>
  <si>
    <t>Arnie</t>
  </si>
  <si>
    <t>Ieyoshi</t>
  </si>
  <si>
    <t>Kiyomori</t>
  </si>
  <si>
    <t>Tadataka</t>
  </si>
  <si>
    <t>Murakami</t>
  </si>
  <si>
    <t>Marihito</t>
  </si>
  <si>
    <t>Nagai</t>
  </si>
  <si>
    <t>Nishimura</t>
  </si>
  <si>
    <t>Kenny</t>
  </si>
  <si>
    <t>Oglethorpe</t>
  </si>
  <si>
    <t>Oliveros</t>
  </si>
  <si>
    <t>Onishi</t>
  </si>
  <si>
    <t>Ordóñez</t>
  </si>
  <si>
    <t>Don</t>
  </si>
  <si>
    <t>Orr</t>
  </si>
  <si>
    <t>Padilla</t>
  </si>
  <si>
    <t>Peyto</t>
  </si>
  <si>
    <t>Pittman</t>
  </si>
  <si>
    <t>Raines</t>
  </si>
  <si>
    <t>Felipe</t>
  </si>
  <si>
    <t>Gustavo</t>
  </si>
  <si>
    <t>Randín</t>
  </si>
  <si>
    <t>Sano</t>
  </si>
  <si>
    <t>Bartho</t>
  </si>
  <si>
    <t>Schoof</t>
  </si>
  <si>
    <t>Sotelo</t>
  </si>
  <si>
    <t>Steward</t>
  </si>
  <si>
    <t>Masahiko</t>
  </si>
  <si>
    <t>Takata</t>
  </si>
  <si>
    <t>Terrezas</t>
  </si>
  <si>
    <t>$300k</t>
  </si>
  <si>
    <t>Zach</t>
  </si>
  <si>
    <t>Wilcox</t>
  </si>
  <si>
    <t>Takayuki</t>
  </si>
  <si>
    <t>Shigekazu</t>
  </si>
  <si>
    <t>Noboru</t>
  </si>
  <si>
    <t>Kohei</t>
  </si>
  <si>
    <t>Hui-ying</t>
  </si>
  <si>
    <t>Yang</t>
  </si>
  <si>
    <t>Jamy</t>
  </si>
  <si>
    <t>Aalbers</t>
  </si>
  <si>
    <t>Torazo</t>
  </si>
  <si>
    <t>Aguilera</t>
  </si>
  <si>
    <t>Alarcon</t>
  </si>
  <si>
    <t>Alvarado</t>
  </si>
  <si>
    <t>Hideaki</t>
  </si>
  <si>
    <t>Arai</t>
  </si>
  <si>
    <t>Avalos</t>
  </si>
  <si>
    <t>Ax</t>
  </si>
  <si>
    <t>Bagnell</t>
  </si>
  <si>
    <t>Beasley</t>
  </si>
  <si>
    <t>Benson</t>
  </si>
  <si>
    <t>Rhys</t>
  </si>
  <si>
    <t>Bisset</t>
  </si>
  <si>
    <t>Burt</t>
  </si>
  <si>
    <t>Bly</t>
  </si>
  <si>
    <t>Borlase</t>
  </si>
  <si>
    <t>Calderón</t>
  </si>
  <si>
    <t>Ubaldo</t>
  </si>
  <si>
    <t>Capasso</t>
  </si>
  <si>
    <t>Carvajal</t>
  </si>
  <si>
    <t>Chávez</t>
  </si>
  <si>
    <t>Christensen</t>
  </si>
  <si>
    <t>Clay</t>
  </si>
  <si>
    <t>Coffey</t>
  </si>
  <si>
    <t>Collen</t>
  </si>
  <si>
    <t>Jonas</t>
  </si>
  <si>
    <t>Compagne</t>
  </si>
  <si>
    <t>Alfie</t>
  </si>
  <si>
    <t>Copeland</t>
  </si>
  <si>
    <t>Cross</t>
  </si>
  <si>
    <t>Deangelo</t>
  </si>
  <si>
    <t>Densmore</t>
  </si>
  <si>
    <t>Barney</t>
  </si>
  <si>
    <t>Donaldson</t>
  </si>
  <si>
    <t>Dorsey</t>
  </si>
  <si>
    <t>Dyer</t>
  </si>
  <si>
    <t>Eager</t>
  </si>
  <si>
    <t>River</t>
  </si>
  <si>
    <t>Edwards</t>
  </si>
  <si>
    <t>Ellis</t>
  </si>
  <si>
    <t>Escobar</t>
  </si>
  <si>
    <t>Espinoza</t>
  </si>
  <si>
    <t>Evenson</t>
  </si>
  <si>
    <t>Foley</t>
  </si>
  <si>
    <t>Galló</t>
  </si>
  <si>
    <t>Goater</t>
  </si>
  <si>
    <t>Katsuhiko</t>
  </si>
  <si>
    <t>Gribble</t>
  </si>
  <si>
    <t>Ichiyo</t>
  </si>
  <si>
    <t>Hakui</t>
  </si>
  <si>
    <t>Munemori</t>
  </si>
  <si>
    <t>Hara</t>
  </si>
  <si>
    <t>Yeijiro</t>
  </si>
  <si>
    <t>Hardin</t>
  </si>
  <si>
    <t>Hartley</t>
  </si>
  <si>
    <t>Inejiro</t>
  </si>
  <si>
    <t>Tomomi</t>
  </si>
  <si>
    <t>Holton</t>
  </si>
  <si>
    <t>Hopper</t>
  </si>
  <si>
    <t>Cam</t>
  </si>
  <si>
    <t>Seishiro</t>
  </si>
  <si>
    <t>Marco</t>
  </si>
  <si>
    <t>Irvegas</t>
  </si>
  <si>
    <t>Kenzaburo</t>
  </si>
  <si>
    <t>Shingen</t>
  </si>
  <si>
    <t>Jessup</t>
  </si>
  <si>
    <t>Tadamichi</t>
  </si>
  <si>
    <t>Jouon</t>
  </si>
  <si>
    <t>Hisanobu</t>
  </si>
  <si>
    <t>Kojuro</t>
  </si>
  <si>
    <t>Orinosuke</t>
  </si>
  <si>
    <t>Koga</t>
  </si>
  <si>
    <t>Bas</t>
  </si>
  <si>
    <t>Kooijman</t>
  </si>
  <si>
    <t>Ladds</t>
  </si>
  <si>
    <t>Jonathan</t>
  </si>
  <si>
    <t>Langman</t>
  </si>
  <si>
    <t>Wei-liang</t>
  </si>
  <si>
    <t>Li</t>
  </si>
  <si>
    <t>Lópes</t>
  </si>
  <si>
    <t>Aurelio</t>
  </si>
  <si>
    <t>Lortie</t>
  </si>
  <si>
    <t>Loverock</t>
  </si>
  <si>
    <t>MacDonald</t>
  </si>
  <si>
    <t>Matthew</t>
  </si>
  <si>
    <t>MacGregor</t>
  </si>
  <si>
    <t>MacWhirter</t>
  </si>
  <si>
    <t>MacWilliams</t>
  </si>
  <si>
    <t>Madison</t>
  </si>
  <si>
    <t>Marsh</t>
  </si>
  <si>
    <t>Marshall</t>
  </si>
  <si>
    <t>$170k</t>
  </si>
  <si>
    <t>Marte</t>
  </si>
  <si>
    <t>Herman</t>
  </si>
  <si>
    <t>Mason</t>
  </si>
  <si>
    <t>Kuniaki</t>
  </si>
  <si>
    <t>Mathews</t>
  </si>
  <si>
    <t>Koryusai</t>
  </si>
  <si>
    <t>Eugene</t>
  </si>
  <si>
    <t>Maxwell</t>
  </si>
  <si>
    <t>Whit</t>
  </si>
  <si>
    <t>McCormick</t>
  </si>
  <si>
    <t>McGaughey</t>
  </si>
  <si>
    <t>McMullen</t>
  </si>
  <si>
    <t>Carmine</t>
  </si>
  <si>
    <t>Miyazaki</t>
  </si>
  <si>
    <t>Morín</t>
  </si>
  <si>
    <t>Yatsuhiro</t>
  </si>
  <si>
    <t>Yasuhiro</t>
  </si>
  <si>
    <t>Tamotsu</t>
  </si>
  <si>
    <t>Nagata</t>
  </si>
  <si>
    <t>Masaharu</t>
  </si>
  <si>
    <t>Tanyu</t>
  </si>
  <si>
    <t>Nakai</t>
  </si>
  <si>
    <t>Iwao</t>
  </si>
  <si>
    <t>Narita</t>
  </si>
  <si>
    <t>Neely</t>
  </si>
  <si>
    <t>Nieto</t>
  </si>
  <si>
    <t>Matsuyo</t>
  </si>
  <si>
    <t>Norris</t>
  </si>
  <si>
    <t>Dewitt</t>
  </si>
  <si>
    <t>O'Melaghlin</t>
  </si>
  <si>
    <t>Reginald</t>
  </si>
  <si>
    <t>O'Sullivan</t>
  </si>
  <si>
    <t>Josuke</t>
  </si>
  <si>
    <t>Naosuke</t>
  </si>
  <si>
    <t>Okazaki</t>
  </si>
  <si>
    <t>Tadasu</t>
  </si>
  <si>
    <t>Padgett</t>
  </si>
  <si>
    <t>Perkins</t>
  </si>
  <si>
    <t>Petty</t>
  </si>
  <si>
    <t>Poff</t>
  </si>
  <si>
    <t>Quiñonez</t>
  </si>
  <si>
    <t>Cary</t>
  </si>
  <si>
    <t>Rainey</t>
  </si>
  <si>
    <t>Mario</t>
  </si>
  <si>
    <t>Rojas</t>
  </si>
  <si>
    <t>Rosário</t>
  </si>
  <si>
    <t>Rose</t>
  </si>
  <si>
    <t>Shimei</t>
  </si>
  <si>
    <t>Naoaki</t>
  </si>
  <si>
    <t>Sakamoto</t>
  </si>
  <si>
    <t>Salas</t>
  </si>
  <si>
    <t>Motoyuki</t>
  </si>
  <si>
    <t>Schaefer</t>
  </si>
  <si>
    <t>Schut</t>
  </si>
  <si>
    <t>Zi-xing</t>
  </si>
  <si>
    <t>See-to</t>
  </si>
  <si>
    <t>Harry</t>
  </si>
  <si>
    <t>Seitzinger</t>
  </si>
  <si>
    <t>Kelvin</t>
  </si>
  <si>
    <t>Sherman</t>
  </si>
  <si>
    <t>Takafumi</t>
  </si>
  <si>
    <t>Tatsukichi</t>
  </si>
  <si>
    <t>Somers</t>
  </si>
  <si>
    <t>Stanford</t>
  </si>
  <si>
    <t>Stroud</t>
  </si>
  <si>
    <t>Robbie</t>
  </si>
  <si>
    <t>Summers</t>
  </si>
  <si>
    <t>Chi-yong</t>
  </si>
  <si>
    <t>Sutherland</t>
  </si>
  <si>
    <t>Hidekazu</t>
  </si>
  <si>
    <t>Sugita</t>
  </si>
  <si>
    <t>Swift</t>
  </si>
  <si>
    <t>Shunen</t>
  </si>
  <si>
    <t>Tada</t>
  </si>
  <si>
    <t>Kosaku</t>
  </si>
  <si>
    <t>Taniguchi</t>
  </si>
  <si>
    <t>$350k</t>
  </si>
  <si>
    <t>Axel</t>
  </si>
  <si>
    <t>Tillett</t>
  </si>
  <si>
    <t>Torrez</t>
  </si>
  <si>
    <t>Amenzu</t>
  </si>
  <si>
    <t>Tsoka</t>
  </si>
  <si>
    <t>Tsukasa</t>
  </si>
  <si>
    <t>Ueda</t>
  </si>
  <si>
    <t>Drees</t>
  </si>
  <si>
    <t>van de Broek</t>
  </si>
  <si>
    <t>Cristo</t>
  </si>
  <si>
    <t>Velázquez</t>
  </si>
  <si>
    <t>Vélez</t>
  </si>
  <si>
    <t>Vera</t>
  </si>
  <si>
    <t>Webber</t>
  </si>
  <si>
    <t>Weijers</t>
  </si>
  <si>
    <t>Whittingham</t>
  </si>
  <si>
    <t>$21k</t>
  </si>
  <si>
    <t>Seinosuke</t>
  </si>
  <si>
    <t>Harumi</t>
  </si>
  <si>
    <t>Armand</t>
  </si>
  <si>
    <t>Baker</t>
  </si>
  <si>
    <t>Berendsen</t>
  </si>
  <si>
    <t>Blue</t>
  </si>
  <si>
    <t>Bogers</t>
  </si>
  <si>
    <t>Bolton</t>
  </si>
  <si>
    <t>Hubert</t>
  </si>
  <si>
    <t>Noah</t>
  </si>
  <si>
    <t>Carey</t>
  </si>
  <si>
    <t>Robin</t>
  </si>
  <si>
    <t>Carroll</t>
  </si>
  <si>
    <t>Cháves</t>
  </si>
  <si>
    <t>Chiasson</t>
  </si>
  <si>
    <t>Shotaro</t>
  </si>
  <si>
    <t>Hughie</t>
  </si>
  <si>
    <t>Clothier</t>
  </si>
  <si>
    <t>Colón</t>
  </si>
  <si>
    <t>Conrad</t>
  </si>
  <si>
    <t>Correa</t>
  </si>
  <si>
    <t>Delvalle</t>
  </si>
  <si>
    <t>Dijkman</t>
  </si>
  <si>
    <t>Duffy</t>
  </si>
  <si>
    <t>Dunn</t>
  </si>
  <si>
    <t>Dunston</t>
  </si>
  <si>
    <t>Fraser</t>
  </si>
  <si>
    <t>Dupont</t>
  </si>
  <si>
    <t>Ethan</t>
  </si>
  <si>
    <t>Elphinstone</t>
  </si>
  <si>
    <t>Farrell</t>
  </si>
  <si>
    <t>Feliciano</t>
  </si>
  <si>
    <t>Fox</t>
  </si>
  <si>
    <t>Frawley</t>
  </si>
  <si>
    <t>Gunner</t>
  </si>
  <si>
    <t>Brent</t>
  </si>
  <si>
    <t>Gregg</t>
  </si>
  <si>
    <t>Groves</t>
  </si>
  <si>
    <t>Julián</t>
  </si>
  <si>
    <t>Herrera</t>
  </si>
  <si>
    <t>Lorne</t>
  </si>
  <si>
    <t>Hess</t>
  </si>
  <si>
    <t>Hilliard</t>
  </si>
  <si>
    <t>Norbert</t>
  </si>
  <si>
    <t>Hoover</t>
  </si>
  <si>
    <t>Howe</t>
  </si>
  <si>
    <t>Hunt</t>
  </si>
  <si>
    <t>Young-kwang</t>
  </si>
  <si>
    <t>Hutchinson</t>
  </si>
  <si>
    <t>Kosho</t>
  </si>
  <si>
    <t>Rikyu</t>
  </si>
  <si>
    <t>Tatsuya</t>
  </si>
  <si>
    <t>Kondo</t>
  </si>
  <si>
    <t>Laro</t>
  </si>
  <si>
    <t>Lavoie</t>
  </si>
  <si>
    <t>Ryutaro</t>
  </si>
  <si>
    <t>Masaaki</t>
  </si>
  <si>
    <t>Maturin</t>
  </si>
  <si>
    <t>McCauley</t>
  </si>
  <si>
    <t>McDonald</t>
  </si>
  <si>
    <t>Metcalf</t>
  </si>
  <si>
    <t>Takamasa</t>
  </si>
  <si>
    <t>Miyashita</t>
  </si>
  <si>
    <t>Akira</t>
  </si>
  <si>
    <t>Mizuno</t>
  </si>
  <si>
    <t>Molina</t>
  </si>
  <si>
    <t>Quinn</t>
  </si>
  <si>
    <t>Nichols</t>
  </si>
  <si>
    <t>Mutara</t>
  </si>
  <si>
    <t>Njogu</t>
  </si>
  <si>
    <t>Masamichi</t>
  </si>
  <si>
    <t>Ojima</t>
  </si>
  <si>
    <t>Olson</t>
  </si>
  <si>
    <t>Paxton</t>
  </si>
  <si>
    <t>Reive</t>
  </si>
  <si>
    <t>Reynolds</t>
  </si>
  <si>
    <t>R.J.</t>
  </si>
  <si>
    <t>Masato</t>
  </si>
  <si>
    <t>Saito</t>
  </si>
  <si>
    <t>Rolph</t>
  </si>
  <si>
    <t>Scarlett</t>
  </si>
  <si>
    <t>Shaffer</t>
  </si>
  <si>
    <t>Shelton</t>
  </si>
  <si>
    <t>Solís</t>
  </si>
  <si>
    <t>Benedict</t>
  </si>
  <si>
    <t>Stobart</t>
  </si>
  <si>
    <t>Cody</t>
  </si>
  <si>
    <t>Stokes</t>
  </si>
  <si>
    <t>Sugiyama</t>
  </si>
  <si>
    <t>Kiyohira</t>
  </si>
  <si>
    <t>Masafumi</t>
  </si>
  <si>
    <t>Takashi</t>
  </si>
  <si>
    <t>Tilden</t>
  </si>
  <si>
    <t>Hayden</t>
  </si>
  <si>
    <t>Trick</t>
  </si>
  <si>
    <t>Trigueros</t>
  </si>
  <si>
    <t>Atsushi</t>
  </si>
  <si>
    <t>Ueno</t>
  </si>
  <si>
    <t>Valadez</t>
  </si>
  <si>
    <t>Vega</t>
  </si>
  <si>
    <t>Venegas</t>
  </si>
  <si>
    <t>Jerrel</t>
  </si>
  <si>
    <t>Waasdorp</t>
  </si>
  <si>
    <t>Lance</t>
  </si>
  <si>
    <t>Wagterveld</t>
  </si>
  <si>
    <t>Erik</t>
  </si>
  <si>
    <t>Warren</t>
  </si>
  <si>
    <t>Webb</t>
  </si>
  <si>
    <t>Doyle</t>
  </si>
  <si>
    <t>Wright</t>
  </si>
  <si>
    <t>Motoichi</t>
  </si>
  <si>
    <t>Mitsuoki</t>
  </si>
  <si>
    <t>Yamashita</t>
  </si>
  <si>
    <t>Yoshimatsu</t>
  </si>
  <si>
    <t>Yoshikawa</t>
  </si>
  <si>
    <t>Del</t>
  </si>
  <si>
    <t>Marc</t>
  </si>
  <si>
    <t>Zuijdam</t>
  </si>
  <si>
    <t>Daisuke</t>
  </si>
  <si>
    <t>Chouda</t>
  </si>
  <si>
    <t>Pot2</t>
  </si>
  <si>
    <t>Run3</t>
  </si>
  <si>
    <t>Pos4</t>
  </si>
  <si>
    <t>Velo3</t>
  </si>
  <si>
    <t>Blaine</t>
  </si>
  <si>
    <t>Julien</t>
  </si>
  <si>
    <t>Berridge</t>
  </si>
  <si>
    <t>Farmer</t>
  </si>
  <si>
    <t>Austin</t>
  </si>
  <si>
    <t>Murdock</t>
  </si>
  <si>
    <t>Murphy</t>
  </si>
  <si>
    <t>Bevan</t>
  </si>
  <si>
    <t>Lyndon</t>
  </si>
  <si>
    <t>Hoath</t>
  </si>
  <si>
    <t>Hyobe</t>
  </si>
  <si>
    <t>Núñes</t>
  </si>
  <si>
    <t>O'Keefe</t>
  </si>
  <si>
    <t>Muneyaki</t>
  </si>
  <si>
    <t>Okabe</t>
  </si>
  <si>
    <t>Tetsui</t>
  </si>
  <si>
    <t>Jo</t>
  </si>
  <si>
    <t>Zamora</t>
  </si>
  <si>
    <t>Ávila</t>
  </si>
  <si>
    <t>Bane</t>
  </si>
  <si>
    <t>Gonzalo</t>
  </si>
  <si>
    <t>Bueno</t>
  </si>
  <si>
    <t>Roosevelt</t>
  </si>
  <si>
    <t>Clemons</t>
  </si>
  <si>
    <t>Philip</t>
  </si>
  <si>
    <t>Gettingby</t>
  </si>
  <si>
    <t>Hay</t>
  </si>
  <si>
    <t>Kirk</t>
  </si>
  <si>
    <t>Hidetsugu</t>
  </si>
  <si>
    <t>Mabty</t>
  </si>
  <si>
    <t>Emerson</t>
  </si>
  <si>
    <t>Maynard</t>
  </si>
  <si>
    <t>Montaño</t>
  </si>
  <si>
    <t>Nakashima</t>
  </si>
  <si>
    <t>O'Halloran</t>
  </si>
  <si>
    <t>Eichiro</t>
  </si>
  <si>
    <t>Raikatuji</t>
  </si>
  <si>
    <t>Ring</t>
  </si>
  <si>
    <t>Robles</t>
  </si>
  <si>
    <t>$490k</t>
  </si>
  <si>
    <t>Ruddle</t>
  </si>
  <si>
    <t>Ichiro</t>
  </si>
  <si>
    <t>Thomson</t>
  </si>
  <si>
    <t>Mauro</t>
  </si>
  <si>
    <t>Ul</t>
  </si>
  <si>
    <t>Velásquez</t>
  </si>
  <si>
    <t>Walton</t>
  </si>
  <si>
    <t>Kazuyuki</t>
  </si>
  <si>
    <t>Acosta</t>
  </si>
  <si>
    <t>Andrade</t>
  </si>
  <si>
    <t>Arbuthnot</t>
  </si>
  <si>
    <t>Averett</t>
  </si>
  <si>
    <t>Barbosa</t>
  </si>
  <si>
    <t>Barfoot</t>
  </si>
  <si>
    <t>Beard</t>
  </si>
  <si>
    <t>Bosomworth</t>
  </si>
  <si>
    <t>Buchan</t>
  </si>
  <si>
    <t>Cantrell</t>
  </si>
  <si>
    <t>Bryce</t>
  </si>
  <si>
    <t>Carver</t>
  </si>
  <si>
    <t>Timmo</t>
  </si>
  <si>
    <t>Conley</t>
  </si>
  <si>
    <t>Crabtree</t>
  </si>
  <si>
    <t>Figueroa</t>
  </si>
  <si>
    <t>Skip</t>
  </si>
  <si>
    <t>$260k</t>
  </si>
  <si>
    <t>Munenori</t>
  </si>
  <si>
    <t>Eisuke</t>
  </si>
  <si>
    <t>Greenhaw</t>
  </si>
  <si>
    <t>Gregory</t>
  </si>
  <si>
    <t>Clancy</t>
  </si>
  <si>
    <t>Bonifacio</t>
  </si>
  <si>
    <t>Horton</t>
  </si>
  <si>
    <t>Jackson</t>
  </si>
  <si>
    <t>Kisho</t>
  </si>
  <si>
    <t>Kamuta</t>
  </si>
  <si>
    <t>Keijzer</t>
  </si>
  <si>
    <t>Kenneil</t>
  </si>
  <si>
    <t>Kino</t>
  </si>
  <si>
    <t>Tsugumichi</t>
  </si>
  <si>
    <t>Sumitomo</t>
  </si>
  <si>
    <t>Minoru</t>
  </si>
  <si>
    <t>Kono</t>
  </si>
  <si>
    <t>Moromao</t>
  </si>
  <si>
    <t>Linttell</t>
  </si>
  <si>
    <t>Loder</t>
  </si>
  <si>
    <t>Anastasio</t>
  </si>
  <si>
    <t>Loucel</t>
  </si>
  <si>
    <t>Lozano</t>
  </si>
  <si>
    <t>Cameron</t>
  </si>
  <si>
    <t>MacBride</t>
  </si>
  <si>
    <t>MacCarlich</t>
  </si>
  <si>
    <t>MacNaughton</t>
  </si>
  <si>
    <t>MacRae</t>
  </si>
  <si>
    <t>Kenjiro</t>
  </si>
  <si>
    <t>Michizane</t>
  </si>
  <si>
    <t>Matsuo</t>
  </si>
  <si>
    <t>Iemochi</t>
  </si>
  <si>
    <t>McClure</t>
  </si>
  <si>
    <t>McConnell</t>
  </si>
  <si>
    <t>McGee</t>
  </si>
  <si>
    <t>McNeal</t>
  </si>
  <si>
    <t>Curt</t>
  </si>
  <si>
    <t>Merrill</t>
  </si>
  <si>
    <t>Moreno</t>
  </si>
  <si>
    <t>Toshimichi</t>
  </si>
  <si>
    <t>Kuniyuki</t>
  </si>
  <si>
    <t>Murata</t>
  </si>
  <si>
    <t>O'Day</t>
  </si>
  <si>
    <t>Kokushi</t>
  </si>
  <si>
    <t>Peoples</t>
  </si>
  <si>
    <t>Wendell</t>
  </si>
  <si>
    <t>Pierson</t>
  </si>
  <si>
    <t>Rafien</t>
  </si>
  <si>
    <t>Gerold</t>
  </si>
  <si>
    <t>Solleveld</t>
  </si>
  <si>
    <t>Sotan</t>
  </si>
  <si>
    <t>Tanabe</t>
  </si>
  <si>
    <t>Félix</t>
  </si>
  <si>
    <t>Vallepando</t>
  </si>
  <si>
    <t>Guido</t>
  </si>
  <si>
    <t>Westerbos</t>
  </si>
  <si>
    <t>Willing</t>
  </si>
  <si>
    <t>Yoshii</t>
  </si>
  <si>
    <t>Isei</t>
  </si>
  <si>
    <t>Yano</t>
  </si>
  <si>
    <t>Sukejuro</t>
  </si>
  <si>
    <t>Abukara</t>
  </si>
  <si>
    <t>Aguilar</t>
  </si>
  <si>
    <t>Mauk</t>
  </si>
  <si>
    <t>Arnesen</t>
  </si>
  <si>
    <t>Logan</t>
  </si>
  <si>
    <t>Aspinwall</t>
  </si>
  <si>
    <t>Ewan</t>
  </si>
  <si>
    <t>Backhouse</t>
  </si>
  <si>
    <t>Barrera</t>
  </si>
  <si>
    <t>Beck</t>
  </si>
  <si>
    <t>Bijl</t>
  </si>
  <si>
    <t>Bing</t>
  </si>
  <si>
    <t>Blanchard</t>
  </si>
  <si>
    <t>Bould</t>
  </si>
  <si>
    <t>Petro</t>
  </si>
  <si>
    <t>Jorian</t>
  </si>
  <si>
    <t>Buytelaar</t>
  </si>
  <si>
    <t>Casey</t>
  </si>
  <si>
    <t>Cervantes</t>
  </si>
  <si>
    <t>Clarke</t>
  </si>
  <si>
    <t>Cleare</t>
  </si>
  <si>
    <t>Clemente</t>
  </si>
  <si>
    <t>Colby</t>
  </si>
  <si>
    <t>Connolly</t>
  </si>
  <si>
    <t>Finlay</t>
  </si>
  <si>
    <t>Crosse</t>
  </si>
  <si>
    <t>Delaney</t>
  </si>
  <si>
    <t>Deleón</t>
  </si>
  <si>
    <t>Manolito</t>
  </si>
  <si>
    <t>Pancho</t>
  </si>
  <si>
    <t>Hsin-ta</t>
  </si>
  <si>
    <t>Dong</t>
  </si>
  <si>
    <t>Gilberto</t>
  </si>
  <si>
    <t>Frederick</t>
  </si>
  <si>
    <t>Greer</t>
  </si>
  <si>
    <t>Haines</t>
  </si>
  <si>
    <t>Britt</t>
  </si>
  <si>
    <t>Hall</t>
  </si>
  <si>
    <t>Donald</t>
  </si>
  <si>
    <t>Hamilton</t>
  </si>
  <si>
    <t>Hannah</t>
  </si>
  <si>
    <t>Hart</t>
  </si>
  <si>
    <t>Ryu</t>
  </si>
  <si>
    <t>Shinsui</t>
  </si>
  <si>
    <t>Gunnar</t>
  </si>
  <si>
    <t>Kenshin</t>
  </si>
  <si>
    <t>Hirose</t>
  </si>
  <si>
    <t>Fergus</t>
  </si>
  <si>
    <t>Hookway</t>
  </si>
  <si>
    <t>Horrocks</t>
  </si>
  <si>
    <t>Howgill</t>
  </si>
  <si>
    <t>Moronobu</t>
  </si>
  <si>
    <t>Kees</t>
  </si>
  <si>
    <t>Israel</t>
  </si>
  <si>
    <t>Nobuhiko</t>
  </si>
  <si>
    <t>Jeoffrey</t>
  </si>
  <si>
    <t>Kiyohisa</t>
  </si>
  <si>
    <t>Kawaguchi</t>
  </si>
  <si>
    <t>Kitahachi</t>
  </si>
  <si>
    <t>Kawakami</t>
  </si>
  <si>
    <t>J.R.</t>
  </si>
  <si>
    <t>Kemp</t>
  </si>
  <si>
    <t>Shintaro</t>
  </si>
  <si>
    <t>Kingo</t>
  </si>
  <si>
    <t>Kitamura</t>
  </si>
  <si>
    <t>Tokuma</t>
  </si>
  <si>
    <t>Ash</t>
  </si>
  <si>
    <t>Knowles</t>
  </si>
  <si>
    <t>Koch</t>
  </si>
  <si>
    <t>Komatsu</t>
  </si>
  <si>
    <t>Cobus</t>
  </si>
  <si>
    <t>Kop</t>
  </si>
  <si>
    <t>Kouki</t>
  </si>
  <si>
    <t>Kramer</t>
  </si>
  <si>
    <t>Lawson</t>
  </si>
  <si>
    <t>Jermaine</t>
  </si>
  <si>
    <t>Livingston</t>
  </si>
  <si>
    <t>Lovell</t>
  </si>
  <si>
    <t>MacAsgill</t>
  </si>
  <si>
    <t>MacDuff</t>
  </si>
  <si>
    <t>MacKechie</t>
  </si>
  <si>
    <t>MacKinney</t>
  </si>
  <si>
    <t>Madrid</t>
  </si>
  <si>
    <t>Mahoney</t>
  </si>
  <si>
    <t>Matsuura</t>
  </si>
  <si>
    <t>Hamish</t>
  </si>
  <si>
    <t>Mayes</t>
  </si>
  <si>
    <t>McIntosh</t>
  </si>
  <si>
    <t>McLean</t>
  </si>
  <si>
    <t>Gart</t>
  </si>
  <si>
    <t>Melis</t>
  </si>
  <si>
    <t>Melton</t>
  </si>
  <si>
    <t>Devin</t>
  </si>
  <si>
    <t>Meyers</t>
  </si>
  <si>
    <t>Millar</t>
  </si>
  <si>
    <t>Aidan</t>
  </si>
  <si>
    <t>Moffat</t>
  </si>
  <si>
    <t>Clarence</t>
  </si>
  <si>
    <t>Toshiki</t>
  </si>
  <si>
    <t>Motsuzuki</t>
  </si>
  <si>
    <t>Yodo</t>
  </si>
  <si>
    <t>Nakayama</t>
  </si>
  <si>
    <t>Naysmith</t>
  </si>
  <si>
    <t>Yasukazu</t>
  </si>
  <si>
    <t>Noguchi</t>
  </si>
  <si>
    <t>Norman</t>
  </si>
  <si>
    <t>Núñez</t>
  </si>
  <si>
    <t>O'Connor</t>
  </si>
  <si>
    <t>O'Neil</t>
  </si>
  <si>
    <t>Kozue</t>
  </si>
  <si>
    <t>Oishi</t>
  </si>
  <si>
    <t>Pendle</t>
  </si>
  <si>
    <t>Lex</t>
  </si>
  <si>
    <t>Ploeg</t>
  </si>
  <si>
    <t>Potts</t>
  </si>
  <si>
    <t>Ferdi</t>
  </si>
  <si>
    <t>Pouwelse</t>
  </si>
  <si>
    <t>$47k</t>
  </si>
  <si>
    <t>Puntiel</t>
  </si>
  <si>
    <t>Juriaan</t>
  </si>
  <si>
    <t>Quik</t>
  </si>
  <si>
    <t>Randolph</t>
  </si>
  <si>
    <t>Wayne</t>
  </si>
  <si>
    <t>Junior</t>
  </si>
  <si>
    <t>Masanori</t>
  </si>
  <si>
    <t>Salgado</t>
  </si>
  <si>
    <t>Yoshihiro</t>
  </si>
  <si>
    <t>Coen</t>
  </si>
  <si>
    <t>Santegoeds</t>
  </si>
  <si>
    <t>Ietsuna</t>
  </si>
  <si>
    <t>Schneider</t>
  </si>
  <si>
    <t>Schulte</t>
  </si>
  <si>
    <t>Ferdinand</t>
  </si>
  <si>
    <t>Sears</t>
  </si>
  <si>
    <t>Masuhiro</t>
  </si>
  <si>
    <t>Shiraishi</t>
  </si>
  <si>
    <t>Sinden</t>
  </si>
  <si>
    <t>Ebbe</t>
  </si>
  <si>
    <t>Steijnis</t>
  </si>
  <si>
    <t>Bo</t>
  </si>
  <si>
    <t>Nikita</t>
  </si>
  <si>
    <t>Stroo</t>
  </si>
  <si>
    <t>Mito</t>
  </si>
  <si>
    <t>Seika</t>
  </si>
  <si>
    <t>Reijiro</t>
  </si>
  <si>
    <t>Hidetoshi</t>
  </si>
  <si>
    <t>Tamura</t>
  </si>
  <si>
    <t>Tyler</t>
  </si>
  <si>
    <t>Tattershall</t>
  </si>
  <si>
    <t>Tomlinson</t>
  </si>
  <si>
    <t>Tosh</t>
  </si>
  <si>
    <t>Truscott</t>
  </si>
  <si>
    <t>Kenzo</t>
  </si>
  <si>
    <t>Tsuchiya</t>
  </si>
  <si>
    <t>Uchiyama</t>
  </si>
  <si>
    <t>van de Vlugt</t>
  </si>
  <si>
    <t>van Doren</t>
  </si>
  <si>
    <t>Vance</t>
  </si>
  <si>
    <t>Tyson</t>
  </si>
  <si>
    <t>Villanueva</t>
  </si>
  <si>
    <t>Wadsworth</t>
  </si>
  <si>
    <t>Wallwin</t>
  </si>
  <si>
    <t>Walsh</t>
  </si>
  <si>
    <t>Washington</t>
  </si>
  <si>
    <t>Watt</t>
  </si>
  <si>
    <t>Webster</t>
  </si>
  <si>
    <t>Willcott</t>
  </si>
  <si>
    <t>Wyatt</t>
  </si>
  <si>
    <t>Toyoharu</t>
  </si>
  <si>
    <t>Ikki</t>
  </si>
  <si>
    <t>Yeandle</t>
  </si>
  <si>
    <t>Ryuichi</t>
  </si>
  <si>
    <t>Yokoyama</t>
  </si>
  <si>
    <t>Phillip</t>
  </si>
  <si>
    <t>Abrams</t>
  </si>
  <si>
    <t>Tynan</t>
  </si>
  <si>
    <t>Masayuki</t>
  </si>
  <si>
    <t>Askin</t>
  </si>
  <si>
    <t>Sidney</t>
  </si>
  <si>
    <t>Barrios</t>
  </si>
  <si>
    <t>Beadle</t>
  </si>
  <si>
    <t>Leonard</t>
  </si>
  <si>
    <t>Benton</t>
  </si>
  <si>
    <t>Blennerhassett</t>
  </si>
  <si>
    <t>Bowles</t>
  </si>
  <si>
    <t>Caldcleuch</t>
  </si>
  <si>
    <t>Calum</t>
  </si>
  <si>
    <t>Cardew</t>
  </si>
  <si>
    <t>Chikuda</t>
  </si>
  <si>
    <t>Coleman</t>
  </si>
  <si>
    <t>Cox</t>
  </si>
  <si>
    <t>Geoff</t>
  </si>
  <si>
    <t>Davey</t>
  </si>
  <si>
    <t>Garland</t>
  </si>
  <si>
    <t>Hori</t>
  </si>
  <si>
    <t>Jamieson</t>
  </si>
  <si>
    <t>Kamihara</t>
  </si>
  <si>
    <t>Pjotr</t>
  </si>
  <si>
    <t>Krijger</t>
  </si>
  <si>
    <t>Lamont</t>
  </si>
  <si>
    <t>Law</t>
  </si>
  <si>
    <t>MacRuer</t>
  </si>
  <si>
    <t>McGahey</t>
  </si>
  <si>
    <t>McKenzie</t>
  </si>
  <si>
    <t>Mills</t>
  </si>
  <si>
    <t>Haranobu</t>
  </si>
  <si>
    <t>Kyoichi</t>
  </si>
  <si>
    <t>Noda</t>
  </si>
  <si>
    <t>Tadashi</t>
  </si>
  <si>
    <t>Ortega</t>
  </si>
  <si>
    <t>Pew</t>
  </si>
  <si>
    <t>Clive</t>
  </si>
  <si>
    <t>Rawsthorne</t>
  </si>
  <si>
    <t>Randy</t>
  </si>
  <si>
    <t>Yukio</t>
  </si>
  <si>
    <t>Schultz</t>
  </si>
  <si>
    <t>Takuro</t>
  </si>
  <si>
    <t>Smallman</t>
  </si>
  <si>
    <t>Nakamaro</t>
  </si>
  <si>
    <t>Tomsett</t>
  </si>
  <si>
    <t>Trent</t>
  </si>
  <si>
    <t>Trevino</t>
  </si>
  <si>
    <t>Warr</t>
  </si>
  <si>
    <t>Weerheim</t>
  </si>
  <si>
    <t>Reinaart</t>
  </si>
  <si>
    <t>Wuilink</t>
  </si>
  <si>
    <t>Wynn</t>
  </si>
  <si>
    <t>Zimmerman</t>
  </si>
  <si>
    <t>Echevarría</t>
  </si>
  <si>
    <t>Hancock</t>
  </si>
  <si>
    <t>Pim</t>
  </si>
  <si>
    <t>Kos</t>
  </si>
  <si>
    <t>Liñares</t>
  </si>
  <si>
    <t>Rusty</t>
  </si>
  <si>
    <t>Kunisada</t>
  </si>
  <si>
    <t>Masamune</t>
  </si>
  <si>
    <t>Tabito</t>
  </si>
  <si>
    <t>Tenno</t>
  </si>
  <si>
    <t>Itze</t>
  </si>
  <si>
    <t>van den Hombergh</t>
  </si>
  <si>
    <t>Yoshitaka</t>
  </si>
  <si>
    <t>CON P2</t>
  </si>
  <si>
    <t>Round</t>
  </si>
  <si>
    <t>OVR</t>
  </si>
  <si>
    <t>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</si>
</sst>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0" fillId="0" borderId="0" xfId="0" applyNumberFormat="1"/>
    <xf numFmtId="165" fontId="0" fillId="0" borderId="0" xfId="1" applyNumberFormat="1" applyFont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0" fillId="2" borderId="2" xfId="0" applyFill="1" applyBorder="1"/>
    <xf numFmtId="0" fontId="0" fillId="2" borderId="5" xfId="0" applyFill="1" applyBorder="1"/>
    <xf numFmtId="164" fontId="0" fillId="2" borderId="2" xfId="0" applyNumberFormat="1" applyFill="1" applyBorder="1"/>
    <xf numFmtId="164" fontId="0" fillId="2" borderId="5" xfId="0" applyNumberFormat="1" applyFill="1" applyBorder="1"/>
    <xf numFmtId="165" fontId="0" fillId="2" borderId="2" xfId="1" applyNumberFormat="1" applyFont="1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1" fontId="0" fillId="0" borderId="1" xfId="0" applyNumberFormat="1" applyBorder="1"/>
    <xf numFmtId="0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4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right"/>
    </xf>
    <xf numFmtId="2" fontId="6" fillId="0" borderId="0" xfId="0" applyNumberFormat="1" applyFont="1"/>
    <xf numFmtId="2" fontId="6" fillId="0" borderId="1" xfId="0" applyNumberFormat="1" applyFont="1" applyBorder="1"/>
    <xf numFmtId="0" fontId="2" fillId="0" borderId="0" xfId="0" applyFont="1" applyAlignment="1">
      <alignment horizontal="right"/>
    </xf>
    <xf numFmtId="6" fontId="0" fillId="0" borderId="0" xfId="0" applyNumberFormat="1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Fill="1" applyBorder="1"/>
    <xf numFmtId="0" fontId="2" fillId="3" borderId="0" xfId="0" applyFont="1" applyFill="1"/>
    <xf numFmtId="0" fontId="0" fillId="3" borderId="0" xfId="0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5" fontId="0" fillId="0" borderId="7" xfId="1" applyNumberFormat="1" applyFont="1" applyFill="1" applyBorder="1" applyAlignment="1">
      <alignment wrapText="1"/>
    </xf>
    <xf numFmtId="164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/>
    <xf numFmtId="9" fontId="0" fillId="0" borderId="1" xfId="0" applyNumberForma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 applyAlignment="1">
      <alignment horizontal="right"/>
    </xf>
    <xf numFmtId="165" fontId="0" fillId="2" borderId="0" xfId="1" applyNumberFormat="1" applyFont="1" applyFill="1" applyBorder="1"/>
    <xf numFmtId="0" fontId="0" fillId="2" borderId="0" xfId="0" applyNumberFormat="1" applyFill="1" applyBorder="1"/>
    <xf numFmtId="1" fontId="0" fillId="2" borderId="0" xfId="0" applyNumberFormat="1" applyFill="1" applyBorder="1"/>
    <xf numFmtId="165" fontId="0" fillId="0" borderId="4" xfId="1" applyNumberFormat="1" applyFont="1" applyBorder="1"/>
    <xf numFmtId="165" fontId="0" fillId="2" borderId="4" xfId="1" applyNumberFormat="1" applyFont="1" applyFill="1" applyBorder="1"/>
    <xf numFmtId="164" fontId="0" fillId="2" borderId="4" xfId="0" applyNumberFormat="1" applyFill="1" applyBorder="1"/>
    <xf numFmtId="1" fontId="0" fillId="2" borderId="4" xfId="0" applyNumberFormat="1" applyFill="1" applyBorder="1"/>
    <xf numFmtId="166" fontId="0" fillId="2" borderId="4" xfId="0" applyNumberFormat="1" applyFill="1" applyBorder="1"/>
    <xf numFmtId="0" fontId="0" fillId="2" borderId="4" xfId="0" applyFill="1" applyBorder="1"/>
    <xf numFmtId="0" fontId="0" fillId="2" borderId="0" xfId="0" applyFill="1" applyBorder="1" applyAlignment="1">
      <alignment horizontal="right"/>
    </xf>
  </cellXfs>
  <cellStyles count="2">
    <cellStyle name="Currency" xfId="1" builtinId="4"/>
    <cellStyle name="Normal" xfId="0" builtinId="0"/>
  </cellStyles>
  <dxfs count="208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strike/>
        <color theme="0" tint="-0.14996795556505021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font>
        <strike/>
        <color theme="0" tint="-0.24994659260841701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6" formatCode="0.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B66731-A114-49C0-A59F-48B0CEC3F0EB}" name="BvP" displayName="BvP" ref="A3:T41" totalsRowShown="0" headerRowDxfId="66" dataDxfId="65">
  <autoFilter ref="A3:T41" xr:uid="{4EA1C7C9-BA76-4D58-96CA-8890C11236E4}"/>
  <sortState xmlns:xlrd2="http://schemas.microsoft.com/office/spreadsheetml/2017/richdata2" ref="A4:T41">
    <sortCondition descending="1" ref="J4:J41"/>
  </sortState>
  <tableColumns count="20">
    <tableColumn id="1" xr3:uid="{12EB054C-84B3-4B5A-B116-B087AC26CF4C}" name="CompID" dataDxfId="78"/>
    <tableColumn id="2" xr3:uid="{9AEDCBF2-9D71-49F3-95AF-D498474FA0FD}" name="POS" dataDxfId="77">
      <calculatedColumnFormula>VLOOKUP($A4,Bat!$A$4:$BB$1131,B$1,FALSE)</calculatedColumnFormula>
    </tableColumn>
    <tableColumn id="3" xr3:uid="{6D582374-983C-4225-A1E6-09B66FB972C9}" name="First" dataDxfId="76">
      <calculatedColumnFormula>VLOOKUP($A4,Bat!$A$4:$BB$1131,C$1,FALSE)</calculatedColumnFormula>
    </tableColumn>
    <tableColumn id="4" xr3:uid="{0E084B9A-8629-4D95-B871-7A0BF837CC70}" name="Last" dataDxfId="75">
      <calculatedColumnFormula>VLOOKUP($A4,Bat!$A$4:$BB$1131,D$1,FALSE)</calculatedColumnFormula>
    </tableColumn>
    <tableColumn id="5" xr3:uid="{5BBE56A0-134F-4D68-B7F2-976A09EF09EE}" name="Age" dataDxfId="74">
      <calculatedColumnFormula>VLOOKUP($A4,Bat!$A$4:$BB$1131,E$1,FALSE)</calculatedColumnFormula>
    </tableColumn>
    <tableColumn id="6" xr3:uid="{6A712A72-304B-4436-896B-03F58ADCD2CC}" name="B" dataDxfId="73">
      <calculatedColumnFormula>VLOOKUP($A4,Bat!$A$4:$BB$1131,F$1,FALSE)</calculatedColumnFormula>
    </tableColumn>
    <tableColumn id="7" xr3:uid="{159F50A7-A4E7-43C6-AF82-1FA4FB882689}" name="T" dataDxfId="72">
      <calculatedColumnFormula>VLOOKUP($A4,Bat!$A$4:$BB$1131,G$1,FALSE)</calculatedColumnFormula>
    </tableColumn>
    <tableColumn id="8" xr3:uid="{7CD5AB06-A23D-4011-B33B-D11B7F2FD6DD}" name="bZscore" dataDxfId="58">
      <calculatedColumnFormula>VLOOKUP($A4,Bat!$A$4:$BB$1531,H$1,FALSE)</calculatedColumnFormula>
    </tableColumn>
    <tableColumn id="9" xr3:uid="{28D374C5-DF4D-4B17-988D-D4E5F8F1EA26}" name="pZscore" dataDxfId="57">
      <calculatedColumnFormula>VLOOKUP($A4,Pit!$A$4:$BL$1569,I$1,FALSE)</calculatedColumnFormula>
    </tableColumn>
    <tableColumn id="10" xr3:uid="{7D3C03AE-0532-4793-B452-8C176FD181E0}" name="Diff" dataDxfId="71">
      <calculatedColumnFormula>I4-H4</calculatedColumnFormula>
    </tableColumn>
    <tableColumn id="11" xr3:uid="{40841915-CF44-40F0-A051-E66FA74D94C3}" name="Which" dataDxfId="70">
      <calculatedColumnFormula>IF(H4&gt;I4,"B","P")</calculatedColumnFormula>
    </tableColumn>
    <tableColumn id="12" xr3:uid="{36B34C32-DB95-49DD-8A84-0E221F6FFAE9}" name="P Action" dataDxfId="69">
      <calculatedColumnFormula>IF(AND(OR(B4="SP",B4="RP",B4="CL"),K4="P"),"Delete","Keep")</calculatedColumnFormula>
    </tableColumn>
    <tableColumn id="13" xr3:uid="{D81ED318-94ED-4866-AD5B-1EB32A48DFE2}" name="B Action" dataDxfId="68">
      <calculatedColumnFormula>IF(AND(AND($B4&lt;&gt;"SP",$B4&lt;&gt;"RP",$B4&lt;&gt;"CL"),$K4="B"),"Delete","Keep")</calculatedColumnFormula>
    </tableColumn>
    <tableColumn id="14" xr3:uid="{196B24E1-CDF1-434C-AE77-9BCF17C82461}" name="Fin Action" dataDxfId="67">
      <calculatedColumnFormula>IF(OR(L4="Delete",M4="Delete"),"Delete","Keep")</calculatedColumnFormula>
    </tableColumn>
    <tableColumn id="15" xr3:uid="{D2593BE0-9CEC-4F6D-802B-F63DE4723DD5}" name="CON P" dataDxfId="64">
      <calculatedColumnFormula>VLOOKUP($A4,Bat!$A$4:$U$1534,O$2,FALSE)</calculatedColumnFormula>
    </tableColumn>
    <tableColumn id="16" xr3:uid="{457A72E6-7A32-4CFF-A5E3-7A51CCA2151E}" name="POW P" dataDxfId="63">
      <calculatedColumnFormula>VLOOKUP($A4,Bat!$A$4:$U$1534,P$2,FALSE)</calculatedColumnFormula>
    </tableColumn>
    <tableColumn id="17" xr3:uid="{2EEBF342-35A4-4919-8F3E-0BA27F679315}" name="EYE P" dataDxfId="62">
      <calculatedColumnFormula>VLOOKUP($A4,Bat!$A$4:$U$1534,Q$2,FALSE)</calculatedColumnFormula>
    </tableColumn>
    <tableColumn id="18" xr3:uid="{A44041B8-F00A-423C-A675-04ED1E3C91C4}" name="STF P" dataDxfId="61">
      <calculatedColumnFormula>VLOOKUP($A4,Pit!$A$4:$U$1569,R$2,FALSE)</calculatedColumnFormula>
    </tableColumn>
    <tableColumn id="19" xr3:uid="{86E96F23-99DF-4BD0-B071-E47BA4849461}" name="MOV P" dataDxfId="60">
      <calculatedColumnFormula>VLOOKUP($A4,Pit!$A$4:$U$1569,S$2,FALSE)</calculatedColumnFormula>
    </tableColumn>
    <tableColumn id="20" xr3:uid="{E262AE44-50D5-455B-B247-330C7A345577}" name="CON P2" dataDxfId="59">
      <calculatedColumnFormula>VLOOKUP($A4,Pit!$A$4:$U$1569,T$2,FALSE)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25565-77C8-4603-9A28-57700E9D0EE5}" name="Batters" displayName="Batters" ref="A4:BB562" totalsRowShown="0" headerRowDxfId="141" dataDxfId="140">
  <autoFilter ref="A4:BB562" xr:uid="{6E10E4D6-77B9-4C56-83F3-7AEF284E5BA9}"/>
  <sortState xmlns:xlrd2="http://schemas.microsoft.com/office/spreadsheetml/2017/richdata2" ref="A5:BB562">
    <sortCondition descending="1" ref="AR5:AR562"/>
    <sortCondition ref="D5:D562"/>
    <sortCondition ref="C5:C562"/>
  </sortState>
  <tableColumns count="54">
    <tableColumn id="1" xr3:uid="{34C1723A-FE63-4D0C-8F68-A6A04834500B}" name="PID" dataDxfId="191"/>
    <tableColumn id="2" xr3:uid="{01290886-73BE-4450-9D0E-C5F532E965A2}" name="POS" dataDxfId="190"/>
    <tableColumn id="3" xr3:uid="{6860296F-316F-40AE-8455-75B73FA05B93}" name="First" dataDxfId="189"/>
    <tableColumn id="4" xr3:uid="{E5A68DCB-6A30-447F-B3B6-B5954485E0B6}" name="Last" dataDxfId="188"/>
    <tableColumn id="5" xr3:uid="{8EA98B8E-B289-48DF-BC61-09740EF1A69F}" name="Age" dataDxfId="187"/>
    <tableColumn id="6" xr3:uid="{87C2346B-6F7F-4BFA-B601-680F6AE0B51E}" name="B" dataDxfId="186"/>
    <tableColumn id="7" xr3:uid="{44B37C89-D9D7-4D0D-BB1F-72DD6E1885DB}" name="T" dataDxfId="185"/>
    <tableColumn id="8" xr3:uid="{8702DDBC-F483-4BF2-96C4-687CB57F779D}" name="POT" dataDxfId="184"/>
    <tableColumn id="9" xr3:uid="{7FE18182-72A7-43D0-9C73-56DC1599E827}" name="LEA" dataDxfId="183"/>
    <tableColumn id="10" xr3:uid="{BC37AFC8-001D-4A47-8D5D-42E95FC7E425}" name="WE" dataDxfId="182"/>
    <tableColumn id="11" xr3:uid="{902EAD12-CCDA-449D-8F8D-B440D4204B2D}" name="INT" dataDxfId="181"/>
    <tableColumn id="12" xr3:uid="{28089B1D-DC4F-40B7-982C-6EEAFE413D67}" name="CON" dataDxfId="180"/>
    <tableColumn id="13" xr3:uid="{70968ED5-8E1D-4783-9F66-EE80665CEC4B}" name="GAP" dataDxfId="179"/>
    <tableColumn id="14" xr3:uid="{F4CF265A-CCD9-4019-8AC6-17ADEB83793C}" name="POW" dataDxfId="178"/>
    <tableColumn id="15" xr3:uid="{EE9A73B3-1899-4127-A0F0-771654D2A7EA}" name="EYE" dataDxfId="177"/>
    <tableColumn id="16" xr3:uid="{2E651957-39D9-4C6F-9763-2EDF4F150586}" name="K's" dataDxfId="176"/>
    <tableColumn id="17" xr3:uid="{EC5C941E-964B-4A2A-8B08-FF672385242E}" name="CON P" dataDxfId="175"/>
    <tableColumn id="18" xr3:uid="{73C81C26-DC43-4296-83C9-AAA367CE324A}" name="GAP P" dataDxfId="174"/>
    <tableColumn id="19" xr3:uid="{3AF65BA4-743A-47EB-B230-14670AE012E8}" name="POW P" dataDxfId="173"/>
    <tableColumn id="20" xr3:uid="{F7311ECE-92C4-4F9B-9FB4-01F01940A813}" name="EYE P" dataDxfId="172"/>
    <tableColumn id="21" xr3:uid="{5E1FC383-E39C-4D66-8F19-560D8710BD74}" name="K P" dataDxfId="171"/>
    <tableColumn id="22" xr3:uid="{3EEED542-37A2-4C9D-98A0-C10FDC948316}" name="IF ARM" dataDxfId="170"/>
    <tableColumn id="23" xr3:uid="{F13B4CDE-54AD-47C5-B7F5-17CDB736F5AA}" name="OF ARM" dataDxfId="169"/>
    <tableColumn id="24" xr3:uid="{20341A32-B712-4C1D-9F68-4BF794DC4BB5}" name="C ARM" dataDxfId="168"/>
    <tableColumn id="25" xr3:uid="{B028E06E-8690-4639-960E-AD8FC571BEB7}" name="C ABI" dataDxfId="167"/>
    <tableColumn id="26" xr3:uid="{B6938DE3-A509-46E7-A71B-74FD64EDEC48}" name="C" dataDxfId="166"/>
    <tableColumn id="27" xr3:uid="{2BD7BF3F-1167-4599-8FBD-C71379798A32}" name="1B" dataDxfId="165"/>
    <tableColumn id="28" xr3:uid="{02A7624B-74CC-4896-8A5A-2896D7FCE94B}" name="2B" dataDxfId="164"/>
    <tableColumn id="29" xr3:uid="{A477EF05-7E95-450A-AF65-A74D3C78F189}" name="3B" dataDxfId="163"/>
    <tableColumn id="30" xr3:uid="{567CBF49-5FC8-4D85-BFD9-905807082CEC}" name="SS" dataDxfId="162"/>
    <tableColumn id="31" xr3:uid="{2C4663E9-D00C-43B1-A5D8-18661C77C5E1}" name="LF" dataDxfId="161"/>
    <tableColumn id="32" xr3:uid="{C6A46F9E-B77D-4DE9-9D94-2218C1F55E37}" name="CF" dataDxfId="160"/>
    <tableColumn id="33" xr3:uid="{C270C277-9F62-480F-A885-A2145B61AA54}" name="RF" dataDxfId="159"/>
    <tableColumn id="34" xr3:uid="{96ADCE23-D702-4C47-A1A5-5F8988070BFF}" name="SPE" dataDxfId="158"/>
    <tableColumn id="35" xr3:uid="{CF38F94C-4F06-4665-9CF2-7D4128FE8F7A}" name="STE" dataDxfId="157"/>
    <tableColumn id="36" xr3:uid="{9A9EA428-CE7E-45BC-B8CC-E1ED857D80BF}" name="RUN" dataDxfId="156"/>
    <tableColumn id="37" xr3:uid="{0C9BD6A3-A1B7-456E-B747-8FD24380FD4F}" name="DEM" dataDxfId="155" dataCellStyle="Currency"/>
    <tableColumn id="38" xr3:uid="{D14485F7-3A0A-4FB5-9178-B11B242982CD}" name="SctAcc" dataDxfId="154" dataCellStyle="Currency"/>
    <tableColumn id="39" xr3:uid="{2A35436D-CC1A-4CC4-8386-63DE4413ED79}" name="Rat" dataDxfId="153"/>
    <tableColumn id="40" xr3:uid="{8A3ADBD0-889F-4F8C-B1FC-0191272BAFC7}" name="Pot2" dataDxfId="152"/>
    <tableColumn id="41" xr3:uid="{2DD827F1-D2D5-46B5-8F05-25807EBFDB75}" name="Run3" dataDxfId="151"/>
    <tableColumn id="42" xr3:uid="{EC96C43C-76F2-458C-8258-6F2D7D9B2CDB}" name="Def" dataDxfId="150"/>
    <tableColumn id="43" xr3:uid="{C9B3CAC4-8D68-4DD9-912C-F981BB5CBDD8}" name="Tot" dataDxfId="149">
      <calculatedColumnFormula>($AM$3*AM5+$AN$3*AN5+$AO$3*AO5+$AP$3*AP5)+$I$3*VLOOKUP(I5,COND!$A$2:$E$7,4,FALSE)+$J$3*VLOOKUP(J5,COND!$A$2:$C$7,2,FALSE)+$K$3*VLOOKUP(K5,COND!$A$2:$C$7,3,FALSE)+IF(AND($B$2&gt;0,$E5&lt;20),$B$2*25,0)</calculatedColumnFormula>
    </tableColumn>
    <tableColumn id="44" xr3:uid="{DB4288FF-3E40-4036-A475-69B64D0667F4}" name="zScore" dataDxfId="148">
      <calculatedColumnFormula>STANDARDIZE(AQ5,AVERAGE($AQ$5:$AQ$537),STDEVP($AQ$5:$AQ$537))</calculatedColumnFormula>
    </tableColumn>
    <tableColumn id="45" xr3:uid="{301CE5B4-A6B7-4C3B-98B4-33366F5C4CFE}" name="Pos4" dataDxfId="147"/>
    <tableColumn id="46" xr3:uid="{A2580E5A-074D-4F1C-ACE3-1301CD0C0EC4}" name="Rnk" dataDxfId="146"/>
    <tableColumn id="47" xr3:uid="{57D3111F-ABCF-4F92-AE32-1522DB6716EB}" name="List" dataDxfId="145"/>
    <tableColumn id="48" xr3:uid="{95B0E2A3-41F0-4B12-92BD-907EF5C9C019}" name="By Rnd" dataDxfId="144"/>
    <tableColumn id="49" xr3:uid="{9663741D-1AEF-4631-A168-A34FD2D4C107}" name="ML" dataDxfId="143">
      <calculatedColumnFormula>IF(AND($Q5&gt;=6,AVERAGE($S5:$T5)&gt;=6),"Likely",IF(OR($Q5&gt;6,AND($Q5=6,AVERAGE($S5:$T5)&gt;=3),AND($Q5&gt;=5,AVERAGE($S5:$T5)&gt;=5),AVERAGE($Q5,$S5:$T5)&gt;5),"Possible","Unlikely"))</calculatedColumnFormula>
    </tableColumn>
    <tableColumn id="50" xr3:uid="{17DB08B4-A0B3-4E68-972F-53CA8459521B}" name="Signed For" dataDxfId="142"/>
    <tableColumn id="51" xr3:uid="{8AD0E0CD-C527-484E-B630-ED8D7F4FB1AF}" name="Ovr" dataDxfId="8">
      <calculatedColumnFormula>INDEX(Table5[[#All],[Ovr]],MATCH(Batters[[#This Row],[PID]],Table5[[#All],[PID]],0))</calculatedColumnFormula>
    </tableColumn>
    <tableColumn id="52" xr3:uid="{1BCF3C4F-E0EA-430B-AC9B-02EA5766D66C}" name="Rnd" dataDxfId="7">
      <calculatedColumnFormula>INDEX(Table5[[#All],[Rnd]],MATCH(Batters[[#This Row],[PID]],Table5[[#All],[PID]],0))</calculatedColumnFormula>
    </tableColumn>
    <tableColumn id="53" xr3:uid="{9D381772-A330-433C-8C33-C119FBB07285}" name="Pick" dataDxfId="6">
      <calculatedColumnFormula>INDEX(Table5[[#All],[Pick]],MATCH(Batters[[#This Row],[PID]],Table5[[#All],[PID]],0))</calculatedColumnFormula>
    </tableColumn>
    <tableColumn id="54" xr3:uid="{AE496F72-E48F-40FE-9F80-1CCEDE271828}" name="Team" dataDxfId="5">
      <calculatedColumnFormula>INDEX(Table5[[#All],[Team]],MATCH(Batters[[#This Row],[PID]],Table5[[#All],[PID]],0))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29D2D-77B6-4A26-BA3B-1BFCC534D0D1}" name="Table3" displayName="Table3" ref="A4:BL676" totalsRowShown="0" headerRowDxfId="80" dataDxfId="79">
  <autoFilter ref="A4:BL676" xr:uid="{00000000-0009-0000-0000-000002000000}"/>
  <sortState xmlns:xlrd2="http://schemas.microsoft.com/office/spreadsheetml/2017/richdata2" ref="A5:BL676">
    <sortCondition descending="1" ref="BA5:BA676"/>
    <sortCondition ref="D5:D676"/>
    <sortCondition ref="C5:C676"/>
  </sortState>
  <tableColumns count="64">
    <tableColumn id="1" xr3:uid="{3EBAC93A-021A-4118-BDD0-7B39B1A96C78}" name="PID" dataDxfId="139"/>
    <tableColumn id="2" xr3:uid="{9E04062D-0C47-49FC-A62E-84F4CECFD332}" name="POS" dataDxfId="138"/>
    <tableColumn id="3" xr3:uid="{7FDB7B72-E058-47E3-BDFC-9CEBA10BBC8D}" name="First" dataDxfId="137"/>
    <tableColumn id="4" xr3:uid="{12BF96A3-AB34-4A32-BDC0-04BCE27D274A}" name="Last" dataDxfId="136"/>
    <tableColumn id="5" xr3:uid="{C41EFA43-9A5E-44BD-91AE-E0958D996D54}" name="Age" dataDxfId="135"/>
    <tableColumn id="6" xr3:uid="{445CD872-D1E5-4C63-946D-66C484388FA8}" name="B" dataDxfId="134"/>
    <tableColumn id="7" xr3:uid="{8733D8EF-20F6-4697-B590-4EC08019893E}" name="T" dataDxfId="133"/>
    <tableColumn id="8" xr3:uid="{7813C36E-2197-4646-A7C1-094860CD8CD1}" name="POT" dataDxfId="132"/>
    <tableColumn id="9" xr3:uid="{51D8A365-7C43-46D9-8B95-CB1EEBBC90E9}" name="LEA" dataDxfId="131"/>
    <tableColumn id="10" xr3:uid="{9257F9F7-DA10-40D2-BB86-C83E67458631}" name="WE" dataDxfId="130"/>
    <tableColumn id="11" xr3:uid="{F9E3703E-4164-49E2-89BB-DA266B8D570C}" name="INT" dataDxfId="129"/>
    <tableColumn id="12" xr3:uid="{E0858803-5729-48C9-8AF6-C573AA5000CB}" name="STU" dataDxfId="128"/>
    <tableColumn id="13" xr3:uid="{0A652B3D-F301-440D-9FA7-0C404B6C2AD6}" name="MOV" dataDxfId="127"/>
    <tableColumn id="14" xr3:uid="{30A6F40B-1052-4BB8-A3B0-E258F054ABDA}" name="CON" dataDxfId="126"/>
    <tableColumn id="15" xr3:uid="{987CC134-1FF1-441C-A3BF-74749373D5BE}" name="STU P" dataDxfId="125"/>
    <tableColumn id="16" xr3:uid="{D9452955-421A-42F8-8DFA-D71D5867D253}" name="MOV P" dataDxfId="124"/>
    <tableColumn id="17" xr3:uid="{6F4B86B9-8420-4585-999F-AA260B115CCD}" name="CON P" dataDxfId="123"/>
    <tableColumn id="18" xr3:uid="{CC105674-F42D-4D04-9E8A-F020C4F2DA7E}" name="FB" dataDxfId="122"/>
    <tableColumn id="19" xr3:uid="{508369D3-0D08-45DD-9E4C-FD28E12EFA79}" name="FBP" dataDxfId="121"/>
    <tableColumn id="20" xr3:uid="{EF813240-216E-4BC6-920A-8DCA0F42DCF1}" name="CH" dataDxfId="120"/>
    <tableColumn id="21" xr3:uid="{7D8DFBE5-4C56-4C4B-B645-A688513868AF}" name="CHP" dataDxfId="119"/>
    <tableColumn id="22" xr3:uid="{0E683A60-FBF0-42CE-B89B-C7D72EFA033D}" name="CB" dataDxfId="118"/>
    <tableColumn id="23" xr3:uid="{7100BC5B-9AA1-4541-B614-1B48CF971656}" name="CBP" dataDxfId="117"/>
    <tableColumn id="24" xr3:uid="{44093CF6-6FAB-4ED3-8429-DD0EA5CBC2D1}" name="SL" dataDxfId="116"/>
    <tableColumn id="25" xr3:uid="{73E1A25E-0A2F-4AE6-B59D-63735B75C6DC}" name="SLP" dataDxfId="115"/>
    <tableColumn id="26" xr3:uid="{2C8AC28A-B80D-47D1-841A-6AFF8D6BBE55}" name="SI" dataDxfId="114"/>
    <tableColumn id="27" xr3:uid="{92EA9609-1D37-4CB9-91C2-811E22756542}" name="SIP" dataDxfId="113"/>
    <tableColumn id="28" xr3:uid="{C0C480E3-2BC5-469F-866C-C74B060C54F1}" name="SP" dataDxfId="112"/>
    <tableColumn id="29" xr3:uid="{87903931-F9C8-4E89-BE28-A964BFA0C876}" name="SPP" dataDxfId="111"/>
    <tableColumn id="30" xr3:uid="{11DCF1F8-06D4-4C73-8B67-F0C4C1EA3C31}" name="CT" dataDxfId="110"/>
    <tableColumn id="31" xr3:uid="{42C19905-1E2C-4396-AEC1-886D6D8FEF57}" name="CTP" dataDxfId="109"/>
    <tableColumn id="32" xr3:uid="{03859838-D1B1-4A28-99DF-18BCA7829AE2}" name="FO" dataDxfId="108"/>
    <tableColumn id="33" xr3:uid="{4C98D9C5-2F5A-4B04-A92A-70A7F3179380}" name="FOP" dataDxfId="107"/>
    <tableColumn id="34" xr3:uid="{186A96A4-617C-4952-9582-FE867AB31DEF}" name="CC" dataDxfId="106"/>
    <tableColumn id="35" xr3:uid="{862346A1-9642-4CAA-A3A6-528B03FAA1AF}" name="CCP" dataDxfId="105"/>
    <tableColumn id="36" xr3:uid="{D8A8ED3C-9056-481D-8FB0-78A750B3DC9D}" name="SC" dataDxfId="104"/>
    <tableColumn id="37" xr3:uid="{5B16F8E1-1F66-4197-A0B8-6E38B237205F}" name="SCP" dataDxfId="103"/>
    <tableColumn id="38" xr3:uid="{8FC875F0-76A7-495E-AAFE-5009020EAACC}" name="KC" dataDxfId="102"/>
    <tableColumn id="39" xr3:uid="{B7DCED46-BFF1-41AA-8BF4-5788635BCA99}" name="KCP" dataDxfId="101"/>
    <tableColumn id="40" xr3:uid="{376BB9B1-0B92-46DF-AC3B-FD6E4D2CE24B}" name="KN" dataDxfId="100"/>
    <tableColumn id="41" xr3:uid="{0BB42594-DDA4-4154-A4C6-D4631AE0792E}" name="KNP" dataDxfId="99"/>
    <tableColumn id="42" xr3:uid="{66FCB19F-89FB-4E8A-B44C-57AE5F58B46E}" name="VELO" dataDxfId="98"/>
    <tableColumn id="43" xr3:uid="{DEC5906F-3D64-47DD-959F-4437F534338C}" name="STM" dataDxfId="97"/>
    <tableColumn id="44" xr3:uid="{A065E53F-D44C-40CF-AE27-D69DCF18E97C}" name="G/F" dataDxfId="96"/>
    <tableColumn id="45" xr3:uid="{BA9FD003-D429-4DCD-90C3-BAADDC7697F9}" name="DEM" dataDxfId="95" dataCellStyle="Currency"/>
    <tableColumn id="46" xr3:uid="{08C9A5E3-1496-449E-8615-8267713C0D7A}" name="SctAcc" dataDxfId="94" dataCellStyle="Currency"/>
    <tableColumn id="47" xr3:uid="{E78E046B-2659-4933-95E1-4760025D7F13}" name="Rat" dataDxfId="93">
      <calculatedColumnFormula>($O$3*(L5-$O$1)/$O$2+$P$3*(M5-$P$1)/$P$2+$Q$3*(N5-$P$1)/$Q$2)/SUM($O$3:$Q$3)</calculatedColumnFormula>
    </tableColumn>
    <tableColumn id="48" xr3:uid="{D7500921-C12B-449D-8D0D-70BF220CE712}" name="Pot2" dataDxfId="92">
      <calculatedColumnFormula>($O$3*(O5-$O$1)/$O$2+$P$3*(P5-$P$1)/$P$2+$Q$3*(Q5-$Q$1)/$Q$2)/SUM($O$3:$Q$3)</calculatedColumnFormula>
    </tableColumn>
    <tableColumn id="49" xr3:uid="{FA1A589E-0EF8-4C3C-A974-BA59A75553FF}" name="Pitch" dataDxfId="91">
      <calculatedColumnFormula>COUNT(R5:AO5)/2</calculatedColumnFormula>
    </tableColumn>
    <tableColumn id="50" xr3:uid="{7DFF69C5-D4E6-4C88-91A7-5135ECC43866}" name="Qpitch" dataDxfId="90">
      <calculatedColumnFormula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calculatedColumnFormula>
    </tableColumn>
    <tableColumn id="51" xr3:uid="{1ACD0C1C-960A-484E-9B76-E5E79CD997A0}" name="Velo3" dataDxfId="89">
      <calculatedColumnFormula>VLOOKUP(AP5,COND!$A$10:$B$32,2,FALSE)</calculatedColumnFormula>
    </tableColumn>
    <tableColumn id="52" xr3:uid="{58CF891F-DAD8-465D-B8A5-B142D01901BB}" name="Tot" dataDxfId="88">
      <calculatedColumnFormula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calculatedColumnFormula>
    </tableColumn>
    <tableColumn id="53" xr3:uid="{DDE419AE-C67C-4133-B684-7E076CA56670}" name="zScore" dataDxfId="87">
      <calculatedColumnFormula>STANDARDIZE(AZ5,AVERAGE($AZ$5:$AZ$683),STDEVP($AZ$5:$AZ$683))</calculatedColumnFormula>
    </tableColumn>
    <tableColumn id="54" xr3:uid="{6E3900D0-321A-4E4E-9BD5-E4B781910309}" name="Role" dataDxfId="86">
      <calculatedColumnFormula>IF(OR(AND(AQ5&gt;7,AX5&gt;1),AND(AQ5&gt;4,AW5&gt;2)),"SP","RP")</calculatedColumnFormula>
    </tableColumn>
    <tableColumn id="55" xr3:uid="{FB20ED2F-93A0-4311-8035-BD3124FC2B00}" name="Rnk" dataDxfId="85"/>
    <tableColumn id="56" xr3:uid="{147AFE1A-8141-4FA5-AFF8-04C3DEB02089}" name="List" dataDxfId="84"/>
    <tableColumn id="57" xr3:uid="{DCB910D5-1117-4A48-BAF1-FE75CA0A5FF3}" name="By Rnd" dataDxfId="83"/>
    <tableColumn id="58" xr3:uid="{78945249-770F-4AE0-8D63-68202BE21799}" name="ML" dataDxfId="82">
      <calculatedColumnFormula>IF(AVERAGE($O5:$Q5)&gt;=6,"Likely",IF(AVERAGE($O5:$Q5)&gt;=4,"Possible","Unlikely"))</calculatedColumnFormula>
    </tableColumn>
    <tableColumn id="59" xr3:uid="{3E81896E-000A-4DD9-BE96-57468433AAEF}" name="Signed For" dataDxfId="81"/>
    <tableColumn id="60" xr3:uid="{B801B4EB-93F2-45E3-A9A9-9E169AA59397}" name="Ovr" dataDxfId="4">
      <calculatedColumnFormula>INDEX(Table5[[#All],[Ovr]],MATCH(Table3[[#This Row],[PID]],Table5[[#All],[PID]],0))</calculatedColumnFormula>
    </tableColumn>
    <tableColumn id="61" xr3:uid="{BA075BA9-493B-4C71-8943-ED46BA37ECCC}" name="Rnd" dataDxfId="3">
      <calculatedColumnFormula>INDEX(Table5[[#All],[Rnd]],MATCH(Table3[[#This Row],[PID]],Table5[[#All],[PID]],0))</calculatedColumnFormula>
    </tableColumn>
    <tableColumn id="62" xr3:uid="{C88E9868-35A9-48D2-A9FA-DADC95DD3885}" name="Pick" dataDxfId="2">
      <calculatedColumnFormula>INDEX(Table5[[#All],[Pick]],MATCH(Table3[[#This Row],[PID]],Table5[[#All],[PID]],0))</calculatedColumnFormula>
    </tableColumn>
    <tableColumn id="63" xr3:uid="{7A13EBCD-3667-40F7-A9CE-F6FB95AAF4FF}" name="Team" dataDxfId="1">
      <calculatedColumnFormula>INDEX(Table5[[#All],[Team]],MATCH(Table3[[#This Row],[PID]],Table5[[#All],[PID]],0))</calculatedColumnFormula>
    </tableColumn>
    <tableColumn id="64" xr3:uid="{CB2A10C7-5C32-4142-B539-F60181F20142}" name="zScoreBat" dataDxfId="0">
      <calculatedColumnFormula>IF(OR(Table3[[#This Row],[POS]]="SP",Table3[[#This Row],[POS]]="RP",Table3[[#This Row],[POS]]="CL"),"P",INDEX(Batters[[#All],[zScore]],MATCH(Table3[[#This Row],[PID]],Batters[[#All],[PID]],0)))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7AC43B-812D-4A83-A261-40AFA7C0C373}" name="Table5" displayName="Table5" ref="A4:AE1234" totalsRowShown="0" headerRowDxfId="54" dataDxfId="55" tableBorderDxfId="56">
  <autoFilter ref="A4:AE1234" xr:uid="{F7350831-336B-4A9F-8EAA-531B63ACE1E3}"/>
  <sortState xmlns:xlrd2="http://schemas.microsoft.com/office/spreadsheetml/2017/richdata2" ref="A5:AE1234">
    <sortCondition descending="1" ref="R5:R1234"/>
  </sortState>
  <tableColumns count="31">
    <tableColumn id="1" xr3:uid="{3A66DF1C-C783-4981-B7B1-E0D4156D8F02}" name="PID" dataDxfId="53"/>
    <tableColumn id="2" xr3:uid="{E430EC05-F0CA-41F3-8FF4-7BE4F07D3105}" name="Dup" dataDxfId="52">
      <calculatedColumnFormula>COUNTIF(Table5[PID],A5)</calculatedColumnFormula>
    </tableColumn>
    <tableColumn id="3" xr3:uid="{87658EB9-C59F-4623-BA2C-69B99745E185}" name="Type" dataDxfId="51">
      <calculatedColumnFormula>IF(COUNTIF(Table3[[#All],[PID]],A5)&gt;0,"P","B")</calculatedColumnFormula>
    </tableColumn>
    <tableColumn id="5" xr3:uid="{607F5728-4C22-4275-ABB7-FF25B99FEFB1}" name="Pos" dataDxfId="38">
      <calculatedColumnFormula>IF($C5="B",INDEX(Batters[[#All],[POS]],MATCH(Table5[[#This Row],[PID]],Batters[[#All],[PID]],0)),INDEX(Table3[[#All],[POS]],MATCH(Table5[[#This Row],[PID]],Table3[[#All],[PID]],0)))</calculatedColumnFormula>
    </tableColumn>
    <tableColumn id="6" xr3:uid="{4C8B41F9-8FBA-4AAA-B787-430318EE6FED}" name="First" dataDxfId="46">
      <calculatedColumnFormula>IF($C5="B",INDEX(Batters[[#All],[First]],MATCH(Table5[[#This Row],[PID]],Batters[[#All],[PID]],0)),INDEX(Table3[[#All],[First]],MATCH(Table5[[#This Row],[PID]],Table3[[#All],[PID]],0)))</calculatedColumnFormula>
    </tableColumn>
    <tableColumn id="7" xr3:uid="{BD21AB38-61B5-4357-892E-62957EBB8975}" name="Last" dataDxfId="33">
      <calculatedColumnFormula>IF($C5="B",INDEX(Batters[[#All],[Last]],MATCH(A5,Batters[[#All],[PID]],0)),INDEX(Table3[[#All],[Last]],MATCH(A5,Table3[[#All],[PID]],0)))</calculatedColumnFormula>
    </tableColumn>
    <tableColumn id="8" xr3:uid="{CC75A194-8E72-4220-8234-D768E50FF91A}" name="Age" dataDxfId="31">
      <calculatedColumnFormula>IF($C5="B",INDEX(Batters[[#All],[Age]],MATCH(Table5[[#This Row],[PID]],Batters[[#All],[PID]],0)),INDEX(Table3[[#All],[Age]],MATCH(Table5[[#This Row],[PID]],Table3[[#All],[PID]],0)))</calculatedColumnFormula>
    </tableColumn>
    <tableColumn id="9" xr3:uid="{41D20499-35D6-4742-B0B6-8DDF98E34BD5}" name="B" dataDxfId="32">
      <calculatedColumnFormula>IF($C5="B",INDEX(Batters[[#All],[B]],MATCH(Table5[[#This Row],[PID]],Batters[[#All],[PID]],0)),INDEX(Table3[[#All],[B]],MATCH(Table5[[#This Row],[PID]],Table3[[#All],[PID]],0)))</calculatedColumnFormula>
    </tableColumn>
    <tableColumn id="10" xr3:uid="{326E3315-99B1-4F7B-A7E2-ACE31381EBF4}" name="T" dataDxfId="47">
      <calculatedColumnFormula>IF($C5="B",INDEX(Batters[[#All],[T]],MATCH(Table5[[#This Row],[PID]],Batters[[#All],[PID]],0)),INDEX(Table3[[#All],[T]],MATCH(Table5[[#This Row],[PID]],Table3[[#All],[PID]],0)))</calculatedColumnFormula>
    </tableColumn>
    <tableColumn id="11" xr3:uid="{EA58EFB1-9637-4BDE-B661-26174877E052}" name="WE" dataDxfId="45">
      <calculatedColumnFormula>IF($C5="B",INDEX(Batters[[#All],[WE]],MATCH(Table5[[#This Row],[PID]],Batters[[#All],[PID]],0)),INDEX(Table3[[#All],[WE]],MATCH(Table5[[#This Row],[PID]],Table3[[#All],[PID]],0)))</calculatedColumnFormula>
    </tableColumn>
    <tableColumn id="12" xr3:uid="{837BF742-1A06-4F04-ADAE-6114EC9EE9F5}" name="INT" dataDxfId="44">
      <calculatedColumnFormula>IF($C5="B",INDEX(Batters[[#All],[INT]],MATCH(Table5[[#This Row],[PID]],Batters[[#All],[PID]],0)),INDEX(Table3[[#All],[INT]],MATCH(Table5[[#This Row],[PID]],Table3[[#All],[PID]],0)))</calculatedColumnFormula>
    </tableColumn>
    <tableColumn id="13" xr3:uid="{57A20AEE-F10A-4570-913C-E1C62EFA4615}" name="Stf" dataDxfId="37">
      <calculatedColumnFormula>IF($C5="B",INDEX(Batters[[#All],[CON P]],MATCH(Table5[[#This Row],[PID]],Batters[[#All],[PID]],0)),INDEX(Table3[[#All],[STU P]],MATCH(Table5[[#This Row],[PID]],Table3[[#All],[PID]],0)))</calculatedColumnFormula>
    </tableColumn>
    <tableColumn id="14" xr3:uid="{C72D12AA-FDD2-4EDD-B077-E0B71CD7F230}" name="Mov" dataDxfId="43">
      <calculatedColumnFormula>IF($C5="B",INDEX(Batters[[#All],[GAP P]],MATCH(Table5[[#This Row],[PID]],Batters[[#All],[PID]],0)),INDEX(Table3[[#All],[MOV P]],MATCH(Table5[[#This Row],[PID]],Table3[[#All],[PID]],0)))</calculatedColumnFormula>
    </tableColumn>
    <tableColumn id="15" xr3:uid="{020F782F-69E5-4142-A433-292BE4BB2A9D}" name="Con" dataDxfId="42">
      <calculatedColumnFormula>IF($C5="B",INDEX(Batters[[#All],[POW P]],MATCH(Table5[[#This Row],[PID]],Batters[[#All],[PID]],0)),INDEX(Table3[[#All],[CON P]],MATCH(Table5[[#This Row],[PID]],Table3[[#All],[PID]],0)))</calculatedColumnFormula>
    </tableColumn>
    <tableColumn id="16" xr3:uid="{5BA5A35D-0E7F-4F38-A1EF-28CAA214FE0F}" name="Velo" dataDxfId="41">
      <calculatedColumnFormula>IF($C5="B",INDEX(Batters[[#All],[EYE P]],MATCH(Table5[[#This Row],[PID]],Batters[[#All],[PID]],0)),INDEX(Table3[[#All],[VELO]],MATCH(Table5[[#This Row],[PID]],Table3[[#All],[PID]],0)))</calculatedColumnFormula>
    </tableColumn>
    <tableColumn id="17" xr3:uid="{53205276-8DEA-47C0-9463-3A197770A2FD}" name="Sta" dataDxfId="40">
      <calculatedColumnFormula>IF($C5="B",INDEX(Batters[[#All],[K P]],MATCH(Table5[[#This Row],[PID]],Batters[[#All],[PID]],0)),INDEX(Table3[[#All],[STM]],MATCH(Table5[[#This Row],[PID]],Table3[[#All],[PID]],0)))</calculatedColumnFormula>
    </tableColumn>
    <tableColumn id="18" xr3:uid="{8CEE5B32-B5FD-428F-A0A2-8E128B8227F7}" name="Tot" dataDxfId="36">
      <calculatedColumnFormula>IF($C5="B",INDEX(Batters[[#All],[Tot]],MATCH(Table5[[#This Row],[PID]],Batters[[#All],[PID]],0)),INDEX(Table3[[#All],[Tot]],MATCH(Table5[[#This Row],[PID]],Table3[[#All],[PID]],0)))</calculatedColumnFormula>
    </tableColumn>
    <tableColumn id="19" xr3:uid="{5939CB3D-FB3C-40F3-AF86-570345DC0E44}" name="zScore" dataDxfId="39">
      <calculatedColumnFormula>IF($C5="B",INDEX(Batters[[#All],[zScore]],MATCH(Table5[[#This Row],[PID]],Batters[[#All],[PID]],0)),INDEX(Table3[[#All],[zScore]],MATCH(Table5[[#This Row],[PID]],Table3[[#All],[PID]],0)))</calculatedColumnFormula>
    </tableColumn>
    <tableColumn id="20" xr3:uid="{20D24F2A-F8D0-4F36-92CB-054F4518F836}" name="Demand" dataDxfId="35" dataCellStyle="Currency">
      <calculatedColumnFormula>IF($C5="B",INDEX(Batters[[#All],[DEM]],MATCH(Table5[[#This Row],[PID]],Batters[[#All],[PID]],0)),INDEX(Table3[[#All],[DEM]],MATCH(Table5[[#This Row],[PID]],Table3[[#All],[PID]],0)))</calculatedColumnFormula>
    </tableColumn>
    <tableColumn id="21" xr3:uid="{F538A570-2CE2-4212-BEE1-848ECF29C0AE}" name="posRnk" dataDxfId="34">
      <calculatedColumnFormula>IF($C5="B",VLOOKUP($A5,Bat!$A$4:$AU$1417,46,FALSE),VLOOKUP($A5,Pit!$A$4:$BD$570,55,FALSE))</calculatedColumnFormula>
    </tableColumn>
    <tableColumn id="22" xr3:uid="{58C2110B-77F6-49E3-9D32-49DCE4675E8F}" name="b/pRnk" dataDxfId="50">
      <calculatedColumnFormula>IF($C5="B",VLOOKUP($A5,Bat!$A$4:$BA$1417,47,FALSE),VLOOKUP($A5,Pit!$A$4:$BF$570,56,FALSE))</calculatedColumnFormula>
    </tableColumn>
    <tableColumn id="23" xr3:uid="{13E5FBFB-B07A-4251-B175-665B5E5E9349}" name="By Rnd" dataDxfId="49">
      <calculatedColumnFormula>IF($C5="B",VLOOKUP($A5,Bat!$A$4:$BA$1417,48,FALSE),VLOOKUP($A5,Pit!$A$4:$BF$570,57,FALSE))</calculatedColumnFormula>
    </tableColumn>
    <tableColumn id="24" xr3:uid="{DD82F422-4CE8-41A6-8712-233EDB5A227D}" name="cmbList" dataDxfId="9">
      <calculatedColumnFormula>Table5[[#This Row],[posRnk]]+Table5[[#This Row],[zRnk]]+IF($W$3&lt;&gt;Table5[[#This Row],[Type]],50,0)</calculatedColumnFormula>
    </tableColumn>
    <tableColumn id="25" xr3:uid="{2B1B0E47-F81D-47D4-90C3-5512BA102E94}" name="zRnk" dataDxfId="10">
      <calculatedColumnFormula>RANK(Table5[[#This Row],[zScore]],Table5[[#All],[zScore]])</calculatedColumnFormula>
    </tableColumn>
    <tableColumn id="26" xr3:uid="{4DADC21C-F0A9-488E-8F5F-2FAC103C1C91}" name="Ovr" dataDxfId="12">
      <calculatedColumnFormula>IFERROR(INDEX(DraftResults[[#All],[OVR]],MATCH(Table5[[#This Row],[PID]],DraftResults[[#All],[Player ID]],0)),"")</calculatedColumnFormula>
    </tableColumn>
    <tableColumn id="27" xr3:uid="{BD8A4CB0-82DF-4CD1-B00E-E43085D8B458}" name="Rnd" dataDxfId="27">
      <calculatedColumnFormula>IFERROR(IF((INDEX(DraftResults[[#All],[Supplemental]],MATCH(Table5[[#This Row],[PID]],DraftResults[[#All],[Player ID]],0)))=1,"S","")&amp;INDEX(DraftResults[[#All],[Round]],MATCH(Table5[[#This Row],[PID]],DraftResults[[#All],[Player ID]],0)),"")</calculatedColumnFormula>
    </tableColumn>
    <tableColumn id="28" xr3:uid="{AAB1395B-1E4F-4CC7-9DEA-B0F1A0786BF3}" name="Pick" dataDxfId="28">
      <calculatedColumnFormula>IFERROR(INDEX(DraftResults[[#All],[Pick in Round]],MATCH(Table5[[#This Row],[PID]],DraftResults[[#All],[Player ID]],0)),"")</calculatedColumnFormula>
    </tableColumn>
    <tableColumn id="29" xr3:uid="{78C914D4-5152-4158-ACC3-2D59762F91EB}" name="Team" dataDxfId="30">
      <calculatedColumnFormula>IFERROR(INDEX(DraftResults[[#All],[Team Name]],MATCH(Table5[[#This Row],[PID]],DraftResults[[#All],[Player ID]],0)),"")</calculatedColumnFormula>
    </tableColumn>
    <tableColumn id="30" xr3:uid="{31DF6215-5BE5-4C72-BAB7-33B5357E1E91}" name="Draft Diff" dataDxfId="26">
      <calculatedColumnFormula>IF(Table5[[#This Row],[Ovr]]="","",IF(Table5[[#This Row],[cmbList]]="","",Table5[[#This Row],[cmbList]]-Table5[[#This Row],[Ovr]]))</calculatedColumnFormula>
    </tableColumn>
    <tableColumn id="31" xr3:uid="{86D31730-54FA-4106-B8F8-23148C66D515}" name="Bonus" dataDxfId="48" dataCellStyle="Currency">
      <calculatedColumnFormula>IF(ISERROR(VLOOKUP($AB5&amp;"-"&amp;$E5&amp;" "&amp;F5,Bonuses!$B$1:$G$1006,4,FALSE)),"",INT(VLOOKUP($AB5&amp;"-"&amp;$E5&amp;" "&amp;$F5,Bonuses!$B$1:$G$1006,4,FALSE)))</calculatedColumnFormula>
    </tableColumn>
    <tableColumn id="32" xr3:uid="{D2E75D02-E3E9-4459-B9B8-DE94178CA6E7}" name="MLB" dataDxfId="29">
      <calculatedColumnFormula>IF(Table5[[#This Row],[Ovr]]&lt;&gt;"",Table5[[#This Row],[Rnd]]&amp;"."&amp;Table5[[#This Row],[Pick]]&amp;" ("&amp;Table5[[#This Row],[Ovr]]&amp;") - "&amp;Table5[[#This Row],[Pos]]&amp;" "&amp;Table5[[#This Row],[First]]&amp;" "&amp;Table5[[#This Row],[Last]],"")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78FB76-660B-4112-9509-B16FFBFD9B89}" name="DraftResults" displayName="DraftResults" ref="A3:K607" totalsRowShown="0">
  <autoFilter ref="A3:K607" xr:uid="{28BA0283-B2B4-42C8-B7EA-9BD5BE7FB5EA}"/>
  <tableColumns count="11">
    <tableColumn id="1" xr3:uid="{4C77C852-1044-43CE-B9B5-B42F116F1996}" name="Round"/>
    <tableColumn id="2" xr3:uid="{4415F905-536D-4487-92A4-745093C5D8CA}" name="Supplemental"/>
    <tableColumn id="3" xr3:uid="{34C2E00D-3B66-410A-AEC0-EEA63E77F97B}" name="Pick in Round"/>
    <tableColumn id="4" xr3:uid="{588D5787-E052-4549-9C2D-440DEE2CEAB6}" name="Team Name"/>
    <tableColumn id="5" xr3:uid="{D41512EE-B1C9-46C9-AF7C-BE111EDB1588}" name="Team ID"/>
    <tableColumn id="6" xr3:uid="{875E6277-6FD0-40E0-983E-075108B94FE7}" name="Player ID"/>
    <tableColumn id="7" xr3:uid="{8CB5C421-864C-48E5-8D42-AA97D7C64BB7}" name="eol"/>
    <tableColumn id="16" xr3:uid="{F246BA58-0F8F-4235-821C-F04D551CCE5E}" name="OVR" dataDxfId="11">
      <calculatedColumnFormula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calculatedColumnFormula>
    </tableColumn>
    <tableColumn id="13" xr3:uid="{00E707D7-6CAE-419E-846B-5535A760B02C}" name="Pos" dataDxfId="25">
      <calculatedColumnFormula>IF(DraftResults[[#This Row],[Player ID]]=0,"",INDEX(Table5[[#All],[Pos]],MATCH(DraftResults[[#This Row],[Player ID]],Table5[[#All],[PID]],0)))</calculatedColumnFormula>
    </tableColumn>
    <tableColumn id="14" xr3:uid="{4940ACD4-1A14-4FFE-8F39-63B6ABFDD96A}" name="First" dataDxfId="24">
      <calculatedColumnFormula>IF(DraftResults[[#This Row],[Player ID]]=0,"",INDEX(Table5[[#All],[First]],MATCH(DraftResults[[#This Row],[Player ID]],Table5[[#All],[PID]],0)))</calculatedColumnFormula>
    </tableColumn>
    <tableColumn id="15" xr3:uid="{A4DD8098-482D-49FA-8DC3-43E427F27093}" name="Last" dataDxfId="23">
      <calculatedColumnFormula>IF(DraftResults[[#This Row],[Player ID]]=0,"",INDEX(Table5[[#All],[Last]],MATCH(DraftResults[[#This Row],[Player ID]],Table5[[#All],[PID]],0)))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29" totalsRowCount="1" headerRowDxfId="207" totalsRowDxfId="206">
  <autoFilter ref="A2:I28" xr:uid="{00000000-0009-0000-0100-000001000000}"/>
  <sortState xmlns:xlrd2="http://schemas.microsoft.com/office/spreadsheetml/2017/richdata2" ref="A3:I28">
    <sortCondition descending="1" ref="F3:F28"/>
    <sortCondition descending="1" ref="B3:B28"/>
    <sortCondition descending="1" ref="C3:C28"/>
    <sortCondition descending="1" ref="G3:G28"/>
  </sortState>
  <tableColumns count="9">
    <tableColumn id="1" xr3:uid="{00000000-0010-0000-0000-000001000000}" name="Team" totalsRowLabel="Total" totalsRowDxfId="205"/>
    <tableColumn id="2" xr3:uid="{00000000-0010-0000-0000-000002000000}" name="Drafted Players" totalsRowFunction="sum" totalsRowDxfId="204"/>
    <tableColumn id="3" xr3:uid="{00000000-0010-0000-0000-000003000000}" name="Bonus Eligible" totalsRowFunction="sum" dataDxfId="203" totalsRowDxfId="202">
      <calculatedColumnFormula>SUMPRODUCT(('Draft List'!$AB$5:$AB$1234=$A3)*('Draft List'!$Z$5:$Z$1234&lt;6))+SUMPRODUCT(('Draft List'!$AB$5:$AB$1234=$A3)*('Draft List'!$Z$5:$Z$1234="S1"))+SUMPRODUCT(('Draft List'!$AB$5:$AB$1234=$A3)*('Draft List'!$Z$5:$Z$1234&lt;&gt;"S1")*('Draft List'!$Z$5:$Z$1234&gt;5)*('Draft List'!$AD$5:$AD$1234&gt;0)*('Draft List'!$AD$5:$AD$1234&lt;100000000))</calculatedColumnFormula>
    </tableColumn>
    <tableColumn id="4" xr3:uid="{00000000-0010-0000-0000-000004000000}" name="Signed" totalsRowFunction="sum" totalsRowDxfId="201">
      <calculatedColumnFormula>SUMPRODUCT(('Draft List'!$AB$5:$AB$1234=$A3)*('Draft List'!$AD$5:$AD$1234&gt;0)*('Draft List'!$AD$5:$AD$1234&lt;1000000000))</calculatedColumnFormula>
    </tableColumn>
    <tableColumn id="5" xr3:uid="{00000000-0010-0000-0000-000005000000}" name="Unsigned" totalsRowFunction="sum" totalsRowDxfId="200"/>
    <tableColumn id="6" xr3:uid="{00000000-0010-0000-0000-000006000000}" name="Tot Bonus" totalsRowFunction="sum" dataDxfId="199" totalsRowDxfId="198" dataCellStyle="Currency"/>
    <tableColumn id="7" xr3:uid="{00000000-0010-0000-0000-000007000000}" name="Avg Bonus" totalsRowFunction="custom" dataDxfId="197" totalsRowDxfId="196">
      <calculatedColumnFormula>IF(D3&gt;0,F3/D3,0)</calculatedColumnFormula>
      <totalsRowFormula>Table1[[#Totals],[Tot Bonus]]/Table1[[#Totals],[Signed]]</totalsRowFormula>
    </tableColumn>
    <tableColumn id="8" xr3:uid="{00000000-0010-0000-0000-000008000000}" name="Len" totalsRowFunction="max" dataDxfId="195" totalsRowDxfId="194">
      <calculatedColumnFormula>LEN(Table1[[#This Row],[Team]])</calculatedColumnFormula>
    </tableColumn>
    <tableColumn id="9" xr3:uid="{00000000-0010-0000-0000-000009000000}" name="Text" dataDxfId="193" totalsRowDxfId="192">
      <calculatedColumnFormula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workbookViewId="0">
      <pane ySplit="3" topLeftCell="A20" activePane="bottomLeft" state="frozen"/>
      <selection pane="bottomLeft" activeCell="A5" sqref="A5"/>
    </sheetView>
  </sheetViews>
  <sheetFormatPr defaultRowHeight="15" x14ac:dyDescent="0.25"/>
  <cols>
    <col min="1" max="1" width="11.7109375" customWidth="1"/>
    <col min="2" max="2" width="6.7109375" customWidth="1"/>
    <col min="3" max="3" width="8.85546875" bestFit="1" customWidth="1"/>
    <col min="4" max="4" width="9.7109375" bestFit="1" customWidth="1"/>
    <col min="5" max="5" width="6.5703125" customWidth="1"/>
    <col min="6" max="7" width="5.5703125" bestFit="1" customWidth="1"/>
    <col min="8" max="8" width="12.7109375" bestFit="1" customWidth="1"/>
    <col min="9" max="9" width="10" customWidth="1"/>
    <col min="10" max="10" width="7.85546875" customWidth="1"/>
    <col min="12" max="13" width="10.42578125" customWidth="1"/>
    <col min="14" max="14" width="15" customWidth="1"/>
    <col min="16" max="16" width="9.28515625" customWidth="1"/>
    <col min="19" max="19" width="9.28515625" customWidth="1"/>
    <col min="20" max="20" width="9.7109375" customWidth="1"/>
  </cols>
  <sheetData>
    <row r="1" spans="1:20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44</v>
      </c>
      <c r="I1">
        <v>53</v>
      </c>
    </row>
    <row r="2" spans="1:20" x14ac:dyDescent="0.25">
      <c r="A2" t="s">
        <v>302</v>
      </c>
      <c r="O2">
        <v>18</v>
      </c>
      <c r="P2">
        <v>20</v>
      </c>
      <c r="Q2">
        <v>21</v>
      </c>
      <c r="R2">
        <v>16</v>
      </c>
      <c r="S2">
        <v>17</v>
      </c>
      <c r="T2">
        <v>18</v>
      </c>
    </row>
    <row r="3" spans="1:20" x14ac:dyDescent="0.25">
      <c r="A3" s="36" t="s">
        <v>215</v>
      </c>
      <c r="B3" s="37" t="s">
        <v>0</v>
      </c>
      <c r="C3" s="37" t="s">
        <v>421</v>
      </c>
      <c r="D3" s="37" t="s">
        <v>422</v>
      </c>
      <c r="E3" s="37" t="s">
        <v>2</v>
      </c>
      <c r="F3" s="37" t="s">
        <v>3</v>
      </c>
      <c r="G3" s="37" t="s">
        <v>4</v>
      </c>
      <c r="H3" s="37" t="s">
        <v>362</v>
      </c>
      <c r="I3" s="37" t="s">
        <v>363</v>
      </c>
      <c r="J3" s="37" t="s">
        <v>481</v>
      </c>
      <c r="K3" s="37" t="s">
        <v>477</v>
      </c>
      <c r="L3" s="37" t="s">
        <v>478</v>
      </c>
      <c r="M3" s="37" t="s">
        <v>479</v>
      </c>
      <c r="N3" s="37" t="s">
        <v>480</v>
      </c>
      <c r="O3" s="37" t="s">
        <v>13</v>
      </c>
      <c r="P3" s="37" t="s">
        <v>80</v>
      </c>
      <c r="Q3" s="37" t="s">
        <v>81</v>
      </c>
      <c r="R3" s="37" t="s">
        <v>586</v>
      </c>
      <c r="S3" s="37" t="s">
        <v>12</v>
      </c>
      <c r="T3" s="37" t="s">
        <v>1813</v>
      </c>
    </row>
    <row r="4" spans="1:20" x14ac:dyDescent="0.25">
      <c r="A4" s="47"/>
      <c r="B4" s="47"/>
      <c r="C4" s="47"/>
      <c r="D4" s="47"/>
      <c r="E4" s="47"/>
      <c r="F4" s="47"/>
      <c r="G4" s="47"/>
      <c r="H4" s="46"/>
      <c r="I4" s="46"/>
      <c r="J4" s="46"/>
      <c r="K4" s="51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5">
      <c r="A5" s="47"/>
      <c r="B5" s="47"/>
      <c r="C5" s="47"/>
      <c r="D5" s="47"/>
      <c r="E5" s="47"/>
      <c r="F5" s="47"/>
      <c r="G5" s="47"/>
      <c r="H5" s="46"/>
      <c r="I5" s="46"/>
      <c r="J5" s="46"/>
      <c r="K5" s="51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5">
      <c r="A6" s="47"/>
      <c r="B6" s="47"/>
      <c r="C6" s="47"/>
      <c r="D6" s="47"/>
      <c r="E6" s="47"/>
      <c r="F6" s="47"/>
      <c r="G6" s="47"/>
      <c r="H6" s="46"/>
      <c r="I6" s="46"/>
      <c r="J6" s="46"/>
      <c r="K6" s="51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5">
      <c r="A7" s="47"/>
      <c r="B7" s="47"/>
      <c r="C7" s="47"/>
      <c r="D7" s="47"/>
      <c r="E7" s="47"/>
      <c r="F7" s="47"/>
      <c r="G7" s="47"/>
      <c r="H7" s="46"/>
      <c r="I7" s="46"/>
      <c r="J7" s="46"/>
      <c r="K7" s="51"/>
      <c r="L7" s="47"/>
      <c r="M7" s="47"/>
      <c r="N7" s="47"/>
      <c r="O7" s="47"/>
      <c r="P7" s="47"/>
      <c r="Q7" s="47"/>
      <c r="R7" s="47"/>
      <c r="S7" s="47"/>
      <c r="T7" s="47"/>
    </row>
    <row r="8" spans="1:20" x14ac:dyDescent="0.25">
      <c r="A8" s="47"/>
      <c r="B8" s="47"/>
      <c r="C8" s="47"/>
      <c r="D8" s="47"/>
      <c r="E8" s="47"/>
      <c r="F8" s="47"/>
      <c r="G8" s="47"/>
      <c r="H8" s="46"/>
      <c r="I8" s="46"/>
      <c r="J8" s="46"/>
      <c r="K8" s="51"/>
      <c r="L8" s="47"/>
      <c r="M8" s="47"/>
      <c r="N8" s="47"/>
      <c r="O8" s="47"/>
      <c r="P8" s="47"/>
      <c r="Q8" s="47"/>
      <c r="R8" s="47"/>
      <c r="S8" s="47"/>
      <c r="T8" s="47"/>
    </row>
    <row r="9" spans="1:20" x14ac:dyDescent="0.25">
      <c r="A9" s="47"/>
      <c r="B9" s="47"/>
      <c r="C9" s="47"/>
      <c r="D9" s="47"/>
      <c r="E9" s="47"/>
      <c r="F9" s="47"/>
      <c r="G9" s="47"/>
      <c r="H9" s="46"/>
      <c r="I9" s="46"/>
      <c r="J9" s="46"/>
      <c r="K9" s="51"/>
      <c r="L9" s="47"/>
      <c r="M9" s="47"/>
      <c r="N9" s="47"/>
      <c r="O9" s="47"/>
      <c r="P9" s="47"/>
      <c r="Q9" s="47"/>
      <c r="R9" s="47"/>
      <c r="S9" s="47"/>
      <c r="T9" s="47"/>
    </row>
    <row r="10" spans="1:20" x14ac:dyDescent="0.25">
      <c r="A10" s="47"/>
      <c r="B10" s="47"/>
      <c r="C10" s="47"/>
      <c r="D10" s="47"/>
      <c r="E10" s="47"/>
      <c r="F10" s="47"/>
      <c r="G10" s="47"/>
      <c r="H10" s="46"/>
      <c r="I10" s="46"/>
      <c r="J10" s="46"/>
      <c r="K10" s="51"/>
      <c r="L10" s="47"/>
      <c r="M10" s="47"/>
      <c r="N10" s="47"/>
      <c r="O10" s="47"/>
      <c r="P10" s="47"/>
      <c r="Q10" s="47"/>
      <c r="R10" s="47"/>
      <c r="S10" s="47"/>
      <c r="T10" s="47"/>
    </row>
    <row r="11" spans="1:20" x14ac:dyDescent="0.25">
      <c r="A11" s="47"/>
      <c r="B11" s="47"/>
      <c r="C11" s="47"/>
      <c r="D11" s="47"/>
      <c r="E11" s="47"/>
      <c r="F11" s="47"/>
      <c r="G11" s="47"/>
      <c r="H11" s="46"/>
      <c r="I11" s="46"/>
      <c r="J11" s="46"/>
      <c r="K11" s="51"/>
      <c r="L11" s="47"/>
      <c r="M11" s="47"/>
      <c r="N11" s="47"/>
      <c r="O11" s="47"/>
      <c r="P11" s="47"/>
      <c r="Q11" s="47"/>
      <c r="R11" s="47"/>
      <c r="S11" s="47"/>
      <c r="T11" s="47"/>
    </row>
    <row r="12" spans="1:20" x14ac:dyDescent="0.25">
      <c r="A12" s="47"/>
      <c r="B12" s="47"/>
      <c r="C12" s="47"/>
      <c r="D12" s="47"/>
      <c r="E12" s="47"/>
      <c r="F12" s="47"/>
      <c r="G12" s="47"/>
      <c r="H12" s="46"/>
      <c r="I12" s="46"/>
      <c r="J12" s="46"/>
      <c r="K12" s="51"/>
      <c r="L12" s="47"/>
      <c r="M12" s="47"/>
      <c r="N12" s="47"/>
      <c r="O12" s="47"/>
      <c r="P12" s="47"/>
      <c r="Q12" s="47"/>
      <c r="R12" s="47"/>
      <c r="S12" s="47"/>
      <c r="T12" s="47"/>
    </row>
    <row r="13" spans="1:20" x14ac:dyDescent="0.25">
      <c r="A13" s="47"/>
      <c r="B13" s="47"/>
      <c r="C13" s="47"/>
      <c r="D13" s="47"/>
      <c r="E13" s="47"/>
      <c r="F13" s="47"/>
      <c r="G13" s="47"/>
      <c r="H13" s="46"/>
      <c r="I13" s="46"/>
      <c r="J13" s="46"/>
      <c r="K13" s="51"/>
      <c r="L13" s="47"/>
      <c r="M13" s="47"/>
      <c r="N13" s="47"/>
      <c r="O13" s="47"/>
      <c r="P13" s="47"/>
      <c r="Q13" s="47"/>
      <c r="R13" s="47"/>
      <c r="S13" s="47"/>
      <c r="T13" s="47"/>
    </row>
    <row r="14" spans="1:20" x14ac:dyDescent="0.25">
      <c r="A14" s="47"/>
      <c r="B14" s="47"/>
      <c r="C14" s="47"/>
      <c r="D14" s="47"/>
      <c r="E14" s="47"/>
      <c r="F14" s="47"/>
      <c r="G14" s="47"/>
      <c r="H14" s="46"/>
      <c r="I14" s="46"/>
      <c r="J14" s="46"/>
      <c r="K14" s="51"/>
      <c r="L14" s="47"/>
      <c r="M14" s="47"/>
      <c r="N14" s="47"/>
      <c r="O14" s="47"/>
      <c r="P14" s="47"/>
      <c r="Q14" s="47"/>
      <c r="R14" s="47"/>
      <c r="S14" s="47"/>
      <c r="T14" s="47"/>
    </row>
    <row r="15" spans="1:20" x14ac:dyDescent="0.25">
      <c r="A15" s="47"/>
      <c r="B15" s="47"/>
      <c r="C15" s="47"/>
      <c r="D15" s="47"/>
      <c r="E15" s="47"/>
      <c r="F15" s="47"/>
      <c r="G15" s="47"/>
      <c r="H15" s="46"/>
      <c r="I15" s="46"/>
      <c r="J15" s="46"/>
      <c r="K15" s="51"/>
      <c r="L15" s="47"/>
      <c r="M15" s="47"/>
      <c r="N15" s="47"/>
      <c r="O15" s="47"/>
      <c r="P15" s="47"/>
      <c r="Q15" s="47"/>
      <c r="R15" s="47"/>
      <c r="S15" s="47"/>
      <c r="T15" s="47"/>
    </row>
    <row r="16" spans="1:20" x14ac:dyDescent="0.25">
      <c r="A16" s="47"/>
      <c r="B16" s="47"/>
      <c r="C16" s="47"/>
      <c r="D16" s="47"/>
      <c r="E16" s="47"/>
      <c r="F16" s="47"/>
      <c r="G16" s="47"/>
      <c r="H16" s="46"/>
      <c r="I16" s="46"/>
      <c r="J16" s="46"/>
      <c r="K16" s="51"/>
      <c r="L16" s="47"/>
      <c r="M16" s="47"/>
      <c r="N16" s="47"/>
      <c r="O16" s="47"/>
      <c r="P16" s="47"/>
      <c r="Q16" s="47"/>
      <c r="R16" s="47"/>
      <c r="S16" s="47"/>
      <c r="T16" s="47"/>
    </row>
    <row r="17" spans="1:20" x14ac:dyDescent="0.25">
      <c r="A17" s="47"/>
      <c r="B17" s="47"/>
      <c r="C17" s="47"/>
      <c r="D17" s="47"/>
      <c r="E17" s="47"/>
      <c r="F17" s="47"/>
      <c r="G17" s="47"/>
      <c r="H17" s="46"/>
      <c r="I17" s="46"/>
      <c r="J17" s="46"/>
      <c r="K17" s="51"/>
      <c r="L17" s="47"/>
      <c r="M17" s="47"/>
      <c r="N17" s="47"/>
      <c r="O17" s="47"/>
      <c r="P17" s="47"/>
      <c r="Q17" s="47"/>
      <c r="R17" s="47"/>
      <c r="S17" s="47"/>
      <c r="T17" s="47"/>
    </row>
    <row r="18" spans="1:20" x14ac:dyDescent="0.25">
      <c r="A18" s="47"/>
      <c r="B18" s="47"/>
      <c r="C18" s="47"/>
      <c r="D18" s="47"/>
      <c r="E18" s="47"/>
      <c r="F18" s="47"/>
      <c r="G18" s="47"/>
      <c r="H18" s="46"/>
      <c r="I18" s="46"/>
      <c r="J18" s="46"/>
      <c r="K18" s="51"/>
      <c r="L18" s="47"/>
      <c r="M18" s="47"/>
      <c r="N18" s="47"/>
      <c r="O18" s="47"/>
      <c r="P18" s="47"/>
      <c r="Q18" s="47"/>
      <c r="R18" s="47"/>
      <c r="S18" s="47"/>
      <c r="T18" s="47"/>
    </row>
    <row r="19" spans="1:20" x14ac:dyDescent="0.25">
      <c r="A19" s="47"/>
      <c r="B19" s="47"/>
      <c r="C19" s="47"/>
      <c r="D19" s="47"/>
      <c r="E19" s="47"/>
      <c r="F19" s="47"/>
      <c r="G19" s="47"/>
      <c r="H19" s="46"/>
      <c r="I19" s="46"/>
      <c r="J19" s="46"/>
      <c r="K19" s="51"/>
      <c r="L19" s="47"/>
      <c r="M19" s="47"/>
      <c r="N19" s="47"/>
      <c r="O19" s="47"/>
      <c r="P19" s="47"/>
      <c r="Q19" s="47"/>
      <c r="R19" s="47"/>
      <c r="S19" s="47"/>
      <c r="T19" s="47"/>
    </row>
    <row r="20" spans="1:20" x14ac:dyDescent="0.25">
      <c r="A20" s="47"/>
      <c r="B20" s="47"/>
      <c r="C20" s="47"/>
      <c r="D20" s="47"/>
      <c r="E20" s="47"/>
      <c r="F20" s="47"/>
      <c r="G20" s="47"/>
      <c r="H20" s="46"/>
      <c r="I20" s="46"/>
      <c r="J20" s="46"/>
      <c r="K20" s="51"/>
      <c r="L20" s="47"/>
      <c r="M20" s="47"/>
      <c r="N20" s="47"/>
      <c r="O20" s="47"/>
      <c r="P20" s="47"/>
      <c r="Q20" s="47"/>
      <c r="R20" s="47"/>
      <c r="S20" s="47"/>
      <c r="T20" s="47"/>
    </row>
    <row r="21" spans="1:20" x14ac:dyDescent="0.25">
      <c r="A21" s="47"/>
      <c r="B21" s="47"/>
      <c r="C21" s="47"/>
      <c r="D21" s="47"/>
      <c r="E21" s="47"/>
      <c r="F21" s="47"/>
      <c r="G21" s="47"/>
      <c r="H21" s="46"/>
      <c r="I21" s="46"/>
      <c r="J21" s="46"/>
      <c r="K21" s="51"/>
      <c r="L21" s="47"/>
      <c r="M21" s="47"/>
      <c r="N21" s="47"/>
      <c r="O21" s="47"/>
      <c r="P21" s="47"/>
      <c r="Q21" s="47"/>
      <c r="R21" s="47"/>
      <c r="S21" s="47"/>
      <c r="T21" s="47"/>
    </row>
    <row r="22" spans="1:20" x14ac:dyDescent="0.25">
      <c r="A22" s="47"/>
      <c r="B22" s="47"/>
      <c r="C22" s="47"/>
      <c r="D22" s="47"/>
      <c r="E22" s="47"/>
      <c r="F22" s="47"/>
      <c r="G22" s="47"/>
      <c r="H22" s="46"/>
      <c r="I22" s="46"/>
      <c r="J22" s="46"/>
      <c r="K22" s="51"/>
      <c r="L22" s="47"/>
      <c r="M22" s="47"/>
      <c r="N22" s="47"/>
      <c r="O22" s="47"/>
      <c r="P22" s="47"/>
      <c r="Q22" s="47"/>
      <c r="R22" s="47"/>
      <c r="S22" s="47"/>
      <c r="T22" s="47"/>
    </row>
    <row r="23" spans="1:20" x14ac:dyDescent="0.25">
      <c r="A23" s="47"/>
      <c r="B23" s="47"/>
      <c r="C23" s="47"/>
      <c r="D23" s="47"/>
      <c r="E23" s="47"/>
      <c r="F23" s="47"/>
      <c r="G23" s="47"/>
      <c r="H23" s="46"/>
      <c r="I23" s="46"/>
      <c r="J23" s="46"/>
      <c r="K23" s="51"/>
      <c r="L23" s="47"/>
      <c r="M23" s="47"/>
      <c r="N23" s="47"/>
      <c r="O23" s="47"/>
      <c r="P23" s="47"/>
      <c r="Q23" s="47"/>
      <c r="R23" s="47"/>
      <c r="S23" s="47"/>
      <c r="T23" s="47"/>
    </row>
    <row r="24" spans="1:20" x14ac:dyDescent="0.25">
      <c r="A24" s="47"/>
      <c r="B24" s="47"/>
      <c r="C24" s="47"/>
      <c r="D24" s="47"/>
      <c r="E24" s="47"/>
      <c r="F24" s="47"/>
      <c r="G24" s="47"/>
      <c r="H24" s="46"/>
      <c r="I24" s="46"/>
      <c r="J24" s="46"/>
      <c r="K24" s="51"/>
      <c r="L24" s="47"/>
      <c r="M24" s="47"/>
      <c r="N24" s="47"/>
      <c r="O24" s="47"/>
      <c r="P24" s="47"/>
      <c r="Q24" s="47"/>
      <c r="R24" s="47"/>
      <c r="S24" s="47"/>
      <c r="T24" s="47"/>
    </row>
    <row r="25" spans="1:20" x14ac:dyDescent="0.25">
      <c r="A25" s="47"/>
      <c r="B25" s="47"/>
      <c r="C25" s="47"/>
      <c r="D25" s="47"/>
      <c r="E25" s="47"/>
      <c r="F25" s="47"/>
      <c r="G25" s="47"/>
      <c r="H25" s="46"/>
      <c r="I25" s="46"/>
      <c r="J25" s="46"/>
      <c r="K25" s="51"/>
      <c r="L25" s="47"/>
      <c r="M25" s="47"/>
      <c r="N25" s="47"/>
      <c r="O25" s="47"/>
      <c r="P25" s="47"/>
      <c r="Q25" s="47"/>
      <c r="R25" s="47"/>
      <c r="S25" s="47"/>
      <c r="T25" s="47"/>
    </row>
    <row r="26" spans="1:20" x14ac:dyDescent="0.25">
      <c r="A26" s="47"/>
      <c r="B26" s="47"/>
      <c r="C26" s="47"/>
      <c r="D26" s="47"/>
      <c r="E26" s="47"/>
      <c r="F26" s="47"/>
      <c r="G26" s="47"/>
      <c r="H26" s="46"/>
      <c r="I26" s="46"/>
      <c r="J26" s="46"/>
      <c r="K26" s="51"/>
      <c r="L26" s="47"/>
      <c r="M26" s="47"/>
      <c r="N26" s="47"/>
      <c r="O26" s="47"/>
      <c r="P26" s="47"/>
      <c r="Q26" s="47"/>
      <c r="R26" s="47"/>
      <c r="S26" s="47"/>
      <c r="T26" s="47"/>
    </row>
    <row r="27" spans="1:20" x14ac:dyDescent="0.25">
      <c r="A27" s="47"/>
      <c r="B27" s="47"/>
      <c r="C27" s="47"/>
      <c r="D27" s="47"/>
      <c r="E27" s="47"/>
      <c r="F27" s="47"/>
      <c r="G27" s="47"/>
      <c r="H27" s="46"/>
      <c r="I27" s="46"/>
      <c r="J27" s="46"/>
      <c r="K27" s="51"/>
      <c r="L27" s="47"/>
      <c r="M27" s="47"/>
      <c r="N27" s="47"/>
      <c r="O27" s="47"/>
      <c r="P27" s="47"/>
      <c r="Q27" s="47"/>
      <c r="R27" s="47"/>
      <c r="S27" s="47"/>
      <c r="T27" s="47"/>
    </row>
    <row r="28" spans="1:20" x14ac:dyDescent="0.25">
      <c r="A28" s="47"/>
      <c r="B28" s="47"/>
      <c r="C28" s="47"/>
      <c r="D28" s="47"/>
      <c r="E28" s="47"/>
      <c r="F28" s="47"/>
      <c r="G28" s="47"/>
      <c r="H28" s="46"/>
      <c r="I28" s="46"/>
      <c r="J28" s="46"/>
      <c r="K28" s="51"/>
      <c r="L28" s="47"/>
      <c r="M28" s="47"/>
      <c r="N28" s="47"/>
      <c r="O28" s="47"/>
      <c r="P28" s="47"/>
      <c r="Q28" s="47"/>
      <c r="R28" s="47"/>
      <c r="S28" s="47"/>
      <c r="T28" s="47"/>
    </row>
    <row r="29" spans="1:20" x14ac:dyDescent="0.25">
      <c r="A29" s="47"/>
      <c r="B29" s="47"/>
      <c r="C29" s="47"/>
      <c r="D29" s="47"/>
      <c r="E29" s="47"/>
      <c r="F29" s="47"/>
      <c r="G29" s="47"/>
      <c r="H29" s="46"/>
      <c r="I29" s="46"/>
      <c r="J29" s="46"/>
      <c r="K29" s="51"/>
      <c r="L29" s="47"/>
      <c r="M29" s="47"/>
      <c r="N29" s="47"/>
      <c r="O29" s="47"/>
      <c r="P29" s="47"/>
      <c r="Q29" s="47"/>
      <c r="R29" s="47"/>
      <c r="S29" s="47"/>
      <c r="T29" s="47"/>
    </row>
    <row r="30" spans="1:20" x14ac:dyDescent="0.25">
      <c r="A30" s="47"/>
      <c r="B30" s="47"/>
      <c r="C30" s="47"/>
      <c r="D30" s="47"/>
      <c r="E30" s="47"/>
      <c r="F30" s="47"/>
      <c r="G30" s="47"/>
      <c r="H30" s="46"/>
      <c r="I30" s="46"/>
      <c r="J30" s="46"/>
      <c r="K30" s="51"/>
      <c r="L30" s="47"/>
      <c r="M30" s="47"/>
      <c r="N30" s="47"/>
      <c r="O30" s="47"/>
      <c r="P30" s="47"/>
      <c r="Q30" s="47"/>
      <c r="R30" s="47"/>
      <c r="S30" s="47"/>
      <c r="T30" s="47"/>
    </row>
    <row r="31" spans="1:20" x14ac:dyDescent="0.25">
      <c r="A31" s="47"/>
      <c r="B31" s="47"/>
      <c r="C31" s="47"/>
      <c r="D31" s="47"/>
      <c r="E31" s="47"/>
      <c r="F31" s="47"/>
      <c r="G31" s="47"/>
      <c r="H31" s="46"/>
      <c r="I31" s="46"/>
      <c r="J31" s="46"/>
      <c r="K31" s="51"/>
      <c r="L31" s="47"/>
      <c r="M31" s="47"/>
      <c r="N31" s="47"/>
      <c r="O31" s="47"/>
      <c r="P31" s="47"/>
      <c r="Q31" s="47"/>
      <c r="R31" s="47"/>
      <c r="S31" s="47"/>
      <c r="T31" s="47"/>
    </row>
    <row r="32" spans="1:20" x14ac:dyDescent="0.25">
      <c r="A32" s="47"/>
      <c r="B32" s="47"/>
      <c r="C32" s="47"/>
      <c r="D32" s="47"/>
      <c r="E32" s="47"/>
      <c r="F32" s="47"/>
      <c r="G32" s="47"/>
      <c r="H32" s="46"/>
      <c r="I32" s="46"/>
      <c r="J32" s="46"/>
      <c r="K32" s="51"/>
      <c r="L32" s="47"/>
      <c r="M32" s="47"/>
      <c r="N32" s="47"/>
      <c r="O32" s="47"/>
      <c r="P32" s="47"/>
      <c r="Q32" s="47"/>
      <c r="R32" s="47"/>
      <c r="S32" s="47"/>
      <c r="T32" s="47"/>
    </row>
    <row r="33" spans="1:20" x14ac:dyDescent="0.25">
      <c r="A33" s="47"/>
      <c r="B33" s="47"/>
      <c r="C33" s="47"/>
      <c r="D33" s="47"/>
      <c r="E33" s="47"/>
      <c r="F33" s="47"/>
      <c r="G33" s="47"/>
      <c r="H33" s="46"/>
      <c r="I33" s="46"/>
      <c r="J33" s="46"/>
      <c r="K33" s="51"/>
      <c r="L33" s="47"/>
      <c r="M33" s="47"/>
      <c r="N33" s="47"/>
      <c r="O33" s="47"/>
      <c r="P33" s="47"/>
      <c r="Q33" s="47"/>
      <c r="R33" s="47"/>
      <c r="S33" s="47"/>
      <c r="T33" s="47"/>
    </row>
    <row r="34" spans="1:20" x14ac:dyDescent="0.25">
      <c r="A34" s="47"/>
      <c r="B34" s="47"/>
      <c r="C34" s="47"/>
      <c r="D34" s="47"/>
      <c r="E34" s="47"/>
      <c r="F34" s="47"/>
      <c r="G34" s="47"/>
      <c r="H34" s="46"/>
      <c r="I34" s="46"/>
      <c r="J34" s="46"/>
      <c r="K34" s="51"/>
      <c r="L34" s="47"/>
      <c r="M34" s="47"/>
      <c r="N34" s="47"/>
      <c r="O34" s="47"/>
      <c r="P34" s="47"/>
      <c r="Q34" s="47"/>
      <c r="R34" s="47"/>
      <c r="S34" s="47"/>
      <c r="T34" s="47"/>
    </row>
    <row r="35" spans="1:20" x14ac:dyDescent="0.25">
      <c r="A35" s="47"/>
      <c r="B35" s="47"/>
      <c r="C35" s="47"/>
      <c r="D35" s="47"/>
      <c r="E35" s="47"/>
      <c r="F35" s="47"/>
      <c r="G35" s="47"/>
      <c r="H35" s="46"/>
      <c r="I35" s="46"/>
      <c r="J35" s="46"/>
      <c r="K35" s="51"/>
      <c r="L35" s="47"/>
      <c r="M35" s="47"/>
      <c r="N35" s="47"/>
      <c r="O35" s="47"/>
      <c r="P35" s="47"/>
      <c r="Q35" s="47"/>
      <c r="R35" s="47"/>
      <c r="S35" s="47"/>
      <c r="T35" s="47"/>
    </row>
    <row r="36" spans="1:20" x14ac:dyDescent="0.25">
      <c r="A36" s="47"/>
      <c r="B36" s="47"/>
      <c r="C36" s="47"/>
      <c r="D36" s="47"/>
      <c r="E36" s="47"/>
      <c r="F36" s="47"/>
      <c r="G36" s="47"/>
      <c r="H36" s="46"/>
      <c r="I36" s="46"/>
      <c r="J36" s="46"/>
      <c r="K36" s="51"/>
      <c r="L36" s="47"/>
      <c r="M36" s="47"/>
      <c r="N36" s="47"/>
      <c r="O36" s="47"/>
      <c r="P36" s="47"/>
      <c r="Q36" s="47"/>
      <c r="R36" s="47"/>
      <c r="S36" s="47"/>
      <c r="T36" s="47"/>
    </row>
    <row r="37" spans="1:20" x14ac:dyDescent="0.25">
      <c r="A37" s="47"/>
      <c r="B37" s="47"/>
      <c r="C37" s="47"/>
      <c r="D37" s="47"/>
      <c r="E37" s="47"/>
      <c r="F37" s="47"/>
      <c r="G37" s="47"/>
      <c r="H37" s="46"/>
      <c r="I37" s="46"/>
      <c r="J37" s="46"/>
      <c r="K37" s="51"/>
      <c r="L37" s="47"/>
      <c r="M37" s="47"/>
      <c r="N37" s="47"/>
      <c r="O37" s="47"/>
      <c r="P37" s="47"/>
      <c r="Q37" s="47"/>
      <c r="R37" s="47"/>
      <c r="S37" s="47"/>
      <c r="T37" s="47"/>
    </row>
    <row r="38" spans="1:20" x14ac:dyDescent="0.25">
      <c r="A38" s="47"/>
      <c r="B38" s="47"/>
      <c r="C38" s="47"/>
      <c r="D38" s="47"/>
      <c r="E38" s="47"/>
      <c r="F38" s="47"/>
      <c r="G38" s="47"/>
      <c r="H38" s="46"/>
      <c r="I38" s="46"/>
      <c r="J38" s="46"/>
      <c r="K38" s="51"/>
      <c r="L38" s="47"/>
      <c r="M38" s="47"/>
      <c r="N38" s="47"/>
      <c r="O38" s="47"/>
      <c r="P38" s="47"/>
      <c r="Q38" s="47"/>
      <c r="R38" s="47"/>
      <c r="S38" s="47"/>
      <c r="T38" s="47"/>
    </row>
    <row r="39" spans="1:20" x14ac:dyDescent="0.25">
      <c r="A39" s="47">
        <v>14633</v>
      </c>
      <c r="B39" s="47" t="e">
        <f>VLOOKUP($A39,Bat!$A$4:$BB$1131,B$1,FALSE)</f>
        <v>#N/A</v>
      </c>
      <c r="C39" s="47" t="e">
        <f>VLOOKUP($A39,Bat!$A$4:$BB$1131,C$1,FALSE)</f>
        <v>#N/A</v>
      </c>
      <c r="D39" s="47" t="e">
        <f>VLOOKUP($A39,Bat!$A$4:$BB$1131,D$1,FALSE)</f>
        <v>#N/A</v>
      </c>
      <c r="E39" s="47" t="e">
        <f>VLOOKUP($A39,Bat!$A$4:$BB$1131,E$1,FALSE)</f>
        <v>#N/A</v>
      </c>
      <c r="F39" s="47" t="e">
        <f>VLOOKUP($A39,Bat!$A$4:$BB$1131,F$1,FALSE)</f>
        <v>#N/A</v>
      </c>
      <c r="G39" s="47" t="e">
        <f>VLOOKUP($A39,Bat!$A$4:$BB$1131,G$1,FALSE)</f>
        <v>#N/A</v>
      </c>
      <c r="H39" s="46" t="e">
        <f>VLOOKUP($A39,Bat!$A$4:$BB$1531,H$1,FALSE)</f>
        <v>#N/A</v>
      </c>
      <c r="I39" s="46">
        <f>VLOOKUP($A39,Pit!$A$4:$BL$1569,I$1,FALSE)</f>
        <v>0.57338894677649277</v>
      </c>
      <c r="J39" s="46" t="e">
        <f>I39-H39</f>
        <v>#N/A</v>
      </c>
      <c r="K39" s="51" t="e">
        <f>IF(H39&gt;I39,"B","P")</f>
        <v>#N/A</v>
      </c>
      <c r="L39" s="47" t="e">
        <f>IF(AND(OR(B39="SP",B39="RP",B39="CL"),K39="P"),"Delete","Keep")</f>
        <v>#N/A</v>
      </c>
      <c r="M39" s="47" t="e">
        <f>IF(AND(AND($B39&lt;&gt;"SP",$B39&lt;&gt;"RP",$B39&lt;&gt;"CL"),$K39="B"),"Delete","Keep")</f>
        <v>#N/A</v>
      </c>
      <c r="N39" s="47" t="e">
        <f>IF(OR(L39="Delete",M39="Delete"),"Delete","Keep")</f>
        <v>#N/A</v>
      </c>
      <c r="O39" s="47" t="e">
        <f>VLOOKUP($A39,Bat!$A$4:$U$1534,O$2,FALSE)</f>
        <v>#N/A</v>
      </c>
      <c r="P39" s="47" t="e">
        <f>VLOOKUP($A39,Bat!$A$4:$U$1534,P$2,FALSE)</f>
        <v>#N/A</v>
      </c>
      <c r="Q39" s="47" t="e">
        <f>VLOOKUP($A39,Bat!$A$4:$U$1534,Q$2,FALSE)</f>
        <v>#N/A</v>
      </c>
      <c r="R39" s="47">
        <f>VLOOKUP($A39,Pit!$A$4:$U$1569,R$2,FALSE)</f>
        <v>5</v>
      </c>
      <c r="S39" s="47">
        <f>VLOOKUP($A39,Pit!$A$4:$U$1569,S$2,FALSE)</f>
        <v>2</v>
      </c>
      <c r="T39" s="47">
        <f>VLOOKUP($A39,Pit!$A$4:$U$1569,T$2,FALSE)</f>
        <v>3</v>
      </c>
    </row>
    <row r="40" spans="1:20" x14ac:dyDescent="0.25">
      <c r="A40" s="47">
        <v>11675</v>
      </c>
      <c r="B40" s="47" t="e">
        <f>VLOOKUP($A40,Bat!$A$4:$BB$1131,B$1,FALSE)</f>
        <v>#N/A</v>
      </c>
      <c r="C40" s="47" t="e">
        <f>VLOOKUP($A40,Bat!$A$4:$BB$1131,C$1,FALSE)</f>
        <v>#N/A</v>
      </c>
      <c r="D40" s="47" t="e">
        <f>VLOOKUP($A40,Bat!$A$4:$BB$1131,D$1,FALSE)</f>
        <v>#N/A</v>
      </c>
      <c r="E40" s="47" t="e">
        <f>VLOOKUP($A40,Bat!$A$4:$BB$1131,E$1,FALSE)</f>
        <v>#N/A</v>
      </c>
      <c r="F40" s="47" t="e">
        <f>VLOOKUP($A40,Bat!$A$4:$BB$1131,F$1,FALSE)</f>
        <v>#N/A</v>
      </c>
      <c r="G40" s="47" t="e">
        <f>VLOOKUP($A40,Bat!$A$4:$BB$1131,G$1,FALSE)</f>
        <v>#N/A</v>
      </c>
      <c r="H40" s="46" t="e">
        <f>VLOOKUP($A40,Bat!$A$4:$BB$1531,H$1,FALSE)</f>
        <v>#N/A</v>
      </c>
      <c r="I40" s="46">
        <f>VLOOKUP($A40,Pit!$A$4:$BL$1569,I$1,FALSE)</f>
        <v>-0.1711824260816634</v>
      </c>
      <c r="J40" s="46" t="e">
        <f>I40-H40</f>
        <v>#N/A</v>
      </c>
      <c r="K40" s="51" t="e">
        <f>IF(H40&gt;I40,"B","P")</f>
        <v>#N/A</v>
      </c>
      <c r="L40" s="47" t="e">
        <f>IF(AND(OR(B40="SP",B40="RP",B40="CL"),K40="P"),"Delete","Keep")</f>
        <v>#N/A</v>
      </c>
      <c r="M40" s="47" t="e">
        <f>IF(AND(AND($B40&lt;&gt;"SP",$B40&lt;&gt;"RP",$B40&lt;&gt;"CL"),$K40="B"),"Delete","Keep")</f>
        <v>#N/A</v>
      </c>
      <c r="N40" s="47" t="e">
        <f>IF(OR(L40="Delete",M40="Delete"),"Delete","Keep")</f>
        <v>#N/A</v>
      </c>
      <c r="O40" s="47" t="e">
        <f>VLOOKUP($A40,Bat!$A$4:$U$1534,O$2,FALSE)</f>
        <v>#N/A</v>
      </c>
      <c r="P40" s="47" t="e">
        <f>VLOOKUP($A40,Bat!$A$4:$U$1534,P$2,FALSE)</f>
        <v>#N/A</v>
      </c>
      <c r="Q40" s="47" t="e">
        <f>VLOOKUP($A40,Bat!$A$4:$U$1534,Q$2,FALSE)</f>
        <v>#N/A</v>
      </c>
      <c r="R40" s="47">
        <f>VLOOKUP($A40,Pit!$A$4:$U$1569,R$2,FALSE)</f>
        <v>2</v>
      </c>
      <c r="S40" s="47">
        <f>VLOOKUP($A40,Pit!$A$4:$U$1569,S$2,FALSE)</f>
        <v>3</v>
      </c>
      <c r="T40" s="47">
        <f>VLOOKUP($A40,Pit!$A$4:$U$1569,T$2,FALSE)</f>
        <v>5</v>
      </c>
    </row>
    <row r="41" spans="1:20" x14ac:dyDescent="0.25">
      <c r="A41" s="47">
        <v>12221</v>
      </c>
      <c r="B41" s="47" t="e">
        <f>VLOOKUP($A41,Bat!$A$4:$BB$1131,B$1,FALSE)</f>
        <v>#N/A</v>
      </c>
      <c r="C41" s="47" t="e">
        <f>VLOOKUP($A41,Bat!$A$4:$BB$1131,C$1,FALSE)</f>
        <v>#N/A</v>
      </c>
      <c r="D41" s="47" t="e">
        <f>VLOOKUP($A41,Bat!$A$4:$BB$1131,D$1,FALSE)</f>
        <v>#N/A</v>
      </c>
      <c r="E41" s="47" t="e">
        <f>VLOOKUP($A41,Bat!$A$4:$BB$1131,E$1,FALSE)</f>
        <v>#N/A</v>
      </c>
      <c r="F41" s="47" t="e">
        <f>VLOOKUP($A41,Bat!$A$4:$BB$1131,F$1,FALSE)</f>
        <v>#N/A</v>
      </c>
      <c r="G41" s="47" t="e">
        <f>VLOOKUP($A41,Bat!$A$4:$BB$1131,G$1,FALSE)</f>
        <v>#N/A</v>
      </c>
      <c r="H41" s="46" t="e">
        <f>VLOOKUP($A41,Bat!$A$4:$BB$1531,H$1,FALSE)</f>
        <v>#N/A</v>
      </c>
      <c r="I41" s="46">
        <f>VLOOKUP($A41,Pit!$A$4:$BL$1569,I$1,FALSE)</f>
        <v>-0.87532639695094172</v>
      </c>
      <c r="J41" s="46" t="e">
        <f>I41-H41</f>
        <v>#N/A</v>
      </c>
      <c r="K41" s="51" t="e">
        <f>IF(H41&gt;I41,"B","P")</f>
        <v>#N/A</v>
      </c>
      <c r="L41" s="47" t="e">
        <f>IF(AND(OR(B41="SP",B41="RP",B41="CL"),K41="P"),"Delete","Keep")</f>
        <v>#N/A</v>
      </c>
      <c r="M41" s="47" t="e">
        <f>IF(AND(AND($B41&lt;&gt;"SP",$B41&lt;&gt;"RP",$B41&lt;&gt;"CL"),$K41="B"),"Delete","Keep")</f>
        <v>#N/A</v>
      </c>
      <c r="N41" s="47" t="e">
        <f>IF(OR(L41="Delete",M41="Delete"),"Delete","Keep")</f>
        <v>#N/A</v>
      </c>
      <c r="O41" s="47" t="e">
        <f>VLOOKUP($A41,Bat!$A$4:$U$1534,O$2,FALSE)</f>
        <v>#N/A</v>
      </c>
      <c r="P41" s="47" t="e">
        <f>VLOOKUP($A41,Bat!$A$4:$U$1534,P$2,FALSE)</f>
        <v>#N/A</v>
      </c>
      <c r="Q41" s="47" t="e">
        <f>VLOOKUP($A41,Bat!$A$4:$U$1534,Q$2,FALSE)</f>
        <v>#N/A</v>
      </c>
      <c r="R41" s="47">
        <f>VLOOKUP($A41,Pit!$A$4:$U$1569,R$2,FALSE)</f>
        <v>1</v>
      </c>
      <c r="S41" s="47">
        <f>VLOOKUP($A41,Pit!$A$4:$U$1569,S$2,FALSE)</f>
        <v>3</v>
      </c>
      <c r="T41" s="47">
        <f>VLOOKUP($A41,Pit!$A$4:$U$1569,T$2,FALSE)</f>
        <v>4</v>
      </c>
    </row>
    <row r="42" spans="1:20" x14ac:dyDescent="0.25">
      <c r="H42" s="5"/>
      <c r="I42" s="5"/>
      <c r="J42" s="5"/>
      <c r="K42" s="32"/>
    </row>
    <row r="43" spans="1:20" x14ac:dyDescent="0.25">
      <c r="H43" s="5"/>
      <c r="I43" s="5"/>
      <c r="J43" s="5"/>
      <c r="K43" s="32"/>
    </row>
    <row r="44" spans="1:20" x14ac:dyDescent="0.25">
      <c r="H44" s="5"/>
      <c r="I44" s="5"/>
      <c r="J44" s="5"/>
      <c r="K44" s="32"/>
    </row>
    <row r="45" spans="1:20" x14ac:dyDescent="0.25">
      <c r="H45" s="5"/>
      <c r="I45" s="5"/>
      <c r="J45" s="5"/>
      <c r="K45" s="32"/>
    </row>
    <row r="46" spans="1:20" x14ac:dyDescent="0.25">
      <c r="H46" s="5"/>
      <c r="I46" s="5"/>
      <c r="J46" s="5"/>
      <c r="K46" s="32"/>
    </row>
    <row r="47" spans="1:20" x14ac:dyDescent="0.25">
      <c r="H47" s="5"/>
      <c r="I47" s="5"/>
      <c r="J47" s="5"/>
      <c r="K47" s="32"/>
    </row>
    <row r="48" spans="1:20" x14ac:dyDescent="0.25">
      <c r="H48" s="5"/>
      <c r="I48" s="5"/>
      <c r="J48" s="5"/>
      <c r="K48" s="32"/>
    </row>
  </sheetData>
  <conditionalFormatting sqref="J4:J41">
    <cfRule type="colorScale" priority="10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562"/>
  <sheetViews>
    <sheetView workbookViewId="0">
      <pane xSplit="7" ySplit="4" topLeftCell="AK531" activePane="bottomRight" state="frozenSplit"/>
      <selection pane="topRight" activeCell="H1" sqref="H1"/>
      <selection pane="bottomLeft" activeCell="A3" sqref="A3"/>
      <selection pane="bottomRight" activeCell="AY5" sqref="AY5"/>
    </sheetView>
  </sheetViews>
  <sheetFormatPr defaultRowHeight="15" x14ac:dyDescent="0.25"/>
  <cols>
    <col min="1" max="1" width="6.140625" customWidth="1"/>
    <col min="2" max="2" width="6.7109375" customWidth="1"/>
    <col min="3" max="3" width="12.42578125" bestFit="1" customWidth="1"/>
    <col min="4" max="4" width="14.42578125" bestFit="1" customWidth="1"/>
    <col min="5" max="5" width="6.5703125" customWidth="1"/>
    <col min="6" max="7" width="5.42578125" customWidth="1"/>
    <col min="8" max="8" width="6.7109375" style="3" customWidth="1"/>
    <col min="9" max="9" width="6.28515625" style="8" customWidth="1"/>
    <col min="10" max="10" width="6.140625" customWidth="1"/>
    <col min="11" max="11" width="6.140625" style="3" customWidth="1"/>
    <col min="12" max="14" width="5.42578125" hidden="1" customWidth="1"/>
    <col min="15" max="15" width="4.140625" hidden="1" customWidth="1"/>
    <col min="16" max="16" width="3.5703125" style="3" hidden="1" customWidth="1"/>
    <col min="17" max="17" width="8.7109375" customWidth="1"/>
    <col min="18" max="18" width="8.5703125" customWidth="1"/>
    <col min="19" max="19" width="9.28515625" customWidth="1"/>
    <col min="20" max="20" width="7.85546875" customWidth="1"/>
    <col min="21" max="21" width="5.85546875" style="3" customWidth="1"/>
    <col min="22" max="22" width="9.42578125" customWidth="1"/>
    <col min="23" max="23" width="10.28515625" customWidth="1"/>
    <col min="24" max="24" width="9" customWidth="1"/>
    <col min="25" max="25" width="7.7109375" style="3" customWidth="1"/>
    <col min="26" max="26" width="4.42578125" bestFit="1" customWidth="1"/>
    <col min="27" max="29" width="5.42578125" bestFit="1" customWidth="1"/>
    <col min="30" max="30" width="5.28515625" bestFit="1" customWidth="1"/>
    <col min="31" max="31" width="5.140625" bestFit="1" customWidth="1"/>
    <col min="32" max="32" width="5.42578125" bestFit="1" customWidth="1"/>
    <col min="33" max="33" width="5.42578125" style="3" bestFit="1" customWidth="1"/>
    <col min="34" max="34" width="6.28515625" customWidth="1"/>
    <col min="35" max="35" width="6.140625" customWidth="1"/>
    <col min="36" max="36" width="7.140625" style="3" customWidth="1"/>
    <col min="37" max="37" width="7.42578125" style="18" bestFit="1" customWidth="1"/>
    <col min="38" max="38" width="8.85546875" style="18" hidden="1" customWidth="1"/>
    <col min="39" max="41" width="9.140625" hidden="1" customWidth="1"/>
    <col min="42" max="42" width="9.140625" style="3" hidden="1" customWidth="1"/>
    <col min="44" max="44" width="9.140625" style="3"/>
    <col min="45" max="45" width="7.28515625" customWidth="1"/>
    <col min="46" max="46" width="6.5703125" bestFit="1" customWidth="1"/>
    <col min="47" max="47" width="6.28515625" bestFit="1" customWidth="1"/>
    <col min="48" max="48" width="9.28515625" bestFit="1" customWidth="1"/>
    <col min="50" max="50" width="12.42578125" customWidth="1"/>
    <col min="52" max="52" width="6.7109375" bestFit="1" customWidth="1"/>
    <col min="53" max="53" width="6.85546875" bestFit="1" customWidth="1"/>
  </cols>
  <sheetData>
    <row r="1" spans="1:54" x14ac:dyDescent="0.25">
      <c r="A1" s="34" t="s">
        <v>1024</v>
      </c>
      <c r="B1" s="35">
        <f>'Draft List'!$B$2</f>
        <v>0</v>
      </c>
      <c r="P1" s="26" t="s">
        <v>306</v>
      </c>
      <c r="Q1" s="27">
        <v>4.728698379508625</v>
      </c>
      <c r="R1" s="27">
        <v>5.8180867746994247</v>
      </c>
      <c r="S1" s="27">
        <v>3.6194458964976475</v>
      </c>
      <c r="T1" s="27">
        <v>4.2420282279142709</v>
      </c>
      <c r="U1" s="28">
        <v>4.1787767903815993</v>
      </c>
      <c r="AV1">
        <f t="shared" ref="AV1" si="0">IF(AT1=9999,9999,MAX(30,(2-MIN(1.75,AP1))*(IF(I1="Low",10,IF(I1="Normal",3,0))+IF(J1="Low",15,IF(J1="Normal",5,0))+IF(K1="Low",15,IF(K1="Normal",5,0))+IF(E1&gt;19,50,0)+IF(AO1=0,20,IF(AO1&lt;3,10,IF(AO1&lt;5,5,0))))))</f>
        <v>30</v>
      </c>
    </row>
    <row r="2" spans="1:54" x14ac:dyDescent="0.25">
      <c r="A2" s="34" t="s">
        <v>1025</v>
      </c>
      <c r="B2" s="35">
        <f>'Draft List'!$B$3</f>
        <v>0.2</v>
      </c>
      <c r="P2" s="26" t="s">
        <v>305</v>
      </c>
      <c r="Q2" s="27">
        <v>1.5197247217792171</v>
      </c>
      <c r="R2" s="27">
        <v>1.9200831732936996</v>
      </c>
      <c r="S2" s="27">
        <v>2.1245775832603435</v>
      </c>
      <c r="T2" s="27">
        <v>1.748562389191409</v>
      </c>
      <c r="U2" s="28">
        <v>1.9599836693593933</v>
      </c>
    </row>
    <row r="3" spans="1:54" x14ac:dyDescent="0.25">
      <c r="I3" s="8">
        <v>15</v>
      </c>
      <c r="J3">
        <f>IF('Draft List'!$B$2=1,50,15)</f>
        <v>15</v>
      </c>
      <c r="K3" s="3">
        <f>IF('Draft List'!$B$2=1,50,15)</f>
        <v>15</v>
      </c>
      <c r="L3" s="2">
        <f>Q3</f>
        <v>25</v>
      </c>
      <c r="M3" s="2">
        <f>R3</f>
        <v>5</v>
      </c>
      <c r="N3" s="2">
        <f>S3</f>
        <v>9</v>
      </c>
      <c r="O3" s="2">
        <f>T3</f>
        <v>8</v>
      </c>
      <c r="P3" s="19">
        <f>U3</f>
        <v>4</v>
      </c>
      <c r="Q3">
        <v>25</v>
      </c>
      <c r="R3">
        <v>5</v>
      </c>
      <c r="S3">
        <v>9</v>
      </c>
      <c r="T3">
        <v>8</v>
      </c>
      <c r="U3" s="3">
        <v>4</v>
      </c>
      <c r="AM3">
        <v>0.1</v>
      </c>
      <c r="AN3">
        <v>12</v>
      </c>
      <c r="AO3">
        <f>1/6</f>
        <v>0.16666666666666666</v>
      </c>
      <c r="AP3" s="3">
        <v>1</v>
      </c>
      <c r="AU3">
        <f>MAX(AU5:AU275)+1</f>
        <v>1</v>
      </c>
      <c r="AY3">
        <v>23</v>
      </c>
      <c r="AZ3">
        <v>24</v>
      </c>
      <c r="BA3">
        <v>25</v>
      </c>
      <c r="BB3">
        <v>26</v>
      </c>
    </row>
    <row r="4" spans="1:54" s="1" customFormat="1" ht="30" x14ac:dyDescent="0.25">
      <c r="A4" s="36" t="s">
        <v>214</v>
      </c>
      <c r="B4" s="37" t="s">
        <v>0</v>
      </c>
      <c r="C4" s="37" t="s">
        <v>421</v>
      </c>
      <c r="D4" s="37" t="s">
        <v>422</v>
      </c>
      <c r="E4" s="37" t="s">
        <v>2</v>
      </c>
      <c r="F4" s="37" t="s">
        <v>3</v>
      </c>
      <c r="G4" s="37" t="s">
        <v>4</v>
      </c>
      <c r="H4" s="38" t="s">
        <v>5</v>
      </c>
      <c r="I4" s="39" t="s">
        <v>689</v>
      </c>
      <c r="J4" s="37" t="s">
        <v>6</v>
      </c>
      <c r="K4" s="38" t="s">
        <v>7</v>
      </c>
      <c r="L4" s="37" t="s">
        <v>10</v>
      </c>
      <c r="M4" s="37" t="s">
        <v>75</v>
      </c>
      <c r="N4" s="37" t="s">
        <v>76</v>
      </c>
      <c r="O4" s="37" t="s">
        <v>77</v>
      </c>
      <c r="P4" s="38" t="s">
        <v>78</v>
      </c>
      <c r="Q4" s="37" t="s">
        <v>13</v>
      </c>
      <c r="R4" s="37" t="s">
        <v>79</v>
      </c>
      <c r="S4" s="37" t="s">
        <v>80</v>
      </c>
      <c r="T4" s="37" t="s">
        <v>81</v>
      </c>
      <c r="U4" s="38" t="s">
        <v>82</v>
      </c>
      <c r="V4" s="37" t="s">
        <v>83</v>
      </c>
      <c r="W4" s="37" t="s">
        <v>84</v>
      </c>
      <c r="X4" s="38" t="s">
        <v>85</v>
      </c>
      <c r="Y4" s="38" t="s">
        <v>699</v>
      </c>
      <c r="Z4" s="37" t="s">
        <v>86</v>
      </c>
      <c r="AA4" s="37" t="s">
        <v>87</v>
      </c>
      <c r="AB4" s="37" t="s">
        <v>71</v>
      </c>
      <c r="AC4" s="37" t="s">
        <v>69</v>
      </c>
      <c r="AD4" s="37" t="s">
        <v>72</v>
      </c>
      <c r="AE4" s="37" t="s">
        <v>50</v>
      </c>
      <c r="AF4" s="37" t="s">
        <v>74</v>
      </c>
      <c r="AG4" s="38" t="s">
        <v>66</v>
      </c>
      <c r="AH4" s="37" t="s">
        <v>88</v>
      </c>
      <c r="AI4" s="37" t="s">
        <v>89</v>
      </c>
      <c r="AJ4" s="38" t="s">
        <v>90</v>
      </c>
      <c r="AK4" s="40" t="s">
        <v>41</v>
      </c>
      <c r="AL4" s="40" t="s">
        <v>700</v>
      </c>
      <c r="AM4" s="36" t="s">
        <v>91</v>
      </c>
      <c r="AN4" s="36" t="s">
        <v>1441</v>
      </c>
      <c r="AO4" s="36" t="s">
        <v>1442</v>
      </c>
      <c r="AP4" s="41" t="s">
        <v>121</v>
      </c>
      <c r="AQ4" s="36" t="s">
        <v>95</v>
      </c>
      <c r="AR4" s="41" t="s">
        <v>96</v>
      </c>
      <c r="AS4" s="36" t="s">
        <v>1443</v>
      </c>
      <c r="AT4" s="36" t="s">
        <v>98</v>
      </c>
      <c r="AU4" s="36" t="s">
        <v>99</v>
      </c>
      <c r="AV4" s="36" t="s">
        <v>691</v>
      </c>
      <c r="AW4" s="36" t="s">
        <v>101</v>
      </c>
      <c r="AX4" s="36" t="s">
        <v>102</v>
      </c>
      <c r="AY4" s="36" t="s">
        <v>231</v>
      </c>
      <c r="AZ4" s="36" t="s">
        <v>232</v>
      </c>
      <c r="BA4" s="36" t="s">
        <v>233</v>
      </c>
      <c r="BB4" s="36" t="s">
        <v>234</v>
      </c>
    </row>
    <row r="5" spans="1:54" ht="15" customHeight="1" x14ac:dyDescent="0.25">
      <c r="A5" s="42">
        <v>12349</v>
      </c>
      <c r="B5" s="42" t="s">
        <v>69</v>
      </c>
      <c r="C5" s="42" t="s">
        <v>184</v>
      </c>
      <c r="D5" s="42" t="s">
        <v>1028</v>
      </c>
      <c r="E5" s="42">
        <v>21</v>
      </c>
      <c r="F5" s="42" t="s">
        <v>42</v>
      </c>
      <c r="G5" s="42" t="s">
        <v>42</v>
      </c>
      <c r="H5" s="43" t="s">
        <v>701</v>
      </c>
      <c r="I5" s="44" t="s">
        <v>43</v>
      </c>
      <c r="J5" s="42" t="s">
        <v>43</v>
      </c>
      <c r="K5" s="43" t="s">
        <v>43</v>
      </c>
      <c r="L5" s="42">
        <v>4</v>
      </c>
      <c r="M5" s="42">
        <v>6</v>
      </c>
      <c r="N5" s="42">
        <v>5</v>
      </c>
      <c r="O5" s="42">
        <v>4</v>
      </c>
      <c r="P5" s="43">
        <v>5</v>
      </c>
      <c r="Q5" s="42">
        <v>7</v>
      </c>
      <c r="R5" s="42">
        <v>8</v>
      </c>
      <c r="S5" s="42">
        <v>7</v>
      </c>
      <c r="T5" s="42">
        <v>6</v>
      </c>
      <c r="U5" s="43">
        <v>5</v>
      </c>
      <c r="V5" s="42">
        <v>8</v>
      </c>
      <c r="W5" s="42">
        <v>6</v>
      </c>
      <c r="X5" s="42">
        <v>1</v>
      </c>
      <c r="Y5" s="43">
        <v>1</v>
      </c>
      <c r="Z5" s="42" t="s">
        <v>45</v>
      </c>
      <c r="AA5" s="42" t="s">
        <v>45</v>
      </c>
      <c r="AB5" s="42" t="s">
        <v>45</v>
      </c>
      <c r="AC5" s="42">
        <v>2</v>
      </c>
      <c r="AD5" s="42" t="s">
        <v>45</v>
      </c>
      <c r="AE5" s="42" t="s">
        <v>45</v>
      </c>
      <c r="AF5" s="42" t="s">
        <v>45</v>
      </c>
      <c r="AG5" s="43" t="s">
        <v>45</v>
      </c>
      <c r="AH5" s="42">
        <v>4</v>
      </c>
      <c r="AI5" s="42">
        <v>4</v>
      </c>
      <c r="AJ5" s="43">
        <v>6</v>
      </c>
      <c r="AK5" s="45" t="s">
        <v>546</v>
      </c>
      <c r="AL5" s="45" t="s">
        <v>47</v>
      </c>
      <c r="AM5" s="46">
        <f>($L$3*(L5-$Q$1)/$Q$2+$M$3*(M5-$R$1)/$R$2+$N$3*(N5-$S$1)/$S$2+$O$3*(O5-$T$1)/$T$2+$P$3*(P5-$U$1)/$U$2)/(SUM($L$3:$P$3))</f>
        <v>-9.9936457733347431E-2</v>
      </c>
      <c r="AN5" s="46">
        <f>($L$3*(Q5-$Q$1)/$Q$2+$M$3*(R5-$R$1)/$R$2+$N$3*(S5-$S$1)/$S$2+$O$3*(T5-$T$1)/$T$2+$P$3*(U5-$U$1)/$U$2)/(SUM($L$3:$P$3))</f>
        <v>1.3153928981790488</v>
      </c>
      <c r="AO5" s="47">
        <f>IF(AVERAGE(AH5:AI5)&gt;9,1,0)+IF(AVERAGE(AH5:AI5)&gt;7,1,0)+IF(AH5&gt;7,1,0)+IF(AI5&gt;7,1,0)+IF(AJ5&gt;8,1,0)+IF(AJ5&gt;6,1,0)</f>
        <v>0</v>
      </c>
      <c r="AP5" s="48">
        <f>MIN(2,IF(OR(Z5="-",X5&lt;5),0,1+IF(Y5&gt;7,0.35,IF(Y5&gt;5,0.1,0))+IF(Z5&gt;7,1+IF(X5&gt;7,0.25,0),IF(Z5&gt;4,0.5+IF(X5&gt;7,0.25,0),0+IF(X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f>
        <v>0</v>
      </c>
      <c r="AQ5" s="46">
        <f>($AM$3*AM5+$AN$3*AN5+$AO$3*AO5+$AP$3*AP5)+$I$3*VLOOKUP(I5,COND!$A$2:$E$7,4,FALSE)+$J$3*VLOOKUP(J5,COND!$A$2:$C$7,2,FALSE)+$K$3*VLOOKUP(K5,COND!$A$2:$C$7,3,FALSE)+IF(AND($B$2&gt;0,$E5&lt;20),$B$2*25,0)</f>
        <v>60.774721132375248</v>
      </c>
      <c r="AR5" s="49">
        <f>STANDARDIZE(AQ5,AVERAGE($AQ$5:$AQ$537),STDEVP($AQ$5:$AQ$537))</f>
        <v>3.5939023000306953</v>
      </c>
      <c r="AS5" s="47" t="str">
        <f>IF(AND(Z5&lt;&gt;"-",Y5&gt;1),"C",IF(AB5=MAX(AB5:AD5),"2B",IF(AD5=MAX(AB5:AD5),"SS",IF(OR(AC5=MAX(AA5:AD5),AND(AC5&lt;&gt;"-",AC5&gt;4,V5&gt;5)),"3B",IF(AF5=MAX(AE5:AG5),"CF",IF(AND(AG5=MAX(AE5,AG5),AND(W5&gt;5,AG5&lt;&gt;"-")),"RF",IF(AE5&lt;&gt;"-","LF",IF(AA5&lt;&gt;"-","1B","DH"))))))))</f>
        <v>3B</v>
      </c>
      <c r="AT5" s="47"/>
      <c r="AU5" s="47"/>
      <c r="AV5" s="47"/>
      <c r="AW5" s="47" t="str">
        <f>IF(AND($Q5&gt;=6,AVERAGE($S5:$T5)&gt;=6),"Likely",IF(OR($Q5&gt;6,AND($Q5=6,AVERAGE($S5:$T5)&gt;=3),AND($Q5&gt;=5,AVERAGE($S5:$T5)&gt;=5),AVERAGE($Q5,$S5:$T5)&gt;5),"Possible","Unlikely"))</f>
        <v>Likely</v>
      </c>
      <c r="AX5" s="47"/>
      <c r="AY5" s="47" t="str">
        <f>INDEX(Table5[[#All],[Ovr]],MATCH(Batters[[#This Row],[PID]],Table5[[#All],[PID]],0))</f>
        <v/>
      </c>
      <c r="AZ5" s="47" t="str">
        <f>INDEX(Table5[[#All],[Rnd]],MATCH(Batters[[#This Row],[PID]],Table5[[#All],[PID]],0))</f>
        <v/>
      </c>
      <c r="BA5" s="47" t="str">
        <f>INDEX(Table5[[#All],[Pick]],MATCH(Batters[[#This Row],[PID]],Table5[[#All],[PID]],0))</f>
        <v/>
      </c>
      <c r="BB5" s="47" t="str">
        <f>INDEX(Table5[[#All],[Team]],MATCH(Batters[[#This Row],[PID]],Table5[[#All],[PID]],0))</f>
        <v/>
      </c>
    </row>
    <row r="6" spans="1:54" ht="15" customHeight="1" x14ac:dyDescent="0.25">
      <c r="A6" s="42">
        <v>9228</v>
      </c>
      <c r="B6" s="42" t="s">
        <v>50</v>
      </c>
      <c r="C6" s="42" t="s">
        <v>137</v>
      </c>
      <c r="D6" s="42" t="s">
        <v>1027</v>
      </c>
      <c r="E6" s="42">
        <v>21</v>
      </c>
      <c r="F6" s="42" t="s">
        <v>53</v>
      </c>
      <c r="G6" s="42" t="s">
        <v>53</v>
      </c>
      <c r="H6" s="43" t="s">
        <v>702</v>
      </c>
      <c r="I6" s="44" t="s">
        <v>43</v>
      </c>
      <c r="J6" s="42" t="s">
        <v>43</v>
      </c>
      <c r="K6" s="43" t="s">
        <v>43</v>
      </c>
      <c r="L6" s="42">
        <v>4</v>
      </c>
      <c r="M6" s="42">
        <v>4</v>
      </c>
      <c r="N6" s="42">
        <v>3</v>
      </c>
      <c r="O6" s="42">
        <v>3</v>
      </c>
      <c r="P6" s="43">
        <v>5</v>
      </c>
      <c r="Q6" s="42">
        <v>7</v>
      </c>
      <c r="R6" s="42">
        <v>6</v>
      </c>
      <c r="S6" s="42">
        <v>6</v>
      </c>
      <c r="T6" s="42">
        <v>5</v>
      </c>
      <c r="U6" s="43">
        <v>6</v>
      </c>
      <c r="V6" s="42">
        <v>3</v>
      </c>
      <c r="W6" s="42">
        <v>6</v>
      </c>
      <c r="X6" s="42">
        <v>1</v>
      </c>
      <c r="Y6" s="43">
        <v>1</v>
      </c>
      <c r="Z6" s="42" t="s">
        <v>45</v>
      </c>
      <c r="AA6" s="42" t="s">
        <v>45</v>
      </c>
      <c r="AB6" s="42" t="s">
        <v>45</v>
      </c>
      <c r="AC6" s="42" t="s">
        <v>45</v>
      </c>
      <c r="AD6" s="42" t="s">
        <v>45</v>
      </c>
      <c r="AE6" s="42">
        <v>2</v>
      </c>
      <c r="AF6" s="42" t="s">
        <v>45</v>
      </c>
      <c r="AG6" s="43">
        <v>2</v>
      </c>
      <c r="AH6" s="42">
        <v>2</v>
      </c>
      <c r="AI6" s="42">
        <v>2</v>
      </c>
      <c r="AJ6" s="43">
        <v>2</v>
      </c>
      <c r="AK6" s="45" t="s">
        <v>916</v>
      </c>
      <c r="AL6" s="45" t="s">
        <v>705</v>
      </c>
      <c r="AM6" s="46">
        <f>($L$3*(L6-$Q$1)/$Q$2+$M$3*(M6-$R$1)/$R$2+$N$3*(N6-$S$1)/$S$2+$O$3*(O6-$T$1)/$T$2+$P$3*(P6-$U$1)/$U$2)/(SUM($L$3:$P$3))</f>
        <v>-0.45788875502813847</v>
      </c>
      <c r="AN6" s="46">
        <f>($L$3*(Q6-$Q$1)/$Q$2+$M$3*(R6-$R$1)/$R$2+$N$3*(S6-$S$1)/$S$2+$O$3*(T6-$T$1)/$T$2+$P$3*(U6-$U$1)/$U$2)/(SUM($L$3:$P$3))</f>
        <v>1.0805184347252426</v>
      </c>
      <c r="AO6" s="47">
        <f>IF(AVERAGE(AH6:AI6)&gt;9,1,0)+IF(AVERAGE(AH6:AI6)&gt;7,1,0)+IF(AH6&gt;7,1,0)+IF(AI6&gt;7,1,0)+IF(AJ6&gt;8,1,0)+IF(AJ6&gt;6,1,0)</f>
        <v>0</v>
      </c>
      <c r="AP6" s="48">
        <f>MIN(2,IF(OR(Z6="-",X6&lt;5),0,1+IF(Y6&gt;7,0.35,IF(Y6&gt;5,0.1,0))+IF(Z6&gt;7,1+IF(X6&gt;7,0.25,0),IF(Z6&gt;4,0.5+IF(X6&gt;7,0.25,0),0+IF(X6&gt;7,0.25))))+IF(AA6="-",0,IF(AA6&gt;9,0.5,IF(AA6&gt;7,0.25,0)))+IF(AB6="-",0,IF(AB6&gt;7,1.1,IF(AB6&gt;4,0.6,0)))+IF(OR(AC6="-",V6&lt;5),0,IF(AC6&gt;7,1+IF(V6&gt;7,0.25,0),IF(AC6&gt;4,0.5+IF(V6&gt;7,0.25,0),0)))+IF(AD6="-",0,IF(AD6&gt;7,1.5,IF(AD6&gt;4,1,0)))+IF(AE6="-",0,IF(AE6&gt;9,0.5,IF(AE6&gt;7,0.25,0)))+IF(AF6="-",0,IF(AF6&gt;7,1.25,IF(AF6&gt;4,0.75,0)))+IF(OR(AG6="-",W6&lt;4),0,IF(AG6&gt;7,1+IF(W6&gt;7,0.15,0),IF(AG6&gt;4,0.5+IF(W6&gt;7,0.15,0),0))))</f>
        <v>0</v>
      </c>
      <c r="AQ6" s="46">
        <f>($AM$3*AM6+$AN$3*AN6+$AO$3*AO6+$AP$3*AP6)+$I$3*VLOOKUP(I6,COND!$A$2:$E$7,4,FALSE)+$J$3*VLOOKUP(J6,COND!$A$2:$C$7,2,FALSE)+$K$3*VLOOKUP(K6,COND!$A$2:$C$7,3,FALSE)+IF(AND($B$2&gt;0,$E6&lt;20),$B$2*25,0)</f>
        <v>57.920432341200097</v>
      </c>
      <c r="AR6" s="49">
        <f>STANDARDIZE(AQ6,AVERAGE($AQ$5:$AQ$537),STDEVP($AQ$5:$AQ$537))</f>
        <v>3.091709157692661</v>
      </c>
      <c r="AS6" s="47" t="str">
        <f>IF(AND(Z6&lt;&gt;"-",Y6&gt;1),"C",IF(AB6=MAX(AB6:AD6),"2B",IF(AD6=MAX(AB6:AD6),"SS",IF(OR(AC6=MAX(AA6:AD6),AND(AC6&lt;&gt;"-",AC6&gt;4,V6&gt;5)),"3B",IF(AF6=MAX(AE6:AG6),"CF",IF(AND(AG6=MAX(AE6,AG6),AND(W6&gt;5,AG6&lt;&gt;"-")),"RF",IF(AE6&lt;&gt;"-","LF",IF(AA6&lt;&gt;"-","1B","DH"))))))))</f>
        <v>RF</v>
      </c>
      <c r="AT6" s="47"/>
      <c r="AU6" s="47"/>
      <c r="AV6" s="47"/>
      <c r="AW6" s="47" t="str">
        <f>IF(AND($Q6&gt;=6,AVERAGE($S6:$T6)&gt;=6),"Likely",IF(OR($Q6&gt;6,AND($Q6=6,AVERAGE($S6:$T6)&gt;=3),AND($Q6&gt;=5,AVERAGE($S6:$T6)&gt;=5),AVERAGE($Q6,$S6:$T6)&gt;5),"Possible","Unlikely"))</f>
        <v>Possible</v>
      </c>
      <c r="AX6" s="47"/>
      <c r="AY6" s="47" t="str">
        <f>INDEX(Table5[[#All],[Ovr]],MATCH(Batters[[#This Row],[PID]],Table5[[#All],[PID]],0))</f>
        <v/>
      </c>
      <c r="AZ6" s="47" t="str">
        <f>INDEX(Table5[[#All],[Rnd]],MATCH(Batters[[#This Row],[PID]],Table5[[#All],[PID]],0))</f>
        <v/>
      </c>
      <c r="BA6" s="47" t="str">
        <f>INDEX(Table5[[#All],[Pick]],MATCH(Batters[[#This Row],[PID]],Table5[[#All],[PID]],0))</f>
        <v/>
      </c>
      <c r="BB6" s="47" t="str">
        <f>INDEX(Table5[[#All],[Team]],MATCH(Batters[[#This Row],[PID]],Table5[[#All],[PID]],0))</f>
        <v/>
      </c>
    </row>
    <row r="7" spans="1:54" ht="15" customHeight="1" x14ac:dyDescent="0.25">
      <c r="A7" s="42">
        <v>8289</v>
      </c>
      <c r="B7" s="42" t="s">
        <v>71</v>
      </c>
      <c r="C7" s="42" t="s">
        <v>888</v>
      </c>
      <c r="D7" s="42" t="s">
        <v>992</v>
      </c>
      <c r="E7" s="42">
        <v>18</v>
      </c>
      <c r="F7" s="42" t="s">
        <v>42</v>
      </c>
      <c r="G7" s="42" t="s">
        <v>42</v>
      </c>
      <c r="H7" s="43" t="s">
        <v>702</v>
      </c>
      <c r="I7" s="44" t="s">
        <v>43</v>
      </c>
      <c r="J7" s="42" t="s">
        <v>43</v>
      </c>
      <c r="K7" s="43" t="s">
        <v>43</v>
      </c>
      <c r="L7" s="42">
        <v>1</v>
      </c>
      <c r="M7" s="42">
        <v>2</v>
      </c>
      <c r="N7" s="42">
        <v>2</v>
      </c>
      <c r="O7" s="42">
        <v>1</v>
      </c>
      <c r="P7" s="43">
        <v>3</v>
      </c>
      <c r="Q7" s="42">
        <v>6</v>
      </c>
      <c r="R7" s="42">
        <v>6</v>
      </c>
      <c r="S7" s="42">
        <v>5</v>
      </c>
      <c r="T7" s="42">
        <v>3</v>
      </c>
      <c r="U7" s="43">
        <v>6</v>
      </c>
      <c r="V7" s="42">
        <v>6</v>
      </c>
      <c r="W7" s="42">
        <v>7</v>
      </c>
      <c r="X7" s="42">
        <v>1</v>
      </c>
      <c r="Y7" s="43">
        <v>1</v>
      </c>
      <c r="Z7" s="42" t="s">
        <v>45</v>
      </c>
      <c r="AA7" s="42" t="s">
        <v>45</v>
      </c>
      <c r="AB7" s="42">
        <v>5</v>
      </c>
      <c r="AC7" s="42" t="s">
        <v>45</v>
      </c>
      <c r="AD7" s="42">
        <v>1</v>
      </c>
      <c r="AE7" s="42" t="s">
        <v>45</v>
      </c>
      <c r="AF7" s="42" t="s">
        <v>45</v>
      </c>
      <c r="AG7" s="43" t="s">
        <v>45</v>
      </c>
      <c r="AH7" s="42">
        <v>8</v>
      </c>
      <c r="AI7" s="42">
        <v>9</v>
      </c>
      <c r="AJ7" s="43">
        <v>10</v>
      </c>
      <c r="AK7" s="45" t="s">
        <v>913</v>
      </c>
      <c r="AL7" s="45" t="s">
        <v>705</v>
      </c>
      <c r="AM7" s="46">
        <f>($L$3*(L7-$Q$1)/$Q$2+$M$3*(M7-$R$1)/$R$2+$N$3*(N7-$S$1)/$S$2+$O$3*(O7-$T$1)/$T$2+$P$3*(P7-$U$1)/$U$2)/(SUM($L$3:$P$3))</f>
        <v>-1.8701892965508</v>
      </c>
      <c r="AN7" s="46">
        <f>($L$3*(Q7-$Q$1)/$Q$2+$M$3*(R7-$R$1)/$R$2+$N$3*(S7-$S$1)/$S$2+$O$3*(T7-$T$1)/$T$2+$P$3*(U7-$U$1)/$U$2)/(SUM($L$3:$P$3))</f>
        <v>0.49548200447950436</v>
      </c>
      <c r="AO7" s="47">
        <f>IF(AVERAGE(AH7:AI7)&gt;9,1,0)+IF(AVERAGE(AH7:AI7)&gt;7,1,0)+IF(AH7&gt;7,1,0)+IF(AI7&gt;7,1,0)+IF(AJ7&gt;8,1,0)+IF(AJ7&gt;6,1,0)</f>
        <v>5</v>
      </c>
      <c r="AP7" s="48">
        <f>MIN(2,IF(OR(Z7="-",X7&lt;5),0,1+IF(Y7&gt;7,0.35,IF(Y7&gt;5,0.1,0))+IF(Z7&gt;7,1+IF(X7&gt;7,0.25,0),IF(Z7&gt;4,0.5+IF(X7&gt;7,0.25,0),0+IF(X7&gt;7,0.25))))+IF(AA7="-",0,IF(AA7&gt;9,0.5,IF(AA7&gt;7,0.25,0)))+IF(AB7="-",0,IF(AB7&gt;7,1.1,IF(AB7&gt;4,0.6,0)))+IF(OR(AC7="-",V7&lt;5),0,IF(AC7&gt;7,1+IF(V7&gt;7,0.25,0),IF(AC7&gt;4,0.5+IF(V7&gt;7,0.25,0),0)))+IF(AD7="-",0,IF(AD7&gt;7,1.5,IF(AD7&gt;4,1,0)))+IF(AE7="-",0,IF(AE7&gt;9,0.5,IF(AE7&gt;7,0.25,0)))+IF(AF7="-",0,IF(AF7&gt;7,1.25,IF(AF7&gt;4,0.75,0)))+IF(OR(AG7="-",W7&lt;4),0,IF(AG7&gt;7,1+IF(W7&gt;7,0.15,0),IF(AG7&gt;4,0.5+IF(W7&gt;7,0.15,0),0))))</f>
        <v>0.6</v>
      </c>
      <c r="AQ7" s="46">
        <f>($AM$3*AM7+$AN$3*AN7+$AO$3*AO7+$AP$3*AP7)+$I$3*VLOOKUP(I7,COND!$A$2:$E$7,4,FALSE)+$J$3*VLOOKUP(J7,COND!$A$2:$C$7,2,FALSE)+$K$3*VLOOKUP(K7,COND!$A$2:$C$7,3,FALSE)+IF(AND($B$2&gt;0,$E7&lt;20),$B$2*25,0)</f>
        <v>57.192098457432309</v>
      </c>
      <c r="AR7" s="49">
        <f>STANDARDIZE(AQ7,AVERAGE($AQ$5:$AQ$537),STDEVP($AQ$5:$AQ$537))</f>
        <v>2.9635636515716701</v>
      </c>
      <c r="AS7" s="47" t="str">
        <f>IF(AND(Z7&lt;&gt;"-",Y7&gt;1),"C",IF(AB7=MAX(AB7:AD7),"2B",IF(AD7=MAX(AB7:AD7),"SS",IF(OR(AC7=MAX(AA7:AD7),AND(AC7&lt;&gt;"-",AC7&gt;4,V7&gt;5)),"3B",IF(AF7=MAX(AE7:AG7),"CF",IF(AND(AG7=MAX(AE7,AG7),AND(W7&gt;5,AG7&lt;&gt;"-")),"RF",IF(AE7&lt;&gt;"-","LF",IF(AA7&lt;&gt;"-","1B","DH"))))))))</f>
        <v>2B</v>
      </c>
      <c r="AT7" s="47"/>
      <c r="AU7" s="47"/>
      <c r="AV7" s="47"/>
      <c r="AW7" s="47" t="str">
        <f>IF(AND($Q7&gt;=6,AVERAGE($S7:$T7)&gt;=6),"Likely",IF(OR($Q7&gt;6,AND($Q7=6,AVERAGE($S7:$T7)&gt;=3),AND($Q7&gt;=5,AVERAGE($S7:$T7)&gt;=5),AVERAGE($Q7,$S7:$T7)&gt;5),"Possible","Unlikely"))</f>
        <v>Possible</v>
      </c>
      <c r="AX7" s="47"/>
      <c r="AY7" s="47" t="str">
        <f>INDEX(Table5[[#All],[Ovr]],MATCH(Batters[[#This Row],[PID]],Table5[[#All],[PID]],0))</f>
        <v/>
      </c>
      <c r="AZ7" s="47" t="str">
        <f>INDEX(Table5[[#All],[Rnd]],MATCH(Batters[[#This Row],[PID]],Table5[[#All],[PID]],0))</f>
        <v/>
      </c>
      <c r="BA7" s="47" t="str">
        <f>INDEX(Table5[[#All],[Pick]],MATCH(Batters[[#This Row],[PID]],Table5[[#All],[PID]],0))</f>
        <v/>
      </c>
      <c r="BB7" s="47" t="str">
        <f>INDEX(Table5[[#All],[Team]],MATCH(Batters[[#This Row],[PID]],Table5[[#All],[PID]],0))</f>
        <v/>
      </c>
    </row>
    <row r="8" spans="1:54" ht="15" customHeight="1" x14ac:dyDescent="0.25">
      <c r="A8" s="42">
        <v>7139</v>
      </c>
      <c r="B8" s="42" t="s">
        <v>66</v>
      </c>
      <c r="C8" s="42" t="s">
        <v>1031</v>
      </c>
      <c r="D8" s="42" t="s">
        <v>728</v>
      </c>
      <c r="E8" s="42">
        <v>21</v>
      </c>
      <c r="F8" s="42" t="s">
        <v>53</v>
      </c>
      <c r="G8" s="42" t="s">
        <v>53</v>
      </c>
      <c r="H8" s="43" t="s">
        <v>702</v>
      </c>
      <c r="I8" s="44" t="s">
        <v>47</v>
      </c>
      <c r="J8" s="42" t="s">
        <v>47</v>
      </c>
      <c r="K8" s="43" t="s">
        <v>43</v>
      </c>
      <c r="L8" s="42">
        <v>4</v>
      </c>
      <c r="M8" s="42">
        <v>7</v>
      </c>
      <c r="N8" s="42">
        <v>5</v>
      </c>
      <c r="O8" s="42">
        <v>3</v>
      </c>
      <c r="P8" s="43">
        <v>5</v>
      </c>
      <c r="Q8" s="42">
        <v>6</v>
      </c>
      <c r="R8" s="42">
        <v>8</v>
      </c>
      <c r="S8" s="42">
        <v>6</v>
      </c>
      <c r="T8" s="42">
        <v>5</v>
      </c>
      <c r="U8" s="43">
        <v>5</v>
      </c>
      <c r="V8" s="42">
        <v>6</v>
      </c>
      <c r="W8" s="42">
        <v>8</v>
      </c>
      <c r="X8" s="42">
        <v>1</v>
      </c>
      <c r="Y8" s="43">
        <v>1</v>
      </c>
      <c r="Z8" s="42" t="s">
        <v>45</v>
      </c>
      <c r="AA8" s="42" t="s">
        <v>45</v>
      </c>
      <c r="AB8" s="42" t="s">
        <v>45</v>
      </c>
      <c r="AC8" s="42" t="s">
        <v>45</v>
      </c>
      <c r="AD8" s="42" t="s">
        <v>45</v>
      </c>
      <c r="AE8" s="42" t="s">
        <v>45</v>
      </c>
      <c r="AF8" s="42" t="s">
        <v>45</v>
      </c>
      <c r="AG8" s="43">
        <v>4</v>
      </c>
      <c r="AH8" s="42">
        <v>2</v>
      </c>
      <c r="AI8" s="42">
        <v>8</v>
      </c>
      <c r="AJ8" s="43">
        <v>10</v>
      </c>
      <c r="AK8" s="45" t="s">
        <v>659</v>
      </c>
      <c r="AL8" s="45" t="s">
        <v>47</v>
      </c>
      <c r="AM8" s="46">
        <f>($L$3*(L8-$Q$1)/$Q$2+$M$3*(M8-$R$1)/$R$2+$N$3*(N8-$S$1)/$S$2+$O$3*(O8-$T$1)/$T$2+$P$3*(P8-$U$1)/$U$2)/(SUM($L$3:$P$3))</f>
        <v>-0.13858612812422499</v>
      </c>
      <c r="AN8" s="46">
        <f>($L$3*(Q8-$Q$1)/$Q$2+$M$3*(R8-$R$1)/$R$2+$N$3*(S8-$S$1)/$S$2+$O$3*(T8-$T$1)/$T$2+$P$3*(U8-$U$1)/$U$2)/(SUM($L$3:$P$3))</f>
        <v>0.82006601794289158</v>
      </c>
      <c r="AO8" s="47">
        <f>IF(AVERAGE(AH8:AI8)&gt;9,1,0)+IF(AVERAGE(AH8:AI8)&gt;7,1,0)+IF(AH8&gt;7,1,0)+IF(AI8&gt;7,1,0)+IF(AJ8&gt;8,1,0)+IF(AJ8&gt;6,1,0)</f>
        <v>3</v>
      </c>
      <c r="AP8" s="48">
        <f>MIN(2,IF(OR(Z8="-",X8&lt;5),0,1+IF(Y8&gt;7,0.35,IF(Y8&gt;5,0.1,0))+IF(Z8&gt;7,1+IF(X8&gt;7,0.25,0),IF(Z8&gt;4,0.5+IF(X8&gt;7,0.25,0),0+IF(X8&gt;7,0.25))))+IF(AA8="-",0,IF(AA8&gt;9,0.5,IF(AA8&gt;7,0.25,0)))+IF(AB8="-",0,IF(AB8&gt;7,1.1,IF(AB8&gt;4,0.6,0)))+IF(OR(AC8="-",V8&lt;5),0,IF(AC8&gt;7,1+IF(V8&gt;7,0.25,0),IF(AC8&gt;4,0.5+IF(V8&gt;7,0.25,0),0)))+IF(AD8="-",0,IF(AD8&gt;7,1.5,IF(AD8&gt;4,1,0)))+IF(AE8="-",0,IF(AE8&gt;9,0.5,IF(AE8&gt;7,0.25,0)))+IF(AF8="-",0,IF(AF8&gt;7,1.25,IF(AF8&gt;4,0.75,0)))+IF(OR(AG8="-",W8&lt;4),0,IF(AG8&gt;7,1+IF(W8&gt;7,0.15,0),IF(AG8&gt;4,0.5+IF(W8&gt;7,0.15,0),0))))</f>
        <v>0</v>
      </c>
      <c r="AQ8" s="46">
        <f>($AM$3*AM8+$AN$3*AN8+$AO$3*AO8+$AP$3*AP8)+$I$3*VLOOKUP(I8,COND!$A$2:$E$7,4,FALSE)+$J$3*VLOOKUP(J8,COND!$A$2:$C$7,2,FALSE)+$K$3*VLOOKUP(K8,COND!$A$2:$C$7,3,FALSE)+IF(AND($B$2&gt;0,$E8&lt;20),$B$2*25,0)</f>
        <v>55.851933602502271</v>
      </c>
      <c r="AR8" s="49">
        <f>STANDARDIZE(AQ8,AVERAGE($AQ$5:$AQ$537),STDEVP($AQ$5:$AQ$537))</f>
        <v>2.727770552488932</v>
      </c>
      <c r="AS8" s="47" t="str">
        <f>IF(AND(Z8&lt;&gt;"-",Y8&gt;1),"C",IF(AB8=MAX(AB8:AD8),"2B",IF(AD8=MAX(AB8:AD8),"SS",IF(OR(AC8=MAX(AA8:AD8),AND(AC8&lt;&gt;"-",AC8&gt;4,V8&gt;5)),"3B",IF(AF8=MAX(AE8:AG8),"CF",IF(AND(AG8=MAX(AE8,AG8),AND(W8&gt;5,AG8&lt;&gt;"-")),"RF",IF(AE8&lt;&gt;"-","LF",IF(AA8&lt;&gt;"-","1B","DH"))))))))</f>
        <v>RF</v>
      </c>
      <c r="AT8" s="47"/>
      <c r="AU8" s="47"/>
      <c r="AV8" s="47"/>
      <c r="AW8" s="47" t="str">
        <f>IF(AND($Q8&gt;=6,AVERAGE($S8:$T8)&gt;=6),"Likely",IF(OR($Q8&gt;6,AND($Q8=6,AVERAGE($S8:$T8)&gt;=3),AND($Q8&gt;=5,AVERAGE($S8:$T8)&gt;=5),AVERAGE($Q8,$S8:$T8)&gt;5),"Possible","Unlikely"))</f>
        <v>Possible</v>
      </c>
      <c r="AX8" s="47"/>
      <c r="AY8" s="47" t="str">
        <f>INDEX(Table5[[#All],[Ovr]],MATCH(Batters[[#This Row],[PID]],Table5[[#All],[PID]],0))</f>
        <v/>
      </c>
      <c r="AZ8" s="47" t="str">
        <f>INDEX(Table5[[#All],[Rnd]],MATCH(Batters[[#This Row],[PID]],Table5[[#All],[PID]],0))</f>
        <v/>
      </c>
      <c r="BA8" s="47" t="str">
        <f>INDEX(Table5[[#All],[Pick]],MATCH(Batters[[#This Row],[PID]],Table5[[#All],[PID]],0))</f>
        <v/>
      </c>
      <c r="BB8" s="47" t="str">
        <f>INDEX(Table5[[#All],[Team]],MATCH(Batters[[#This Row],[PID]],Table5[[#All],[PID]],0))</f>
        <v/>
      </c>
    </row>
    <row r="9" spans="1:54" ht="15" customHeight="1" x14ac:dyDescent="0.25">
      <c r="A9" s="42">
        <v>6572</v>
      </c>
      <c r="B9" s="42" t="s">
        <v>50</v>
      </c>
      <c r="C9" s="42" t="s">
        <v>983</v>
      </c>
      <c r="D9" s="42" t="s">
        <v>882</v>
      </c>
      <c r="E9" s="42">
        <v>18</v>
      </c>
      <c r="F9" s="42" t="s">
        <v>53</v>
      </c>
      <c r="G9" s="42" t="s">
        <v>53</v>
      </c>
      <c r="H9" s="43" t="s">
        <v>703</v>
      </c>
      <c r="I9" s="44" t="s">
        <v>47</v>
      </c>
      <c r="J9" s="42" t="s">
        <v>43</v>
      </c>
      <c r="K9" s="43" t="s">
        <v>43</v>
      </c>
      <c r="L9" s="42">
        <v>2</v>
      </c>
      <c r="M9" s="42">
        <v>3</v>
      </c>
      <c r="N9" s="42">
        <v>3</v>
      </c>
      <c r="O9" s="42">
        <v>2</v>
      </c>
      <c r="P9" s="43">
        <v>3</v>
      </c>
      <c r="Q9" s="42">
        <v>5</v>
      </c>
      <c r="R9" s="42">
        <v>7</v>
      </c>
      <c r="S9" s="42">
        <v>6</v>
      </c>
      <c r="T9" s="42">
        <v>6</v>
      </c>
      <c r="U9" s="43">
        <v>5</v>
      </c>
      <c r="V9" s="42">
        <v>3</v>
      </c>
      <c r="W9" s="42">
        <v>5</v>
      </c>
      <c r="X9" s="42">
        <v>1</v>
      </c>
      <c r="Y9" s="43">
        <v>1</v>
      </c>
      <c r="Z9" s="42" t="s">
        <v>45</v>
      </c>
      <c r="AA9" s="42" t="s">
        <v>45</v>
      </c>
      <c r="AB9" s="42" t="s">
        <v>45</v>
      </c>
      <c r="AC9" s="42" t="s">
        <v>45</v>
      </c>
      <c r="AD9" s="42" t="s">
        <v>45</v>
      </c>
      <c r="AE9" s="42">
        <v>1</v>
      </c>
      <c r="AF9" s="42" t="s">
        <v>45</v>
      </c>
      <c r="AG9" s="43" t="s">
        <v>45</v>
      </c>
      <c r="AH9" s="42">
        <v>3</v>
      </c>
      <c r="AI9" s="42">
        <v>4</v>
      </c>
      <c r="AJ9" s="43">
        <v>6</v>
      </c>
      <c r="AK9" s="45" t="s">
        <v>610</v>
      </c>
      <c r="AL9" s="45" t="s">
        <v>705</v>
      </c>
      <c r="AM9" s="46">
        <f>($L$3*(L9-$Q$1)/$Q$2+$M$3*(M9-$R$1)/$R$2+$N$3*(N9-$S$1)/$S$2+$O$3*(O9-$T$1)/$T$2+$P$3*(P9-$U$1)/$U$2)/(SUM($L$3:$P$3))</f>
        <v>-1.3238025366959394</v>
      </c>
      <c r="AN9" s="46">
        <f>($L$3*(Q9-$Q$1)/$Q$2+$M$3*(R9-$R$1)/$R$2+$N$3*(S9-$S$1)/$S$2+$O$3*(T9-$T$1)/$T$2+$P$3*(U9-$U$1)/$U$2)/(SUM($L$3:$P$3))</f>
        <v>0.53615985213109429</v>
      </c>
      <c r="AO9" s="47">
        <f>IF(AVERAGE(AH9:AI9)&gt;9,1,0)+IF(AVERAGE(AH9:AI9)&gt;7,1,0)+IF(AH9&gt;7,1,0)+IF(AI9&gt;7,1,0)+IF(AJ9&gt;8,1,0)+IF(AJ9&gt;6,1,0)</f>
        <v>0</v>
      </c>
      <c r="AP9" s="48">
        <f>MIN(2,IF(OR(Z9="-",X9&lt;5),0,1+IF(Y9&gt;7,0.35,IF(Y9&gt;5,0.1,0))+IF(Z9&gt;7,1+IF(X9&gt;7,0.25,0),IF(Z9&gt;4,0.5+IF(X9&gt;7,0.25,0),0+IF(X9&gt;7,0.25))))+IF(AA9="-",0,IF(AA9&gt;9,0.5,IF(AA9&gt;7,0.25,0)))+IF(AB9="-",0,IF(AB9&gt;7,1.1,IF(AB9&gt;4,0.6,0)))+IF(OR(AC9="-",V9&lt;5),0,IF(AC9&gt;7,1+IF(V9&gt;7,0.25,0),IF(AC9&gt;4,0.5+IF(V9&gt;7,0.25,0),0)))+IF(AD9="-",0,IF(AD9&gt;7,1.5,IF(AD9&gt;4,1,0)))+IF(AE9="-",0,IF(AE9&gt;9,0.5,IF(AE9&gt;7,0.25,0)))+IF(AF9="-",0,IF(AF9&gt;7,1.25,IF(AF9&gt;4,0.75,0)))+IF(OR(AG9="-",W9&lt;4),0,IF(AG9&gt;7,1+IF(W9&gt;7,0.15,0),IF(AG9&gt;4,0.5+IF(W9&gt;7,0.15,0),0))))</f>
        <v>0</v>
      </c>
      <c r="AQ9" s="46">
        <f>($AM$3*AM9+$AN$3*AN9+$AO$3*AO9+$AP$3*AP9)+$I$3*VLOOKUP(I9,COND!$A$2:$E$7,4,FALSE)+$J$3*VLOOKUP(J9,COND!$A$2:$C$7,2,FALSE)+$K$3*VLOOKUP(K9,COND!$A$2:$C$7,3,FALSE)+IF(AND($B$2&gt;0,$E9&lt;20),$B$2*25,0)</f>
        <v>56.526537971903537</v>
      </c>
      <c r="AR9" s="49">
        <f>STANDARDIZE(AQ9,AVERAGE($AQ$5:$AQ$537),STDEVP($AQ$5:$AQ$537))</f>
        <v>2.8464627076597857</v>
      </c>
      <c r="AS9" s="47" t="str">
        <f>IF(AND(Z9&lt;&gt;"-",Y9&gt;1),"C",IF(AB9=MAX(AB9:AD9),"2B",IF(AD9=MAX(AB9:AD9),"SS",IF(OR(AC9=MAX(AA9:AD9),AND(AC9&lt;&gt;"-",AC9&gt;4,V9&gt;5)),"3B",IF(AF9=MAX(AE9:AG9),"CF",IF(AND(AG9=MAX(AE9,AG9),AND(W9&gt;5,AG9&lt;&gt;"-")),"RF",IF(AE9&lt;&gt;"-","LF",IF(AA9&lt;&gt;"-","1B","DH"))))))))</f>
        <v>LF</v>
      </c>
      <c r="AT9" s="47"/>
      <c r="AU9" s="47"/>
      <c r="AV9" s="47"/>
      <c r="AW9" s="47" t="str">
        <f>IF(AND($Q9&gt;=6,AVERAGE($S9:$T9)&gt;=6),"Likely",IF(OR($Q9&gt;6,AND($Q9=6,AVERAGE($S9:$T9)&gt;=3),AND($Q9&gt;=5,AVERAGE($S9:$T9)&gt;=5),AVERAGE($Q9,$S9:$T9)&gt;5),"Possible","Unlikely"))</f>
        <v>Possible</v>
      </c>
      <c r="AX9" s="47"/>
      <c r="AY9" s="47" t="str">
        <f>INDEX(Table5[[#All],[Ovr]],MATCH(Batters[[#This Row],[PID]],Table5[[#All],[PID]],0))</f>
        <v/>
      </c>
      <c r="AZ9" s="47" t="str">
        <f>INDEX(Table5[[#All],[Rnd]],MATCH(Batters[[#This Row],[PID]],Table5[[#All],[PID]],0))</f>
        <v/>
      </c>
      <c r="BA9" s="47" t="str">
        <f>INDEX(Table5[[#All],[Pick]],MATCH(Batters[[#This Row],[PID]],Table5[[#All],[PID]],0))</f>
        <v/>
      </c>
      <c r="BB9" s="47" t="str">
        <f>INDEX(Table5[[#All],[Team]],MATCH(Batters[[#This Row],[PID]],Table5[[#All],[PID]],0))</f>
        <v/>
      </c>
    </row>
    <row r="10" spans="1:54" ht="15" customHeight="1" x14ac:dyDescent="0.25">
      <c r="A10" s="42">
        <v>6723</v>
      </c>
      <c r="B10" s="42" t="s">
        <v>50</v>
      </c>
      <c r="C10" s="42" t="s">
        <v>212</v>
      </c>
      <c r="D10" s="42" t="s">
        <v>1034</v>
      </c>
      <c r="E10" s="42">
        <v>21</v>
      </c>
      <c r="F10" s="42" t="s">
        <v>42</v>
      </c>
      <c r="G10" s="42" t="s">
        <v>42</v>
      </c>
      <c r="H10" s="43" t="s">
        <v>702</v>
      </c>
      <c r="I10" s="44" t="s">
        <v>43</v>
      </c>
      <c r="J10" s="42" t="s">
        <v>43</v>
      </c>
      <c r="K10" s="43" t="s">
        <v>43</v>
      </c>
      <c r="L10" s="42">
        <v>4</v>
      </c>
      <c r="M10" s="42">
        <v>6</v>
      </c>
      <c r="N10" s="42">
        <v>4</v>
      </c>
      <c r="O10" s="42">
        <v>4</v>
      </c>
      <c r="P10" s="43">
        <v>5</v>
      </c>
      <c r="Q10" s="42">
        <v>6</v>
      </c>
      <c r="R10" s="42">
        <v>7</v>
      </c>
      <c r="S10" s="42">
        <v>7</v>
      </c>
      <c r="T10" s="42">
        <v>5</v>
      </c>
      <c r="U10" s="43">
        <v>6</v>
      </c>
      <c r="V10" s="42">
        <v>5</v>
      </c>
      <c r="W10" s="42">
        <v>9</v>
      </c>
      <c r="X10" s="42">
        <v>1</v>
      </c>
      <c r="Y10" s="43">
        <v>1</v>
      </c>
      <c r="Z10" s="42" t="s">
        <v>45</v>
      </c>
      <c r="AA10" s="42" t="s">
        <v>45</v>
      </c>
      <c r="AB10" s="42" t="s">
        <v>45</v>
      </c>
      <c r="AC10" s="42" t="s">
        <v>45</v>
      </c>
      <c r="AD10" s="42" t="s">
        <v>45</v>
      </c>
      <c r="AE10" s="42">
        <v>4</v>
      </c>
      <c r="AF10" s="42" t="s">
        <v>45</v>
      </c>
      <c r="AG10" s="43">
        <v>2</v>
      </c>
      <c r="AH10" s="42">
        <v>3</v>
      </c>
      <c r="AI10" s="42">
        <v>4</v>
      </c>
      <c r="AJ10" s="43">
        <v>3</v>
      </c>
      <c r="AK10" s="45" t="s">
        <v>442</v>
      </c>
      <c r="AL10" s="45" t="s">
        <v>47</v>
      </c>
      <c r="AM10" s="46">
        <f>($L$3*(L10-$Q$1)/$Q$2+$M$3*(M10-$R$1)/$R$2+$N$3*(N10-$S$1)/$S$2+$O$3*(O10-$T$1)/$T$2+$P$3*(P10-$U$1)/$U$2)/(SUM($L$3:$P$3))</f>
        <v>-0.18299795175724889</v>
      </c>
      <c r="AN10" s="46">
        <f>($L$3*(Q10-$Q$1)/$Q$2+$M$3*(R10-$R$1)/$R$2+$N$3*(S10-$S$1)/$S$2+$O$3*(T10-$T$1)/$T$2+$P$3*(U10-$U$1)/$U$2)/(SUM($L$3:$P$3))</f>
        <v>0.89208397216517299</v>
      </c>
      <c r="AO10" s="47">
        <f>IF(AVERAGE(AH10:AI10)&gt;9,1,0)+IF(AVERAGE(AH10:AI10)&gt;7,1,0)+IF(AH10&gt;7,1,0)+IF(AI10&gt;7,1,0)+IF(AJ10&gt;8,1,0)+IF(AJ10&gt;6,1,0)</f>
        <v>0</v>
      </c>
      <c r="AP10" s="48">
        <f>MIN(2,IF(OR(Z10="-",X10&lt;5),0,1+IF(Y10&gt;7,0.35,IF(Y10&gt;5,0.1,0))+IF(Z10&gt;7,1+IF(X10&gt;7,0.25,0),IF(Z10&gt;4,0.5+IF(X10&gt;7,0.25,0),0+IF(X10&gt;7,0.25))))+IF(AA10="-",0,IF(AA10&gt;9,0.5,IF(AA10&gt;7,0.25,0)))+IF(AB10="-",0,IF(AB10&gt;7,1.1,IF(AB10&gt;4,0.6,0)))+IF(OR(AC10="-",V10&lt;5),0,IF(AC10&gt;7,1+IF(V10&gt;7,0.25,0),IF(AC10&gt;4,0.5+IF(V10&gt;7,0.25,0),0)))+IF(AD10="-",0,IF(AD10&gt;7,1.5,IF(AD10&gt;4,1,0)))+IF(AE10="-",0,IF(AE10&gt;9,0.5,IF(AE10&gt;7,0.25,0)))+IF(AF10="-",0,IF(AF10&gt;7,1.25,IF(AF10&gt;4,0.75,0)))+IF(OR(AG10="-",W10&lt;4),0,IF(AG10&gt;7,1+IF(W10&gt;7,0.15,0),IF(AG10&gt;4,0.5+IF(W10&gt;7,0.15,0),0))))</f>
        <v>0</v>
      </c>
      <c r="AQ10" s="46">
        <f>($AM$3*AM10+$AN$3*AN10+$AO$3*AO10+$AP$3*AP10)+$I$3*VLOOKUP(I10,COND!$A$2:$E$7,4,FALSE)+$J$3*VLOOKUP(J10,COND!$A$2:$C$7,2,FALSE)+$K$3*VLOOKUP(K10,COND!$A$2:$C$7,3,FALSE)+IF(AND($B$2&gt;0,$E10&lt;20),$B$2*25,0)</f>
        <v>55.686707870806352</v>
      </c>
      <c r="AR10" s="49">
        <f>STANDARDIZE(AQ10,AVERAGE($AQ$5:$AQ$537),STDEVP($AQ$5:$AQ$537))</f>
        <v>2.6987001831373734</v>
      </c>
      <c r="AS10" s="47" t="str">
        <f>IF(AND(Z10&lt;&gt;"-",Y10&gt;1),"C",IF(AB10=MAX(AB10:AD10),"2B",IF(AD10=MAX(AB10:AD10),"SS",IF(OR(AC10=MAX(AA10:AD10),AND(AC10&lt;&gt;"-",AC10&gt;4,V10&gt;5)),"3B",IF(AF10=MAX(AE10:AG10),"CF",IF(AND(AG10=MAX(AE10,AG10),AND(W10&gt;5,AG10&lt;&gt;"-")),"RF",IF(AE10&lt;&gt;"-","LF",IF(AA10&lt;&gt;"-","1B","DH"))))))))</f>
        <v>LF</v>
      </c>
      <c r="AT10" s="47"/>
      <c r="AU10" s="47"/>
      <c r="AV10" s="47"/>
      <c r="AW10" s="47" t="str">
        <f>IF(AND($Q10&gt;=6,AVERAGE($S10:$T10)&gt;=6),"Likely",IF(OR($Q10&gt;6,AND($Q10=6,AVERAGE($S10:$T10)&gt;=3),AND($Q10&gt;=5,AVERAGE($S10:$T10)&gt;=5),AVERAGE($Q10,$S10:$T10)&gt;5),"Possible","Unlikely"))</f>
        <v>Likely</v>
      </c>
      <c r="AX10" s="47"/>
      <c r="AY10" s="47" t="str">
        <f>INDEX(Table5[[#All],[Ovr]],MATCH(Batters[[#This Row],[PID]],Table5[[#All],[PID]],0))</f>
        <v/>
      </c>
      <c r="AZ10" s="47" t="str">
        <f>INDEX(Table5[[#All],[Rnd]],MATCH(Batters[[#This Row],[PID]],Table5[[#All],[PID]],0))</f>
        <v/>
      </c>
      <c r="BA10" s="47" t="str">
        <f>INDEX(Table5[[#All],[Pick]],MATCH(Batters[[#This Row],[PID]],Table5[[#All],[PID]],0))</f>
        <v/>
      </c>
      <c r="BB10" s="47" t="str">
        <f>INDEX(Table5[[#All],[Team]],MATCH(Batters[[#This Row],[PID]],Table5[[#All],[PID]],0))</f>
        <v/>
      </c>
    </row>
    <row r="11" spans="1:54" ht="15" customHeight="1" x14ac:dyDescent="0.25">
      <c r="A11" s="42">
        <v>7709</v>
      </c>
      <c r="B11" s="42" t="s">
        <v>87</v>
      </c>
      <c r="C11" s="42" t="s">
        <v>370</v>
      </c>
      <c r="D11" s="42" t="s">
        <v>1045</v>
      </c>
      <c r="E11" s="42">
        <v>18</v>
      </c>
      <c r="F11" s="42" t="s">
        <v>53</v>
      </c>
      <c r="G11" s="42" t="s">
        <v>42</v>
      </c>
      <c r="H11" s="43" t="s">
        <v>703</v>
      </c>
      <c r="I11" s="44" t="s">
        <v>43</v>
      </c>
      <c r="J11" s="42" t="s">
        <v>43</v>
      </c>
      <c r="K11" s="43" t="s">
        <v>47</v>
      </c>
      <c r="L11" s="42">
        <v>1</v>
      </c>
      <c r="M11" s="42">
        <v>2</v>
      </c>
      <c r="N11" s="42">
        <v>2</v>
      </c>
      <c r="O11" s="42">
        <v>2</v>
      </c>
      <c r="P11" s="43">
        <v>2</v>
      </c>
      <c r="Q11" s="42">
        <v>5</v>
      </c>
      <c r="R11" s="42">
        <v>6</v>
      </c>
      <c r="S11" s="42">
        <v>6</v>
      </c>
      <c r="T11" s="42">
        <v>5</v>
      </c>
      <c r="U11" s="43">
        <v>5</v>
      </c>
      <c r="V11" s="42">
        <v>7</v>
      </c>
      <c r="W11" s="42">
        <v>6</v>
      </c>
      <c r="X11" s="42">
        <v>1</v>
      </c>
      <c r="Y11" s="43">
        <v>1</v>
      </c>
      <c r="Z11" s="42" t="s">
        <v>45</v>
      </c>
      <c r="AA11" s="42">
        <v>5</v>
      </c>
      <c r="AB11" s="42" t="s">
        <v>45</v>
      </c>
      <c r="AC11" s="42" t="s">
        <v>45</v>
      </c>
      <c r="AD11" s="42" t="s">
        <v>45</v>
      </c>
      <c r="AE11" s="42" t="s">
        <v>45</v>
      </c>
      <c r="AF11" s="42" t="s">
        <v>45</v>
      </c>
      <c r="AG11" s="43" t="s">
        <v>45</v>
      </c>
      <c r="AH11" s="42">
        <v>3</v>
      </c>
      <c r="AI11" s="42">
        <v>1</v>
      </c>
      <c r="AJ11" s="43">
        <v>2</v>
      </c>
      <c r="AK11" s="45" t="s">
        <v>749</v>
      </c>
      <c r="AL11" s="45" t="s">
        <v>705</v>
      </c>
      <c r="AM11" s="46">
        <f>($L$3*(L11-$Q$1)/$Q$2+$M$3*(M11-$R$1)/$R$2+$N$3*(N11-$S$1)/$S$2+$O$3*(O11-$T$1)/$T$2+$P$3*(P11-$U$1)/$U$2)/(SUM($L$3:$P$3))</f>
        <v>-1.8204960863583022</v>
      </c>
      <c r="AN11" s="46">
        <f>($L$3*(Q11-$Q$1)/$Q$2+$M$3*(R11-$R$1)/$R$2+$N$3*(S11-$S$1)/$S$2+$O$3*(T11-$T$1)/$T$2+$P$3*(U11-$U$1)/$U$2)/(SUM($L$3:$P$3))</f>
        <v>0.39539042250280981</v>
      </c>
      <c r="AO11" s="47">
        <f>IF(AVERAGE(AH11:AI11)&gt;9,1,0)+IF(AVERAGE(AH11:AI11)&gt;7,1,0)+IF(AH11&gt;7,1,0)+IF(AI11&gt;7,1,0)+IF(AJ11&gt;8,1,0)+IF(AJ11&gt;6,1,0)</f>
        <v>0</v>
      </c>
      <c r="AP11" s="48">
        <f>MIN(2,IF(OR(Z11="-",X11&lt;5),0,1+IF(Y11&gt;7,0.35,IF(Y11&gt;5,0.1,0))+IF(Z11&gt;7,1+IF(X11&gt;7,0.25,0),IF(Z11&gt;4,0.5+IF(X11&gt;7,0.25,0),0+IF(X11&gt;7,0.25))))+IF(AA11="-",0,IF(AA11&gt;9,0.5,IF(AA11&gt;7,0.25,0)))+IF(AB11="-",0,IF(AB11&gt;7,1.1,IF(AB11&gt;4,0.6,0)))+IF(OR(AC11="-",V11&lt;5),0,IF(AC11&gt;7,1+IF(V11&gt;7,0.25,0),IF(AC11&gt;4,0.5+IF(V11&gt;7,0.25,0),0)))+IF(AD11="-",0,IF(AD11&gt;7,1.5,IF(AD11&gt;4,1,0)))+IF(AE11="-",0,IF(AE11&gt;9,0.5,IF(AE11&gt;7,0.25,0)))+IF(AF11="-",0,IF(AF11&gt;7,1.25,IF(AF11&gt;4,0.75,0)))+IF(OR(AG11="-",W11&lt;4),0,IF(AG11&gt;7,1+IF(W11&gt;7,0.15,0),IF(AG11&gt;4,0.5+IF(W11&gt;7,0.15,0),0))))</f>
        <v>0</v>
      </c>
      <c r="AQ11" s="46">
        <f>($AM$3*AM11+$AN$3*AN11+$AO$3*AO11+$AP$3*AP11)+$I$3*VLOOKUP(I11,COND!$A$2:$E$7,4,FALSE)+$J$3*VLOOKUP(J11,COND!$A$2:$C$7,2,FALSE)+$K$3*VLOOKUP(K11,COND!$A$2:$C$7,3,FALSE)+IF(AND($B$2&gt;0,$E11&lt;20),$B$2*25,0)</f>
        <v>54.862635461397886</v>
      </c>
      <c r="AR11" s="49">
        <f>STANDARDIZE(AQ11,AVERAGE($AQ$5:$AQ$537),STDEVP($AQ$5:$AQ$537))</f>
        <v>2.5537101197371919</v>
      </c>
      <c r="AS11" s="47" t="str">
        <f>IF(AND(Z11&lt;&gt;"-",Y11&gt;1),"C",IF(AB11=MAX(AB11:AD11),"2B",IF(AD11=MAX(AB11:AD11),"SS",IF(OR(AC11=MAX(AA11:AD11),AND(AC11&lt;&gt;"-",AC11&gt;4,V11&gt;5)),"3B",IF(AF11=MAX(AE11:AG11),"CF",IF(AND(AG11=MAX(AE11,AG11),AND(W11&gt;5,AG11&lt;&gt;"-")),"RF",IF(AE11&lt;&gt;"-","LF",IF(AA11&lt;&gt;"-","1B","DH"))))))))</f>
        <v>1B</v>
      </c>
      <c r="AT11" s="47"/>
      <c r="AU11" s="47"/>
      <c r="AV11" s="47"/>
      <c r="AW11" s="47" t="str">
        <f>IF(AND($Q11&gt;=6,AVERAGE($S11:$T11)&gt;=6),"Likely",IF(OR($Q11&gt;6,AND($Q11=6,AVERAGE($S11:$T11)&gt;=3),AND($Q11&gt;=5,AVERAGE($S11:$T11)&gt;=5),AVERAGE($Q11,$S11:$T11)&gt;5),"Possible","Unlikely"))</f>
        <v>Possible</v>
      </c>
      <c r="AX11" s="47"/>
      <c r="AY11" s="47" t="str">
        <f>INDEX(Table5[[#All],[Ovr]],MATCH(Batters[[#This Row],[PID]],Table5[[#All],[PID]],0))</f>
        <v/>
      </c>
      <c r="AZ11" s="47" t="str">
        <f>INDEX(Table5[[#All],[Rnd]],MATCH(Batters[[#This Row],[PID]],Table5[[#All],[PID]],0))</f>
        <v/>
      </c>
      <c r="BA11" s="47" t="str">
        <f>INDEX(Table5[[#All],[Pick]],MATCH(Batters[[#This Row],[PID]],Table5[[#All],[PID]],0))</f>
        <v/>
      </c>
      <c r="BB11" s="47" t="str">
        <f>INDEX(Table5[[#All],[Team]],MATCH(Batters[[#This Row],[PID]],Table5[[#All],[PID]],0))</f>
        <v/>
      </c>
    </row>
    <row r="12" spans="1:54" ht="15" customHeight="1" x14ac:dyDescent="0.25">
      <c r="A12" s="42">
        <v>7249</v>
      </c>
      <c r="B12" s="42" t="s">
        <v>69</v>
      </c>
      <c r="C12" s="42" t="s">
        <v>1032</v>
      </c>
      <c r="D12" s="42" t="s">
        <v>887</v>
      </c>
      <c r="E12" s="42">
        <v>21</v>
      </c>
      <c r="F12" s="42" t="s">
        <v>42</v>
      </c>
      <c r="G12" s="42" t="s">
        <v>42</v>
      </c>
      <c r="H12" s="43" t="s">
        <v>701</v>
      </c>
      <c r="I12" s="44" t="s">
        <v>44</v>
      </c>
      <c r="J12" s="42" t="s">
        <v>44</v>
      </c>
      <c r="K12" s="43" t="s">
        <v>43</v>
      </c>
      <c r="L12" s="42">
        <v>4</v>
      </c>
      <c r="M12" s="42">
        <v>7</v>
      </c>
      <c r="N12" s="42">
        <v>4</v>
      </c>
      <c r="O12" s="42">
        <v>3</v>
      </c>
      <c r="P12" s="43">
        <v>5</v>
      </c>
      <c r="Q12" s="42">
        <v>6</v>
      </c>
      <c r="R12" s="42">
        <v>8</v>
      </c>
      <c r="S12" s="42">
        <v>6</v>
      </c>
      <c r="T12" s="42">
        <v>5</v>
      </c>
      <c r="U12" s="43">
        <v>6</v>
      </c>
      <c r="V12" s="42">
        <v>8</v>
      </c>
      <c r="W12" s="42">
        <v>7</v>
      </c>
      <c r="X12" s="42">
        <v>1</v>
      </c>
      <c r="Y12" s="43">
        <v>1</v>
      </c>
      <c r="Z12" s="42" t="s">
        <v>45</v>
      </c>
      <c r="AA12" s="42" t="s">
        <v>45</v>
      </c>
      <c r="AB12" s="42">
        <v>4</v>
      </c>
      <c r="AC12" s="42">
        <v>6</v>
      </c>
      <c r="AD12" s="42" t="s">
        <v>45</v>
      </c>
      <c r="AE12" s="42" t="s">
        <v>45</v>
      </c>
      <c r="AF12" s="42" t="s">
        <v>45</v>
      </c>
      <c r="AG12" s="43" t="s">
        <v>45</v>
      </c>
      <c r="AH12" s="42">
        <v>3</v>
      </c>
      <c r="AI12" s="42">
        <v>6</v>
      </c>
      <c r="AJ12" s="43">
        <v>5</v>
      </c>
      <c r="AK12" s="45" t="s">
        <v>546</v>
      </c>
      <c r="AL12" s="45" t="s">
        <v>47</v>
      </c>
      <c r="AM12" s="46">
        <f>($L$3*(L12-$Q$1)/$Q$2+$M$3*(M12-$R$1)/$R$2+$N$3*(N12-$S$1)/$S$2+$O$3*(O12-$T$1)/$T$2+$P$3*(P12-$U$1)/$U$2)/(SUM($L$3:$P$3))</f>
        <v>-0.2216476221481265</v>
      </c>
      <c r="AN12" s="46">
        <f>($L$3*(Q12-$Q$1)/$Q$2+$M$3*(R12-$R$1)/$R$2+$N$3*(S12-$S$1)/$S$2+$O$3*(T12-$T$1)/$T$2+$P$3*(U12-$U$1)/$U$2)/(SUM($L$3:$P$3))</f>
        <v>0.86008235775997499</v>
      </c>
      <c r="AO12" s="47">
        <f>IF(AVERAGE(AH12:AI12)&gt;9,1,0)+IF(AVERAGE(AH12:AI12)&gt;7,1,0)+IF(AH12&gt;7,1,0)+IF(AI12&gt;7,1,0)+IF(AJ12&gt;8,1,0)+IF(AJ12&gt;6,1,0)</f>
        <v>0</v>
      </c>
      <c r="AP12" s="48">
        <f>MIN(2,IF(OR(Z12="-",X12&lt;5),0,1+IF(Y12&gt;7,0.35,IF(Y12&gt;5,0.1,0))+IF(Z12&gt;7,1+IF(X12&gt;7,0.25,0),IF(Z12&gt;4,0.5+IF(X12&gt;7,0.25,0),0+IF(X12&gt;7,0.25))))+IF(AA12="-",0,IF(AA12&gt;9,0.5,IF(AA12&gt;7,0.25,0)))+IF(AB12="-",0,IF(AB12&gt;7,1.1,IF(AB12&gt;4,0.6,0)))+IF(OR(AC12="-",V12&lt;5),0,IF(AC12&gt;7,1+IF(V12&gt;7,0.25,0),IF(AC12&gt;4,0.5+IF(V12&gt;7,0.25,0),0)))+IF(AD12="-",0,IF(AD12&gt;7,1.5,IF(AD12&gt;4,1,0)))+IF(AE12="-",0,IF(AE12&gt;9,0.5,IF(AE12&gt;7,0.25,0)))+IF(AF12="-",0,IF(AF12&gt;7,1.25,IF(AF12&gt;4,0.75,0)))+IF(OR(AG12="-",W12&lt;4),0,IF(AG12&gt;7,1+IF(W12&gt;7,0.15,0),IF(AG12&gt;4,0.5+IF(W12&gt;7,0.15,0),0))))</f>
        <v>0.75</v>
      </c>
      <c r="AQ12" s="46">
        <f>($AM$3*AM12+$AN$3*AN12+$AO$3*AO12+$AP$3*AP12)+$I$3*VLOOKUP(I12,COND!$A$2:$E$7,4,FALSE)+$J$3*VLOOKUP(J12,COND!$A$2:$C$7,2,FALSE)+$K$3*VLOOKUP(K12,COND!$A$2:$C$7,3,FALSE)+IF(AND($B$2&gt;0,$E12&lt;20),$B$2*25,0)</f>
        <v>55.598823530904887</v>
      </c>
      <c r="AR12" s="49">
        <f>STANDARDIZE(AQ12,AVERAGE($AQ$5:$AQ$537),STDEVP($AQ$5:$AQ$537))</f>
        <v>2.6832375176376959</v>
      </c>
      <c r="AS12" s="47" t="str">
        <f>IF(AND(Z12&lt;&gt;"-",Y12&gt;1),"C",IF(AB12=MAX(AB12:AD12),"2B",IF(AD12=MAX(AB12:AD12),"SS",IF(OR(AC12=MAX(AA12:AD12),AND(AC12&lt;&gt;"-",AC12&gt;4,V12&gt;5)),"3B",IF(AF12=MAX(AE12:AG12),"CF",IF(AND(AG12=MAX(AE12,AG12),AND(W12&gt;5,AG12&lt;&gt;"-")),"RF",IF(AE12&lt;&gt;"-","LF",IF(AA12&lt;&gt;"-","1B","DH"))))))))</f>
        <v>3B</v>
      </c>
      <c r="AT12" s="47"/>
      <c r="AU12" s="47"/>
      <c r="AV12" s="47"/>
      <c r="AW12" s="47" t="str">
        <f>IF(AND($Q12&gt;=6,AVERAGE($S12:$T12)&gt;=6),"Likely",IF(OR($Q12&gt;6,AND($Q12=6,AVERAGE($S12:$T12)&gt;=3),AND($Q12&gt;=5,AVERAGE($S12:$T12)&gt;=5),AVERAGE($Q12,$S12:$T12)&gt;5),"Possible","Unlikely"))</f>
        <v>Possible</v>
      </c>
      <c r="AX12" s="47"/>
      <c r="AY12" s="47" t="str">
        <f>INDEX(Table5[[#All],[Ovr]],MATCH(Batters[[#This Row],[PID]],Table5[[#All],[PID]],0))</f>
        <v/>
      </c>
      <c r="AZ12" s="47" t="str">
        <f>INDEX(Table5[[#All],[Rnd]],MATCH(Batters[[#This Row],[PID]],Table5[[#All],[PID]],0))</f>
        <v/>
      </c>
      <c r="BA12" s="47" t="str">
        <f>INDEX(Table5[[#All],[Pick]],MATCH(Batters[[#This Row],[PID]],Table5[[#All],[PID]],0))</f>
        <v/>
      </c>
      <c r="BB12" s="47" t="str">
        <f>INDEX(Table5[[#All],[Team]],MATCH(Batters[[#This Row],[PID]],Table5[[#All],[PID]],0))</f>
        <v/>
      </c>
    </row>
    <row r="13" spans="1:54" ht="15" customHeight="1" x14ac:dyDescent="0.25">
      <c r="A13" s="42">
        <v>6277</v>
      </c>
      <c r="B13" s="42" t="s">
        <v>66</v>
      </c>
      <c r="C13" s="42" t="s">
        <v>1039</v>
      </c>
      <c r="D13" s="42" t="s">
        <v>1040</v>
      </c>
      <c r="E13" s="42">
        <v>18</v>
      </c>
      <c r="F13" s="42" t="s">
        <v>42</v>
      </c>
      <c r="G13" s="42" t="s">
        <v>42</v>
      </c>
      <c r="H13" s="43" t="s">
        <v>703</v>
      </c>
      <c r="I13" s="44" t="s">
        <v>43</v>
      </c>
      <c r="J13" s="42" t="s">
        <v>43</v>
      </c>
      <c r="K13" s="43" t="s">
        <v>43</v>
      </c>
      <c r="L13" s="42">
        <v>2</v>
      </c>
      <c r="M13" s="42">
        <v>3</v>
      </c>
      <c r="N13" s="42">
        <v>3</v>
      </c>
      <c r="O13" s="42">
        <v>1</v>
      </c>
      <c r="P13" s="43">
        <v>3</v>
      </c>
      <c r="Q13" s="42">
        <v>5</v>
      </c>
      <c r="R13" s="42">
        <v>5</v>
      </c>
      <c r="S13" s="42">
        <v>6</v>
      </c>
      <c r="T13" s="42">
        <v>3</v>
      </c>
      <c r="U13" s="43">
        <v>6</v>
      </c>
      <c r="V13" s="42">
        <v>6</v>
      </c>
      <c r="W13" s="42">
        <v>9</v>
      </c>
      <c r="X13" s="42">
        <v>1</v>
      </c>
      <c r="Y13" s="43">
        <v>1</v>
      </c>
      <c r="Z13" s="42" t="s">
        <v>45</v>
      </c>
      <c r="AA13" s="42" t="s">
        <v>45</v>
      </c>
      <c r="AB13" s="42" t="s">
        <v>45</v>
      </c>
      <c r="AC13" s="42" t="s">
        <v>45</v>
      </c>
      <c r="AD13" s="42" t="s">
        <v>45</v>
      </c>
      <c r="AE13" s="42" t="s">
        <v>45</v>
      </c>
      <c r="AF13" s="42" t="s">
        <v>45</v>
      </c>
      <c r="AG13" s="43">
        <v>5</v>
      </c>
      <c r="AH13" s="42">
        <v>6</v>
      </c>
      <c r="AI13" s="42">
        <v>3</v>
      </c>
      <c r="AJ13" s="43">
        <v>3</v>
      </c>
      <c r="AK13" s="45" t="s">
        <v>1030</v>
      </c>
      <c r="AL13" s="45" t="s">
        <v>705</v>
      </c>
      <c r="AM13" s="46">
        <f>($L$3*(L13-$Q$1)/$Q$2+$M$3*(M13-$R$1)/$R$2+$N$3*(N13-$S$1)/$S$2+$O$3*(O13-$T$1)/$T$2+$P$3*(P13-$U$1)/$U$2)/(SUM($L$3:$P$3))</f>
        <v>-1.4135120867055204</v>
      </c>
      <c r="AN13" s="46">
        <f>($L$3*(Q13-$Q$1)/$Q$2+$M$3*(R13-$R$1)/$R$2+$N$3*(S13-$S$1)/$S$2+$O$3*(T13-$T$1)/$T$2+$P$3*(U13-$U$1)/$U$2)/(SUM($L$3:$P$3))</f>
        <v>0.20492778268202763</v>
      </c>
      <c r="AO13" s="47">
        <f>IF(AVERAGE(AH13:AI13)&gt;9,1,0)+IF(AVERAGE(AH13:AI13)&gt;7,1,0)+IF(AH13&gt;7,1,0)+IF(AI13&gt;7,1,0)+IF(AJ13&gt;8,1,0)+IF(AJ13&gt;6,1,0)</f>
        <v>0</v>
      </c>
      <c r="AP13" s="48">
        <f>MIN(2,IF(OR(Z13="-",X13&lt;5),0,1+IF(Y13&gt;7,0.35,IF(Y13&gt;5,0.1,0))+IF(Z13&gt;7,1+IF(X13&gt;7,0.25,0),IF(Z13&gt;4,0.5+IF(X13&gt;7,0.25,0),0+IF(X13&gt;7,0.25))))+IF(AA13="-",0,IF(AA13&gt;9,0.5,IF(AA13&gt;7,0.25,0)))+IF(AB13="-",0,IF(AB13&gt;7,1.1,IF(AB13&gt;4,0.6,0)))+IF(OR(AC13="-",V13&lt;5),0,IF(AC13&gt;7,1+IF(V13&gt;7,0.25,0),IF(AC13&gt;4,0.5+IF(V13&gt;7,0.25,0),0)))+IF(AD13="-",0,IF(AD13&gt;7,1.5,IF(AD13&gt;4,1,0)))+IF(AE13="-",0,IF(AE13&gt;9,0.5,IF(AE13&gt;7,0.25,0)))+IF(AF13="-",0,IF(AF13&gt;7,1.25,IF(AF13&gt;4,0.75,0)))+IF(OR(AG13="-",W13&lt;4),0,IF(AG13&gt;7,1+IF(W13&gt;7,0.15,0),IF(AG13&gt;4,0.5+IF(W13&gt;7,0.15,0),0))))</f>
        <v>0.65</v>
      </c>
      <c r="AQ13" s="46">
        <f>($AM$3*AM13+$AN$3*AN13+$AO$3*AO13+$AP$3*AP13)+$I$3*VLOOKUP(I13,COND!$A$2:$E$7,4,FALSE)+$J$3*VLOOKUP(J13,COND!$A$2:$C$7,2,FALSE)+$K$3*VLOOKUP(K13,COND!$A$2:$C$7,3,FALSE)+IF(AND($B$2&gt;0,$E13&lt;20),$B$2*25,0)</f>
        <v>52.967782183513776</v>
      </c>
      <c r="AR13" s="49">
        <f>STANDARDIZE(AQ13,AVERAGE($AQ$5:$AQ$537),STDEVP($AQ$5:$AQ$537))</f>
        <v>2.2203232792632237</v>
      </c>
      <c r="AS13" s="47" t="str">
        <f>IF(AND(Z13&lt;&gt;"-",Y13&gt;1),"C",IF(AB13=MAX(AB13:AD13),"2B",IF(AD13=MAX(AB13:AD13),"SS",IF(OR(AC13=MAX(AA13:AD13),AND(AC13&lt;&gt;"-",AC13&gt;4,V13&gt;5)),"3B",IF(AF13=MAX(AE13:AG13),"CF",IF(AND(AG13=MAX(AE13,AG13),AND(W13&gt;5,AG13&lt;&gt;"-")),"RF",IF(AE13&lt;&gt;"-","LF",IF(AA13&lt;&gt;"-","1B","DH"))))))))</f>
        <v>RF</v>
      </c>
      <c r="AT13" s="47"/>
      <c r="AU13" s="47"/>
      <c r="AV13" s="47"/>
      <c r="AW13" s="47" t="str">
        <f>IF(AND($Q13&gt;=6,AVERAGE($S13:$T13)&gt;=6),"Likely",IF(OR($Q13&gt;6,AND($Q13=6,AVERAGE($S13:$T13)&gt;=3),AND($Q13&gt;=5,AVERAGE($S13:$T13)&gt;=5),AVERAGE($Q13,$S13:$T13)&gt;5),"Possible","Unlikely"))</f>
        <v>Unlikely</v>
      </c>
      <c r="AX13" s="47"/>
      <c r="AY13" s="47" t="str">
        <f>INDEX(Table5[[#All],[Ovr]],MATCH(Batters[[#This Row],[PID]],Table5[[#All],[PID]],0))</f>
        <v/>
      </c>
      <c r="AZ13" s="47" t="str">
        <f>INDEX(Table5[[#All],[Rnd]],MATCH(Batters[[#This Row],[PID]],Table5[[#All],[PID]],0))</f>
        <v/>
      </c>
      <c r="BA13" s="47" t="str">
        <f>INDEX(Table5[[#All],[Pick]],MATCH(Batters[[#This Row],[PID]],Table5[[#All],[PID]],0))</f>
        <v/>
      </c>
      <c r="BB13" s="47" t="str">
        <f>INDEX(Table5[[#All],[Team]],MATCH(Batters[[#This Row],[PID]],Table5[[#All],[PID]],0))</f>
        <v/>
      </c>
    </row>
    <row r="14" spans="1:54" ht="15" customHeight="1" x14ac:dyDescent="0.25">
      <c r="A14" s="42">
        <v>7186</v>
      </c>
      <c r="B14" s="42" t="s">
        <v>72</v>
      </c>
      <c r="C14" s="42" t="s">
        <v>348</v>
      </c>
      <c r="D14" s="42" t="s">
        <v>1033</v>
      </c>
      <c r="E14" s="42">
        <v>20</v>
      </c>
      <c r="F14" s="42" t="s">
        <v>42</v>
      </c>
      <c r="G14" s="42" t="s">
        <v>42</v>
      </c>
      <c r="H14" s="43" t="s">
        <v>702</v>
      </c>
      <c r="I14" s="44" t="s">
        <v>44</v>
      </c>
      <c r="J14" s="42" t="s">
        <v>43</v>
      </c>
      <c r="K14" s="43" t="s">
        <v>47</v>
      </c>
      <c r="L14" s="42">
        <v>4</v>
      </c>
      <c r="M14" s="42">
        <v>5</v>
      </c>
      <c r="N14" s="42">
        <v>2</v>
      </c>
      <c r="O14" s="42">
        <v>2</v>
      </c>
      <c r="P14" s="43">
        <v>4</v>
      </c>
      <c r="Q14" s="42">
        <v>6</v>
      </c>
      <c r="R14" s="42">
        <v>6</v>
      </c>
      <c r="S14" s="42">
        <v>3</v>
      </c>
      <c r="T14" s="42">
        <v>4</v>
      </c>
      <c r="U14" s="43">
        <v>6</v>
      </c>
      <c r="V14" s="42">
        <v>8</v>
      </c>
      <c r="W14" s="42">
        <v>7</v>
      </c>
      <c r="X14" s="42">
        <v>1</v>
      </c>
      <c r="Y14" s="43">
        <v>1</v>
      </c>
      <c r="Z14" s="42" t="s">
        <v>45</v>
      </c>
      <c r="AA14" s="42" t="s">
        <v>45</v>
      </c>
      <c r="AB14" s="42" t="s">
        <v>45</v>
      </c>
      <c r="AC14" s="42" t="s">
        <v>45</v>
      </c>
      <c r="AD14" s="42">
        <v>6</v>
      </c>
      <c r="AE14" s="42" t="s">
        <v>45</v>
      </c>
      <c r="AF14" s="42" t="s">
        <v>45</v>
      </c>
      <c r="AG14" s="43" t="s">
        <v>45</v>
      </c>
      <c r="AH14" s="42">
        <v>10</v>
      </c>
      <c r="AI14" s="42">
        <v>9</v>
      </c>
      <c r="AJ14" s="43">
        <v>10</v>
      </c>
      <c r="AK14" s="45" t="s">
        <v>602</v>
      </c>
      <c r="AL14" s="45" t="s">
        <v>47</v>
      </c>
      <c r="AM14" s="46">
        <f>($L$3*(L14-$Q$1)/$Q$2+$M$3*(M14-$R$1)/$R$2+$N$3*(N14-$S$1)/$S$2+$O$3*(O14-$T$1)/$T$2+$P$3*(P14-$U$1)/$U$2)/(SUM($L$3:$P$3))</f>
        <v>-0.61961625926000097</v>
      </c>
      <c r="AN14" s="46">
        <f>($L$3*(Q14-$Q$1)/$Q$2+$M$3*(R14-$R$1)/$R$2+$N$3*(S14-$S$1)/$S$2+$O$3*(T14-$T$1)/$T$2+$P$3*(U14-$U$1)/$U$2)/(SUM($L$3:$P$3))</f>
        <v>0.41906856644128254</v>
      </c>
      <c r="AO14" s="47">
        <f>IF(AVERAGE(AH14:AI14)&gt;9,1,0)+IF(AVERAGE(AH14:AI14)&gt;7,1,0)+IF(AH14&gt;7,1,0)+IF(AI14&gt;7,1,0)+IF(AJ14&gt;8,1,0)+IF(AJ14&gt;6,1,0)</f>
        <v>6</v>
      </c>
      <c r="AP14" s="48">
        <f>MIN(2,IF(OR(Z14="-",X14&lt;5),0,1+IF(Y14&gt;7,0.35,IF(Y14&gt;5,0.1,0))+IF(Z14&gt;7,1+IF(X14&gt;7,0.25,0),IF(Z14&gt;4,0.5+IF(X14&gt;7,0.25,0),0+IF(X14&gt;7,0.25))))+IF(AA14="-",0,IF(AA14&gt;9,0.5,IF(AA14&gt;7,0.25,0)))+IF(AB14="-",0,IF(AB14&gt;7,1.1,IF(AB14&gt;4,0.6,0)))+IF(OR(AC14="-",V14&lt;5),0,IF(AC14&gt;7,1+IF(V14&gt;7,0.25,0),IF(AC14&gt;4,0.5+IF(V14&gt;7,0.25,0),0)))+IF(AD14="-",0,IF(AD14&gt;7,1.5,IF(AD14&gt;4,1,0)))+IF(AE14="-",0,IF(AE14&gt;9,0.5,IF(AE14&gt;7,0.25,0)))+IF(AF14="-",0,IF(AF14&gt;7,1.25,IF(AF14&gt;4,0.75,0)))+IF(OR(AG14="-",W14&lt;4),0,IF(AG14&gt;7,1+IF(W14&gt;7,0.15,0),IF(AG14&gt;4,0.5+IF(W14&gt;7,0.15,0),0))))</f>
        <v>1</v>
      </c>
      <c r="AQ14" s="46">
        <f>($AM$3*AM14+$AN$3*AN14+$AO$3*AO14+$AP$3*AP14)+$I$3*VLOOKUP(I14,COND!$A$2:$E$7,4,FALSE)+$J$3*VLOOKUP(J14,COND!$A$2:$C$7,2,FALSE)+$K$3*VLOOKUP(K14,COND!$A$2:$C$7,3,FALSE)+IF(AND($B$2&gt;0,$E14&lt;20),$B$2*25,0)</f>
        <v>52.116861171369393</v>
      </c>
      <c r="AR14" s="49">
        <f>STANDARDIZE(AQ14,AVERAGE($AQ$5:$AQ$537),STDEVP($AQ$5:$AQ$537))</f>
        <v>2.0706093826556167</v>
      </c>
      <c r="AS14" s="47" t="str">
        <f>IF(AND(Z14&lt;&gt;"-",Y14&gt;1),"C",IF(AB14=MAX(AB14:AD14),"2B",IF(AD14=MAX(AB14:AD14),"SS",IF(OR(AC14=MAX(AA14:AD14),AND(AC14&lt;&gt;"-",AC14&gt;4,V14&gt;5)),"3B",IF(AF14=MAX(AE14:AG14),"CF",IF(AND(AG14=MAX(AE14,AG14),AND(W14&gt;5,AG14&lt;&gt;"-")),"RF",IF(AE14&lt;&gt;"-","LF",IF(AA14&lt;&gt;"-","1B","DH"))))))))</f>
        <v>SS</v>
      </c>
      <c r="AT14" s="47"/>
      <c r="AU14" s="47"/>
      <c r="AV14" s="47"/>
      <c r="AW14" s="47" t="str">
        <f>IF(AND($Q14&gt;=6,AVERAGE($S14:$T14)&gt;=6),"Likely",IF(OR($Q14&gt;6,AND($Q14=6,AVERAGE($S14:$T14)&gt;=3),AND($Q14&gt;=5,AVERAGE($S14:$T14)&gt;=5),AVERAGE($Q14,$S14:$T14)&gt;5),"Possible","Unlikely"))</f>
        <v>Possible</v>
      </c>
      <c r="AX14" s="47"/>
      <c r="AY14" s="47" t="str">
        <f>INDEX(Table5[[#All],[Ovr]],MATCH(Batters[[#This Row],[PID]],Table5[[#All],[PID]],0))</f>
        <v/>
      </c>
      <c r="AZ14" s="47" t="str">
        <f>INDEX(Table5[[#All],[Rnd]],MATCH(Batters[[#This Row],[PID]],Table5[[#All],[PID]],0))</f>
        <v/>
      </c>
      <c r="BA14" s="47" t="str">
        <f>INDEX(Table5[[#All],[Pick]],MATCH(Batters[[#This Row],[PID]],Table5[[#All],[PID]],0))</f>
        <v/>
      </c>
      <c r="BB14" s="47" t="str">
        <f>INDEX(Table5[[#All],[Team]],MATCH(Batters[[#This Row],[PID]],Table5[[#All],[PID]],0))</f>
        <v/>
      </c>
    </row>
    <row r="15" spans="1:54" ht="15" customHeight="1" x14ac:dyDescent="0.25">
      <c r="A15" s="42">
        <v>8178</v>
      </c>
      <c r="B15" s="42" t="s">
        <v>74</v>
      </c>
      <c r="C15" s="42" t="s">
        <v>598</v>
      </c>
      <c r="D15" s="42" t="s">
        <v>180</v>
      </c>
      <c r="E15" s="42">
        <v>18</v>
      </c>
      <c r="F15" s="42" t="s">
        <v>42</v>
      </c>
      <c r="G15" s="42" t="s">
        <v>42</v>
      </c>
      <c r="H15" s="43" t="s">
        <v>703</v>
      </c>
      <c r="I15" s="44" t="s">
        <v>43</v>
      </c>
      <c r="J15" s="42" t="s">
        <v>43</v>
      </c>
      <c r="K15" s="43" t="s">
        <v>47</v>
      </c>
      <c r="L15" s="42">
        <v>1</v>
      </c>
      <c r="M15" s="42">
        <v>2</v>
      </c>
      <c r="N15" s="42">
        <v>3</v>
      </c>
      <c r="O15" s="42">
        <v>2</v>
      </c>
      <c r="P15" s="43">
        <v>2</v>
      </c>
      <c r="Q15" s="42">
        <v>4</v>
      </c>
      <c r="R15" s="42">
        <v>6</v>
      </c>
      <c r="S15" s="42">
        <v>6</v>
      </c>
      <c r="T15" s="42">
        <v>6</v>
      </c>
      <c r="U15" s="43">
        <v>5</v>
      </c>
      <c r="V15" s="42">
        <v>3</v>
      </c>
      <c r="W15" s="42">
        <v>5</v>
      </c>
      <c r="X15" s="42">
        <v>1</v>
      </c>
      <c r="Y15" s="43">
        <v>1</v>
      </c>
      <c r="Z15" s="42" t="s">
        <v>45</v>
      </c>
      <c r="AA15" s="42" t="s">
        <v>45</v>
      </c>
      <c r="AB15" s="42" t="s">
        <v>45</v>
      </c>
      <c r="AC15" s="42" t="s">
        <v>45</v>
      </c>
      <c r="AD15" s="42" t="s">
        <v>45</v>
      </c>
      <c r="AE15" s="42" t="s">
        <v>45</v>
      </c>
      <c r="AF15" s="42">
        <v>3</v>
      </c>
      <c r="AG15" s="43" t="s">
        <v>45</v>
      </c>
      <c r="AH15" s="42">
        <v>6</v>
      </c>
      <c r="AI15" s="42">
        <v>6</v>
      </c>
      <c r="AJ15" s="43">
        <v>6</v>
      </c>
      <c r="AK15" s="45" t="s">
        <v>546</v>
      </c>
      <c r="AL15" s="45" t="s">
        <v>47</v>
      </c>
      <c r="AM15" s="46">
        <f>($L$3*(L15-$Q$1)/$Q$2+$M$3*(M15-$R$1)/$R$2+$N$3*(N15-$S$1)/$S$2+$O$3*(O15-$T$1)/$T$2+$P$3*(P15-$U$1)/$U$2)/(SUM($L$3:$P$3))</f>
        <v>-1.7374345923344008</v>
      </c>
      <c r="AN15" s="46">
        <f>($L$3*(Q15-$Q$1)/$Q$2+$M$3*(R15-$R$1)/$R$2+$N$3*(S15-$S$1)/$S$2+$O$3*(T15-$T$1)/$T$2+$P$3*(U15-$U$1)/$U$2)/(SUM($L$3:$P$3))</f>
        <v>0.16254413630971615</v>
      </c>
      <c r="AO15" s="47">
        <f>IF(AVERAGE(AH15:AI15)&gt;9,1,0)+IF(AVERAGE(AH15:AI15)&gt;7,1,0)+IF(AH15&gt;7,1,0)+IF(AI15&gt;7,1,0)+IF(AJ15&gt;8,1,0)+IF(AJ15&gt;6,1,0)</f>
        <v>0</v>
      </c>
      <c r="AP15" s="48">
        <f>MIN(2,IF(OR(Z15="-",X15&lt;5),0,1+IF(Y15&gt;7,0.35,IF(Y15&gt;5,0.1,0))+IF(Z15&gt;7,1+IF(X15&gt;7,0.25,0),IF(Z15&gt;4,0.5+IF(X15&gt;7,0.25,0),0+IF(X15&gt;7,0.25))))+IF(AA15="-",0,IF(AA15&gt;9,0.5,IF(AA15&gt;7,0.25,0)))+IF(AB15="-",0,IF(AB15&gt;7,1.1,IF(AB15&gt;4,0.6,0)))+IF(OR(AC15="-",V15&lt;5),0,IF(AC15&gt;7,1+IF(V15&gt;7,0.25,0),IF(AC15&gt;4,0.5+IF(V15&gt;7,0.25,0),0)))+IF(AD15="-",0,IF(AD15&gt;7,1.5,IF(AD15&gt;4,1,0)))+IF(AE15="-",0,IF(AE15&gt;9,0.5,IF(AE15&gt;7,0.25,0)))+IF(AF15="-",0,IF(AF15&gt;7,1.25,IF(AF15&gt;4,0.75,0)))+IF(OR(AG15="-",W15&lt;4),0,IF(AG15&gt;7,1+IF(W15&gt;7,0.15,0),IF(AG15&gt;4,0.5+IF(W15&gt;7,0.15,0),0))))</f>
        <v>0</v>
      </c>
      <c r="AQ15" s="46">
        <f>($AM$3*AM15+$AN$3*AN15+$AO$3*AO15+$AP$3*AP15)+$I$3*VLOOKUP(I15,COND!$A$2:$E$7,4,FALSE)+$J$3*VLOOKUP(J15,COND!$A$2:$C$7,2,FALSE)+$K$3*VLOOKUP(K15,COND!$A$2:$C$7,3,FALSE)+IF(AND($B$2&gt;0,$E15&lt;20),$B$2*25,0)</f>
        <v>52.076786176483154</v>
      </c>
      <c r="AR15" s="49">
        <f>STANDARDIZE(AQ15,AVERAGE($AQ$5:$AQ$537),STDEVP($AQ$5:$AQ$537))</f>
        <v>2.0635584536559564</v>
      </c>
      <c r="AS15" s="47" t="str">
        <f>IF(AND(Z15&lt;&gt;"-",Y15&gt;1),"C",IF(AB15=MAX(AB15:AD15),"2B",IF(AD15=MAX(AB15:AD15),"SS",IF(OR(AC15=MAX(AA15:AD15),AND(AC15&lt;&gt;"-",AC15&gt;4,V15&gt;5)),"3B",IF(AF15=MAX(AE15:AG15),"CF",IF(AND(AG15=MAX(AE15,AG15),AND(W15&gt;5,AG15&lt;&gt;"-")),"RF",IF(AE15&lt;&gt;"-","LF",IF(AA15&lt;&gt;"-","1B","DH"))))))))</f>
        <v>CF</v>
      </c>
      <c r="AT15" s="47"/>
      <c r="AU15" s="47"/>
      <c r="AV15" s="47"/>
      <c r="AW15" s="47" t="str">
        <f>IF(AND($Q15&gt;=6,AVERAGE($S15:$T15)&gt;=6),"Likely",IF(OR($Q15&gt;6,AND($Q15=6,AVERAGE($S15:$T15)&gt;=3),AND($Q15&gt;=5,AVERAGE($S15:$T15)&gt;=5),AVERAGE($Q15,$S15:$T15)&gt;5),"Possible","Unlikely"))</f>
        <v>Possible</v>
      </c>
      <c r="AX15" s="47"/>
      <c r="AY15" s="47" t="str">
        <f>INDEX(Table5[[#All],[Ovr]],MATCH(Batters[[#This Row],[PID]],Table5[[#All],[PID]],0))</f>
        <v/>
      </c>
      <c r="AZ15" s="47" t="str">
        <f>INDEX(Table5[[#All],[Rnd]],MATCH(Batters[[#This Row],[PID]],Table5[[#All],[PID]],0))</f>
        <v/>
      </c>
      <c r="BA15" s="47" t="str">
        <f>INDEX(Table5[[#All],[Pick]],MATCH(Batters[[#This Row],[PID]],Table5[[#All],[PID]],0))</f>
        <v/>
      </c>
      <c r="BB15" s="47" t="str">
        <f>INDEX(Table5[[#All],[Team]],MATCH(Batters[[#This Row],[PID]],Table5[[#All],[PID]],0))</f>
        <v/>
      </c>
    </row>
    <row r="16" spans="1:54" ht="15" customHeight="1" x14ac:dyDescent="0.25">
      <c r="A16" s="42">
        <v>9981</v>
      </c>
      <c r="B16" s="42" t="s">
        <v>71</v>
      </c>
      <c r="C16" s="42" t="s">
        <v>929</v>
      </c>
      <c r="D16" s="42" t="s">
        <v>1035</v>
      </c>
      <c r="E16" s="42">
        <v>21</v>
      </c>
      <c r="F16" s="42" t="s">
        <v>42</v>
      </c>
      <c r="G16" s="42" t="s">
        <v>42</v>
      </c>
      <c r="H16" s="43" t="s">
        <v>702</v>
      </c>
      <c r="I16" s="44" t="s">
        <v>43</v>
      </c>
      <c r="J16" s="42" t="s">
        <v>44</v>
      </c>
      <c r="K16" s="43" t="s">
        <v>44</v>
      </c>
      <c r="L16" s="42">
        <v>3</v>
      </c>
      <c r="M16" s="42">
        <v>3</v>
      </c>
      <c r="N16" s="42">
        <v>3</v>
      </c>
      <c r="O16" s="42">
        <v>3</v>
      </c>
      <c r="P16" s="43">
        <v>4</v>
      </c>
      <c r="Q16" s="42">
        <v>6</v>
      </c>
      <c r="R16" s="42">
        <v>6</v>
      </c>
      <c r="S16" s="42">
        <v>5</v>
      </c>
      <c r="T16" s="42">
        <v>5</v>
      </c>
      <c r="U16" s="43">
        <v>7</v>
      </c>
      <c r="V16" s="42">
        <v>7</v>
      </c>
      <c r="W16" s="42">
        <v>6</v>
      </c>
      <c r="X16" s="42">
        <v>1</v>
      </c>
      <c r="Y16" s="43">
        <v>1</v>
      </c>
      <c r="Z16" s="42" t="s">
        <v>45</v>
      </c>
      <c r="AA16" s="42">
        <v>4</v>
      </c>
      <c r="AB16" s="42">
        <v>5</v>
      </c>
      <c r="AC16" s="42" t="s">
        <v>45</v>
      </c>
      <c r="AD16" s="42" t="s">
        <v>45</v>
      </c>
      <c r="AE16" s="42" t="s">
        <v>45</v>
      </c>
      <c r="AF16" s="42" t="s">
        <v>45</v>
      </c>
      <c r="AG16" s="43" t="s">
        <v>45</v>
      </c>
      <c r="AH16" s="42">
        <v>6</v>
      </c>
      <c r="AI16" s="42">
        <v>2</v>
      </c>
      <c r="AJ16" s="43">
        <v>2</v>
      </c>
      <c r="AK16" s="45" t="s">
        <v>442</v>
      </c>
      <c r="AL16" s="45" t="s">
        <v>47</v>
      </c>
      <c r="AM16" s="46">
        <f>($L$3*(L16-$Q$1)/$Q$2+$M$3*(M16-$R$1)/$R$2+$N$3*(N16-$S$1)/$S$2+$O$3*(O16-$T$1)/$T$2+$P$3*(P16-$U$1)/$U$2)/(SUM($L$3:$P$3))</f>
        <v>-0.87152081066660003</v>
      </c>
      <c r="AN16" s="46">
        <f>($L$3*(Q16-$Q$1)/$Q$2+$M$3*(R16-$R$1)/$R$2+$N$3*(S16-$S$1)/$S$2+$O$3*(T16-$T$1)/$T$2+$P$3*(U16-$U$1)/$U$2)/(SUM($L$3:$P$3))</f>
        <v>0.71491744431574988</v>
      </c>
      <c r="AO16" s="47">
        <f>IF(AVERAGE(AH16:AI16)&gt;9,1,0)+IF(AVERAGE(AH16:AI16)&gt;7,1,0)+IF(AH16&gt;7,1,0)+IF(AI16&gt;7,1,0)+IF(AJ16&gt;8,1,0)+IF(AJ16&gt;6,1,0)</f>
        <v>0</v>
      </c>
      <c r="AP16" s="48">
        <f>MIN(2,IF(OR(Z16="-",X16&lt;5),0,1+IF(Y16&gt;7,0.35,IF(Y16&gt;5,0.1,0))+IF(Z16&gt;7,1+IF(X16&gt;7,0.25,0),IF(Z16&gt;4,0.5+IF(X16&gt;7,0.25,0),0+IF(X16&gt;7,0.25))))+IF(AA16="-",0,IF(AA16&gt;9,0.5,IF(AA16&gt;7,0.25,0)))+IF(AB16="-",0,IF(AB16&gt;7,1.1,IF(AB16&gt;4,0.6,0)))+IF(OR(AC16="-",V16&lt;5),0,IF(AC16&gt;7,1+IF(V16&gt;7,0.25,0),IF(AC16&gt;4,0.5+IF(V16&gt;7,0.25,0),0)))+IF(AD16="-",0,IF(AD16&gt;7,1.5,IF(AD16&gt;4,1,0)))+IF(AE16="-",0,IF(AE16&gt;9,0.5,IF(AE16&gt;7,0.25,0)))+IF(AF16="-",0,IF(AF16&gt;7,1.25,IF(AF16&gt;4,0.75,0)))+IF(OR(AG16="-",W16&lt;4),0,IF(AG16&gt;7,1+IF(W16&gt;7,0.15,0),IF(AG16&gt;4,0.5+IF(W16&gt;7,0.15,0),0))))</f>
        <v>0.6</v>
      </c>
      <c r="AQ16" s="46">
        <f>($AM$3*AM16+$AN$3*AN16+$AO$3*AO16+$AP$3*AP16)+$I$3*VLOOKUP(I16,COND!$A$2:$E$7,4,FALSE)+$J$3*VLOOKUP(J16,COND!$A$2:$C$7,2,FALSE)+$K$3*VLOOKUP(K16,COND!$A$2:$C$7,3,FALSE)+IF(AND($B$2&gt;0,$E16&lt;20),$B$2*25,0)</f>
        <v>53.491857250722333</v>
      </c>
      <c r="AR16" s="49">
        <f>STANDARDIZE(AQ16,AVERAGE($AQ$5:$AQ$537),STDEVP($AQ$5:$AQ$537))</f>
        <v>2.3125308041766797</v>
      </c>
      <c r="AS16" s="47" t="str">
        <f>IF(AND(Z16&lt;&gt;"-",Y16&gt;1),"C",IF(AB16=MAX(AB16:AD16),"2B",IF(AD16=MAX(AB16:AD16),"SS",IF(OR(AC16=MAX(AA16:AD16),AND(AC16&lt;&gt;"-",AC16&gt;4,V16&gt;5)),"3B",IF(AF16=MAX(AE16:AG16),"CF",IF(AND(AG16=MAX(AE16,AG16),AND(W16&gt;5,AG16&lt;&gt;"-")),"RF",IF(AE16&lt;&gt;"-","LF",IF(AA16&lt;&gt;"-","1B","DH"))))))))</f>
        <v>2B</v>
      </c>
      <c r="AT16" s="47"/>
      <c r="AU16" s="47"/>
      <c r="AV16" s="47"/>
      <c r="AW16" s="47" t="str">
        <f>IF(AND($Q16&gt;=6,AVERAGE($S16:$T16)&gt;=6),"Likely",IF(OR($Q16&gt;6,AND($Q16=6,AVERAGE($S16:$T16)&gt;=3),AND($Q16&gt;=5,AVERAGE($S16:$T16)&gt;=5),AVERAGE($Q16,$S16:$T16)&gt;5),"Possible","Unlikely"))</f>
        <v>Possible</v>
      </c>
      <c r="AX16" s="47"/>
      <c r="AY16" s="47" t="str">
        <f>INDEX(Table5[[#All],[Ovr]],MATCH(Batters[[#This Row],[PID]],Table5[[#All],[PID]],0))</f>
        <v/>
      </c>
      <c r="AZ16" s="47" t="str">
        <f>INDEX(Table5[[#All],[Rnd]],MATCH(Batters[[#This Row],[PID]],Table5[[#All],[PID]],0))</f>
        <v/>
      </c>
      <c r="BA16" s="47" t="str">
        <f>INDEX(Table5[[#All],[Pick]],MATCH(Batters[[#This Row],[PID]],Table5[[#All],[PID]],0))</f>
        <v/>
      </c>
      <c r="BB16" s="47" t="str">
        <f>INDEX(Table5[[#All],[Team]],MATCH(Batters[[#This Row],[PID]],Table5[[#All],[PID]],0))</f>
        <v/>
      </c>
    </row>
    <row r="17" spans="1:54" ht="15" customHeight="1" x14ac:dyDescent="0.25">
      <c r="A17" s="42">
        <v>11072</v>
      </c>
      <c r="B17" s="42" t="s">
        <v>66</v>
      </c>
      <c r="C17" s="42" t="s">
        <v>594</v>
      </c>
      <c r="D17" s="42" t="s">
        <v>1050</v>
      </c>
      <c r="E17" s="42">
        <v>18</v>
      </c>
      <c r="F17" s="42" t="s">
        <v>53</v>
      </c>
      <c r="G17" s="42" t="s">
        <v>53</v>
      </c>
      <c r="H17" s="43" t="s">
        <v>709</v>
      </c>
      <c r="I17" s="44" t="s">
        <v>43</v>
      </c>
      <c r="J17" s="42" t="s">
        <v>43</v>
      </c>
      <c r="K17" s="43" t="s">
        <v>47</v>
      </c>
      <c r="L17" s="42">
        <v>1</v>
      </c>
      <c r="M17" s="42">
        <v>1</v>
      </c>
      <c r="N17" s="42">
        <v>2</v>
      </c>
      <c r="O17" s="42">
        <v>1</v>
      </c>
      <c r="P17" s="43">
        <v>2</v>
      </c>
      <c r="Q17" s="42">
        <v>5</v>
      </c>
      <c r="R17" s="42">
        <v>5</v>
      </c>
      <c r="S17" s="42">
        <v>5</v>
      </c>
      <c r="T17" s="42">
        <v>3</v>
      </c>
      <c r="U17" s="43">
        <v>5</v>
      </c>
      <c r="V17" s="42">
        <v>6</v>
      </c>
      <c r="W17" s="42">
        <v>8</v>
      </c>
      <c r="X17" s="42">
        <v>1</v>
      </c>
      <c r="Y17" s="43">
        <v>1</v>
      </c>
      <c r="Z17" s="42" t="s">
        <v>45</v>
      </c>
      <c r="AA17" s="42" t="s">
        <v>45</v>
      </c>
      <c r="AB17" s="42" t="s">
        <v>45</v>
      </c>
      <c r="AC17" s="42" t="s">
        <v>45</v>
      </c>
      <c r="AD17" s="42" t="s">
        <v>45</v>
      </c>
      <c r="AE17" s="42" t="s">
        <v>45</v>
      </c>
      <c r="AF17" s="42" t="s">
        <v>45</v>
      </c>
      <c r="AG17" s="43">
        <v>1</v>
      </c>
      <c r="AH17" s="42">
        <v>1</v>
      </c>
      <c r="AI17" s="42">
        <v>2</v>
      </c>
      <c r="AJ17" s="43">
        <v>1</v>
      </c>
      <c r="AK17" s="45" t="s">
        <v>611</v>
      </c>
      <c r="AL17" s="45" t="s">
        <v>705</v>
      </c>
      <c r="AM17" s="46">
        <f>($L$3*(L17-$Q$1)/$Q$2+$M$3*(M17-$R$1)/$R$2+$N$3*(N17-$S$1)/$S$2+$O$3*(O17-$T$1)/$T$2+$P$3*(P17-$U$1)/$U$2)/(SUM($L$3:$P$3))</f>
        <v>-1.961265515986587</v>
      </c>
      <c r="AN17" s="46">
        <f>($L$3*(Q17-$Q$1)/$Q$2+$M$3*(R17-$R$1)/$R$2+$N$3*(S17-$S$1)/$S$2+$O$3*(T17-$T$1)/$T$2+$P$3*(U17-$U$1)/$U$2)/(SUM($L$3:$P$3))</f>
        <v>8.1849948841042713E-2</v>
      </c>
      <c r="AO17" s="47">
        <f>IF(AVERAGE(AH17:AI17)&gt;9,1,0)+IF(AVERAGE(AH17:AI17)&gt;7,1,0)+IF(AH17&gt;7,1,0)+IF(AI17&gt;7,1,0)+IF(AJ17&gt;8,1,0)+IF(AJ17&gt;6,1,0)</f>
        <v>0</v>
      </c>
      <c r="AP17" s="48">
        <f>MIN(2,IF(OR(Z17="-",X17&lt;5),0,1+IF(Y17&gt;7,0.35,IF(Y17&gt;5,0.1,0))+IF(Z17&gt;7,1+IF(X17&gt;7,0.25,0),IF(Z17&gt;4,0.5+IF(X17&gt;7,0.25,0),0+IF(X17&gt;7,0.25))))+IF(AA17="-",0,IF(AA17&gt;9,0.5,IF(AA17&gt;7,0.25,0)))+IF(AB17="-",0,IF(AB17&gt;7,1.1,IF(AB17&gt;4,0.6,0)))+IF(OR(AC17="-",V17&lt;5),0,IF(AC17&gt;7,1+IF(V17&gt;7,0.25,0),IF(AC17&gt;4,0.5+IF(V17&gt;7,0.25,0),0)))+IF(AD17="-",0,IF(AD17&gt;7,1.5,IF(AD17&gt;4,1,0)))+IF(AE17="-",0,IF(AE17&gt;9,0.5,IF(AE17&gt;7,0.25,0)))+IF(AF17="-",0,IF(AF17&gt;7,1.25,IF(AF17&gt;4,0.75,0)))+IF(OR(AG17="-",W17&lt;4),0,IF(AG17&gt;7,1+IF(W17&gt;7,0.15,0),IF(AG17&gt;4,0.5+IF(W17&gt;7,0.15,0),0))))</f>
        <v>0</v>
      </c>
      <c r="AQ17" s="46">
        <f>($AM$3*AM17+$AN$3*AN17+$AO$3*AO17+$AP$3*AP17)+$I$3*VLOOKUP(I17,COND!$A$2:$E$7,4,FALSE)+$J$3*VLOOKUP(J17,COND!$A$2:$C$7,2,FALSE)+$K$3*VLOOKUP(K17,COND!$A$2:$C$7,3,FALSE)+IF(AND($B$2&gt;0,$E17&lt;20),$B$2*25,0)</f>
        <v>51.086072834493855</v>
      </c>
      <c r="AR17" s="49">
        <f>STANDARDIZE(AQ17,AVERAGE($AQ$5:$AQ$537),STDEVP($AQ$5:$AQ$537))</f>
        <v>1.8892490257143704</v>
      </c>
      <c r="AS17" s="47" t="str">
        <f>IF(AND(Z17&lt;&gt;"-",Y17&gt;1),"C",IF(AB17=MAX(AB17:AD17),"2B",IF(AD17=MAX(AB17:AD17),"SS",IF(OR(AC17=MAX(AA17:AD17),AND(AC17&lt;&gt;"-",AC17&gt;4,V17&gt;5)),"3B",IF(AF17=MAX(AE17:AG17),"CF",IF(AND(AG17=MAX(AE17,AG17),AND(W17&gt;5,AG17&lt;&gt;"-")),"RF",IF(AE17&lt;&gt;"-","LF",IF(AA17&lt;&gt;"-","1B","DH"))))))))</f>
        <v>RF</v>
      </c>
      <c r="AT17" s="47"/>
      <c r="AU17" s="47"/>
      <c r="AV17" s="47"/>
      <c r="AW17" s="47" t="str">
        <f>IF(AND($Q17&gt;=6,AVERAGE($S17:$T17)&gt;=6),"Likely",IF(OR($Q17&gt;6,AND($Q17=6,AVERAGE($S17:$T17)&gt;=3),AND($Q17&gt;=5,AVERAGE($S17:$T17)&gt;=5),AVERAGE($Q17,$S17:$T17)&gt;5),"Possible","Unlikely"))</f>
        <v>Unlikely</v>
      </c>
      <c r="AX17" s="47"/>
      <c r="AY17" s="47" t="str">
        <f>INDEX(Table5[[#All],[Ovr]],MATCH(Batters[[#This Row],[PID]],Table5[[#All],[PID]],0))</f>
        <v/>
      </c>
      <c r="AZ17" s="47" t="str">
        <f>INDEX(Table5[[#All],[Rnd]],MATCH(Batters[[#This Row],[PID]],Table5[[#All],[PID]],0))</f>
        <v/>
      </c>
      <c r="BA17" s="47" t="str">
        <f>INDEX(Table5[[#All],[Pick]],MATCH(Batters[[#This Row],[PID]],Table5[[#All],[PID]],0))</f>
        <v/>
      </c>
      <c r="BB17" s="47" t="str">
        <f>INDEX(Table5[[#All],[Team]],MATCH(Batters[[#This Row],[PID]],Table5[[#All],[PID]],0))</f>
        <v/>
      </c>
    </row>
    <row r="18" spans="1:54" ht="15" customHeight="1" x14ac:dyDescent="0.25">
      <c r="A18" s="42">
        <v>9283</v>
      </c>
      <c r="B18" s="42" t="s">
        <v>71</v>
      </c>
      <c r="C18" s="42" t="s">
        <v>159</v>
      </c>
      <c r="D18" s="42" t="s">
        <v>1029</v>
      </c>
      <c r="E18" s="42">
        <v>21</v>
      </c>
      <c r="F18" s="42" t="s">
        <v>42</v>
      </c>
      <c r="G18" s="42" t="s">
        <v>42</v>
      </c>
      <c r="H18" s="43" t="s">
        <v>702</v>
      </c>
      <c r="I18" s="44" t="s">
        <v>43</v>
      </c>
      <c r="J18" s="42" t="s">
        <v>43</v>
      </c>
      <c r="K18" s="43" t="s">
        <v>43</v>
      </c>
      <c r="L18" s="42">
        <v>3</v>
      </c>
      <c r="M18" s="42">
        <v>3</v>
      </c>
      <c r="N18" s="42">
        <v>2</v>
      </c>
      <c r="O18" s="42">
        <v>2</v>
      </c>
      <c r="P18" s="43">
        <v>4</v>
      </c>
      <c r="Q18" s="42">
        <v>6</v>
      </c>
      <c r="R18" s="42">
        <v>6</v>
      </c>
      <c r="S18" s="42">
        <v>3</v>
      </c>
      <c r="T18" s="42">
        <v>4</v>
      </c>
      <c r="U18" s="43">
        <v>6</v>
      </c>
      <c r="V18" s="42">
        <v>8</v>
      </c>
      <c r="W18" s="42">
        <v>8</v>
      </c>
      <c r="X18" s="42">
        <v>1</v>
      </c>
      <c r="Y18" s="43">
        <v>1</v>
      </c>
      <c r="Z18" s="42" t="s">
        <v>45</v>
      </c>
      <c r="AA18" s="42" t="s">
        <v>45</v>
      </c>
      <c r="AB18" s="42">
        <v>7</v>
      </c>
      <c r="AC18" s="42">
        <v>2</v>
      </c>
      <c r="AD18" s="42">
        <v>5</v>
      </c>
      <c r="AE18" s="42" t="s">
        <v>45</v>
      </c>
      <c r="AF18" s="42" t="s">
        <v>45</v>
      </c>
      <c r="AG18" s="43" t="s">
        <v>45</v>
      </c>
      <c r="AH18" s="42">
        <v>8</v>
      </c>
      <c r="AI18" s="42">
        <v>5</v>
      </c>
      <c r="AJ18" s="43">
        <v>6</v>
      </c>
      <c r="AK18" s="45" t="s">
        <v>1030</v>
      </c>
      <c r="AL18" s="45" t="s">
        <v>705</v>
      </c>
      <c r="AM18" s="46">
        <f>($L$3*(L18-$Q$1)/$Q$2+$M$3*(M18-$R$1)/$R$2+$N$3*(N18-$S$1)/$S$2+$O$3*(O18-$T$1)/$T$2+$P$3*(P18-$U$1)/$U$2)/(SUM($L$3:$P$3))</f>
        <v>-1.0442918547000826</v>
      </c>
      <c r="AN18" s="46">
        <f>($L$3*(Q18-$Q$1)/$Q$2+$M$3*(R18-$R$1)/$R$2+$N$3*(S18-$S$1)/$S$2+$O$3*(T18-$T$1)/$T$2+$P$3*(U18-$U$1)/$U$2)/(SUM($L$3:$P$3))</f>
        <v>0.41906856644128254</v>
      </c>
      <c r="AO18" s="47">
        <f>IF(AVERAGE(AH18:AI18)&gt;9,1,0)+IF(AVERAGE(AH18:AI18)&gt;7,1,0)+IF(AH18&gt;7,1,0)+IF(AI18&gt;7,1,0)+IF(AJ18&gt;8,1,0)+IF(AJ18&gt;6,1,0)</f>
        <v>1</v>
      </c>
      <c r="AP18" s="48">
        <f>MIN(2,IF(OR(Z18="-",X18&lt;5),0,1+IF(Y18&gt;7,0.35,IF(Y18&gt;5,0.1,0))+IF(Z18&gt;7,1+IF(X18&gt;7,0.25,0),IF(Z18&gt;4,0.5+IF(X18&gt;7,0.25,0),0+IF(X18&gt;7,0.25))))+IF(AA18="-",0,IF(AA18&gt;9,0.5,IF(AA18&gt;7,0.25,0)))+IF(AB18="-",0,IF(AB18&gt;7,1.1,IF(AB18&gt;4,0.6,0)))+IF(OR(AC18="-",V18&lt;5),0,IF(AC18&gt;7,1+IF(V18&gt;7,0.25,0),IF(AC18&gt;4,0.5+IF(V18&gt;7,0.25,0),0)))+IF(AD18="-",0,IF(AD18&gt;7,1.5,IF(AD18&gt;4,1,0)))+IF(AE18="-",0,IF(AE18&gt;9,0.5,IF(AE18&gt;7,0.25,0)))+IF(AF18="-",0,IF(AF18&gt;7,1.25,IF(AF18&gt;4,0.75,0)))+IF(OR(AG18="-",W18&lt;4),0,IF(AG18&gt;7,1+IF(W18&gt;7,0.15,0),IF(AG18&gt;4,0.5+IF(W18&gt;7,0.15,0),0))))</f>
        <v>1.6</v>
      </c>
      <c r="AQ18" s="46">
        <f>($AM$3*AM18+$AN$3*AN18+$AO$3*AO18+$AP$3*AP18)+$I$3*VLOOKUP(I18,COND!$A$2:$E$7,4,FALSE)+$J$3*VLOOKUP(J18,COND!$A$2:$C$7,2,FALSE)+$K$3*VLOOKUP(K18,COND!$A$2:$C$7,3,FALSE)+IF(AND($B$2&gt;0,$E18&lt;20),$B$2*25,0)</f>
        <v>51.691060278492046</v>
      </c>
      <c r="AR18" s="49">
        <f>STANDARDIZE(AQ18,AVERAGE($AQ$5:$AQ$537),STDEVP($AQ$5:$AQ$537))</f>
        <v>1.9956925455557597</v>
      </c>
      <c r="AS18" s="47" t="str">
        <f>IF(AND(Z18&lt;&gt;"-",Y18&gt;1),"C",IF(AB18=MAX(AB18:AD18),"2B",IF(AD18=MAX(AB18:AD18),"SS",IF(OR(AC18=MAX(AA18:AD18),AND(AC18&lt;&gt;"-",AC18&gt;4,V18&gt;5)),"3B",IF(AF18=MAX(AE18:AG18),"CF",IF(AND(AG18=MAX(AE18,AG18),AND(W18&gt;5,AG18&lt;&gt;"-")),"RF",IF(AE18&lt;&gt;"-","LF",IF(AA18&lt;&gt;"-","1B","DH"))))))))</f>
        <v>2B</v>
      </c>
      <c r="AT18" s="47"/>
      <c r="AU18" s="47"/>
      <c r="AV18" s="47"/>
      <c r="AW18" s="47" t="str">
        <f>IF(AND($Q18&gt;=6,AVERAGE($S18:$T18)&gt;=6),"Likely",IF(OR($Q18&gt;6,AND($Q18=6,AVERAGE($S18:$T18)&gt;=3),AND($Q18&gt;=5,AVERAGE($S18:$T18)&gt;=5),AVERAGE($Q18,$S18:$T18)&gt;5),"Possible","Unlikely"))</f>
        <v>Possible</v>
      </c>
      <c r="AX18" s="47"/>
      <c r="AY18" s="47" t="str">
        <f>INDEX(Table5[[#All],[Ovr]],MATCH(Batters[[#This Row],[PID]],Table5[[#All],[PID]],0))</f>
        <v/>
      </c>
      <c r="AZ18" s="47" t="str">
        <f>INDEX(Table5[[#All],[Rnd]],MATCH(Batters[[#This Row],[PID]],Table5[[#All],[PID]],0))</f>
        <v/>
      </c>
      <c r="BA18" s="47" t="str">
        <f>INDEX(Table5[[#All],[Pick]],MATCH(Batters[[#This Row],[PID]],Table5[[#All],[PID]],0))</f>
        <v/>
      </c>
      <c r="BB18" s="47" t="str">
        <f>INDEX(Table5[[#All],[Team]],MATCH(Batters[[#This Row],[PID]],Table5[[#All],[PID]],0))</f>
        <v/>
      </c>
    </row>
    <row r="19" spans="1:54" ht="15" customHeight="1" x14ac:dyDescent="0.25">
      <c r="A19" s="42">
        <v>14101</v>
      </c>
      <c r="B19" s="42" t="s">
        <v>86</v>
      </c>
      <c r="C19" s="42" t="s">
        <v>995</v>
      </c>
      <c r="D19" s="42" t="s">
        <v>336</v>
      </c>
      <c r="E19" s="42">
        <v>18</v>
      </c>
      <c r="F19" s="42" t="s">
        <v>42</v>
      </c>
      <c r="G19" s="42" t="s">
        <v>42</v>
      </c>
      <c r="H19" s="43" t="s">
        <v>709</v>
      </c>
      <c r="I19" s="44" t="s">
        <v>47</v>
      </c>
      <c r="J19" s="42" t="s">
        <v>47</v>
      </c>
      <c r="K19" s="43" t="s">
        <v>43</v>
      </c>
      <c r="L19" s="42">
        <v>1</v>
      </c>
      <c r="M19" s="42">
        <v>1</v>
      </c>
      <c r="N19" s="42">
        <v>2</v>
      </c>
      <c r="O19" s="42">
        <v>2</v>
      </c>
      <c r="P19" s="43">
        <v>1</v>
      </c>
      <c r="Q19" s="42">
        <v>2</v>
      </c>
      <c r="R19" s="42">
        <v>3</v>
      </c>
      <c r="S19" s="42">
        <v>4</v>
      </c>
      <c r="T19" s="42">
        <v>5</v>
      </c>
      <c r="U19" s="43">
        <v>2</v>
      </c>
      <c r="V19" s="42">
        <v>4</v>
      </c>
      <c r="W19" s="42">
        <v>3</v>
      </c>
      <c r="X19" s="42">
        <v>5</v>
      </c>
      <c r="Y19" s="43">
        <v>8</v>
      </c>
      <c r="Z19" s="42">
        <v>2</v>
      </c>
      <c r="AA19" s="42" t="s">
        <v>45</v>
      </c>
      <c r="AB19" s="42" t="s">
        <v>45</v>
      </c>
      <c r="AC19" s="42" t="s">
        <v>45</v>
      </c>
      <c r="AD19" s="42" t="s">
        <v>45</v>
      </c>
      <c r="AE19" s="42" t="s">
        <v>45</v>
      </c>
      <c r="AF19" s="42" t="s">
        <v>45</v>
      </c>
      <c r="AG19" s="43" t="s">
        <v>45</v>
      </c>
      <c r="AH19" s="42">
        <v>1</v>
      </c>
      <c r="AI19" s="42">
        <v>1</v>
      </c>
      <c r="AJ19" s="43">
        <v>1</v>
      </c>
      <c r="AK19" s="45" t="s">
        <v>718</v>
      </c>
      <c r="AL19" s="45" t="s">
        <v>47</v>
      </c>
      <c r="AM19" s="46"/>
      <c r="AN19" s="46"/>
      <c r="AO19" s="47"/>
      <c r="AP19" s="48"/>
      <c r="AQ19" s="46">
        <f>($AM$3*AM19+$AN$3*AN19+$AO$3*AO19+$AP$3*AP19)+$I$3*VLOOKUP(I19,COND!$A$2:$E$7,4,FALSE)+$J$3*VLOOKUP(J19,COND!$A$2:$C$7,2,FALSE)+$K$3*VLOOKUP(K19,COND!$A$2:$C$7,3,FALSE)+IF(AND($B$2&gt;0,$E19&lt;20),$B$2*25,0)</f>
        <v>50.524999999999999</v>
      </c>
      <c r="AR19" s="49">
        <f>STANDARDIZE(AQ19,AVERAGE($AQ$5:$AQ$537),STDEVP($AQ$5:$AQ$537))</f>
        <v>1.7905319895454512</v>
      </c>
      <c r="AS19" s="47"/>
      <c r="AT19" s="47"/>
      <c r="AU19" s="47"/>
      <c r="AV19" s="47"/>
      <c r="AW19" s="47" t="str">
        <f>IF(AND($Q19&gt;=6,AVERAGE($S19:$T19)&gt;=6),"Likely",IF(OR($Q19&gt;6,AND($Q19=6,AVERAGE($S19:$T19)&gt;=3),AND($Q19&gt;=5,AVERAGE($S19:$T19)&gt;=5),AVERAGE($Q19,$S19:$T19)&gt;5),"Possible","Unlikely"))</f>
        <v>Unlikely</v>
      </c>
      <c r="AX19" s="47"/>
      <c r="AY19" s="47" t="str">
        <f>INDEX(Table5[[#All],[Ovr]],MATCH(Batters[[#This Row],[PID]],Table5[[#All],[PID]],0))</f>
        <v/>
      </c>
      <c r="AZ19" s="47" t="str">
        <f>INDEX(Table5[[#All],[Rnd]],MATCH(Batters[[#This Row],[PID]],Table5[[#All],[PID]],0))</f>
        <v/>
      </c>
      <c r="BA19" s="47" t="str">
        <f>INDEX(Table5[[#All],[Pick]],MATCH(Batters[[#This Row],[PID]],Table5[[#All],[PID]],0))</f>
        <v/>
      </c>
      <c r="BB19" s="47" t="str">
        <f>INDEX(Table5[[#All],[Team]],MATCH(Batters[[#This Row],[PID]],Table5[[#All],[PID]],0))</f>
        <v/>
      </c>
    </row>
    <row r="20" spans="1:54" ht="15" customHeight="1" x14ac:dyDescent="0.25">
      <c r="A20" s="42">
        <v>12831</v>
      </c>
      <c r="B20" s="42" t="s">
        <v>50</v>
      </c>
      <c r="C20" s="42" t="s">
        <v>893</v>
      </c>
      <c r="D20" s="42" t="s">
        <v>153</v>
      </c>
      <c r="E20" s="42">
        <v>18</v>
      </c>
      <c r="F20" s="42" t="s">
        <v>62</v>
      </c>
      <c r="G20" s="42" t="s">
        <v>42</v>
      </c>
      <c r="H20" s="43" t="s">
        <v>709</v>
      </c>
      <c r="I20" s="44" t="s">
        <v>47</v>
      </c>
      <c r="J20" s="42" t="s">
        <v>47</v>
      </c>
      <c r="K20" s="43" t="s">
        <v>43</v>
      </c>
      <c r="L20" s="42">
        <v>1</v>
      </c>
      <c r="M20" s="42">
        <v>1</v>
      </c>
      <c r="N20" s="42">
        <v>2</v>
      </c>
      <c r="O20" s="42">
        <v>1</v>
      </c>
      <c r="P20" s="43">
        <v>1</v>
      </c>
      <c r="Q20" s="42">
        <v>2</v>
      </c>
      <c r="R20" s="42">
        <v>3</v>
      </c>
      <c r="S20" s="42">
        <v>7</v>
      </c>
      <c r="T20" s="42">
        <v>4</v>
      </c>
      <c r="U20" s="43">
        <v>2</v>
      </c>
      <c r="V20" s="42">
        <v>2</v>
      </c>
      <c r="W20" s="42">
        <v>5</v>
      </c>
      <c r="X20" s="42">
        <v>1</v>
      </c>
      <c r="Y20" s="43">
        <v>1</v>
      </c>
      <c r="Z20" s="42" t="s">
        <v>45</v>
      </c>
      <c r="AA20" s="42" t="s">
        <v>45</v>
      </c>
      <c r="AB20" s="42" t="s">
        <v>45</v>
      </c>
      <c r="AC20" s="42" t="s">
        <v>45</v>
      </c>
      <c r="AD20" s="42" t="s">
        <v>45</v>
      </c>
      <c r="AE20" s="42">
        <v>3</v>
      </c>
      <c r="AF20" s="42" t="s">
        <v>45</v>
      </c>
      <c r="AG20" s="43" t="s">
        <v>45</v>
      </c>
      <c r="AH20" s="42">
        <v>2</v>
      </c>
      <c r="AI20" s="42">
        <v>6</v>
      </c>
      <c r="AJ20" s="43">
        <v>5</v>
      </c>
      <c r="AK20" s="45" t="s">
        <v>602</v>
      </c>
      <c r="AL20" s="45" t="s">
        <v>47</v>
      </c>
      <c r="AM20" s="46"/>
      <c r="AN20" s="46"/>
      <c r="AO20" s="47"/>
      <c r="AP20" s="48"/>
      <c r="AQ20" s="46">
        <f>($AM$3*AM20+$AN$3*AN20+$AO$3*AO20+$AP$3*AP20)+$I$3*VLOOKUP(I20,COND!$A$2:$E$7,4,FALSE)+$J$3*VLOOKUP(J20,COND!$A$2:$C$7,2,FALSE)+$K$3*VLOOKUP(K20,COND!$A$2:$C$7,3,FALSE)+IF(AND($B$2&gt;0,$E20&lt;20),$B$2*25,0)</f>
        <v>50.524999999999999</v>
      </c>
      <c r="AR20" s="49">
        <f>STANDARDIZE(AQ20,AVERAGE($AQ$5:$AQ$537),STDEVP($AQ$5:$AQ$537))</f>
        <v>1.7905319895454512</v>
      </c>
      <c r="AS20" s="47"/>
      <c r="AT20" s="47"/>
      <c r="AU20" s="47"/>
      <c r="AV20" s="47"/>
      <c r="AW20" s="47" t="str">
        <f>IF(AND($Q20&gt;=6,AVERAGE($S20:$T20)&gt;=6),"Likely",IF(OR($Q20&gt;6,AND($Q20=6,AVERAGE($S20:$T20)&gt;=3),AND($Q20&gt;=5,AVERAGE($S20:$T20)&gt;=5),AVERAGE($Q20,$S20:$T20)&gt;5),"Possible","Unlikely"))</f>
        <v>Unlikely</v>
      </c>
      <c r="AX20" s="47"/>
      <c r="AY20" s="47" t="str">
        <f>INDEX(Table5[[#All],[Ovr]],MATCH(Batters[[#This Row],[PID]],Table5[[#All],[PID]],0))</f>
        <v/>
      </c>
      <c r="AZ20" s="47" t="str">
        <f>INDEX(Table5[[#All],[Rnd]],MATCH(Batters[[#This Row],[PID]],Table5[[#All],[PID]],0))</f>
        <v/>
      </c>
      <c r="BA20" s="47" t="str">
        <f>INDEX(Table5[[#All],[Pick]],MATCH(Batters[[#This Row],[PID]],Table5[[#All],[PID]],0))</f>
        <v/>
      </c>
      <c r="BB20" s="47" t="str">
        <f>INDEX(Table5[[#All],[Team]],MATCH(Batters[[#This Row],[PID]],Table5[[#All],[PID]],0))</f>
        <v/>
      </c>
    </row>
    <row r="21" spans="1:54" ht="15" customHeight="1" x14ac:dyDescent="0.25">
      <c r="A21" s="42">
        <v>9478</v>
      </c>
      <c r="B21" s="42" t="s">
        <v>50</v>
      </c>
      <c r="C21" s="42" t="s">
        <v>946</v>
      </c>
      <c r="D21" s="42" t="s">
        <v>1112</v>
      </c>
      <c r="E21" s="42">
        <v>18</v>
      </c>
      <c r="F21" s="42" t="s">
        <v>53</v>
      </c>
      <c r="G21" s="42" t="s">
        <v>53</v>
      </c>
      <c r="H21" s="43" t="s">
        <v>703</v>
      </c>
      <c r="I21" s="44" t="s">
        <v>43</v>
      </c>
      <c r="J21" s="42" t="s">
        <v>47</v>
      </c>
      <c r="K21" s="43" t="s">
        <v>43</v>
      </c>
      <c r="L21" s="42">
        <v>2</v>
      </c>
      <c r="M21" s="42">
        <v>1</v>
      </c>
      <c r="N21" s="42">
        <v>2</v>
      </c>
      <c r="O21" s="42">
        <v>3</v>
      </c>
      <c r="P21" s="43">
        <v>2</v>
      </c>
      <c r="Q21" s="42">
        <v>4</v>
      </c>
      <c r="R21" s="42">
        <v>4</v>
      </c>
      <c r="S21" s="42">
        <v>5</v>
      </c>
      <c r="T21" s="42">
        <v>7</v>
      </c>
      <c r="U21" s="43">
        <v>4</v>
      </c>
      <c r="V21" s="42">
        <v>4</v>
      </c>
      <c r="W21" s="42">
        <v>6</v>
      </c>
      <c r="X21" s="42">
        <v>1</v>
      </c>
      <c r="Y21" s="43">
        <v>1</v>
      </c>
      <c r="Z21" s="42" t="s">
        <v>45</v>
      </c>
      <c r="AA21" s="42" t="s">
        <v>45</v>
      </c>
      <c r="AB21" s="42" t="s">
        <v>45</v>
      </c>
      <c r="AC21" s="42" t="s">
        <v>45</v>
      </c>
      <c r="AD21" s="42" t="s">
        <v>45</v>
      </c>
      <c r="AE21" s="42">
        <v>5</v>
      </c>
      <c r="AF21" s="42" t="s">
        <v>45</v>
      </c>
      <c r="AG21" s="43">
        <v>2</v>
      </c>
      <c r="AH21" s="42">
        <v>2</v>
      </c>
      <c r="AI21" s="42">
        <v>4</v>
      </c>
      <c r="AJ21" s="43">
        <v>6</v>
      </c>
      <c r="AK21" s="45" t="s">
        <v>438</v>
      </c>
      <c r="AL21" s="45" t="s">
        <v>47</v>
      </c>
      <c r="AM21" s="46">
        <f>($L$3*(L21-$Q$1)/$Q$2+$M$3*(M21-$R$1)/$R$2+$N$3*(N21-$S$1)/$S$2+$O$3*(O21-$T$1)/$T$2+$P$3*(P21-$U$1)/$U$2)/(SUM($L$3:$P$3))</f>
        <v>-1.4592905797647502</v>
      </c>
      <c r="AN21" s="46">
        <f>($L$3*(Q21-$Q$1)/$Q$2+$M$3*(R21-$R$1)/$R$2+$N$3*(S21-$S$1)/$S$2+$O$3*(T21-$T$1)/$T$2+$P$3*(U21-$U$1)/$U$2)/(SUM($L$3:$P$3))</f>
        <v>2.7056093240905198E-2</v>
      </c>
      <c r="AO21" s="47">
        <f>IF(AVERAGE(AH21:AI21)&gt;9,1,0)+IF(AVERAGE(AH21:AI21)&gt;7,1,0)+IF(AH21&gt;7,1,0)+IF(AI21&gt;7,1,0)+IF(AJ21&gt;8,1,0)+IF(AJ21&gt;6,1,0)</f>
        <v>0</v>
      </c>
      <c r="AP21" s="48">
        <f>MIN(2,IF(OR(Z21="-",X21&lt;5),0,1+IF(Y21&gt;7,0.35,IF(Y21&gt;5,0.1,0))+IF(Z21&gt;7,1+IF(X21&gt;7,0.25,0),IF(Z21&gt;4,0.5+IF(X21&gt;7,0.25,0),0+IF(X21&gt;7,0.25))))+IF(AA21="-",0,IF(AA21&gt;9,0.5,IF(AA21&gt;7,0.25,0)))+IF(AB21="-",0,IF(AB21&gt;7,1.1,IF(AB21&gt;4,0.6,0)))+IF(OR(AC21="-",V21&lt;5),0,IF(AC21&gt;7,1+IF(V21&gt;7,0.25,0),IF(AC21&gt;4,0.5+IF(V21&gt;7,0.25,0),0)))+IF(AD21="-",0,IF(AD21&gt;7,1.5,IF(AD21&gt;4,1,0)))+IF(AE21="-",0,IF(AE21&gt;9,0.5,IF(AE21&gt;7,0.25,0)))+IF(AF21="-",0,IF(AF21&gt;7,1.25,IF(AF21&gt;4,0.75,0)))+IF(OR(AG21="-",W21&lt;4),0,IF(AG21&gt;7,1+IF(W21&gt;7,0.15,0),IF(AG21&gt;4,0.5+IF(W21&gt;7,0.15,0),0))))</f>
        <v>0</v>
      </c>
      <c r="AQ21" s="46">
        <f>($AM$3*AM21+$AN$3*AN21+$AO$3*AO21+$AP$3*AP21)+$I$3*VLOOKUP(I21,COND!$A$2:$E$7,4,FALSE)+$J$3*VLOOKUP(J21,COND!$A$2:$C$7,2,FALSE)+$K$3*VLOOKUP(K21,COND!$A$2:$C$7,3,FALSE)+IF(AND($B$2&gt;0,$E21&lt;20),$B$2*25,0)</f>
        <v>50.478744060914387</v>
      </c>
      <c r="AR21" s="49">
        <f>STANDARDIZE(AQ21,AVERAGE($AQ$5:$AQ$537),STDEVP($AQ$5:$AQ$537))</f>
        <v>1.7823935644943423</v>
      </c>
      <c r="AS21" s="47" t="str">
        <f>IF(AND(Z21&lt;&gt;"-",Y21&gt;1),"C",IF(AB21=MAX(AB21:AD21),"2B",IF(AD21=MAX(AB21:AD21),"SS",IF(OR(AC21=MAX(AA21:AD21),AND(AC21&lt;&gt;"-",AC21&gt;4,V21&gt;5)),"3B",IF(AF21=MAX(AE21:AG21),"CF",IF(AND(AG21=MAX(AE21,AG21),AND(W21&gt;5,AG21&lt;&gt;"-")),"RF",IF(AE21&lt;&gt;"-","LF",IF(AA21&lt;&gt;"-","1B","DH"))))))))</f>
        <v>LF</v>
      </c>
      <c r="AT21" s="47"/>
      <c r="AU21" s="47"/>
      <c r="AV21" s="47"/>
      <c r="AW21" s="47" t="str">
        <f>IF(AND($Q21&gt;=6,AVERAGE($S21:$T21)&gt;=6),"Likely",IF(OR($Q21&gt;6,AND($Q21=6,AVERAGE($S21:$T21)&gt;=3),AND($Q21&gt;=5,AVERAGE($S21:$T21)&gt;=5),AVERAGE($Q21,$S21:$T21)&gt;5),"Possible","Unlikely"))</f>
        <v>Possible</v>
      </c>
      <c r="AX21" s="47"/>
      <c r="AY21" s="47" t="str">
        <f>INDEX(Table5[[#All],[Ovr]],MATCH(Batters[[#This Row],[PID]],Table5[[#All],[PID]],0))</f>
        <v/>
      </c>
      <c r="AZ21" s="47" t="str">
        <f>INDEX(Table5[[#All],[Rnd]],MATCH(Batters[[#This Row],[PID]],Table5[[#All],[PID]],0))</f>
        <v/>
      </c>
      <c r="BA21" s="47" t="str">
        <f>INDEX(Table5[[#All],[Pick]],MATCH(Batters[[#This Row],[PID]],Table5[[#All],[PID]],0))</f>
        <v/>
      </c>
      <c r="BB21" s="47" t="str">
        <f>INDEX(Table5[[#All],[Team]],MATCH(Batters[[#This Row],[PID]],Table5[[#All],[PID]],0))</f>
        <v/>
      </c>
    </row>
    <row r="22" spans="1:54" ht="15" customHeight="1" x14ac:dyDescent="0.25">
      <c r="A22" s="42">
        <v>9111</v>
      </c>
      <c r="B22" s="42" t="s">
        <v>86</v>
      </c>
      <c r="C22" s="42" t="s">
        <v>291</v>
      </c>
      <c r="D22" s="42" t="s">
        <v>744</v>
      </c>
      <c r="E22" s="42">
        <v>18</v>
      </c>
      <c r="F22" s="42" t="s">
        <v>42</v>
      </c>
      <c r="G22" s="42" t="s">
        <v>42</v>
      </c>
      <c r="H22" s="43" t="s">
        <v>709</v>
      </c>
      <c r="I22" s="44" t="s">
        <v>43</v>
      </c>
      <c r="J22" s="42" t="s">
        <v>47</v>
      </c>
      <c r="K22" s="43" t="s">
        <v>43</v>
      </c>
      <c r="L22" s="42">
        <v>1</v>
      </c>
      <c r="M22" s="42">
        <v>1</v>
      </c>
      <c r="N22" s="42">
        <v>3</v>
      </c>
      <c r="O22" s="42">
        <v>1</v>
      </c>
      <c r="P22" s="43">
        <v>1</v>
      </c>
      <c r="Q22" s="42">
        <v>2</v>
      </c>
      <c r="R22" s="42">
        <v>3</v>
      </c>
      <c r="S22" s="42">
        <v>5</v>
      </c>
      <c r="T22" s="42">
        <v>5</v>
      </c>
      <c r="U22" s="43">
        <v>2</v>
      </c>
      <c r="V22" s="42">
        <v>2</v>
      </c>
      <c r="W22" s="42">
        <v>2</v>
      </c>
      <c r="X22" s="42">
        <v>4</v>
      </c>
      <c r="Y22" s="43">
        <v>6</v>
      </c>
      <c r="Z22" s="42" t="s">
        <v>45</v>
      </c>
      <c r="AA22" s="42" t="s">
        <v>45</v>
      </c>
      <c r="AB22" s="42" t="s">
        <v>45</v>
      </c>
      <c r="AC22" s="42" t="s">
        <v>45</v>
      </c>
      <c r="AD22" s="42" t="s">
        <v>45</v>
      </c>
      <c r="AE22" s="42" t="s">
        <v>45</v>
      </c>
      <c r="AF22" s="42" t="s">
        <v>45</v>
      </c>
      <c r="AG22" s="43" t="s">
        <v>45</v>
      </c>
      <c r="AH22" s="42">
        <v>1</v>
      </c>
      <c r="AI22" s="42">
        <v>1</v>
      </c>
      <c r="AJ22" s="43">
        <v>1</v>
      </c>
      <c r="AK22" s="45" t="s">
        <v>718</v>
      </c>
      <c r="AL22" s="45" t="s">
        <v>47</v>
      </c>
      <c r="AM22" s="46"/>
      <c r="AN22" s="46"/>
      <c r="AO22" s="47"/>
      <c r="AP22" s="48"/>
      <c r="AQ22" s="46">
        <f>($AM$3*AM22+$AN$3*AN22+$AO$3*AO22+$AP$3*AP22)+$I$3*VLOOKUP(I22,COND!$A$2:$E$7,4,FALSE)+$J$3*VLOOKUP(J22,COND!$A$2:$C$7,2,FALSE)+$K$3*VLOOKUP(K22,COND!$A$2:$C$7,3,FALSE)+IF(AND($B$2&gt;0,$E22&lt;20),$B$2*25,0)</f>
        <v>50.3</v>
      </c>
      <c r="AR22" s="49">
        <f>STANDARDIZE(AQ22,AVERAGE($AQ$5:$AQ$537),STDEVP($AQ$5:$AQ$537))</f>
        <v>1.7509447349637111</v>
      </c>
      <c r="AS22" s="47"/>
      <c r="AT22" s="47"/>
      <c r="AU22" s="47"/>
      <c r="AV22" s="47"/>
      <c r="AW22" s="47" t="str">
        <f>IF(AND($Q22&gt;=6,AVERAGE($S22:$T22)&gt;=6),"Likely",IF(OR($Q22&gt;6,AND($Q22=6,AVERAGE($S22:$T22)&gt;=3),AND($Q22&gt;=5,AVERAGE($S22:$T22)&gt;=5),AVERAGE($Q22,$S22:$T22)&gt;5),"Possible","Unlikely"))</f>
        <v>Unlikely</v>
      </c>
      <c r="AX22" s="47"/>
      <c r="AY22" s="47" t="str">
        <f>INDEX(Table5[[#All],[Ovr]],MATCH(Batters[[#This Row],[PID]],Table5[[#All],[PID]],0))</f>
        <v/>
      </c>
      <c r="AZ22" s="47" t="str">
        <f>INDEX(Table5[[#All],[Rnd]],MATCH(Batters[[#This Row],[PID]],Table5[[#All],[PID]],0))</f>
        <v/>
      </c>
      <c r="BA22" s="47" t="str">
        <f>INDEX(Table5[[#All],[Pick]],MATCH(Batters[[#This Row],[PID]],Table5[[#All],[PID]],0))</f>
        <v/>
      </c>
      <c r="BB22" s="47" t="str">
        <f>INDEX(Table5[[#All],[Team]],MATCH(Batters[[#This Row],[PID]],Table5[[#All],[PID]],0))</f>
        <v/>
      </c>
    </row>
    <row r="23" spans="1:54" ht="15" customHeight="1" x14ac:dyDescent="0.25">
      <c r="A23" s="42">
        <v>12805</v>
      </c>
      <c r="B23" s="42" t="s">
        <v>87</v>
      </c>
      <c r="C23" s="42" t="s">
        <v>205</v>
      </c>
      <c r="D23" s="42" t="s">
        <v>166</v>
      </c>
      <c r="E23" s="42">
        <v>18</v>
      </c>
      <c r="F23" s="42" t="s">
        <v>42</v>
      </c>
      <c r="G23" s="42" t="s">
        <v>42</v>
      </c>
      <c r="H23" s="43" t="s">
        <v>711</v>
      </c>
      <c r="I23" s="44" t="s">
        <v>43</v>
      </c>
      <c r="J23" s="42" t="s">
        <v>43</v>
      </c>
      <c r="K23" s="43" t="s">
        <v>47</v>
      </c>
      <c r="L23" s="42">
        <v>1</v>
      </c>
      <c r="M23" s="42">
        <v>1</v>
      </c>
      <c r="N23" s="42">
        <v>2</v>
      </c>
      <c r="O23" s="42">
        <v>1</v>
      </c>
      <c r="P23" s="43">
        <v>1</v>
      </c>
      <c r="Q23" s="42">
        <v>2</v>
      </c>
      <c r="R23" s="42">
        <v>6</v>
      </c>
      <c r="S23" s="42">
        <v>6</v>
      </c>
      <c r="T23" s="42">
        <v>3</v>
      </c>
      <c r="U23" s="43">
        <v>2</v>
      </c>
      <c r="V23" s="42">
        <v>1</v>
      </c>
      <c r="W23" s="42">
        <v>1</v>
      </c>
      <c r="X23" s="42">
        <v>1</v>
      </c>
      <c r="Y23" s="43">
        <v>1</v>
      </c>
      <c r="Z23" s="42" t="s">
        <v>45</v>
      </c>
      <c r="AA23" s="42">
        <v>1</v>
      </c>
      <c r="AB23" s="42" t="s">
        <v>45</v>
      </c>
      <c r="AC23" s="42" t="s">
        <v>45</v>
      </c>
      <c r="AD23" s="42" t="s">
        <v>45</v>
      </c>
      <c r="AE23" s="42" t="s">
        <v>45</v>
      </c>
      <c r="AF23" s="42" t="s">
        <v>45</v>
      </c>
      <c r="AG23" s="43" t="s">
        <v>45</v>
      </c>
      <c r="AH23" s="42">
        <v>6</v>
      </c>
      <c r="AI23" s="42">
        <v>5</v>
      </c>
      <c r="AJ23" s="43">
        <v>5</v>
      </c>
      <c r="AK23" s="45" t="s">
        <v>599</v>
      </c>
      <c r="AL23" s="45" t="s">
        <v>705</v>
      </c>
      <c r="AM23" s="46"/>
      <c r="AN23" s="46"/>
      <c r="AO23" s="47"/>
      <c r="AP23" s="48"/>
      <c r="AQ23" s="46">
        <f>($AM$3*AM23+$AN$3*AN23+$AO$3*AO23+$AP$3*AP23)+$I$3*VLOOKUP(I23,COND!$A$2:$E$7,4,FALSE)+$J$3*VLOOKUP(J23,COND!$A$2:$C$7,2,FALSE)+$K$3*VLOOKUP(K23,COND!$A$2:$C$7,3,FALSE)+IF(AND($B$2&gt;0,$E23&lt;20),$B$2*25,0)</f>
        <v>50.3</v>
      </c>
      <c r="AR23" s="49">
        <f>STANDARDIZE(AQ23,AVERAGE($AQ$5:$AQ$537),STDEVP($AQ$5:$AQ$537))</f>
        <v>1.7509447349637111</v>
      </c>
      <c r="AS23" s="47"/>
      <c r="AT23" s="47"/>
      <c r="AU23" s="47"/>
      <c r="AV23" s="47"/>
      <c r="AW23" s="47" t="str">
        <f>IF(AND($Q23&gt;=6,AVERAGE($S23:$T23)&gt;=6),"Likely",IF(OR($Q23&gt;6,AND($Q23=6,AVERAGE($S23:$T23)&gt;=3),AND($Q23&gt;=5,AVERAGE($S23:$T23)&gt;=5),AVERAGE($Q23,$S23:$T23)&gt;5),"Possible","Unlikely"))</f>
        <v>Unlikely</v>
      </c>
      <c r="AX23" s="47"/>
      <c r="AY23" s="47" t="str">
        <f>INDEX(Table5[[#All],[Ovr]],MATCH(Batters[[#This Row],[PID]],Table5[[#All],[PID]],0))</f>
        <v/>
      </c>
      <c r="AZ23" s="47" t="str">
        <f>INDEX(Table5[[#All],[Rnd]],MATCH(Batters[[#This Row],[PID]],Table5[[#All],[PID]],0))</f>
        <v/>
      </c>
      <c r="BA23" s="47" t="str">
        <f>INDEX(Table5[[#All],[Pick]],MATCH(Batters[[#This Row],[PID]],Table5[[#All],[PID]],0))</f>
        <v/>
      </c>
      <c r="BB23" s="47" t="str">
        <f>INDEX(Table5[[#All],[Team]],MATCH(Batters[[#This Row],[PID]],Table5[[#All],[PID]],0))</f>
        <v/>
      </c>
    </row>
    <row r="24" spans="1:54" ht="15" customHeight="1" x14ac:dyDescent="0.25">
      <c r="A24" s="42">
        <v>7442</v>
      </c>
      <c r="B24" s="42" t="s">
        <v>66</v>
      </c>
      <c r="C24" s="42" t="s">
        <v>128</v>
      </c>
      <c r="D24" s="42" t="s">
        <v>847</v>
      </c>
      <c r="E24" s="42">
        <v>18</v>
      </c>
      <c r="F24" s="42" t="s">
        <v>42</v>
      </c>
      <c r="G24" s="42" t="s">
        <v>42</v>
      </c>
      <c r="H24" s="43" t="s">
        <v>721</v>
      </c>
      <c r="I24" s="44" t="s">
        <v>43</v>
      </c>
      <c r="J24" s="42" t="s">
        <v>47</v>
      </c>
      <c r="K24" s="43" t="s">
        <v>43</v>
      </c>
      <c r="L24" s="42">
        <v>1</v>
      </c>
      <c r="M24" s="42">
        <v>1</v>
      </c>
      <c r="N24" s="42">
        <v>2</v>
      </c>
      <c r="O24" s="42">
        <v>1</v>
      </c>
      <c r="P24" s="43">
        <v>1</v>
      </c>
      <c r="Q24" s="42">
        <v>2</v>
      </c>
      <c r="R24" s="42">
        <v>2</v>
      </c>
      <c r="S24" s="42">
        <v>2</v>
      </c>
      <c r="T24" s="42">
        <v>3</v>
      </c>
      <c r="U24" s="43">
        <v>5</v>
      </c>
      <c r="V24" s="42">
        <v>3</v>
      </c>
      <c r="W24" s="42">
        <v>6</v>
      </c>
      <c r="X24" s="42">
        <v>1</v>
      </c>
      <c r="Y24" s="43">
        <v>1</v>
      </c>
      <c r="Z24" s="42" t="s">
        <v>45</v>
      </c>
      <c r="AA24" s="42" t="s">
        <v>45</v>
      </c>
      <c r="AB24" s="42" t="s">
        <v>45</v>
      </c>
      <c r="AC24" s="42" t="s">
        <v>45</v>
      </c>
      <c r="AD24" s="42" t="s">
        <v>45</v>
      </c>
      <c r="AE24" s="42">
        <v>2</v>
      </c>
      <c r="AF24" s="42">
        <v>1</v>
      </c>
      <c r="AG24" s="43">
        <v>1</v>
      </c>
      <c r="AH24" s="42">
        <v>6</v>
      </c>
      <c r="AI24" s="42">
        <v>6</v>
      </c>
      <c r="AJ24" s="43">
        <v>3</v>
      </c>
      <c r="AK24" s="45" t="s">
        <v>718</v>
      </c>
      <c r="AL24" s="45" t="s">
        <v>47</v>
      </c>
      <c r="AM24" s="46"/>
      <c r="AN24" s="46"/>
      <c r="AO24" s="47"/>
      <c r="AP24" s="48"/>
      <c r="AQ24" s="46">
        <f>($AM$3*AM24+$AN$3*AN24+$AO$3*AO24+$AP$3*AP24)+$I$3*VLOOKUP(I24,COND!$A$2:$E$7,4,FALSE)+$J$3*VLOOKUP(J24,COND!$A$2:$C$7,2,FALSE)+$K$3*VLOOKUP(K24,COND!$A$2:$C$7,3,FALSE)+IF(AND($B$2&gt;0,$E24&lt;20),$B$2*25,0)</f>
        <v>50.3</v>
      </c>
      <c r="AR24" s="49">
        <f>STANDARDIZE(AQ24,AVERAGE($AQ$5:$AQ$537),STDEVP($AQ$5:$AQ$537))</f>
        <v>1.7509447349637111</v>
      </c>
      <c r="AS24" s="47"/>
      <c r="AT24" s="47"/>
      <c r="AU24" s="47"/>
      <c r="AV24" s="47"/>
      <c r="AW24" s="47" t="str">
        <f>IF(AND($Q24&gt;=6,AVERAGE($S24:$T24)&gt;=6),"Likely",IF(OR($Q24&gt;6,AND($Q24=6,AVERAGE($S24:$T24)&gt;=3),AND($Q24&gt;=5,AVERAGE($S24:$T24)&gt;=5),AVERAGE($Q24,$S24:$T24)&gt;5),"Possible","Unlikely"))</f>
        <v>Unlikely</v>
      </c>
      <c r="AX24" s="47"/>
      <c r="AY24" s="47" t="str">
        <f>INDEX(Table5[[#All],[Ovr]],MATCH(Batters[[#This Row],[PID]],Table5[[#All],[PID]],0))</f>
        <v/>
      </c>
      <c r="AZ24" s="47" t="str">
        <f>INDEX(Table5[[#All],[Rnd]],MATCH(Batters[[#This Row],[PID]],Table5[[#All],[PID]],0))</f>
        <v/>
      </c>
      <c r="BA24" s="47" t="str">
        <f>INDEX(Table5[[#All],[Pick]],MATCH(Batters[[#This Row],[PID]],Table5[[#All],[PID]],0))</f>
        <v/>
      </c>
      <c r="BB24" s="47" t="str">
        <f>INDEX(Table5[[#All],[Team]],MATCH(Batters[[#This Row],[PID]],Table5[[#All],[PID]],0))</f>
        <v/>
      </c>
    </row>
    <row r="25" spans="1:54" ht="15" customHeight="1" x14ac:dyDescent="0.25">
      <c r="A25" s="42">
        <v>7463</v>
      </c>
      <c r="B25" s="42" t="s">
        <v>69</v>
      </c>
      <c r="C25" s="42" t="s">
        <v>441</v>
      </c>
      <c r="D25" s="42" t="s">
        <v>157</v>
      </c>
      <c r="E25" s="42">
        <v>18</v>
      </c>
      <c r="F25" s="42" t="s">
        <v>42</v>
      </c>
      <c r="G25" s="42" t="s">
        <v>42</v>
      </c>
      <c r="H25" s="43" t="s">
        <v>711</v>
      </c>
      <c r="I25" s="44" t="s">
        <v>43</v>
      </c>
      <c r="J25" s="42" t="s">
        <v>47</v>
      </c>
      <c r="K25" s="43" t="s">
        <v>43</v>
      </c>
      <c r="L25" s="42">
        <v>1</v>
      </c>
      <c r="M25" s="42">
        <v>1</v>
      </c>
      <c r="N25" s="42">
        <v>2</v>
      </c>
      <c r="O25" s="42">
        <v>1</v>
      </c>
      <c r="P25" s="43">
        <v>1</v>
      </c>
      <c r="Q25" s="42">
        <v>2</v>
      </c>
      <c r="R25" s="42">
        <v>4</v>
      </c>
      <c r="S25" s="42">
        <v>3</v>
      </c>
      <c r="T25" s="42">
        <v>4</v>
      </c>
      <c r="U25" s="43">
        <v>4</v>
      </c>
      <c r="V25" s="42">
        <v>10</v>
      </c>
      <c r="W25" s="42">
        <v>9</v>
      </c>
      <c r="X25" s="42">
        <v>1</v>
      </c>
      <c r="Y25" s="43">
        <v>1</v>
      </c>
      <c r="Z25" s="42" t="s">
        <v>45</v>
      </c>
      <c r="AA25" s="42" t="s">
        <v>45</v>
      </c>
      <c r="AB25" s="42" t="s">
        <v>45</v>
      </c>
      <c r="AC25" s="42">
        <v>4</v>
      </c>
      <c r="AD25" s="42" t="s">
        <v>45</v>
      </c>
      <c r="AE25" s="42" t="s">
        <v>45</v>
      </c>
      <c r="AF25" s="42" t="s">
        <v>45</v>
      </c>
      <c r="AG25" s="43" t="s">
        <v>45</v>
      </c>
      <c r="AH25" s="42">
        <v>7</v>
      </c>
      <c r="AI25" s="42">
        <v>9</v>
      </c>
      <c r="AJ25" s="43">
        <v>9</v>
      </c>
      <c r="AK25" s="45" t="s">
        <v>718</v>
      </c>
      <c r="AL25" s="45" t="s">
        <v>47</v>
      </c>
      <c r="AM25" s="46"/>
      <c r="AN25" s="46"/>
      <c r="AO25" s="47"/>
      <c r="AP25" s="48"/>
      <c r="AQ25" s="46">
        <f>($AM$3*AM25+$AN$3*AN25+$AO$3*AO25+$AP$3*AP25)+$I$3*VLOOKUP(I25,COND!$A$2:$E$7,4,FALSE)+$J$3*VLOOKUP(J25,COND!$A$2:$C$7,2,FALSE)+$K$3*VLOOKUP(K25,COND!$A$2:$C$7,3,FALSE)+IF(AND($B$2&gt;0,$E25&lt;20),$B$2*25,0)</f>
        <v>50.3</v>
      </c>
      <c r="AR25" s="49">
        <f>STANDARDIZE(AQ25,AVERAGE($AQ$5:$AQ$537),STDEVP($AQ$5:$AQ$537))</f>
        <v>1.7509447349637111</v>
      </c>
      <c r="AS25" s="47"/>
      <c r="AT25" s="47"/>
      <c r="AU25" s="47"/>
      <c r="AV25" s="47"/>
      <c r="AW25" s="47" t="str">
        <f>IF(AND($Q25&gt;=6,AVERAGE($S25:$T25)&gt;=6),"Likely",IF(OR($Q25&gt;6,AND($Q25=6,AVERAGE($S25:$T25)&gt;=3),AND($Q25&gt;=5,AVERAGE($S25:$T25)&gt;=5),AVERAGE($Q25,$S25:$T25)&gt;5),"Possible","Unlikely"))</f>
        <v>Unlikely</v>
      </c>
      <c r="AX25" s="47"/>
      <c r="AY25" s="47" t="str">
        <f>INDEX(Table5[[#All],[Ovr]],MATCH(Batters[[#This Row],[PID]],Table5[[#All],[PID]],0))</f>
        <v/>
      </c>
      <c r="AZ25" s="47" t="str">
        <f>INDEX(Table5[[#All],[Rnd]],MATCH(Batters[[#This Row],[PID]],Table5[[#All],[PID]],0))</f>
        <v/>
      </c>
      <c r="BA25" s="47" t="str">
        <f>INDEX(Table5[[#All],[Pick]],MATCH(Batters[[#This Row],[PID]],Table5[[#All],[PID]],0))</f>
        <v/>
      </c>
      <c r="BB25" s="47" t="str">
        <f>INDEX(Table5[[#All],[Team]],MATCH(Batters[[#This Row],[PID]],Table5[[#All],[PID]],0))</f>
        <v/>
      </c>
    </row>
    <row r="26" spans="1:54" ht="15" customHeight="1" x14ac:dyDescent="0.25">
      <c r="A26" s="42">
        <v>11034</v>
      </c>
      <c r="B26" s="42" t="s">
        <v>87</v>
      </c>
      <c r="C26" s="42" t="s">
        <v>766</v>
      </c>
      <c r="D26" s="42" t="s">
        <v>650</v>
      </c>
      <c r="E26" s="42">
        <v>18</v>
      </c>
      <c r="F26" s="42" t="s">
        <v>42</v>
      </c>
      <c r="G26" s="42" t="s">
        <v>42</v>
      </c>
      <c r="H26" s="43" t="s">
        <v>721</v>
      </c>
      <c r="I26" s="44" t="s">
        <v>43</v>
      </c>
      <c r="J26" s="42" t="s">
        <v>47</v>
      </c>
      <c r="K26" s="43" t="s">
        <v>43</v>
      </c>
      <c r="L26" s="42">
        <v>1</v>
      </c>
      <c r="M26" s="42">
        <v>1</v>
      </c>
      <c r="N26" s="42">
        <v>2</v>
      </c>
      <c r="O26" s="42">
        <v>1</v>
      </c>
      <c r="P26" s="43">
        <v>1</v>
      </c>
      <c r="Q26" s="42">
        <v>2</v>
      </c>
      <c r="R26" s="42">
        <v>1</v>
      </c>
      <c r="S26" s="42">
        <v>3</v>
      </c>
      <c r="T26" s="42">
        <v>4</v>
      </c>
      <c r="U26" s="43">
        <v>2</v>
      </c>
      <c r="V26" s="42">
        <v>8</v>
      </c>
      <c r="W26" s="42">
        <v>7</v>
      </c>
      <c r="X26" s="42">
        <v>1</v>
      </c>
      <c r="Y26" s="43">
        <v>1</v>
      </c>
      <c r="Z26" s="42" t="s">
        <v>45</v>
      </c>
      <c r="AA26" s="42">
        <v>2</v>
      </c>
      <c r="AB26" s="42" t="s">
        <v>45</v>
      </c>
      <c r="AC26" s="42">
        <v>2</v>
      </c>
      <c r="AD26" s="42" t="s">
        <v>45</v>
      </c>
      <c r="AE26" s="42" t="s">
        <v>45</v>
      </c>
      <c r="AF26" s="42" t="s">
        <v>45</v>
      </c>
      <c r="AG26" s="43" t="s">
        <v>45</v>
      </c>
      <c r="AH26" s="42">
        <v>7</v>
      </c>
      <c r="AI26" s="42">
        <v>4</v>
      </c>
      <c r="AJ26" s="43">
        <v>4</v>
      </c>
      <c r="AK26" s="45" t="s">
        <v>718</v>
      </c>
      <c r="AL26" s="45" t="s">
        <v>47</v>
      </c>
      <c r="AM26" s="46"/>
      <c r="AN26" s="46"/>
      <c r="AO26" s="47"/>
      <c r="AP26" s="48"/>
      <c r="AQ26" s="46">
        <f>($AM$3*AM26+$AN$3*AN26+$AO$3*AO26+$AP$3*AP26)+$I$3*VLOOKUP(I26,COND!$A$2:$E$7,4,FALSE)+$J$3*VLOOKUP(J26,COND!$A$2:$C$7,2,FALSE)+$K$3*VLOOKUP(K26,COND!$A$2:$C$7,3,FALSE)+IF(AND($B$2&gt;0,$E26&lt;20),$B$2*25,0)</f>
        <v>50.3</v>
      </c>
      <c r="AR26" s="49">
        <f>STANDARDIZE(AQ26,AVERAGE($AQ$5:$AQ$537),STDEVP($AQ$5:$AQ$537))</f>
        <v>1.7509447349637111</v>
      </c>
      <c r="AS26" s="47"/>
      <c r="AT26" s="47"/>
      <c r="AU26" s="47"/>
      <c r="AV26" s="47"/>
      <c r="AW26" s="47" t="str">
        <f>IF(AND($Q26&gt;=6,AVERAGE($S26:$T26)&gt;=6),"Likely",IF(OR($Q26&gt;6,AND($Q26=6,AVERAGE($S26:$T26)&gt;=3),AND($Q26&gt;=5,AVERAGE($S26:$T26)&gt;=5),AVERAGE($Q26,$S26:$T26)&gt;5),"Possible","Unlikely"))</f>
        <v>Unlikely</v>
      </c>
      <c r="AX26" s="47"/>
      <c r="AY26" s="47" t="str">
        <f>INDEX(Table5[[#All],[Ovr]],MATCH(Batters[[#This Row],[PID]],Table5[[#All],[PID]],0))</f>
        <v/>
      </c>
      <c r="AZ26" s="47" t="str">
        <f>INDEX(Table5[[#All],[Rnd]],MATCH(Batters[[#This Row],[PID]],Table5[[#All],[PID]],0))</f>
        <v/>
      </c>
      <c r="BA26" s="47" t="str">
        <f>INDEX(Table5[[#All],[Pick]],MATCH(Batters[[#This Row],[PID]],Table5[[#All],[PID]],0))</f>
        <v/>
      </c>
      <c r="BB26" s="47" t="str">
        <f>INDEX(Table5[[#All],[Team]],MATCH(Batters[[#This Row],[PID]],Table5[[#All],[PID]],0))</f>
        <v/>
      </c>
    </row>
    <row r="27" spans="1:54" ht="15" customHeight="1" x14ac:dyDescent="0.25">
      <c r="A27" s="42">
        <v>10763</v>
      </c>
      <c r="B27" s="42" t="s">
        <v>87</v>
      </c>
      <c r="C27" s="42" t="s">
        <v>911</v>
      </c>
      <c r="D27" s="42" t="s">
        <v>388</v>
      </c>
      <c r="E27" s="42">
        <v>18</v>
      </c>
      <c r="F27" s="42" t="s">
        <v>42</v>
      </c>
      <c r="G27" s="42" t="s">
        <v>42</v>
      </c>
      <c r="H27" s="43" t="s">
        <v>721</v>
      </c>
      <c r="I27" s="44" t="s">
        <v>43</v>
      </c>
      <c r="J27" s="42" t="s">
        <v>43</v>
      </c>
      <c r="K27" s="43" t="s">
        <v>47</v>
      </c>
      <c r="L27" s="42">
        <v>1</v>
      </c>
      <c r="M27" s="42">
        <v>1</v>
      </c>
      <c r="N27" s="42">
        <v>2</v>
      </c>
      <c r="O27" s="42">
        <v>1</v>
      </c>
      <c r="P27" s="43">
        <v>1</v>
      </c>
      <c r="Q27" s="42">
        <v>2</v>
      </c>
      <c r="R27" s="42">
        <v>2</v>
      </c>
      <c r="S27" s="42">
        <v>2</v>
      </c>
      <c r="T27" s="42">
        <v>2</v>
      </c>
      <c r="U27" s="43">
        <v>4</v>
      </c>
      <c r="V27" s="42">
        <v>8</v>
      </c>
      <c r="W27" s="42">
        <v>3</v>
      </c>
      <c r="X27" s="42">
        <v>1</v>
      </c>
      <c r="Y27" s="43">
        <v>1</v>
      </c>
      <c r="Z27" s="42" t="s">
        <v>45</v>
      </c>
      <c r="AA27" s="42">
        <v>1</v>
      </c>
      <c r="AB27" s="42" t="s">
        <v>45</v>
      </c>
      <c r="AC27" s="42" t="s">
        <v>45</v>
      </c>
      <c r="AD27" s="42" t="s">
        <v>45</v>
      </c>
      <c r="AE27" s="42" t="s">
        <v>45</v>
      </c>
      <c r="AF27" s="42" t="s">
        <v>45</v>
      </c>
      <c r="AG27" s="43" t="s">
        <v>45</v>
      </c>
      <c r="AH27" s="42">
        <v>1</v>
      </c>
      <c r="AI27" s="42">
        <v>3</v>
      </c>
      <c r="AJ27" s="43">
        <v>1</v>
      </c>
      <c r="AK27" s="45" t="s">
        <v>434</v>
      </c>
      <c r="AL27" s="45" t="s">
        <v>47</v>
      </c>
      <c r="AM27" s="46"/>
      <c r="AN27" s="46"/>
      <c r="AO27" s="47"/>
      <c r="AP27" s="48"/>
      <c r="AQ27" s="46">
        <f>($AM$3*AM27+$AN$3*AN27+$AO$3*AO27+$AP$3*AP27)+$I$3*VLOOKUP(I27,COND!$A$2:$E$7,4,FALSE)+$J$3*VLOOKUP(J27,COND!$A$2:$C$7,2,FALSE)+$K$3*VLOOKUP(K27,COND!$A$2:$C$7,3,FALSE)+IF(AND($B$2&gt;0,$E27&lt;20),$B$2*25,0)</f>
        <v>50.3</v>
      </c>
      <c r="AR27" s="49">
        <f>STANDARDIZE(AQ27,AVERAGE($AQ$5:$AQ$537),STDEVP($AQ$5:$AQ$537))</f>
        <v>1.7509447349637111</v>
      </c>
      <c r="AS27" s="47"/>
      <c r="AT27" s="47"/>
      <c r="AU27" s="47"/>
      <c r="AV27" s="47"/>
      <c r="AW27" s="47" t="str">
        <f>IF(AND($Q27&gt;=6,AVERAGE($S27:$T27)&gt;=6),"Likely",IF(OR($Q27&gt;6,AND($Q27=6,AVERAGE($S27:$T27)&gt;=3),AND($Q27&gt;=5,AVERAGE($S27:$T27)&gt;=5),AVERAGE($Q27,$S27:$T27)&gt;5),"Possible","Unlikely"))</f>
        <v>Unlikely</v>
      </c>
      <c r="AX27" s="47"/>
      <c r="AY27" s="47" t="str">
        <f>INDEX(Table5[[#All],[Ovr]],MATCH(Batters[[#This Row],[PID]],Table5[[#All],[PID]],0))</f>
        <v/>
      </c>
      <c r="AZ27" s="47" t="str">
        <f>INDEX(Table5[[#All],[Rnd]],MATCH(Batters[[#This Row],[PID]],Table5[[#All],[PID]],0))</f>
        <v/>
      </c>
      <c r="BA27" s="47" t="str">
        <f>INDEX(Table5[[#All],[Pick]],MATCH(Batters[[#This Row],[PID]],Table5[[#All],[PID]],0))</f>
        <v/>
      </c>
      <c r="BB27" s="47" t="str">
        <f>INDEX(Table5[[#All],[Team]],MATCH(Batters[[#This Row],[PID]],Table5[[#All],[PID]],0))</f>
        <v/>
      </c>
    </row>
    <row r="28" spans="1:54" ht="15" customHeight="1" x14ac:dyDescent="0.25">
      <c r="A28" s="42">
        <v>11235</v>
      </c>
      <c r="B28" s="42" t="s">
        <v>72</v>
      </c>
      <c r="C28" s="42" t="s">
        <v>1410</v>
      </c>
      <c r="D28" s="42" t="s">
        <v>393</v>
      </c>
      <c r="E28" s="42">
        <v>18</v>
      </c>
      <c r="F28" s="42" t="s">
        <v>42</v>
      </c>
      <c r="G28" s="42" t="s">
        <v>42</v>
      </c>
      <c r="H28" s="43" t="s">
        <v>709</v>
      </c>
      <c r="I28" s="44" t="s">
        <v>43</v>
      </c>
      <c r="J28" s="42" t="s">
        <v>43</v>
      </c>
      <c r="K28" s="43" t="s">
        <v>47</v>
      </c>
      <c r="L28" s="42">
        <v>1</v>
      </c>
      <c r="M28" s="42">
        <v>1</v>
      </c>
      <c r="N28" s="42">
        <v>2</v>
      </c>
      <c r="O28" s="42">
        <v>1</v>
      </c>
      <c r="P28" s="43">
        <v>1</v>
      </c>
      <c r="Q28" s="42">
        <v>2</v>
      </c>
      <c r="R28" s="42">
        <v>4</v>
      </c>
      <c r="S28" s="42">
        <v>3</v>
      </c>
      <c r="T28" s="42">
        <v>5</v>
      </c>
      <c r="U28" s="43">
        <v>3</v>
      </c>
      <c r="V28" s="42">
        <v>5</v>
      </c>
      <c r="W28" s="42">
        <v>4</v>
      </c>
      <c r="X28" s="42">
        <v>1</v>
      </c>
      <c r="Y28" s="43">
        <v>1</v>
      </c>
      <c r="Z28" s="42" t="s">
        <v>45</v>
      </c>
      <c r="AA28" s="42" t="s">
        <v>45</v>
      </c>
      <c r="AB28" s="42">
        <v>1</v>
      </c>
      <c r="AC28" s="42" t="s">
        <v>45</v>
      </c>
      <c r="AD28" s="42">
        <v>4</v>
      </c>
      <c r="AE28" s="42" t="s">
        <v>45</v>
      </c>
      <c r="AF28" s="42" t="s">
        <v>45</v>
      </c>
      <c r="AG28" s="43" t="s">
        <v>45</v>
      </c>
      <c r="AH28" s="42">
        <v>8</v>
      </c>
      <c r="AI28" s="42">
        <v>5</v>
      </c>
      <c r="AJ28" s="43">
        <v>7</v>
      </c>
      <c r="AK28" s="45" t="s">
        <v>602</v>
      </c>
      <c r="AL28" s="45" t="s">
        <v>47</v>
      </c>
      <c r="AM28" s="46"/>
      <c r="AN28" s="46"/>
      <c r="AO28" s="47"/>
      <c r="AP28" s="48"/>
      <c r="AQ28" s="46">
        <f>($AM$3*AM28+$AN$3*AN28+$AO$3*AO28+$AP$3*AP28)+$I$3*VLOOKUP(I28,COND!$A$2:$E$7,4,FALSE)+$J$3*VLOOKUP(J28,COND!$A$2:$C$7,2,FALSE)+$K$3*VLOOKUP(K28,COND!$A$2:$C$7,3,FALSE)+IF(AND($B$2&gt;0,$E28&lt;20),$B$2*25,0)</f>
        <v>50.3</v>
      </c>
      <c r="AR28" s="49">
        <f>STANDARDIZE(AQ28,AVERAGE($AQ$5:$AQ$537),STDEVP($AQ$5:$AQ$537))</f>
        <v>1.7509447349637111</v>
      </c>
      <c r="AS28" s="47"/>
      <c r="AT28" s="47"/>
      <c r="AU28" s="47"/>
      <c r="AV28" s="47"/>
      <c r="AW28" s="47" t="str">
        <f>IF(AND($Q28&gt;=6,AVERAGE($S28:$T28)&gt;=6),"Likely",IF(OR($Q28&gt;6,AND($Q28=6,AVERAGE($S28:$T28)&gt;=3),AND($Q28&gt;=5,AVERAGE($S28:$T28)&gt;=5),AVERAGE($Q28,$S28:$T28)&gt;5),"Possible","Unlikely"))</f>
        <v>Unlikely</v>
      </c>
      <c r="AX28" s="47"/>
      <c r="AY28" s="47" t="str">
        <f>INDEX(Table5[[#All],[Ovr]],MATCH(Batters[[#This Row],[PID]],Table5[[#All],[PID]],0))</f>
        <v/>
      </c>
      <c r="AZ28" s="47" t="str">
        <f>INDEX(Table5[[#All],[Rnd]],MATCH(Batters[[#This Row],[PID]],Table5[[#All],[PID]],0))</f>
        <v/>
      </c>
      <c r="BA28" s="47" t="str">
        <f>INDEX(Table5[[#All],[Pick]],MATCH(Batters[[#This Row],[PID]],Table5[[#All],[PID]],0))</f>
        <v/>
      </c>
      <c r="BB28" s="47" t="str">
        <f>INDEX(Table5[[#All],[Team]],MATCH(Batters[[#This Row],[PID]],Table5[[#All],[PID]],0))</f>
        <v/>
      </c>
    </row>
    <row r="29" spans="1:54" ht="15" customHeight="1" x14ac:dyDescent="0.25">
      <c r="A29" s="42">
        <v>6278</v>
      </c>
      <c r="B29" s="42" t="s">
        <v>86</v>
      </c>
      <c r="C29" s="42" t="s">
        <v>1411</v>
      </c>
      <c r="D29" s="42" t="s">
        <v>404</v>
      </c>
      <c r="E29" s="42">
        <v>18</v>
      </c>
      <c r="F29" s="42" t="s">
        <v>42</v>
      </c>
      <c r="G29" s="42" t="s">
        <v>42</v>
      </c>
      <c r="H29" s="43" t="s">
        <v>711</v>
      </c>
      <c r="I29" s="44" t="s">
        <v>43</v>
      </c>
      <c r="J29" s="42" t="s">
        <v>43</v>
      </c>
      <c r="K29" s="43" t="s">
        <v>47</v>
      </c>
      <c r="L29" s="42">
        <v>1</v>
      </c>
      <c r="M29" s="42">
        <v>1</v>
      </c>
      <c r="N29" s="42">
        <v>3</v>
      </c>
      <c r="O29" s="42">
        <v>2</v>
      </c>
      <c r="P29" s="43">
        <v>1</v>
      </c>
      <c r="Q29" s="42">
        <v>2</v>
      </c>
      <c r="R29" s="42">
        <v>2</v>
      </c>
      <c r="S29" s="42">
        <v>4</v>
      </c>
      <c r="T29" s="42">
        <v>4</v>
      </c>
      <c r="U29" s="43">
        <v>2</v>
      </c>
      <c r="V29" s="42">
        <v>2</v>
      </c>
      <c r="W29" s="42">
        <v>1</v>
      </c>
      <c r="X29" s="42">
        <v>3</v>
      </c>
      <c r="Y29" s="43">
        <v>7</v>
      </c>
      <c r="Z29" s="42" t="s">
        <v>45</v>
      </c>
      <c r="AA29" s="42" t="s">
        <v>45</v>
      </c>
      <c r="AB29" s="42" t="s">
        <v>45</v>
      </c>
      <c r="AC29" s="42" t="s">
        <v>45</v>
      </c>
      <c r="AD29" s="42" t="s">
        <v>45</v>
      </c>
      <c r="AE29" s="42" t="s">
        <v>45</v>
      </c>
      <c r="AF29" s="42" t="s">
        <v>45</v>
      </c>
      <c r="AG29" s="43" t="s">
        <v>45</v>
      </c>
      <c r="AH29" s="42">
        <v>1</v>
      </c>
      <c r="AI29" s="42">
        <v>7</v>
      </c>
      <c r="AJ29" s="43">
        <v>5</v>
      </c>
      <c r="AK29" s="45" t="s">
        <v>730</v>
      </c>
      <c r="AL29" s="45" t="s">
        <v>705</v>
      </c>
      <c r="AM29" s="46"/>
      <c r="AN29" s="46"/>
      <c r="AO29" s="47"/>
      <c r="AP29" s="48"/>
      <c r="AQ29" s="46">
        <f>($AM$3*AM29+$AN$3*AN29+$AO$3*AO29+$AP$3*AP29)+$I$3*VLOOKUP(I29,COND!$A$2:$E$7,4,FALSE)+$J$3*VLOOKUP(J29,COND!$A$2:$C$7,2,FALSE)+$K$3*VLOOKUP(K29,COND!$A$2:$C$7,3,FALSE)+IF(AND($B$2&gt;0,$E29&lt;20),$B$2*25,0)</f>
        <v>50.3</v>
      </c>
      <c r="AR29" s="49">
        <f>STANDARDIZE(AQ29,AVERAGE($AQ$5:$AQ$537),STDEVP($AQ$5:$AQ$537))</f>
        <v>1.7509447349637111</v>
      </c>
      <c r="AS29" s="47"/>
      <c r="AT29" s="47"/>
      <c r="AU29" s="47"/>
      <c r="AV29" s="47"/>
      <c r="AW29" s="47" t="str">
        <f>IF(AND($Q29&gt;=6,AVERAGE($S29:$T29)&gt;=6),"Likely",IF(OR($Q29&gt;6,AND($Q29=6,AVERAGE($S29:$T29)&gt;=3),AND($Q29&gt;=5,AVERAGE($S29:$T29)&gt;=5),AVERAGE($Q29,$S29:$T29)&gt;5),"Possible","Unlikely"))</f>
        <v>Unlikely</v>
      </c>
      <c r="AX29" s="47"/>
      <c r="AY29" s="47" t="str">
        <f>INDEX(Table5[[#All],[Ovr]],MATCH(Batters[[#This Row],[PID]],Table5[[#All],[PID]],0))</f>
        <v/>
      </c>
      <c r="AZ29" s="47" t="str">
        <f>INDEX(Table5[[#All],[Rnd]],MATCH(Batters[[#This Row],[PID]],Table5[[#All],[PID]],0))</f>
        <v/>
      </c>
      <c r="BA29" s="47" t="str">
        <f>INDEX(Table5[[#All],[Pick]],MATCH(Batters[[#This Row],[PID]],Table5[[#All],[PID]],0))</f>
        <v/>
      </c>
      <c r="BB29" s="47" t="str">
        <f>INDEX(Table5[[#All],[Team]],MATCH(Batters[[#This Row],[PID]],Table5[[#All],[PID]],0))</f>
        <v/>
      </c>
    </row>
    <row r="30" spans="1:54" ht="15" customHeight="1" x14ac:dyDescent="0.25">
      <c r="A30" s="42">
        <v>11155</v>
      </c>
      <c r="B30" s="42" t="s">
        <v>72</v>
      </c>
      <c r="C30" s="42" t="s">
        <v>1431</v>
      </c>
      <c r="D30" s="42" t="s">
        <v>919</v>
      </c>
      <c r="E30" s="42">
        <v>18</v>
      </c>
      <c r="F30" s="42" t="s">
        <v>42</v>
      </c>
      <c r="G30" s="42" t="s">
        <v>42</v>
      </c>
      <c r="H30" s="43" t="s">
        <v>721</v>
      </c>
      <c r="I30" s="44" t="s">
        <v>43</v>
      </c>
      <c r="J30" s="42" t="s">
        <v>47</v>
      </c>
      <c r="K30" s="43" t="s">
        <v>43</v>
      </c>
      <c r="L30" s="42">
        <v>1</v>
      </c>
      <c r="M30" s="42">
        <v>1</v>
      </c>
      <c r="N30" s="42">
        <v>2</v>
      </c>
      <c r="O30" s="42">
        <v>1</v>
      </c>
      <c r="P30" s="43">
        <v>1</v>
      </c>
      <c r="Q30" s="42">
        <v>2</v>
      </c>
      <c r="R30" s="42">
        <v>4</v>
      </c>
      <c r="S30" s="42">
        <v>3</v>
      </c>
      <c r="T30" s="42">
        <v>3</v>
      </c>
      <c r="U30" s="43">
        <v>2</v>
      </c>
      <c r="V30" s="42">
        <v>10</v>
      </c>
      <c r="W30" s="42">
        <v>9</v>
      </c>
      <c r="X30" s="42">
        <v>1</v>
      </c>
      <c r="Y30" s="43">
        <v>1</v>
      </c>
      <c r="Z30" s="42" t="s">
        <v>45</v>
      </c>
      <c r="AA30" s="42" t="s">
        <v>45</v>
      </c>
      <c r="AB30" s="42" t="s">
        <v>45</v>
      </c>
      <c r="AC30" s="42" t="s">
        <v>45</v>
      </c>
      <c r="AD30" s="42">
        <v>3</v>
      </c>
      <c r="AE30" s="42" t="s">
        <v>45</v>
      </c>
      <c r="AF30" s="42" t="s">
        <v>45</v>
      </c>
      <c r="AG30" s="43" t="s">
        <v>45</v>
      </c>
      <c r="AH30" s="42">
        <v>4</v>
      </c>
      <c r="AI30" s="42">
        <v>2</v>
      </c>
      <c r="AJ30" s="43">
        <v>1</v>
      </c>
      <c r="AK30" s="45" t="s">
        <v>730</v>
      </c>
      <c r="AL30" s="45" t="s">
        <v>47</v>
      </c>
      <c r="AM30" s="46"/>
      <c r="AN30" s="46"/>
      <c r="AO30" s="47"/>
      <c r="AP30" s="48"/>
      <c r="AQ30" s="46">
        <f>($AM$3*AM30+$AN$3*AN30+$AO$3*AO30+$AP$3*AP30)+$I$3*VLOOKUP(I30,COND!$A$2:$E$7,4,FALSE)+$J$3*VLOOKUP(J30,COND!$A$2:$C$7,2,FALSE)+$K$3*VLOOKUP(K30,COND!$A$2:$C$7,3,FALSE)+IF(AND($B$2&gt;0,$E30&lt;20),$B$2*25,0)</f>
        <v>50.3</v>
      </c>
      <c r="AR30" s="49">
        <f>STANDARDIZE(AQ30,AVERAGE($AQ$5:$AQ$537),STDEVP($AQ$5:$AQ$537))</f>
        <v>1.7509447349637111</v>
      </c>
      <c r="AS30" s="47"/>
      <c r="AT30" s="47"/>
      <c r="AU30" s="47"/>
      <c r="AV30" s="47"/>
      <c r="AW30" s="47" t="str">
        <f>IF(AND($Q30&gt;=6,AVERAGE($S30:$T30)&gt;=6),"Likely",IF(OR($Q30&gt;6,AND($Q30=6,AVERAGE($S30:$T30)&gt;=3),AND($Q30&gt;=5,AVERAGE($S30:$T30)&gt;=5),AVERAGE($Q30,$S30:$T30)&gt;5),"Possible","Unlikely"))</f>
        <v>Unlikely</v>
      </c>
      <c r="AX30" s="47"/>
      <c r="AY30" s="47" t="str">
        <f>INDEX(Table5[[#All],[Ovr]],MATCH(Batters[[#This Row],[PID]],Table5[[#All],[PID]],0))</f>
        <v/>
      </c>
      <c r="AZ30" s="47" t="str">
        <f>INDEX(Table5[[#All],[Rnd]],MATCH(Batters[[#This Row],[PID]],Table5[[#All],[PID]],0))</f>
        <v/>
      </c>
      <c r="BA30" s="47" t="str">
        <f>INDEX(Table5[[#All],[Pick]],MATCH(Batters[[#This Row],[PID]],Table5[[#All],[PID]],0))</f>
        <v/>
      </c>
      <c r="BB30" s="47" t="str">
        <f>INDEX(Table5[[#All],[Team]],MATCH(Batters[[#This Row],[PID]],Table5[[#All],[PID]],0))</f>
        <v/>
      </c>
    </row>
    <row r="31" spans="1:54" ht="15" customHeight="1" x14ac:dyDescent="0.25">
      <c r="A31" s="42">
        <v>6482</v>
      </c>
      <c r="B31" s="42" t="s">
        <v>50</v>
      </c>
      <c r="C31" s="42" t="s">
        <v>766</v>
      </c>
      <c r="D31" s="42" t="s">
        <v>744</v>
      </c>
      <c r="E31" s="42">
        <v>18</v>
      </c>
      <c r="F31" s="42" t="s">
        <v>53</v>
      </c>
      <c r="G31" s="42" t="s">
        <v>53</v>
      </c>
      <c r="H31" s="43" t="s">
        <v>703</v>
      </c>
      <c r="I31" s="44" t="s">
        <v>44</v>
      </c>
      <c r="J31" s="42" t="s">
        <v>43</v>
      </c>
      <c r="K31" s="43" t="s">
        <v>43</v>
      </c>
      <c r="L31" s="42">
        <v>2</v>
      </c>
      <c r="M31" s="42">
        <v>4</v>
      </c>
      <c r="N31" s="42">
        <v>3</v>
      </c>
      <c r="O31" s="42">
        <v>2</v>
      </c>
      <c r="P31" s="43">
        <v>3</v>
      </c>
      <c r="Q31" s="42">
        <v>4</v>
      </c>
      <c r="R31" s="42">
        <v>7</v>
      </c>
      <c r="S31" s="42">
        <v>5</v>
      </c>
      <c r="T31" s="42">
        <v>5</v>
      </c>
      <c r="U31" s="43">
        <v>5</v>
      </c>
      <c r="V31" s="42">
        <v>3</v>
      </c>
      <c r="W31" s="42">
        <v>6</v>
      </c>
      <c r="X31" s="42">
        <v>1</v>
      </c>
      <c r="Y31" s="43">
        <v>1</v>
      </c>
      <c r="Z31" s="42" t="s">
        <v>45</v>
      </c>
      <c r="AA31" s="42" t="s">
        <v>45</v>
      </c>
      <c r="AB31" s="42" t="s">
        <v>45</v>
      </c>
      <c r="AC31" s="42" t="s">
        <v>45</v>
      </c>
      <c r="AD31" s="42" t="s">
        <v>45</v>
      </c>
      <c r="AE31" s="42" t="s">
        <v>45</v>
      </c>
      <c r="AF31" s="42" t="s">
        <v>45</v>
      </c>
      <c r="AG31" s="43" t="s">
        <v>45</v>
      </c>
      <c r="AH31" s="42">
        <v>4</v>
      </c>
      <c r="AI31" s="42">
        <v>7</v>
      </c>
      <c r="AJ31" s="43">
        <v>9</v>
      </c>
      <c r="AK31" s="45" t="s">
        <v>1030</v>
      </c>
      <c r="AL31" s="45" t="s">
        <v>705</v>
      </c>
      <c r="AM31" s="46">
        <f>($L$3*(L31-$Q$1)/$Q$2+$M$3*(M31-$R$1)/$R$2+$N$3*(N31-$S$1)/$S$2+$O$3*(O31-$T$1)/$T$2+$P$3*(P31-$U$1)/$U$2)/(SUM($L$3:$P$3))</f>
        <v>-1.272742657077236</v>
      </c>
      <c r="AN31" s="46">
        <f>($L$3*(Q31-$Q$1)/$Q$2+$M$3*(R31-$R$1)/$R$2+$N$3*(S31-$S$1)/$S$2+$O$3*(T31-$T$1)/$T$2+$P$3*(U31-$U$1)/$U$2)/(SUM($L$3:$P$3))</f>
        <v>4.0832971894937092E-2</v>
      </c>
      <c r="AO31" s="47">
        <f>IF(AVERAGE(AH31:AI31)&gt;9,1,0)+IF(AVERAGE(AH31:AI31)&gt;7,1,0)+IF(AH31&gt;7,1,0)+IF(AI31&gt;7,1,0)+IF(AJ31&gt;8,1,0)+IF(AJ31&gt;6,1,0)</f>
        <v>2</v>
      </c>
      <c r="AP31" s="48">
        <f>MIN(2,IF(OR(Z31="-",X31&lt;5),0,1+IF(Y31&gt;7,0.35,IF(Y31&gt;5,0.1,0))+IF(Z31&gt;7,1+IF(X31&gt;7,0.25,0),IF(Z31&gt;4,0.5+IF(X31&gt;7,0.25,0),0+IF(X31&gt;7,0.25))))+IF(AA31="-",0,IF(AA31&gt;9,0.5,IF(AA31&gt;7,0.25,0)))+IF(AB31="-",0,IF(AB31&gt;7,1.1,IF(AB31&gt;4,0.6,0)))+IF(OR(AC31="-",V31&lt;5),0,IF(AC31&gt;7,1+IF(V31&gt;7,0.25,0),IF(AC31&gt;4,0.5+IF(V31&gt;7,0.25,0),0)))+IF(AD31="-",0,IF(AD31&gt;7,1.5,IF(AD31&gt;4,1,0)))+IF(AE31="-",0,IF(AE31&gt;9,0.5,IF(AE31&gt;7,0.25,0)))+IF(AF31="-",0,IF(AF31&gt;7,1.25,IF(AF31&gt;4,0.75,0)))+IF(OR(AG31="-",W31&lt;4),0,IF(AG31&gt;7,1+IF(W31&gt;7,0.15,0),IF(AG31&gt;4,0.5+IF(W31&gt;7,0.15,0),0))))</f>
        <v>0</v>
      </c>
      <c r="AQ31" s="46">
        <f>($AM$3*AM31+$AN$3*AN31+$AO$3*AO31+$AP$3*AP31)+$I$3*VLOOKUP(I31,COND!$A$2:$E$7,4,FALSE)+$J$3*VLOOKUP(J31,COND!$A$2:$C$7,2,FALSE)+$K$3*VLOOKUP(K31,COND!$A$2:$C$7,3,FALSE)+IF(AND($B$2&gt;0,$E31&lt;20),$B$2*25,0)</f>
        <v>50.546054730364858</v>
      </c>
      <c r="AR31" s="49">
        <f>STANDARDIZE(AQ31,AVERAGE($AQ$5:$AQ$537),STDEVP($AQ$5:$AQ$537))</f>
        <v>1.7942364294170228</v>
      </c>
      <c r="AS31" s="47" t="str">
        <f>IF(AND(Z31&lt;&gt;"-",Y31&gt;1),"C",IF(AB31=MAX(AB31:AD31),"2B",IF(AD31=MAX(AB31:AD31),"SS",IF(OR(AC31=MAX(AA31:AD31),AND(AC31&lt;&gt;"-",AC31&gt;4,V31&gt;5)),"3B",IF(AF31=MAX(AE31:AG31),"CF",IF(AND(AG31=MAX(AE31,AG31),AND(W31&gt;5,AG31&lt;&gt;"-")),"RF",IF(AE31&lt;&gt;"-","LF",IF(AA31&lt;&gt;"-","1B","DH"))))))))</f>
        <v>DH</v>
      </c>
      <c r="AT31" s="47"/>
      <c r="AU31" s="47"/>
      <c r="AV31" s="47"/>
      <c r="AW31" s="47" t="str">
        <f>IF(AND($Q31&gt;=6,AVERAGE($S31:$T31)&gt;=6),"Likely",IF(OR($Q31&gt;6,AND($Q31=6,AVERAGE($S31:$T31)&gt;=3),AND($Q31&gt;=5,AVERAGE($S31:$T31)&gt;=5),AVERAGE($Q31,$S31:$T31)&gt;5),"Possible","Unlikely"))</f>
        <v>Unlikely</v>
      </c>
      <c r="AX31" s="47"/>
      <c r="AY31" s="47" t="str">
        <f>INDEX(Table5[[#All],[Ovr]],MATCH(Batters[[#This Row],[PID]],Table5[[#All],[PID]],0))</f>
        <v/>
      </c>
      <c r="AZ31" s="47" t="str">
        <f>INDEX(Table5[[#All],[Rnd]],MATCH(Batters[[#This Row],[PID]],Table5[[#All],[PID]],0))</f>
        <v/>
      </c>
      <c r="BA31" s="47" t="str">
        <f>INDEX(Table5[[#All],[Pick]],MATCH(Batters[[#This Row],[PID]],Table5[[#All],[PID]],0))</f>
        <v/>
      </c>
      <c r="BB31" s="47" t="str">
        <f>INDEX(Table5[[#All],[Team]],MATCH(Batters[[#This Row],[PID]],Table5[[#All],[PID]],0))</f>
        <v/>
      </c>
    </row>
    <row r="32" spans="1:54" ht="15" customHeight="1" x14ac:dyDescent="0.25">
      <c r="A32" s="42">
        <v>8990</v>
      </c>
      <c r="B32" s="42" t="s">
        <v>66</v>
      </c>
      <c r="C32" s="42" t="s">
        <v>339</v>
      </c>
      <c r="D32" s="42" t="s">
        <v>451</v>
      </c>
      <c r="E32" s="42">
        <v>18</v>
      </c>
      <c r="F32" s="42" t="s">
        <v>53</v>
      </c>
      <c r="G32" s="42" t="s">
        <v>53</v>
      </c>
      <c r="H32" s="43" t="s">
        <v>703</v>
      </c>
      <c r="I32" s="44" t="s">
        <v>43</v>
      </c>
      <c r="J32" s="42" t="s">
        <v>43</v>
      </c>
      <c r="K32" s="43" t="s">
        <v>43</v>
      </c>
      <c r="L32" s="42">
        <v>1</v>
      </c>
      <c r="M32" s="42">
        <v>1</v>
      </c>
      <c r="N32" s="42">
        <v>3</v>
      </c>
      <c r="O32" s="42">
        <v>2</v>
      </c>
      <c r="P32" s="43">
        <v>2</v>
      </c>
      <c r="Q32" s="42">
        <v>4</v>
      </c>
      <c r="R32" s="42">
        <v>6</v>
      </c>
      <c r="S32" s="42">
        <v>6</v>
      </c>
      <c r="T32" s="42">
        <v>5</v>
      </c>
      <c r="U32" s="43">
        <v>4</v>
      </c>
      <c r="V32" s="42">
        <v>3</v>
      </c>
      <c r="W32" s="42">
        <v>7</v>
      </c>
      <c r="X32" s="42">
        <v>1</v>
      </c>
      <c r="Y32" s="43">
        <v>1</v>
      </c>
      <c r="Z32" s="42" t="s">
        <v>45</v>
      </c>
      <c r="AA32" s="42" t="s">
        <v>45</v>
      </c>
      <c r="AB32" s="42" t="s">
        <v>45</v>
      </c>
      <c r="AC32" s="42" t="s">
        <v>45</v>
      </c>
      <c r="AD32" s="42" t="s">
        <v>45</v>
      </c>
      <c r="AE32" s="42">
        <v>1</v>
      </c>
      <c r="AF32" s="42" t="s">
        <v>45</v>
      </c>
      <c r="AG32" s="43">
        <v>2</v>
      </c>
      <c r="AH32" s="42">
        <v>3</v>
      </c>
      <c r="AI32" s="42">
        <v>4</v>
      </c>
      <c r="AJ32" s="43">
        <v>2</v>
      </c>
      <c r="AK32" s="45" t="s">
        <v>610</v>
      </c>
      <c r="AL32" s="45" t="s">
        <v>705</v>
      </c>
      <c r="AM32" s="46">
        <f>($L$3*(L32-$Q$1)/$Q$2+$M$3*(M32-$R$1)/$R$2+$N$3*(N32-$S$1)/$S$2+$O$3*(O32-$T$1)/$T$2+$P$3*(P32-$U$1)/$U$2)/(SUM($L$3:$P$3))</f>
        <v>-1.7884944719531046</v>
      </c>
      <c r="AN32" s="46">
        <f>($L$3*(Q32-$Q$1)/$Q$2+$M$3*(R32-$R$1)/$R$2+$N$3*(S32-$S$1)/$S$2+$O$3*(T32-$T$1)/$T$2+$P$3*(U32-$U$1)/$U$2)/(SUM($L$3:$P$3))</f>
        <v>3.281824648305165E-2</v>
      </c>
      <c r="AO32" s="47">
        <f>IF(AVERAGE(AH32:AI32)&gt;9,1,0)+IF(AVERAGE(AH32:AI32)&gt;7,1,0)+IF(AH32&gt;7,1,0)+IF(AI32&gt;7,1,0)+IF(AJ32&gt;8,1,0)+IF(AJ32&gt;6,1,0)</f>
        <v>0</v>
      </c>
      <c r="AP32" s="48">
        <f>MIN(2,IF(OR(Z32="-",X32&lt;5),0,1+IF(Y32&gt;7,0.35,IF(Y32&gt;5,0.1,0))+IF(Z32&gt;7,1+IF(X32&gt;7,0.25,0),IF(Z32&gt;4,0.5+IF(X32&gt;7,0.25,0),0+IF(X32&gt;7,0.25))))+IF(AA32="-",0,IF(AA32&gt;9,0.5,IF(AA32&gt;7,0.25,0)))+IF(AB32="-",0,IF(AB32&gt;7,1.1,IF(AB32&gt;4,0.6,0)))+IF(OR(AC32="-",V32&lt;5),0,IF(AC32&gt;7,1+IF(V32&gt;7,0.25,0),IF(AC32&gt;4,0.5+IF(V32&gt;7,0.25,0),0)))+IF(AD32="-",0,IF(AD32&gt;7,1.5,IF(AD32&gt;4,1,0)))+IF(AE32="-",0,IF(AE32&gt;9,0.5,IF(AE32&gt;7,0.25,0)))+IF(AF32="-",0,IF(AF32&gt;7,1.25,IF(AF32&gt;4,0.75,0)))+IF(OR(AG32="-",W32&lt;4),0,IF(AG32&gt;7,1+IF(W32&gt;7,0.15,0),IF(AG32&gt;4,0.5+IF(W32&gt;7,0.15,0),0))))</f>
        <v>0</v>
      </c>
      <c r="AQ32" s="46">
        <f>($AM$3*AM32+$AN$3*AN32+$AO$3*AO32+$AP$3*AP32)+$I$3*VLOOKUP(I32,COND!$A$2:$E$7,4,FALSE)+$J$3*VLOOKUP(J32,COND!$A$2:$C$7,2,FALSE)+$K$3*VLOOKUP(K32,COND!$A$2:$C$7,3,FALSE)+IF(AND($B$2&gt;0,$E32&lt;20),$B$2*25,0)</f>
        <v>50.214969510601307</v>
      </c>
      <c r="AR32" s="49">
        <f>STANDARDIZE(AQ32,AVERAGE($AQ$5:$AQ$537),STDEVP($AQ$5:$AQ$537))</f>
        <v>1.7359841854924403</v>
      </c>
      <c r="AS32" s="47" t="str">
        <f>IF(AND(Z32&lt;&gt;"-",Y32&gt;1),"C",IF(AB32=MAX(AB32:AD32),"2B",IF(AD32=MAX(AB32:AD32),"SS",IF(OR(AC32=MAX(AA32:AD32),AND(AC32&lt;&gt;"-",AC32&gt;4,V32&gt;5)),"3B",IF(AF32=MAX(AE32:AG32),"CF",IF(AND(AG32=MAX(AE32,AG32),AND(W32&gt;5,AG32&lt;&gt;"-")),"RF",IF(AE32&lt;&gt;"-","LF",IF(AA32&lt;&gt;"-","1B","DH"))))))))</f>
        <v>RF</v>
      </c>
      <c r="AT32" s="47"/>
      <c r="AU32" s="47"/>
      <c r="AV32" s="47"/>
      <c r="AW32" s="47" t="str">
        <f>IF(AND($Q32&gt;=6,AVERAGE($S32:$T32)&gt;=6),"Likely",IF(OR($Q32&gt;6,AND($Q32=6,AVERAGE($S32:$T32)&gt;=3),AND($Q32&gt;=5,AVERAGE($S32:$T32)&gt;=5),AVERAGE($Q32,$S32:$T32)&gt;5),"Possible","Unlikely"))</f>
        <v>Unlikely</v>
      </c>
      <c r="AX32" s="47"/>
      <c r="AY32" s="47" t="str">
        <f>INDEX(Table5[[#All],[Ovr]],MATCH(Batters[[#This Row],[PID]],Table5[[#All],[PID]],0))</f>
        <v/>
      </c>
      <c r="AZ32" s="47" t="str">
        <f>INDEX(Table5[[#All],[Rnd]],MATCH(Batters[[#This Row],[PID]],Table5[[#All],[PID]],0))</f>
        <v/>
      </c>
      <c r="BA32" s="47" t="str">
        <f>INDEX(Table5[[#All],[Pick]],MATCH(Batters[[#This Row],[PID]],Table5[[#All],[PID]],0))</f>
        <v/>
      </c>
      <c r="BB32" s="47" t="str">
        <f>INDEX(Table5[[#All],[Team]],MATCH(Batters[[#This Row],[PID]],Table5[[#All],[PID]],0))</f>
        <v/>
      </c>
    </row>
    <row r="33" spans="1:54" ht="15" customHeight="1" x14ac:dyDescent="0.25">
      <c r="A33" s="42">
        <v>11107</v>
      </c>
      <c r="B33" s="42" t="s">
        <v>86</v>
      </c>
      <c r="C33" s="42" t="s">
        <v>1439</v>
      </c>
      <c r="D33" s="42" t="s">
        <v>1440</v>
      </c>
      <c r="E33" s="42">
        <v>18</v>
      </c>
      <c r="F33" s="42" t="s">
        <v>62</v>
      </c>
      <c r="G33" s="42" t="s">
        <v>42</v>
      </c>
      <c r="H33" s="43" t="s">
        <v>721</v>
      </c>
      <c r="I33" s="44" t="s">
        <v>43</v>
      </c>
      <c r="J33" s="42" t="s">
        <v>43</v>
      </c>
      <c r="K33" s="43" t="s">
        <v>43</v>
      </c>
      <c r="L33" s="42">
        <v>1</v>
      </c>
      <c r="M33" s="42">
        <v>1</v>
      </c>
      <c r="N33" s="42">
        <v>2</v>
      </c>
      <c r="O33" s="42">
        <v>1</v>
      </c>
      <c r="P33" s="43">
        <v>1</v>
      </c>
      <c r="Q33" s="42">
        <v>1</v>
      </c>
      <c r="R33" s="42">
        <v>3</v>
      </c>
      <c r="S33" s="42">
        <v>3</v>
      </c>
      <c r="T33" s="42">
        <v>5</v>
      </c>
      <c r="U33" s="43">
        <v>1</v>
      </c>
      <c r="V33" s="42">
        <v>1</v>
      </c>
      <c r="W33" s="42">
        <v>1</v>
      </c>
      <c r="X33" s="42">
        <v>3</v>
      </c>
      <c r="Y33" s="43">
        <v>5</v>
      </c>
      <c r="Z33" s="42" t="s">
        <v>45</v>
      </c>
      <c r="AA33" s="42" t="s">
        <v>45</v>
      </c>
      <c r="AB33" s="42" t="s">
        <v>45</v>
      </c>
      <c r="AC33" s="42" t="s">
        <v>45</v>
      </c>
      <c r="AD33" s="42" t="s">
        <v>45</v>
      </c>
      <c r="AE33" s="42" t="s">
        <v>45</v>
      </c>
      <c r="AF33" s="42" t="s">
        <v>45</v>
      </c>
      <c r="AG33" s="43" t="s">
        <v>45</v>
      </c>
      <c r="AH33" s="42">
        <v>1</v>
      </c>
      <c r="AI33" s="42">
        <v>1</v>
      </c>
      <c r="AJ33" s="43">
        <v>1</v>
      </c>
      <c r="AK33" s="45" t="s">
        <v>730</v>
      </c>
      <c r="AL33" s="45" t="s">
        <v>705</v>
      </c>
      <c r="AM33" s="46"/>
      <c r="AN33" s="46"/>
      <c r="AO33" s="47"/>
      <c r="AP33" s="48"/>
      <c r="AQ33" s="46">
        <f>($AM$3*AM33+$AN$3*AN33+$AO$3*AO33+$AP$3*AP33)+$I$3*VLOOKUP(I33,COND!$A$2:$E$7,4,FALSE)+$J$3*VLOOKUP(J33,COND!$A$2:$C$7,2,FALSE)+$K$3*VLOOKUP(K33,COND!$A$2:$C$7,3,FALSE)+IF(AND($B$2&gt;0,$E33&lt;20),$B$2*25,0)</f>
        <v>50</v>
      </c>
      <c r="AR33" s="49">
        <f>STANDARDIZE(AQ33,AVERAGE($AQ$5:$AQ$537),STDEVP($AQ$5:$AQ$537))</f>
        <v>1.6981617288547248</v>
      </c>
      <c r="AS33" s="47"/>
      <c r="AT33" s="47"/>
      <c r="AU33" s="47"/>
      <c r="AV33" s="47"/>
      <c r="AW33" s="47" t="str">
        <f>IF(AND($Q33&gt;=6,AVERAGE($S33:$T33)&gt;=6),"Likely",IF(OR($Q33&gt;6,AND($Q33=6,AVERAGE($S33:$T33)&gt;=3),AND($Q33&gt;=5,AVERAGE($S33:$T33)&gt;=5),AVERAGE($Q33,$S33:$T33)&gt;5),"Possible","Unlikely"))</f>
        <v>Unlikely</v>
      </c>
      <c r="AX33" s="47"/>
      <c r="AY33" s="47" t="str">
        <f>INDEX(Table5[[#All],[Ovr]],MATCH(Batters[[#This Row],[PID]],Table5[[#All],[PID]],0))</f>
        <v/>
      </c>
      <c r="AZ33" s="47" t="str">
        <f>INDEX(Table5[[#All],[Rnd]],MATCH(Batters[[#This Row],[PID]],Table5[[#All],[PID]],0))</f>
        <v/>
      </c>
      <c r="BA33" s="47" t="str">
        <f>INDEX(Table5[[#All],[Pick]],MATCH(Batters[[#This Row],[PID]],Table5[[#All],[PID]],0))</f>
        <v/>
      </c>
      <c r="BB33" s="47" t="str">
        <f>INDEX(Table5[[#All],[Team]],MATCH(Batters[[#This Row],[PID]],Table5[[#All],[PID]],0))</f>
        <v/>
      </c>
    </row>
    <row r="34" spans="1:54" ht="15" customHeight="1" x14ac:dyDescent="0.25">
      <c r="A34" s="42">
        <v>14075</v>
      </c>
      <c r="B34" s="42" t="s">
        <v>69</v>
      </c>
      <c r="C34" s="42" t="s">
        <v>347</v>
      </c>
      <c r="D34" s="42" t="s">
        <v>1395</v>
      </c>
      <c r="E34" s="42">
        <v>18</v>
      </c>
      <c r="F34" s="42" t="s">
        <v>42</v>
      </c>
      <c r="G34" s="42" t="s">
        <v>42</v>
      </c>
      <c r="H34" s="43" t="s">
        <v>709</v>
      </c>
      <c r="I34" s="44" t="s">
        <v>43</v>
      </c>
      <c r="J34" s="42" t="s">
        <v>43</v>
      </c>
      <c r="K34" s="43" t="s">
        <v>43</v>
      </c>
      <c r="L34" s="42">
        <v>1</v>
      </c>
      <c r="M34" s="42">
        <v>1</v>
      </c>
      <c r="N34" s="42">
        <v>3</v>
      </c>
      <c r="O34" s="42">
        <v>2</v>
      </c>
      <c r="P34" s="43">
        <v>1</v>
      </c>
      <c r="Q34" s="42">
        <v>2</v>
      </c>
      <c r="R34" s="42">
        <v>3</v>
      </c>
      <c r="S34" s="42">
        <v>6</v>
      </c>
      <c r="T34" s="42">
        <v>5</v>
      </c>
      <c r="U34" s="43">
        <v>1</v>
      </c>
      <c r="V34" s="42">
        <v>8</v>
      </c>
      <c r="W34" s="42">
        <v>8</v>
      </c>
      <c r="X34" s="42">
        <v>1</v>
      </c>
      <c r="Y34" s="43">
        <v>1</v>
      </c>
      <c r="Z34" s="42" t="s">
        <v>45</v>
      </c>
      <c r="AA34" s="42" t="s">
        <v>45</v>
      </c>
      <c r="AB34" s="42" t="s">
        <v>45</v>
      </c>
      <c r="AC34" s="42">
        <v>2</v>
      </c>
      <c r="AD34" s="42" t="s">
        <v>45</v>
      </c>
      <c r="AE34" s="42" t="s">
        <v>45</v>
      </c>
      <c r="AF34" s="42" t="s">
        <v>45</v>
      </c>
      <c r="AG34" s="43">
        <v>2</v>
      </c>
      <c r="AH34" s="42">
        <v>2</v>
      </c>
      <c r="AI34" s="42">
        <v>2</v>
      </c>
      <c r="AJ34" s="43">
        <v>1</v>
      </c>
      <c r="AK34" s="45" t="s">
        <v>599</v>
      </c>
      <c r="AL34" s="45" t="s">
        <v>47</v>
      </c>
      <c r="AM34" s="46"/>
      <c r="AN34" s="46"/>
      <c r="AO34" s="47"/>
      <c r="AP34" s="48"/>
      <c r="AQ34" s="46">
        <f>($AM$3*AM34+$AN$3*AN34+$AO$3*AO34+$AP$3*AP34)+$I$3*VLOOKUP(I34,COND!$A$2:$E$7,4,FALSE)+$J$3*VLOOKUP(J34,COND!$A$2:$C$7,2,FALSE)+$K$3*VLOOKUP(K34,COND!$A$2:$C$7,3,FALSE)+IF(AND($B$2&gt;0,$E34&lt;20),$B$2*25,0)</f>
        <v>50</v>
      </c>
      <c r="AR34" s="49">
        <f>STANDARDIZE(AQ34,AVERAGE($AQ$5:$AQ$537),STDEVP($AQ$5:$AQ$537))</f>
        <v>1.6981617288547248</v>
      </c>
      <c r="AS34" s="47"/>
      <c r="AT34" s="47"/>
      <c r="AU34" s="47"/>
      <c r="AV34" s="47"/>
      <c r="AW34" s="47" t="str">
        <f>IF(AND($Q34&gt;=6,AVERAGE($S34:$T34)&gt;=6),"Likely",IF(OR($Q34&gt;6,AND($Q34=6,AVERAGE($S34:$T34)&gt;=3),AND($Q34&gt;=5,AVERAGE($S34:$T34)&gt;=5),AVERAGE($Q34,$S34:$T34)&gt;5),"Possible","Unlikely"))</f>
        <v>Unlikely</v>
      </c>
      <c r="AX34" s="47"/>
      <c r="AY34" s="47" t="str">
        <f>INDEX(Table5[[#All],[Ovr]],MATCH(Batters[[#This Row],[PID]],Table5[[#All],[PID]],0))</f>
        <v/>
      </c>
      <c r="AZ34" s="47" t="str">
        <f>INDEX(Table5[[#All],[Rnd]],MATCH(Batters[[#This Row],[PID]],Table5[[#All],[PID]],0))</f>
        <v/>
      </c>
      <c r="BA34" s="47" t="str">
        <f>INDEX(Table5[[#All],[Pick]],MATCH(Batters[[#This Row],[PID]],Table5[[#All],[PID]],0))</f>
        <v/>
      </c>
      <c r="BB34" s="47" t="str">
        <f>INDEX(Table5[[#All],[Team]],MATCH(Batters[[#This Row],[PID]],Table5[[#All],[PID]],0))</f>
        <v/>
      </c>
    </row>
    <row r="35" spans="1:54" ht="15" customHeight="1" x14ac:dyDescent="0.25">
      <c r="A35" s="42">
        <v>5971</v>
      </c>
      <c r="B35" s="42" t="s">
        <v>87</v>
      </c>
      <c r="C35" s="42" t="s">
        <v>291</v>
      </c>
      <c r="D35" s="42" t="s">
        <v>207</v>
      </c>
      <c r="E35" s="42">
        <v>18</v>
      </c>
      <c r="F35" s="42" t="s">
        <v>42</v>
      </c>
      <c r="G35" s="42" t="s">
        <v>42</v>
      </c>
      <c r="H35" s="43" t="s">
        <v>721</v>
      </c>
      <c r="I35" s="44" t="s">
        <v>43</v>
      </c>
      <c r="J35" s="42" t="s">
        <v>43</v>
      </c>
      <c r="K35" s="43" t="s">
        <v>43</v>
      </c>
      <c r="L35" s="42">
        <v>1</v>
      </c>
      <c r="M35" s="42">
        <v>1</v>
      </c>
      <c r="N35" s="42">
        <v>2</v>
      </c>
      <c r="O35" s="42">
        <v>1</v>
      </c>
      <c r="P35" s="43">
        <v>1</v>
      </c>
      <c r="Q35" s="42">
        <v>2</v>
      </c>
      <c r="R35" s="42">
        <v>3</v>
      </c>
      <c r="S35" s="42">
        <v>2</v>
      </c>
      <c r="T35" s="42">
        <v>1</v>
      </c>
      <c r="U35" s="43">
        <v>3</v>
      </c>
      <c r="V35" s="42">
        <v>5</v>
      </c>
      <c r="W35" s="42">
        <v>1</v>
      </c>
      <c r="X35" s="42">
        <v>1</v>
      </c>
      <c r="Y35" s="43">
        <v>1</v>
      </c>
      <c r="Z35" s="42" t="s">
        <v>45</v>
      </c>
      <c r="AA35" s="42">
        <v>1</v>
      </c>
      <c r="AB35" s="42" t="s">
        <v>45</v>
      </c>
      <c r="AC35" s="42" t="s">
        <v>45</v>
      </c>
      <c r="AD35" s="42" t="s">
        <v>45</v>
      </c>
      <c r="AE35" s="42" t="s">
        <v>45</v>
      </c>
      <c r="AF35" s="42" t="s">
        <v>45</v>
      </c>
      <c r="AG35" s="43" t="s">
        <v>45</v>
      </c>
      <c r="AH35" s="42">
        <v>1</v>
      </c>
      <c r="AI35" s="42">
        <v>1</v>
      </c>
      <c r="AJ35" s="43">
        <v>5</v>
      </c>
      <c r="AK35" s="45" t="s">
        <v>718</v>
      </c>
      <c r="AL35" s="45" t="s">
        <v>47</v>
      </c>
      <c r="AM35" s="46"/>
      <c r="AN35" s="46"/>
      <c r="AO35" s="47"/>
      <c r="AP35" s="48"/>
      <c r="AQ35" s="46">
        <f>($AM$3*AM35+$AN$3*AN35+$AO$3*AO35+$AP$3*AP35)+$I$3*VLOOKUP(I35,COND!$A$2:$E$7,4,FALSE)+$J$3*VLOOKUP(J35,COND!$A$2:$C$7,2,FALSE)+$K$3*VLOOKUP(K35,COND!$A$2:$C$7,3,FALSE)+IF(AND($B$2&gt;0,$E35&lt;20),$B$2*25,0)</f>
        <v>50</v>
      </c>
      <c r="AR35" s="49">
        <f>STANDARDIZE(AQ35,AVERAGE($AQ$5:$AQ$537),STDEVP($AQ$5:$AQ$537))</f>
        <v>1.6981617288547248</v>
      </c>
      <c r="AS35" s="47"/>
      <c r="AT35" s="47"/>
      <c r="AU35" s="47"/>
      <c r="AV35" s="47"/>
      <c r="AW35" s="47" t="str">
        <f>IF(AND($Q35&gt;=6,AVERAGE($S35:$T35)&gt;=6),"Likely",IF(OR($Q35&gt;6,AND($Q35=6,AVERAGE($S35:$T35)&gt;=3),AND($Q35&gt;=5,AVERAGE($S35:$T35)&gt;=5),AVERAGE($Q35,$S35:$T35)&gt;5),"Possible","Unlikely"))</f>
        <v>Unlikely</v>
      </c>
      <c r="AX35" s="47"/>
      <c r="AY35" s="47" t="str">
        <f>INDEX(Table5[[#All],[Ovr]],MATCH(Batters[[#This Row],[PID]],Table5[[#All],[PID]],0))</f>
        <v/>
      </c>
      <c r="AZ35" s="47" t="str">
        <f>INDEX(Table5[[#All],[Rnd]],MATCH(Batters[[#This Row],[PID]],Table5[[#All],[PID]],0))</f>
        <v/>
      </c>
      <c r="BA35" s="47" t="str">
        <f>INDEX(Table5[[#All],[Pick]],MATCH(Batters[[#This Row],[PID]],Table5[[#All],[PID]],0))</f>
        <v/>
      </c>
      <c r="BB35" s="47" t="str">
        <f>INDEX(Table5[[#All],[Team]],MATCH(Batters[[#This Row],[PID]],Table5[[#All],[PID]],0))</f>
        <v/>
      </c>
    </row>
    <row r="36" spans="1:54" ht="15" customHeight="1" x14ac:dyDescent="0.25">
      <c r="A36" s="42">
        <v>8757</v>
      </c>
      <c r="B36" s="42" t="s">
        <v>69</v>
      </c>
      <c r="C36" s="42" t="s">
        <v>152</v>
      </c>
      <c r="D36" s="42" t="s">
        <v>624</v>
      </c>
      <c r="E36" s="42">
        <v>18</v>
      </c>
      <c r="F36" s="42" t="s">
        <v>42</v>
      </c>
      <c r="G36" s="42" t="s">
        <v>42</v>
      </c>
      <c r="H36" s="43" t="s">
        <v>721</v>
      </c>
      <c r="I36" s="44" t="s">
        <v>43</v>
      </c>
      <c r="J36" s="42" t="s">
        <v>43</v>
      </c>
      <c r="K36" s="43" t="s">
        <v>43</v>
      </c>
      <c r="L36" s="42">
        <v>1</v>
      </c>
      <c r="M36" s="42">
        <v>1</v>
      </c>
      <c r="N36" s="42">
        <v>2</v>
      </c>
      <c r="O36" s="42">
        <v>1</v>
      </c>
      <c r="P36" s="43">
        <v>1</v>
      </c>
      <c r="Q36" s="42">
        <v>2</v>
      </c>
      <c r="R36" s="42">
        <v>3</v>
      </c>
      <c r="S36" s="42">
        <v>5</v>
      </c>
      <c r="T36" s="42">
        <v>5</v>
      </c>
      <c r="U36" s="43">
        <v>3</v>
      </c>
      <c r="V36" s="42">
        <v>7</v>
      </c>
      <c r="W36" s="42">
        <v>6</v>
      </c>
      <c r="X36" s="42">
        <v>1</v>
      </c>
      <c r="Y36" s="43">
        <v>1</v>
      </c>
      <c r="Z36" s="42" t="s">
        <v>45</v>
      </c>
      <c r="AA36" s="42" t="s">
        <v>45</v>
      </c>
      <c r="AB36" s="42" t="s">
        <v>45</v>
      </c>
      <c r="AC36" s="42">
        <v>1</v>
      </c>
      <c r="AD36" s="42" t="s">
        <v>45</v>
      </c>
      <c r="AE36" s="42" t="s">
        <v>45</v>
      </c>
      <c r="AF36" s="42" t="s">
        <v>45</v>
      </c>
      <c r="AG36" s="43" t="s">
        <v>45</v>
      </c>
      <c r="AH36" s="42">
        <v>2</v>
      </c>
      <c r="AI36" s="42">
        <v>2</v>
      </c>
      <c r="AJ36" s="43">
        <v>1</v>
      </c>
      <c r="AK36" s="45" t="s">
        <v>758</v>
      </c>
      <c r="AL36" s="45" t="s">
        <v>47</v>
      </c>
      <c r="AM36" s="46"/>
      <c r="AN36" s="46"/>
      <c r="AO36" s="47"/>
      <c r="AP36" s="48"/>
      <c r="AQ36" s="46">
        <f>($AM$3*AM36+$AN$3*AN36+$AO$3*AO36+$AP$3*AP36)+$I$3*VLOOKUP(I36,COND!$A$2:$E$7,4,FALSE)+$J$3*VLOOKUP(J36,COND!$A$2:$C$7,2,FALSE)+$K$3*VLOOKUP(K36,COND!$A$2:$C$7,3,FALSE)+IF(AND($B$2&gt;0,$E36&lt;20),$B$2*25,0)</f>
        <v>50</v>
      </c>
      <c r="AR36" s="49">
        <f>STANDARDIZE(AQ36,AVERAGE($AQ$5:$AQ$537),STDEVP($AQ$5:$AQ$537))</f>
        <v>1.6981617288547248</v>
      </c>
      <c r="AS36" s="47"/>
      <c r="AT36" s="47"/>
      <c r="AU36" s="47"/>
      <c r="AV36" s="47"/>
      <c r="AW36" s="47" t="str">
        <f>IF(AND($Q36&gt;=6,AVERAGE($S36:$T36)&gt;=6),"Likely",IF(OR($Q36&gt;6,AND($Q36=6,AVERAGE($S36:$T36)&gt;=3),AND($Q36&gt;=5,AVERAGE($S36:$T36)&gt;=5),AVERAGE($Q36,$S36:$T36)&gt;5),"Possible","Unlikely"))</f>
        <v>Unlikely</v>
      </c>
      <c r="AX36" s="47"/>
      <c r="AY36" s="47" t="str">
        <f>INDEX(Table5[[#All],[Ovr]],MATCH(Batters[[#This Row],[PID]],Table5[[#All],[PID]],0))</f>
        <v/>
      </c>
      <c r="AZ36" s="47" t="str">
        <f>INDEX(Table5[[#All],[Rnd]],MATCH(Batters[[#This Row],[PID]],Table5[[#All],[PID]],0))</f>
        <v/>
      </c>
      <c r="BA36" s="47" t="str">
        <f>INDEX(Table5[[#All],[Pick]],MATCH(Batters[[#This Row],[PID]],Table5[[#All],[PID]],0))</f>
        <v/>
      </c>
      <c r="BB36" s="47" t="str">
        <f>INDEX(Table5[[#All],[Team]],MATCH(Batters[[#This Row],[PID]],Table5[[#All],[PID]],0))</f>
        <v/>
      </c>
    </row>
    <row r="37" spans="1:54" ht="15" customHeight="1" x14ac:dyDescent="0.25">
      <c r="A37" s="42">
        <v>7819</v>
      </c>
      <c r="B37" s="42" t="s">
        <v>69</v>
      </c>
      <c r="C37" s="42" t="s">
        <v>1397</v>
      </c>
      <c r="D37" s="42" t="s">
        <v>647</v>
      </c>
      <c r="E37" s="42">
        <v>18</v>
      </c>
      <c r="F37" s="42" t="s">
        <v>42</v>
      </c>
      <c r="G37" s="42" t="s">
        <v>42</v>
      </c>
      <c r="H37" s="43" t="s">
        <v>711</v>
      </c>
      <c r="I37" s="44" t="s">
        <v>43</v>
      </c>
      <c r="J37" s="42" t="s">
        <v>43</v>
      </c>
      <c r="K37" s="43" t="s">
        <v>43</v>
      </c>
      <c r="L37" s="42">
        <v>1</v>
      </c>
      <c r="M37" s="42">
        <v>1</v>
      </c>
      <c r="N37" s="42">
        <v>2</v>
      </c>
      <c r="O37" s="42">
        <v>1</v>
      </c>
      <c r="P37" s="43">
        <v>2</v>
      </c>
      <c r="Q37" s="42">
        <v>2</v>
      </c>
      <c r="R37" s="42">
        <v>4</v>
      </c>
      <c r="S37" s="42">
        <v>3</v>
      </c>
      <c r="T37" s="42">
        <v>4</v>
      </c>
      <c r="U37" s="43">
        <v>3</v>
      </c>
      <c r="V37" s="42">
        <v>8</v>
      </c>
      <c r="W37" s="42">
        <v>9</v>
      </c>
      <c r="X37" s="42">
        <v>1</v>
      </c>
      <c r="Y37" s="43">
        <v>1</v>
      </c>
      <c r="Z37" s="42" t="s">
        <v>45</v>
      </c>
      <c r="AA37" s="42" t="s">
        <v>45</v>
      </c>
      <c r="AB37" s="42" t="s">
        <v>45</v>
      </c>
      <c r="AC37" s="42">
        <v>3</v>
      </c>
      <c r="AD37" s="42" t="s">
        <v>45</v>
      </c>
      <c r="AE37" s="42" t="s">
        <v>45</v>
      </c>
      <c r="AF37" s="42" t="s">
        <v>45</v>
      </c>
      <c r="AG37" s="43">
        <v>3</v>
      </c>
      <c r="AH37" s="42">
        <v>5</v>
      </c>
      <c r="AI37" s="42">
        <v>8</v>
      </c>
      <c r="AJ37" s="43">
        <v>6</v>
      </c>
      <c r="AK37" s="45" t="s">
        <v>593</v>
      </c>
      <c r="AL37" s="45" t="s">
        <v>47</v>
      </c>
      <c r="AM37" s="46"/>
      <c r="AN37" s="46"/>
      <c r="AO37" s="47"/>
      <c r="AP37" s="48"/>
      <c r="AQ37" s="46">
        <f>($AM$3*AM37+$AN$3*AN37+$AO$3*AO37+$AP$3*AP37)+$I$3*VLOOKUP(I37,COND!$A$2:$E$7,4,FALSE)+$J$3*VLOOKUP(J37,COND!$A$2:$C$7,2,FALSE)+$K$3*VLOOKUP(K37,COND!$A$2:$C$7,3,FALSE)+IF(AND($B$2&gt;0,$E37&lt;20),$B$2*25,0)</f>
        <v>50</v>
      </c>
      <c r="AR37" s="49">
        <f>STANDARDIZE(AQ37,AVERAGE($AQ$5:$AQ$537),STDEVP($AQ$5:$AQ$537))</f>
        <v>1.6981617288547248</v>
      </c>
      <c r="AS37" s="47"/>
      <c r="AT37" s="47"/>
      <c r="AU37" s="47"/>
      <c r="AV37" s="47"/>
      <c r="AW37" s="47" t="str">
        <f>IF(AND($Q37&gt;=6,AVERAGE($S37:$T37)&gt;=6),"Likely",IF(OR($Q37&gt;6,AND($Q37=6,AVERAGE($S37:$T37)&gt;=3),AND($Q37&gt;=5,AVERAGE($S37:$T37)&gt;=5),AVERAGE($Q37,$S37:$T37)&gt;5),"Possible","Unlikely"))</f>
        <v>Unlikely</v>
      </c>
      <c r="AX37" s="47"/>
      <c r="AY37" s="47" t="str">
        <f>INDEX(Table5[[#All],[Ovr]],MATCH(Batters[[#This Row],[PID]],Table5[[#All],[PID]],0))</f>
        <v/>
      </c>
      <c r="AZ37" s="47" t="str">
        <f>INDEX(Table5[[#All],[Rnd]],MATCH(Batters[[#This Row],[PID]],Table5[[#All],[PID]],0))</f>
        <v/>
      </c>
      <c r="BA37" s="47" t="str">
        <f>INDEX(Table5[[#All],[Pick]],MATCH(Batters[[#This Row],[PID]],Table5[[#All],[PID]],0))</f>
        <v/>
      </c>
      <c r="BB37" s="47" t="str">
        <f>INDEX(Table5[[#All],[Team]],MATCH(Batters[[#This Row],[PID]],Table5[[#All],[PID]],0))</f>
        <v/>
      </c>
    </row>
    <row r="38" spans="1:54" ht="15" customHeight="1" x14ac:dyDescent="0.25">
      <c r="A38" s="42">
        <v>11088</v>
      </c>
      <c r="B38" s="42" t="s">
        <v>86</v>
      </c>
      <c r="C38" s="42" t="s">
        <v>1398</v>
      </c>
      <c r="D38" s="42" t="s">
        <v>1399</v>
      </c>
      <c r="E38" s="42">
        <v>18</v>
      </c>
      <c r="F38" s="42" t="s">
        <v>62</v>
      </c>
      <c r="G38" s="42" t="s">
        <v>42</v>
      </c>
      <c r="H38" s="43" t="s">
        <v>711</v>
      </c>
      <c r="I38" s="44" t="s">
        <v>43</v>
      </c>
      <c r="J38" s="42" t="s">
        <v>43</v>
      </c>
      <c r="K38" s="43" t="s">
        <v>43</v>
      </c>
      <c r="L38" s="42">
        <v>1</v>
      </c>
      <c r="M38" s="42">
        <v>1</v>
      </c>
      <c r="N38" s="42">
        <v>2</v>
      </c>
      <c r="O38" s="42">
        <v>1</v>
      </c>
      <c r="P38" s="43">
        <v>1</v>
      </c>
      <c r="Q38" s="42">
        <v>2</v>
      </c>
      <c r="R38" s="42">
        <v>3</v>
      </c>
      <c r="S38" s="42">
        <v>3</v>
      </c>
      <c r="T38" s="42">
        <v>5</v>
      </c>
      <c r="U38" s="43">
        <v>1</v>
      </c>
      <c r="V38" s="42">
        <v>6</v>
      </c>
      <c r="W38" s="42">
        <v>5</v>
      </c>
      <c r="X38" s="42">
        <v>8</v>
      </c>
      <c r="Y38" s="43">
        <v>6</v>
      </c>
      <c r="Z38" s="42">
        <v>3</v>
      </c>
      <c r="AA38" s="42" t="s">
        <v>45</v>
      </c>
      <c r="AB38" s="42" t="s">
        <v>45</v>
      </c>
      <c r="AC38" s="42" t="s">
        <v>45</v>
      </c>
      <c r="AD38" s="42" t="s">
        <v>45</v>
      </c>
      <c r="AE38" s="42" t="s">
        <v>45</v>
      </c>
      <c r="AF38" s="42" t="s">
        <v>45</v>
      </c>
      <c r="AG38" s="43" t="s">
        <v>45</v>
      </c>
      <c r="AH38" s="42">
        <v>1</v>
      </c>
      <c r="AI38" s="42">
        <v>1</v>
      </c>
      <c r="AJ38" s="43">
        <v>1</v>
      </c>
      <c r="AK38" s="45" t="s">
        <v>718</v>
      </c>
      <c r="AL38" s="45" t="s">
        <v>47</v>
      </c>
      <c r="AM38" s="46"/>
      <c r="AN38" s="46"/>
      <c r="AO38" s="47"/>
      <c r="AP38" s="48"/>
      <c r="AQ38" s="46">
        <f>($AM$3*AM38+$AN$3*AN38+$AO$3*AO38+$AP$3*AP38)+$I$3*VLOOKUP(I38,COND!$A$2:$E$7,4,FALSE)+$J$3*VLOOKUP(J38,COND!$A$2:$C$7,2,FALSE)+$K$3*VLOOKUP(K38,COND!$A$2:$C$7,3,FALSE)+IF(AND($B$2&gt;0,$E38&lt;20),$B$2*25,0)</f>
        <v>50</v>
      </c>
      <c r="AR38" s="49">
        <f>STANDARDIZE(AQ38,AVERAGE($AQ$5:$AQ$537),STDEVP($AQ$5:$AQ$537))</f>
        <v>1.6981617288547248</v>
      </c>
      <c r="AS38" s="47"/>
      <c r="AT38" s="47"/>
      <c r="AU38" s="47"/>
      <c r="AV38" s="47"/>
      <c r="AW38" s="47" t="str">
        <f>IF(AND($Q38&gt;=6,AVERAGE($S38:$T38)&gt;=6),"Likely",IF(OR($Q38&gt;6,AND($Q38=6,AVERAGE($S38:$T38)&gt;=3),AND($Q38&gt;=5,AVERAGE($S38:$T38)&gt;=5),AVERAGE($Q38,$S38:$T38)&gt;5),"Possible","Unlikely"))</f>
        <v>Unlikely</v>
      </c>
      <c r="AX38" s="47"/>
      <c r="AY38" s="47" t="str">
        <f>INDEX(Table5[[#All],[Ovr]],MATCH(Batters[[#This Row],[PID]],Table5[[#All],[PID]],0))</f>
        <v/>
      </c>
      <c r="AZ38" s="47" t="str">
        <f>INDEX(Table5[[#All],[Rnd]],MATCH(Batters[[#This Row],[PID]],Table5[[#All],[PID]],0))</f>
        <v/>
      </c>
      <c r="BA38" s="47" t="str">
        <f>INDEX(Table5[[#All],[Pick]],MATCH(Batters[[#This Row],[PID]],Table5[[#All],[PID]],0))</f>
        <v/>
      </c>
      <c r="BB38" s="47" t="str">
        <f>INDEX(Table5[[#All],[Team]],MATCH(Batters[[#This Row],[PID]],Table5[[#All],[PID]],0))</f>
        <v/>
      </c>
    </row>
    <row r="39" spans="1:54" ht="15" customHeight="1" x14ac:dyDescent="0.25">
      <c r="A39" s="42">
        <v>14804</v>
      </c>
      <c r="B39" s="42" t="s">
        <v>86</v>
      </c>
      <c r="C39" s="42" t="s">
        <v>455</v>
      </c>
      <c r="D39" s="42" t="s">
        <v>955</v>
      </c>
      <c r="E39" s="42">
        <v>18</v>
      </c>
      <c r="F39" s="42" t="s">
        <v>42</v>
      </c>
      <c r="G39" s="42" t="s">
        <v>42</v>
      </c>
      <c r="H39" s="43" t="s">
        <v>709</v>
      </c>
      <c r="I39" s="44" t="s">
        <v>43</v>
      </c>
      <c r="J39" s="42" t="s">
        <v>43</v>
      </c>
      <c r="K39" s="43" t="s">
        <v>43</v>
      </c>
      <c r="L39" s="42">
        <v>1</v>
      </c>
      <c r="M39" s="42">
        <v>1</v>
      </c>
      <c r="N39" s="42">
        <v>3</v>
      </c>
      <c r="O39" s="42">
        <v>2</v>
      </c>
      <c r="P39" s="43">
        <v>1</v>
      </c>
      <c r="Q39" s="42">
        <v>2</v>
      </c>
      <c r="R39" s="42">
        <v>3</v>
      </c>
      <c r="S39" s="42">
        <v>5</v>
      </c>
      <c r="T39" s="42">
        <v>6</v>
      </c>
      <c r="U39" s="43">
        <v>2</v>
      </c>
      <c r="V39" s="42">
        <v>1</v>
      </c>
      <c r="W39" s="42">
        <v>1</v>
      </c>
      <c r="X39" s="42">
        <v>5</v>
      </c>
      <c r="Y39" s="43">
        <v>4</v>
      </c>
      <c r="Z39" s="42" t="s">
        <v>45</v>
      </c>
      <c r="AA39" s="42" t="s">
        <v>45</v>
      </c>
      <c r="AB39" s="42" t="s">
        <v>45</v>
      </c>
      <c r="AC39" s="42" t="s">
        <v>45</v>
      </c>
      <c r="AD39" s="42" t="s">
        <v>45</v>
      </c>
      <c r="AE39" s="42" t="s">
        <v>45</v>
      </c>
      <c r="AF39" s="42" t="s">
        <v>45</v>
      </c>
      <c r="AG39" s="43" t="s">
        <v>45</v>
      </c>
      <c r="AH39" s="42">
        <v>1</v>
      </c>
      <c r="AI39" s="42">
        <v>1</v>
      </c>
      <c r="AJ39" s="43">
        <v>1</v>
      </c>
      <c r="AK39" s="45" t="s">
        <v>730</v>
      </c>
      <c r="AL39" s="45" t="s">
        <v>705</v>
      </c>
      <c r="AM39" s="46"/>
      <c r="AN39" s="46"/>
      <c r="AO39" s="47"/>
      <c r="AP39" s="48"/>
      <c r="AQ39" s="46">
        <f>($AM$3*AM39+$AN$3*AN39+$AO$3*AO39+$AP$3*AP39)+$I$3*VLOOKUP(I39,COND!$A$2:$E$7,4,FALSE)+$J$3*VLOOKUP(J39,COND!$A$2:$C$7,2,FALSE)+$K$3*VLOOKUP(K39,COND!$A$2:$C$7,3,FALSE)+IF(AND($B$2&gt;0,$E39&lt;20),$B$2*25,0)</f>
        <v>50</v>
      </c>
      <c r="AR39" s="49">
        <f>STANDARDIZE(AQ39,AVERAGE($AQ$5:$AQ$537),STDEVP($AQ$5:$AQ$537))</f>
        <v>1.6981617288547248</v>
      </c>
      <c r="AS39" s="47"/>
      <c r="AT39" s="47"/>
      <c r="AU39" s="47"/>
      <c r="AV39" s="47"/>
      <c r="AW39" s="47" t="str">
        <f>IF(AND($Q39&gt;=6,AVERAGE($S39:$T39)&gt;=6),"Likely",IF(OR($Q39&gt;6,AND($Q39=6,AVERAGE($S39:$T39)&gt;=3),AND($Q39&gt;=5,AVERAGE($S39:$T39)&gt;=5),AVERAGE($Q39,$S39:$T39)&gt;5),"Possible","Unlikely"))</f>
        <v>Unlikely</v>
      </c>
      <c r="AX39" s="47"/>
      <c r="AY39" s="47" t="str">
        <f>INDEX(Table5[[#All],[Ovr]],MATCH(Batters[[#This Row],[PID]],Table5[[#All],[PID]],0))</f>
        <v/>
      </c>
      <c r="AZ39" s="47" t="str">
        <f>INDEX(Table5[[#All],[Rnd]],MATCH(Batters[[#This Row],[PID]],Table5[[#All],[PID]],0))</f>
        <v/>
      </c>
      <c r="BA39" s="47" t="str">
        <f>INDEX(Table5[[#All],[Pick]],MATCH(Batters[[#This Row],[PID]],Table5[[#All],[PID]],0))</f>
        <v/>
      </c>
      <c r="BB39" s="47" t="str">
        <f>INDEX(Table5[[#All],[Team]],MATCH(Batters[[#This Row],[PID]],Table5[[#All],[PID]],0))</f>
        <v/>
      </c>
    </row>
    <row r="40" spans="1:54" ht="15" customHeight="1" x14ac:dyDescent="0.25">
      <c r="A40" s="42">
        <v>7432</v>
      </c>
      <c r="B40" s="42" t="s">
        <v>74</v>
      </c>
      <c r="C40" s="42" t="s">
        <v>125</v>
      </c>
      <c r="D40" s="42" t="s">
        <v>1402</v>
      </c>
      <c r="E40" s="42">
        <v>17</v>
      </c>
      <c r="F40" s="42" t="s">
        <v>42</v>
      </c>
      <c r="G40" s="42" t="s">
        <v>42</v>
      </c>
      <c r="H40" s="43" t="s">
        <v>711</v>
      </c>
      <c r="I40" s="44" t="s">
        <v>43</v>
      </c>
      <c r="J40" s="42" t="s">
        <v>43</v>
      </c>
      <c r="K40" s="43" t="s">
        <v>43</v>
      </c>
      <c r="L40" s="42">
        <v>1</v>
      </c>
      <c r="M40" s="42">
        <v>1</v>
      </c>
      <c r="N40" s="42">
        <v>2</v>
      </c>
      <c r="O40" s="42">
        <v>1</v>
      </c>
      <c r="P40" s="43">
        <v>1</v>
      </c>
      <c r="Q40" s="42">
        <v>2</v>
      </c>
      <c r="R40" s="42">
        <v>3</v>
      </c>
      <c r="S40" s="42">
        <v>4</v>
      </c>
      <c r="T40" s="42">
        <v>5</v>
      </c>
      <c r="U40" s="43">
        <v>2</v>
      </c>
      <c r="V40" s="42">
        <v>5</v>
      </c>
      <c r="W40" s="42">
        <v>6</v>
      </c>
      <c r="X40" s="42">
        <v>1</v>
      </c>
      <c r="Y40" s="43">
        <v>1</v>
      </c>
      <c r="Z40" s="42" t="s">
        <v>45</v>
      </c>
      <c r="AA40" s="42" t="s">
        <v>45</v>
      </c>
      <c r="AB40" s="42" t="s">
        <v>45</v>
      </c>
      <c r="AC40" s="42" t="s">
        <v>45</v>
      </c>
      <c r="AD40" s="42">
        <v>1</v>
      </c>
      <c r="AE40" s="42" t="s">
        <v>45</v>
      </c>
      <c r="AF40" s="42">
        <v>3</v>
      </c>
      <c r="AG40" s="43" t="s">
        <v>45</v>
      </c>
      <c r="AH40" s="42">
        <v>7</v>
      </c>
      <c r="AI40" s="42">
        <v>4</v>
      </c>
      <c r="AJ40" s="43">
        <v>3</v>
      </c>
      <c r="AK40" s="45" t="s">
        <v>718</v>
      </c>
      <c r="AL40" s="45" t="s">
        <v>47</v>
      </c>
      <c r="AM40" s="46"/>
      <c r="AN40" s="46"/>
      <c r="AO40" s="47"/>
      <c r="AP40" s="48"/>
      <c r="AQ40" s="46">
        <f>($AM$3*AM40+$AN$3*AN40+$AO$3*AO40+$AP$3*AP40)+$I$3*VLOOKUP(I40,COND!$A$2:$E$7,4,FALSE)+$J$3*VLOOKUP(J40,COND!$A$2:$C$7,2,FALSE)+$K$3*VLOOKUP(K40,COND!$A$2:$C$7,3,FALSE)+IF(AND($B$2&gt;0,$E40&lt;20),$B$2*25,0)</f>
        <v>50</v>
      </c>
      <c r="AR40" s="49">
        <f>STANDARDIZE(AQ40,AVERAGE($AQ$5:$AQ$537),STDEVP($AQ$5:$AQ$537))</f>
        <v>1.6981617288547248</v>
      </c>
      <c r="AS40" s="47"/>
      <c r="AT40" s="47"/>
      <c r="AU40" s="47"/>
      <c r="AV40" s="47"/>
      <c r="AW40" s="47" t="str">
        <f>IF(AND($Q40&gt;=6,AVERAGE($S40:$T40)&gt;=6),"Likely",IF(OR($Q40&gt;6,AND($Q40=6,AVERAGE($S40:$T40)&gt;=3),AND($Q40&gt;=5,AVERAGE($S40:$T40)&gt;=5),AVERAGE($Q40,$S40:$T40)&gt;5),"Possible","Unlikely"))</f>
        <v>Unlikely</v>
      </c>
      <c r="AX40" s="47"/>
      <c r="AY40" s="47" t="str">
        <f>INDEX(Table5[[#All],[Ovr]],MATCH(Batters[[#This Row],[PID]],Table5[[#All],[PID]],0))</f>
        <v/>
      </c>
      <c r="AZ40" s="47" t="str">
        <f>INDEX(Table5[[#All],[Rnd]],MATCH(Batters[[#This Row],[PID]],Table5[[#All],[PID]],0))</f>
        <v/>
      </c>
      <c r="BA40" s="47" t="str">
        <f>INDEX(Table5[[#All],[Pick]],MATCH(Batters[[#This Row],[PID]],Table5[[#All],[PID]],0))</f>
        <v/>
      </c>
      <c r="BB40" s="47" t="str">
        <f>INDEX(Table5[[#All],[Team]],MATCH(Batters[[#This Row],[PID]],Table5[[#All],[PID]],0))</f>
        <v/>
      </c>
    </row>
    <row r="41" spans="1:54" ht="15" customHeight="1" x14ac:dyDescent="0.25">
      <c r="A41" s="42">
        <v>6403</v>
      </c>
      <c r="B41" s="42" t="s">
        <v>86</v>
      </c>
      <c r="C41" s="42" t="s">
        <v>1412</v>
      </c>
      <c r="D41" s="42" t="s">
        <v>404</v>
      </c>
      <c r="E41" s="42">
        <v>17</v>
      </c>
      <c r="F41" s="42" t="s">
        <v>42</v>
      </c>
      <c r="G41" s="42" t="s">
        <v>42</v>
      </c>
      <c r="H41" s="43" t="s">
        <v>709</v>
      </c>
      <c r="I41" s="44" t="s">
        <v>43</v>
      </c>
      <c r="J41" s="42" t="s">
        <v>43</v>
      </c>
      <c r="K41" s="43" t="s">
        <v>43</v>
      </c>
      <c r="L41" s="42">
        <v>1</v>
      </c>
      <c r="M41" s="42">
        <v>2</v>
      </c>
      <c r="N41" s="42">
        <v>2</v>
      </c>
      <c r="O41" s="42">
        <v>2</v>
      </c>
      <c r="P41" s="43">
        <v>1</v>
      </c>
      <c r="Q41" s="42">
        <v>2</v>
      </c>
      <c r="R41" s="42">
        <v>5</v>
      </c>
      <c r="S41" s="42">
        <v>4</v>
      </c>
      <c r="T41" s="42">
        <v>5</v>
      </c>
      <c r="U41" s="43">
        <v>2</v>
      </c>
      <c r="V41" s="42">
        <v>2</v>
      </c>
      <c r="W41" s="42">
        <v>3</v>
      </c>
      <c r="X41" s="42">
        <v>3</v>
      </c>
      <c r="Y41" s="43">
        <v>4</v>
      </c>
      <c r="Z41" s="42" t="s">
        <v>45</v>
      </c>
      <c r="AA41" s="42" t="s">
        <v>45</v>
      </c>
      <c r="AB41" s="42" t="s">
        <v>45</v>
      </c>
      <c r="AC41" s="42" t="s">
        <v>45</v>
      </c>
      <c r="AD41" s="42" t="s">
        <v>45</v>
      </c>
      <c r="AE41" s="42" t="s">
        <v>45</v>
      </c>
      <c r="AF41" s="42" t="s">
        <v>45</v>
      </c>
      <c r="AG41" s="43" t="s">
        <v>45</v>
      </c>
      <c r="AH41" s="42">
        <v>1</v>
      </c>
      <c r="AI41" s="42">
        <v>5</v>
      </c>
      <c r="AJ41" s="43">
        <v>1</v>
      </c>
      <c r="AK41" s="45" t="s">
        <v>718</v>
      </c>
      <c r="AL41" s="45" t="s">
        <v>47</v>
      </c>
      <c r="AM41" s="46"/>
      <c r="AN41" s="46"/>
      <c r="AO41" s="47"/>
      <c r="AP41" s="48"/>
      <c r="AQ41" s="46">
        <f>($AM$3*AM41+$AN$3*AN41+$AO$3*AO41+$AP$3*AP41)+$I$3*VLOOKUP(I41,COND!$A$2:$E$7,4,FALSE)+$J$3*VLOOKUP(J41,COND!$A$2:$C$7,2,FALSE)+$K$3*VLOOKUP(K41,COND!$A$2:$C$7,3,FALSE)+IF(AND($B$2&gt;0,$E41&lt;20),$B$2*25,0)</f>
        <v>50</v>
      </c>
      <c r="AR41" s="49">
        <f>STANDARDIZE(AQ41,AVERAGE($AQ$5:$AQ$537),STDEVP($AQ$5:$AQ$537))</f>
        <v>1.6981617288547248</v>
      </c>
      <c r="AS41" s="47"/>
      <c r="AT41" s="47"/>
      <c r="AU41" s="47"/>
      <c r="AV41" s="47"/>
      <c r="AW41" s="47" t="str">
        <f>IF(AND($Q41&gt;=6,AVERAGE($S41:$T41)&gt;=6),"Likely",IF(OR($Q41&gt;6,AND($Q41=6,AVERAGE($S41:$T41)&gt;=3),AND($Q41&gt;=5,AVERAGE($S41:$T41)&gt;=5),AVERAGE($Q41,$S41:$T41)&gt;5),"Possible","Unlikely"))</f>
        <v>Unlikely</v>
      </c>
      <c r="AX41" s="47"/>
      <c r="AY41" s="47" t="str">
        <f>INDEX(Table5[[#All],[Ovr]],MATCH(Batters[[#This Row],[PID]],Table5[[#All],[PID]],0))</f>
        <v/>
      </c>
      <c r="AZ41" s="47" t="str">
        <f>INDEX(Table5[[#All],[Rnd]],MATCH(Batters[[#This Row],[PID]],Table5[[#All],[PID]],0))</f>
        <v/>
      </c>
      <c r="BA41" s="47" t="str">
        <f>INDEX(Table5[[#All],[Pick]],MATCH(Batters[[#This Row],[PID]],Table5[[#All],[PID]],0))</f>
        <v/>
      </c>
      <c r="BB41" s="47" t="str">
        <f>INDEX(Table5[[#All],[Team]],MATCH(Batters[[#This Row],[PID]],Table5[[#All],[PID]],0))</f>
        <v/>
      </c>
    </row>
    <row r="42" spans="1:54" ht="15" customHeight="1" x14ac:dyDescent="0.25">
      <c r="A42" s="42">
        <v>8331</v>
      </c>
      <c r="B42" s="42" t="s">
        <v>50</v>
      </c>
      <c r="C42" s="42" t="s">
        <v>128</v>
      </c>
      <c r="D42" s="42" t="s">
        <v>1419</v>
      </c>
      <c r="E42" s="42">
        <v>18</v>
      </c>
      <c r="F42" s="42" t="s">
        <v>53</v>
      </c>
      <c r="G42" s="42" t="s">
        <v>53</v>
      </c>
      <c r="H42" s="43" t="s">
        <v>721</v>
      </c>
      <c r="I42" s="44" t="s">
        <v>43</v>
      </c>
      <c r="J42" s="42" t="s">
        <v>43</v>
      </c>
      <c r="K42" s="43" t="s">
        <v>43</v>
      </c>
      <c r="L42" s="42">
        <v>1</v>
      </c>
      <c r="M42" s="42">
        <v>1</v>
      </c>
      <c r="N42" s="42">
        <v>2</v>
      </c>
      <c r="O42" s="42">
        <v>1</v>
      </c>
      <c r="P42" s="43">
        <v>1</v>
      </c>
      <c r="Q42" s="42">
        <v>2</v>
      </c>
      <c r="R42" s="42">
        <v>3</v>
      </c>
      <c r="S42" s="42">
        <v>3</v>
      </c>
      <c r="T42" s="42">
        <v>5</v>
      </c>
      <c r="U42" s="43">
        <v>3</v>
      </c>
      <c r="V42" s="42">
        <v>5</v>
      </c>
      <c r="W42" s="42">
        <v>6</v>
      </c>
      <c r="X42" s="42">
        <v>1</v>
      </c>
      <c r="Y42" s="43">
        <v>1</v>
      </c>
      <c r="Z42" s="42" t="s">
        <v>45</v>
      </c>
      <c r="AA42" s="42" t="s">
        <v>45</v>
      </c>
      <c r="AB42" s="42" t="s">
        <v>45</v>
      </c>
      <c r="AC42" s="42" t="s">
        <v>45</v>
      </c>
      <c r="AD42" s="42" t="s">
        <v>45</v>
      </c>
      <c r="AE42" s="42">
        <v>4</v>
      </c>
      <c r="AF42" s="42" t="s">
        <v>45</v>
      </c>
      <c r="AG42" s="43" t="s">
        <v>45</v>
      </c>
      <c r="AH42" s="42">
        <v>6</v>
      </c>
      <c r="AI42" s="42">
        <v>7</v>
      </c>
      <c r="AJ42" s="43">
        <v>8</v>
      </c>
      <c r="AK42" s="45" t="s">
        <v>627</v>
      </c>
      <c r="AL42" s="45" t="s">
        <v>47</v>
      </c>
      <c r="AM42" s="46"/>
      <c r="AN42" s="46"/>
      <c r="AO42" s="47"/>
      <c r="AP42" s="48"/>
      <c r="AQ42" s="46">
        <f>($AM$3*AM42+$AN$3*AN42+$AO$3*AO42+$AP$3*AP42)+$I$3*VLOOKUP(I42,COND!$A$2:$E$7,4,FALSE)+$J$3*VLOOKUP(J42,COND!$A$2:$C$7,2,FALSE)+$K$3*VLOOKUP(K42,COND!$A$2:$C$7,3,FALSE)+IF(AND($B$2&gt;0,$E42&lt;20),$B$2*25,0)</f>
        <v>50</v>
      </c>
      <c r="AR42" s="49">
        <f>STANDARDIZE(AQ42,AVERAGE($AQ$5:$AQ$537),STDEVP($AQ$5:$AQ$537))</f>
        <v>1.6981617288547248</v>
      </c>
      <c r="AS42" s="47"/>
      <c r="AT42" s="47"/>
      <c r="AU42" s="47"/>
      <c r="AV42" s="47"/>
      <c r="AW42" s="47" t="str">
        <f>IF(AND($Q42&gt;=6,AVERAGE($S42:$T42)&gt;=6),"Likely",IF(OR($Q42&gt;6,AND($Q42=6,AVERAGE($S42:$T42)&gt;=3),AND($Q42&gt;=5,AVERAGE($S42:$T42)&gt;=5),AVERAGE($Q42,$S42:$T42)&gt;5),"Possible","Unlikely"))</f>
        <v>Unlikely</v>
      </c>
      <c r="AX42" s="47"/>
      <c r="AY42" s="47" t="str">
        <f>INDEX(Table5[[#All],[Ovr]],MATCH(Batters[[#This Row],[PID]],Table5[[#All],[PID]],0))</f>
        <v/>
      </c>
      <c r="AZ42" s="47" t="str">
        <f>INDEX(Table5[[#All],[Rnd]],MATCH(Batters[[#This Row],[PID]],Table5[[#All],[PID]],0))</f>
        <v/>
      </c>
      <c r="BA42" s="47" t="str">
        <f>INDEX(Table5[[#All],[Pick]],MATCH(Batters[[#This Row],[PID]],Table5[[#All],[PID]],0))</f>
        <v/>
      </c>
      <c r="BB42" s="47" t="str">
        <f>INDEX(Table5[[#All],[Team]],MATCH(Batters[[#This Row],[PID]],Table5[[#All],[PID]],0))</f>
        <v/>
      </c>
    </row>
    <row r="43" spans="1:54" ht="15" customHeight="1" x14ac:dyDescent="0.25">
      <c r="A43" s="42">
        <v>8094</v>
      </c>
      <c r="B43" s="42" t="s">
        <v>86</v>
      </c>
      <c r="C43" s="42" t="s">
        <v>199</v>
      </c>
      <c r="D43" s="42" t="s">
        <v>162</v>
      </c>
      <c r="E43" s="42">
        <v>18</v>
      </c>
      <c r="F43" s="42" t="s">
        <v>42</v>
      </c>
      <c r="G43" s="42" t="s">
        <v>42</v>
      </c>
      <c r="H43" s="43" t="s">
        <v>709</v>
      </c>
      <c r="I43" s="44" t="s">
        <v>43</v>
      </c>
      <c r="J43" s="42" t="s">
        <v>43</v>
      </c>
      <c r="K43" s="43" t="s">
        <v>43</v>
      </c>
      <c r="L43" s="42">
        <v>1</v>
      </c>
      <c r="M43" s="42">
        <v>2</v>
      </c>
      <c r="N43" s="42">
        <v>2</v>
      </c>
      <c r="O43" s="42">
        <v>1</v>
      </c>
      <c r="P43" s="43">
        <v>1</v>
      </c>
      <c r="Q43" s="42">
        <v>2</v>
      </c>
      <c r="R43" s="42">
        <v>3</v>
      </c>
      <c r="S43" s="42">
        <v>3</v>
      </c>
      <c r="T43" s="42">
        <v>4</v>
      </c>
      <c r="U43" s="43">
        <v>2</v>
      </c>
      <c r="V43" s="42">
        <v>4</v>
      </c>
      <c r="W43" s="42">
        <v>4</v>
      </c>
      <c r="X43" s="42">
        <v>5</v>
      </c>
      <c r="Y43" s="43">
        <v>8</v>
      </c>
      <c r="Z43" s="42">
        <v>2</v>
      </c>
      <c r="AA43" s="42" t="s">
        <v>45</v>
      </c>
      <c r="AB43" s="42" t="s">
        <v>45</v>
      </c>
      <c r="AC43" s="42" t="s">
        <v>45</v>
      </c>
      <c r="AD43" s="42" t="s">
        <v>45</v>
      </c>
      <c r="AE43" s="42" t="s">
        <v>45</v>
      </c>
      <c r="AF43" s="42" t="s">
        <v>45</v>
      </c>
      <c r="AG43" s="43" t="s">
        <v>45</v>
      </c>
      <c r="AH43" s="42">
        <v>3</v>
      </c>
      <c r="AI43" s="42">
        <v>1</v>
      </c>
      <c r="AJ43" s="43">
        <v>1</v>
      </c>
      <c r="AK43" s="45" t="s">
        <v>739</v>
      </c>
      <c r="AL43" s="45" t="s">
        <v>47</v>
      </c>
      <c r="AM43" s="46"/>
      <c r="AN43" s="46"/>
      <c r="AO43" s="47"/>
      <c r="AP43" s="48"/>
      <c r="AQ43" s="46">
        <f>($AM$3*AM43+$AN$3*AN43+$AO$3*AO43+$AP$3*AP43)+$I$3*VLOOKUP(I43,COND!$A$2:$E$7,4,FALSE)+$J$3*VLOOKUP(J43,COND!$A$2:$C$7,2,FALSE)+$K$3*VLOOKUP(K43,COND!$A$2:$C$7,3,FALSE)+IF(AND($B$2&gt;0,$E43&lt;20),$B$2*25,0)</f>
        <v>50</v>
      </c>
      <c r="AR43" s="49">
        <f>STANDARDIZE(AQ43,AVERAGE($AQ$5:$AQ$537),STDEVP($AQ$5:$AQ$537))</f>
        <v>1.6981617288547248</v>
      </c>
      <c r="AS43" s="47"/>
      <c r="AT43" s="47"/>
      <c r="AU43" s="47"/>
      <c r="AV43" s="47"/>
      <c r="AW43" s="47" t="str">
        <f>IF(AND($Q43&gt;=6,AVERAGE($S43:$T43)&gt;=6),"Likely",IF(OR($Q43&gt;6,AND($Q43=6,AVERAGE($S43:$T43)&gt;=3),AND($Q43&gt;=5,AVERAGE($S43:$T43)&gt;=5),AVERAGE($Q43,$S43:$T43)&gt;5),"Possible","Unlikely"))</f>
        <v>Unlikely</v>
      </c>
      <c r="AX43" s="47"/>
      <c r="AY43" s="47" t="str">
        <f>INDEX(Table5[[#All],[Ovr]],MATCH(Batters[[#This Row],[PID]],Table5[[#All],[PID]],0))</f>
        <v/>
      </c>
      <c r="AZ43" s="47" t="str">
        <f>INDEX(Table5[[#All],[Rnd]],MATCH(Batters[[#This Row],[PID]],Table5[[#All],[PID]],0))</f>
        <v/>
      </c>
      <c r="BA43" s="47" t="str">
        <f>INDEX(Table5[[#All],[Pick]],MATCH(Batters[[#This Row],[PID]],Table5[[#All],[PID]],0))</f>
        <v/>
      </c>
      <c r="BB43" s="47" t="str">
        <f>INDEX(Table5[[#All],[Team]],MATCH(Batters[[#This Row],[PID]],Table5[[#All],[PID]],0))</f>
        <v/>
      </c>
    </row>
    <row r="44" spans="1:54" ht="15" customHeight="1" x14ac:dyDescent="0.25">
      <c r="A44" s="42">
        <v>13612</v>
      </c>
      <c r="B44" s="42" t="s">
        <v>69</v>
      </c>
      <c r="C44" s="42" t="s">
        <v>205</v>
      </c>
      <c r="D44" s="42" t="s">
        <v>906</v>
      </c>
      <c r="E44" s="42">
        <v>18</v>
      </c>
      <c r="F44" s="42" t="s">
        <v>42</v>
      </c>
      <c r="G44" s="42" t="s">
        <v>42</v>
      </c>
      <c r="H44" s="43" t="s">
        <v>711</v>
      </c>
      <c r="I44" s="44" t="s">
        <v>43</v>
      </c>
      <c r="J44" s="42" t="s">
        <v>44</v>
      </c>
      <c r="K44" s="43" t="s">
        <v>47</v>
      </c>
      <c r="L44" s="42">
        <v>1</v>
      </c>
      <c r="M44" s="42">
        <v>1</v>
      </c>
      <c r="N44" s="42">
        <v>2</v>
      </c>
      <c r="O44" s="42">
        <v>1</v>
      </c>
      <c r="P44" s="43">
        <v>1</v>
      </c>
      <c r="Q44" s="42">
        <v>2</v>
      </c>
      <c r="R44" s="42">
        <v>3</v>
      </c>
      <c r="S44" s="42">
        <v>3</v>
      </c>
      <c r="T44" s="42">
        <v>5</v>
      </c>
      <c r="U44" s="43">
        <v>2</v>
      </c>
      <c r="V44" s="42">
        <v>9</v>
      </c>
      <c r="W44" s="42">
        <v>9</v>
      </c>
      <c r="X44" s="42">
        <v>1</v>
      </c>
      <c r="Y44" s="43">
        <v>1</v>
      </c>
      <c r="Z44" s="42" t="s">
        <v>45</v>
      </c>
      <c r="AA44" s="42" t="s">
        <v>45</v>
      </c>
      <c r="AB44" s="42" t="s">
        <v>45</v>
      </c>
      <c r="AC44" s="42">
        <v>3</v>
      </c>
      <c r="AD44" s="42" t="s">
        <v>45</v>
      </c>
      <c r="AE44" s="42" t="s">
        <v>45</v>
      </c>
      <c r="AF44" s="42" t="s">
        <v>45</v>
      </c>
      <c r="AG44" s="43" t="s">
        <v>45</v>
      </c>
      <c r="AH44" s="42">
        <v>8</v>
      </c>
      <c r="AI44" s="42">
        <v>5</v>
      </c>
      <c r="AJ44" s="43">
        <v>5</v>
      </c>
      <c r="AK44" s="45" t="s">
        <v>730</v>
      </c>
      <c r="AL44" s="45" t="s">
        <v>47</v>
      </c>
      <c r="AM44" s="46"/>
      <c r="AN44" s="46"/>
      <c r="AO44" s="47"/>
      <c r="AP44" s="48"/>
      <c r="AQ44" s="46">
        <f>($AM$3*AM44+$AN$3*AN44+$AO$3*AO44+$AP$3*AP44)+$I$3*VLOOKUP(I44,COND!$A$2:$E$7,4,FALSE)+$J$3*VLOOKUP(J44,COND!$A$2:$C$7,2,FALSE)+$K$3*VLOOKUP(K44,COND!$A$2:$C$7,3,FALSE)+IF(AND($B$2&gt;0,$E44&lt;20),$B$2*25,0)</f>
        <v>50</v>
      </c>
      <c r="AR44" s="49">
        <f>STANDARDIZE(AQ44,AVERAGE($AQ$5:$AQ$537),STDEVP($AQ$5:$AQ$537))</f>
        <v>1.6981617288547248</v>
      </c>
      <c r="AS44" s="47"/>
      <c r="AT44" s="47"/>
      <c r="AU44" s="47"/>
      <c r="AV44" s="47"/>
      <c r="AW44" s="47" t="str">
        <f>IF(AND($Q44&gt;=6,AVERAGE($S44:$T44)&gt;=6),"Likely",IF(OR($Q44&gt;6,AND($Q44=6,AVERAGE($S44:$T44)&gt;=3),AND($Q44&gt;=5,AVERAGE($S44:$T44)&gt;=5),AVERAGE($Q44,$S44:$T44)&gt;5),"Possible","Unlikely"))</f>
        <v>Unlikely</v>
      </c>
      <c r="AX44" s="47"/>
      <c r="AY44" s="47" t="str">
        <f>INDEX(Table5[[#All],[Ovr]],MATCH(Batters[[#This Row],[PID]],Table5[[#All],[PID]],0))</f>
        <v/>
      </c>
      <c r="AZ44" s="47" t="str">
        <f>INDEX(Table5[[#All],[Rnd]],MATCH(Batters[[#This Row],[PID]],Table5[[#All],[PID]],0))</f>
        <v/>
      </c>
      <c r="BA44" s="47" t="str">
        <f>INDEX(Table5[[#All],[Pick]],MATCH(Batters[[#This Row],[PID]],Table5[[#All],[PID]],0))</f>
        <v/>
      </c>
      <c r="BB44" s="47" t="str">
        <f>INDEX(Table5[[#All],[Team]],MATCH(Batters[[#This Row],[PID]],Table5[[#All],[PID]],0))</f>
        <v/>
      </c>
    </row>
    <row r="45" spans="1:54" ht="15" customHeight="1" x14ac:dyDescent="0.25">
      <c r="A45" s="42">
        <v>12328</v>
      </c>
      <c r="B45" s="42" t="s">
        <v>50</v>
      </c>
      <c r="C45" s="42" t="s">
        <v>408</v>
      </c>
      <c r="D45" s="42" t="s">
        <v>153</v>
      </c>
      <c r="E45" s="42">
        <v>18</v>
      </c>
      <c r="F45" s="42" t="s">
        <v>53</v>
      </c>
      <c r="G45" s="42" t="s">
        <v>42</v>
      </c>
      <c r="H45" s="43" t="s">
        <v>721</v>
      </c>
      <c r="I45" s="44" t="s">
        <v>43</v>
      </c>
      <c r="J45" s="42" t="s">
        <v>43</v>
      </c>
      <c r="K45" s="43" t="s">
        <v>43</v>
      </c>
      <c r="L45" s="42">
        <v>1</v>
      </c>
      <c r="M45" s="42">
        <v>1</v>
      </c>
      <c r="N45" s="42">
        <v>2</v>
      </c>
      <c r="O45" s="42">
        <v>1</v>
      </c>
      <c r="P45" s="43">
        <v>1</v>
      </c>
      <c r="Q45" s="42">
        <v>2</v>
      </c>
      <c r="R45" s="42">
        <v>3</v>
      </c>
      <c r="S45" s="42">
        <v>4</v>
      </c>
      <c r="T45" s="42">
        <v>6</v>
      </c>
      <c r="U45" s="43">
        <v>2</v>
      </c>
      <c r="V45" s="42">
        <v>7</v>
      </c>
      <c r="W45" s="42">
        <v>9</v>
      </c>
      <c r="X45" s="42">
        <v>1</v>
      </c>
      <c r="Y45" s="43">
        <v>1</v>
      </c>
      <c r="Z45" s="42" t="s">
        <v>45</v>
      </c>
      <c r="AA45" s="42" t="s">
        <v>45</v>
      </c>
      <c r="AB45" s="42" t="s">
        <v>45</v>
      </c>
      <c r="AC45" s="42" t="s">
        <v>45</v>
      </c>
      <c r="AD45" s="42" t="s">
        <v>45</v>
      </c>
      <c r="AE45" s="42">
        <v>1</v>
      </c>
      <c r="AF45" s="42" t="s">
        <v>45</v>
      </c>
      <c r="AG45" s="43" t="s">
        <v>45</v>
      </c>
      <c r="AH45" s="42">
        <v>1</v>
      </c>
      <c r="AI45" s="42">
        <v>1</v>
      </c>
      <c r="AJ45" s="43">
        <v>1</v>
      </c>
      <c r="AK45" s="45" t="s">
        <v>718</v>
      </c>
      <c r="AL45" s="45" t="s">
        <v>705</v>
      </c>
      <c r="AM45" s="46"/>
      <c r="AN45" s="46"/>
      <c r="AO45" s="47"/>
      <c r="AP45" s="48"/>
      <c r="AQ45" s="46">
        <f>($AM$3*AM45+$AN$3*AN45+$AO$3*AO45+$AP$3*AP45)+$I$3*VLOOKUP(I45,COND!$A$2:$E$7,4,FALSE)+$J$3*VLOOKUP(J45,COND!$A$2:$C$7,2,FALSE)+$K$3*VLOOKUP(K45,COND!$A$2:$C$7,3,FALSE)+IF(AND($B$2&gt;0,$E45&lt;20),$B$2*25,0)</f>
        <v>50</v>
      </c>
      <c r="AR45" s="49">
        <f>STANDARDIZE(AQ45,AVERAGE($AQ$5:$AQ$537),STDEVP($AQ$5:$AQ$537))</f>
        <v>1.6981617288547248</v>
      </c>
      <c r="AS45" s="47"/>
      <c r="AT45" s="47"/>
      <c r="AU45" s="47"/>
      <c r="AV45" s="47"/>
      <c r="AW45" s="47" t="str">
        <f>IF(AND($Q45&gt;=6,AVERAGE($S45:$T45)&gt;=6),"Likely",IF(OR($Q45&gt;6,AND($Q45=6,AVERAGE($S45:$T45)&gt;=3),AND($Q45&gt;=5,AVERAGE($S45:$T45)&gt;=5),AVERAGE($Q45,$S45:$T45)&gt;5),"Possible","Unlikely"))</f>
        <v>Unlikely</v>
      </c>
      <c r="AX45" s="47"/>
      <c r="AY45" s="47" t="str">
        <f>INDEX(Table5[[#All],[Ovr]],MATCH(Batters[[#This Row],[PID]],Table5[[#All],[PID]],0))</f>
        <v/>
      </c>
      <c r="AZ45" s="47" t="str">
        <f>INDEX(Table5[[#All],[Rnd]],MATCH(Batters[[#This Row],[PID]],Table5[[#All],[PID]],0))</f>
        <v/>
      </c>
      <c r="BA45" s="47" t="str">
        <f>INDEX(Table5[[#All],[Pick]],MATCH(Batters[[#This Row],[PID]],Table5[[#All],[PID]],0))</f>
        <v/>
      </c>
      <c r="BB45" s="47" t="str">
        <f>INDEX(Table5[[#All],[Team]],MATCH(Batters[[#This Row],[PID]],Table5[[#All],[PID]],0))</f>
        <v/>
      </c>
    </row>
    <row r="46" spans="1:54" ht="15" customHeight="1" x14ac:dyDescent="0.25">
      <c r="A46" s="42">
        <v>11104</v>
      </c>
      <c r="B46" s="42" t="s">
        <v>87</v>
      </c>
      <c r="C46" s="42" t="s">
        <v>379</v>
      </c>
      <c r="D46" s="42" t="s">
        <v>1430</v>
      </c>
      <c r="E46" s="42">
        <v>18</v>
      </c>
      <c r="F46" s="42" t="s">
        <v>62</v>
      </c>
      <c r="G46" s="42" t="s">
        <v>42</v>
      </c>
      <c r="H46" s="43" t="s">
        <v>721</v>
      </c>
      <c r="I46" s="44" t="s">
        <v>43</v>
      </c>
      <c r="J46" s="42" t="s">
        <v>43</v>
      </c>
      <c r="K46" s="43" t="s">
        <v>43</v>
      </c>
      <c r="L46" s="42">
        <v>1</v>
      </c>
      <c r="M46" s="42">
        <v>1</v>
      </c>
      <c r="N46" s="42">
        <v>2</v>
      </c>
      <c r="O46" s="42">
        <v>1</v>
      </c>
      <c r="P46" s="43">
        <v>1</v>
      </c>
      <c r="Q46" s="42">
        <v>2</v>
      </c>
      <c r="R46" s="42">
        <v>2</v>
      </c>
      <c r="S46" s="42">
        <v>3</v>
      </c>
      <c r="T46" s="42">
        <v>3</v>
      </c>
      <c r="U46" s="43">
        <v>2</v>
      </c>
      <c r="V46" s="42">
        <v>9</v>
      </c>
      <c r="W46" s="42">
        <v>8</v>
      </c>
      <c r="X46" s="42">
        <v>1</v>
      </c>
      <c r="Y46" s="43">
        <v>1</v>
      </c>
      <c r="Z46" s="42" t="s">
        <v>45</v>
      </c>
      <c r="AA46" s="42">
        <v>2</v>
      </c>
      <c r="AB46" s="42" t="s">
        <v>45</v>
      </c>
      <c r="AC46" s="42">
        <v>1</v>
      </c>
      <c r="AD46" s="42" t="s">
        <v>45</v>
      </c>
      <c r="AE46" s="42" t="s">
        <v>45</v>
      </c>
      <c r="AF46" s="42" t="s">
        <v>45</v>
      </c>
      <c r="AG46" s="43" t="s">
        <v>45</v>
      </c>
      <c r="AH46" s="42">
        <v>4</v>
      </c>
      <c r="AI46" s="42">
        <v>4</v>
      </c>
      <c r="AJ46" s="43">
        <v>4</v>
      </c>
      <c r="AK46" s="45" t="s">
        <v>730</v>
      </c>
      <c r="AL46" s="45" t="s">
        <v>705</v>
      </c>
      <c r="AM46" s="46"/>
      <c r="AN46" s="46"/>
      <c r="AO46" s="47"/>
      <c r="AP46" s="48"/>
      <c r="AQ46" s="46">
        <f>($AM$3*AM46+$AN$3*AN46+$AO$3*AO46+$AP$3*AP46)+$I$3*VLOOKUP(I46,COND!$A$2:$E$7,4,FALSE)+$J$3*VLOOKUP(J46,COND!$A$2:$C$7,2,FALSE)+$K$3*VLOOKUP(K46,COND!$A$2:$C$7,3,FALSE)+IF(AND($B$2&gt;0,$E46&lt;20),$B$2*25,0)</f>
        <v>50</v>
      </c>
      <c r="AR46" s="49">
        <f>STANDARDIZE(AQ46,AVERAGE($AQ$5:$AQ$537),STDEVP($AQ$5:$AQ$537))</f>
        <v>1.6981617288547248</v>
      </c>
      <c r="AS46" s="47"/>
      <c r="AT46" s="47"/>
      <c r="AU46" s="47"/>
      <c r="AV46" s="47"/>
      <c r="AW46" s="47" t="str">
        <f>IF(AND($Q46&gt;=6,AVERAGE($S46:$T46)&gt;=6),"Likely",IF(OR($Q46&gt;6,AND($Q46=6,AVERAGE($S46:$T46)&gt;=3),AND($Q46&gt;=5,AVERAGE($S46:$T46)&gt;=5),AVERAGE($Q46,$S46:$T46)&gt;5),"Possible","Unlikely"))</f>
        <v>Unlikely</v>
      </c>
      <c r="AX46" s="47"/>
      <c r="AY46" s="47" t="str">
        <f>INDEX(Table5[[#All],[Ovr]],MATCH(Batters[[#This Row],[PID]],Table5[[#All],[PID]],0))</f>
        <v/>
      </c>
      <c r="AZ46" s="47" t="str">
        <f>INDEX(Table5[[#All],[Rnd]],MATCH(Batters[[#This Row],[PID]],Table5[[#All],[PID]],0))</f>
        <v/>
      </c>
      <c r="BA46" s="47" t="str">
        <f>INDEX(Table5[[#All],[Pick]],MATCH(Batters[[#This Row],[PID]],Table5[[#All],[PID]],0))</f>
        <v/>
      </c>
      <c r="BB46" s="47" t="str">
        <f>INDEX(Table5[[#All],[Team]],MATCH(Batters[[#This Row],[PID]],Table5[[#All],[PID]],0))</f>
        <v/>
      </c>
    </row>
    <row r="47" spans="1:54" ht="15" customHeight="1" x14ac:dyDescent="0.25">
      <c r="A47" s="42">
        <v>13655</v>
      </c>
      <c r="B47" s="42" t="s">
        <v>86</v>
      </c>
      <c r="C47" s="42" t="s">
        <v>198</v>
      </c>
      <c r="D47" s="42" t="s">
        <v>744</v>
      </c>
      <c r="E47" s="42">
        <v>18</v>
      </c>
      <c r="F47" s="42" t="s">
        <v>42</v>
      </c>
      <c r="G47" s="42" t="s">
        <v>42</v>
      </c>
      <c r="H47" s="43" t="s">
        <v>709</v>
      </c>
      <c r="I47" s="44" t="s">
        <v>44</v>
      </c>
      <c r="J47" s="42" t="s">
        <v>43</v>
      </c>
      <c r="K47" s="43" t="s">
        <v>43</v>
      </c>
      <c r="L47" s="42">
        <v>1</v>
      </c>
      <c r="M47" s="42">
        <v>1</v>
      </c>
      <c r="N47" s="42">
        <v>2</v>
      </c>
      <c r="O47" s="42">
        <v>2</v>
      </c>
      <c r="P47" s="43">
        <v>1</v>
      </c>
      <c r="Q47" s="42">
        <v>2</v>
      </c>
      <c r="R47" s="42">
        <v>4</v>
      </c>
      <c r="S47" s="42">
        <v>5</v>
      </c>
      <c r="T47" s="42">
        <v>5</v>
      </c>
      <c r="U47" s="43">
        <v>1</v>
      </c>
      <c r="V47" s="42">
        <v>4</v>
      </c>
      <c r="W47" s="42">
        <v>3</v>
      </c>
      <c r="X47" s="42">
        <v>5</v>
      </c>
      <c r="Y47" s="43">
        <v>6</v>
      </c>
      <c r="Z47" s="42">
        <v>2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3" t="s">
        <v>45</v>
      </c>
      <c r="AH47" s="42">
        <v>2</v>
      </c>
      <c r="AI47" s="42">
        <v>2</v>
      </c>
      <c r="AJ47" s="43">
        <v>1</v>
      </c>
      <c r="AK47" s="45" t="s">
        <v>672</v>
      </c>
      <c r="AL47" s="45" t="s">
        <v>705</v>
      </c>
      <c r="AM47" s="46"/>
      <c r="AN47" s="46"/>
      <c r="AO47" s="47"/>
      <c r="AP47" s="48"/>
      <c r="AQ47" s="46">
        <f>($AM$3*AM47+$AN$3*AN47+$AO$3*AO47+$AP$3*AP47)+$I$3*VLOOKUP(I47,COND!$A$2:$E$7,4,FALSE)+$J$3*VLOOKUP(J47,COND!$A$2:$C$7,2,FALSE)+$K$3*VLOOKUP(K47,COND!$A$2:$C$7,3,FALSE)+IF(AND($B$2&gt;0,$E47&lt;20),$B$2*25,0)</f>
        <v>49.85</v>
      </c>
      <c r="AR47" s="49">
        <f>STANDARDIZE(AQ47,AVERAGE($AQ$5:$AQ$537),STDEVP($AQ$5:$AQ$537))</f>
        <v>1.6717702258002316</v>
      </c>
      <c r="AS47" s="47"/>
      <c r="AT47" s="47"/>
      <c r="AU47" s="47"/>
      <c r="AV47" s="47"/>
      <c r="AW47" s="47" t="str">
        <f>IF(AND($Q47&gt;=6,AVERAGE($S47:$T47)&gt;=6),"Likely",IF(OR($Q47&gt;6,AND($Q47=6,AVERAGE($S47:$T47)&gt;=3),AND($Q47&gt;=5,AVERAGE($S47:$T47)&gt;=5),AVERAGE($Q47,$S47:$T47)&gt;5),"Possible","Unlikely"))</f>
        <v>Unlikely</v>
      </c>
      <c r="AX47" s="47"/>
      <c r="AY47" s="47" t="str">
        <f>INDEX(Table5[[#All],[Ovr]],MATCH(Batters[[#This Row],[PID]],Table5[[#All],[PID]],0))</f>
        <v/>
      </c>
      <c r="AZ47" s="47" t="str">
        <f>INDEX(Table5[[#All],[Rnd]],MATCH(Batters[[#This Row],[PID]],Table5[[#All],[PID]],0))</f>
        <v/>
      </c>
      <c r="BA47" s="47" t="str">
        <f>INDEX(Table5[[#All],[Pick]],MATCH(Batters[[#This Row],[PID]],Table5[[#All],[PID]],0))</f>
        <v/>
      </c>
      <c r="BB47" s="47" t="str">
        <f>INDEX(Table5[[#All],[Team]],MATCH(Batters[[#This Row],[PID]],Table5[[#All],[PID]],0))</f>
        <v/>
      </c>
    </row>
    <row r="48" spans="1:54" ht="15" customHeight="1" x14ac:dyDescent="0.25">
      <c r="A48" s="42">
        <v>14639</v>
      </c>
      <c r="B48" s="42" t="s">
        <v>74</v>
      </c>
      <c r="C48" s="42" t="s">
        <v>1400</v>
      </c>
      <c r="D48" s="42" t="s">
        <v>1401</v>
      </c>
      <c r="E48" s="42">
        <v>18</v>
      </c>
      <c r="F48" s="42" t="s">
        <v>42</v>
      </c>
      <c r="G48" s="42" t="s">
        <v>42</v>
      </c>
      <c r="H48" s="43" t="s">
        <v>721</v>
      </c>
      <c r="I48" s="44" t="s">
        <v>44</v>
      </c>
      <c r="J48" s="42" t="s">
        <v>43</v>
      </c>
      <c r="K48" s="43" t="s">
        <v>43</v>
      </c>
      <c r="L48" s="42">
        <v>1</v>
      </c>
      <c r="M48" s="42">
        <v>2</v>
      </c>
      <c r="N48" s="42">
        <v>2</v>
      </c>
      <c r="O48" s="42">
        <v>1</v>
      </c>
      <c r="P48" s="43">
        <v>1</v>
      </c>
      <c r="Q48" s="42">
        <v>2</v>
      </c>
      <c r="R48" s="42">
        <v>4</v>
      </c>
      <c r="S48" s="42">
        <v>3</v>
      </c>
      <c r="T48" s="42">
        <v>3</v>
      </c>
      <c r="U48" s="43">
        <v>3</v>
      </c>
      <c r="V48" s="42">
        <v>10</v>
      </c>
      <c r="W48" s="42">
        <v>8</v>
      </c>
      <c r="X48" s="42">
        <v>1</v>
      </c>
      <c r="Y48" s="43">
        <v>1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>
        <v>4</v>
      </c>
      <c r="AG48" s="43" t="s">
        <v>45</v>
      </c>
      <c r="AH48" s="42">
        <v>4</v>
      </c>
      <c r="AI48" s="42">
        <v>2</v>
      </c>
      <c r="AJ48" s="43">
        <v>1</v>
      </c>
      <c r="AK48" s="45" t="s">
        <v>606</v>
      </c>
      <c r="AL48" s="45" t="s">
        <v>47</v>
      </c>
      <c r="AM48" s="46"/>
      <c r="AN48" s="46"/>
      <c r="AO48" s="47"/>
      <c r="AP48" s="48"/>
      <c r="AQ48" s="46">
        <f>($AM$3*AM48+$AN$3*AN48+$AO$3*AO48+$AP$3*AP48)+$I$3*VLOOKUP(I48,COND!$A$2:$E$7,4,FALSE)+$J$3*VLOOKUP(J48,COND!$A$2:$C$7,2,FALSE)+$K$3*VLOOKUP(K48,COND!$A$2:$C$7,3,FALSE)+IF(AND($B$2&gt;0,$E48&lt;20),$B$2*25,0)</f>
        <v>49.85</v>
      </c>
      <c r="AR48" s="49">
        <f>STANDARDIZE(AQ48,AVERAGE($AQ$5:$AQ$537),STDEVP($AQ$5:$AQ$537))</f>
        <v>1.6717702258002316</v>
      </c>
      <c r="AS48" s="47"/>
      <c r="AT48" s="47"/>
      <c r="AU48" s="47"/>
      <c r="AV48" s="47"/>
      <c r="AW48" s="47" t="str">
        <f>IF(AND($Q48&gt;=6,AVERAGE($S48:$T48)&gt;=6),"Likely",IF(OR($Q48&gt;6,AND($Q48=6,AVERAGE($S48:$T48)&gt;=3),AND($Q48&gt;=5,AVERAGE($S48:$T48)&gt;=5),AVERAGE($Q48,$S48:$T48)&gt;5),"Possible","Unlikely"))</f>
        <v>Unlikely</v>
      </c>
      <c r="AX48" s="47"/>
      <c r="AY48" s="47" t="str">
        <f>INDEX(Table5[[#All],[Ovr]],MATCH(Batters[[#This Row],[PID]],Table5[[#All],[PID]],0))</f>
        <v/>
      </c>
      <c r="AZ48" s="47" t="str">
        <f>INDEX(Table5[[#All],[Rnd]],MATCH(Batters[[#This Row],[PID]],Table5[[#All],[PID]],0))</f>
        <v/>
      </c>
      <c r="BA48" s="47" t="str">
        <f>INDEX(Table5[[#All],[Pick]],MATCH(Batters[[#This Row],[PID]],Table5[[#All],[PID]],0))</f>
        <v/>
      </c>
      <c r="BB48" s="47" t="str">
        <f>INDEX(Table5[[#All],[Team]],MATCH(Batters[[#This Row],[PID]],Table5[[#All],[PID]],0))</f>
        <v/>
      </c>
    </row>
    <row r="49" spans="1:54" ht="15" customHeight="1" x14ac:dyDescent="0.25">
      <c r="A49" s="42">
        <v>17631</v>
      </c>
      <c r="B49" s="42" t="s">
        <v>86</v>
      </c>
      <c r="C49" s="42" t="s">
        <v>1426</v>
      </c>
      <c r="D49" s="42" t="s">
        <v>1427</v>
      </c>
      <c r="E49" s="42">
        <v>18</v>
      </c>
      <c r="F49" s="42" t="s">
        <v>53</v>
      </c>
      <c r="G49" s="42" t="s">
        <v>42</v>
      </c>
      <c r="H49" s="43" t="s">
        <v>711</v>
      </c>
      <c r="I49" s="44" t="s">
        <v>44</v>
      </c>
      <c r="J49" s="42" t="s">
        <v>43</v>
      </c>
      <c r="K49" s="43" t="s">
        <v>43</v>
      </c>
      <c r="L49" s="42">
        <v>1</v>
      </c>
      <c r="M49" s="42">
        <v>1</v>
      </c>
      <c r="N49" s="42">
        <v>2</v>
      </c>
      <c r="O49" s="42">
        <v>1</v>
      </c>
      <c r="P49" s="43">
        <v>1</v>
      </c>
      <c r="Q49" s="42">
        <v>2</v>
      </c>
      <c r="R49" s="42">
        <v>4</v>
      </c>
      <c r="S49" s="42">
        <v>4</v>
      </c>
      <c r="T49" s="42">
        <v>4</v>
      </c>
      <c r="U49" s="43">
        <v>2</v>
      </c>
      <c r="V49" s="42">
        <v>3</v>
      </c>
      <c r="W49" s="42">
        <v>4</v>
      </c>
      <c r="X49" s="42">
        <v>5</v>
      </c>
      <c r="Y49" s="43">
        <v>7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3" t="s">
        <v>45</v>
      </c>
      <c r="AH49" s="42">
        <v>1</v>
      </c>
      <c r="AI49" s="42">
        <v>3</v>
      </c>
      <c r="AJ49" s="43">
        <v>3</v>
      </c>
      <c r="AK49" s="45" t="s">
        <v>739</v>
      </c>
      <c r="AL49" s="45" t="s">
        <v>47</v>
      </c>
      <c r="AM49" s="46"/>
      <c r="AN49" s="46"/>
      <c r="AO49" s="47"/>
      <c r="AP49" s="48"/>
      <c r="AQ49" s="46">
        <f>($AM$3*AM49+$AN$3*AN49+$AO$3*AO49+$AP$3*AP49)+$I$3*VLOOKUP(I49,COND!$A$2:$E$7,4,FALSE)+$J$3*VLOOKUP(J49,COND!$A$2:$C$7,2,FALSE)+$K$3*VLOOKUP(K49,COND!$A$2:$C$7,3,FALSE)+IF(AND($B$2&gt;0,$E49&lt;20),$B$2*25,0)</f>
        <v>49.85</v>
      </c>
      <c r="AR49" s="49">
        <f>STANDARDIZE(AQ49,AVERAGE($AQ$5:$AQ$537),STDEVP($AQ$5:$AQ$537))</f>
        <v>1.6717702258002316</v>
      </c>
      <c r="AS49" s="47"/>
      <c r="AT49" s="47"/>
      <c r="AU49" s="47"/>
      <c r="AV49" s="47"/>
      <c r="AW49" s="47" t="str">
        <f>IF(AND($Q49&gt;=6,AVERAGE($S49:$T49)&gt;=6),"Likely",IF(OR($Q49&gt;6,AND($Q49=6,AVERAGE($S49:$T49)&gt;=3),AND($Q49&gt;=5,AVERAGE($S49:$T49)&gt;=5),AVERAGE($Q49,$S49:$T49)&gt;5),"Possible","Unlikely"))</f>
        <v>Unlikely</v>
      </c>
      <c r="AX49" s="47"/>
      <c r="AY49" s="47" t="str">
        <f>INDEX(Table5[[#All],[Ovr]],MATCH(Batters[[#This Row],[PID]],Table5[[#All],[PID]],0))</f>
        <v/>
      </c>
      <c r="AZ49" s="47" t="str">
        <f>INDEX(Table5[[#All],[Rnd]],MATCH(Batters[[#This Row],[PID]],Table5[[#All],[PID]],0))</f>
        <v/>
      </c>
      <c r="BA49" s="47" t="str">
        <f>INDEX(Table5[[#All],[Pick]],MATCH(Batters[[#This Row],[PID]],Table5[[#All],[PID]],0))</f>
        <v/>
      </c>
      <c r="BB49" s="47" t="str">
        <f>INDEX(Table5[[#All],[Team]],MATCH(Batters[[#This Row],[PID]],Table5[[#All],[PID]],0))</f>
        <v/>
      </c>
    </row>
    <row r="50" spans="1:54" ht="15" customHeight="1" x14ac:dyDescent="0.25">
      <c r="A50" s="42">
        <v>8068</v>
      </c>
      <c r="B50" s="42" t="s">
        <v>69</v>
      </c>
      <c r="C50" s="42" t="s">
        <v>145</v>
      </c>
      <c r="D50" s="42" t="s">
        <v>138</v>
      </c>
      <c r="E50" s="42">
        <v>18</v>
      </c>
      <c r="F50" s="42" t="s">
        <v>62</v>
      </c>
      <c r="G50" s="42" t="s">
        <v>42</v>
      </c>
      <c r="H50" s="43" t="s">
        <v>703</v>
      </c>
      <c r="I50" s="44" t="s">
        <v>43</v>
      </c>
      <c r="J50" s="42" t="s">
        <v>43</v>
      </c>
      <c r="K50" s="43" t="s">
        <v>43</v>
      </c>
      <c r="L50" s="42">
        <v>1</v>
      </c>
      <c r="M50" s="42">
        <v>1</v>
      </c>
      <c r="N50" s="42">
        <v>2</v>
      </c>
      <c r="O50" s="42">
        <v>1</v>
      </c>
      <c r="P50" s="43">
        <v>2</v>
      </c>
      <c r="Q50" s="42">
        <v>4</v>
      </c>
      <c r="R50" s="42">
        <v>6</v>
      </c>
      <c r="S50" s="42">
        <v>5</v>
      </c>
      <c r="T50" s="42">
        <v>5</v>
      </c>
      <c r="U50" s="43">
        <v>5</v>
      </c>
      <c r="V50" s="42">
        <v>9</v>
      </c>
      <c r="W50" s="42">
        <v>9</v>
      </c>
      <c r="X50" s="42">
        <v>1</v>
      </c>
      <c r="Y50" s="43">
        <v>1</v>
      </c>
      <c r="Z50" s="42" t="s">
        <v>45</v>
      </c>
      <c r="AA50" s="42" t="s">
        <v>45</v>
      </c>
      <c r="AB50" s="42" t="s">
        <v>45</v>
      </c>
      <c r="AC50" s="42">
        <v>3</v>
      </c>
      <c r="AD50" s="42" t="s">
        <v>45</v>
      </c>
      <c r="AE50" s="42" t="s">
        <v>45</v>
      </c>
      <c r="AF50" s="42" t="s">
        <v>45</v>
      </c>
      <c r="AG50" s="43">
        <v>3</v>
      </c>
      <c r="AH50" s="42">
        <v>8</v>
      </c>
      <c r="AI50" s="42">
        <v>4</v>
      </c>
      <c r="AJ50" s="43">
        <v>2</v>
      </c>
      <c r="AK50" s="45" t="s">
        <v>423</v>
      </c>
      <c r="AL50" s="45" t="s">
        <v>47</v>
      </c>
      <c r="AM50" s="46">
        <f>($L$3*(L50-$Q$1)/$Q$2+$M$3*(M50-$R$1)/$R$2+$N$3*(N50-$S$1)/$S$2+$O$3*(O50-$T$1)/$T$2+$P$3*(P50-$U$1)/$U$2)/(SUM($L$3:$P$3))</f>
        <v>-1.961265515986587</v>
      </c>
      <c r="AN50" s="46">
        <f>($L$3*(Q50-$Q$1)/$Q$2+$M$3*(R50-$R$1)/$R$2+$N$3*(S50-$S$1)/$S$2+$O$3*(T50-$T$1)/$T$2+$P$3*(U50-$U$1)/$U$2)/(SUM($L$3:$P$3))</f>
        <v>-1.0226907723766391E-2</v>
      </c>
      <c r="AO50" s="47">
        <f>IF(AVERAGE(AH50:AI50)&gt;9,1,0)+IF(AVERAGE(AH50:AI50)&gt;7,1,0)+IF(AH50&gt;7,1,0)+IF(AI50&gt;7,1,0)+IF(AJ50&gt;8,1,0)+IF(AJ50&gt;6,1,0)</f>
        <v>1</v>
      </c>
      <c r="AP50" s="48">
        <f>MIN(2,IF(OR(Z50="-",X50&lt;5),0,1+IF(Y50&gt;7,0.35,IF(Y50&gt;5,0.1,0))+IF(Z50&gt;7,1+IF(X50&gt;7,0.25,0),IF(Z50&gt;4,0.5+IF(X50&gt;7,0.25,0),0+IF(X50&gt;7,0.25))))+IF(AA50="-",0,IF(AA50&gt;9,0.5,IF(AA50&gt;7,0.25,0)))+IF(AB50="-",0,IF(AB50&gt;7,1.1,IF(AB50&gt;4,0.6,0)))+IF(OR(AC50="-",V50&lt;5),0,IF(AC50&gt;7,1+IF(V50&gt;7,0.25,0),IF(AC50&gt;4,0.5+IF(V50&gt;7,0.25,0),0)))+IF(AD50="-",0,IF(AD50&gt;7,1.5,IF(AD50&gt;4,1,0)))+IF(AE50="-",0,IF(AE50&gt;9,0.5,IF(AE50&gt;7,0.25,0)))+IF(AF50="-",0,IF(AF50&gt;7,1.25,IF(AF50&gt;4,0.75,0)))+IF(OR(AG50="-",W50&lt;4),0,IF(AG50&gt;7,1+IF(W50&gt;7,0.15,0),IF(AG50&gt;4,0.5+IF(W50&gt;7,0.15,0),0))))</f>
        <v>0</v>
      </c>
      <c r="AQ50" s="46">
        <f>($AM$3*AM50+$AN$3*AN50+$AO$3*AO50+$AP$3*AP50)+$I$3*VLOOKUP(I50,COND!$A$2:$E$7,4,FALSE)+$J$3*VLOOKUP(J50,COND!$A$2:$C$7,2,FALSE)+$K$3*VLOOKUP(K50,COND!$A$2:$C$7,3,FALSE)+IF(AND($B$2&gt;0,$E50&lt;20),$B$2*25,0)</f>
        <v>49.847817222382815</v>
      </c>
      <c r="AR50" s="49">
        <f>STANDARDIZE(AQ50,AVERAGE($AQ$5:$AQ$537),STDEVP($AQ$5:$AQ$537))</f>
        <v>1.6713861805858901</v>
      </c>
      <c r="AS50" s="47" t="str">
        <f>IF(AND(Z50&lt;&gt;"-",Y50&gt;1),"C",IF(AB50=MAX(AB50:AD50),"2B",IF(AD50=MAX(AB50:AD50),"SS",IF(OR(AC50=MAX(AA50:AD50),AND(AC50&lt;&gt;"-",AC50&gt;4,V50&gt;5)),"3B",IF(AF50=MAX(AE50:AG50),"CF",IF(AND(AG50=MAX(AE50,AG50),AND(W50&gt;5,AG50&lt;&gt;"-")),"RF",IF(AE50&lt;&gt;"-","LF",IF(AA50&lt;&gt;"-","1B","DH"))))))))</f>
        <v>3B</v>
      </c>
      <c r="AT50" s="47"/>
      <c r="AU50" s="47"/>
      <c r="AV50" s="47"/>
      <c r="AW50" s="47" t="str">
        <f>IF(AND($Q50&gt;=6,AVERAGE($S50:$T50)&gt;=6),"Likely",IF(OR($Q50&gt;6,AND($Q50=6,AVERAGE($S50:$T50)&gt;=3),AND($Q50&gt;=5,AVERAGE($S50:$T50)&gt;=5),AVERAGE($Q50,$S50:$T50)&gt;5),"Possible","Unlikely"))</f>
        <v>Unlikely</v>
      </c>
      <c r="AX50" s="47"/>
      <c r="AY50" s="47" t="str">
        <f>INDEX(Table5[[#All],[Ovr]],MATCH(Batters[[#This Row],[PID]],Table5[[#All],[PID]],0))</f>
        <v/>
      </c>
      <c r="AZ50" s="47" t="str">
        <f>INDEX(Table5[[#All],[Rnd]],MATCH(Batters[[#This Row],[PID]],Table5[[#All],[PID]],0))</f>
        <v/>
      </c>
      <c r="BA50" s="47" t="str">
        <f>INDEX(Table5[[#All],[Pick]],MATCH(Batters[[#This Row],[PID]],Table5[[#All],[PID]],0))</f>
        <v/>
      </c>
      <c r="BB50" s="47" t="str">
        <f>INDEX(Table5[[#All],[Team]],MATCH(Batters[[#This Row],[PID]],Table5[[#All],[PID]],0))</f>
        <v/>
      </c>
    </row>
    <row r="51" spans="1:54" ht="15" customHeight="1" x14ac:dyDescent="0.25">
      <c r="A51" s="42">
        <v>7330</v>
      </c>
      <c r="B51" s="42" t="s">
        <v>50</v>
      </c>
      <c r="C51" s="42" t="s">
        <v>1036</v>
      </c>
      <c r="D51" s="42" t="s">
        <v>1037</v>
      </c>
      <c r="E51" s="42">
        <v>21</v>
      </c>
      <c r="F51" s="42" t="s">
        <v>42</v>
      </c>
      <c r="G51" s="42" t="s">
        <v>42</v>
      </c>
      <c r="H51" s="43" t="s">
        <v>703</v>
      </c>
      <c r="I51" s="44" t="s">
        <v>43</v>
      </c>
      <c r="J51" s="42" t="s">
        <v>43</v>
      </c>
      <c r="K51" s="43" t="s">
        <v>43</v>
      </c>
      <c r="L51" s="42">
        <v>4</v>
      </c>
      <c r="M51" s="42">
        <v>5</v>
      </c>
      <c r="N51" s="42">
        <v>2</v>
      </c>
      <c r="O51" s="42">
        <v>2</v>
      </c>
      <c r="P51" s="43">
        <v>6</v>
      </c>
      <c r="Q51" s="42">
        <v>6</v>
      </c>
      <c r="R51" s="42">
        <v>6</v>
      </c>
      <c r="S51" s="42">
        <v>2</v>
      </c>
      <c r="T51" s="42">
        <v>3</v>
      </c>
      <c r="U51" s="43">
        <v>8</v>
      </c>
      <c r="V51" s="42">
        <v>4</v>
      </c>
      <c r="W51" s="42">
        <v>6</v>
      </c>
      <c r="X51" s="42">
        <v>1</v>
      </c>
      <c r="Y51" s="43">
        <v>1</v>
      </c>
      <c r="Z51" s="42" t="s">
        <v>45</v>
      </c>
      <c r="AA51" s="42" t="s">
        <v>45</v>
      </c>
      <c r="AB51" s="42" t="s">
        <v>45</v>
      </c>
      <c r="AC51" s="42" t="s">
        <v>45</v>
      </c>
      <c r="AD51" s="42" t="s">
        <v>45</v>
      </c>
      <c r="AE51" s="42">
        <v>8</v>
      </c>
      <c r="AF51" s="42" t="s">
        <v>45</v>
      </c>
      <c r="AG51" s="43" t="s">
        <v>45</v>
      </c>
      <c r="AH51" s="42">
        <v>10</v>
      </c>
      <c r="AI51" s="42">
        <v>9</v>
      </c>
      <c r="AJ51" s="43">
        <v>6</v>
      </c>
      <c r="AK51" s="45" t="s">
        <v>45</v>
      </c>
      <c r="AL51" s="45" t="s">
        <v>705</v>
      </c>
      <c r="AM51" s="46">
        <f>($L$3*(L51-$Q$1)/$Q$2+$M$3*(M51-$R$1)/$R$2+$N$3*(N51-$S$1)/$S$2+$O$3*(O51-$T$1)/$T$2+$P$3*(P51-$U$1)/$U$2)/(SUM($L$3:$P$3))</f>
        <v>-0.53958357962583403</v>
      </c>
      <c r="AN51" s="46">
        <f>($L$3*(Q51-$Q$1)/$Q$2+$M$3*(R51-$R$1)/$R$2+$N$3*(S51-$S$1)/$S$2+$O$3*(T51-$T$1)/$T$2+$P$3*(U51-$U$1)/$U$2)/(SUM($L$3:$P$3))</f>
        <v>0.32633020204196683</v>
      </c>
      <c r="AO51" s="47">
        <f>IF(AVERAGE(AH51:AI51)&gt;9,1,0)+IF(AVERAGE(AH51:AI51)&gt;7,1,0)+IF(AH51&gt;7,1,0)+IF(AI51&gt;7,1,0)+IF(AJ51&gt;8,1,0)+IF(AJ51&gt;6,1,0)</f>
        <v>4</v>
      </c>
      <c r="AP51" s="48">
        <f>MIN(2,IF(OR(Z51="-",X51&lt;5),0,1+IF(Y51&gt;7,0.35,IF(Y51&gt;5,0.1,0))+IF(Z51&gt;7,1+IF(X51&gt;7,0.25,0),IF(Z51&gt;4,0.5+IF(X51&gt;7,0.25,0),0+IF(X51&gt;7,0.25))))+IF(AA51="-",0,IF(AA51&gt;9,0.5,IF(AA51&gt;7,0.25,0)))+IF(AB51="-",0,IF(AB51&gt;7,1.1,IF(AB51&gt;4,0.6,0)))+IF(OR(AC51="-",V51&lt;5),0,IF(AC51&gt;7,1+IF(V51&gt;7,0.25,0),IF(AC51&gt;4,0.5+IF(V51&gt;7,0.25,0),0)))+IF(AD51="-",0,IF(AD51&gt;7,1.5,IF(AD51&gt;4,1,0)))+IF(AE51="-",0,IF(AE51&gt;9,0.5,IF(AE51&gt;7,0.25,0)))+IF(AF51="-",0,IF(AF51&gt;7,1.25,IF(AF51&gt;4,0.75,0)))+IF(OR(AG51="-",W51&lt;4),0,IF(AG51&gt;7,1+IF(W51&gt;7,0.15,0),IF(AG51&gt;4,0.5+IF(W51&gt;7,0.15,0),0))))</f>
        <v>0.25</v>
      </c>
      <c r="AQ51" s="46">
        <f>($AM$3*AM51+$AN$3*AN51+$AO$3*AO51+$AP$3*AP51)+$I$3*VLOOKUP(I51,COND!$A$2:$E$7,4,FALSE)+$J$3*VLOOKUP(J51,COND!$A$2:$C$7,2,FALSE)+$K$3*VLOOKUP(K51,COND!$A$2:$C$7,3,FALSE)+IF(AND($B$2&gt;0,$E51&lt;20),$B$2*25,0)</f>
        <v>49.77867073320769</v>
      </c>
      <c r="AR51" s="49">
        <f>STANDARDIZE(AQ51,AVERAGE($AQ$5:$AQ$537),STDEVP($AQ$5:$AQ$537))</f>
        <v>1.6592203153840712</v>
      </c>
      <c r="AS51" s="47" t="str">
        <f>IF(AND(Z51&lt;&gt;"-",Y51&gt;1),"C",IF(AB51=MAX(AB51:AD51),"2B",IF(AD51=MAX(AB51:AD51),"SS",IF(OR(AC51=MAX(AA51:AD51),AND(AC51&lt;&gt;"-",AC51&gt;4,V51&gt;5)),"3B",IF(AF51=MAX(AE51:AG51),"CF",IF(AND(AG51=MAX(AE51,AG51),AND(W51&gt;5,AG51&lt;&gt;"-")),"RF",IF(AE51&lt;&gt;"-","LF",IF(AA51&lt;&gt;"-","1B","DH"))))))))</f>
        <v>LF</v>
      </c>
      <c r="AT51" s="47"/>
      <c r="AU51" s="47"/>
      <c r="AV51" s="47"/>
      <c r="AW51" s="47" t="str">
        <f>IF(AND($Q51&gt;=6,AVERAGE($S51:$T51)&gt;=6),"Likely",IF(OR($Q51&gt;6,AND($Q51=6,AVERAGE($S51:$T51)&gt;=3),AND($Q51&gt;=5,AVERAGE($S51:$T51)&gt;=5),AVERAGE($Q51,$S51:$T51)&gt;5),"Possible","Unlikely"))</f>
        <v>Unlikely</v>
      </c>
      <c r="AX51" s="47"/>
      <c r="AY51" s="47" t="str">
        <f>INDEX(Table5[[#All],[Ovr]],MATCH(Batters[[#This Row],[PID]],Table5[[#All],[PID]],0))</f>
        <v/>
      </c>
      <c r="AZ51" s="47" t="str">
        <f>INDEX(Table5[[#All],[Rnd]],MATCH(Batters[[#This Row],[PID]],Table5[[#All],[PID]],0))</f>
        <v/>
      </c>
      <c r="BA51" s="47" t="str">
        <f>INDEX(Table5[[#All],[Pick]],MATCH(Batters[[#This Row],[PID]],Table5[[#All],[PID]],0))</f>
        <v/>
      </c>
      <c r="BB51" s="47" t="str">
        <f>INDEX(Table5[[#All],[Team]],MATCH(Batters[[#This Row],[PID]],Table5[[#All],[PID]],0))</f>
        <v/>
      </c>
    </row>
    <row r="52" spans="1:54" ht="15" customHeight="1" x14ac:dyDescent="0.25">
      <c r="A52" s="42">
        <v>5518</v>
      </c>
      <c r="B52" s="42" t="s">
        <v>87</v>
      </c>
      <c r="C52" s="42" t="s">
        <v>1048</v>
      </c>
      <c r="D52" s="42" t="s">
        <v>1049</v>
      </c>
      <c r="E52" s="42">
        <v>20</v>
      </c>
      <c r="F52" s="42" t="s">
        <v>42</v>
      </c>
      <c r="G52" s="42" t="s">
        <v>42</v>
      </c>
      <c r="H52" s="43" t="s">
        <v>703</v>
      </c>
      <c r="I52" s="44" t="s">
        <v>43</v>
      </c>
      <c r="J52" s="42" t="s">
        <v>43</v>
      </c>
      <c r="K52" s="43" t="s">
        <v>43</v>
      </c>
      <c r="L52" s="42">
        <v>2</v>
      </c>
      <c r="M52" s="42">
        <v>4</v>
      </c>
      <c r="N52" s="42">
        <v>4</v>
      </c>
      <c r="O52" s="42">
        <v>2</v>
      </c>
      <c r="P52" s="43">
        <v>2</v>
      </c>
      <c r="Q52" s="42">
        <v>5</v>
      </c>
      <c r="R52" s="42">
        <v>6</v>
      </c>
      <c r="S52" s="42">
        <v>7</v>
      </c>
      <c r="T52" s="42">
        <v>4</v>
      </c>
      <c r="U52" s="43">
        <v>5</v>
      </c>
      <c r="V52" s="42">
        <v>1</v>
      </c>
      <c r="W52" s="42">
        <v>1</v>
      </c>
      <c r="X52" s="42">
        <v>1</v>
      </c>
      <c r="Y52" s="43">
        <v>1</v>
      </c>
      <c r="Z52" s="42" t="s">
        <v>45</v>
      </c>
      <c r="AA52" s="42">
        <v>4</v>
      </c>
      <c r="AB52" s="42" t="s">
        <v>45</v>
      </c>
      <c r="AC52" s="42" t="s">
        <v>45</v>
      </c>
      <c r="AD52" s="42" t="s">
        <v>45</v>
      </c>
      <c r="AE52" s="42" t="s">
        <v>45</v>
      </c>
      <c r="AF52" s="42" t="s">
        <v>45</v>
      </c>
      <c r="AG52" s="43" t="s">
        <v>45</v>
      </c>
      <c r="AH52" s="42">
        <v>1</v>
      </c>
      <c r="AI52" s="42">
        <v>4</v>
      </c>
      <c r="AJ52" s="43">
        <v>4</v>
      </c>
      <c r="AK52" s="45" t="s">
        <v>435</v>
      </c>
      <c r="AL52" s="45" t="s">
        <v>47</v>
      </c>
      <c r="AM52" s="46">
        <f>($L$3*(L52-$Q$1)/$Q$2+$M$3*(M52-$R$1)/$R$2+$N$3*(N52-$S$1)/$S$2+$O$3*(O52-$T$1)/$T$2+$P$3*(P52-$U$1)/$U$2)/(SUM($L$3:$P$3))</f>
        <v>-1.2296975028704178</v>
      </c>
      <c r="AN52" s="46">
        <f>($L$3*(Q52-$Q$1)/$Q$2+$M$3*(R52-$R$1)/$R$2+$N$3*(S52-$S$1)/$S$2+$O$3*(T52-$T$1)/$T$2+$P$3*(U52-$U$1)/$U$2)/(SUM($L$3:$P$3))</f>
        <v>0.38874236651713023</v>
      </c>
      <c r="AO52" s="47">
        <f>IF(AVERAGE(AH52:AI52)&gt;9,1,0)+IF(AVERAGE(AH52:AI52)&gt;7,1,0)+IF(AH52&gt;7,1,0)+IF(AI52&gt;7,1,0)+IF(AJ52&gt;8,1,0)+IF(AJ52&gt;6,1,0)</f>
        <v>0</v>
      </c>
      <c r="AP52" s="48">
        <f>MIN(2,IF(OR(Z52="-",X52&lt;5),0,1+IF(Y52&gt;7,0.35,IF(Y52&gt;5,0.1,0))+IF(Z52&gt;7,1+IF(X52&gt;7,0.25,0),IF(Z52&gt;4,0.5+IF(X52&gt;7,0.25,0),0+IF(X52&gt;7,0.25))))+IF(AA52="-",0,IF(AA52&gt;9,0.5,IF(AA52&gt;7,0.25,0)))+IF(AB52="-",0,IF(AB52&gt;7,1.1,IF(AB52&gt;4,0.6,0)))+IF(OR(AC52="-",V52&lt;5),0,IF(AC52&gt;7,1+IF(V52&gt;7,0.25,0),IF(AC52&gt;4,0.5+IF(V52&gt;7,0.25,0),0)))+IF(AD52="-",0,IF(AD52&gt;7,1.5,IF(AD52&gt;4,1,0)))+IF(AE52="-",0,IF(AE52&gt;9,0.5,IF(AE52&gt;7,0.25,0)))+IF(AF52="-",0,IF(AF52&gt;7,1.25,IF(AF52&gt;4,0.75,0)))+IF(OR(AG52="-",W52&lt;4),0,IF(AG52&gt;7,1+IF(W52&gt;7,0.15,0),IF(AG52&gt;4,0.5+IF(W52&gt;7,0.15,0),0))))</f>
        <v>0</v>
      </c>
      <c r="AQ52" s="46">
        <f>($AM$3*AM52+$AN$3*AN52+$AO$3*AO52+$AP$3*AP52)+$I$3*VLOOKUP(I52,COND!$A$2:$E$7,4,FALSE)+$J$3*VLOOKUP(J52,COND!$A$2:$C$7,2,FALSE)+$K$3*VLOOKUP(K52,COND!$A$2:$C$7,3,FALSE)+IF(AND($B$2&gt;0,$E52&lt;20),$B$2*25,0)</f>
        <v>49.541938647918521</v>
      </c>
      <c r="AR52" s="49">
        <f>STANDARDIZE(AQ52,AVERAGE($AQ$5:$AQ$537),STDEVP($AQ$5:$AQ$537))</f>
        <v>1.6175688783707001</v>
      </c>
      <c r="AS52" s="47" t="str">
        <f>IF(AND(Z52&lt;&gt;"-",Y52&gt;1),"C",IF(AB52=MAX(AB52:AD52),"2B",IF(AD52=MAX(AB52:AD52),"SS",IF(OR(AC52=MAX(AA52:AD52),AND(AC52&lt;&gt;"-",AC52&gt;4,V52&gt;5)),"3B",IF(AF52=MAX(AE52:AG52),"CF",IF(AND(AG52=MAX(AE52,AG52),AND(W52&gt;5,AG52&lt;&gt;"-")),"RF",IF(AE52&lt;&gt;"-","LF",IF(AA52&lt;&gt;"-","1B","DH"))))))))</f>
        <v>1B</v>
      </c>
      <c r="AT52" s="47"/>
      <c r="AU52" s="47"/>
      <c r="AV52" s="47"/>
      <c r="AW52" s="47" t="str">
        <f>IF(AND($Q52&gt;=6,AVERAGE($S52:$T52)&gt;=6),"Likely",IF(OR($Q52&gt;6,AND($Q52=6,AVERAGE($S52:$T52)&gt;=3),AND($Q52&gt;=5,AVERAGE($S52:$T52)&gt;=5),AVERAGE($Q52,$S52:$T52)&gt;5),"Possible","Unlikely"))</f>
        <v>Possible</v>
      </c>
      <c r="AX52" s="47"/>
      <c r="AY52" s="47" t="str">
        <f>INDEX(Table5[[#All],[Ovr]],MATCH(Batters[[#This Row],[PID]],Table5[[#All],[PID]],0))</f>
        <v/>
      </c>
      <c r="AZ52" s="47" t="str">
        <f>INDEX(Table5[[#All],[Rnd]],MATCH(Batters[[#This Row],[PID]],Table5[[#All],[PID]],0))</f>
        <v/>
      </c>
      <c r="BA52" s="47" t="str">
        <f>INDEX(Table5[[#All],[Pick]],MATCH(Batters[[#This Row],[PID]],Table5[[#All],[PID]],0))</f>
        <v/>
      </c>
      <c r="BB52" s="47" t="str">
        <f>INDEX(Table5[[#All],[Team]],MATCH(Batters[[#This Row],[PID]],Table5[[#All],[PID]],0))</f>
        <v/>
      </c>
    </row>
    <row r="53" spans="1:54" ht="15" customHeight="1" x14ac:dyDescent="0.25">
      <c r="A53" s="42">
        <v>6322</v>
      </c>
      <c r="B53" s="42" t="s">
        <v>50</v>
      </c>
      <c r="C53" s="42" t="s">
        <v>1090</v>
      </c>
      <c r="D53" s="42" t="s">
        <v>664</v>
      </c>
      <c r="E53" s="42">
        <v>18</v>
      </c>
      <c r="F53" s="42" t="s">
        <v>53</v>
      </c>
      <c r="G53" s="42" t="s">
        <v>53</v>
      </c>
      <c r="H53" s="43" t="s">
        <v>703</v>
      </c>
      <c r="I53" s="44" t="s">
        <v>43</v>
      </c>
      <c r="J53" s="42" t="s">
        <v>43</v>
      </c>
      <c r="K53" s="43" t="s">
        <v>44</v>
      </c>
      <c r="L53" s="42">
        <v>1</v>
      </c>
      <c r="M53" s="42">
        <v>2</v>
      </c>
      <c r="N53" s="42">
        <v>3</v>
      </c>
      <c r="O53" s="42">
        <v>2</v>
      </c>
      <c r="P53" s="43">
        <v>3</v>
      </c>
      <c r="Q53" s="42">
        <v>4</v>
      </c>
      <c r="R53" s="42">
        <v>5</v>
      </c>
      <c r="S53" s="42">
        <v>6</v>
      </c>
      <c r="T53" s="42">
        <v>5</v>
      </c>
      <c r="U53" s="43">
        <v>4</v>
      </c>
      <c r="V53" s="42">
        <v>3</v>
      </c>
      <c r="W53" s="42">
        <v>7</v>
      </c>
      <c r="X53" s="42">
        <v>1</v>
      </c>
      <c r="Y53" s="43">
        <v>1</v>
      </c>
      <c r="Z53" s="42" t="s">
        <v>45</v>
      </c>
      <c r="AA53" s="42" t="s">
        <v>45</v>
      </c>
      <c r="AB53" s="42" t="s">
        <v>45</v>
      </c>
      <c r="AC53" s="42" t="s">
        <v>45</v>
      </c>
      <c r="AD53" s="42" t="s">
        <v>45</v>
      </c>
      <c r="AE53" s="42">
        <v>4</v>
      </c>
      <c r="AF53" s="42" t="s">
        <v>45</v>
      </c>
      <c r="AG53" s="43" t="s">
        <v>45</v>
      </c>
      <c r="AH53" s="42">
        <v>9</v>
      </c>
      <c r="AI53" s="42">
        <v>9</v>
      </c>
      <c r="AJ53" s="43">
        <v>7</v>
      </c>
      <c r="AK53" s="45" t="s">
        <v>608</v>
      </c>
      <c r="AL53" s="45" t="s">
        <v>47</v>
      </c>
      <c r="AM53" s="46">
        <f>($L$3*(L53-$Q$1)/$Q$2+$M$3*(M53-$R$1)/$R$2+$N$3*(N53-$S$1)/$S$2+$O$3*(O53-$T$1)/$T$2+$P$3*(P53-$U$1)/$U$2)/(SUM($L$3:$P$3))</f>
        <v>-1.6974182525173176</v>
      </c>
      <c r="AN53" s="46">
        <f>($L$3*(Q53-$Q$1)/$Q$2+$M$3*(R53-$R$1)/$R$2+$N$3*(S53-$S$1)/$S$2+$O$3*(T53-$T$1)/$T$2+$P$3*(U53-$U$1)/$U$2)/(SUM($L$3:$P$3))</f>
        <v>-1.8241633135651861E-2</v>
      </c>
      <c r="AO53" s="47">
        <f>IF(AVERAGE(AH53:AI53)&gt;9,1,0)+IF(AVERAGE(AH53:AI53)&gt;7,1,0)+IF(AH53&gt;7,1,0)+IF(AI53&gt;7,1,0)+IF(AJ53&gt;8,1,0)+IF(AJ53&gt;6,1,0)</f>
        <v>4</v>
      </c>
      <c r="AP53" s="48">
        <f>MIN(2,IF(OR(Z53="-",X53&lt;5),0,1+IF(Y53&gt;7,0.35,IF(Y53&gt;5,0.1,0))+IF(Z53&gt;7,1+IF(X53&gt;7,0.25,0),IF(Z53&gt;4,0.5+IF(X53&gt;7,0.25,0),0+IF(X53&gt;7,0.25))))+IF(AA53="-",0,IF(AA53&gt;9,0.5,IF(AA53&gt;7,0.25,0)))+IF(AB53="-",0,IF(AB53&gt;7,1.1,IF(AB53&gt;4,0.6,0)))+IF(OR(AC53="-",V53&lt;5),0,IF(AC53&gt;7,1+IF(V53&gt;7,0.25,0),IF(AC53&gt;4,0.5+IF(V53&gt;7,0.25,0),0)))+IF(AD53="-",0,IF(AD53&gt;7,1.5,IF(AD53&gt;4,1,0)))+IF(AE53="-",0,IF(AE53&gt;9,0.5,IF(AE53&gt;7,0.25,0)))+IF(AF53="-",0,IF(AF53&gt;7,1.25,IF(AF53&gt;4,0.75,0)))+IF(OR(AG53="-",W53&lt;4),0,IF(AG53&gt;7,1+IF(W53&gt;7,0.15,0),IF(AG53&gt;4,0.5+IF(W53&gt;7,0.15,0),0))))</f>
        <v>0</v>
      </c>
      <c r="AQ53" s="46">
        <f>($AM$3*AM53+$AN$3*AN53+$AO$3*AO53+$AP$3*AP53)+$I$3*VLOOKUP(I53,COND!$A$2:$E$7,4,FALSE)+$J$3*VLOOKUP(J53,COND!$A$2:$C$7,2,FALSE)+$K$3*VLOOKUP(K53,COND!$A$2:$C$7,3,FALSE)+IF(AND($B$2&gt;0,$E53&lt;20),$B$2*25,0)</f>
        <v>49.978025243787116</v>
      </c>
      <c r="AR53" s="49">
        <f>STANDARDIZE(AQ53,AVERAGE($AQ$5:$AQ$537),STDEVP($AQ$5:$AQ$537))</f>
        <v>1.6942954165499642</v>
      </c>
      <c r="AS53" s="47" t="str">
        <f>IF(AND(Z53&lt;&gt;"-",Y53&gt;1),"C",IF(AB53=MAX(AB53:AD53),"2B",IF(AD53=MAX(AB53:AD53),"SS",IF(OR(AC53=MAX(AA53:AD53),AND(AC53&lt;&gt;"-",AC53&gt;4,V53&gt;5)),"3B",IF(AF53=MAX(AE53:AG53),"CF",IF(AND(AG53=MAX(AE53,AG53),AND(W53&gt;5,AG53&lt;&gt;"-")),"RF",IF(AE53&lt;&gt;"-","LF",IF(AA53&lt;&gt;"-","1B","DH"))))))))</f>
        <v>LF</v>
      </c>
      <c r="AT53" s="47"/>
      <c r="AU53" s="47"/>
      <c r="AV53" s="47"/>
      <c r="AW53" s="47" t="str">
        <f>IF(AND($Q53&gt;=6,AVERAGE($S53:$T53)&gt;=6),"Likely",IF(OR($Q53&gt;6,AND($Q53=6,AVERAGE($S53:$T53)&gt;=3),AND($Q53&gt;=5,AVERAGE($S53:$T53)&gt;=5),AVERAGE($Q53,$S53:$T53)&gt;5),"Possible","Unlikely"))</f>
        <v>Unlikely</v>
      </c>
      <c r="AX53" s="47"/>
      <c r="AY53" s="47" t="str">
        <f>INDEX(Table5[[#All],[Ovr]],MATCH(Batters[[#This Row],[PID]],Table5[[#All],[PID]],0))</f>
        <v/>
      </c>
      <c r="AZ53" s="47" t="str">
        <f>INDEX(Table5[[#All],[Rnd]],MATCH(Batters[[#This Row],[PID]],Table5[[#All],[PID]],0))</f>
        <v/>
      </c>
      <c r="BA53" s="47" t="str">
        <f>INDEX(Table5[[#All],[Pick]],MATCH(Batters[[#This Row],[PID]],Table5[[#All],[PID]],0))</f>
        <v/>
      </c>
      <c r="BB53" s="47" t="str">
        <f>INDEX(Table5[[#All],[Team]],MATCH(Batters[[#This Row],[PID]],Table5[[#All],[PID]],0))</f>
        <v/>
      </c>
    </row>
    <row r="54" spans="1:54" ht="15" customHeight="1" x14ac:dyDescent="0.25">
      <c r="A54" s="42">
        <v>6328</v>
      </c>
      <c r="B54" s="42" t="s">
        <v>69</v>
      </c>
      <c r="C54" s="42" t="s">
        <v>1022</v>
      </c>
      <c r="D54" s="42" t="s">
        <v>378</v>
      </c>
      <c r="E54" s="42">
        <v>18</v>
      </c>
      <c r="F54" s="42" t="s">
        <v>42</v>
      </c>
      <c r="G54" s="42" t="s">
        <v>42</v>
      </c>
      <c r="H54" s="43" t="s">
        <v>711</v>
      </c>
      <c r="I54" s="44" t="s">
        <v>43</v>
      </c>
      <c r="J54" s="42" t="s">
        <v>44</v>
      </c>
      <c r="K54" s="43" t="s">
        <v>43</v>
      </c>
      <c r="L54" s="42">
        <v>1</v>
      </c>
      <c r="M54" s="42">
        <v>1</v>
      </c>
      <c r="N54" s="42">
        <v>3</v>
      </c>
      <c r="O54" s="42">
        <v>2</v>
      </c>
      <c r="P54" s="43">
        <v>1</v>
      </c>
      <c r="Q54" s="42">
        <v>2</v>
      </c>
      <c r="R54" s="42">
        <v>3</v>
      </c>
      <c r="S54" s="42">
        <v>4</v>
      </c>
      <c r="T54" s="42">
        <v>4</v>
      </c>
      <c r="U54" s="43">
        <v>2</v>
      </c>
      <c r="V54" s="42">
        <v>9</v>
      </c>
      <c r="W54" s="42">
        <v>8</v>
      </c>
      <c r="X54" s="42">
        <v>1</v>
      </c>
      <c r="Y54" s="43">
        <v>1</v>
      </c>
      <c r="Z54" s="42" t="s">
        <v>45</v>
      </c>
      <c r="AA54" s="42" t="s">
        <v>45</v>
      </c>
      <c r="AB54" s="42" t="s">
        <v>45</v>
      </c>
      <c r="AC54" s="42">
        <v>3</v>
      </c>
      <c r="AD54" s="42" t="s">
        <v>45</v>
      </c>
      <c r="AE54" s="42" t="s">
        <v>45</v>
      </c>
      <c r="AF54" s="42" t="s">
        <v>45</v>
      </c>
      <c r="AG54" s="43" t="s">
        <v>45</v>
      </c>
      <c r="AH54" s="42">
        <v>1</v>
      </c>
      <c r="AI54" s="42">
        <v>3</v>
      </c>
      <c r="AJ54" s="43">
        <v>3</v>
      </c>
      <c r="AK54" s="45" t="s">
        <v>599</v>
      </c>
      <c r="AL54" s="45" t="s">
        <v>47</v>
      </c>
      <c r="AM54" s="46"/>
      <c r="AN54" s="46"/>
      <c r="AO54" s="47"/>
      <c r="AP54" s="48"/>
      <c r="AQ54" s="46">
        <f>($AM$3*AM54+$AN$3*AN54+$AO$3*AO54+$AP$3*AP54)+$I$3*VLOOKUP(I54,COND!$A$2:$E$7,4,FALSE)+$J$3*VLOOKUP(J54,COND!$A$2:$C$7,2,FALSE)+$K$3*VLOOKUP(K54,COND!$A$2:$C$7,3,FALSE)+IF(AND($B$2&gt;0,$E54&lt;20),$B$2*25,0)</f>
        <v>49.7</v>
      </c>
      <c r="AR54" s="49">
        <f>STANDARDIZE(AQ54,AVERAGE($AQ$5:$AQ$537),STDEVP($AQ$5:$AQ$537))</f>
        <v>1.6453787227457386</v>
      </c>
      <c r="AS54" s="47"/>
      <c r="AT54" s="47"/>
      <c r="AU54" s="47"/>
      <c r="AV54" s="47"/>
      <c r="AW54" s="47" t="str">
        <f>IF(AND($Q54&gt;=6,AVERAGE($S54:$T54)&gt;=6),"Likely",IF(OR($Q54&gt;6,AND($Q54=6,AVERAGE($S54:$T54)&gt;=3),AND($Q54&gt;=5,AVERAGE($S54:$T54)&gt;=5),AVERAGE($Q54,$S54:$T54)&gt;5),"Possible","Unlikely"))</f>
        <v>Unlikely</v>
      </c>
      <c r="AX54" s="47"/>
      <c r="AY54" s="47" t="str">
        <f>INDEX(Table5[[#All],[Ovr]],MATCH(Batters[[#This Row],[PID]],Table5[[#All],[PID]],0))</f>
        <v/>
      </c>
      <c r="AZ54" s="47" t="str">
        <f>INDEX(Table5[[#All],[Rnd]],MATCH(Batters[[#This Row],[PID]],Table5[[#All],[PID]],0))</f>
        <v/>
      </c>
      <c r="BA54" s="47" t="str">
        <f>INDEX(Table5[[#All],[Pick]],MATCH(Batters[[#This Row],[PID]],Table5[[#All],[PID]],0))</f>
        <v/>
      </c>
      <c r="BB54" s="47" t="str">
        <f>INDEX(Table5[[#All],[Team]],MATCH(Batters[[#This Row],[PID]],Table5[[#All],[PID]],0))</f>
        <v/>
      </c>
    </row>
    <row r="55" spans="1:54" ht="15" customHeight="1" x14ac:dyDescent="0.25">
      <c r="A55" s="42">
        <v>5907</v>
      </c>
      <c r="B55" s="42" t="s">
        <v>86</v>
      </c>
      <c r="C55" s="42" t="s">
        <v>934</v>
      </c>
      <c r="D55" s="42" t="s">
        <v>1403</v>
      </c>
      <c r="E55" s="42">
        <v>18</v>
      </c>
      <c r="F55" s="42" t="s">
        <v>62</v>
      </c>
      <c r="G55" s="42" t="s">
        <v>42</v>
      </c>
      <c r="H55" s="43" t="s">
        <v>711</v>
      </c>
      <c r="I55" s="44" t="s">
        <v>43</v>
      </c>
      <c r="J55" s="42" t="s">
        <v>44</v>
      </c>
      <c r="K55" s="43" t="s">
        <v>43</v>
      </c>
      <c r="L55" s="42">
        <v>1</v>
      </c>
      <c r="M55" s="42">
        <v>1</v>
      </c>
      <c r="N55" s="42">
        <v>2</v>
      </c>
      <c r="O55" s="42">
        <v>1</v>
      </c>
      <c r="P55" s="43">
        <v>1</v>
      </c>
      <c r="Q55" s="42">
        <v>2</v>
      </c>
      <c r="R55" s="42">
        <v>2</v>
      </c>
      <c r="S55" s="42">
        <v>3</v>
      </c>
      <c r="T55" s="42">
        <v>3</v>
      </c>
      <c r="U55" s="43">
        <v>2</v>
      </c>
      <c r="V55" s="42">
        <v>2</v>
      </c>
      <c r="W55" s="42">
        <v>2</v>
      </c>
      <c r="X55" s="42">
        <v>4</v>
      </c>
      <c r="Y55" s="43">
        <v>6</v>
      </c>
      <c r="Z55" s="42" t="s">
        <v>45</v>
      </c>
      <c r="AA55" s="42" t="s">
        <v>45</v>
      </c>
      <c r="AB55" s="42" t="s">
        <v>45</v>
      </c>
      <c r="AC55" s="42" t="s">
        <v>45</v>
      </c>
      <c r="AD55" s="42" t="s">
        <v>45</v>
      </c>
      <c r="AE55" s="42" t="s">
        <v>45</v>
      </c>
      <c r="AF55" s="42" t="s">
        <v>45</v>
      </c>
      <c r="AG55" s="43" t="s">
        <v>45</v>
      </c>
      <c r="AH55" s="42">
        <v>1</v>
      </c>
      <c r="AI55" s="42">
        <v>1</v>
      </c>
      <c r="AJ55" s="43">
        <v>1</v>
      </c>
      <c r="AK55" s="45" t="s">
        <v>730</v>
      </c>
      <c r="AL55" s="45" t="s">
        <v>47</v>
      </c>
      <c r="AM55" s="46"/>
      <c r="AN55" s="46"/>
      <c r="AO55" s="47"/>
      <c r="AP55" s="48"/>
      <c r="AQ55" s="46">
        <f>($AM$3*AM55+$AN$3*AN55+$AO$3*AO55+$AP$3*AP55)+$I$3*VLOOKUP(I55,COND!$A$2:$E$7,4,FALSE)+$J$3*VLOOKUP(J55,COND!$A$2:$C$7,2,FALSE)+$K$3*VLOOKUP(K55,COND!$A$2:$C$7,3,FALSE)+IF(AND($B$2&gt;0,$E55&lt;20),$B$2*25,0)</f>
        <v>49.7</v>
      </c>
      <c r="AR55" s="49">
        <f>STANDARDIZE(AQ55,AVERAGE($AQ$5:$AQ$537),STDEVP($AQ$5:$AQ$537))</f>
        <v>1.6453787227457386</v>
      </c>
      <c r="AS55" s="47"/>
      <c r="AT55" s="47"/>
      <c r="AU55" s="47"/>
      <c r="AV55" s="47"/>
      <c r="AW55" s="47" t="str">
        <f>IF(AND($Q55&gt;=6,AVERAGE($S55:$T55)&gt;=6),"Likely",IF(OR($Q55&gt;6,AND($Q55=6,AVERAGE($S55:$T55)&gt;=3),AND($Q55&gt;=5,AVERAGE($S55:$T55)&gt;=5),AVERAGE($Q55,$S55:$T55)&gt;5),"Possible","Unlikely"))</f>
        <v>Unlikely</v>
      </c>
      <c r="AX55" s="47"/>
      <c r="AY55" s="47" t="str">
        <f>INDEX(Table5[[#All],[Ovr]],MATCH(Batters[[#This Row],[PID]],Table5[[#All],[PID]],0))</f>
        <v/>
      </c>
      <c r="AZ55" s="47" t="str">
        <f>INDEX(Table5[[#All],[Rnd]],MATCH(Batters[[#This Row],[PID]],Table5[[#All],[PID]],0))</f>
        <v/>
      </c>
      <c r="BA55" s="47" t="str">
        <f>INDEX(Table5[[#All],[Pick]],MATCH(Batters[[#This Row],[PID]],Table5[[#All],[PID]],0))</f>
        <v/>
      </c>
      <c r="BB55" s="47" t="str">
        <f>INDEX(Table5[[#All],[Team]],MATCH(Batters[[#This Row],[PID]],Table5[[#All],[PID]],0))</f>
        <v/>
      </c>
    </row>
    <row r="56" spans="1:54" ht="15" customHeight="1" x14ac:dyDescent="0.25">
      <c r="A56" s="42">
        <v>8195</v>
      </c>
      <c r="B56" s="42" t="s">
        <v>71</v>
      </c>
      <c r="C56" s="42" t="s">
        <v>1407</v>
      </c>
      <c r="D56" s="42" t="s">
        <v>1408</v>
      </c>
      <c r="E56" s="42">
        <v>17</v>
      </c>
      <c r="F56" s="42" t="s">
        <v>42</v>
      </c>
      <c r="G56" s="42" t="s">
        <v>42</v>
      </c>
      <c r="H56" s="43" t="s">
        <v>711</v>
      </c>
      <c r="I56" s="44" t="s">
        <v>43</v>
      </c>
      <c r="J56" s="42" t="s">
        <v>44</v>
      </c>
      <c r="K56" s="43" t="s">
        <v>43</v>
      </c>
      <c r="L56" s="42">
        <v>1</v>
      </c>
      <c r="M56" s="42">
        <v>1</v>
      </c>
      <c r="N56" s="42">
        <v>2</v>
      </c>
      <c r="O56" s="42">
        <v>1</v>
      </c>
      <c r="P56" s="43">
        <v>2</v>
      </c>
      <c r="Q56" s="42">
        <v>2</v>
      </c>
      <c r="R56" s="42">
        <v>2</v>
      </c>
      <c r="S56" s="42">
        <v>2</v>
      </c>
      <c r="T56" s="42">
        <v>4</v>
      </c>
      <c r="U56" s="43">
        <v>4</v>
      </c>
      <c r="V56" s="42">
        <v>8</v>
      </c>
      <c r="W56" s="42">
        <v>7</v>
      </c>
      <c r="X56" s="42">
        <v>1</v>
      </c>
      <c r="Y56" s="43">
        <v>1</v>
      </c>
      <c r="Z56" s="42" t="s">
        <v>45</v>
      </c>
      <c r="AA56" s="42" t="s">
        <v>45</v>
      </c>
      <c r="AB56" s="42">
        <v>5</v>
      </c>
      <c r="AC56" s="42" t="s">
        <v>45</v>
      </c>
      <c r="AD56" s="42" t="s">
        <v>45</v>
      </c>
      <c r="AE56" s="42" t="s">
        <v>45</v>
      </c>
      <c r="AF56" s="42" t="s">
        <v>45</v>
      </c>
      <c r="AG56" s="43" t="s">
        <v>45</v>
      </c>
      <c r="AH56" s="42">
        <v>10</v>
      </c>
      <c r="AI56" s="42">
        <v>8</v>
      </c>
      <c r="AJ56" s="43">
        <v>7</v>
      </c>
      <c r="AK56" s="45" t="s">
        <v>718</v>
      </c>
      <c r="AL56" s="45" t="s">
        <v>47</v>
      </c>
      <c r="AM56" s="46"/>
      <c r="AN56" s="46"/>
      <c r="AO56" s="47"/>
      <c r="AP56" s="48"/>
      <c r="AQ56" s="46">
        <f>($AM$3*AM56+$AN$3*AN56+$AO$3*AO56+$AP$3*AP56)+$I$3*VLOOKUP(I56,COND!$A$2:$E$7,4,FALSE)+$J$3*VLOOKUP(J56,COND!$A$2:$C$7,2,FALSE)+$K$3*VLOOKUP(K56,COND!$A$2:$C$7,3,FALSE)+IF(AND($B$2&gt;0,$E56&lt;20),$B$2*25,0)</f>
        <v>49.7</v>
      </c>
      <c r="AR56" s="49">
        <f>STANDARDIZE(AQ56,AVERAGE($AQ$5:$AQ$537),STDEVP($AQ$5:$AQ$537))</f>
        <v>1.6453787227457386</v>
      </c>
      <c r="AS56" s="47"/>
      <c r="AT56" s="47"/>
      <c r="AU56" s="47"/>
      <c r="AV56" s="47"/>
      <c r="AW56" s="47" t="str">
        <f>IF(AND($Q56&gt;=6,AVERAGE($S56:$T56)&gt;=6),"Likely",IF(OR($Q56&gt;6,AND($Q56=6,AVERAGE($S56:$T56)&gt;=3),AND($Q56&gt;=5,AVERAGE($S56:$T56)&gt;=5),AVERAGE($Q56,$S56:$T56)&gt;5),"Possible","Unlikely"))</f>
        <v>Unlikely</v>
      </c>
      <c r="AX56" s="47"/>
      <c r="AY56" s="47" t="str">
        <f>INDEX(Table5[[#All],[Ovr]],MATCH(Batters[[#This Row],[PID]],Table5[[#All],[PID]],0))</f>
        <v/>
      </c>
      <c r="AZ56" s="47" t="str">
        <f>INDEX(Table5[[#All],[Rnd]],MATCH(Batters[[#This Row],[PID]],Table5[[#All],[PID]],0))</f>
        <v/>
      </c>
      <c r="BA56" s="47" t="str">
        <f>INDEX(Table5[[#All],[Pick]],MATCH(Batters[[#This Row],[PID]],Table5[[#All],[PID]],0))</f>
        <v/>
      </c>
      <c r="BB56" s="47" t="str">
        <f>INDEX(Table5[[#All],[Team]],MATCH(Batters[[#This Row],[PID]],Table5[[#All],[PID]],0))</f>
        <v/>
      </c>
    </row>
    <row r="57" spans="1:54" ht="15" customHeight="1" x14ac:dyDescent="0.25">
      <c r="A57" s="42">
        <v>6379</v>
      </c>
      <c r="B57" s="42" t="s">
        <v>87</v>
      </c>
      <c r="C57" s="42" t="s">
        <v>795</v>
      </c>
      <c r="D57" s="42" t="s">
        <v>1409</v>
      </c>
      <c r="E57" s="42">
        <v>18</v>
      </c>
      <c r="F57" s="42" t="s">
        <v>42</v>
      </c>
      <c r="G57" s="42" t="s">
        <v>42</v>
      </c>
      <c r="H57" s="43" t="s">
        <v>711</v>
      </c>
      <c r="I57" s="44" t="s">
        <v>43</v>
      </c>
      <c r="J57" s="42" t="s">
        <v>44</v>
      </c>
      <c r="K57" s="43" t="s">
        <v>43</v>
      </c>
      <c r="L57" s="42">
        <v>1</v>
      </c>
      <c r="M57" s="42">
        <v>2</v>
      </c>
      <c r="N57" s="42">
        <v>3</v>
      </c>
      <c r="O57" s="42">
        <v>2</v>
      </c>
      <c r="P57" s="43">
        <v>1</v>
      </c>
      <c r="Q57" s="42">
        <v>2</v>
      </c>
      <c r="R57" s="42">
        <v>4</v>
      </c>
      <c r="S57" s="42">
        <v>4</v>
      </c>
      <c r="T57" s="42">
        <v>4</v>
      </c>
      <c r="U57" s="43">
        <v>3</v>
      </c>
      <c r="V57" s="42">
        <v>7</v>
      </c>
      <c r="W57" s="42">
        <v>6</v>
      </c>
      <c r="X57" s="42">
        <v>1</v>
      </c>
      <c r="Y57" s="43">
        <v>1</v>
      </c>
      <c r="Z57" s="42" t="s">
        <v>45</v>
      </c>
      <c r="AA57" s="42">
        <v>4</v>
      </c>
      <c r="AB57" s="42" t="s">
        <v>45</v>
      </c>
      <c r="AC57" s="42" t="s">
        <v>45</v>
      </c>
      <c r="AD57" s="42" t="s">
        <v>45</v>
      </c>
      <c r="AE57" s="42" t="s">
        <v>45</v>
      </c>
      <c r="AF57" s="42" t="s">
        <v>45</v>
      </c>
      <c r="AG57" s="43" t="s">
        <v>45</v>
      </c>
      <c r="AH57" s="42">
        <v>1</v>
      </c>
      <c r="AI57" s="42">
        <v>4</v>
      </c>
      <c r="AJ57" s="43">
        <v>1</v>
      </c>
      <c r="AK57" s="45" t="s">
        <v>730</v>
      </c>
      <c r="AL57" s="45" t="s">
        <v>705</v>
      </c>
      <c r="AM57" s="46"/>
      <c r="AN57" s="46"/>
      <c r="AO57" s="47"/>
      <c r="AP57" s="48"/>
      <c r="AQ57" s="46">
        <f>($AM$3*AM57+$AN$3*AN57+$AO$3*AO57+$AP$3*AP57)+$I$3*VLOOKUP(I57,COND!$A$2:$E$7,4,FALSE)+$J$3*VLOOKUP(J57,COND!$A$2:$C$7,2,FALSE)+$K$3*VLOOKUP(K57,COND!$A$2:$C$7,3,FALSE)+IF(AND($B$2&gt;0,$E57&lt;20),$B$2*25,0)</f>
        <v>49.7</v>
      </c>
      <c r="AR57" s="49">
        <f>STANDARDIZE(AQ57,AVERAGE($AQ$5:$AQ$537),STDEVP($AQ$5:$AQ$537))</f>
        <v>1.6453787227457386</v>
      </c>
      <c r="AS57" s="47"/>
      <c r="AT57" s="47"/>
      <c r="AU57" s="47"/>
      <c r="AV57" s="47"/>
      <c r="AW57" s="47" t="str">
        <f>IF(AND($Q57&gt;=6,AVERAGE($S57:$T57)&gt;=6),"Likely",IF(OR($Q57&gt;6,AND($Q57=6,AVERAGE($S57:$T57)&gt;=3),AND($Q57&gt;=5,AVERAGE($S57:$T57)&gt;=5),AVERAGE($Q57,$S57:$T57)&gt;5),"Possible","Unlikely"))</f>
        <v>Unlikely</v>
      </c>
      <c r="AX57" s="47"/>
      <c r="AY57" s="47" t="str">
        <f>INDEX(Table5[[#All],[Ovr]],MATCH(Batters[[#This Row],[PID]],Table5[[#All],[PID]],0))</f>
        <v/>
      </c>
      <c r="AZ57" s="47" t="str">
        <f>INDEX(Table5[[#All],[Rnd]],MATCH(Batters[[#This Row],[PID]],Table5[[#All],[PID]],0))</f>
        <v/>
      </c>
      <c r="BA57" s="47" t="str">
        <f>INDEX(Table5[[#All],[Pick]],MATCH(Batters[[#This Row],[PID]],Table5[[#All],[PID]],0))</f>
        <v/>
      </c>
      <c r="BB57" s="47" t="str">
        <f>INDEX(Table5[[#All],[Team]],MATCH(Batters[[#This Row],[PID]],Table5[[#All],[PID]],0))</f>
        <v/>
      </c>
    </row>
    <row r="58" spans="1:54" ht="15" customHeight="1" x14ac:dyDescent="0.25">
      <c r="A58" s="42">
        <v>15649</v>
      </c>
      <c r="B58" s="42" t="s">
        <v>69</v>
      </c>
      <c r="C58" s="42" t="s">
        <v>915</v>
      </c>
      <c r="D58" s="42" t="s">
        <v>1416</v>
      </c>
      <c r="E58" s="42">
        <v>18</v>
      </c>
      <c r="F58" s="42" t="s">
        <v>62</v>
      </c>
      <c r="G58" s="42" t="s">
        <v>42</v>
      </c>
      <c r="H58" s="43" t="s">
        <v>721</v>
      </c>
      <c r="I58" s="44" t="s">
        <v>43</v>
      </c>
      <c r="J58" s="42" t="s">
        <v>44</v>
      </c>
      <c r="K58" s="43" t="s">
        <v>43</v>
      </c>
      <c r="L58" s="42">
        <v>1</v>
      </c>
      <c r="M58" s="42">
        <v>1</v>
      </c>
      <c r="N58" s="42">
        <v>2</v>
      </c>
      <c r="O58" s="42">
        <v>1</v>
      </c>
      <c r="P58" s="43">
        <v>1</v>
      </c>
      <c r="Q58" s="42">
        <v>2</v>
      </c>
      <c r="R58" s="42">
        <v>3</v>
      </c>
      <c r="S58" s="42">
        <v>3</v>
      </c>
      <c r="T58" s="42">
        <v>4</v>
      </c>
      <c r="U58" s="43">
        <v>4</v>
      </c>
      <c r="V58" s="42">
        <v>8</v>
      </c>
      <c r="W58" s="42">
        <v>8</v>
      </c>
      <c r="X58" s="42">
        <v>1</v>
      </c>
      <c r="Y58" s="43">
        <v>1</v>
      </c>
      <c r="Z58" s="42" t="s">
        <v>45</v>
      </c>
      <c r="AA58" s="42" t="s">
        <v>45</v>
      </c>
      <c r="AB58" s="42" t="s">
        <v>45</v>
      </c>
      <c r="AC58" s="42">
        <v>1</v>
      </c>
      <c r="AD58" s="42" t="s">
        <v>45</v>
      </c>
      <c r="AE58" s="42" t="s">
        <v>45</v>
      </c>
      <c r="AF58" s="42" t="s">
        <v>45</v>
      </c>
      <c r="AG58" s="43" t="s">
        <v>45</v>
      </c>
      <c r="AH58" s="42">
        <v>3</v>
      </c>
      <c r="AI58" s="42">
        <v>5</v>
      </c>
      <c r="AJ58" s="43">
        <v>3</v>
      </c>
      <c r="AK58" s="45" t="s">
        <v>730</v>
      </c>
      <c r="AL58" s="45" t="s">
        <v>705</v>
      </c>
      <c r="AM58" s="46"/>
      <c r="AN58" s="46"/>
      <c r="AO58" s="47"/>
      <c r="AP58" s="48"/>
      <c r="AQ58" s="46">
        <f>($AM$3*AM58+$AN$3*AN58+$AO$3*AO58+$AP$3*AP58)+$I$3*VLOOKUP(I58,COND!$A$2:$E$7,4,FALSE)+$J$3*VLOOKUP(J58,COND!$A$2:$C$7,2,FALSE)+$K$3*VLOOKUP(K58,COND!$A$2:$C$7,3,FALSE)+IF(AND($B$2&gt;0,$E58&lt;20),$B$2*25,0)</f>
        <v>49.7</v>
      </c>
      <c r="AR58" s="49">
        <f>STANDARDIZE(AQ58,AVERAGE($AQ$5:$AQ$537),STDEVP($AQ$5:$AQ$537))</f>
        <v>1.6453787227457386</v>
      </c>
      <c r="AS58" s="47"/>
      <c r="AT58" s="47"/>
      <c r="AU58" s="47"/>
      <c r="AV58" s="47"/>
      <c r="AW58" s="47" t="str">
        <f>IF(AND($Q58&gt;=6,AVERAGE($S58:$T58)&gt;=6),"Likely",IF(OR($Q58&gt;6,AND($Q58=6,AVERAGE($S58:$T58)&gt;=3),AND($Q58&gt;=5,AVERAGE($S58:$T58)&gt;=5),AVERAGE($Q58,$S58:$T58)&gt;5),"Possible","Unlikely"))</f>
        <v>Unlikely</v>
      </c>
      <c r="AX58" s="47"/>
      <c r="AY58" s="47" t="str">
        <f>INDEX(Table5[[#All],[Ovr]],MATCH(Batters[[#This Row],[PID]],Table5[[#All],[PID]],0))</f>
        <v/>
      </c>
      <c r="AZ58" s="47" t="str">
        <f>INDEX(Table5[[#All],[Rnd]],MATCH(Batters[[#This Row],[PID]],Table5[[#All],[PID]],0))</f>
        <v/>
      </c>
      <c r="BA58" s="47" t="str">
        <f>INDEX(Table5[[#All],[Pick]],MATCH(Batters[[#This Row],[PID]],Table5[[#All],[PID]],0))</f>
        <v/>
      </c>
      <c r="BB58" s="47" t="str">
        <f>INDEX(Table5[[#All],[Team]],MATCH(Batters[[#This Row],[PID]],Table5[[#All],[PID]],0))</f>
        <v/>
      </c>
    </row>
    <row r="59" spans="1:54" ht="15" customHeight="1" x14ac:dyDescent="0.25">
      <c r="A59" s="42">
        <v>13380</v>
      </c>
      <c r="B59" s="42" t="s">
        <v>86</v>
      </c>
      <c r="C59" s="42" t="s">
        <v>1424</v>
      </c>
      <c r="D59" s="42" t="s">
        <v>1425</v>
      </c>
      <c r="E59" s="42">
        <v>18</v>
      </c>
      <c r="F59" s="42" t="s">
        <v>42</v>
      </c>
      <c r="G59" s="42" t="s">
        <v>42</v>
      </c>
      <c r="H59" s="43" t="s">
        <v>709</v>
      </c>
      <c r="I59" s="44" t="s">
        <v>43</v>
      </c>
      <c r="J59" s="42" t="s">
        <v>44</v>
      </c>
      <c r="K59" s="43" t="s">
        <v>43</v>
      </c>
      <c r="L59" s="42">
        <v>1</v>
      </c>
      <c r="M59" s="42">
        <v>1</v>
      </c>
      <c r="N59" s="42">
        <v>2</v>
      </c>
      <c r="O59" s="42">
        <v>2</v>
      </c>
      <c r="P59" s="43">
        <v>1</v>
      </c>
      <c r="Q59" s="42">
        <v>2</v>
      </c>
      <c r="R59" s="42">
        <v>3</v>
      </c>
      <c r="S59" s="42">
        <v>3</v>
      </c>
      <c r="T59" s="42">
        <v>5</v>
      </c>
      <c r="U59" s="43">
        <v>3</v>
      </c>
      <c r="V59" s="42">
        <v>6</v>
      </c>
      <c r="W59" s="42">
        <v>6</v>
      </c>
      <c r="X59" s="42">
        <v>8</v>
      </c>
      <c r="Y59" s="43">
        <v>5</v>
      </c>
      <c r="Z59" s="42">
        <v>2</v>
      </c>
      <c r="AA59" s="42" t="s">
        <v>45</v>
      </c>
      <c r="AB59" s="42" t="s">
        <v>45</v>
      </c>
      <c r="AC59" s="42" t="s">
        <v>45</v>
      </c>
      <c r="AD59" s="42" t="s">
        <v>45</v>
      </c>
      <c r="AE59" s="42" t="s">
        <v>45</v>
      </c>
      <c r="AF59" s="42" t="s">
        <v>45</v>
      </c>
      <c r="AG59" s="43" t="s">
        <v>45</v>
      </c>
      <c r="AH59" s="42">
        <v>1</v>
      </c>
      <c r="AI59" s="42">
        <v>1</v>
      </c>
      <c r="AJ59" s="43">
        <v>4</v>
      </c>
      <c r="AK59" s="45" t="s">
        <v>739</v>
      </c>
      <c r="AL59" s="45" t="s">
        <v>705</v>
      </c>
      <c r="AM59" s="46"/>
      <c r="AN59" s="46"/>
      <c r="AO59" s="47"/>
      <c r="AP59" s="48"/>
      <c r="AQ59" s="46">
        <f>($AM$3*AM59+$AN$3*AN59+$AO$3*AO59+$AP$3*AP59)+$I$3*VLOOKUP(I59,COND!$A$2:$E$7,4,FALSE)+$J$3*VLOOKUP(J59,COND!$A$2:$C$7,2,FALSE)+$K$3*VLOOKUP(K59,COND!$A$2:$C$7,3,FALSE)+IF(AND($B$2&gt;0,$E59&lt;20),$B$2*25,0)</f>
        <v>49.7</v>
      </c>
      <c r="AR59" s="49">
        <f>STANDARDIZE(AQ59,AVERAGE($AQ$5:$AQ$537),STDEVP($AQ$5:$AQ$537))</f>
        <v>1.6453787227457386</v>
      </c>
      <c r="AS59" s="47"/>
      <c r="AT59" s="47"/>
      <c r="AU59" s="47"/>
      <c r="AV59" s="47"/>
      <c r="AW59" s="47" t="str">
        <f>IF(AND($Q59&gt;=6,AVERAGE($S59:$T59)&gt;=6),"Likely",IF(OR($Q59&gt;6,AND($Q59=6,AVERAGE($S59:$T59)&gt;=3),AND($Q59&gt;=5,AVERAGE($S59:$T59)&gt;=5),AVERAGE($Q59,$S59:$T59)&gt;5),"Possible","Unlikely"))</f>
        <v>Unlikely</v>
      </c>
      <c r="AX59" s="47"/>
      <c r="AY59" s="47" t="str">
        <f>INDEX(Table5[[#All],[Ovr]],MATCH(Batters[[#This Row],[PID]],Table5[[#All],[PID]],0))</f>
        <v/>
      </c>
      <c r="AZ59" s="47" t="str">
        <f>INDEX(Table5[[#All],[Rnd]],MATCH(Batters[[#This Row],[PID]],Table5[[#All],[PID]],0))</f>
        <v/>
      </c>
      <c r="BA59" s="47" t="str">
        <f>INDEX(Table5[[#All],[Pick]],MATCH(Batters[[#This Row],[PID]],Table5[[#All],[PID]],0))</f>
        <v/>
      </c>
      <c r="BB59" s="47" t="str">
        <f>INDEX(Table5[[#All],[Team]],MATCH(Batters[[#This Row],[PID]],Table5[[#All],[PID]],0))</f>
        <v/>
      </c>
    </row>
    <row r="60" spans="1:54" ht="15" customHeight="1" x14ac:dyDescent="0.25">
      <c r="A60" s="42">
        <v>9110</v>
      </c>
      <c r="B60" s="42" t="s">
        <v>86</v>
      </c>
      <c r="C60" s="42" t="s">
        <v>1436</v>
      </c>
      <c r="D60" s="42" t="s">
        <v>1025</v>
      </c>
      <c r="E60" s="42">
        <v>18</v>
      </c>
      <c r="F60" s="42" t="s">
        <v>42</v>
      </c>
      <c r="G60" s="42" t="s">
        <v>42</v>
      </c>
      <c r="H60" s="43" t="s">
        <v>711</v>
      </c>
      <c r="I60" s="44" t="s">
        <v>43</v>
      </c>
      <c r="J60" s="42" t="s">
        <v>44</v>
      </c>
      <c r="K60" s="43" t="s">
        <v>43</v>
      </c>
      <c r="L60" s="42">
        <v>1</v>
      </c>
      <c r="M60" s="42">
        <v>1</v>
      </c>
      <c r="N60" s="42">
        <v>2</v>
      </c>
      <c r="O60" s="42">
        <v>1</v>
      </c>
      <c r="P60" s="43">
        <v>1</v>
      </c>
      <c r="Q60" s="42">
        <v>2</v>
      </c>
      <c r="R60" s="42">
        <v>4</v>
      </c>
      <c r="S60" s="42">
        <v>3</v>
      </c>
      <c r="T60" s="42">
        <v>4</v>
      </c>
      <c r="U60" s="43">
        <v>2</v>
      </c>
      <c r="V60" s="42">
        <v>5</v>
      </c>
      <c r="W60" s="42">
        <v>4</v>
      </c>
      <c r="X60" s="42">
        <v>6</v>
      </c>
      <c r="Y60" s="43">
        <v>5</v>
      </c>
      <c r="Z60" s="42" t="s">
        <v>45</v>
      </c>
      <c r="AA60" s="42" t="s">
        <v>45</v>
      </c>
      <c r="AB60" s="42" t="s">
        <v>45</v>
      </c>
      <c r="AC60" s="42" t="s">
        <v>45</v>
      </c>
      <c r="AD60" s="42" t="s">
        <v>45</v>
      </c>
      <c r="AE60" s="42" t="s">
        <v>45</v>
      </c>
      <c r="AF60" s="42" t="s">
        <v>45</v>
      </c>
      <c r="AG60" s="43" t="s">
        <v>45</v>
      </c>
      <c r="AH60" s="42">
        <v>4</v>
      </c>
      <c r="AI60" s="42">
        <v>5</v>
      </c>
      <c r="AJ60" s="43">
        <v>4</v>
      </c>
      <c r="AK60" s="45" t="s">
        <v>730</v>
      </c>
      <c r="AL60" s="45" t="s">
        <v>47</v>
      </c>
      <c r="AM60" s="46"/>
      <c r="AN60" s="46"/>
      <c r="AO60" s="47"/>
      <c r="AP60" s="48"/>
      <c r="AQ60" s="46">
        <f>($AM$3*AM60+$AN$3*AN60+$AO$3*AO60+$AP$3*AP60)+$I$3*VLOOKUP(I60,COND!$A$2:$E$7,4,FALSE)+$J$3*VLOOKUP(J60,COND!$A$2:$C$7,2,FALSE)+$K$3*VLOOKUP(K60,COND!$A$2:$C$7,3,FALSE)+IF(AND($B$2&gt;0,$E60&lt;20),$B$2*25,0)</f>
        <v>49.7</v>
      </c>
      <c r="AR60" s="49">
        <f>STANDARDIZE(AQ60,AVERAGE($AQ$5:$AQ$537),STDEVP($AQ$5:$AQ$537))</f>
        <v>1.6453787227457386</v>
      </c>
      <c r="AS60" s="47"/>
      <c r="AT60" s="47"/>
      <c r="AU60" s="47"/>
      <c r="AV60" s="47"/>
      <c r="AW60" s="47" t="str">
        <f>IF(AND($Q60&gt;=6,AVERAGE($S60:$T60)&gt;=6),"Likely",IF(OR($Q60&gt;6,AND($Q60=6,AVERAGE($S60:$T60)&gt;=3),AND($Q60&gt;=5,AVERAGE($S60:$T60)&gt;=5),AVERAGE($Q60,$S60:$T60)&gt;5),"Possible","Unlikely"))</f>
        <v>Unlikely</v>
      </c>
      <c r="AX60" s="47"/>
      <c r="AY60" s="47" t="str">
        <f>INDEX(Table5[[#All],[Ovr]],MATCH(Batters[[#This Row],[PID]],Table5[[#All],[PID]],0))</f>
        <v/>
      </c>
      <c r="AZ60" s="47" t="str">
        <f>INDEX(Table5[[#All],[Rnd]],MATCH(Batters[[#This Row],[PID]],Table5[[#All],[PID]],0))</f>
        <v/>
      </c>
      <c r="BA60" s="47" t="str">
        <f>INDEX(Table5[[#All],[Pick]],MATCH(Batters[[#This Row],[PID]],Table5[[#All],[PID]],0))</f>
        <v/>
      </c>
      <c r="BB60" s="47" t="str">
        <f>INDEX(Table5[[#All],[Team]],MATCH(Batters[[#This Row],[PID]],Table5[[#All],[PID]],0))</f>
        <v/>
      </c>
    </row>
    <row r="61" spans="1:54" ht="15" customHeight="1" x14ac:dyDescent="0.25">
      <c r="A61" s="42">
        <v>10093</v>
      </c>
      <c r="B61" s="42" t="s">
        <v>72</v>
      </c>
      <c r="C61" s="42" t="s">
        <v>149</v>
      </c>
      <c r="D61" s="42" t="s">
        <v>453</v>
      </c>
      <c r="E61" s="42">
        <v>21</v>
      </c>
      <c r="F61" s="42" t="s">
        <v>53</v>
      </c>
      <c r="G61" s="42" t="s">
        <v>42</v>
      </c>
      <c r="H61" s="43" t="s">
        <v>702</v>
      </c>
      <c r="I61" s="44" t="s">
        <v>44</v>
      </c>
      <c r="J61" s="42" t="s">
        <v>47</v>
      </c>
      <c r="K61" s="43" t="s">
        <v>47</v>
      </c>
      <c r="L61" s="42">
        <v>3</v>
      </c>
      <c r="M61" s="42">
        <v>4</v>
      </c>
      <c r="N61" s="42">
        <v>2</v>
      </c>
      <c r="O61" s="42">
        <v>2</v>
      </c>
      <c r="P61" s="43">
        <v>3</v>
      </c>
      <c r="Q61" s="42">
        <v>5</v>
      </c>
      <c r="R61" s="42">
        <v>5</v>
      </c>
      <c r="S61" s="42">
        <v>3</v>
      </c>
      <c r="T61" s="42">
        <v>4</v>
      </c>
      <c r="U61" s="43">
        <v>4</v>
      </c>
      <c r="V61" s="42">
        <v>6</v>
      </c>
      <c r="W61" s="42">
        <v>5</v>
      </c>
      <c r="X61" s="42">
        <v>1</v>
      </c>
      <c r="Y61" s="43">
        <v>1</v>
      </c>
      <c r="Z61" s="42" t="s">
        <v>45</v>
      </c>
      <c r="AA61" s="42" t="s">
        <v>45</v>
      </c>
      <c r="AB61" s="42">
        <v>6</v>
      </c>
      <c r="AC61" s="42" t="s">
        <v>45</v>
      </c>
      <c r="AD61" s="42">
        <v>7</v>
      </c>
      <c r="AE61" s="42" t="s">
        <v>45</v>
      </c>
      <c r="AF61" s="42" t="s">
        <v>45</v>
      </c>
      <c r="AG61" s="43" t="s">
        <v>45</v>
      </c>
      <c r="AH61" s="42">
        <v>10</v>
      </c>
      <c r="AI61" s="42">
        <v>9</v>
      </c>
      <c r="AJ61" s="43">
        <v>10</v>
      </c>
      <c r="AK61" s="45" t="s">
        <v>589</v>
      </c>
      <c r="AL61" s="45" t="s">
        <v>47</v>
      </c>
      <c r="AM61" s="46">
        <f>($L$3*(L61-$Q$1)/$Q$2+$M$3*(M61-$R$1)/$R$2+$N$3*(N61-$S$1)/$S$2+$O$3*(O61-$T$1)/$T$2+$P$3*(P61-$U$1)/$U$2)/(SUM($L$3:$P$3))</f>
        <v>-1.0332483148984626</v>
      </c>
      <c r="AN61" s="46">
        <f>($L$3*(Q61-$Q$1)/$Q$2+$M$3*(R61-$R$1)/$R$2+$N$3*(S61-$S$1)/$S$2+$O$3*(T61-$T$1)/$T$2+$P$3*(U61-$U$1)/$U$2)/(SUM($L$3:$P$3))</f>
        <v>-3.4579829014262681E-2</v>
      </c>
      <c r="AO61" s="47">
        <f>IF(AVERAGE(AH61:AI61)&gt;9,1,0)+IF(AVERAGE(AH61:AI61)&gt;7,1,0)+IF(AH61&gt;7,1,0)+IF(AI61&gt;7,1,0)+IF(AJ61&gt;8,1,0)+IF(AJ61&gt;6,1,0)</f>
        <v>6</v>
      </c>
      <c r="AP61" s="48">
        <f>MIN(2,IF(OR(Z61="-",X61&lt;5),0,1+IF(Y61&gt;7,0.35,IF(Y61&gt;5,0.1,0))+IF(Z61&gt;7,1+IF(X61&gt;7,0.25,0),IF(Z61&gt;4,0.5+IF(X61&gt;7,0.25,0),0+IF(X61&gt;7,0.25))))+IF(AA61="-",0,IF(AA61&gt;9,0.5,IF(AA61&gt;7,0.25,0)))+IF(AB61="-",0,IF(AB61&gt;7,1.1,IF(AB61&gt;4,0.6,0)))+IF(OR(AC61="-",V61&lt;5),0,IF(AC61&gt;7,1+IF(V61&gt;7,0.25,0),IF(AC61&gt;4,0.5+IF(V61&gt;7,0.25,0),0)))+IF(AD61="-",0,IF(AD61&gt;7,1.5,IF(AD61&gt;4,1,0)))+IF(AE61="-",0,IF(AE61&gt;9,0.5,IF(AE61&gt;7,0.25,0)))+IF(AF61="-",0,IF(AF61&gt;7,1.25,IF(AF61&gt;4,0.75,0)))+IF(OR(AG61="-",W61&lt;4),0,IF(AG61&gt;7,1+IF(W61&gt;7,0.15,0),IF(AG61&gt;4,0.5+IF(W61&gt;7,0.15,0),0))))</f>
        <v>1.6</v>
      </c>
      <c r="AQ61" s="46">
        <f>($AM$3*AM61+$AN$3*AN61+$AO$3*AO61+$AP$3*AP61)+$I$3*VLOOKUP(I61,COND!$A$2:$E$7,4,FALSE)+$J$3*VLOOKUP(J61,COND!$A$2:$C$7,2,FALSE)+$K$3*VLOOKUP(K61,COND!$A$2:$C$7,3,FALSE)+IF(AND($B$2&gt;0,$E61&lt;20),$B$2*25,0)</f>
        <v>47.531717220339004</v>
      </c>
      <c r="AR61" s="49">
        <f>STANDARDIZE(AQ61,AVERAGE($AQ$5:$AQ$537),STDEVP($AQ$5:$AQ$537))</f>
        <v>1.2638837787295478</v>
      </c>
      <c r="AS61" s="47" t="str">
        <f>IF(AND(Z61&lt;&gt;"-",Y61&gt;1),"C",IF(AB61=MAX(AB61:AD61),"2B",IF(AD61=MAX(AB61:AD61),"SS",IF(OR(AC61=MAX(AA61:AD61),AND(AC61&lt;&gt;"-",AC61&gt;4,V61&gt;5)),"3B",IF(AF61=MAX(AE61:AG61),"CF",IF(AND(AG61=MAX(AE61,AG61),AND(W61&gt;5,AG61&lt;&gt;"-")),"RF",IF(AE61&lt;&gt;"-","LF",IF(AA61&lt;&gt;"-","1B","DH"))))))))</f>
        <v>SS</v>
      </c>
      <c r="AT61" s="47"/>
      <c r="AU61" s="47"/>
      <c r="AV61" s="47"/>
      <c r="AW61" s="47" t="str">
        <f>IF(AND($Q61&gt;=6,AVERAGE($S61:$T61)&gt;=6),"Likely",IF(OR($Q61&gt;6,AND($Q61=6,AVERAGE($S61:$T61)&gt;=3),AND($Q61&gt;=5,AVERAGE($S61:$T61)&gt;=5),AVERAGE($Q61,$S61:$T61)&gt;5),"Possible","Unlikely"))</f>
        <v>Unlikely</v>
      </c>
      <c r="AX61" s="47"/>
      <c r="AY61" s="47" t="str">
        <f>INDEX(Table5[[#All],[Ovr]],MATCH(Batters[[#This Row],[PID]],Table5[[#All],[PID]],0))</f>
        <v/>
      </c>
      <c r="AZ61" s="47" t="str">
        <f>INDEX(Table5[[#All],[Rnd]],MATCH(Batters[[#This Row],[PID]],Table5[[#All],[PID]],0))</f>
        <v/>
      </c>
      <c r="BA61" s="47" t="str">
        <f>INDEX(Table5[[#All],[Pick]],MATCH(Batters[[#This Row],[PID]],Table5[[#All],[PID]],0))</f>
        <v/>
      </c>
      <c r="BB61" s="47" t="str">
        <f>INDEX(Table5[[#All],[Team]],MATCH(Batters[[#This Row],[PID]],Table5[[#All],[PID]],0))</f>
        <v/>
      </c>
    </row>
    <row r="62" spans="1:54" ht="15" customHeight="1" x14ac:dyDescent="0.25">
      <c r="A62" s="42">
        <v>8745</v>
      </c>
      <c r="B62" s="42" t="s">
        <v>50</v>
      </c>
      <c r="C62" s="42" t="s">
        <v>145</v>
      </c>
      <c r="D62" s="42" t="s">
        <v>706</v>
      </c>
      <c r="E62" s="42">
        <v>18</v>
      </c>
      <c r="F62" s="42" t="s">
        <v>42</v>
      </c>
      <c r="G62" s="42" t="s">
        <v>42</v>
      </c>
      <c r="H62" s="43" t="s">
        <v>709</v>
      </c>
      <c r="I62" s="44" t="s">
        <v>44</v>
      </c>
      <c r="J62" s="42" t="s">
        <v>47</v>
      </c>
      <c r="K62" s="43" t="s">
        <v>43</v>
      </c>
      <c r="L62" s="42">
        <v>1</v>
      </c>
      <c r="M62" s="42">
        <v>1</v>
      </c>
      <c r="N62" s="42">
        <v>2</v>
      </c>
      <c r="O62" s="42">
        <v>1</v>
      </c>
      <c r="P62" s="43">
        <v>1</v>
      </c>
      <c r="Q62" s="42">
        <v>4</v>
      </c>
      <c r="R62" s="42">
        <v>5</v>
      </c>
      <c r="S62" s="42">
        <v>5</v>
      </c>
      <c r="T62" s="42">
        <v>4</v>
      </c>
      <c r="U62" s="43">
        <v>4</v>
      </c>
      <c r="V62" s="42">
        <v>4</v>
      </c>
      <c r="W62" s="42">
        <v>6</v>
      </c>
      <c r="X62" s="42">
        <v>1</v>
      </c>
      <c r="Y62" s="43">
        <v>1</v>
      </c>
      <c r="Z62" s="42" t="s">
        <v>45</v>
      </c>
      <c r="AA62" s="42" t="s">
        <v>45</v>
      </c>
      <c r="AB62" s="42" t="s">
        <v>45</v>
      </c>
      <c r="AC62" s="42" t="s">
        <v>45</v>
      </c>
      <c r="AD62" s="42" t="s">
        <v>45</v>
      </c>
      <c r="AE62" s="42">
        <v>4</v>
      </c>
      <c r="AF62" s="42" t="s">
        <v>45</v>
      </c>
      <c r="AG62" s="43" t="s">
        <v>45</v>
      </c>
      <c r="AH62" s="42">
        <v>3</v>
      </c>
      <c r="AI62" s="42">
        <v>9</v>
      </c>
      <c r="AJ62" s="43">
        <v>8</v>
      </c>
      <c r="AK62" s="45" t="s">
        <v>659</v>
      </c>
      <c r="AL62" s="45" t="s">
        <v>47</v>
      </c>
      <c r="AM62" s="46">
        <f>($L$3*(L62-$Q$1)/$Q$2+$M$3*(M62-$R$1)/$R$2+$N$3*(N62-$S$1)/$S$2+$O$3*(O62-$T$1)/$T$2+$P$3*(P62-$U$1)/$U$2)/(SUM($L$3:$P$3))</f>
        <v>-2.0012818558036707</v>
      </c>
      <c r="AN62" s="46">
        <f>($L$3*(Q62-$Q$1)/$Q$2+$M$3*(R62-$R$1)/$R$2+$N$3*(S62-$S$1)/$S$2+$O$3*(T62-$T$1)/$T$2+$P$3*(U62-$U$1)/$U$2)/(SUM($L$3:$P$3))</f>
        <v>-0.19101267716913439</v>
      </c>
      <c r="AO62" s="47">
        <f>IF(AVERAGE(AH62:AI62)&gt;9,1,0)+IF(AVERAGE(AH62:AI62)&gt;7,1,0)+IF(AH62&gt;7,1,0)+IF(AI62&gt;7,1,0)+IF(AJ62&gt;8,1,0)+IF(AJ62&gt;6,1,0)</f>
        <v>2</v>
      </c>
      <c r="AP62" s="48">
        <f>MIN(2,IF(OR(Z62="-",X62&lt;5),0,1+IF(Y62&gt;7,0.35,IF(Y62&gt;5,0.1,0))+IF(Z62&gt;7,1+IF(X62&gt;7,0.25,0),IF(Z62&gt;4,0.5+IF(X62&gt;7,0.25,0),0+IF(X62&gt;7,0.25))))+IF(AA62="-",0,IF(AA62&gt;9,0.5,IF(AA62&gt;7,0.25,0)))+IF(AB62="-",0,IF(AB62&gt;7,1.1,IF(AB62&gt;4,0.6,0)))+IF(OR(AC62="-",V62&lt;5),0,IF(AC62&gt;7,1+IF(V62&gt;7,0.25,0),IF(AC62&gt;4,0.5+IF(V62&gt;7,0.25,0),0)))+IF(AD62="-",0,IF(AD62&gt;7,1.5,IF(AD62&gt;4,1,0)))+IF(AE62="-",0,IF(AE62&gt;9,0.5,IF(AE62&gt;7,0.25,0)))+IF(AF62="-",0,IF(AF62&gt;7,1.25,IF(AF62&gt;4,0.75,0)))+IF(OR(AG62="-",W62&lt;4),0,IF(AG62&gt;7,1+IF(W62&gt;7,0.15,0),IF(AG62&gt;4,0.5+IF(W62&gt;7,0.15,0),0))))</f>
        <v>0</v>
      </c>
      <c r="AQ62" s="46">
        <f>($AM$3*AM62+$AN$3*AN62+$AO$3*AO62+$AP$3*AP62)+$I$3*VLOOKUP(I62,COND!$A$2:$E$7,4,FALSE)+$J$3*VLOOKUP(J62,COND!$A$2:$C$7,2,FALSE)+$K$3*VLOOKUP(K62,COND!$A$2:$C$7,3,FALSE)+IF(AND($B$2&gt;0,$E62&lt;20),$B$2*25,0)</f>
        <v>47.991053021723353</v>
      </c>
      <c r="AR62" s="49">
        <f>STANDARDIZE(AQ62,AVERAGE($AQ$5:$AQ$537),STDEVP($AQ$5:$AQ$537))</f>
        <v>1.3447008600980357</v>
      </c>
      <c r="AS62" s="47" t="str">
        <f>IF(AND(Z62&lt;&gt;"-",Y62&gt;1),"C",IF(AB62=MAX(AB62:AD62),"2B",IF(AD62=MAX(AB62:AD62),"SS",IF(OR(AC62=MAX(AA62:AD62),AND(AC62&lt;&gt;"-",AC62&gt;4,V62&gt;5)),"3B",IF(AF62=MAX(AE62:AG62),"CF",IF(AND(AG62=MAX(AE62,AG62),AND(W62&gt;5,AG62&lt;&gt;"-")),"RF",IF(AE62&lt;&gt;"-","LF",IF(AA62&lt;&gt;"-","1B","DH"))))))))</f>
        <v>LF</v>
      </c>
      <c r="AT62" s="47"/>
      <c r="AU62" s="47"/>
      <c r="AV62" s="47"/>
      <c r="AW62" s="47" t="str">
        <f>IF(AND($Q62&gt;=6,AVERAGE($S62:$T62)&gt;=6),"Likely",IF(OR($Q62&gt;6,AND($Q62=6,AVERAGE($S62:$T62)&gt;=3),AND($Q62&gt;=5,AVERAGE($S62:$T62)&gt;=5),AVERAGE($Q62,$S62:$T62)&gt;5),"Possible","Unlikely"))</f>
        <v>Unlikely</v>
      </c>
      <c r="AX62" s="47"/>
      <c r="AY62" s="47" t="str">
        <f>INDEX(Table5[[#All],[Ovr]],MATCH(Batters[[#This Row],[PID]],Table5[[#All],[PID]],0))</f>
        <v/>
      </c>
      <c r="AZ62" s="47" t="str">
        <f>INDEX(Table5[[#All],[Rnd]],MATCH(Batters[[#This Row],[PID]],Table5[[#All],[PID]],0))</f>
        <v/>
      </c>
      <c r="BA62" s="47" t="str">
        <f>INDEX(Table5[[#All],[Pick]],MATCH(Batters[[#This Row],[PID]],Table5[[#All],[PID]],0))</f>
        <v/>
      </c>
      <c r="BB62" s="47" t="str">
        <f>INDEX(Table5[[#All],[Team]],MATCH(Batters[[#This Row],[PID]],Table5[[#All],[PID]],0))</f>
        <v/>
      </c>
    </row>
    <row r="63" spans="1:54" ht="15" customHeight="1" x14ac:dyDescent="0.25">
      <c r="A63" s="42">
        <v>7319</v>
      </c>
      <c r="B63" s="42" t="s">
        <v>74</v>
      </c>
      <c r="C63" s="42" t="s">
        <v>1043</v>
      </c>
      <c r="D63" s="42" t="s">
        <v>1044</v>
      </c>
      <c r="E63" s="42">
        <v>21</v>
      </c>
      <c r="F63" s="42" t="s">
        <v>42</v>
      </c>
      <c r="G63" s="42" t="s">
        <v>42</v>
      </c>
      <c r="H63" s="43" t="s">
        <v>702</v>
      </c>
      <c r="I63" s="44" t="s">
        <v>43</v>
      </c>
      <c r="J63" s="42" t="s">
        <v>43</v>
      </c>
      <c r="K63" s="43" t="s">
        <v>44</v>
      </c>
      <c r="L63" s="42">
        <v>3</v>
      </c>
      <c r="M63" s="42">
        <v>3</v>
      </c>
      <c r="N63" s="42">
        <v>3</v>
      </c>
      <c r="O63" s="42">
        <v>3</v>
      </c>
      <c r="P63" s="43">
        <v>4</v>
      </c>
      <c r="Q63" s="42">
        <v>5</v>
      </c>
      <c r="R63" s="42">
        <v>4</v>
      </c>
      <c r="S63" s="42">
        <v>4</v>
      </c>
      <c r="T63" s="42">
        <v>6</v>
      </c>
      <c r="U63" s="43">
        <v>6</v>
      </c>
      <c r="V63" s="42">
        <v>7</v>
      </c>
      <c r="W63" s="42">
        <v>9</v>
      </c>
      <c r="X63" s="42">
        <v>1</v>
      </c>
      <c r="Y63" s="43">
        <v>1</v>
      </c>
      <c r="Z63" s="42" t="s">
        <v>45</v>
      </c>
      <c r="AA63" s="42" t="s">
        <v>45</v>
      </c>
      <c r="AB63" s="42" t="s">
        <v>45</v>
      </c>
      <c r="AC63" s="42" t="s">
        <v>45</v>
      </c>
      <c r="AD63" s="42" t="s">
        <v>45</v>
      </c>
      <c r="AE63" s="42" t="s">
        <v>45</v>
      </c>
      <c r="AF63" s="42">
        <v>8</v>
      </c>
      <c r="AG63" s="43" t="s">
        <v>45</v>
      </c>
      <c r="AH63" s="42">
        <v>10</v>
      </c>
      <c r="AI63" s="42">
        <v>5</v>
      </c>
      <c r="AJ63" s="43">
        <v>4</v>
      </c>
      <c r="AK63" s="45" t="s">
        <v>649</v>
      </c>
      <c r="AL63" s="45" t="s">
        <v>47</v>
      </c>
      <c r="AM63" s="46">
        <f>($L$3*(L63-$Q$1)/$Q$2+$M$3*(M63-$R$1)/$R$2+$N$3*(N63-$S$1)/$S$2+$O$3*(O63-$T$1)/$T$2+$P$3*(P63-$U$1)/$U$2)/(SUM($L$3:$P$3))</f>
        <v>-0.87152081066660003</v>
      </c>
      <c r="AN63" s="46">
        <f>($L$3*(Q63-$Q$1)/$Q$2+$M$3*(R63-$R$1)/$R$2+$N$3*(S63-$S$1)/$S$2+$O$3*(T63-$T$1)/$T$2+$P$3*(U63-$U$1)/$U$2)/(SUM($L$3:$P$3))</f>
        <v>0.25687356504426428</v>
      </c>
      <c r="AO63" s="47">
        <f>IF(AVERAGE(AH63:AI63)&gt;9,1,0)+IF(AVERAGE(AH63:AI63)&gt;7,1,0)+IF(AH63&gt;7,1,0)+IF(AI63&gt;7,1,0)+IF(AJ63&gt;8,1,0)+IF(AJ63&gt;6,1,0)</f>
        <v>2</v>
      </c>
      <c r="AP63" s="48">
        <f>MIN(2,IF(OR(Z63="-",X63&lt;5),0,1+IF(Y63&gt;7,0.35,IF(Y63&gt;5,0.1,0))+IF(Z63&gt;7,1+IF(X63&gt;7,0.25,0),IF(Z63&gt;4,0.5+IF(X63&gt;7,0.25,0),0+IF(X63&gt;7,0.25))))+IF(AA63="-",0,IF(AA63&gt;9,0.5,IF(AA63&gt;7,0.25,0)))+IF(AB63="-",0,IF(AB63&gt;7,1.1,IF(AB63&gt;4,0.6,0)))+IF(OR(AC63="-",V63&lt;5),0,IF(AC63&gt;7,1+IF(V63&gt;7,0.25,0),IF(AC63&gt;4,0.5+IF(V63&gt;7,0.25,0),0)))+IF(AD63="-",0,IF(AD63&gt;7,1.5,IF(AD63&gt;4,1,0)))+IF(AE63="-",0,IF(AE63&gt;9,0.5,IF(AE63&gt;7,0.25,0)))+IF(AF63="-",0,IF(AF63&gt;7,1.25,IF(AF63&gt;4,0.75,0)))+IF(OR(AG63="-",W63&lt;4),0,IF(AG63&gt;7,1+IF(W63&gt;7,0.15,0),IF(AG63&gt;4,0.5+IF(W63&gt;7,0.15,0),0))))</f>
        <v>1.25</v>
      </c>
      <c r="AQ63" s="46">
        <f>($AM$3*AM63+$AN$3*AN63+$AO$3*AO63+$AP$3*AP63)+$I$3*VLOOKUP(I63,COND!$A$2:$E$7,4,FALSE)+$J$3*VLOOKUP(J63,COND!$A$2:$C$7,2,FALSE)+$K$3*VLOOKUP(K63,COND!$A$2:$C$7,3,FALSE)+IF(AND($B$2&gt;0,$E63&lt;20),$B$2*25,0)</f>
        <v>49.278664032797849</v>
      </c>
      <c r="AR63" s="49">
        <f>STANDARDIZE(AQ63,AVERAGE($AQ$5:$AQ$537),STDEVP($AQ$5:$AQ$537))</f>
        <v>1.5712474596431816</v>
      </c>
      <c r="AS63" s="47" t="str">
        <f>IF(AND(Z63&lt;&gt;"-",Y63&gt;1),"C",IF(AB63=MAX(AB63:AD63),"2B",IF(AD63=MAX(AB63:AD63),"SS",IF(OR(AC63=MAX(AA63:AD63),AND(AC63&lt;&gt;"-",AC63&gt;4,V63&gt;5)),"3B",IF(AF63=MAX(AE63:AG63),"CF",IF(AND(AG63=MAX(AE63,AG63),AND(W63&gt;5,AG63&lt;&gt;"-")),"RF",IF(AE63&lt;&gt;"-","LF",IF(AA63&lt;&gt;"-","1B","DH"))))))))</f>
        <v>CF</v>
      </c>
      <c r="AT63" s="47"/>
      <c r="AU63" s="47"/>
      <c r="AV63" s="47"/>
      <c r="AW63" s="47" t="str">
        <f>IF(AND($Q63&gt;=6,AVERAGE($S63:$T63)&gt;=6),"Likely",IF(OR($Q63&gt;6,AND($Q63=6,AVERAGE($S63:$T63)&gt;=3),AND($Q63&gt;=5,AVERAGE($S63:$T63)&gt;=5),AVERAGE($Q63,$S63:$T63)&gt;5),"Possible","Unlikely"))</f>
        <v>Possible</v>
      </c>
      <c r="AX63" s="47"/>
      <c r="AY63" s="47" t="str">
        <f>INDEX(Table5[[#All],[Ovr]],MATCH(Batters[[#This Row],[PID]],Table5[[#All],[PID]],0))</f>
        <v/>
      </c>
      <c r="AZ63" s="47" t="str">
        <f>INDEX(Table5[[#All],[Rnd]],MATCH(Batters[[#This Row],[PID]],Table5[[#All],[PID]],0))</f>
        <v/>
      </c>
      <c r="BA63" s="47" t="str">
        <f>INDEX(Table5[[#All],[Pick]],MATCH(Batters[[#This Row],[PID]],Table5[[#All],[PID]],0))</f>
        <v/>
      </c>
      <c r="BB63" s="47" t="str">
        <f>INDEX(Table5[[#All],[Team]],MATCH(Batters[[#This Row],[PID]],Table5[[#All],[PID]],0))</f>
        <v/>
      </c>
    </row>
    <row r="64" spans="1:54" ht="15" customHeight="1" x14ac:dyDescent="0.25">
      <c r="A64" s="42">
        <v>7247</v>
      </c>
      <c r="B64" s="42" t="s">
        <v>74</v>
      </c>
      <c r="C64" s="42" t="s">
        <v>904</v>
      </c>
      <c r="D64" s="42" t="s">
        <v>1101</v>
      </c>
      <c r="E64" s="42">
        <v>20</v>
      </c>
      <c r="F64" s="42" t="s">
        <v>53</v>
      </c>
      <c r="G64" s="42" t="s">
        <v>53</v>
      </c>
      <c r="H64" s="43" t="s">
        <v>702</v>
      </c>
      <c r="I64" s="44" t="s">
        <v>47</v>
      </c>
      <c r="J64" s="42" t="s">
        <v>47</v>
      </c>
      <c r="K64" s="43" t="s">
        <v>47</v>
      </c>
      <c r="L64" s="42">
        <v>3</v>
      </c>
      <c r="M64" s="42">
        <v>6</v>
      </c>
      <c r="N64" s="42">
        <v>3</v>
      </c>
      <c r="O64" s="42">
        <v>4</v>
      </c>
      <c r="P64" s="43">
        <v>3</v>
      </c>
      <c r="Q64" s="42">
        <v>4</v>
      </c>
      <c r="R64" s="42">
        <v>7</v>
      </c>
      <c r="S64" s="42">
        <v>4</v>
      </c>
      <c r="T64" s="42">
        <v>6</v>
      </c>
      <c r="U64" s="43">
        <v>4</v>
      </c>
      <c r="V64" s="42">
        <v>6</v>
      </c>
      <c r="W64" s="42">
        <v>10</v>
      </c>
      <c r="X64" s="42">
        <v>1</v>
      </c>
      <c r="Y64" s="43">
        <v>1</v>
      </c>
      <c r="Z64" s="42" t="s">
        <v>45</v>
      </c>
      <c r="AA64" s="42" t="s">
        <v>45</v>
      </c>
      <c r="AB64" s="42" t="s">
        <v>45</v>
      </c>
      <c r="AC64" s="42" t="s">
        <v>45</v>
      </c>
      <c r="AD64" s="42" t="s">
        <v>45</v>
      </c>
      <c r="AE64" s="42" t="s">
        <v>45</v>
      </c>
      <c r="AF64" s="42">
        <v>7</v>
      </c>
      <c r="AG64" s="43" t="s">
        <v>45</v>
      </c>
      <c r="AH64" s="42">
        <v>10</v>
      </c>
      <c r="AI64" s="42">
        <v>7</v>
      </c>
      <c r="AJ64" s="43">
        <v>5</v>
      </c>
      <c r="AK64" s="45" t="s">
        <v>627</v>
      </c>
      <c r="AL64" s="45" t="s">
        <v>47</v>
      </c>
      <c r="AM64" s="46">
        <f>($L$3*(L64-$Q$1)/$Q$2+$M$3*(M64-$R$1)/$R$2+$N$3*(N64-$S$1)/$S$2+$O$3*(O64-$T$1)/$T$2+$P$3*(P64-$U$1)/$U$2)/(SUM($L$3:$P$3))</f>
        <v>-0.668647961617992</v>
      </c>
      <c r="AN64" s="46">
        <f>($L$3*(Q64-$Q$1)/$Q$2+$M$3*(R64-$R$1)/$R$2+$N$3*(S64-$S$1)/$S$2+$O$3*(T64-$T$1)/$T$2+$P$3*(U64-$U$1)/$U$2)/(SUM($L$3:$P$3))</f>
        <v>7.4646880635331828E-3</v>
      </c>
      <c r="AO64" s="47">
        <f>IF(AVERAGE(AH64:AI64)&gt;9,1,0)+IF(AVERAGE(AH64:AI64)&gt;7,1,0)+IF(AH64&gt;7,1,0)+IF(AI64&gt;7,1,0)+IF(AJ64&gt;8,1,0)+IF(AJ64&gt;6,1,0)</f>
        <v>2</v>
      </c>
      <c r="AP64" s="48">
        <f>MIN(2,IF(OR(Z64="-",X64&lt;5),0,1+IF(Y64&gt;7,0.35,IF(Y64&gt;5,0.1,0))+IF(Z64&gt;7,1+IF(X64&gt;7,0.25,0),IF(Z64&gt;4,0.5+IF(X64&gt;7,0.25,0),0+IF(X64&gt;7,0.25))))+IF(AA64="-",0,IF(AA64&gt;9,0.5,IF(AA64&gt;7,0.25,0)))+IF(AB64="-",0,IF(AB64&gt;7,1.1,IF(AB64&gt;4,0.6,0)))+IF(OR(AC64="-",V64&lt;5),0,IF(AC64&gt;7,1+IF(V64&gt;7,0.25,0),IF(AC64&gt;4,0.5+IF(V64&gt;7,0.25,0),0)))+IF(AD64="-",0,IF(AD64&gt;7,1.5,IF(AD64&gt;4,1,0)))+IF(AE64="-",0,IF(AE64&gt;9,0.5,IF(AE64&gt;7,0.25,0)))+IF(AF64="-",0,IF(AF64&gt;7,1.25,IF(AF64&gt;4,0.75,0)))+IF(OR(AG64="-",W64&lt;4),0,IF(AG64&gt;7,1+IF(W64&gt;7,0.15,0),IF(AG64&gt;4,0.5+IF(W64&gt;7,0.15,0),0))))</f>
        <v>0.75</v>
      </c>
      <c r="AQ64" s="46">
        <f>($AM$3*AM64+$AN$3*AN64+$AO$3*AO64+$AP$3*AP64)+$I$3*VLOOKUP(I64,COND!$A$2:$E$7,4,FALSE)+$J$3*VLOOKUP(J64,COND!$A$2:$C$7,2,FALSE)+$K$3*VLOOKUP(K64,COND!$A$2:$C$7,3,FALSE)+IF(AND($B$2&gt;0,$E64&lt;20),$B$2*25,0)</f>
        <v>46.931044793933935</v>
      </c>
      <c r="AR64" s="49">
        <f>STANDARDIZE(AQ64,AVERAGE($AQ$5:$AQ$537),STDEVP($AQ$5:$AQ$537))</f>
        <v>1.1581994575547523</v>
      </c>
      <c r="AS64" s="47" t="str">
        <f>IF(AND(Z64&lt;&gt;"-",Y64&gt;1),"C",IF(AB64=MAX(AB64:AD64),"2B",IF(AD64=MAX(AB64:AD64),"SS",IF(OR(AC64=MAX(AA64:AD64),AND(AC64&lt;&gt;"-",AC64&gt;4,V64&gt;5)),"3B",IF(AF64=MAX(AE64:AG64),"CF",IF(AND(AG64=MAX(AE64,AG64),AND(W64&gt;5,AG64&lt;&gt;"-")),"RF",IF(AE64&lt;&gt;"-","LF",IF(AA64&lt;&gt;"-","1B","DH"))))))))</f>
        <v>CF</v>
      </c>
      <c r="AT64" s="47"/>
      <c r="AU64" s="47"/>
      <c r="AV64" s="47"/>
      <c r="AW64" s="47" t="str">
        <f>IF(AND($Q64&gt;=6,AVERAGE($S64:$T64)&gt;=6),"Likely",IF(OR($Q64&gt;6,AND($Q64=6,AVERAGE($S64:$T64)&gt;=3),AND($Q64&gt;=5,AVERAGE($S64:$T64)&gt;=5),AVERAGE($Q64,$S64:$T64)&gt;5),"Possible","Unlikely"))</f>
        <v>Unlikely</v>
      </c>
      <c r="AX64" s="47"/>
      <c r="AY64" s="47" t="str">
        <f>INDEX(Table5[[#All],[Ovr]],MATCH(Batters[[#This Row],[PID]],Table5[[#All],[PID]],0))</f>
        <v/>
      </c>
      <c r="AZ64" s="47" t="str">
        <f>INDEX(Table5[[#All],[Rnd]],MATCH(Batters[[#This Row],[PID]],Table5[[#All],[PID]],0))</f>
        <v/>
      </c>
      <c r="BA64" s="47" t="str">
        <f>INDEX(Table5[[#All],[Pick]],MATCH(Batters[[#This Row],[PID]],Table5[[#All],[PID]],0))</f>
        <v/>
      </c>
      <c r="BB64" s="47" t="str">
        <f>INDEX(Table5[[#All],[Team]],MATCH(Batters[[#This Row],[PID]],Table5[[#All],[PID]],0))</f>
        <v/>
      </c>
    </row>
    <row r="65" spans="1:54" ht="15" customHeight="1" x14ac:dyDescent="0.25">
      <c r="A65" s="42">
        <v>6736</v>
      </c>
      <c r="B65" s="42" t="s">
        <v>72</v>
      </c>
      <c r="C65" s="42" t="s">
        <v>1046</v>
      </c>
      <c r="D65" s="42" t="s">
        <v>1047</v>
      </c>
      <c r="E65" s="42">
        <v>20</v>
      </c>
      <c r="F65" s="42" t="s">
        <v>42</v>
      </c>
      <c r="G65" s="42" t="s">
        <v>42</v>
      </c>
      <c r="H65" s="43" t="s">
        <v>702</v>
      </c>
      <c r="I65" s="44" t="s">
        <v>43</v>
      </c>
      <c r="J65" s="42" t="s">
        <v>43</v>
      </c>
      <c r="K65" s="43" t="s">
        <v>43</v>
      </c>
      <c r="L65" s="42">
        <v>3</v>
      </c>
      <c r="M65" s="42">
        <v>4</v>
      </c>
      <c r="N65" s="42">
        <v>3</v>
      </c>
      <c r="O65" s="42">
        <v>3</v>
      </c>
      <c r="P65" s="43">
        <v>5</v>
      </c>
      <c r="Q65" s="42">
        <v>5</v>
      </c>
      <c r="R65" s="42">
        <v>5</v>
      </c>
      <c r="S65" s="42">
        <v>4</v>
      </c>
      <c r="T65" s="42">
        <v>4</v>
      </c>
      <c r="U65" s="43">
        <v>6</v>
      </c>
      <c r="V65" s="42">
        <v>8</v>
      </c>
      <c r="W65" s="42">
        <v>7</v>
      </c>
      <c r="X65" s="42">
        <v>1</v>
      </c>
      <c r="Y65" s="43">
        <v>1</v>
      </c>
      <c r="Z65" s="42" t="s">
        <v>45</v>
      </c>
      <c r="AA65" s="42" t="s">
        <v>45</v>
      </c>
      <c r="AB65" s="42" t="s">
        <v>45</v>
      </c>
      <c r="AC65" s="42" t="s">
        <v>45</v>
      </c>
      <c r="AD65" s="42">
        <v>7</v>
      </c>
      <c r="AE65" s="42" t="s">
        <v>45</v>
      </c>
      <c r="AF65" s="42" t="s">
        <v>45</v>
      </c>
      <c r="AG65" s="43" t="s">
        <v>45</v>
      </c>
      <c r="AH65" s="42">
        <v>9</v>
      </c>
      <c r="AI65" s="42">
        <v>9</v>
      </c>
      <c r="AJ65" s="43">
        <v>9</v>
      </c>
      <c r="AK65" s="45" t="s">
        <v>658</v>
      </c>
      <c r="AL65" s="45" t="s">
        <v>47</v>
      </c>
      <c r="AM65" s="46">
        <f>($L$3*(L65-$Q$1)/$Q$2+$M$3*(M65-$R$1)/$R$2+$N$3*(N65-$S$1)/$S$2+$O$3*(O65-$T$1)/$T$2+$P$3*(P65-$U$1)/$U$2)/(SUM($L$3:$P$3))</f>
        <v>-0.78044459123081322</v>
      </c>
      <c r="AN65" s="46">
        <f>($L$3*(Q65-$Q$1)/$Q$2+$M$3*(R65-$R$1)/$R$2+$N$3*(S65-$S$1)/$S$2+$O$3*(T65-$T$1)/$T$2+$P$3*(U65-$U$1)/$U$2)/(SUM($L$3:$P$3))</f>
        <v>0.12851434464380571</v>
      </c>
      <c r="AO65" s="47">
        <f>IF(AVERAGE(AH65:AI65)&gt;9,1,0)+IF(AVERAGE(AH65:AI65)&gt;7,1,0)+IF(AH65&gt;7,1,0)+IF(AI65&gt;7,1,0)+IF(AJ65&gt;8,1,0)+IF(AJ65&gt;6,1,0)</f>
        <v>5</v>
      </c>
      <c r="AP65" s="48">
        <f>MIN(2,IF(OR(Z65="-",X65&lt;5),0,1+IF(Y65&gt;7,0.35,IF(Y65&gt;5,0.1,0))+IF(Z65&gt;7,1+IF(X65&gt;7,0.25,0),IF(Z65&gt;4,0.5+IF(X65&gt;7,0.25,0),0+IF(X65&gt;7,0.25))))+IF(AA65="-",0,IF(AA65&gt;9,0.5,IF(AA65&gt;7,0.25,0)))+IF(AB65="-",0,IF(AB65&gt;7,1.1,IF(AB65&gt;4,0.6,0)))+IF(OR(AC65="-",V65&lt;5),0,IF(AC65&gt;7,1+IF(V65&gt;7,0.25,0),IF(AC65&gt;4,0.5+IF(V65&gt;7,0.25,0),0)))+IF(AD65="-",0,IF(AD65&gt;7,1.5,IF(AD65&gt;4,1,0)))+IF(AE65="-",0,IF(AE65&gt;9,0.5,IF(AE65&gt;7,0.25,0)))+IF(AF65="-",0,IF(AF65&gt;7,1.25,IF(AF65&gt;4,0.75,0)))+IF(OR(AG65="-",W65&lt;4),0,IF(AG65&gt;7,1+IF(W65&gt;7,0.15,0),IF(AG65&gt;4,0.5+IF(W65&gt;7,0.15,0),0))))</f>
        <v>1</v>
      </c>
      <c r="AQ65" s="46">
        <f>($AM$3*AM65+$AN$3*AN65+$AO$3*AO65+$AP$3*AP65)+$I$3*VLOOKUP(I65,COND!$A$2:$E$7,4,FALSE)+$J$3*VLOOKUP(J65,COND!$A$2:$C$7,2,FALSE)+$K$3*VLOOKUP(K65,COND!$A$2:$C$7,3,FALSE)+IF(AND($B$2&gt;0,$E65&lt;20),$B$2*25,0)</f>
        <v>48.297461009935915</v>
      </c>
      <c r="AR65" s="49">
        <f>STANDARDIZE(AQ65,AVERAGE($AQ$5:$AQ$537),STDEVP($AQ$5:$AQ$537))</f>
        <v>1.3986113091435892</v>
      </c>
      <c r="AS65" s="47" t="str">
        <f>IF(AND(Z65&lt;&gt;"-",Y65&gt;1),"C",IF(AB65=MAX(AB65:AD65),"2B",IF(AD65=MAX(AB65:AD65),"SS",IF(OR(AC65=MAX(AA65:AD65),AND(AC65&lt;&gt;"-",AC65&gt;4,V65&gt;5)),"3B",IF(AF65=MAX(AE65:AG65),"CF",IF(AND(AG65=MAX(AE65,AG65),AND(W65&gt;5,AG65&lt;&gt;"-")),"RF",IF(AE65&lt;&gt;"-","LF",IF(AA65&lt;&gt;"-","1B","DH"))))))))</f>
        <v>SS</v>
      </c>
      <c r="AT65" s="47"/>
      <c r="AU65" s="47"/>
      <c r="AV65" s="47"/>
      <c r="AW65" s="47" t="str">
        <f>IF(AND($Q65&gt;=6,AVERAGE($S65:$T65)&gt;=6),"Likely",IF(OR($Q65&gt;6,AND($Q65=6,AVERAGE($S65:$T65)&gt;=3),AND($Q65&gt;=5,AVERAGE($S65:$T65)&gt;=5),AVERAGE($Q65,$S65:$T65)&gt;5),"Possible","Unlikely"))</f>
        <v>Unlikely</v>
      </c>
      <c r="AX65" s="47"/>
      <c r="AY65" s="47" t="str">
        <f>INDEX(Table5[[#All],[Ovr]],MATCH(Batters[[#This Row],[PID]],Table5[[#All],[PID]],0))</f>
        <v/>
      </c>
      <c r="AZ65" s="47" t="str">
        <f>INDEX(Table5[[#All],[Rnd]],MATCH(Batters[[#This Row],[PID]],Table5[[#All],[PID]],0))</f>
        <v/>
      </c>
      <c r="BA65" s="47" t="str">
        <f>INDEX(Table5[[#All],[Pick]],MATCH(Batters[[#This Row],[PID]],Table5[[#All],[PID]],0))</f>
        <v/>
      </c>
      <c r="BB65" s="47" t="str">
        <f>INDEX(Table5[[#All],[Team]],MATCH(Batters[[#This Row],[PID]],Table5[[#All],[PID]],0))</f>
        <v/>
      </c>
    </row>
    <row r="66" spans="1:54" ht="15" customHeight="1" x14ac:dyDescent="0.25">
      <c r="A66" s="42">
        <v>10481</v>
      </c>
      <c r="B66" s="42" t="s">
        <v>86</v>
      </c>
      <c r="C66" s="42" t="s">
        <v>143</v>
      </c>
      <c r="D66" s="42" t="s">
        <v>298</v>
      </c>
      <c r="E66" s="42">
        <v>21</v>
      </c>
      <c r="F66" s="42" t="s">
        <v>42</v>
      </c>
      <c r="G66" s="42" t="s">
        <v>42</v>
      </c>
      <c r="H66" s="43" t="s">
        <v>702</v>
      </c>
      <c r="I66" s="44" t="s">
        <v>47</v>
      </c>
      <c r="J66" s="42" t="s">
        <v>47</v>
      </c>
      <c r="K66" s="43" t="s">
        <v>43</v>
      </c>
      <c r="L66" s="42">
        <v>3</v>
      </c>
      <c r="M66" s="42">
        <v>4</v>
      </c>
      <c r="N66" s="42">
        <v>3</v>
      </c>
      <c r="O66" s="42">
        <v>3</v>
      </c>
      <c r="P66" s="43">
        <v>3</v>
      </c>
      <c r="Q66" s="42">
        <v>5</v>
      </c>
      <c r="R66" s="42">
        <v>5</v>
      </c>
      <c r="S66" s="42">
        <v>4</v>
      </c>
      <c r="T66" s="42">
        <v>5</v>
      </c>
      <c r="U66" s="43">
        <v>5</v>
      </c>
      <c r="V66" s="42">
        <v>2</v>
      </c>
      <c r="W66" s="42">
        <v>2</v>
      </c>
      <c r="X66" s="42">
        <v>4</v>
      </c>
      <c r="Y66" s="43">
        <v>8</v>
      </c>
      <c r="Z66" s="42">
        <v>3</v>
      </c>
      <c r="AA66" s="42" t="s">
        <v>45</v>
      </c>
      <c r="AB66" s="42" t="s">
        <v>45</v>
      </c>
      <c r="AC66" s="42" t="s">
        <v>45</v>
      </c>
      <c r="AD66" s="42" t="s">
        <v>45</v>
      </c>
      <c r="AE66" s="42" t="s">
        <v>45</v>
      </c>
      <c r="AF66" s="42" t="s">
        <v>45</v>
      </c>
      <c r="AG66" s="43" t="s">
        <v>45</v>
      </c>
      <c r="AH66" s="42">
        <v>2</v>
      </c>
      <c r="AI66" s="42">
        <v>2</v>
      </c>
      <c r="AJ66" s="43">
        <v>3</v>
      </c>
      <c r="AK66" s="45" t="s">
        <v>429</v>
      </c>
      <c r="AL66" s="45" t="s">
        <v>705</v>
      </c>
      <c r="AM66" s="46">
        <f>($L$3*(L66-$Q$1)/$Q$2+$M$3*(M66-$R$1)/$R$2+$N$3*(N66-$S$1)/$S$2+$O$3*(O66-$T$1)/$T$2+$P$3*(P66-$U$1)/$U$2)/(SUM($L$3:$P$3))</f>
        <v>-0.86047727086498016</v>
      </c>
      <c r="AN66" s="46">
        <f>($L$3*(Q66-$Q$1)/$Q$2+$M$3*(R66-$R$1)/$R$2+$N$3*(S66-$S$1)/$S$2+$O$3*(T66-$T$1)/$T$2+$P$3*(U66-$U$1)/$U$2)/(SUM($L$3:$P$3))</f>
        <v>0.17820755483630332</v>
      </c>
      <c r="AO66" s="47">
        <f>IF(AVERAGE(AH66:AI66)&gt;9,1,0)+IF(AVERAGE(AH66:AI66)&gt;7,1,0)+IF(AH66&gt;7,1,0)+IF(AI66&gt;7,1,0)+IF(AJ66&gt;8,1,0)+IF(AJ66&gt;6,1,0)</f>
        <v>0</v>
      </c>
      <c r="AP66" s="48">
        <f>MIN(2,IF(OR(Z66="-",X66&lt;5),0,1+IF(Y66&gt;7,0.35,IF(Y66&gt;5,0.1,0))+IF(Z66&gt;7,1+IF(X66&gt;7,0.25,0),IF(Z66&gt;4,0.5+IF(X66&gt;7,0.25,0),0+IF(X66&gt;7,0.25))))+IF(AA66="-",0,IF(AA66&gt;9,0.5,IF(AA66&gt;7,0.25,0)))+IF(AB66="-",0,IF(AB66&gt;7,1.1,IF(AB66&gt;4,0.6,0)))+IF(OR(AC66="-",V66&lt;5),0,IF(AC66&gt;7,1+IF(V66&gt;7,0.25,0),IF(AC66&gt;4,0.5+IF(V66&gt;7,0.25,0),0)))+IF(AD66="-",0,IF(AD66&gt;7,1.5,IF(AD66&gt;4,1,0)))+IF(AE66="-",0,IF(AE66&gt;9,0.5,IF(AE66&gt;7,0.25,0)))+IF(AF66="-",0,IF(AF66&gt;7,1.25,IF(AF66&gt;4,0.75,0)))+IF(OR(AG66="-",W66&lt;4),0,IF(AG66&gt;7,1+IF(W66&gt;7,0.15,0),IF(AG66&gt;4,0.5+IF(W66&gt;7,0.15,0),0))))</f>
        <v>0</v>
      </c>
      <c r="AQ66" s="46">
        <f>($AM$3*AM66+$AN$3*AN66+$AO$3*AO66+$AP$3*AP66)+$I$3*VLOOKUP(I66,COND!$A$2:$E$7,4,FALSE)+$J$3*VLOOKUP(J66,COND!$A$2:$C$7,2,FALSE)+$K$3*VLOOKUP(K66,COND!$A$2:$C$7,3,FALSE)+IF(AND($B$2&gt;0,$E66&lt;20),$B$2*25,0)</f>
        <v>47.57744293094914</v>
      </c>
      <c r="AR66" s="49">
        <f>STANDARDIZE(AQ66,AVERAGE($AQ$5:$AQ$537),STDEVP($AQ$5:$AQ$537))</f>
        <v>1.2719289136044563</v>
      </c>
      <c r="AS66" s="47" t="str">
        <f>IF(AND(Z66&lt;&gt;"-",Y66&gt;1),"C",IF(AB66=MAX(AB66:AD66),"2B",IF(AD66=MAX(AB66:AD66),"SS",IF(OR(AC66=MAX(AA66:AD66),AND(AC66&lt;&gt;"-",AC66&gt;4,V66&gt;5)),"3B",IF(AF66=MAX(AE66:AG66),"CF",IF(AND(AG66=MAX(AE66,AG66),AND(W66&gt;5,AG66&lt;&gt;"-")),"RF",IF(AE66&lt;&gt;"-","LF",IF(AA66&lt;&gt;"-","1B","DH"))))))))</f>
        <v>C</v>
      </c>
      <c r="AT66" s="47"/>
      <c r="AU66" s="47"/>
      <c r="AV66" s="47"/>
      <c r="AW66" s="47" t="str">
        <f>IF(AND($Q66&gt;=6,AVERAGE($S66:$T66)&gt;=6),"Likely",IF(OR($Q66&gt;6,AND($Q66=6,AVERAGE($S66:$T66)&gt;=3),AND($Q66&gt;=5,AVERAGE($S66:$T66)&gt;=5),AVERAGE($Q66,$S66:$T66)&gt;5),"Possible","Unlikely"))</f>
        <v>Unlikely</v>
      </c>
      <c r="AX66" s="47"/>
      <c r="AY66" s="47" t="str">
        <f>INDEX(Table5[[#All],[Ovr]],MATCH(Batters[[#This Row],[PID]],Table5[[#All],[PID]],0))</f>
        <v/>
      </c>
      <c r="AZ66" s="47" t="str">
        <f>INDEX(Table5[[#All],[Rnd]],MATCH(Batters[[#This Row],[PID]],Table5[[#All],[PID]],0))</f>
        <v/>
      </c>
      <c r="BA66" s="47" t="str">
        <f>INDEX(Table5[[#All],[Pick]],MATCH(Batters[[#This Row],[PID]],Table5[[#All],[PID]],0))</f>
        <v/>
      </c>
      <c r="BB66" s="47" t="str">
        <f>INDEX(Table5[[#All],[Team]],MATCH(Batters[[#This Row],[PID]],Table5[[#All],[PID]],0))</f>
        <v/>
      </c>
    </row>
    <row r="67" spans="1:54" ht="15" customHeight="1" x14ac:dyDescent="0.25">
      <c r="A67" s="42">
        <v>6486</v>
      </c>
      <c r="B67" s="42" t="s">
        <v>86</v>
      </c>
      <c r="C67" s="42" t="s">
        <v>986</v>
      </c>
      <c r="D67" s="42" t="s">
        <v>613</v>
      </c>
      <c r="E67" s="42">
        <v>18</v>
      </c>
      <c r="F67" s="42" t="s">
        <v>42</v>
      </c>
      <c r="G67" s="42" t="s">
        <v>42</v>
      </c>
      <c r="H67" s="43" t="s">
        <v>703</v>
      </c>
      <c r="I67" s="44" t="s">
        <v>43</v>
      </c>
      <c r="J67" s="42" t="s">
        <v>44</v>
      </c>
      <c r="K67" s="43" t="s">
        <v>44</v>
      </c>
      <c r="L67" s="42">
        <v>1</v>
      </c>
      <c r="M67" s="42">
        <v>2</v>
      </c>
      <c r="N67" s="42">
        <v>3</v>
      </c>
      <c r="O67" s="42">
        <v>2</v>
      </c>
      <c r="P67" s="43">
        <v>1</v>
      </c>
      <c r="Q67" s="42">
        <v>4</v>
      </c>
      <c r="R67" s="42">
        <v>5</v>
      </c>
      <c r="S67" s="42">
        <v>5</v>
      </c>
      <c r="T67" s="42">
        <v>5</v>
      </c>
      <c r="U67" s="43">
        <v>5</v>
      </c>
      <c r="V67" s="42">
        <v>3</v>
      </c>
      <c r="W67" s="42">
        <v>3</v>
      </c>
      <c r="X67" s="42">
        <v>6</v>
      </c>
      <c r="Y67" s="43">
        <v>6</v>
      </c>
      <c r="Z67" s="42">
        <v>2</v>
      </c>
      <c r="AA67" s="42" t="s">
        <v>45</v>
      </c>
      <c r="AB67" s="42" t="s">
        <v>45</v>
      </c>
      <c r="AC67" s="42" t="s">
        <v>45</v>
      </c>
      <c r="AD67" s="42" t="s">
        <v>45</v>
      </c>
      <c r="AE67" s="42" t="s">
        <v>45</v>
      </c>
      <c r="AF67" s="42" t="s">
        <v>45</v>
      </c>
      <c r="AG67" s="43" t="s">
        <v>45</v>
      </c>
      <c r="AH67" s="42">
        <v>1</v>
      </c>
      <c r="AI67" s="42">
        <v>1</v>
      </c>
      <c r="AJ67" s="43">
        <v>1</v>
      </c>
      <c r="AK67" s="45" t="s">
        <v>596</v>
      </c>
      <c r="AL67" s="45" t="s">
        <v>47</v>
      </c>
      <c r="AM67" s="46">
        <f>($L$3*(L67-$Q$1)/$Q$2+$M$3*(M67-$R$1)/$R$2+$N$3*(N67-$S$1)/$S$2+$O$3*(O67-$T$1)/$T$2+$P$3*(P67-$U$1)/$U$2)/(SUM($L$3:$P$3))</f>
        <v>-1.7774509321514844</v>
      </c>
      <c r="AN67" s="46">
        <f>($L$3*(Q67-$Q$1)/$Q$2+$M$3*(R67-$R$1)/$R$2+$N$3*(S67-$S$1)/$S$2+$O$3*(T67-$T$1)/$T$2+$P$3*(U67-$U$1)/$U$2)/(SUM($L$3:$P$3))</f>
        <v>-6.1286787342469937E-2</v>
      </c>
      <c r="AO67" s="47">
        <f>IF(AVERAGE(AH67:AI67)&gt;9,1,0)+IF(AVERAGE(AH67:AI67)&gt;7,1,0)+IF(AH67&gt;7,1,0)+IF(AI67&gt;7,1,0)+IF(AJ67&gt;8,1,0)+IF(AJ67&gt;6,1,0)</f>
        <v>0</v>
      </c>
      <c r="AP67" s="48">
        <f>MIN(2,IF(OR(Z67="-",X67&lt;5),0,1+IF(Y67&gt;7,0.35,IF(Y67&gt;5,0.1,0))+IF(Z67&gt;7,1+IF(X67&gt;7,0.25,0),IF(Z67&gt;4,0.5+IF(X67&gt;7,0.25,0),0+IF(X67&gt;7,0.25))))+IF(AA67="-",0,IF(AA67&gt;9,0.5,IF(AA67&gt;7,0.25,0)))+IF(AB67="-",0,IF(AB67&gt;7,1.1,IF(AB67&gt;4,0.6,0)))+IF(OR(AC67="-",V67&lt;5),0,IF(AC67&gt;7,1+IF(V67&gt;7,0.25,0),IF(AC67&gt;4,0.5+IF(V67&gt;7,0.25,0),0)))+IF(AD67="-",0,IF(AD67&gt;7,1.5,IF(AD67&gt;4,1,0)))+IF(AE67="-",0,IF(AE67&gt;9,0.5,IF(AE67&gt;7,0.25,0)))+IF(AF67="-",0,IF(AF67&gt;7,1.25,IF(AF67&gt;4,0.75,0)))+IF(OR(AG67="-",W67&lt;4),0,IF(AG67&gt;7,1+IF(W67&gt;7,0.15,0),IF(AG67&gt;4,0.5+IF(W67&gt;7,0.15,0),0))))</f>
        <v>1.1000000000000001</v>
      </c>
      <c r="AQ67" s="46">
        <f>($AM$3*AM67+$AN$3*AN67+$AO$3*AO67+$AP$3*AP67)+$I$3*VLOOKUP(I67,COND!$A$2:$E$7,4,FALSE)+$J$3*VLOOKUP(J67,COND!$A$2:$C$7,2,FALSE)+$K$3*VLOOKUP(K67,COND!$A$2:$C$7,3,FALSE)+IF(AND($B$2&gt;0,$E67&lt;20),$B$2*25,0)</f>
        <v>49.586813458675209</v>
      </c>
      <c r="AR67" s="49">
        <f>STANDARDIZE(AQ67,AVERAGE($AQ$5:$AQ$537),STDEVP($AQ$5:$AQ$537))</f>
        <v>1.6254643030717331</v>
      </c>
      <c r="AS67" s="47" t="str">
        <f>IF(AND(Z67&lt;&gt;"-",Y67&gt;1),"C",IF(AB67=MAX(AB67:AD67),"2B",IF(AD67=MAX(AB67:AD67),"SS",IF(OR(AC67=MAX(AA67:AD67),AND(AC67&lt;&gt;"-",AC67&gt;4,V67&gt;5)),"3B",IF(AF67=MAX(AE67:AG67),"CF",IF(AND(AG67=MAX(AE67,AG67),AND(W67&gt;5,AG67&lt;&gt;"-")),"RF",IF(AE67&lt;&gt;"-","LF",IF(AA67&lt;&gt;"-","1B","DH"))))))))</f>
        <v>C</v>
      </c>
      <c r="AT67" s="47"/>
      <c r="AU67" s="47"/>
      <c r="AV67" s="47"/>
      <c r="AW67" s="47" t="str">
        <f>IF(AND($Q67&gt;=6,AVERAGE($S67:$T67)&gt;=6),"Likely",IF(OR($Q67&gt;6,AND($Q67=6,AVERAGE($S67:$T67)&gt;=3),AND($Q67&gt;=5,AVERAGE($S67:$T67)&gt;=5),AVERAGE($Q67,$S67:$T67)&gt;5),"Possible","Unlikely"))</f>
        <v>Unlikely</v>
      </c>
      <c r="AX67" s="47"/>
      <c r="AY67" s="47" t="str">
        <f>INDEX(Table5[[#All],[Ovr]],MATCH(Batters[[#This Row],[PID]],Table5[[#All],[PID]],0))</f>
        <v/>
      </c>
      <c r="AZ67" s="47" t="str">
        <f>INDEX(Table5[[#All],[Rnd]],MATCH(Batters[[#This Row],[PID]],Table5[[#All],[PID]],0))</f>
        <v/>
      </c>
      <c r="BA67" s="47" t="str">
        <f>INDEX(Table5[[#All],[Pick]],MATCH(Batters[[#This Row],[PID]],Table5[[#All],[PID]],0))</f>
        <v/>
      </c>
      <c r="BB67" s="47" t="str">
        <f>INDEX(Table5[[#All],[Team]],MATCH(Batters[[#This Row],[PID]],Table5[[#All],[PID]],0))</f>
        <v/>
      </c>
    </row>
    <row r="68" spans="1:54" ht="15" customHeight="1" x14ac:dyDescent="0.25">
      <c r="A68" s="42">
        <v>7969</v>
      </c>
      <c r="B68" s="42" t="s">
        <v>74</v>
      </c>
      <c r="C68" s="42" t="s">
        <v>128</v>
      </c>
      <c r="D68" s="42" t="s">
        <v>1064</v>
      </c>
      <c r="E68" s="42">
        <v>18</v>
      </c>
      <c r="F68" s="42" t="s">
        <v>53</v>
      </c>
      <c r="G68" s="42" t="s">
        <v>42</v>
      </c>
      <c r="H68" s="43" t="s">
        <v>709</v>
      </c>
      <c r="I68" s="44" t="s">
        <v>43</v>
      </c>
      <c r="J68" s="42" t="s">
        <v>43</v>
      </c>
      <c r="K68" s="43" t="s">
        <v>47</v>
      </c>
      <c r="L68" s="42">
        <v>1</v>
      </c>
      <c r="M68" s="42">
        <v>2</v>
      </c>
      <c r="N68" s="42">
        <v>2</v>
      </c>
      <c r="O68" s="42">
        <v>1</v>
      </c>
      <c r="P68" s="43">
        <v>3</v>
      </c>
      <c r="Q68" s="42">
        <v>4</v>
      </c>
      <c r="R68" s="42">
        <v>5</v>
      </c>
      <c r="S68" s="42">
        <v>4</v>
      </c>
      <c r="T68" s="42">
        <v>4</v>
      </c>
      <c r="U68" s="43">
        <v>5</v>
      </c>
      <c r="V68" s="42">
        <v>9</v>
      </c>
      <c r="W68" s="42">
        <v>8</v>
      </c>
      <c r="X68" s="42">
        <v>1</v>
      </c>
      <c r="Y68" s="43">
        <v>1</v>
      </c>
      <c r="Z68" s="42" t="s">
        <v>45</v>
      </c>
      <c r="AA68" s="42" t="s">
        <v>45</v>
      </c>
      <c r="AB68" s="42" t="s">
        <v>45</v>
      </c>
      <c r="AC68" s="42" t="s">
        <v>45</v>
      </c>
      <c r="AD68" s="42" t="s">
        <v>45</v>
      </c>
      <c r="AE68" s="42" t="s">
        <v>45</v>
      </c>
      <c r="AF68" s="42">
        <v>4</v>
      </c>
      <c r="AG68" s="43" t="s">
        <v>45</v>
      </c>
      <c r="AH68" s="42">
        <v>3</v>
      </c>
      <c r="AI68" s="42">
        <v>9</v>
      </c>
      <c r="AJ68" s="43">
        <v>5</v>
      </c>
      <c r="AK68" s="45" t="s">
        <v>611</v>
      </c>
      <c r="AL68" s="45" t="s">
        <v>47</v>
      </c>
      <c r="AM68" s="46">
        <f>($L$3*(L68-$Q$1)/$Q$2+$M$3*(M68-$R$1)/$R$2+$N$3*(N68-$S$1)/$S$2+$O$3*(O68-$T$1)/$T$2+$P$3*(P68-$U$1)/$U$2)/(SUM($L$3:$P$3))</f>
        <v>-1.8701892965508</v>
      </c>
      <c r="AN68" s="46">
        <f>($L$3*(Q68-$Q$1)/$Q$2+$M$3*(R68-$R$1)/$R$2+$N$3*(S68-$S$1)/$S$2+$O$3*(T68-$T$1)/$T$2+$P$3*(U68-$U$1)/$U$2)/(SUM($L$3:$P$3))</f>
        <v>-0.2340578313759524</v>
      </c>
      <c r="AO68" s="47">
        <f>IF(AVERAGE(AH68:AI68)&gt;9,1,0)+IF(AVERAGE(AH68:AI68)&gt;7,1,0)+IF(AH68&gt;7,1,0)+IF(AI68&gt;7,1,0)+IF(AJ68&gt;8,1,0)+IF(AJ68&gt;6,1,0)</f>
        <v>1</v>
      </c>
      <c r="AP68" s="48">
        <f>MIN(2,IF(OR(Z68="-",X68&lt;5),0,1+IF(Y68&gt;7,0.35,IF(Y68&gt;5,0.1,0))+IF(Z68&gt;7,1+IF(X68&gt;7,0.25,0),IF(Z68&gt;4,0.5+IF(X68&gt;7,0.25,0),0+IF(X68&gt;7,0.25))))+IF(AA68="-",0,IF(AA68&gt;9,0.5,IF(AA68&gt;7,0.25,0)))+IF(AB68="-",0,IF(AB68&gt;7,1.1,IF(AB68&gt;4,0.6,0)))+IF(OR(AC68="-",V68&lt;5),0,IF(AC68&gt;7,1+IF(V68&gt;7,0.25,0),IF(AC68&gt;4,0.5+IF(V68&gt;7,0.25,0),0)))+IF(AD68="-",0,IF(AD68&gt;7,1.5,IF(AD68&gt;4,1,0)))+IF(AE68="-",0,IF(AE68&gt;9,0.5,IF(AE68&gt;7,0.25,0)))+IF(AF68="-",0,IF(AF68&gt;7,1.25,IF(AF68&gt;4,0.75,0)))+IF(OR(AG68="-",W68&lt;4),0,IF(AG68&gt;7,1+IF(W68&gt;7,0.15,0),IF(AG68&gt;4,0.5+IF(W68&gt;7,0.15,0),0))))</f>
        <v>0</v>
      </c>
      <c r="AQ68" s="46">
        <f>($AM$3*AM68+$AN$3*AN68+$AO$3*AO68+$AP$3*AP68)+$I$3*VLOOKUP(I68,COND!$A$2:$E$7,4,FALSE)+$J$3*VLOOKUP(J68,COND!$A$2:$C$7,2,FALSE)+$K$3*VLOOKUP(K68,COND!$A$2:$C$7,3,FALSE)+IF(AND($B$2&gt;0,$E68&lt;20),$B$2*25,0)</f>
        <v>47.470953760500159</v>
      </c>
      <c r="AR68" s="49">
        <f>STANDARDIZE(AQ68,AVERAGE($AQ$5:$AQ$537),STDEVP($AQ$5:$AQ$537))</f>
        <v>1.2531928518232913</v>
      </c>
      <c r="AS68" s="47" t="str">
        <f>IF(AND(Z68&lt;&gt;"-",Y68&gt;1),"C",IF(AB68=MAX(AB68:AD68),"2B",IF(AD68=MAX(AB68:AD68),"SS",IF(OR(AC68=MAX(AA68:AD68),AND(AC68&lt;&gt;"-",AC68&gt;4,V68&gt;5)),"3B",IF(AF68=MAX(AE68:AG68),"CF",IF(AND(AG68=MAX(AE68,AG68),AND(W68&gt;5,AG68&lt;&gt;"-")),"RF",IF(AE68&lt;&gt;"-","LF",IF(AA68&lt;&gt;"-","1B","DH"))))))))</f>
        <v>CF</v>
      </c>
      <c r="AT68" s="47"/>
      <c r="AU68" s="47"/>
      <c r="AV68" s="47"/>
      <c r="AW68" s="47" t="str">
        <f>IF(AND($Q68&gt;=6,AVERAGE($S68:$T68)&gt;=6),"Likely",IF(OR($Q68&gt;6,AND($Q68=6,AVERAGE($S68:$T68)&gt;=3),AND($Q68&gt;=5,AVERAGE($S68:$T68)&gt;=5),AVERAGE($Q68,$S68:$T68)&gt;5),"Possible","Unlikely"))</f>
        <v>Unlikely</v>
      </c>
      <c r="AX68" s="47"/>
      <c r="AY68" s="47" t="str">
        <f>INDEX(Table5[[#All],[Ovr]],MATCH(Batters[[#This Row],[PID]],Table5[[#All],[PID]],0))</f>
        <v/>
      </c>
      <c r="AZ68" s="47" t="str">
        <f>INDEX(Table5[[#All],[Rnd]],MATCH(Batters[[#This Row],[PID]],Table5[[#All],[PID]],0))</f>
        <v/>
      </c>
      <c r="BA68" s="47" t="str">
        <f>INDEX(Table5[[#All],[Pick]],MATCH(Batters[[#This Row],[PID]],Table5[[#All],[PID]],0))</f>
        <v/>
      </c>
      <c r="BB68" s="47" t="str">
        <f>INDEX(Table5[[#All],[Team]],MATCH(Batters[[#This Row],[PID]],Table5[[#All],[PID]],0))</f>
        <v/>
      </c>
    </row>
    <row r="69" spans="1:54" ht="15" customHeight="1" x14ac:dyDescent="0.25">
      <c r="A69" s="42">
        <v>8498</v>
      </c>
      <c r="B69" s="42" t="s">
        <v>66</v>
      </c>
      <c r="C69" s="42" t="s">
        <v>463</v>
      </c>
      <c r="D69" s="42" t="s">
        <v>1053</v>
      </c>
      <c r="E69" s="42">
        <v>18</v>
      </c>
      <c r="F69" s="42" t="s">
        <v>42</v>
      </c>
      <c r="G69" s="42" t="s">
        <v>42</v>
      </c>
      <c r="H69" s="43" t="s">
        <v>703</v>
      </c>
      <c r="I69" s="44" t="s">
        <v>44</v>
      </c>
      <c r="J69" s="42" t="s">
        <v>43</v>
      </c>
      <c r="K69" s="43" t="s">
        <v>44</v>
      </c>
      <c r="L69" s="42">
        <v>1</v>
      </c>
      <c r="M69" s="42">
        <v>2</v>
      </c>
      <c r="N69" s="42">
        <v>2</v>
      </c>
      <c r="O69" s="42">
        <v>1</v>
      </c>
      <c r="P69" s="43">
        <v>2</v>
      </c>
      <c r="Q69" s="42">
        <v>4</v>
      </c>
      <c r="R69" s="42">
        <v>7</v>
      </c>
      <c r="S69" s="42">
        <v>6</v>
      </c>
      <c r="T69" s="42">
        <v>3</v>
      </c>
      <c r="U69" s="43">
        <v>5</v>
      </c>
      <c r="V69" s="42">
        <v>5</v>
      </c>
      <c r="W69" s="42">
        <v>7</v>
      </c>
      <c r="X69" s="42">
        <v>1</v>
      </c>
      <c r="Y69" s="43">
        <v>1</v>
      </c>
      <c r="Z69" s="42" t="s">
        <v>45</v>
      </c>
      <c r="AA69" s="42" t="s">
        <v>45</v>
      </c>
      <c r="AB69" s="42" t="s">
        <v>45</v>
      </c>
      <c r="AC69" s="42" t="s">
        <v>45</v>
      </c>
      <c r="AD69" s="42" t="s">
        <v>45</v>
      </c>
      <c r="AE69" s="42">
        <v>1</v>
      </c>
      <c r="AF69" s="42" t="s">
        <v>45</v>
      </c>
      <c r="AG69" s="43">
        <v>2</v>
      </c>
      <c r="AH69" s="42">
        <v>6</v>
      </c>
      <c r="AI69" s="42">
        <v>8</v>
      </c>
      <c r="AJ69" s="43">
        <v>5</v>
      </c>
      <c r="AK69" s="45" t="s">
        <v>428</v>
      </c>
      <c r="AL69" s="45" t="s">
        <v>47</v>
      </c>
      <c r="AM69" s="46">
        <f>($L$3*(L69-$Q$1)/$Q$2+$M$3*(M69-$R$1)/$R$2+$N$3*(N69-$S$1)/$S$2+$O$3*(O69-$T$1)/$T$2+$P$3*(P69-$U$1)/$U$2)/(SUM($L$3:$P$3))</f>
        <v>-1.9102056363678834</v>
      </c>
      <c r="AN69" s="46">
        <f>($L$3*(Q69-$Q$1)/$Q$2+$M$3*(R69-$R$1)/$R$2+$N$3*(S69-$S$1)/$S$2+$O$3*(T69-$T$1)/$T$2+$P$3*(U69-$U$1)/$U$2)/(SUM($L$3:$P$3))</f>
        <v>-5.552463410032351E-2</v>
      </c>
      <c r="AO69" s="47">
        <f>IF(AVERAGE(AH69:AI69)&gt;9,1,0)+IF(AVERAGE(AH69:AI69)&gt;7,1,0)+IF(AH69&gt;7,1,0)+IF(AI69&gt;7,1,0)+IF(AJ69&gt;8,1,0)+IF(AJ69&gt;6,1,0)</f>
        <v>1</v>
      </c>
      <c r="AP69" s="48">
        <f>MIN(2,IF(OR(Z69="-",X69&lt;5),0,1+IF(Y69&gt;7,0.35,IF(Y69&gt;5,0.1,0))+IF(Z69&gt;7,1+IF(X69&gt;7,0.25,0),IF(Z69&gt;4,0.5+IF(X69&gt;7,0.25,0),0+IF(X69&gt;7,0.25))))+IF(AA69="-",0,IF(AA69&gt;9,0.5,IF(AA69&gt;7,0.25,0)))+IF(AB69="-",0,IF(AB69&gt;7,1.1,IF(AB69&gt;4,0.6,0)))+IF(OR(AC69="-",V69&lt;5),0,IF(AC69&gt;7,1+IF(V69&gt;7,0.25,0),IF(AC69&gt;4,0.5+IF(V69&gt;7,0.25,0),0)))+IF(AD69="-",0,IF(AD69&gt;7,1.5,IF(AD69&gt;4,1,0)))+IF(AE69="-",0,IF(AE69&gt;9,0.5,IF(AE69&gt;7,0.25,0)))+IF(AF69="-",0,IF(AF69&gt;7,1.25,IF(AF69&gt;4,0.75,0)))+IF(OR(AG69="-",W69&lt;4),0,IF(AG69&gt;7,1+IF(W69&gt;7,0.15,0),IF(AG69&gt;4,0.5+IF(W69&gt;7,0.15,0),0))))</f>
        <v>0</v>
      </c>
      <c r="AQ69" s="46">
        <f>($AM$3*AM69+$AN$3*AN69+$AO$3*AO69+$AP$3*AP69)+$I$3*VLOOKUP(I69,COND!$A$2:$E$7,4,FALSE)+$J$3*VLOOKUP(J69,COND!$A$2:$C$7,2,FALSE)+$K$3*VLOOKUP(K69,COND!$A$2:$C$7,3,FALSE)+IF(AND($B$2&gt;0,$E69&lt;20),$B$2*25,0)</f>
        <v>48.859350493826</v>
      </c>
      <c r="AR69" s="49">
        <f>STANDARDIZE(AQ69,AVERAGE($AQ$5:$AQ$537),STDEVP($AQ$5:$AQ$537))</f>
        <v>1.4974720293460748</v>
      </c>
      <c r="AS69" s="47" t="str">
        <f>IF(AND(Z69&lt;&gt;"-",Y69&gt;1),"C",IF(AB69=MAX(AB69:AD69),"2B",IF(AD69=MAX(AB69:AD69),"SS",IF(OR(AC69=MAX(AA69:AD69),AND(AC69&lt;&gt;"-",AC69&gt;4,V69&gt;5)),"3B",IF(AF69=MAX(AE69:AG69),"CF",IF(AND(AG69=MAX(AE69,AG69),AND(W69&gt;5,AG69&lt;&gt;"-")),"RF",IF(AE69&lt;&gt;"-","LF",IF(AA69&lt;&gt;"-","1B","DH"))))))))</f>
        <v>RF</v>
      </c>
      <c r="AT69" s="47"/>
      <c r="AU69" s="47"/>
      <c r="AV69" s="47"/>
      <c r="AW69" s="47" t="str">
        <f>IF(AND($Q69&gt;=6,AVERAGE($S69:$T69)&gt;=6),"Likely",IF(OR($Q69&gt;6,AND($Q69=6,AVERAGE($S69:$T69)&gt;=3),AND($Q69&gt;=5,AVERAGE($S69:$T69)&gt;=5),AVERAGE($Q69,$S69:$T69)&gt;5),"Possible","Unlikely"))</f>
        <v>Unlikely</v>
      </c>
      <c r="AX69" s="47"/>
      <c r="AY69" s="47" t="str">
        <f>INDEX(Table5[[#All],[Ovr]],MATCH(Batters[[#This Row],[PID]],Table5[[#All],[PID]],0))</f>
        <v/>
      </c>
      <c r="AZ69" s="47" t="str">
        <f>INDEX(Table5[[#All],[Rnd]],MATCH(Batters[[#This Row],[PID]],Table5[[#All],[PID]],0))</f>
        <v/>
      </c>
      <c r="BA69" s="47" t="str">
        <f>INDEX(Table5[[#All],[Pick]],MATCH(Batters[[#This Row],[PID]],Table5[[#All],[PID]],0))</f>
        <v/>
      </c>
      <c r="BB69" s="47" t="str">
        <f>INDEX(Table5[[#All],[Team]],MATCH(Batters[[#This Row],[PID]],Table5[[#All],[PID]],0))</f>
        <v/>
      </c>
    </row>
    <row r="70" spans="1:54" ht="15" customHeight="1" x14ac:dyDescent="0.25">
      <c r="A70" s="42">
        <v>6376</v>
      </c>
      <c r="B70" s="42" t="s">
        <v>50</v>
      </c>
      <c r="C70" s="42" t="s">
        <v>1087</v>
      </c>
      <c r="D70" s="42" t="s">
        <v>1088</v>
      </c>
      <c r="E70" s="42">
        <v>18</v>
      </c>
      <c r="F70" s="42" t="s">
        <v>53</v>
      </c>
      <c r="G70" s="42" t="s">
        <v>53</v>
      </c>
      <c r="H70" s="43" t="s">
        <v>709</v>
      </c>
      <c r="I70" s="44" t="s">
        <v>43</v>
      </c>
      <c r="J70" s="42" t="s">
        <v>43</v>
      </c>
      <c r="K70" s="43" t="s">
        <v>43</v>
      </c>
      <c r="L70" s="42">
        <v>2</v>
      </c>
      <c r="M70" s="42">
        <v>2</v>
      </c>
      <c r="N70" s="42">
        <v>3</v>
      </c>
      <c r="O70" s="42">
        <v>2</v>
      </c>
      <c r="P70" s="43">
        <v>2</v>
      </c>
      <c r="Q70" s="42">
        <v>4</v>
      </c>
      <c r="R70" s="42">
        <v>5</v>
      </c>
      <c r="S70" s="42">
        <v>5</v>
      </c>
      <c r="T70" s="42">
        <v>4</v>
      </c>
      <c r="U70" s="43">
        <v>5</v>
      </c>
      <c r="V70" s="42">
        <v>4</v>
      </c>
      <c r="W70" s="42">
        <v>6</v>
      </c>
      <c r="X70" s="42">
        <v>1</v>
      </c>
      <c r="Y70" s="43">
        <v>1</v>
      </c>
      <c r="Z70" s="42" t="s">
        <v>45</v>
      </c>
      <c r="AA70" s="42" t="s">
        <v>45</v>
      </c>
      <c r="AB70" s="42" t="s">
        <v>45</v>
      </c>
      <c r="AC70" s="42" t="s">
        <v>45</v>
      </c>
      <c r="AD70" s="42" t="s">
        <v>45</v>
      </c>
      <c r="AE70" s="42">
        <v>1</v>
      </c>
      <c r="AF70" s="42" t="s">
        <v>45</v>
      </c>
      <c r="AG70" s="43" t="s">
        <v>45</v>
      </c>
      <c r="AH70" s="42">
        <v>1</v>
      </c>
      <c r="AI70" s="42">
        <v>1</v>
      </c>
      <c r="AJ70" s="43">
        <v>2</v>
      </c>
      <c r="AK70" s="45" t="s">
        <v>599</v>
      </c>
      <c r="AL70" s="45" t="s">
        <v>705</v>
      </c>
      <c r="AM70" s="46">
        <f>($L$3*(L70-$Q$1)/$Q$2+$M$3*(M70-$R$1)/$R$2+$N$3*(N70-$S$1)/$S$2+$O$3*(O70-$T$1)/$T$2+$P$3*(P70-$U$1)/$U$2)/(SUM($L$3:$P$3))</f>
        <v>-1.414878756131726</v>
      </c>
      <c r="AN70" s="46">
        <f>($L$3*(Q70-$Q$1)/$Q$2+$M$3*(R70-$R$1)/$R$2+$N$3*(S70-$S$1)/$S$2+$O$3*(T70-$T$1)/$T$2+$P$3*(U70-$U$1)/$U$2)/(SUM($L$3:$P$3))</f>
        <v>-0.15099633735205095</v>
      </c>
      <c r="AO70" s="47">
        <f>IF(AVERAGE(AH70:AI70)&gt;9,1,0)+IF(AVERAGE(AH70:AI70)&gt;7,1,0)+IF(AH70&gt;7,1,0)+IF(AI70&gt;7,1,0)+IF(AJ70&gt;8,1,0)+IF(AJ70&gt;6,1,0)</f>
        <v>0</v>
      </c>
      <c r="AP70" s="48">
        <f>MIN(2,IF(OR(Z70="-",X70&lt;5),0,1+IF(Y70&gt;7,0.35,IF(Y70&gt;5,0.1,0))+IF(Z70&gt;7,1+IF(X70&gt;7,0.25,0),IF(Z70&gt;4,0.5+IF(X70&gt;7,0.25,0),0+IF(X70&gt;7,0.25))))+IF(AA70="-",0,IF(AA70&gt;9,0.5,IF(AA70&gt;7,0.25,0)))+IF(AB70="-",0,IF(AB70&gt;7,1.1,IF(AB70&gt;4,0.6,0)))+IF(OR(AC70="-",V70&lt;5),0,IF(AC70&gt;7,1+IF(V70&gt;7,0.25,0),IF(AC70&gt;4,0.5+IF(V70&gt;7,0.25,0),0)))+IF(AD70="-",0,IF(AD70&gt;7,1.5,IF(AD70&gt;4,1,0)))+IF(AE70="-",0,IF(AE70&gt;9,0.5,IF(AE70&gt;7,0.25,0)))+IF(AF70="-",0,IF(AF70&gt;7,1.25,IF(AF70&gt;4,0.75,0)))+IF(OR(AG70="-",W70&lt;4),0,IF(AG70&gt;7,1+IF(W70&gt;7,0.15,0),IF(AG70&gt;4,0.5+IF(W70&gt;7,0.15,0),0))))</f>
        <v>0</v>
      </c>
      <c r="AQ70" s="46">
        <f>($AM$3*AM70+$AN$3*AN70+$AO$3*AO70+$AP$3*AP70)+$I$3*VLOOKUP(I70,COND!$A$2:$E$7,4,FALSE)+$J$3*VLOOKUP(J70,COND!$A$2:$C$7,2,FALSE)+$K$3*VLOOKUP(K70,COND!$A$2:$C$7,3,FALSE)+IF(AND($B$2&gt;0,$E70&lt;20),$B$2*25,0)</f>
        <v>48.046556076162219</v>
      </c>
      <c r="AR70" s="49">
        <f>STANDARDIZE(AQ70,AVERAGE($AQ$5:$AQ$537),STDEVP($AQ$5:$AQ$537))</f>
        <v>1.354466253636416</v>
      </c>
      <c r="AS70" s="47" t="str">
        <f>IF(AND(Z70&lt;&gt;"-",Y70&gt;1),"C",IF(AB70=MAX(AB70:AD70),"2B",IF(AD70=MAX(AB70:AD70),"SS",IF(OR(AC70=MAX(AA70:AD70),AND(AC70&lt;&gt;"-",AC70&gt;4,V70&gt;5)),"3B",IF(AF70=MAX(AE70:AG70),"CF",IF(AND(AG70=MAX(AE70,AG70),AND(W70&gt;5,AG70&lt;&gt;"-")),"RF",IF(AE70&lt;&gt;"-","LF",IF(AA70&lt;&gt;"-","1B","DH"))))))))</f>
        <v>LF</v>
      </c>
      <c r="AT70" s="47"/>
      <c r="AU70" s="47"/>
      <c r="AV70" s="47"/>
      <c r="AW70" s="47" t="str">
        <f>IF(AND($Q70&gt;=6,AVERAGE($S70:$T70)&gt;=6),"Likely",IF(OR($Q70&gt;6,AND($Q70=6,AVERAGE($S70:$T70)&gt;=3),AND($Q70&gt;=5,AVERAGE($S70:$T70)&gt;=5),AVERAGE($Q70,$S70:$T70)&gt;5),"Possible","Unlikely"))</f>
        <v>Unlikely</v>
      </c>
      <c r="AX70" s="47"/>
      <c r="AY70" s="47" t="str">
        <f>INDEX(Table5[[#All],[Ovr]],MATCH(Batters[[#This Row],[PID]],Table5[[#All],[PID]],0))</f>
        <v/>
      </c>
      <c r="AZ70" s="47" t="str">
        <f>INDEX(Table5[[#All],[Rnd]],MATCH(Batters[[#This Row],[PID]],Table5[[#All],[PID]],0))</f>
        <v/>
      </c>
      <c r="BA70" s="47" t="str">
        <f>INDEX(Table5[[#All],[Pick]],MATCH(Batters[[#This Row],[PID]],Table5[[#All],[PID]],0))</f>
        <v/>
      </c>
      <c r="BB70" s="47" t="str">
        <f>INDEX(Table5[[#All],[Team]],MATCH(Batters[[#This Row],[PID]],Table5[[#All],[PID]],0))</f>
        <v/>
      </c>
    </row>
    <row r="71" spans="1:54" ht="15" customHeight="1" x14ac:dyDescent="0.25">
      <c r="A71" s="42">
        <v>7727</v>
      </c>
      <c r="B71" s="42" t="s">
        <v>66</v>
      </c>
      <c r="C71" s="42" t="s">
        <v>1054</v>
      </c>
      <c r="D71" s="42" t="s">
        <v>760</v>
      </c>
      <c r="E71" s="42">
        <v>17</v>
      </c>
      <c r="F71" s="42" t="s">
        <v>53</v>
      </c>
      <c r="G71" s="42" t="s">
        <v>53</v>
      </c>
      <c r="H71" s="43" t="s">
        <v>709</v>
      </c>
      <c r="I71" s="44" t="s">
        <v>43</v>
      </c>
      <c r="J71" s="42" t="s">
        <v>43</v>
      </c>
      <c r="K71" s="43" t="s">
        <v>44</v>
      </c>
      <c r="L71" s="42">
        <v>1</v>
      </c>
      <c r="M71" s="42">
        <v>1</v>
      </c>
      <c r="N71" s="42">
        <v>3</v>
      </c>
      <c r="O71" s="42">
        <v>1</v>
      </c>
      <c r="P71" s="43">
        <v>2</v>
      </c>
      <c r="Q71" s="42">
        <v>4</v>
      </c>
      <c r="R71" s="42">
        <v>5</v>
      </c>
      <c r="S71" s="42">
        <v>6</v>
      </c>
      <c r="T71" s="42">
        <v>4</v>
      </c>
      <c r="U71" s="43">
        <v>5</v>
      </c>
      <c r="V71" s="42">
        <v>3</v>
      </c>
      <c r="W71" s="42">
        <v>5</v>
      </c>
      <c r="X71" s="42">
        <v>1</v>
      </c>
      <c r="Y71" s="43">
        <v>1</v>
      </c>
      <c r="Z71" s="42" t="s">
        <v>45</v>
      </c>
      <c r="AA71" s="42" t="s">
        <v>45</v>
      </c>
      <c r="AB71" s="42" t="s">
        <v>45</v>
      </c>
      <c r="AC71" s="42" t="s">
        <v>45</v>
      </c>
      <c r="AD71" s="42" t="s">
        <v>45</v>
      </c>
      <c r="AE71" s="42" t="s">
        <v>45</v>
      </c>
      <c r="AF71" s="42" t="s">
        <v>45</v>
      </c>
      <c r="AG71" s="43">
        <v>1</v>
      </c>
      <c r="AH71" s="42">
        <v>6</v>
      </c>
      <c r="AI71" s="42">
        <v>6</v>
      </c>
      <c r="AJ71" s="43">
        <v>5</v>
      </c>
      <c r="AK71" s="45" t="s">
        <v>602</v>
      </c>
      <c r="AL71" s="45" t="s">
        <v>47</v>
      </c>
      <c r="AM71" s="46">
        <f>($L$3*(L71-$Q$1)/$Q$2+$M$3*(M71-$R$1)/$R$2+$N$3*(N71-$S$1)/$S$2+$O$3*(O71-$T$1)/$T$2+$P$3*(P71-$U$1)/$U$2)/(SUM($L$3:$P$3))</f>
        <v>-1.8782040219626857</v>
      </c>
      <c r="AN71" s="46">
        <f>($L$3*(Q71-$Q$1)/$Q$2+$M$3*(R71-$R$1)/$R$2+$N$3*(S71-$S$1)/$S$2+$O$3*(T71-$T$1)/$T$2+$P$3*(U71-$U$1)/$U$2)/(SUM($L$3:$P$3))</f>
        <v>-6.7934843328149447E-2</v>
      </c>
      <c r="AO71" s="47">
        <f>IF(AVERAGE(AH71:AI71)&gt;9,1,0)+IF(AVERAGE(AH71:AI71)&gt;7,1,0)+IF(AH71&gt;7,1,0)+IF(AI71&gt;7,1,0)+IF(AJ71&gt;8,1,0)+IF(AJ71&gt;6,1,0)</f>
        <v>0</v>
      </c>
      <c r="AP71" s="48">
        <f>MIN(2,IF(OR(Z71="-",X71&lt;5),0,1+IF(Y71&gt;7,0.35,IF(Y71&gt;5,0.1,0))+IF(Z71&gt;7,1+IF(X71&gt;7,0.25,0),IF(Z71&gt;4,0.5+IF(X71&gt;7,0.25,0),0+IF(X71&gt;7,0.25))))+IF(AA71="-",0,IF(AA71&gt;9,0.5,IF(AA71&gt;7,0.25,0)))+IF(AB71="-",0,IF(AB71&gt;7,1.1,IF(AB71&gt;4,0.6,0)))+IF(OR(AC71="-",V71&lt;5),0,IF(AC71&gt;7,1+IF(V71&gt;7,0.25,0),IF(AC71&gt;4,0.5+IF(V71&gt;7,0.25,0),0)))+IF(AD71="-",0,IF(AD71&gt;7,1.5,IF(AD71&gt;4,1,0)))+IF(AE71="-",0,IF(AE71&gt;9,0.5,IF(AE71&gt;7,0.25,0)))+IF(AF71="-",0,IF(AF71&gt;7,1.25,IF(AF71&gt;4,0.75,0)))+IF(OR(AG71="-",W71&lt;4),0,IF(AG71&gt;7,1+IF(W71&gt;7,0.15,0),IF(AG71&gt;4,0.5+IF(W71&gt;7,0.15,0),0))))</f>
        <v>0</v>
      </c>
      <c r="AQ71" s="46">
        <f>($AM$3*AM71+$AN$3*AN71+$AO$3*AO71+$AP$3*AP71)+$I$3*VLOOKUP(I71,COND!$A$2:$E$7,4,FALSE)+$J$3*VLOOKUP(J71,COND!$A$2:$C$7,2,FALSE)+$K$3*VLOOKUP(K71,COND!$A$2:$C$7,3,FALSE)+IF(AND($B$2&gt;0,$E71&lt;20),$B$2*25,0)</f>
        <v>48.696961477865941</v>
      </c>
      <c r="AR71" s="49">
        <f>STANDARDIZE(AQ71,AVERAGE($AQ$5:$AQ$537),STDEVP($AQ$5:$AQ$537))</f>
        <v>1.4689007612745677</v>
      </c>
      <c r="AS71" s="47" t="str">
        <f>IF(AND(Z71&lt;&gt;"-",Y71&gt;1),"C",IF(AB71=MAX(AB71:AD71),"2B",IF(AD71=MAX(AB71:AD71),"SS",IF(OR(AC71=MAX(AA71:AD71),AND(AC71&lt;&gt;"-",AC71&gt;4,V71&gt;5)),"3B",IF(AF71=MAX(AE71:AG71),"CF",IF(AND(AG71=MAX(AE71,AG71),AND(W71&gt;5,AG71&lt;&gt;"-")),"RF",IF(AE71&lt;&gt;"-","LF",IF(AA71&lt;&gt;"-","1B","DH"))))))))</f>
        <v>DH</v>
      </c>
      <c r="AT71" s="47"/>
      <c r="AU71" s="47"/>
      <c r="AV71" s="47"/>
      <c r="AW71" s="47" t="str">
        <f>IF(AND($Q71&gt;=6,AVERAGE($S71:$T71)&gt;=6),"Likely",IF(OR($Q71&gt;6,AND($Q71=6,AVERAGE($S71:$T71)&gt;=3),AND($Q71&gt;=5,AVERAGE($S71:$T71)&gt;=5),AVERAGE($Q71,$S71:$T71)&gt;5),"Possible","Unlikely"))</f>
        <v>Unlikely</v>
      </c>
      <c r="AX71" s="47"/>
      <c r="AY71" s="47" t="str">
        <f>INDEX(Table5[[#All],[Ovr]],MATCH(Batters[[#This Row],[PID]],Table5[[#All],[PID]],0))</f>
        <v/>
      </c>
      <c r="AZ71" s="47" t="str">
        <f>INDEX(Table5[[#All],[Rnd]],MATCH(Batters[[#This Row],[PID]],Table5[[#All],[PID]],0))</f>
        <v/>
      </c>
      <c r="BA71" s="47" t="str">
        <f>INDEX(Table5[[#All],[Pick]],MATCH(Batters[[#This Row],[PID]],Table5[[#All],[PID]],0))</f>
        <v/>
      </c>
      <c r="BB71" s="47" t="str">
        <f>INDEX(Table5[[#All],[Team]],MATCH(Batters[[#This Row],[PID]],Table5[[#All],[PID]],0))</f>
        <v/>
      </c>
    </row>
    <row r="72" spans="1:54" ht="15" customHeight="1" x14ac:dyDescent="0.25">
      <c r="A72" s="42">
        <v>8554</v>
      </c>
      <c r="B72" s="42" t="s">
        <v>72</v>
      </c>
      <c r="C72" s="42" t="s">
        <v>724</v>
      </c>
      <c r="D72" s="42" t="s">
        <v>1106</v>
      </c>
      <c r="E72" s="42">
        <v>18</v>
      </c>
      <c r="F72" s="42" t="s">
        <v>42</v>
      </c>
      <c r="G72" s="42" t="s">
        <v>42</v>
      </c>
      <c r="H72" s="43" t="s">
        <v>702</v>
      </c>
      <c r="I72" s="44" t="s">
        <v>43</v>
      </c>
      <c r="J72" s="42" t="s">
        <v>43</v>
      </c>
      <c r="K72" s="43" t="s">
        <v>43</v>
      </c>
      <c r="L72" s="42">
        <v>1</v>
      </c>
      <c r="M72" s="42">
        <v>1</v>
      </c>
      <c r="N72" s="42">
        <v>2</v>
      </c>
      <c r="O72" s="42">
        <v>1</v>
      </c>
      <c r="P72" s="43">
        <v>1</v>
      </c>
      <c r="Q72" s="42">
        <v>4</v>
      </c>
      <c r="R72" s="42">
        <v>5</v>
      </c>
      <c r="S72" s="42">
        <v>4</v>
      </c>
      <c r="T72" s="42">
        <v>4</v>
      </c>
      <c r="U72" s="43">
        <v>4</v>
      </c>
      <c r="V72" s="42">
        <v>7</v>
      </c>
      <c r="W72" s="42">
        <v>6</v>
      </c>
      <c r="X72" s="42">
        <v>1</v>
      </c>
      <c r="Y72" s="43">
        <v>1</v>
      </c>
      <c r="Z72" s="42" t="s">
        <v>45</v>
      </c>
      <c r="AA72" s="42" t="s">
        <v>45</v>
      </c>
      <c r="AB72" s="42" t="s">
        <v>45</v>
      </c>
      <c r="AC72" s="42" t="s">
        <v>45</v>
      </c>
      <c r="AD72" s="42">
        <v>6</v>
      </c>
      <c r="AE72" s="42" t="s">
        <v>45</v>
      </c>
      <c r="AF72" s="42" t="s">
        <v>45</v>
      </c>
      <c r="AG72" s="43" t="s">
        <v>45</v>
      </c>
      <c r="AH72" s="42">
        <v>4</v>
      </c>
      <c r="AI72" s="42">
        <v>7</v>
      </c>
      <c r="AJ72" s="43">
        <v>6</v>
      </c>
      <c r="AK72" s="45" t="s">
        <v>431</v>
      </c>
      <c r="AL72" s="45" t="s">
        <v>47</v>
      </c>
      <c r="AM72" s="46">
        <f>($L$3*(L72-$Q$1)/$Q$2+$M$3*(M72-$R$1)/$R$2+$N$3*(N72-$S$1)/$S$2+$O$3*(O72-$T$1)/$T$2+$P$3*(P72-$U$1)/$U$2)/(SUM($L$3:$P$3))</f>
        <v>-2.0012818558036707</v>
      </c>
      <c r="AN72" s="46">
        <f>($L$3*(Q72-$Q$1)/$Q$2+$M$3*(R72-$R$1)/$R$2+$N$3*(S72-$S$1)/$S$2+$O$3*(T72-$T$1)/$T$2+$P$3*(U72-$U$1)/$U$2)/(SUM($L$3:$P$3))</f>
        <v>-0.2740741711930359</v>
      </c>
      <c r="AO72" s="47">
        <f>IF(AVERAGE(AH72:AI72)&gt;9,1,0)+IF(AVERAGE(AH72:AI72)&gt;7,1,0)+IF(AH72&gt;7,1,0)+IF(AI72&gt;7,1,0)+IF(AJ72&gt;8,1,0)+IF(AJ72&gt;6,1,0)</f>
        <v>0</v>
      </c>
      <c r="AP72" s="48">
        <f>MIN(2,IF(OR(Z72="-",X72&lt;5),0,1+IF(Y72&gt;7,0.35,IF(Y72&gt;5,0.1,0))+IF(Z72&gt;7,1+IF(X72&gt;7,0.25,0),IF(Z72&gt;4,0.5+IF(X72&gt;7,0.25,0),0+IF(X72&gt;7,0.25))))+IF(AA72="-",0,IF(AA72&gt;9,0.5,IF(AA72&gt;7,0.25,0)))+IF(AB72="-",0,IF(AB72&gt;7,1.1,IF(AB72&gt;4,0.6,0)))+IF(OR(AC72="-",V72&lt;5),0,IF(AC72&gt;7,1+IF(V72&gt;7,0.25,0),IF(AC72&gt;4,0.5+IF(V72&gt;7,0.25,0),0)))+IF(AD72="-",0,IF(AD72&gt;7,1.5,IF(AD72&gt;4,1,0)))+IF(AE72="-",0,IF(AE72&gt;9,0.5,IF(AE72&gt;7,0.25,0)))+IF(AF72="-",0,IF(AF72&gt;7,1.25,IF(AF72&gt;4,0.75,0)))+IF(OR(AG72="-",W72&lt;4),0,IF(AG72&gt;7,1+IF(W72&gt;7,0.15,0),IF(AG72&gt;4,0.5+IF(W72&gt;7,0.15,0),0))))</f>
        <v>1</v>
      </c>
      <c r="AQ72" s="46">
        <f>($AM$3*AM72+$AN$3*AN72+$AO$3*AO72+$AP$3*AP72)+$I$3*VLOOKUP(I72,COND!$A$2:$E$7,4,FALSE)+$J$3*VLOOKUP(J72,COND!$A$2:$C$7,2,FALSE)+$K$3*VLOOKUP(K72,COND!$A$2:$C$7,3,FALSE)+IF(AND($B$2&gt;0,$E72&lt;20),$B$2*25,0)</f>
        <v>47.510981760103206</v>
      </c>
      <c r="AR72" s="49">
        <f>STANDARDIZE(AQ72,AVERAGE($AQ$5:$AQ$537),STDEVP($AQ$5:$AQ$537))</f>
        <v>1.2602355123152185</v>
      </c>
      <c r="AS72" s="47" t="str">
        <f>IF(AND(Z72&lt;&gt;"-",Y72&gt;1),"C",IF(AB72=MAX(AB72:AD72),"2B",IF(AD72=MAX(AB72:AD72),"SS",IF(OR(AC72=MAX(AA72:AD72),AND(AC72&lt;&gt;"-",AC72&gt;4,V72&gt;5)),"3B",IF(AF72=MAX(AE72:AG72),"CF",IF(AND(AG72=MAX(AE72,AG72),AND(W72&gt;5,AG72&lt;&gt;"-")),"RF",IF(AE72&lt;&gt;"-","LF",IF(AA72&lt;&gt;"-","1B","DH"))))))))</f>
        <v>SS</v>
      </c>
      <c r="AT72" s="47"/>
      <c r="AU72" s="47"/>
      <c r="AV72" s="47"/>
      <c r="AW72" s="47" t="str">
        <f>IF(AND($Q72&gt;=6,AVERAGE($S72:$T72)&gt;=6),"Likely",IF(OR($Q72&gt;6,AND($Q72=6,AVERAGE($S72:$T72)&gt;=3),AND($Q72&gt;=5,AVERAGE($S72:$T72)&gt;=5),AVERAGE($Q72,$S72:$T72)&gt;5),"Possible","Unlikely"))</f>
        <v>Unlikely</v>
      </c>
      <c r="AX72" s="47"/>
      <c r="AY72" s="47" t="str">
        <f>INDEX(Table5[[#All],[Ovr]],MATCH(Batters[[#This Row],[PID]],Table5[[#All],[PID]],0))</f>
        <v/>
      </c>
      <c r="AZ72" s="47" t="str">
        <f>INDEX(Table5[[#All],[Rnd]],MATCH(Batters[[#This Row],[PID]],Table5[[#All],[PID]],0))</f>
        <v/>
      </c>
      <c r="BA72" s="47" t="str">
        <f>INDEX(Table5[[#All],[Pick]],MATCH(Batters[[#This Row],[PID]],Table5[[#All],[PID]],0))</f>
        <v/>
      </c>
      <c r="BB72" s="47" t="str">
        <f>INDEX(Table5[[#All],[Team]],MATCH(Batters[[#This Row],[PID]],Table5[[#All],[PID]],0))</f>
        <v/>
      </c>
    </row>
    <row r="73" spans="1:54" ht="15" customHeight="1" x14ac:dyDescent="0.25">
      <c r="A73" s="42">
        <v>7838</v>
      </c>
      <c r="B73" s="42" t="s">
        <v>86</v>
      </c>
      <c r="C73" s="42" t="s">
        <v>372</v>
      </c>
      <c r="D73" s="42" t="s">
        <v>1007</v>
      </c>
      <c r="E73" s="42">
        <v>18</v>
      </c>
      <c r="F73" s="42" t="s">
        <v>42</v>
      </c>
      <c r="G73" s="42" t="s">
        <v>42</v>
      </c>
      <c r="H73" s="43" t="s">
        <v>703</v>
      </c>
      <c r="I73" s="44" t="s">
        <v>43</v>
      </c>
      <c r="J73" s="42" t="s">
        <v>47</v>
      </c>
      <c r="K73" s="43" t="s">
        <v>43</v>
      </c>
      <c r="L73" s="42">
        <v>1</v>
      </c>
      <c r="M73" s="42">
        <v>1</v>
      </c>
      <c r="N73" s="42">
        <v>2</v>
      </c>
      <c r="O73" s="42">
        <v>1</v>
      </c>
      <c r="P73" s="43">
        <v>1</v>
      </c>
      <c r="Q73" s="42">
        <v>4</v>
      </c>
      <c r="R73" s="42">
        <v>4</v>
      </c>
      <c r="S73" s="42">
        <v>5</v>
      </c>
      <c r="T73" s="42">
        <v>4</v>
      </c>
      <c r="U73" s="43">
        <v>3</v>
      </c>
      <c r="V73" s="42">
        <v>1</v>
      </c>
      <c r="W73" s="42">
        <v>1</v>
      </c>
      <c r="X73" s="42">
        <v>3</v>
      </c>
      <c r="Y73" s="43">
        <v>9</v>
      </c>
      <c r="Z73" s="42">
        <v>2</v>
      </c>
      <c r="AA73" s="42" t="s">
        <v>45</v>
      </c>
      <c r="AB73" s="42" t="s">
        <v>45</v>
      </c>
      <c r="AC73" s="42" t="s">
        <v>45</v>
      </c>
      <c r="AD73" s="42" t="s">
        <v>45</v>
      </c>
      <c r="AE73" s="42" t="s">
        <v>45</v>
      </c>
      <c r="AF73" s="42" t="s">
        <v>45</v>
      </c>
      <c r="AG73" s="43" t="s">
        <v>45</v>
      </c>
      <c r="AH73" s="42">
        <v>1</v>
      </c>
      <c r="AI73" s="42">
        <v>1</v>
      </c>
      <c r="AJ73" s="43">
        <v>1</v>
      </c>
      <c r="AK73" s="45" t="s">
        <v>787</v>
      </c>
      <c r="AL73" s="45" t="s">
        <v>47</v>
      </c>
      <c r="AM73" s="46">
        <f>($L$3*(L73-$Q$1)/$Q$2+$M$3*(M73-$R$1)/$R$2+$N$3*(N73-$S$1)/$S$2+$O$3*(O73-$T$1)/$T$2+$P$3*(P73-$U$1)/$U$2)/(SUM($L$3:$P$3))</f>
        <v>-2.0012818558036707</v>
      </c>
      <c r="AN73" s="46">
        <f>($L$3*(Q73-$Q$1)/$Q$2+$M$3*(R73-$R$1)/$R$2+$N$3*(S73-$S$1)/$S$2+$O$3*(T73-$T$1)/$T$2+$P$3*(U73-$U$1)/$U$2)/(SUM($L$3:$P$3))</f>
        <v>-0.28208889660492131</v>
      </c>
      <c r="AO73" s="47">
        <f>IF(AVERAGE(AH73:AI73)&gt;9,1,0)+IF(AVERAGE(AH73:AI73)&gt;7,1,0)+IF(AH73&gt;7,1,0)+IF(AI73&gt;7,1,0)+IF(AJ73&gt;8,1,0)+IF(AJ73&gt;6,1,0)</f>
        <v>0</v>
      </c>
      <c r="AP73" s="48">
        <f>MIN(2,IF(OR(Z73="-",X73&lt;5),0,1+IF(Y73&gt;7,0.35,IF(Y73&gt;5,0.1,0))+IF(Z73&gt;7,1+IF(X73&gt;7,0.25,0),IF(Z73&gt;4,0.5+IF(X73&gt;7,0.25,0),0+IF(X73&gt;7,0.25))))+IF(AA73="-",0,IF(AA73&gt;9,0.5,IF(AA73&gt;7,0.25,0)))+IF(AB73="-",0,IF(AB73&gt;7,1.1,IF(AB73&gt;4,0.6,0)))+IF(OR(AC73="-",V73&lt;5),0,IF(AC73&gt;7,1+IF(V73&gt;7,0.25,0),IF(AC73&gt;4,0.5+IF(V73&gt;7,0.25,0),0)))+IF(AD73="-",0,IF(AD73&gt;7,1.5,IF(AD73&gt;4,1,0)))+IF(AE73="-",0,IF(AE73&gt;9,0.5,IF(AE73&gt;7,0.25,0)))+IF(AF73="-",0,IF(AF73&gt;7,1.25,IF(AF73&gt;4,0.75,0)))+IF(OR(AG73="-",W73&lt;4),0,IF(AG73&gt;7,1+IF(W73&gt;7,0.15,0),IF(AG73&gt;4,0.5+IF(W73&gt;7,0.15,0),0))))</f>
        <v>0</v>
      </c>
      <c r="AQ73" s="46">
        <f>($AM$3*AM73+$AN$3*AN73+$AO$3*AO73+$AP$3*AP73)+$I$3*VLOOKUP(I73,COND!$A$2:$E$7,4,FALSE)+$J$3*VLOOKUP(J73,COND!$A$2:$C$7,2,FALSE)+$K$3*VLOOKUP(K73,COND!$A$2:$C$7,3,FALSE)+IF(AND($B$2&gt;0,$E73&lt;20),$B$2*25,0)</f>
        <v>46.714805055160582</v>
      </c>
      <c r="AR73" s="49">
        <f>STANDARDIZE(AQ73,AVERAGE($AQ$5:$AQ$537),STDEVP($AQ$5:$AQ$537))</f>
        <v>1.1201535127124871</v>
      </c>
      <c r="AS73" s="47" t="str">
        <f>IF(AND(Z73&lt;&gt;"-",Y73&gt;1),"C",IF(AB73=MAX(AB73:AD73),"2B",IF(AD73=MAX(AB73:AD73),"SS",IF(OR(AC73=MAX(AA73:AD73),AND(AC73&lt;&gt;"-",AC73&gt;4,V73&gt;5)),"3B",IF(AF73=MAX(AE73:AG73),"CF",IF(AND(AG73=MAX(AE73,AG73),AND(W73&gt;5,AG73&lt;&gt;"-")),"RF",IF(AE73&lt;&gt;"-","LF",IF(AA73&lt;&gt;"-","1B","DH"))))))))</f>
        <v>C</v>
      </c>
      <c r="AT73" s="47"/>
      <c r="AU73" s="47"/>
      <c r="AV73" s="47"/>
      <c r="AW73" s="47" t="str">
        <f>IF(AND($Q73&gt;=6,AVERAGE($S73:$T73)&gt;=6),"Likely",IF(OR($Q73&gt;6,AND($Q73=6,AVERAGE($S73:$T73)&gt;=3),AND($Q73&gt;=5,AVERAGE($S73:$T73)&gt;=5),AVERAGE($Q73,$S73:$T73)&gt;5),"Possible","Unlikely"))</f>
        <v>Unlikely</v>
      </c>
      <c r="AX73" s="47"/>
      <c r="AY73" s="47" t="str">
        <f>INDEX(Table5[[#All],[Ovr]],MATCH(Batters[[#This Row],[PID]],Table5[[#All],[PID]],0))</f>
        <v/>
      </c>
      <c r="AZ73" s="47" t="str">
        <f>INDEX(Table5[[#All],[Rnd]],MATCH(Batters[[#This Row],[PID]],Table5[[#All],[PID]],0))</f>
        <v/>
      </c>
      <c r="BA73" s="47" t="str">
        <f>INDEX(Table5[[#All],[Pick]],MATCH(Batters[[#This Row],[PID]],Table5[[#All],[PID]],0))</f>
        <v/>
      </c>
      <c r="BB73" s="47" t="str">
        <f>INDEX(Table5[[#All],[Team]],MATCH(Batters[[#This Row],[PID]],Table5[[#All],[PID]],0))</f>
        <v/>
      </c>
    </row>
    <row r="74" spans="1:54" ht="15" customHeight="1" x14ac:dyDescent="0.25">
      <c r="A74" s="42">
        <v>7321</v>
      </c>
      <c r="B74" s="42" t="s">
        <v>71</v>
      </c>
      <c r="C74" s="42" t="s">
        <v>191</v>
      </c>
      <c r="D74" s="42" t="s">
        <v>1051</v>
      </c>
      <c r="E74" s="42">
        <v>21</v>
      </c>
      <c r="F74" s="42" t="s">
        <v>42</v>
      </c>
      <c r="G74" s="42" t="s">
        <v>42</v>
      </c>
      <c r="H74" s="43" t="s">
        <v>702</v>
      </c>
      <c r="I74" s="44" t="s">
        <v>44</v>
      </c>
      <c r="J74" s="42" t="s">
        <v>44</v>
      </c>
      <c r="K74" s="43" t="s">
        <v>43</v>
      </c>
      <c r="L74" s="42">
        <v>3</v>
      </c>
      <c r="M74" s="42">
        <v>6</v>
      </c>
      <c r="N74" s="42">
        <v>4</v>
      </c>
      <c r="O74" s="42">
        <v>1</v>
      </c>
      <c r="P74" s="43">
        <v>3</v>
      </c>
      <c r="Q74" s="42">
        <v>5</v>
      </c>
      <c r="R74" s="42">
        <v>7</v>
      </c>
      <c r="S74" s="42">
        <v>5</v>
      </c>
      <c r="T74" s="42">
        <v>3</v>
      </c>
      <c r="U74" s="43">
        <v>6</v>
      </c>
      <c r="V74" s="42">
        <v>6</v>
      </c>
      <c r="W74" s="42">
        <v>5</v>
      </c>
      <c r="X74" s="42">
        <v>1</v>
      </c>
      <c r="Y74" s="43">
        <v>1</v>
      </c>
      <c r="Z74" s="42" t="s">
        <v>45</v>
      </c>
      <c r="AA74" s="42" t="s">
        <v>45</v>
      </c>
      <c r="AB74" s="42">
        <v>7</v>
      </c>
      <c r="AC74" s="42" t="s">
        <v>45</v>
      </c>
      <c r="AD74" s="42" t="s">
        <v>45</v>
      </c>
      <c r="AE74" s="42" t="s">
        <v>45</v>
      </c>
      <c r="AF74" s="42" t="s">
        <v>45</v>
      </c>
      <c r="AG74" s="43" t="s">
        <v>45</v>
      </c>
      <c r="AH74" s="42">
        <v>10</v>
      </c>
      <c r="AI74" s="42">
        <v>3</v>
      </c>
      <c r="AJ74" s="43">
        <v>5</v>
      </c>
      <c r="AK74" s="45" t="s">
        <v>680</v>
      </c>
      <c r="AL74" s="45" t="s">
        <v>705</v>
      </c>
      <c r="AM74" s="46">
        <f>($L$3*(L74-$Q$1)/$Q$2+$M$3*(M74-$R$1)/$R$2+$N$3*(N74-$S$1)/$S$2+$O$3*(O74-$T$1)/$T$2+$P$3*(P74-$U$1)/$U$2)/(SUM($L$3:$P$3))</f>
        <v>-0.8547151176228337</v>
      </c>
      <c r="AN74" s="46">
        <f>($L$3*(Q74-$Q$1)/$Q$2+$M$3*(R74-$R$1)/$R$2+$N$3*(S74-$S$1)/$S$2+$O$3*(T74-$T$1)/$T$2+$P$3*(U74-$U$1)/$U$2)/(SUM($L$3:$P$3))</f>
        <v>0.22398604789553317</v>
      </c>
      <c r="AO74" s="47">
        <f>IF(AVERAGE(AH74:AI74)&gt;9,1,0)+IF(AVERAGE(AH74:AI74)&gt;7,1,0)+IF(AH74&gt;7,1,0)+IF(AI74&gt;7,1,0)+IF(AJ74&gt;8,1,0)+IF(AJ74&gt;6,1,0)</f>
        <v>1</v>
      </c>
      <c r="AP74" s="48">
        <f>MIN(2,IF(OR(Z74="-",X74&lt;5),0,1+IF(Y74&gt;7,0.35,IF(Y74&gt;5,0.1,0))+IF(Z74&gt;7,1+IF(X74&gt;7,0.25,0),IF(Z74&gt;4,0.5+IF(X74&gt;7,0.25,0),0+IF(X74&gt;7,0.25))))+IF(AA74="-",0,IF(AA74&gt;9,0.5,IF(AA74&gt;7,0.25,0)))+IF(AB74="-",0,IF(AB74&gt;7,1.1,IF(AB74&gt;4,0.6,0)))+IF(OR(AC74="-",V74&lt;5),0,IF(AC74&gt;7,1+IF(V74&gt;7,0.25,0),IF(AC74&gt;4,0.5+IF(V74&gt;7,0.25,0),0)))+IF(AD74="-",0,IF(AD74&gt;7,1.5,IF(AD74&gt;4,1,0)))+IF(AE74="-",0,IF(AE74&gt;9,0.5,IF(AE74&gt;7,0.25,0)))+IF(AF74="-",0,IF(AF74&gt;7,1.25,IF(AF74&gt;4,0.75,0)))+IF(OR(AG74="-",W74&lt;4),0,IF(AG74&gt;7,1+IF(W74&gt;7,0.15,0),IF(AG74&gt;4,0.5+IF(W74&gt;7,0.15,0),0))))</f>
        <v>0.6</v>
      </c>
      <c r="AQ74" s="46">
        <f>($AM$3*AM74+$AN$3*AN74+$AO$3*AO74+$AP$3*AP74)+$I$3*VLOOKUP(I74,COND!$A$2:$E$7,4,FALSE)+$J$3*VLOOKUP(J74,COND!$A$2:$C$7,2,FALSE)+$K$3*VLOOKUP(K74,COND!$A$2:$C$7,3,FALSE)+IF(AND($B$2&gt;0,$E74&lt;20),$B$2*25,0)</f>
        <v>47.919027729650779</v>
      </c>
      <c r="AR74" s="49">
        <f>STANDARDIZE(AQ74,AVERAGE($AQ$5:$AQ$537),STDEVP($AQ$5:$AQ$537))</f>
        <v>1.3320284886598084</v>
      </c>
      <c r="AS74" s="47" t="str">
        <f>IF(AND(Z74&lt;&gt;"-",Y74&gt;1),"C",IF(AB74=MAX(AB74:AD74),"2B",IF(AD74=MAX(AB74:AD74),"SS",IF(OR(AC74=MAX(AA74:AD74),AND(AC74&lt;&gt;"-",AC74&gt;4,V74&gt;5)),"3B",IF(AF74=MAX(AE74:AG74),"CF",IF(AND(AG74=MAX(AE74,AG74),AND(W74&gt;5,AG74&lt;&gt;"-")),"RF",IF(AE74&lt;&gt;"-","LF",IF(AA74&lt;&gt;"-","1B","DH"))))))))</f>
        <v>2B</v>
      </c>
      <c r="AT74" s="47"/>
      <c r="AU74" s="47"/>
      <c r="AV74" s="47"/>
      <c r="AW74" s="47" t="str">
        <f>IF(AND($Q74&gt;=6,AVERAGE($S74:$T74)&gt;=6),"Likely",IF(OR($Q74&gt;6,AND($Q74=6,AVERAGE($S74:$T74)&gt;=3),AND($Q74&gt;=5,AVERAGE($S74:$T74)&gt;=5),AVERAGE($Q74,$S74:$T74)&gt;5),"Possible","Unlikely"))</f>
        <v>Unlikely</v>
      </c>
      <c r="AX74" s="47"/>
      <c r="AY74" s="47" t="str">
        <f>INDEX(Table5[[#All],[Ovr]],MATCH(Batters[[#This Row],[PID]],Table5[[#All],[PID]],0))</f>
        <v/>
      </c>
      <c r="AZ74" s="47" t="str">
        <f>INDEX(Table5[[#All],[Rnd]],MATCH(Batters[[#This Row],[PID]],Table5[[#All],[PID]],0))</f>
        <v/>
      </c>
      <c r="BA74" s="47" t="str">
        <f>INDEX(Table5[[#All],[Pick]],MATCH(Batters[[#This Row],[PID]],Table5[[#All],[PID]],0))</f>
        <v/>
      </c>
      <c r="BB74" s="47" t="str">
        <f>INDEX(Table5[[#All],[Team]],MATCH(Batters[[#This Row],[PID]],Table5[[#All],[PID]],0))</f>
        <v/>
      </c>
    </row>
    <row r="75" spans="1:54" ht="15" customHeight="1" x14ac:dyDescent="0.25">
      <c r="A75" s="42">
        <v>9386</v>
      </c>
      <c r="B75" s="42" t="s">
        <v>50</v>
      </c>
      <c r="C75" s="42" t="s">
        <v>462</v>
      </c>
      <c r="D75" s="42" t="s">
        <v>1063</v>
      </c>
      <c r="E75" s="42">
        <v>21</v>
      </c>
      <c r="F75" s="42" t="s">
        <v>53</v>
      </c>
      <c r="G75" s="42" t="s">
        <v>53</v>
      </c>
      <c r="H75" s="43" t="s">
        <v>703</v>
      </c>
      <c r="I75" s="44" t="s">
        <v>43</v>
      </c>
      <c r="J75" s="42" t="s">
        <v>47</v>
      </c>
      <c r="K75" s="43" t="s">
        <v>47</v>
      </c>
      <c r="L75" s="42">
        <v>3</v>
      </c>
      <c r="M75" s="42">
        <v>2</v>
      </c>
      <c r="N75" s="42">
        <v>3</v>
      </c>
      <c r="O75" s="42">
        <v>3</v>
      </c>
      <c r="P75" s="43">
        <v>2</v>
      </c>
      <c r="Q75" s="42">
        <v>4</v>
      </c>
      <c r="R75" s="42">
        <v>4</v>
      </c>
      <c r="S75" s="42">
        <v>6</v>
      </c>
      <c r="T75" s="42">
        <v>5</v>
      </c>
      <c r="U75" s="43">
        <v>4</v>
      </c>
      <c r="V75" s="42">
        <v>6</v>
      </c>
      <c r="W75" s="42">
        <v>7</v>
      </c>
      <c r="X75" s="42">
        <v>1</v>
      </c>
      <c r="Y75" s="43">
        <v>1</v>
      </c>
      <c r="Z75" s="42" t="s">
        <v>45</v>
      </c>
      <c r="AA75" s="42" t="s">
        <v>45</v>
      </c>
      <c r="AB75" s="42" t="s">
        <v>45</v>
      </c>
      <c r="AC75" s="42" t="s">
        <v>45</v>
      </c>
      <c r="AD75" s="42" t="s">
        <v>45</v>
      </c>
      <c r="AE75" s="42">
        <v>8</v>
      </c>
      <c r="AF75" s="42" t="s">
        <v>45</v>
      </c>
      <c r="AG75" s="43">
        <v>2</v>
      </c>
      <c r="AH75" s="42">
        <v>10</v>
      </c>
      <c r="AI75" s="42">
        <v>8</v>
      </c>
      <c r="AJ75" s="43">
        <v>9</v>
      </c>
      <c r="AK75" s="45" t="s">
        <v>914</v>
      </c>
      <c r="AL75" s="45" t="s">
        <v>47</v>
      </c>
      <c r="AM75" s="46">
        <f>($L$3*(L75-$Q$1)/$Q$2+$M$3*(M75-$R$1)/$R$2+$N$3*(N75-$S$1)/$S$2+$O$3*(O75-$T$1)/$T$2+$P$3*(P75-$U$1)/$U$2)/(SUM($L$3:$P$3))</f>
        <v>-1.0026133699194706</v>
      </c>
      <c r="AN75" s="46">
        <f>($L$3*(Q75-$Q$1)/$Q$2+$M$3*(R75-$R$1)/$R$2+$N$3*(S75-$S$1)/$S$2+$O$3*(T75-$T$1)/$T$2+$P$3*(U75-$U$1)/$U$2)/(SUM($L$3:$P$3))</f>
        <v>-6.9301512754355379E-2</v>
      </c>
      <c r="AO75" s="47">
        <f>IF(AVERAGE(AH75:AI75)&gt;9,1,0)+IF(AVERAGE(AH75:AI75)&gt;7,1,0)+IF(AH75&gt;7,1,0)+IF(AI75&gt;7,1,0)+IF(AJ75&gt;8,1,0)+IF(AJ75&gt;6,1,0)</f>
        <v>5</v>
      </c>
      <c r="AP75" s="48">
        <f>MIN(2,IF(OR(Z75="-",X75&lt;5),0,1+IF(Y75&gt;7,0.35,IF(Y75&gt;5,0.1,0))+IF(Z75&gt;7,1+IF(X75&gt;7,0.25,0),IF(Z75&gt;4,0.5+IF(X75&gt;7,0.25,0),0+IF(X75&gt;7,0.25))))+IF(AA75="-",0,IF(AA75&gt;9,0.5,IF(AA75&gt;7,0.25,0)))+IF(AB75="-",0,IF(AB75&gt;7,1.1,IF(AB75&gt;4,0.6,0)))+IF(OR(AC75="-",V75&lt;5),0,IF(AC75&gt;7,1+IF(V75&gt;7,0.25,0),IF(AC75&gt;4,0.5+IF(V75&gt;7,0.25,0),0)))+IF(AD75="-",0,IF(AD75&gt;7,1.5,IF(AD75&gt;4,1,0)))+IF(AE75="-",0,IF(AE75&gt;9,0.5,IF(AE75&gt;7,0.25,0)))+IF(AF75="-",0,IF(AF75&gt;7,1.25,IF(AF75&gt;4,0.75,0)))+IF(OR(AG75="-",W75&lt;4),0,IF(AG75&gt;7,1+IF(W75&gt;7,0.15,0),IF(AG75&gt;4,0.5+IF(W75&gt;7,0.15,0),0))))</f>
        <v>0.25</v>
      </c>
      <c r="AQ75" s="46">
        <f>($AM$3*AM75+$AN$3*AN75+$AO$3*AO75+$AP$3*AP75)+$I$3*VLOOKUP(I75,COND!$A$2:$E$7,4,FALSE)+$J$3*VLOOKUP(J75,COND!$A$2:$C$7,2,FALSE)+$K$3*VLOOKUP(K75,COND!$A$2:$C$7,3,FALSE)+IF(AND($B$2&gt;0,$E75&lt;20),$B$2*25,0)</f>
        <v>45.751453843289127</v>
      </c>
      <c r="AR75" s="49">
        <f>STANDARDIZE(AQ75,AVERAGE($AQ$5:$AQ$537),STDEVP($AQ$5:$AQ$537))</f>
        <v>0.95065826970811773</v>
      </c>
      <c r="AS75" s="47" t="str">
        <f>IF(AND(Z75&lt;&gt;"-",Y75&gt;1),"C",IF(AB75=MAX(AB75:AD75),"2B",IF(AD75=MAX(AB75:AD75),"SS",IF(OR(AC75=MAX(AA75:AD75),AND(AC75&lt;&gt;"-",AC75&gt;4,V75&gt;5)),"3B",IF(AF75=MAX(AE75:AG75),"CF",IF(AND(AG75=MAX(AE75,AG75),AND(W75&gt;5,AG75&lt;&gt;"-")),"RF",IF(AE75&lt;&gt;"-","LF",IF(AA75&lt;&gt;"-","1B","DH"))))))))</f>
        <v>LF</v>
      </c>
      <c r="AT75" s="47"/>
      <c r="AU75" s="47"/>
      <c r="AV75" s="47"/>
      <c r="AW75" s="47" t="str">
        <f>IF(AND($Q75&gt;=6,AVERAGE($S75:$T75)&gt;=6),"Likely",IF(OR($Q75&gt;6,AND($Q75=6,AVERAGE($S75:$T75)&gt;=3),AND($Q75&gt;=5,AVERAGE($S75:$T75)&gt;=5),AVERAGE($Q75,$S75:$T75)&gt;5),"Possible","Unlikely"))</f>
        <v>Unlikely</v>
      </c>
      <c r="AX75" s="47"/>
      <c r="AY75" s="47" t="str">
        <f>INDEX(Table5[[#All],[Ovr]],MATCH(Batters[[#This Row],[PID]],Table5[[#All],[PID]],0))</f>
        <v/>
      </c>
      <c r="AZ75" s="47" t="str">
        <f>INDEX(Table5[[#All],[Rnd]],MATCH(Batters[[#This Row],[PID]],Table5[[#All],[PID]],0))</f>
        <v/>
      </c>
      <c r="BA75" s="47" t="str">
        <f>INDEX(Table5[[#All],[Pick]],MATCH(Batters[[#This Row],[PID]],Table5[[#All],[PID]],0))</f>
        <v/>
      </c>
      <c r="BB75" s="47" t="str">
        <f>INDEX(Table5[[#All],[Team]],MATCH(Batters[[#This Row],[PID]],Table5[[#All],[PID]],0))</f>
        <v/>
      </c>
    </row>
    <row r="76" spans="1:54" ht="15" customHeight="1" x14ac:dyDescent="0.25">
      <c r="A76" s="42">
        <v>7200</v>
      </c>
      <c r="B76" s="42" t="s">
        <v>50</v>
      </c>
      <c r="C76" s="42" t="s">
        <v>433</v>
      </c>
      <c r="D76" s="42" t="s">
        <v>1052</v>
      </c>
      <c r="E76" s="42">
        <v>21</v>
      </c>
      <c r="F76" s="42" t="s">
        <v>53</v>
      </c>
      <c r="G76" s="42" t="s">
        <v>53</v>
      </c>
      <c r="H76" s="43" t="s">
        <v>703</v>
      </c>
      <c r="I76" s="44" t="s">
        <v>43</v>
      </c>
      <c r="J76" s="42" t="s">
        <v>44</v>
      </c>
      <c r="K76" s="43" t="s">
        <v>43</v>
      </c>
      <c r="L76" s="42">
        <v>4</v>
      </c>
      <c r="M76" s="42">
        <v>4</v>
      </c>
      <c r="N76" s="42">
        <v>4</v>
      </c>
      <c r="O76" s="42">
        <v>4</v>
      </c>
      <c r="P76" s="43">
        <v>2</v>
      </c>
      <c r="Q76" s="42">
        <v>5</v>
      </c>
      <c r="R76" s="42">
        <v>5</v>
      </c>
      <c r="S76" s="42">
        <v>6</v>
      </c>
      <c r="T76" s="42">
        <v>5</v>
      </c>
      <c r="U76" s="43">
        <v>3</v>
      </c>
      <c r="V76" s="42">
        <v>5</v>
      </c>
      <c r="W76" s="42">
        <v>7</v>
      </c>
      <c r="X76" s="42">
        <v>1</v>
      </c>
      <c r="Y76" s="43">
        <v>1</v>
      </c>
      <c r="Z76" s="42" t="s">
        <v>45</v>
      </c>
      <c r="AA76" s="42" t="s">
        <v>45</v>
      </c>
      <c r="AB76" s="42" t="s">
        <v>45</v>
      </c>
      <c r="AC76" s="42" t="s">
        <v>45</v>
      </c>
      <c r="AD76" s="42" t="s">
        <v>45</v>
      </c>
      <c r="AE76" s="42">
        <v>2</v>
      </c>
      <c r="AF76" s="42" t="s">
        <v>45</v>
      </c>
      <c r="AG76" s="43" t="s">
        <v>45</v>
      </c>
      <c r="AH76" s="42">
        <v>3</v>
      </c>
      <c r="AI76" s="42">
        <v>3</v>
      </c>
      <c r="AJ76" s="43">
        <v>2</v>
      </c>
      <c r="AK76" s="45" t="s">
        <v>45</v>
      </c>
      <c r="AL76" s="45" t="s">
        <v>47</v>
      </c>
      <c r="AM76" s="46">
        <f>($L$3*(L76-$Q$1)/$Q$2+$M$3*(M76-$R$1)/$R$2+$N$3*(N76-$S$1)/$S$2+$O$3*(O76-$T$1)/$T$2+$P$3*(P76-$U$1)/$U$2)/(SUM($L$3:$P$3))</f>
        <v>-0.40516673044590634</v>
      </c>
      <c r="AN76" s="46">
        <f>($L$3*(Q76-$Q$1)/$Q$2+$M$3*(R76-$R$1)/$R$2+$N$3*(S76-$S$1)/$S$2+$O$3*(T76-$T$1)/$T$2+$P$3*(U76-$U$1)/$U$2)/(SUM($L$3:$P$3))</f>
        <v>0.26429786324993937</v>
      </c>
      <c r="AO76" s="47">
        <f>IF(AVERAGE(AH76:AI76)&gt;9,1,0)+IF(AVERAGE(AH76:AI76)&gt;7,1,0)+IF(AH76&gt;7,1,0)+IF(AI76&gt;7,1,0)+IF(AJ76&gt;8,1,0)+IF(AJ76&gt;6,1,0)</f>
        <v>0</v>
      </c>
      <c r="AP76" s="48">
        <f>MIN(2,IF(OR(Z76="-",X76&lt;5),0,1+IF(Y76&gt;7,0.35,IF(Y76&gt;5,0.1,0))+IF(Z76&gt;7,1+IF(X76&gt;7,0.25,0),IF(Z76&gt;4,0.5+IF(X76&gt;7,0.25,0),0+IF(X76&gt;7,0.25))))+IF(AA76="-",0,IF(AA76&gt;9,0.5,IF(AA76&gt;7,0.25,0)))+IF(AB76="-",0,IF(AB76&gt;7,1.1,IF(AB76&gt;4,0.6,0)))+IF(OR(AC76="-",V76&lt;5),0,IF(AC76&gt;7,1+IF(V76&gt;7,0.25,0),IF(AC76&gt;4,0.5+IF(V76&gt;7,0.25,0),0)))+IF(AD76="-",0,IF(AD76&gt;7,1.5,IF(AD76&gt;4,1,0)))+IF(AE76="-",0,IF(AE76&gt;9,0.5,IF(AE76&gt;7,0.25,0)))+IF(AF76="-",0,IF(AF76&gt;7,1.25,IF(AF76&gt;4,0.75,0)))+IF(OR(AG76="-",W76&lt;4),0,IF(AG76&gt;7,1+IF(W76&gt;7,0.15,0),IF(AG76&gt;4,0.5+IF(W76&gt;7,0.15,0),0))))</f>
        <v>0</v>
      </c>
      <c r="AQ76" s="46">
        <f>($AM$3*AM76+$AN$3*AN76+$AO$3*AO76+$AP$3*AP76)+$I$3*VLOOKUP(I76,COND!$A$2:$E$7,4,FALSE)+$J$3*VLOOKUP(J76,COND!$A$2:$C$7,2,FALSE)+$K$3*VLOOKUP(K76,COND!$A$2:$C$7,3,FALSE)+IF(AND($B$2&gt;0,$E76&lt;20),$B$2*25,0)</f>
        <v>47.831057685954683</v>
      </c>
      <c r="AR76" s="49">
        <f>STANDARDIZE(AQ76,AVERAGE($AQ$5:$AQ$537),STDEVP($AQ$5:$AQ$537))</f>
        <v>1.3165507441470787</v>
      </c>
      <c r="AS76" s="47" t="str">
        <f>IF(AND(Z76&lt;&gt;"-",Y76&gt;1),"C",IF(AB76=MAX(AB76:AD76),"2B",IF(AD76=MAX(AB76:AD76),"SS",IF(OR(AC76=MAX(AA76:AD76),AND(AC76&lt;&gt;"-",AC76&gt;4,V76&gt;5)),"3B",IF(AF76=MAX(AE76:AG76),"CF",IF(AND(AG76=MAX(AE76,AG76),AND(W76&gt;5,AG76&lt;&gt;"-")),"RF",IF(AE76&lt;&gt;"-","LF",IF(AA76&lt;&gt;"-","1B","DH"))))))))</f>
        <v>LF</v>
      </c>
      <c r="AT76" s="47"/>
      <c r="AU76" s="47"/>
      <c r="AV76" s="47"/>
      <c r="AW76" s="47" t="str">
        <f>IF(AND($Q76&gt;=6,AVERAGE($S76:$T76)&gt;=6),"Likely",IF(OR($Q76&gt;6,AND($Q76=6,AVERAGE($S76:$T76)&gt;=3),AND($Q76&gt;=5,AVERAGE($S76:$T76)&gt;=5),AVERAGE($Q76,$S76:$T76)&gt;5),"Possible","Unlikely"))</f>
        <v>Possible</v>
      </c>
      <c r="AX76" s="47"/>
      <c r="AY76" s="47" t="str">
        <f>INDEX(Table5[[#All],[Ovr]],MATCH(Batters[[#This Row],[PID]],Table5[[#All],[PID]],0))</f>
        <v/>
      </c>
      <c r="AZ76" s="47" t="str">
        <f>INDEX(Table5[[#All],[Rnd]],MATCH(Batters[[#This Row],[PID]],Table5[[#All],[PID]],0))</f>
        <v/>
      </c>
      <c r="BA76" s="47" t="str">
        <f>INDEX(Table5[[#All],[Pick]],MATCH(Batters[[#This Row],[PID]],Table5[[#All],[PID]],0))</f>
        <v/>
      </c>
      <c r="BB76" s="47" t="str">
        <f>INDEX(Table5[[#All],[Team]],MATCH(Batters[[#This Row],[PID]],Table5[[#All],[PID]],0))</f>
        <v/>
      </c>
    </row>
    <row r="77" spans="1:54" ht="15" customHeight="1" x14ac:dyDescent="0.25">
      <c r="A77" s="42">
        <v>8049</v>
      </c>
      <c r="B77" s="42" t="s">
        <v>71</v>
      </c>
      <c r="C77" s="42" t="s">
        <v>291</v>
      </c>
      <c r="D77" s="42" t="s">
        <v>810</v>
      </c>
      <c r="E77" s="42">
        <v>18</v>
      </c>
      <c r="F77" s="42" t="s">
        <v>42</v>
      </c>
      <c r="G77" s="42" t="s">
        <v>42</v>
      </c>
      <c r="H77" s="43" t="s">
        <v>709</v>
      </c>
      <c r="I77" s="44" t="s">
        <v>43</v>
      </c>
      <c r="J77" s="42" t="s">
        <v>47</v>
      </c>
      <c r="K77" s="43" t="s">
        <v>43</v>
      </c>
      <c r="L77" s="42">
        <v>1</v>
      </c>
      <c r="M77" s="42">
        <v>1</v>
      </c>
      <c r="N77" s="42">
        <v>2</v>
      </c>
      <c r="O77" s="42">
        <v>1</v>
      </c>
      <c r="P77" s="43">
        <v>2</v>
      </c>
      <c r="Q77" s="42">
        <v>4</v>
      </c>
      <c r="R77" s="42">
        <v>4</v>
      </c>
      <c r="S77" s="42">
        <v>3</v>
      </c>
      <c r="T77" s="42">
        <v>4</v>
      </c>
      <c r="U77" s="43">
        <v>6</v>
      </c>
      <c r="V77" s="42">
        <v>7</v>
      </c>
      <c r="W77" s="42">
        <v>6</v>
      </c>
      <c r="X77" s="42">
        <v>1</v>
      </c>
      <c r="Y77" s="43">
        <v>1</v>
      </c>
      <c r="Z77" s="42" t="s">
        <v>45</v>
      </c>
      <c r="AA77" s="42" t="s">
        <v>45</v>
      </c>
      <c r="AB77" s="42">
        <v>4</v>
      </c>
      <c r="AC77" s="42" t="s">
        <v>45</v>
      </c>
      <c r="AD77" s="42">
        <v>1</v>
      </c>
      <c r="AE77" s="42" t="s">
        <v>45</v>
      </c>
      <c r="AF77" s="42" t="s">
        <v>45</v>
      </c>
      <c r="AG77" s="43" t="s">
        <v>45</v>
      </c>
      <c r="AH77" s="42">
        <v>10</v>
      </c>
      <c r="AI77" s="42">
        <v>4</v>
      </c>
      <c r="AJ77" s="43">
        <v>4</v>
      </c>
      <c r="AK77" s="45" t="s">
        <v>658</v>
      </c>
      <c r="AL77" s="45" t="s">
        <v>47</v>
      </c>
      <c r="AM77" s="46">
        <f>($L$3*(L77-$Q$1)/$Q$2+$M$3*(M77-$R$1)/$R$2+$N$3*(N77-$S$1)/$S$2+$O$3*(O77-$T$1)/$T$2+$P$3*(P77-$U$1)/$U$2)/(SUM($L$3:$P$3))</f>
        <v>-1.961265515986587</v>
      </c>
      <c r="AN77" s="46">
        <f>($L$3*(Q77-$Q$1)/$Q$2+$M$3*(R77-$R$1)/$R$2+$N$3*(S77-$S$1)/$S$2+$O$3*(T77-$T$1)/$T$2+$P$3*(U77-$U$1)/$U$2)/(SUM($L$3:$P$3))</f>
        <v>-0.32816286520147392</v>
      </c>
      <c r="AO77" s="47">
        <f>IF(AVERAGE(AH77:AI77)&gt;9,1,0)+IF(AVERAGE(AH77:AI77)&gt;7,1,0)+IF(AH77&gt;7,1,0)+IF(AI77&gt;7,1,0)+IF(AJ77&gt;8,1,0)+IF(AJ77&gt;6,1,0)</f>
        <v>1</v>
      </c>
      <c r="AP77" s="48">
        <f>MIN(2,IF(OR(Z77="-",X77&lt;5),0,1+IF(Y77&gt;7,0.35,IF(Y77&gt;5,0.1,0))+IF(Z77&gt;7,1+IF(X77&gt;7,0.25,0),IF(Z77&gt;4,0.5+IF(X77&gt;7,0.25,0),0+IF(X77&gt;7,0.25))))+IF(AA77="-",0,IF(AA77&gt;9,0.5,IF(AA77&gt;7,0.25,0)))+IF(AB77="-",0,IF(AB77&gt;7,1.1,IF(AB77&gt;4,0.6,0)))+IF(OR(AC77="-",V77&lt;5),0,IF(AC77&gt;7,1+IF(V77&gt;7,0.25,0),IF(AC77&gt;4,0.5+IF(V77&gt;7,0.25,0),0)))+IF(AD77="-",0,IF(AD77&gt;7,1.5,IF(AD77&gt;4,1,0)))+IF(AE77="-",0,IF(AE77&gt;9,0.5,IF(AE77&gt;7,0.25,0)))+IF(AF77="-",0,IF(AF77&gt;7,1.25,IF(AF77&gt;4,0.75,0)))+IF(OR(AG77="-",W77&lt;4),0,IF(AG77&gt;7,1+IF(W77&gt;7,0.15,0),IF(AG77&gt;4,0.5+IF(W77&gt;7,0.15,0),0))))</f>
        <v>0</v>
      </c>
      <c r="AQ77" s="46">
        <f>($AM$3*AM77+$AN$3*AN77+$AO$3*AO77+$AP$3*AP77)+$I$3*VLOOKUP(I77,COND!$A$2:$E$7,4,FALSE)+$J$3*VLOOKUP(J77,COND!$A$2:$C$7,2,FALSE)+$K$3*VLOOKUP(K77,COND!$A$2:$C$7,3,FALSE)+IF(AND($B$2&gt;0,$E77&lt;20),$B$2*25,0)</f>
        <v>46.332585732650323</v>
      </c>
      <c r="AR77" s="49">
        <f>STANDARDIZE(AQ77,AVERAGE($AQ$5:$AQ$537),STDEVP($AQ$5:$AQ$537))</f>
        <v>1.052904563262381</v>
      </c>
      <c r="AS77" s="47" t="str">
        <f>IF(AND(Z77&lt;&gt;"-",Y77&gt;1),"C",IF(AB77=MAX(AB77:AD77),"2B",IF(AD77=MAX(AB77:AD77),"SS",IF(OR(AC77=MAX(AA77:AD77),AND(AC77&lt;&gt;"-",AC77&gt;4,V77&gt;5)),"3B",IF(AF77=MAX(AE77:AG77),"CF",IF(AND(AG77=MAX(AE77,AG77),AND(W77&gt;5,AG77&lt;&gt;"-")),"RF",IF(AE77&lt;&gt;"-","LF",IF(AA77&lt;&gt;"-","1B","DH"))))))))</f>
        <v>2B</v>
      </c>
      <c r="AT77" s="47"/>
      <c r="AU77" s="47"/>
      <c r="AV77" s="47"/>
      <c r="AW77" s="47" t="str">
        <f>IF(AND($Q77&gt;=6,AVERAGE($S77:$T77)&gt;=6),"Likely",IF(OR($Q77&gt;6,AND($Q77=6,AVERAGE($S77:$T77)&gt;=3),AND($Q77&gt;=5,AVERAGE($S77:$T77)&gt;=5),AVERAGE($Q77,$S77:$T77)&gt;5),"Possible","Unlikely"))</f>
        <v>Unlikely</v>
      </c>
      <c r="AX77" s="47"/>
      <c r="AY77" s="47" t="str">
        <f>INDEX(Table5[[#All],[Ovr]],MATCH(Batters[[#This Row],[PID]],Table5[[#All],[PID]],0))</f>
        <v/>
      </c>
      <c r="AZ77" s="47" t="str">
        <f>INDEX(Table5[[#All],[Rnd]],MATCH(Batters[[#This Row],[PID]],Table5[[#All],[PID]],0))</f>
        <v/>
      </c>
      <c r="BA77" s="47" t="str">
        <f>INDEX(Table5[[#All],[Pick]],MATCH(Batters[[#This Row],[PID]],Table5[[#All],[PID]],0))</f>
        <v/>
      </c>
      <c r="BB77" s="47" t="str">
        <f>INDEX(Table5[[#All],[Team]],MATCH(Batters[[#This Row],[PID]],Table5[[#All],[PID]],0))</f>
        <v/>
      </c>
    </row>
    <row r="78" spans="1:54" ht="15" customHeight="1" x14ac:dyDescent="0.25">
      <c r="A78" s="42">
        <v>9429</v>
      </c>
      <c r="B78" s="42" t="s">
        <v>87</v>
      </c>
      <c r="C78" s="42" t="s">
        <v>140</v>
      </c>
      <c r="D78" s="42" t="s">
        <v>1428</v>
      </c>
      <c r="E78" s="42">
        <v>21</v>
      </c>
      <c r="F78" s="42" t="s">
        <v>62</v>
      </c>
      <c r="G78" s="42" t="s">
        <v>42</v>
      </c>
      <c r="H78" s="43" t="s">
        <v>721</v>
      </c>
      <c r="I78" s="44" t="s">
        <v>43</v>
      </c>
      <c r="J78" s="42" t="s">
        <v>47</v>
      </c>
      <c r="K78" s="43" t="s">
        <v>47</v>
      </c>
      <c r="L78" s="42">
        <v>2</v>
      </c>
      <c r="M78" s="42">
        <v>3</v>
      </c>
      <c r="N78" s="42">
        <v>3</v>
      </c>
      <c r="O78" s="42">
        <v>4</v>
      </c>
      <c r="P78" s="43">
        <v>1</v>
      </c>
      <c r="Q78" s="42">
        <v>2</v>
      </c>
      <c r="R78" s="42">
        <v>3</v>
      </c>
      <c r="S78" s="42">
        <v>3</v>
      </c>
      <c r="T78" s="42">
        <v>6</v>
      </c>
      <c r="U78" s="43">
        <v>2</v>
      </c>
      <c r="V78" s="42">
        <v>2</v>
      </c>
      <c r="W78" s="42">
        <v>1</v>
      </c>
      <c r="X78" s="42">
        <v>2</v>
      </c>
      <c r="Y78" s="43">
        <v>4</v>
      </c>
      <c r="Z78" s="42" t="s">
        <v>45</v>
      </c>
      <c r="AA78" s="42">
        <v>1</v>
      </c>
      <c r="AB78" s="42" t="s">
        <v>45</v>
      </c>
      <c r="AC78" s="42" t="s">
        <v>45</v>
      </c>
      <c r="AD78" s="42" t="s">
        <v>45</v>
      </c>
      <c r="AE78" s="42" t="s">
        <v>45</v>
      </c>
      <c r="AF78" s="42" t="s">
        <v>45</v>
      </c>
      <c r="AG78" s="43" t="s">
        <v>45</v>
      </c>
      <c r="AH78" s="42">
        <v>1</v>
      </c>
      <c r="AI78" s="42">
        <v>1</v>
      </c>
      <c r="AJ78" s="43">
        <v>1</v>
      </c>
      <c r="AK78" s="45" t="s">
        <v>45</v>
      </c>
      <c r="AL78" s="45" t="s">
        <v>705</v>
      </c>
      <c r="AM78" s="46"/>
      <c r="AN78" s="46"/>
      <c r="AO78" s="47"/>
      <c r="AP78" s="48"/>
      <c r="AQ78" s="46">
        <f>($AM$3*AM78+$AN$3*AN78+$AO$3*AO78+$AP$3*AP78)+$I$3*VLOOKUP(I78,COND!$A$2:$E$7,4,FALSE)+$J$3*VLOOKUP(J78,COND!$A$2:$C$7,2,FALSE)+$K$3*VLOOKUP(K78,COND!$A$2:$C$7,3,FALSE)+IF(AND($B$2&gt;0,$E78&lt;20),$B$2*25,0)</f>
        <v>45.6</v>
      </c>
      <c r="AR78" s="49">
        <f>STANDARDIZE(AQ78,AVERAGE($AQ$5:$AQ$537),STDEVP($AQ$5:$AQ$537))</f>
        <v>0.92401097258958631</v>
      </c>
      <c r="AS78" s="47"/>
      <c r="AT78" s="47"/>
      <c r="AU78" s="47"/>
      <c r="AV78" s="47"/>
      <c r="AW78" s="47" t="str">
        <f>IF(AND($Q78&gt;=6,AVERAGE($S78:$T78)&gt;=6),"Likely",IF(OR($Q78&gt;6,AND($Q78=6,AVERAGE($S78:$T78)&gt;=3),AND($Q78&gt;=5,AVERAGE($S78:$T78)&gt;=5),AVERAGE($Q78,$S78:$T78)&gt;5),"Possible","Unlikely"))</f>
        <v>Unlikely</v>
      </c>
      <c r="AX78" s="47"/>
      <c r="AY78" s="47" t="str">
        <f>INDEX(Table5[[#All],[Ovr]],MATCH(Batters[[#This Row],[PID]],Table5[[#All],[PID]],0))</f>
        <v/>
      </c>
      <c r="AZ78" s="47" t="str">
        <f>INDEX(Table5[[#All],[Rnd]],MATCH(Batters[[#This Row],[PID]],Table5[[#All],[PID]],0))</f>
        <v/>
      </c>
      <c r="BA78" s="47" t="str">
        <f>INDEX(Table5[[#All],[Pick]],MATCH(Batters[[#This Row],[PID]],Table5[[#All],[PID]],0))</f>
        <v/>
      </c>
      <c r="BB78" s="47" t="str">
        <f>INDEX(Table5[[#All],[Team]],MATCH(Batters[[#This Row],[PID]],Table5[[#All],[PID]],0))</f>
        <v/>
      </c>
    </row>
    <row r="79" spans="1:54" ht="15" customHeight="1" x14ac:dyDescent="0.25">
      <c r="A79" s="42">
        <v>10488</v>
      </c>
      <c r="B79" s="42" t="s">
        <v>50</v>
      </c>
      <c r="C79" s="42" t="s">
        <v>450</v>
      </c>
      <c r="D79" s="42" t="s">
        <v>1038</v>
      </c>
      <c r="E79" s="42">
        <v>21</v>
      </c>
      <c r="F79" s="42" t="s">
        <v>42</v>
      </c>
      <c r="G79" s="42" t="s">
        <v>42</v>
      </c>
      <c r="H79" s="43" t="s">
        <v>703</v>
      </c>
      <c r="I79" s="44" t="s">
        <v>43</v>
      </c>
      <c r="J79" s="42" t="s">
        <v>43</v>
      </c>
      <c r="K79" s="43" t="s">
        <v>44</v>
      </c>
      <c r="L79" s="42">
        <v>3</v>
      </c>
      <c r="M79" s="42">
        <v>4</v>
      </c>
      <c r="N79" s="42">
        <v>3</v>
      </c>
      <c r="O79" s="42">
        <v>2</v>
      </c>
      <c r="P79" s="43">
        <v>4</v>
      </c>
      <c r="Q79" s="42">
        <v>5</v>
      </c>
      <c r="R79" s="42">
        <v>5</v>
      </c>
      <c r="S79" s="42">
        <v>5</v>
      </c>
      <c r="T79" s="42">
        <v>4</v>
      </c>
      <c r="U79" s="43">
        <v>5</v>
      </c>
      <c r="V79" s="42">
        <v>2</v>
      </c>
      <c r="W79" s="42">
        <v>4</v>
      </c>
      <c r="X79" s="42">
        <v>1</v>
      </c>
      <c r="Y79" s="43">
        <v>1</v>
      </c>
      <c r="Z79" s="42" t="s">
        <v>45</v>
      </c>
      <c r="AA79" s="42" t="s">
        <v>45</v>
      </c>
      <c r="AB79" s="42" t="s">
        <v>45</v>
      </c>
      <c r="AC79" s="42" t="s">
        <v>45</v>
      </c>
      <c r="AD79" s="42" t="s">
        <v>45</v>
      </c>
      <c r="AE79" s="42">
        <v>7</v>
      </c>
      <c r="AF79" s="42" t="s">
        <v>45</v>
      </c>
      <c r="AG79" s="43" t="s">
        <v>45</v>
      </c>
      <c r="AH79" s="42">
        <v>10</v>
      </c>
      <c r="AI79" s="42">
        <v>9</v>
      </c>
      <c r="AJ79" s="43">
        <v>10</v>
      </c>
      <c r="AK79" s="45" t="s">
        <v>597</v>
      </c>
      <c r="AL79" s="45" t="s">
        <v>705</v>
      </c>
      <c r="AM79" s="46">
        <f>($L$3*(L79-$Q$1)/$Q$2+$M$3*(M79-$R$1)/$R$2+$N$3*(N79-$S$1)/$S$2+$O$3*(O79-$T$1)/$T$2+$P$3*(P79-$U$1)/$U$2)/(SUM($L$3:$P$3))</f>
        <v>-0.91017048105747766</v>
      </c>
      <c r="AN79" s="46">
        <f>($L$3*(Q79-$Q$1)/$Q$2+$M$3*(R79-$R$1)/$R$2+$N$3*(S79-$S$1)/$S$2+$O$3*(T79-$T$1)/$T$2+$P$3*(U79-$U$1)/$U$2)/(SUM($L$3:$P$3))</f>
        <v>0.17155949885062377</v>
      </c>
      <c r="AO79" s="47">
        <f>IF(AVERAGE(AH79:AI79)&gt;9,1,0)+IF(AVERAGE(AH79:AI79)&gt;7,1,0)+IF(AH79&gt;7,1,0)+IF(AI79&gt;7,1,0)+IF(AJ79&gt;8,1,0)+IF(AJ79&gt;6,1,0)</f>
        <v>6</v>
      </c>
      <c r="AP79" s="48">
        <f>MIN(2,IF(OR(Z79="-",X79&lt;5),0,1+IF(Y79&gt;7,0.35,IF(Y79&gt;5,0.1,0))+IF(Z79&gt;7,1+IF(X79&gt;7,0.25,0),IF(Z79&gt;4,0.5+IF(X79&gt;7,0.25,0),0+IF(X79&gt;7,0.25))))+IF(AA79="-",0,IF(AA79&gt;9,0.5,IF(AA79&gt;7,0.25,0)))+IF(AB79="-",0,IF(AB79&gt;7,1.1,IF(AB79&gt;4,0.6,0)))+IF(OR(AC79="-",V79&lt;5),0,IF(AC79&gt;7,1+IF(V79&gt;7,0.25,0),IF(AC79&gt;4,0.5+IF(V79&gt;7,0.25,0),0)))+IF(AD79="-",0,IF(AD79&gt;7,1.5,IF(AD79&gt;4,1,0)))+IF(AE79="-",0,IF(AE79&gt;9,0.5,IF(AE79&gt;7,0.25,0)))+IF(AF79="-",0,IF(AF79&gt;7,1.25,IF(AF79&gt;4,0.75,0)))+IF(OR(AG79="-",W79&lt;4),0,IF(AG79&gt;7,1+IF(W79&gt;7,0.15,0),IF(AG79&gt;4,0.5+IF(W79&gt;7,0.15,0),0))))</f>
        <v>0</v>
      </c>
      <c r="AQ79" s="46">
        <f>($AM$3*AM79+$AN$3*AN79+$AO$3*AO79+$AP$3*AP79)+$I$3*VLOOKUP(I79,COND!$A$2:$E$7,4,FALSE)+$J$3*VLOOKUP(J79,COND!$A$2:$C$7,2,FALSE)+$K$3*VLOOKUP(K79,COND!$A$2:$C$7,3,FALSE)+IF(AND($B$2&gt;0,$E79&lt;20),$B$2*25,0)</f>
        <v>47.667696938101741</v>
      </c>
      <c r="AR79" s="49">
        <f>STANDARDIZE(AQ79,AVERAGE($AQ$5:$AQ$537),STDEVP($AQ$5:$AQ$537))</f>
        <v>1.287808506307444</v>
      </c>
      <c r="AS79" s="47" t="str">
        <f>IF(AND(Z79&lt;&gt;"-",Y79&gt;1),"C",IF(AB79=MAX(AB79:AD79),"2B",IF(AD79=MAX(AB79:AD79),"SS",IF(OR(AC79=MAX(AA79:AD79),AND(AC79&lt;&gt;"-",AC79&gt;4,V79&gt;5)),"3B",IF(AF79=MAX(AE79:AG79),"CF",IF(AND(AG79=MAX(AE79,AG79),AND(W79&gt;5,AG79&lt;&gt;"-")),"RF",IF(AE79&lt;&gt;"-","LF",IF(AA79&lt;&gt;"-","1B","DH"))))))))</f>
        <v>LF</v>
      </c>
      <c r="AT79" s="47"/>
      <c r="AU79" s="47"/>
      <c r="AV79" s="47"/>
      <c r="AW79" s="47" t="str">
        <f>IF(AND($Q79&gt;=6,AVERAGE($S79:$T79)&gt;=6),"Likely",IF(OR($Q79&gt;6,AND($Q79=6,AVERAGE($S79:$T79)&gt;=3),AND($Q79&gt;=5,AVERAGE($S79:$T79)&gt;=5),AVERAGE($Q79,$S79:$T79)&gt;5),"Possible","Unlikely"))</f>
        <v>Unlikely</v>
      </c>
      <c r="AX79" s="47"/>
      <c r="AY79" s="47" t="str">
        <f>INDEX(Table5[[#All],[Ovr]],MATCH(Batters[[#This Row],[PID]],Table5[[#All],[PID]],0))</f>
        <v/>
      </c>
      <c r="AZ79" s="47" t="str">
        <f>INDEX(Table5[[#All],[Rnd]],MATCH(Batters[[#This Row],[PID]],Table5[[#All],[PID]],0))</f>
        <v/>
      </c>
      <c r="BA79" s="47" t="str">
        <f>INDEX(Table5[[#All],[Pick]],MATCH(Batters[[#This Row],[PID]],Table5[[#All],[PID]],0))</f>
        <v/>
      </c>
      <c r="BB79" s="47" t="str">
        <f>INDEX(Table5[[#All],[Team]],MATCH(Batters[[#This Row],[PID]],Table5[[#All],[PID]],0))</f>
        <v/>
      </c>
    </row>
    <row r="80" spans="1:54" ht="15" customHeight="1" x14ac:dyDescent="0.25">
      <c r="A80" s="42">
        <v>9335</v>
      </c>
      <c r="B80" s="42" t="s">
        <v>50</v>
      </c>
      <c r="C80" s="42" t="s">
        <v>838</v>
      </c>
      <c r="D80" s="42" t="s">
        <v>1123</v>
      </c>
      <c r="E80" s="42">
        <v>21</v>
      </c>
      <c r="F80" s="42" t="s">
        <v>53</v>
      </c>
      <c r="G80" s="42" t="s">
        <v>42</v>
      </c>
      <c r="H80" s="43" t="s">
        <v>703</v>
      </c>
      <c r="I80" s="44" t="s">
        <v>43</v>
      </c>
      <c r="J80" s="42" t="s">
        <v>43</v>
      </c>
      <c r="K80" s="43" t="s">
        <v>43</v>
      </c>
      <c r="L80" s="42">
        <v>2</v>
      </c>
      <c r="M80" s="42">
        <v>2</v>
      </c>
      <c r="N80" s="42">
        <v>4</v>
      </c>
      <c r="O80" s="42">
        <v>3</v>
      </c>
      <c r="P80" s="43">
        <v>1</v>
      </c>
      <c r="Q80" s="42">
        <v>4</v>
      </c>
      <c r="R80" s="42">
        <v>6</v>
      </c>
      <c r="S80" s="42">
        <v>7</v>
      </c>
      <c r="T80" s="42">
        <v>6</v>
      </c>
      <c r="U80" s="43">
        <v>3</v>
      </c>
      <c r="V80" s="42">
        <v>4</v>
      </c>
      <c r="W80" s="42">
        <v>6</v>
      </c>
      <c r="X80" s="42">
        <v>1</v>
      </c>
      <c r="Y80" s="43">
        <v>1</v>
      </c>
      <c r="Z80" s="42" t="s">
        <v>45</v>
      </c>
      <c r="AA80" s="42" t="s">
        <v>45</v>
      </c>
      <c r="AB80" s="42" t="s">
        <v>45</v>
      </c>
      <c r="AC80" s="42" t="s">
        <v>45</v>
      </c>
      <c r="AD80" s="42" t="s">
        <v>45</v>
      </c>
      <c r="AE80" s="42">
        <v>3</v>
      </c>
      <c r="AF80" s="42" t="s">
        <v>45</v>
      </c>
      <c r="AG80" s="43" t="s">
        <v>45</v>
      </c>
      <c r="AH80" s="42">
        <v>7</v>
      </c>
      <c r="AI80" s="42">
        <v>3</v>
      </c>
      <c r="AJ80" s="43">
        <v>4</v>
      </c>
      <c r="AK80" s="45" t="s">
        <v>428</v>
      </c>
      <c r="AL80" s="45" t="s">
        <v>47</v>
      </c>
      <c r="AM80" s="46">
        <f>($L$3*(L80-$Q$1)/$Q$2+$M$3*(M80-$R$1)/$R$2+$N$3*(N80-$S$1)/$S$2+$O$3*(O80-$T$1)/$T$2+$P$3*(P80-$U$1)/$U$2)/(SUM($L$3:$P$3))</f>
        <v>-1.2821240519153274</v>
      </c>
      <c r="AN80" s="46">
        <f>($L$3*(Q80-$Q$1)/$Q$2+$M$3*(R80-$R$1)/$R$2+$N$3*(S80-$S$1)/$S$2+$O$3*(T80-$T$1)/$T$2+$P$3*(U80-$U$1)/$U$2)/(SUM($L$3:$P$3))</f>
        <v>0.16557295069945074</v>
      </c>
      <c r="AO80" s="47">
        <f>IF(AVERAGE(AH80:AI80)&gt;9,1,0)+IF(AVERAGE(AH80:AI80)&gt;7,1,0)+IF(AH80&gt;7,1,0)+IF(AI80&gt;7,1,0)+IF(AJ80&gt;8,1,0)+IF(AJ80&gt;6,1,0)</f>
        <v>0</v>
      </c>
      <c r="AP80" s="48">
        <f>MIN(2,IF(OR(Z80="-",X80&lt;5),0,1+IF(Y80&gt;7,0.35,IF(Y80&gt;5,0.1,0))+IF(Z80&gt;7,1+IF(X80&gt;7,0.25,0),IF(Z80&gt;4,0.5+IF(X80&gt;7,0.25,0),0+IF(X80&gt;7,0.25))))+IF(AA80="-",0,IF(AA80&gt;9,0.5,IF(AA80&gt;7,0.25,0)))+IF(AB80="-",0,IF(AB80&gt;7,1.1,IF(AB80&gt;4,0.6,0)))+IF(OR(AC80="-",V80&lt;5),0,IF(AC80&gt;7,1+IF(V80&gt;7,0.25,0),IF(AC80&gt;4,0.5+IF(V80&gt;7,0.25,0),0)))+IF(AD80="-",0,IF(AD80&gt;7,1.5,IF(AD80&gt;4,1,0)))+IF(AE80="-",0,IF(AE80&gt;9,0.5,IF(AE80&gt;7,0.25,0)))+IF(AF80="-",0,IF(AF80&gt;7,1.25,IF(AF80&gt;4,0.75,0)))+IF(OR(AG80="-",W80&lt;4),0,IF(AG80&gt;7,1+IF(W80&gt;7,0.15,0),IF(AG80&gt;4,0.5+IF(W80&gt;7,0.15,0),0))))</f>
        <v>0</v>
      </c>
      <c r="AQ80" s="46">
        <f>($AM$3*AM80+$AN$3*AN80+$AO$3*AO80+$AP$3*AP80)+$I$3*VLOOKUP(I80,COND!$A$2:$E$7,4,FALSE)+$J$3*VLOOKUP(J80,COND!$A$2:$C$7,2,FALSE)+$K$3*VLOOKUP(K80,COND!$A$2:$C$7,3,FALSE)+IF(AND($B$2&gt;0,$E80&lt;20),$B$2*25,0)</f>
        <v>46.858663003201876</v>
      </c>
      <c r="AR80" s="49">
        <f>STANDARDIZE(AQ80,AVERAGE($AQ$5:$AQ$537),STDEVP($AQ$5:$AQ$537))</f>
        <v>1.1454643625467866</v>
      </c>
      <c r="AS80" s="47" t="str">
        <f>IF(AND(Z80&lt;&gt;"-",Y80&gt;1),"C",IF(AB80=MAX(AB80:AD80),"2B",IF(AD80=MAX(AB80:AD80),"SS",IF(OR(AC80=MAX(AA80:AD80),AND(AC80&lt;&gt;"-",AC80&gt;4,V80&gt;5)),"3B",IF(AF80=MAX(AE80:AG80),"CF",IF(AND(AG80=MAX(AE80,AG80),AND(W80&gt;5,AG80&lt;&gt;"-")),"RF",IF(AE80&lt;&gt;"-","LF",IF(AA80&lt;&gt;"-","1B","DH"))))))))</f>
        <v>LF</v>
      </c>
      <c r="AT80" s="47"/>
      <c r="AU80" s="47"/>
      <c r="AV80" s="47"/>
      <c r="AW80" s="47" t="str">
        <f>IF(AND($Q80&gt;=6,AVERAGE($S80:$T80)&gt;=6),"Likely",IF(OR($Q80&gt;6,AND($Q80=6,AVERAGE($S80:$T80)&gt;=3),AND($Q80&gt;=5,AVERAGE($S80:$T80)&gt;=5),AVERAGE($Q80,$S80:$T80)&gt;5),"Possible","Unlikely"))</f>
        <v>Possible</v>
      </c>
      <c r="AX80" s="47"/>
      <c r="AY80" s="47" t="str">
        <f>INDEX(Table5[[#All],[Ovr]],MATCH(Batters[[#This Row],[PID]],Table5[[#All],[PID]],0))</f>
        <v/>
      </c>
      <c r="AZ80" s="47" t="str">
        <f>INDEX(Table5[[#All],[Rnd]],MATCH(Batters[[#This Row],[PID]],Table5[[#All],[PID]],0))</f>
        <v/>
      </c>
      <c r="BA80" s="47" t="str">
        <f>INDEX(Table5[[#All],[Pick]],MATCH(Batters[[#This Row],[PID]],Table5[[#All],[PID]],0))</f>
        <v/>
      </c>
      <c r="BB80" s="47" t="str">
        <f>INDEX(Table5[[#All],[Team]],MATCH(Batters[[#This Row],[PID]],Table5[[#All],[PID]],0))</f>
        <v/>
      </c>
    </row>
    <row r="81" spans="1:54" ht="15" customHeight="1" x14ac:dyDescent="0.25">
      <c r="A81" s="42">
        <v>17935</v>
      </c>
      <c r="B81" s="42" t="s">
        <v>50</v>
      </c>
      <c r="C81" s="42" t="s">
        <v>426</v>
      </c>
      <c r="D81" s="42" t="s">
        <v>1116</v>
      </c>
      <c r="E81" s="42">
        <v>18</v>
      </c>
      <c r="F81" s="42" t="s">
        <v>53</v>
      </c>
      <c r="G81" s="42" t="s">
        <v>53</v>
      </c>
      <c r="H81" s="43" t="s">
        <v>709</v>
      </c>
      <c r="I81" s="44" t="s">
        <v>44</v>
      </c>
      <c r="J81" s="42" t="s">
        <v>43</v>
      </c>
      <c r="K81" s="43" t="s">
        <v>43</v>
      </c>
      <c r="L81" s="42">
        <v>1</v>
      </c>
      <c r="M81" s="42">
        <v>2</v>
      </c>
      <c r="N81" s="42">
        <v>2</v>
      </c>
      <c r="O81" s="42">
        <v>2</v>
      </c>
      <c r="P81" s="43">
        <v>1</v>
      </c>
      <c r="Q81" s="42">
        <v>4</v>
      </c>
      <c r="R81" s="42">
        <v>4</v>
      </c>
      <c r="S81" s="42">
        <v>4</v>
      </c>
      <c r="T81" s="42">
        <v>5</v>
      </c>
      <c r="U81" s="43">
        <v>4</v>
      </c>
      <c r="V81" s="42">
        <v>4</v>
      </c>
      <c r="W81" s="42">
        <v>5</v>
      </c>
      <c r="X81" s="42">
        <v>1</v>
      </c>
      <c r="Y81" s="43">
        <v>1</v>
      </c>
      <c r="Z81" s="42" t="s">
        <v>45</v>
      </c>
      <c r="AA81" s="42" t="s">
        <v>45</v>
      </c>
      <c r="AB81" s="42" t="s">
        <v>45</v>
      </c>
      <c r="AC81" s="42" t="s">
        <v>45</v>
      </c>
      <c r="AD81" s="42" t="s">
        <v>45</v>
      </c>
      <c r="AE81" s="42">
        <v>4</v>
      </c>
      <c r="AF81" s="42" t="s">
        <v>45</v>
      </c>
      <c r="AG81" s="43" t="s">
        <v>45</v>
      </c>
      <c r="AH81" s="42">
        <v>6</v>
      </c>
      <c r="AI81" s="42">
        <v>7</v>
      </c>
      <c r="AJ81" s="43">
        <v>5</v>
      </c>
      <c r="AK81" s="45" t="s">
        <v>599</v>
      </c>
      <c r="AL81" s="45" t="s">
        <v>47</v>
      </c>
      <c r="AM81" s="46">
        <f>($L$3*(L81-$Q$1)/$Q$2+$M$3*(M81-$R$1)/$R$2+$N$3*(N81-$S$1)/$S$2+$O$3*(O81-$T$1)/$T$2+$P$3*(P81-$U$1)/$U$2)/(SUM($L$3:$P$3))</f>
        <v>-1.8605124261753858</v>
      </c>
      <c r="AN81" s="46">
        <f>($L$3*(Q81-$Q$1)/$Q$2+$M$3*(R81-$R$1)/$R$2+$N$3*(S81-$S$1)/$S$2+$O$3*(T81-$T$1)/$T$2+$P$3*(U81-$U$1)/$U$2)/(SUM($L$3:$P$3))</f>
        <v>-0.23542450080215838</v>
      </c>
      <c r="AO81" s="47">
        <f>IF(AVERAGE(AH81:AI81)&gt;9,1,0)+IF(AVERAGE(AH81:AI81)&gt;7,1,0)+IF(AH81&gt;7,1,0)+IF(AI81&gt;7,1,0)+IF(AJ81&gt;8,1,0)+IF(AJ81&gt;6,1,0)</f>
        <v>0</v>
      </c>
      <c r="AP81" s="48">
        <f>MIN(2,IF(OR(Z81="-",X81&lt;5),0,1+IF(Y81&gt;7,0.35,IF(Y81&gt;5,0.1,0))+IF(Z81&gt;7,1+IF(X81&gt;7,0.25,0),IF(Z81&gt;4,0.5+IF(X81&gt;7,0.25,0),0+IF(X81&gt;7,0.25))))+IF(AA81="-",0,IF(AA81&gt;9,0.5,IF(AA81&gt;7,0.25,0)))+IF(AB81="-",0,IF(AB81&gt;7,1.1,IF(AB81&gt;4,0.6,0)))+IF(OR(AC81="-",V81&lt;5),0,IF(AC81&gt;7,1+IF(V81&gt;7,0.25,0),IF(AC81&gt;4,0.5+IF(V81&gt;7,0.25,0),0)))+IF(AD81="-",0,IF(AD81&gt;7,1.5,IF(AD81&gt;4,1,0)))+IF(AE81="-",0,IF(AE81&gt;9,0.5,IF(AE81&gt;7,0.25,0)))+IF(AF81="-",0,IF(AF81&gt;7,1.25,IF(AF81&gt;4,0.75,0)))+IF(OR(AG81="-",W81&lt;4),0,IF(AG81&gt;7,1+IF(W81&gt;7,0.15,0),IF(AG81&gt;4,0.5+IF(W81&gt;7,0.15,0),0))))</f>
        <v>0</v>
      </c>
      <c r="AQ81" s="46">
        <f>($AM$3*AM81+$AN$3*AN81+$AO$3*AO81+$AP$3*AP81)+$I$3*VLOOKUP(I81,COND!$A$2:$E$7,4,FALSE)+$J$3*VLOOKUP(J81,COND!$A$2:$C$7,2,FALSE)+$K$3*VLOOKUP(K81,COND!$A$2:$C$7,3,FALSE)+IF(AND($B$2&gt;0,$E81&lt;20),$B$2*25,0)</f>
        <v>46.838854747756557</v>
      </c>
      <c r="AR81" s="49">
        <f>STANDARDIZE(AQ81,AVERAGE($AQ$5:$AQ$537),STDEVP($AQ$5:$AQ$537))</f>
        <v>1.1419792316528579</v>
      </c>
      <c r="AS81" s="47" t="str">
        <f>IF(AND(Z81&lt;&gt;"-",Y81&gt;1),"C",IF(AB81=MAX(AB81:AD81),"2B",IF(AD81=MAX(AB81:AD81),"SS",IF(OR(AC81=MAX(AA81:AD81),AND(AC81&lt;&gt;"-",AC81&gt;4,V81&gt;5)),"3B",IF(AF81=MAX(AE81:AG81),"CF",IF(AND(AG81=MAX(AE81,AG81),AND(W81&gt;5,AG81&lt;&gt;"-")),"RF",IF(AE81&lt;&gt;"-","LF",IF(AA81&lt;&gt;"-","1B","DH"))))))))</f>
        <v>LF</v>
      </c>
      <c r="AT81" s="47"/>
      <c r="AU81" s="47"/>
      <c r="AV81" s="47"/>
      <c r="AW81" s="47" t="str">
        <f>IF(AND($Q81&gt;=6,AVERAGE($S81:$T81)&gt;=6),"Likely",IF(OR($Q81&gt;6,AND($Q81=6,AVERAGE($S81:$T81)&gt;=3),AND($Q81&gt;=5,AVERAGE($S81:$T81)&gt;=5),AVERAGE($Q81,$S81:$T81)&gt;5),"Possible","Unlikely"))</f>
        <v>Unlikely</v>
      </c>
      <c r="AX81" s="47"/>
      <c r="AY81" s="47" t="str">
        <f>INDEX(Table5[[#All],[Ovr]],MATCH(Batters[[#This Row],[PID]],Table5[[#All],[PID]],0))</f>
        <v/>
      </c>
      <c r="AZ81" s="47" t="str">
        <f>INDEX(Table5[[#All],[Rnd]],MATCH(Batters[[#This Row],[PID]],Table5[[#All],[PID]],0))</f>
        <v/>
      </c>
      <c r="BA81" s="47" t="str">
        <f>INDEX(Table5[[#All],[Pick]],MATCH(Batters[[#This Row],[PID]],Table5[[#All],[PID]],0))</f>
        <v/>
      </c>
      <c r="BB81" s="47" t="str">
        <f>INDEX(Table5[[#All],[Team]],MATCH(Batters[[#This Row],[PID]],Table5[[#All],[PID]],0))</f>
        <v/>
      </c>
    </row>
    <row r="82" spans="1:54" ht="15" customHeight="1" x14ac:dyDescent="0.25">
      <c r="A82" s="42">
        <v>12920</v>
      </c>
      <c r="B82" s="42" t="s">
        <v>87</v>
      </c>
      <c r="C82" s="42" t="s">
        <v>883</v>
      </c>
      <c r="D82" s="42" t="s">
        <v>213</v>
      </c>
      <c r="E82" s="42">
        <v>18</v>
      </c>
      <c r="F82" s="42" t="s">
        <v>42</v>
      </c>
      <c r="G82" s="42" t="s">
        <v>42</v>
      </c>
      <c r="H82" s="43" t="s">
        <v>709</v>
      </c>
      <c r="I82" s="44" t="s">
        <v>43</v>
      </c>
      <c r="J82" s="42" t="s">
        <v>47</v>
      </c>
      <c r="K82" s="43" t="s">
        <v>43</v>
      </c>
      <c r="L82" s="42">
        <v>1</v>
      </c>
      <c r="M82" s="42">
        <v>1</v>
      </c>
      <c r="N82" s="42">
        <v>2</v>
      </c>
      <c r="O82" s="42">
        <v>2</v>
      </c>
      <c r="P82" s="43">
        <v>1</v>
      </c>
      <c r="Q82" s="42">
        <v>3</v>
      </c>
      <c r="R82" s="42">
        <v>5</v>
      </c>
      <c r="S82" s="42">
        <v>6</v>
      </c>
      <c r="T82" s="42">
        <v>6</v>
      </c>
      <c r="U82" s="43">
        <v>2</v>
      </c>
      <c r="V82" s="42">
        <v>3</v>
      </c>
      <c r="W82" s="42">
        <v>2</v>
      </c>
      <c r="X82" s="42">
        <v>1</v>
      </c>
      <c r="Y82" s="43">
        <v>1</v>
      </c>
      <c r="Z82" s="42" t="s">
        <v>45</v>
      </c>
      <c r="AA82" s="42">
        <v>4</v>
      </c>
      <c r="AB82" s="42" t="s">
        <v>45</v>
      </c>
      <c r="AC82" s="42" t="s">
        <v>45</v>
      </c>
      <c r="AD82" s="42" t="s">
        <v>45</v>
      </c>
      <c r="AE82" s="42" t="s">
        <v>45</v>
      </c>
      <c r="AF82" s="42" t="s">
        <v>45</v>
      </c>
      <c r="AG82" s="43" t="s">
        <v>45</v>
      </c>
      <c r="AH82" s="42">
        <v>2</v>
      </c>
      <c r="AI82" s="42">
        <v>2</v>
      </c>
      <c r="AJ82" s="43">
        <v>1</v>
      </c>
      <c r="AK82" s="45" t="s">
        <v>730</v>
      </c>
      <c r="AL82" s="45" t="s">
        <v>705</v>
      </c>
      <c r="AM82" s="46">
        <f>($L$3*(L82-$Q$1)/$Q$2+$M$3*(M82-$R$1)/$R$2+$N$3*(N82-$S$1)/$S$2+$O$3*(O82-$T$1)/$T$2+$P$3*(P82-$U$1)/$U$2)/(SUM($L$3:$P$3))</f>
        <v>-1.9115723057940897</v>
      </c>
      <c r="AN82" s="46">
        <f>($L$3*(Q82-$Q$1)/$Q$2+$M$3*(R82-$R$1)/$R$2+$N$3*(S82-$S$1)/$S$2+$O$3*(T82-$T$1)/$T$2+$P$3*(U82-$U$1)/$U$2)/(SUM($L$3:$P$3))</f>
        <v>-0.3311205989629124</v>
      </c>
      <c r="AO82" s="47">
        <f>IF(AVERAGE(AH82:AI82)&gt;9,1,0)+IF(AVERAGE(AH82:AI82)&gt;7,1,0)+IF(AH82&gt;7,1,0)+IF(AI82&gt;7,1,0)+IF(AJ82&gt;8,1,0)+IF(AJ82&gt;6,1,0)</f>
        <v>0</v>
      </c>
      <c r="AP82" s="48">
        <f>MIN(2,IF(OR(Z82="-",X82&lt;5),0,1+IF(Y82&gt;7,0.35,IF(Y82&gt;5,0.1,0))+IF(Z82&gt;7,1+IF(X82&gt;7,0.25,0),IF(Z82&gt;4,0.5+IF(X82&gt;7,0.25,0),0+IF(X82&gt;7,0.25))))+IF(AA82="-",0,IF(AA82&gt;9,0.5,IF(AA82&gt;7,0.25,0)))+IF(AB82="-",0,IF(AB82&gt;7,1.1,IF(AB82&gt;4,0.6,0)))+IF(OR(AC82="-",V82&lt;5),0,IF(AC82&gt;7,1+IF(V82&gt;7,0.25,0),IF(AC82&gt;4,0.5+IF(V82&gt;7,0.25,0),0)))+IF(AD82="-",0,IF(AD82&gt;7,1.5,IF(AD82&gt;4,1,0)))+IF(AE82="-",0,IF(AE82&gt;9,0.5,IF(AE82&gt;7,0.25,0)))+IF(AF82="-",0,IF(AF82&gt;7,1.25,IF(AF82&gt;4,0.75,0)))+IF(OR(AG82="-",W82&lt;4),0,IF(AG82&gt;7,1+IF(W82&gt;7,0.15,0),IF(AG82&gt;4,0.5+IF(W82&gt;7,0.15,0),0))))</f>
        <v>0</v>
      </c>
      <c r="AQ82" s="46">
        <f>($AM$3*AM82+$AN$3*AN82+$AO$3*AO82+$AP$3*AP82)+$I$3*VLOOKUP(I82,COND!$A$2:$E$7,4,FALSE)+$J$3*VLOOKUP(J82,COND!$A$2:$C$7,2,FALSE)+$K$3*VLOOKUP(K82,COND!$A$2:$C$7,3,FALSE)+IF(AND($B$2&gt;0,$E82&lt;20),$B$2*25,0)</f>
        <v>46.135395581865644</v>
      </c>
      <c r="AR82" s="49">
        <f>STANDARDIZE(AQ82,AVERAGE($AQ$5:$AQ$537),STDEVP($AQ$5:$AQ$537))</f>
        <v>1.018210266817382</v>
      </c>
      <c r="AS82" s="47" t="str">
        <f>IF(AND(Z82&lt;&gt;"-",Y82&gt;1),"C",IF(AB82=MAX(AB82:AD82),"2B",IF(AD82=MAX(AB82:AD82),"SS",IF(OR(AC82=MAX(AA82:AD82),AND(AC82&lt;&gt;"-",AC82&gt;4,V82&gt;5)),"3B",IF(AF82=MAX(AE82:AG82),"CF",IF(AND(AG82=MAX(AE82,AG82),AND(W82&gt;5,AG82&lt;&gt;"-")),"RF",IF(AE82&lt;&gt;"-","LF",IF(AA82&lt;&gt;"-","1B","DH"))))))))</f>
        <v>1B</v>
      </c>
      <c r="AT82" s="47"/>
      <c r="AU82" s="47"/>
      <c r="AV82" s="47"/>
      <c r="AW82" s="47" t="str">
        <f>IF(AND($Q82&gt;=6,AVERAGE($S82:$T82)&gt;=6),"Likely",IF(OR($Q82&gt;6,AND($Q82=6,AVERAGE($S82:$T82)&gt;=3),AND($Q82&gt;=5,AVERAGE($S82:$T82)&gt;=5),AVERAGE($Q82,$S82:$T82)&gt;5),"Possible","Unlikely"))</f>
        <v>Unlikely</v>
      </c>
      <c r="AX82" s="47"/>
      <c r="AY82" s="47" t="str">
        <f>INDEX(Table5[[#All],[Ovr]],MATCH(Batters[[#This Row],[PID]],Table5[[#All],[PID]],0))</f>
        <v/>
      </c>
      <c r="AZ82" s="47" t="str">
        <f>INDEX(Table5[[#All],[Rnd]],MATCH(Batters[[#This Row],[PID]],Table5[[#All],[PID]],0))</f>
        <v/>
      </c>
      <c r="BA82" s="47" t="str">
        <f>INDEX(Table5[[#All],[Pick]],MATCH(Batters[[#This Row],[PID]],Table5[[#All],[PID]],0))</f>
        <v/>
      </c>
      <c r="BB82" s="47" t="str">
        <f>INDEX(Table5[[#All],[Team]],MATCH(Batters[[#This Row],[PID]],Table5[[#All],[PID]],0))</f>
        <v/>
      </c>
    </row>
    <row r="83" spans="1:54" ht="15" customHeight="1" x14ac:dyDescent="0.25">
      <c r="A83" s="42">
        <v>7365</v>
      </c>
      <c r="B83" s="42" t="s">
        <v>71</v>
      </c>
      <c r="C83" s="42" t="s">
        <v>1041</v>
      </c>
      <c r="D83" s="42" t="s">
        <v>1042</v>
      </c>
      <c r="E83" s="42">
        <v>21</v>
      </c>
      <c r="F83" s="42" t="s">
        <v>42</v>
      </c>
      <c r="G83" s="42" t="s">
        <v>42</v>
      </c>
      <c r="H83" s="43" t="s">
        <v>702</v>
      </c>
      <c r="I83" s="44" t="s">
        <v>43</v>
      </c>
      <c r="J83" s="42" t="s">
        <v>43</v>
      </c>
      <c r="K83" s="43" t="s">
        <v>43</v>
      </c>
      <c r="L83" s="42">
        <v>3</v>
      </c>
      <c r="M83" s="42">
        <v>5</v>
      </c>
      <c r="N83" s="42">
        <v>3</v>
      </c>
      <c r="O83" s="42">
        <v>2</v>
      </c>
      <c r="P83" s="43">
        <v>5</v>
      </c>
      <c r="Q83" s="42">
        <v>5</v>
      </c>
      <c r="R83" s="42">
        <v>6</v>
      </c>
      <c r="S83" s="42">
        <v>3</v>
      </c>
      <c r="T83" s="42">
        <v>4</v>
      </c>
      <c r="U83" s="43">
        <v>5</v>
      </c>
      <c r="V83" s="42">
        <v>6</v>
      </c>
      <c r="W83" s="42">
        <v>5</v>
      </c>
      <c r="X83" s="42">
        <v>1</v>
      </c>
      <c r="Y83" s="43">
        <v>1</v>
      </c>
      <c r="Z83" s="42" t="s">
        <v>45</v>
      </c>
      <c r="AA83" s="42" t="s">
        <v>45</v>
      </c>
      <c r="AB83" s="42">
        <v>9</v>
      </c>
      <c r="AC83" s="42" t="s">
        <v>45</v>
      </c>
      <c r="AD83" s="42" t="s">
        <v>45</v>
      </c>
      <c r="AE83" s="42" t="s">
        <v>45</v>
      </c>
      <c r="AF83" s="42" t="s">
        <v>45</v>
      </c>
      <c r="AG83" s="43" t="s">
        <v>45</v>
      </c>
      <c r="AH83" s="42">
        <v>6</v>
      </c>
      <c r="AI83" s="42">
        <v>6</v>
      </c>
      <c r="AJ83" s="43">
        <v>4</v>
      </c>
      <c r="AK83" s="45" t="s">
        <v>787</v>
      </c>
      <c r="AL83" s="45" t="s">
        <v>705</v>
      </c>
      <c r="AM83" s="46">
        <f>($L$3*(L83-$Q$1)/$Q$2+$M$3*(M83-$R$1)/$R$2+$N$3*(N83-$S$1)/$S$2+$O$3*(O83-$T$1)/$T$2+$P$3*(P83-$U$1)/$U$2)/(SUM($L$3:$P$3))</f>
        <v>-0.81909426162169074</v>
      </c>
      <c r="AN83" s="46">
        <f>($L$3*(Q83-$Q$1)/$Q$2+$M$3*(R83-$R$1)/$R$2+$N$3*(S83-$S$1)/$S$2+$O$3*(T83-$T$1)/$T$2+$P$3*(U83-$U$1)/$U$2)/(SUM($L$3:$P$3))</f>
        <v>5.6496390421524267E-2</v>
      </c>
      <c r="AO83" s="47">
        <f>IF(AVERAGE(AH83:AI83)&gt;9,1,0)+IF(AVERAGE(AH83:AI83)&gt;7,1,0)+IF(AH83&gt;7,1,0)+IF(AI83&gt;7,1,0)+IF(AJ83&gt;8,1,0)+IF(AJ83&gt;6,1,0)</f>
        <v>0</v>
      </c>
      <c r="AP83" s="48">
        <f>MIN(2,IF(OR(Z83="-",X83&lt;5),0,1+IF(Y83&gt;7,0.35,IF(Y83&gt;5,0.1,0))+IF(Z83&gt;7,1+IF(X83&gt;7,0.25,0),IF(Z83&gt;4,0.5+IF(X83&gt;7,0.25,0),0+IF(X83&gt;7,0.25))))+IF(AA83="-",0,IF(AA83&gt;9,0.5,IF(AA83&gt;7,0.25,0)))+IF(AB83="-",0,IF(AB83&gt;7,1.1,IF(AB83&gt;4,0.6,0)))+IF(OR(AC83="-",V83&lt;5),0,IF(AC83&gt;7,1+IF(V83&gt;7,0.25,0),IF(AC83&gt;4,0.5+IF(V83&gt;7,0.25,0),0)))+IF(AD83="-",0,IF(AD83&gt;7,1.5,IF(AD83&gt;4,1,0)))+IF(AE83="-",0,IF(AE83&gt;9,0.5,IF(AE83&gt;7,0.25,0)))+IF(AF83="-",0,IF(AF83&gt;7,1.25,IF(AF83&gt;4,0.75,0)))+IF(OR(AG83="-",W83&lt;4),0,IF(AG83&gt;7,1+IF(W83&gt;7,0.15,0),IF(AG83&gt;4,0.5+IF(W83&gt;7,0.15,0),0))))</f>
        <v>1.1000000000000001</v>
      </c>
      <c r="AQ83" s="46">
        <f>($AM$3*AM83+$AN$3*AN83+$AO$3*AO83+$AP$3*AP83)+$I$3*VLOOKUP(I83,COND!$A$2:$E$7,4,FALSE)+$J$3*VLOOKUP(J83,COND!$A$2:$C$7,2,FALSE)+$K$3*VLOOKUP(K83,COND!$A$2:$C$7,3,FALSE)+IF(AND($B$2&gt;0,$E83&lt;20),$B$2*25,0)</f>
        <v>46.696047258896122</v>
      </c>
      <c r="AR83" s="49">
        <f>STANDARDIZE(AQ83,AVERAGE($AQ$5:$AQ$537),STDEVP($AQ$5:$AQ$537))</f>
        <v>1.11685320312976</v>
      </c>
      <c r="AS83" s="47" t="str">
        <f>IF(AND(Z83&lt;&gt;"-",Y83&gt;1),"C",IF(AB83=MAX(AB83:AD83),"2B",IF(AD83=MAX(AB83:AD83),"SS",IF(OR(AC83=MAX(AA83:AD83),AND(AC83&lt;&gt;"-",AC83&gt;4,V83&gt;5)),"3B",IF(AF83=MAX(AE83:AG83),"CF",IF(AND(AG83=MAX(AE83,AG83),AND(W83&gt;5,AG83&lt;&gt;"-")),"RF",IF(AE83&lt;&gt;"-","LF",IF(AA83&lt;&gt;"-","1B","DH"))))))))</f>
        <v>2B</v>
      </c>
      <c r="AT83" s="47"/>
      <c r="AU83" s="47"/>
      <c r="AV83" s="47"/>
      <c r="AW83" s="47" t="str">
        <f>IF(AND($Q83&gt;=6,AVERAGE($S83:$T83)&gt;=6),"Likely",IF(OR($Q83&gt;6,AND($Q83=6,AVERAGE($S83:$T83)&gt;=3),AND($Q83&gt;=5,AVERAGE($S83:$T83)&gt;=5),AVERAGE($Q83,$S83:$T83)&gt;5),"Possible","Unlikely"))</f>
        <v>Unlikely</v>
      </c>
      <c r="AX83" s="47"/>
      <c r="AY83" s="47" t="str">
        <f>INDEX(Table5[[#All],[Ovr]],MATCH(Batters[[#This Row],[PID]],Table5[[#All],[PID]],0))</f>
        <v/>
      </c>
      <c r="AZ83" s="47" t="str">
        <f>INDEX(Table5[[#All],[Rnd]],MATCH(Batters[[#This Row],[PID]],Table5[[#All],[PID]],0))</f>
        <v/>
      </c>
      <c r="BA83" s="47" t="str">
        <f>INDEX(Table5[[#All],[Pick]],MATCH(Batters[[#This Row],[PID]],Table5[[#All],[PID]],0))</f>
        <v/>
      </c>
      <c r="BB83" s="47" t="str">
        <f>INDEX(Table5[[#All],[Team]],MATCH(Batters[[#This Row],[PID]],Table5[[#All],[PID]],0))</f>
        <v/>
      </c>
    </row>
    <row r="84" spans="1:54" ht="15" customHeight="1" x14ac:dyDescent="0.25">
      <c r="A84" s="42">
        <v>6296</v>
      </c>
      <c r="B84" s="42" t="s">
        <v>86</v>
      </c>
      <c r="C84" s="42" t="s">
        <v>170</v>
      </c>
      <c r="D84" s="42" t="s">
        <v>1057</v>
      </c>
      <c r="E84" s="42">
        <v>18</v>
      </c>
      <c r="F84" s="42" t="s">
        <v>53</v>
      </c>
      <c r="G84" s="42" t="s">
        <v>42</v>
      </c>
      <c r="H84" s="43" t="s">
        <v>703</v>
      </c>
      <c r="I84" s="44" t="s">
        <v>43</v>
      </c>
      <c r="J84" s="42" t="s">
        <v>43</v>
      </c>
      <c r="K84" s="43" t="s">
        <v>43</v>
      </c>
      <c r="L84" s="42">
        <v>2</v>
      </c>
      <c r="M84" s="42">
        <v>3</v>
      </c>
      <c r="N84" s="42">
        <v>2</v>
      </c>
      <c r="O84" s="42">
        <v>2</v>
      </c>
      <c r="P84" s="43">
        <v>1</v>
      </c>
      <c r="Q84" s="42">
        <v>4</v>
      </c>
      <c r="R84" s="42">
        <v>5</v>
      </c>
      <c r="S84" s="42">
        <v>4</v>
      </c>
      <c r="T84" s="42">
        <v>4</v>
      </c>
      <c r="U84" s="43">
        <v>4</v>
      </c>
      <c r="V84" s="42">
        <v>3</v>
      </c>
      <c r="W84" s="42">
        <v>3</v>
      </c>
      <c r="X84" s="42">
        <v>4</v>
      </c>
      <c r="Y84" s="43">
        <v>8</v>
      </c>
      <c r="Z84" s="42">
        <v>2</v>
      </c>
      <c r="AA84" s="42" t="s">
        <v>45</v>
      </c>
      <c r="AB84" s="42" t="s">
        <v>45</v>
      </c>
      <c r="AC84" s="42" t="s">
        <v>45</v>
      </c>
      <c r="AD84" s="42" t="s">
        <v>45</v>
      </c>
      <c r="AE84" s="42" t="s">
        <v>45</v>
      </c>
      <c r="AF84" s="42" t="s">
        <v>45</v>
      </c>
      <c r="AG84" s="43" t="s">
        <v>45</v>
      </c>
      <c r="AH84" s="42">
        <v>1</v>
      </c>
      <c r="AI84" s="42">
        <v>3</v>
      </c>
      <c r="AJ84" s="43">
        <v>1</v>
      </c>
      <c r="AK84" s="45" t="s">
        <v>668</v>
      </c>
      <c r="AL84" s="45" t="s">
        <v>47</v>
      </c>
      <c r="AM84" s="46">
        <f>($L$3*(L84-$Q$1)/$Q$2+$M$3*(M84-$R$1)/$R$2+$N$3*(N84-$S$1)/$S$2+$O$3*(O84-$T$1)/$T$2+$P$3*(P84-$U$1)/$U$2)/(SUM($L$3:$P$3))</f>
        <v>-1.4868967103540081</v>
      </c>
      <c r="AN84" s="46">
        <f>($L$3*(Q84-$Q$1)/$Q$2+$M$3*(R84-$R$1)/$R$2+$N$3*(S84-$S$1)/$S$2+$O$3*(T84-$T$1)/$T$2+$P$3*(U84-$U$1)/$U$2)/(SUM($L$3:$P$3))</f>
        <v>-0.2740741711930359</v>
      </c>
      <c r="AO84" s="47">
        <f>IF(AVERAGE(AH84:AI84)&gt;9,1,0)+IF(AVERAGE(AH84:AI84)&gt;7,1,0)+IF(AH84&gt;7,1,0)+IF(AI84&gt;7,1,0)+IF(AJ84&gt;8,1,0)+IF(AJ84&gt;6,1,0)</f>
        <v>0</v>
      </c>
      <c r="AP84" s="48">
        <f>MIN(2,IF(OR(Z84="-",X84&lt;5),0,1+IF(Y84&gt;7,0.35,IF(Y84&gt;5,0.1,0))+IF(Z84&gt;7,1+IF(X84&gt;7,0.25,0),IF(Z84&gt;4,0.5+IF(X84&gt;7,0.25,0),0+IF(X84&gt;7,0.25))))+IF(AA84="-",0,IF(AA84&gt;9,0.5,IF(AA84&gt;7,0.25,0)))+IF(AB84="-",0,IF(AB84&gt;7,1.1,IF(AB84&gt;4,0.6,0)))+IF(OR(AC84="-",V84&lt;5),0,IF(AC84&gt;7,1+IF(V84&gt;7,0.25,0),IF(AC84&gt;4,0.5+IF(V84&gt;7,0.25,0),0)))+IF(AD84="-",0,IF(AD84&gt;7,1.5,IF(AD84&gt;4,1,0)))+IF(AE84="-",0,IF(AE84&gt;9,0.5,IF(AE84&gt;7,0.25,0)))+IF(AF84="-",0,IF(AF84&gt;7,1.25,IF(AF84&gt;4,0.75,0)))+IF(OR(AG84="-",W84&lt;4),0,IF(AG84&gt;7,1+IF(W84&gt;7,0.15,0),IF(AG84&gt;4,0.5+IF(W84&gt;7,0.15,0),0))))</f>
        <v>0</v>
      </c>
      <c r="AQ84" s="46">
        <f>($AM$3*AM84+$AN$3*AN84+$AO$3*AO84+$AP$3*AP84)+$I$3*VLOOKUP(I84,COND!$A$2:$E$7,4,FALSE)+$J$3*VLOOKUP(J84,COND!$A$2:$C$7,2,FALSE)+$K$3*VLOOKUP(K84,COND!$A$2:$C$7,3,FALSE)+IF(AND($B$2&gt;0,$E84&lt;20),$B$2*25,0)</f>
        <v>46.562420274648169</v>
      </c>
      <c r="AR84" s="49">
        <f>STANDARDIZE(AQ84,AVERAGE($AQ$5:$AQ$537),STDEVP($AQ$5:$AQ$537))</f>
        <v>1.0933424233768092</v>
      </c>
      <c r="AS84" s="47" t="str">
        <f>IF(AND(Z84&lt;&gt;"-",Y84&gt;1),"C",IF(AB84=MAX(AB84:AD84),"2B",IF(AD84=MAX(AB84:AD84),"SS",IF(OR(AC84=MAX(AA84:AD84),AND(AC84&lt;&gt;"-",AC84&gt;4,V84&gt;5)),"3B",IF(AF84=MAX(AE84:AG84),"CF",IF(AND(AG84=MAX(AE84,AG84),AND(W84&gt;5,AG84&lt;&gt;"-")),"RF",IF(AE84&lt;&gt;"-","LF",IF(AA84&lt;&gt;"-","1B","DH"))))))))</f>
        <v>C</v>
      </c>
      <c r="AT84" s="47"/>
      <c r="AU84" s="47"/>
      <c r="AV84" s="47"/>
      <c r="AW84" s="47" t="str">
        <f>IF(AND($Q84&gt;=6,AVERAGE($S84:$T84)&gt;=6),"Likely",IF(OR($Q84&gt;6,AND($Q84=6,AVERAGE($S84:$T84)&gt;=3),AND($Q84&gt;=5,AVERAGE($S84:$T84)&gt;=5),AVERAGE($Q84,$S84:$T84)&gt;5),"Possible","Unlikely"))</f>
        <v>Unlikely</v>
      </c>
      <c r="AX84" s="47"/>
      <c r="AY84" s="47" t="str">
        <f>INDEX(Table5[[#All],[Ovr]],MATCH(Batters[[#This Row],[PID]],Table5[[#All],[PID]],0))</f>
        <v/>
      </c>
      <c r="AZ84" s="47" t="str">
        <f>INDEX(Table5[[#All],[Rnd]],MATCH(Batters[[#This Row],[PID]],Table5[[#All],[PID]],0))</f>
        <v/>
      </c>
      <c r="BA84" s="47" t="str">
        <f>INDEX(Table5[[#All],[Pick]],MATCH(Batters[[#This Row],[PID]],Table5[[#All],[PID]],0))</f>
        <v/>
      </c>
      <c r="BB84" s="47" t="str">
        <f>INDEX(Table5[[#All],[Team]],MATCH(Batters[[#This Row],[PID]],Table5[[#All],[PID]],0))</f>
        <v/>
      </c>
    </row>
    <row r="85" spans="1:54" ht="15" customHeight="1" x14ac:dyDescent="0.25">
      <c r="A85" s="42">
        <v>6331</v>
      </c>
      <c r="B85" s="42" t="s">
        <v>87</v>
      </c>
      <c r="C85" s="42" t="s">
        <v>164</v>
      </c>
      <c r="D85" s="42" t="s">
        <v>1062</v>
      </c>
      <c r="E85" s="42">
        <v>18</v>
      </c>
      <c r="F85" s="42" t="s">
        <v>42</v>
      </c>
      <c r="G85" s="42" t="s">
        <v>42</v>
      </c>
      <c r="H85" s="43" t="s">
        <v>709</v>
      </c>
      <c r="I85" s="44" t="s">
        <v>43</v>
      </c>
      <c r="J85" s="42" t="s">
        <v>43</v>
      </c>
      <c r="K85" s="43" t="s">
        <v>43</v>
      </c>
      <c r="L85" s="42">
        <v>2</v>
      </c>
      <c r="M85" s="42">
        <v>2</v>
      </c>
      <c r="N85" s="42">
        <v>2</v>
      </c>
      <c r="O85" s="42">
        <v>2</v>
      </c>
      <c r="P85" s="43">
        <v>1</v>
      </c>
      <c r="Q85" s="42">
        <v>4</v>
      </c>
      <c r="R85" s="42">
        <v>3</v>
      </c>
      <c r="S85" s="42">
        <v>3</v>
      </c>
      <c r="T85" s="42">
        <v>6</v>
      </c>
      <c r="U85" s="43">
        <v>4</v>
      </c>
      <c r="V85" s="42">
        <v>3</v>
      </c>
      <c r="W85" s="42">
        <v>2</v>
      </c>
      <c r="X85" s="42">
        <v>1</v>
      </c>
      <c r="Y85" s="43">
        <v>1</v>
      </c>
      <c r="Z85" s="42" t="s">
        <v>45</v>
      </c>
      <c r="AA85" s="42">
        <v>1</v>
      </c>
      <c r="AB85" s="42" t="s">
        <v>45</v>
      </c>
      <c r="AC85" s="42" t="s">
        <v>45</v>
      </c>
      <c r="AD85" s="42" t="s">
        <v>45</v>
      </c>
      <c r="AE85" s="42" t="s">
        <v>45</v>
      </c>
      <c r="AF85" s="42" t="s">
        <v>45</v>
      </c>
      <c r="AG85" s="43" t="s">
        <v>45</v>
      </c>
      <c r="AH85" s="42">
        <v>1</v>
      </c>
      <c r="AI85" s="42">
        <v>1</v>
      </c>
      <c r="AJ85" s="43">
        <v>1</v>
      </c>
      <c r="AK85" s="45" t="s">
        <v>758</v>
      </c>
      <c r="AL85" s="45" t="s">
        <v>705</v>
      </c>
      <c r="AM85" s="46">
        <f>($L$3*(L85-$Q$1)/$Q$2+$M$3*(M85-$R$1)/$R$2+$N$3*(N85-$S$1)/$S$2+$O$3*(O85-$T$1)/$T$2+$P$3*(P85-$U$1)/$U$2)/(SUM($L$3:$P$3))</f>
        <v>-1.5379565899727115</v>
      </c>
      <c r="AN85" s="46">
        <f>($L$3*(Q85-$Q$1)/$Q$2+$M$3*(R85-$R$1)/$R$2+$N$3*(S85-$S$1)/$S$2+$O$3*(T85-$T$1)/$T$2+$P$3*(U85-$U$1)/$U$2)/(SUM($L$3:$P$3))</f>
        <v>-0.27983632443518225</v>
      </c>
      <c r="AO85" s="47">
        <f>IF(AVERAGE(AH85:AI85)&gt;9,1,0)+IF(AVERAGE(AH85:AI85)&gt;7,1,0)+IF(AH85&gt;7,1,0)+IF(AI85&gt;7,1,0)+IF(AJ85&gt;8,1,0)+IF(AJ85&gt;6,1,0)</f>
        <v>0</v>
      </c>
      <c r="AP85" s="48">
        <f>MIN(2,IF(OR(Z85="-",X85&lt;5),0,1+IF(Y85&gt;7,0.35,IF(Y85&gt;5,0.1,0))+IF(Z85&gt;7,1+IF(X85&gt;7,0.25,0),IF(Z85&gt;4,0.5+IF(X85&gt;7,0.25,0),0+IF(X85&gt;7,0.25))))+IF(AA85="-",0,IF(AA85&gt;9,0.5,IF(AA85&gt;7,0.25,0)))+IF(AB85="-",0,IF(AB85&gt;7,1.1,IF(AB85&gt;4,0.6,0)))+IF(OR(AC85="-",V85&lt;5),0,IF(AC85&gt;7,1+IF(V85&gt;7,0.25,0),IF(AC85&gt;4,0.5+IF(V85&gt;7,0.25,0),0)))+IF(AD85="-",0,IF(AD85&gt;7,1.5,IF(AD85&gt;4,1,0)))+IF(AE85="-",0,IF(AE85&gt;9,0.5,IF(AE85&gt;7,0.25,0)))+IF(AF85="-",0,IF(AF85&gt;7,1.25,IF(AF85&gt;4,0.75,0)))+IF(OR(AG85="-",W85&lt;4),0,IF(AG85&gt;7,1+IF(W85&gt;7,0.15,0),IF(AG85&gt;4,0.5+IF(W85&gt;7,0.15,0),0))))</f>
        <v>0</v>
      </c>
      <c r="AQ85" s="46">
        <f>($AM$3*AM85+$AN$3*AN85+$AO$3*AO85+$AP$3*AP85)+$I$3*VLOOKUP(I85,COND!$A$2:$E$7,4,FALSE)+$J$3*VLOOKUP(J85,COND!$A$2:$C$7,2,FALSE)+$K$3*VLOOKUP(K85,COND!$A$2:$C$7,3,FALSE)+IF(AND($B$2&gt;0,$E85&lt;20),$B$2*25,0)</f>
        <v>46.488168447780538</v>
      </c>
      <c r="AR85" s="49">
        <f>STANDARDIZE(AQ85,AVERAGE($AQ$5:$AQ$537),STDEVP($AQ$5:$AQ$537))</f>
        <v>1.0802783079396174</v>
      </c>
      <c r="AS85" s="47" t="str">
        <f>IF(AND(Z85&lt;&gt;"-",Y85&gt;1),"C",IF(AB85=MAX(AB85:AD85),"2B",IF(AD85=MAX(AB85:AD85),"SS",IF(OR(AC85=MAX(AA85:AD85),AND(AC85&lt;&gt;"-",AC85&gt;4,V85&gt;5)),"3B",IF(AF85=MAX(AE85:AG85),"CF",IF(AND(AG85=MAX(AE85,AG85),AND(W85&gt;5,AG85&lt;&gt;"-")),"RF",IF(AE85&lt;&gt;"-","LF",IF(AA85&lt;&gt;"-","1B","DH"))))))))</f>
        <v>1B</v>
      </c>
      <c r="AT85" s="47"/>
      <c r="AU85" s="47"/>
      <c r="AV85" s="47"/>
      <c r="AW85" s="47" t="str">
        <f>IF(AND($Q85&gt;=6,AVERAGE($S85:$T85)&gt;=6),"Likely",IF(OR($Q85&gt;6,AND($Q85=6,AVERAGE($S85:$T85)&gt;=3),AND($Q85&gt;=5,AVERAGE($S85:$T85)&gt;=5),AVERAGE($Q85,$S85:$T85)&gt;5),"Possible","Unlikely"))</f>
        <v>Unlikely</v>
      </c>
      <c r="AX85" s="47"/>
      <c r="AY85" s="47" t="str">
        <f>INDEX(Table5[[#All],[Ovr]],MATCH(Batters[[#This Row],[PID]],Table5[[#All],[PID]],0))</f>
        <v/>
      </c>
      <c r="AZ85" s="47" t="str">
        <f>INDEX(Table5[[#All],[Rnd]],MATCH(Batters[[#This Row],[PID]],Table5[[#All],[PID]],0))</f>
        <v/>
      </c>
      <c r="BA85" s="47" t="str">
        <f>INDEX(Table5[[#All],[Pick]],MATCH(Batters[[#This Row],[PID]],Table5[[#All],[PID]],0))</f>
        <v/>
      </c>
      <c r="BB85" s="47" t="str">
        <f>INDEX(Table5[[#All],[Team]],MATCH(Batters[[#This Row],[PID]],Table5[[#All],[PID]],0))</f>
        <v/>
      </c>
    </row>
    <row r="86" spans="1:54" ht="15" customHeight="1" x14ac:dyDescent="0.25">
      <c r="A86" s="42">
        <v>7731</v>
      </c>
      <c r="B86" s="42" t="s">
        <v>50</v>
      </c>
      <c r="C86" s="42" t="s">
        <v>1078</v>
      </c>
      <c r="D86" s="42" t="s">
        <v>1077</v>
      </c>
      <c r="E86" s="42">
        <v>18</v>
      </c>
      <c r="F86" s="42" t="s">
        <v>53</v>
      </c>
      <c r="G86" s="42" t="s">
        <v>53</v>
      </c>
      <c r="H86" s="43" t="s">
        <v>709</v>
      </c>
      <c r="I86" s="44" t="s">
        <v>43</v>
      </c>
      <c r="J86" s="42" t="s">
        <v>43</v>
      </c>
      <c r="K86" s="43" t="s">
        <v>43</v>
      </c>
      <c r="L86" s="42">
        <v>1</v>
      </c>
      <c r="M86" s="42">
        <v>1</v>
      </c>
      <c r="N86" s="42">
        <v>2</v>
      </c>
      <c r="O86" s="42">
        <v>2</v>
      </c>
      <c r="P86" s="43">
        <v>1</v>
      </c>
      <c r="Q86" s="42">
        <v>4</v>
      </c>
      <c r="R86" s="42">
        <v>4</v>
      </c>
      <c r="S86" s="42">
        <v>4</v>
      </c>
      <c r="T86" s="42">
        <v>4</v>
      </c>
      <c r="U86" s="43">
        <v>5</v>
      </c>
      <c r="V86" s="42">
        <v>4</v>
      </c>
      <c r="W86" s="42">
        <v>5</v>
      </c>
      <c r="X86" s="42">
        <v>1</v>
      </c>
      <c r="Y86" s="43">
        <v>1</v>
      </c>
      <c r="Z86" s="42" t="s">
        <v>45</v>
      </c>
      <c r="AA86" s="42" t="s">
        <v>45</v>
      </c>
      <c r="AB86" s="42" t="s">
        <v>45</v>
      </c>
      <c r="AC86" s="42" t="s">
        <v>45</v>
      </c>
      <c r="AD86" s="42" t="s">
        <v>45</v>
      </c>
      <c r="AE86" s="42">
        <v>1</v>
      </c>
      <c r="AF86" s="42" t="s">
        <v>45</v>
      </c>
      <c r="AG86" s="43" t="s">
        <v>45</v>
      </c>
      <c r="AH86" s="42">
        <v>6</v>
      </c>
      <c r="AI86" s="42">
        <v>6</v>
      </c>
      <c r="AJ86" s="43">
        <v>4</v>
      </c>
      <c r="AK86" s="45" t="s">
        <v>658</v>
      </c>
      <c r="AL86" s="45" t="s">
        <v>47</v>
      </c>
      <c r="AM86" s="46">
        <f>($L$3*(L86-$Q$1)/$Q$2+$M$3*(M86-$R$1)/$R$2+$N$3*(N86-$S$1)/$S$2+$O$3*(O86-$T$1)/$T$2+$P$3*(P86-$U$1)/$U$2)/(SUM($L$3:$P$3))</f>
        <v>-1.9115723057940897</v>
      </c>
      <c r="AN86" s="46">
        <f>($L$3*(Q86-$Q$1)/$Q$2+$M$3*(R86-$R$1)/$R$2+$N$3*(S86-$S$1)/$S$2+$O$3*(T86-$T$1)/$T$2+$P$3*(U86-$U$1)/$U$2)/(SUM($L$3:$P$3))</f>
        <v>-0.28511771099465594</v>
      </c>
      <c r="AO86" s="47">
        <f>IF(AVERAGE(AH86:AI86)&gt;9,1,0)+IF(AVERAGE(AH86:AI86)&gt;7,1,0)+IF(AH86&gt;7,1,0)+IF(AI86&gt;7,1,0)+IF(AJ86&gt;8,1,0)+IF(AJ86&gt;6,1,0)</f>
        <v>0</v>
      </c>
      <c r="AP86" s="48">
        <f>MIN(2,IF(OR(Z86="-",X86&lt;5),0,1+IF(Y86&gt;7,0.35,IF(Y86&gt;5,0.1,0))+IF(Z86&gt;7,1+IF(X86&gt;7,0.25,0),IF(Z86&gt;4,0.5+IF(X86&gt;7,0.25,0),0+IF(X86&gt;7,0.25))))+IF(AA86="-",0,IF(AA86&gt;9,0.5,IF(AA86&gt;7,0.25,0)))+IF(AB86="-",0,IF(AB86&gt;7,1.1,IF(AB86&gt;4,0.6,0)))+IF(OR(AC86="-",V86&lt;5),0,IF(AC86&gt;7,1+IF(V86&gt;7,0.25,0),IF(AC86&gt;4,0.5+IF(V86&gt;7,0.25,0),0)))+IF(AD86="-",0,IF(AD86&gt;7,1.5,IF(AD86&gt;4,1,0)))+IF(AE86="-",0,IF(AE86&gt;9,0.5,IF(AE86&gt;7,0.25,0)))+IF(AF86="-",0,IF(AF86&gt;7,1.25,IF(AF86&gt;4,0.75,0)))+IF(OR(AG86="-",W86&lt;4),0,IF(AG86&gt;7,1+IF(W86&gt;7,0.15,0),IF(AG86&gt;4,0.5+IF(W86&gt;7,0.15,0),0))))</f>
        <v>0</v>
      </c>
      <c r="AQ86" s="46">
        <f>($AM$3*AM86+$AN$3*AN86+$AO$3*AO86+$AP$3*AP86)+$I$3*VLOOKUP(I86,COND!$A$2:$E$7,4,FALSE)+$J$3*VLOOKUP(J86,COND!$A$2:$C$7,2,FALSE)+$K$3*VLOOKUP(K86,COND!$A$2:$C$7,3,FALSE)+IF(AND($B$2&gt;0,$E86&lt;20),$B$2*25,0)</f>
        <v>46.387430237484722</v>
      </c>
      <c r="AR86" s="49">
        <f>STANDARDIZE(AQ86,AVERAGE($AQ$5:$AQ$537),STDEVP($AQ$5:$AQ$537))</f>
        <v>1.0625540893747758</v>
      </c>
      <c r="AS86" s="47" t="str">
        <f>IF(AND(Z86&lt;&gt;"-",Y86&gt;1),"C",IF(AB86=MAX(AB86:AD86),"2B",IF(AD86=MAX(AB86:AD86),"SS",IF(OR(AC86=MAX(AA86:AD86),AND(AC86&lt;&gt;"-",AC86&gt;4,V86&gt;5)),"3B",IF(AF86=MAX(AE86:AG86),"CF",IF(AND(AG86=MAX(AE86,AG86),AND(W86&gt;5,AG86&lt;&gt;"-")),"RF",IF(AE86&lt;&gt;"-","LF",IF(AA86&lt;&gt;"-","1B","DH"))))))))</f>
        <v>LF</v>
      </c>
      <c r="AT86" s="47"/>
      <c r="AU86" s="47"/>
      <c r="AV86" s="47"/>
      <c r="AW86" s="47" t="str">
        <f>IF(AND($Q86&gt;=6,AVERAGE($S86:$T86)&gt;=6),"Likely",IF(OR($Q86&gt;6,AND($Q86=6,AVERAGE($S86:$T86)&gt;=3),AND($Q86&gt;=5,AVERAGE($S86:$T86)&gt;=5),AVERAGE($Q86,$S86:$T86)&gt;5),"Possible","Unlikely"))</f>
        <v>Unlikely</v>
      </c>
      <c r="AX86" s="47"/>
      <c r="AY86" s="47" t="str">
        <f>INDEX(Table5[[#All],[Ovr]],MATCH(Batters[[#This Row],[PID]],Table5[[#All],[PID]],0))</f>
        <v/>
      </c>
      <c r="AZ86" s="47" t="str">
        <f>INDEX(Table5[[#All],[Rnd]],MATCH(Batters[[#This Row],[PID]],Table5[[#All],[PID]],0))</f>
        <v/>
      </c>
      <c r="BA86" s="47" t="str">
        <f>INDEX(Table5[[#All],[Pick]],MATCH(Batters[[#This Row],[PID]],Table5[[#All],[PID]],0))</f>
        <v/>
      </c>
      <c r="BB86" s="47" t="str">
        <f>INDEX(Table5[[#All],[Team]],MATCH(Batters[[#This Row],[PID]],Table5[[#All],[PID]],0))</f>
        <v/>
      </c>
    </row>
    <row r="87" spans="1:54" ht="15" customHeight="1" x14ac:dyDescent="0.25">
      <c r="A87" s="42">
        <v>17807</v>
      </c>
      <c r="B87" s="42" t="s">
        <v>86</v>
      </c>
      <c r="C87" s="42" t="s">
        <v>1089</v>
      </c>
      <c r="D87" s="42" t="s">
        <v>686</v>
      </c>
      <c r="E87" s="42">
        <v>20</v>
      </c>
      <c r="F87" s="42" t="s">
        <v>42</v>
      </c>
      <c r="G87" s="42" t="s">
        <v>42</v>
      </c>
      <c r="H87" s="43" t="s">
        <v>702</v>
      </c>
      <c r="I87" s="44" t="s">
        <v>43</v>
      </c>
      <c r="J87" s="42" t="s">
        <v>43</v>
      </c>
      <c r="K87" s="43" t="s">
        <v>43</v>
      </c>
      <c r="L87" s="42">
        <v>3</v>
      </c>
      <c r="M87" s="42">
        <v>3</v>
      </c>
      <c r="N87" s="42">
        <v>4</v>
      </c>
      <c r="O87" s="42">
        <v>3</v>
      </c>
      <c r="P87" s="43">
        <v>1</v>
      </c>
      <c r="Q87" s="42">
        <v>4</v>
      </c>
      <c r="R87" s="42">
        <v>5</v>
      </c>
      <c r="S87" s="42">
        <v>7</v>
      </c>
      <c r="T87" s="42">
        <v>5</v>
      </c>
      <c r="U87" s="43">
        <v>3</v>
      </c>
      <c r="V87" s="42">
        <v>4</v>
      </c>
      <c r="W87" s="42">
        <v>2</v>
      </c>
      <c r="X87" s="42">
        <v>5</v>
      </c>
      <c r="Y87" s="43">
        <v>7</v>
      </c>
      <c r="Z87" s="42">
        <v>2</v>
      </c>
      <c r="AA87" s="42" t="s">
        <v>45</v>
      </c>
      <c r="AB87" s="42" t="s">
        <v>45</v>
      </c>
      <c r="AC87" s="42" t="s">
        <v>45</v>
      </c>
      <c r="AD87" s="42" t="s">
        <v>45</v>
      </c>
      <c r="AE87" s="42" t="s">
        <v>45</v>
      </c>
      <c r="AF87" s="42" t="s">
        <v>45</v>
      </c>
      <c r="AG87" s="43" t="s">
        <v>45</v>
      </c>
      <c r="AH87" s="42">
        <v>3</v>
      </c>
      <c r="AI87" s="42">
        <v>3</v>
      </c>
      <c r="AJ87" s="43">
        <v>3</v>
      </c>
      <c r="AK87" s="45" t="s">
        <v>608</v>
      </c>
      <c r="AL87" s="45" t="s">
        <v>47</v>
      </c>
      <c r="AM87" s="46">
        <f>($L$3*(L87-$Q$1)/$Q$2+$M$3*(M87-$R$1)/$R$2+$N$3*(N87-$S$1)/$S$2+$O$3*(O87-$T$1)/$T$2+$P$3*(P87-$U$1)/$U$2)/(SUM($L$3:$P$3))</f>
        <v>-0.90850833609394899</v>
      </c>
      <c r="AN87" s="46">
        <f>($L$3*(Q87-$Q$1)/$Q$2+$M$3*(R87-$R$1)/$R$2+$N$3*(S87-$S$1)/$S$2+$O$3*(T87-$T$1)/$T$2+$P$3*(U87-$U$1)/$U$2)/(SUM($L$3:$P$3))</f>
        <v>2.4803521071166203E-2</v>
      </c>
      <c r="AO87" s="47">
        <f>IF(AVERAGE(AH87:AI87)&gt;9,1,0)+IF(AVERAGE(AH87:AI87)&gt;7,1,0)+IF(AH87&gt;7,1,0)+IF(AI87&gt;7,1,0)+IF(AJ87&gt;8,1,0)+IF(AJ87&gt;6,1,0)</f>
        <v>0</v>
      </c>
      <c r="AP87" s="48">
        <f>MIN(2,IF(OR(Z87="-",X87&lt;5),0,1+IF(Y87&gt;7,0.35,IF(Y87&gt;5,0.1,0))+IF(Z87&gt;7,1+IF(X87&gt;7,0.25,0),IF(Z87&gt;4,0.5+IF(X87&gt;7,0.25,0),0+IF(X87&gt;7,0.25))))+IF(AA87="-",0,IF(AA87&gt;9,0.5,IF(AA87&gt;7,0.25,0)))+IF(AB87="-",0,IF(AB87&gt;7,1.1,IF(AB87&gt;4,0.6,0)))+IF(OR(AC87="-",V87&lt;5),0,IF(AC87&gt;7,1+IF(V87&gt;7,0.25,0),IF(AC87&gt;4,0.5+IF(V87&gt;7,0.25,0),0)))+IF(AD87="-",0,IF(AD87&gt;7,1.5,IF(AD87&gt;4,1,0)))+IF(AE87="-",0,IF(AE87&gt;9,0.5,IF(AE87&gt;7,0.25,0)))+IF(AF87="-",0,IF(AF87&gt;7,1.25,IF(AF87&gt;4,0.75,0)))+IF(OR(AG87="-",W87&lt;4),0,IF(AG87&gt;7,1+IF(W87&gt;7,0.15,0),IF(AG87&gt;4,0.5+IF(W87&gt;7,0.15,0),0))))</f>
        <v>1.1000000000000001</v>
      </c>
      <c r="AQ87" s="46">
        <f>($AM$3*AM87+$AN$3*AN87+$AO$3*AO87+$AP$3*AP87)+$I$3*VLOOKUP(I87,COND!$A$2:$E$7,4,FALSE)+$J$3*VLOOKUP(J87,COND!$A$2:$C$7,2,FALSE)+$K$3*VLOOKUP(K87,COND!$A$2:$C$7,3,FALSE)+IF(AND($B$2&gt;0,$E87&lt;20),$B$2*25,0)</f>
        <v>46.306791419244604</v>
      </c>
      <c r="AR87" s="49">
        <f>STANDARDIZE(AQ87,AVERAGE($AQ$5:$AQ$537),STDEVP($AQ$5:$AQ$537))</f>
        <v>1.0483662252554771</v>
      </c>
      <c r="AS87" s="47" t="str">
        <f>IF(AND(Z87&lt;&gt;"-",Y87&gt;1),"C",IF(AB87=MAX(AB87:AD87),"2B",IF(AD87=MAX(AB87:AD87),"SS",IF(OR(AC87=MAX(AA87:AD87),AND(AC87&lt;&gt;"-",AC87&gt;4,V87&gt;5)),"3B",IF(AF87=MAX(AE87:AG87),"CF",IF(AND(AG87=MAX(AE87,AG87),AND(W87&gt;5,AG87&lt;&gt;"-")),"RF",IF(AE87&lt;&gt;"-","LF",IF(AA87&lt;&gt;"-","1B","DH"))))))))</f>
        <v>C</v>
      </c>
      <c r="AT87" s="47"/>
      <c r="AU87" s="47"/>
      <c r="AV87" s="47"/>
      <c r="AW87" s="47" t="str">
        <f>IF(AND($Q87&gt;=6,AVERAGE($S87:$T87)&gt;=6),"Likely",IF(OR($Q87&gt;6,AND($Q87=6,AVERAGE($S87:$T87)&gt;=3),AND($Q87&gt;=5,AVERAGE($S87:$T87)&gt;=5),AVERAGE($Q87,$S87:$T87)&gt;5),"Possible","Unlikely"))</f>
        <v>Possible</v>
      </c>
      <c r="AX87" s="47"/>
      <c r="AY87" s="47" t="str">
        <f>INDEX(Table5[[#All],[Ovr]],MATCH(Batters[[#This Row],[PID]],Table5[[#All],[PID]],0))</f>
        <v/>
      </c>
      <c r="AZ87" s="47" t="str">
        <f>INDEX(Table5[[#All],[Rnd]],MATCH(Batters[[#This Row],[PID]],Table5[[#All],[PID]],0))</f>
        <v/>
      </c>
      <c r="BA87" s="47" t="str">
        <f>INDEX(Table5[[#All],[Pick]],MATCH(Batters[[#This Row],[PID]],Table5[[#All],[PID]],0))</f>
        <v/>
      </c>
      <c r="BB87" s="47" t="str">
        <f>INDEX(Table5[[#All],[Team]],MATCH(Batters[[#This Row],[PID]],Table5[[#All],[PID]],0))</f>
        <v/>
      </c>
    </row>
    <row r="88" spans="1:54" ht="15" customHeight="1" x14ac:dyDescent="0.25">
      <c r="A88" s="42">
        <v>9736</v>
      </c>
      <c r="B88" s="42" t="s">
        <v>86</v>
      </c>
      <c r="C88" s="42" t="s">
        <v>373</v>
      </c>
      <c r="D88" s="42" t="s">
        <v>1396</v>
      </c>
      <c r="E88" s="42">
        <v>21</v>
      </c>
      <c r="F88" s="42" t="s">
        <v>53</v>
      </c>
      <c r="G88" s="42" t="s">
        <v>53</v>
      </c>
      <c r="H88" s="43" t="s">
        <v>709</v>
      </c>
      <c r="I88" s="44" t="s">
        <v>47</v>
      </c>
      <c r="J88" s="42" t="s">
        <v>47</v>
      </c>
      <c r="K88" s="43" t="s">
        <v>43</v>
      </c>
      <c r="L88" s="42">
        <v>2</v>
      </c>
      <c r="M88" s="42">
        <v>3</v>
      </c>
      <c r="N88" s="42">
        <v>2</v>
      </c>
      <c r="O88" s="42">
        <v>4</v>
      </c>
      <c r="P88" s="43">
        <v>1</v>
      </c>
      <c r="Q88" s="42">
        <v>2</v>
      </c>
      <c r="R88" s="42">
        <v>3</v>
      </c>
      <c r="S88" s="42">
        <v>3</v>
      </c>
      <c r="T88" s="42">
        <v>5</v>
      </c>
      <c r="U88" s="43">
        <v>3</v>
      </c>
      <c r="V88" s="42">
        <v>3</v>
      </c>
      <c r="W88" s="42">
        <v>4</v>
      </c>
      <c r="X88" s="42">
        <v>5</v>
      </c>
      <c r="Y88" s="43">
        <v>3</v>
      </c>
      <c r="Z88" s="42">
        <v>1</v>
      </c>
      <c r="AA88" s="42" t="s">
        <v>45</v>
      </c>
      <c r="AB88" s="42" t="s">
        <v>45</v>
      </c>
      <c r="AC88" s="42" t="s">
        <v>45</v>
      </c>
      <c r="AD88" s="42" t="s">
        <v>45</v>
      </c>
      <c r="AE88" s="42" t="s">
        <v>45</v>
      </c>
      <c r="AF88" s="42" t="s">
        <v>45</v>
      </c>
      <c r="AG88" s="43" t="s">
        <v>45</v>
      </c>
      <c r="AH88" s="42">
        <v>1</v>
      </c>
      <c r="AI88" s="42">
        <v>1</v>
      </c>
      <c r="AJ88" s="43">
        <v>3</v>
      </c>
      <c r="AK88" s="45" t="s">
        <v>717</v>
      </c>
      <c r="AL88" s="45" t="s">
        <v>47</v>
      </c>
      <c r="AM88" s="46"/>
      <c r="AN88" s="46"/>
      <c r="AO88" s="47"/>
      <c r="AP88" s="48"/>
      <c r="AQ88" s="46">
        <f>($AM$3*AM88+$AN$3*AN88+$AO$3*AO88+$AP$3*AP88)+$I$3*VLOOKUP(I88,COND!$A$2:$E$7,4,FALSE)+$J$3*VLOOKUP(J88,COND!$A$2:$C$7,2,FALSE)+$K$3*VLOOKUP(K88,COND!$A$2:$C$7,3,FALSE)+IF(AND($B$2&gt;0,$E88&lt;20),$B$2*25,0)</f>
        <v>45.524999999999999</v>
      </c>
      <c r="AR88" s="49">
        <f>STANDARDIZE(AQ88,AVERAGE($AQ$5:$AQ$537),STDEVP($AQ$5:$AQ$537))</f>
        <v>0.91081522106233914</v>
      </c>
      <c r="AS88" s="47"/>
      <c r="AT88" s="47"/>
      <c r="AU88" s="47"/>
      <c r="AV88" s="47"/>
      <c r="AW88" s="47" t="str">
        <f>IF(AND($Q88&gt;=6,AVERAGE($S88:$T88)&gt;=6),"Likely",IF(OR($Q88&gt;6,AND($Q88=6,AVERAGE($S88:$T88)&gt;=3),AND($Q88&gt;=5,AVERAGE($S88:$T88)&gt;=5),AVERAGE($Q88,$S88:$T88)&gt;5),"Possible","Unlikely"))</f>
        <v>Unlikely</v>
      </c>
      <c r="AX88" s="47"/>
      <c r="AY88" s="47" t="str">
        <f>INDEX(Table5[[#All],[Ovr]],MATCH(Batters[[#This Row],[PID]],Table5[[#All],[PID]],0))</f>
        <v/>
      </c>
      <c r="AZ88" s="47" t="str">
        <f>INDEX(Table5[[#All],[Rnd]],MATCH(Batters[[#This Row],[PID]],Table5[[#All],[PID]],0))</f>
        <v/>
      </c>
      <c r="BA88" s="47" t="str">
        <f>INDEX(Table5[[#All],[Pick]],MATCH(Batters[[#This Row],[PID]],Table5[[#All],[PID]],0))</f>
        <v/>
      </c>
      <c r="BB88" s="47" t="str">
        <f>INDEX(Table5[[#All],[Team]],MATCH(Batters[[#This Row],[PID]],Table5[[#All],[PID]],0))</f>
        <v/>
      </c>
    </row>
    <row r="89" spans="1:54" ht="15" customHeight="1" x14ac:dyDescent="0.25">
      <c r="A89" s="42">
        <v>18000</v>
      </c>
      <c r="B89" s="42" t="s">
        <v>69</v>
      </c>
      <c r="C89" s="42" t="s">
        <v>1405</v>
      </c>
      <c r="D89" s="42" t="s">
        <v>1406</v>
      </c>
      <c r="E89" s="42">
        <v>21</v>
      </c>
      <c r="F89" s="42" t="s">
        <v>42</v>
      </c>
      <c r="G89" s="42" t="s">
        <v>42</v>
      </c>
      <c r="H89" s="43" t="s">
        <v>711</v>
      </c>
      <c r="I89" s="44" t="s">
        <v>47</v>
      </c>
      <c r="J89" s="42" t="s">
        <v>47</v>
      </c>
      <c r="K89" s="43" t="s">
        <v>43</v>
      </c>
      <c r="L89" s="42">
        <v>1</v>
      </c>
      <c r="M89" s="42">
        <v>2</v>
      </c>
      <c r="N89" s="42">
        <v>2</v>
      </c>
      <c r="O89" s="42">
        <v>2</v>
      </c>
      <c r="P89" s="43">
        <v>1</v>
      </c>
      <c r="Q89" s="42">
        <v>2</v>
      </c>
      <c r="R89" s="42">
        <v>3</v>
      </c>
      <c r="S89" s="42">
        <v>2</v>
      </c>
      <c r="T89" s="42">
        <v>4</v>
      </c>
      <c r="U89" s="43">
        <v>3</v>
      </c>
      <c r="V89" s="42">
        <v>7</v>
      </c>
      <c r="W89" s="42">
        <v>5</v>
      </c>
      <c r="X89" s="42">
        <v>1</v>
      </c>
      <c r="Y89" s="43">
        <v>1</v>
      </c>
      <c r="Z89" s="42" t="s">
        <v>45</v>
      </c>
      <c r="AA89" s="42" t="s">
        <v>45</v>
      </c>
      <c r="AB89" s="42">
        <v>1</v>
      </c>
      <c r="AC89" s="42">
        <v>4</v>
      </c>
      <c r="AD89" s="42" t="s">
        <v>45</v>
      </c>
      <c r="AE89" s="42" t="s">
        <v>45</v>
      </c>
      <c r="AF89" s="42" t="s">
        <v>45</v>
      </c>
      <c r="AG89" s="43" t="s">
        <v>45</v>
      </c>
      <c r="AH89" s="42">
        <v>10</v>
      </c>
      <c r="AI89" s="42">
        <v>9</v>
      </c>
      <c r="AJ89" s="43">
        <v>10</v>
      </c>
      <c r="AK89" s="45" t="s">
        <v>45</v>
      </c>
      <c r="AL89" s="45" t="s">
        <v>47</v>
      </c>
      <c r="AM89" s="46"/>
      <c r="AN89" s="46"/>
      <c r="AO89" s="47"/>
      <c r="AP89" s="48"/>
      <c r="AQ89" s="46">
        <f>($AM$3*AM89+$AN$3*AN89+$AO$3*AO89+$AP$3*AP89)+$I$3*VLOOKUP(I89,COND!$A$2:$E$7,4,FALSE)+$J$3*VLOOKUP(J89,COND!$A$2:$C$7,2,FALSE)+$K$3*VLOOKUP(K89,COND!$A$2:$C$7,3,FALSE)+IF(AND($B$2&gt;0,$E89&lt;20),$B$2*25,0)</f>
        <v>45.524999999999999</v>
      </c>
      <c r="AR89" s="49">
        <f>STANDARDIZE(AQ89,AVERAGE($AQ$5:$AQ$537),STDEVP($AQ$5:$AQ$537))</f>
        <v>0.91081522106233914</v>
      </c>
      <c r="AS89" s="47"/>
      <c r="AT89" s="47"/>
      <c r="AU89" s="47"/>
      <c r="AV89" s="47"/>
      <c r="AW89" s="47" t="str">
        <f>IF(AND($Q89&gt;=6,AVERAGE($S89:$T89)&gt;=6),"Likely",IF(OR($Q89&gt;6,AND($Q89=6,AVERAGE($S89:$T89)&gt;=3),AND($Q89&gt;=5,AVERAGE($S89:$T89)&gt;=5),AVERAGE($Q89,$S89:$T89)&gt;5),"Possible","Unlikely"))</f>
        <v>Unlikely</v>
      </c>
      <c r="AX89" s="47"/>
      <c r="AY89" s="47" t="str">
        <f>INDEX(Table5[[#All],[Ovr]],MATCH(Batters[[#This Row],[PID]],Table5[[#All],[PID]],0))</f>
        <v/>
      </c>
      <c r="AZ89" s="47" t="str">
        <f>INDEX(Table5[[#All],[Rnd]],MATCH(Batters[[#This Row],[PID]],Table5[[#All],[PID]],0))</f>
        <v/>
      </c>
      <c r="BA89" s="47" t="str">
        <f>INDEX(Table5[[#All],[Pick]],MATCH(Batters[[#This Row],[PID]],Table5[[#All],[PID]],0))</f>
        <v/>
      </c>
      <c r="BB89" s="47" t="str">
        <f>INDEX(Table5[[#All],[Team]],MATCH(Batters[[#This Row],[PID]],Table5[[#All],[PID]],0))</f>
        <v/>
      </c>
    </row>
    <row r="90" spans="1:54" ht="15" customHeight="1" x14ac:dyDescent="0.25">
      <c r="A90" s="42">
        <v>8034</v>
      </c>
      <c r="B90" s="42" t="s">
        <v>66</v>
      </c>
      <c r="C90" s="42" t="s">
        <v>127</v>
      </c>
      <c r="D90" s="42" t="s">
        <v>801</v>
      </c>
      <c r="E90" s="42">
        <v>18</v>
      </c>
      <c r="F90" s="42" t="s">
        <v>42</v>
      </c>
      <c r="G90" s="42" t="s">
        <v>42</v>
      </c>
      <c r="H90" s="43" t="s">
        <v>709</v>
      </c>
      <c r="I90" s="44" t="s">
        <v>43</v>
      </c>
      <c r="J90" s="42" t="s">
        <v>43</v>
      </c>
      <c r="K90" s="43" t="s">
        <v>44</v>
      </c>
      <c r="L90" s="42">
        <v>1</v>
      </c>
      <c r="M90" s="42">
        <v>2</v>
      </c>
      <c r="N90" s="42">
        <v>2</v>
      </c>
      <c r="O90" s="42">
        <v>2</v>
      </c>
      <c r="P90" s="43">
        <v>2</v>
      </c>
      <c r="Q90" s="42">
        <v>4</v>
      </c>
      <c r="R90" s="42">
        <v>5</v>
      </c>
      <c r="S90" s="42">
        <v>4</v>
      </c>
      <c r="T90" s="42">
        <v>4</v>
      </c>
      <c r="U90" s="43">
        <v>5</v>
      </c>
      <c r="V90" s="42">
        <v>4</v>
      </c>
      <c r="W90" s="42">
        <v>5</v>
      </c>
      <c r="X90" s="42">
        <v>1</v>
      </c>
      <c r="Y90" s="43">
        <v>1</v>
      </c>
      <c r="Z90" s="42" t="s">
        <v>45</v>
      </c>
      <c r="AA90" s="42">
        <v>1</v>
      </c>
      <c r="AB90" s="42" t="s">
        <v>45</v>
      </c>
      <c r="AC90" s="42" t="s">
        <v>45</v>
      </c>
      <c r="AD90" s="42" t="s">
        <v>45</v>
      </c>
      <c r="AE90" s="42" t="s">
        <v>45</v>
      </c>
      <c r="AF90" s="42" t="s">
        <v>45</v>
      </c>
      <c r="AG90" s="43">
        <v>2</v>
      </c>
      <c r="AH90" s="42">
        <v>3</v>
      </c>
      <c r="AI90" s="42">
        <v>8</v>
      </c>
      <c r="AJ90" s="43">
        <v>4</v>
      </c>
      <c r="AK90" s="45" t="s">
        <v>599</v>
      </c>
      <c r="AL90" s="45" t="s">
        <v>47</v>
      </c>
      <c r="AM90" s="46">
        <f>($L$3*(L90-$Q$1)/$Q$2+$M$3*(M90-$R$1)/$R$2+$N$3*(N90-$S$1)/$S$2+$O$3*(O90-$T$1)/$T$2+$P$3*(P90-$U$1)/$U$2)/(SUM($L$3:$P$3))</f>
        <v>-1.8204960863583022</v>
      </c>
      <c r="AN90" s="46">
        <f>($L$3*(Q90-$Q$1)/$Q$2+$M$3*(R90-$R$1)/$R$2+$N$3*(S90-$S$1)/$S$2+$O$3*(T90-$T$1)/$T$2+$P$3*(U90-$U$1)/$U$2)/(SUM($L$3:$P$3))</f>
        <v>-0.2340578313759524</v>
      </c>
      <c r="AO90" s="47">
        <f>IF(AVERAGE(AH90:AI90)&gt;9,1,0)+IF(AVERAGE(AH90:AI90)&gt;7,1,0)+IF(AH90&gt;7,1,0)+IF(AI90&gt;7,1,0)+IF(AJ90&gt;8,1,0)+IF(AJ90&gt;6,1,0)</f>
        <v>1</v>
      </c>
      <c r="AP90" s="48">
        <f>MIN(2,IF(OR(Z90="-",X90&lt;5),0,1+IF(Y90&gt;7,0.35,IF(Y90&gt;5,0.1,0))+IF(Z90&gt;7,1+IF(X90&gt;7,0.25,0),IF(Z90&gt;4,0.5+IF(X90&gt;7,0.25,0),0+IF(X90&gt;7,0.25))))+IF(AA90="-",0,IF(AA90&gt;9,0.5,IF(AA90&gt;7,0.25,0)))+IF(AB90="-",0,IF(AB90&gt;7,1.1,IF(AB90&gt;4,0.6,0)))+IF(OR(AC90="-",V90&lt;5),0,IF(AC90&gt;7,1+IF(V90&gt;7,0.25,0),IF(AC90&gt;4,0.5+IF(V90&gt;7,0.25,0),0)))+IF(AD90="-",0,IF(AD90&gt;7,1.5,IF(AD90&gt;4,1,0)))+IF(AE90="-",0,IF(AE90&gt;9,0.5,IF(AE90&gt;7,0.25,0)))+IF(AF90="-",0,IF(AF90&gt;7,1.25,IF(AF90&gt;4,0.75,0)))+IF(OR(AG90="-",W90&lt;4),0,IF(AG90&gt;7,1+IF(W90&gt;7,0.15,0),IF(AG90&gt;4,0.5+IF(W90&gt;7,0.15,0),0))))</f>
        <v>0</v>
      </c>
      <c r="AQ90" s="46">
        <f>($AM$3*AM90+$AN$3*AN90+$AO$3*AO90+$AP$3*AP90)+$I$3*VLOOKUP(I90,COND!$A$2:$E$7,4,FALSE)+$J$3*VLOOKUP(J90,COND!$A$2:$C$7,2,FALSE)+$K$3*VLOOKUP(K90,COND!$A$2:$C$7,3,FALSE)+IF(AND($B$2&gt;0,$E90&lt;20),$B$2*25,0)</f>
        <v>46.875923081519403</v>
      </c>
      <c r="AR90" s="49">
        <f>STANDARDIZE(AQ90,AVERAGE($AQ$5:$AQ$537),STDEVP($AQ$5:$AQ$537))</f>
        <v>1.1485011586110387</v>
      </c>
      <c r="AS90" s="47" t="str">
        <f>IF(AND(Z90&lt;&gt;"-",Y90&gt;1),"C",IF(AB90=MAX(AB90:AD90),"2B",IF(AD90=MAX(AB90:AD90),"SS",IF(OR(AC90=MAX(AA90:AD90),AND(AC90&lt;&gt;"-",AC90&gt;4,V90&gt;5)),"3B",IF(AF90=MAX(AE90:AG90),"CF",IF(AND(AG90=MAX(AE90,AG90),AND(W90&gt;5,AG90&lt;&gt;"-")),"RF",IF(AE90&lt;&gt;"-","LF",IF(AA90&lt;&gt;"-","1B","DH"))))))))</f>
        <v>1B</v>
      </c>
      <c r="AT90" s="47"/>
      <c r="AU90" s="47"/>
      <c r="AV90" s="47"/>
      <c r="AW90" s="47" t="str">
        <f>IF(AND($Q90&gt;=6,AVERAGE($S90:$T90)&gt;=6),"Likely",IF(OR($Q90&gt;6,AND($Q90=6,AVERAGE($S90:$T90)&gt;=3),AND($Q90&gt;=5,AVERAGE($S90:$T90)&gt;=5),AVERAGE($Q90,$S90:$T90)&gt;5),"Possible","Unlikely"))</f>
        <v>Unlikely</v>
      </c>
      <c r="AX90" s="47"/>
      <c r="AY90" s="47" t="str">
        <f>INDEX(Table5[[#All],[Ovr]],MATCH(Batters[[#This Row],[PID]],Table5[[#All],[PID]],0))</f>
        <v/>
      </c>
      <c r="AZ90" s="47" t="str">
        <f>INDEX(Table5[[#All],[Rnd]],MATCH(Batters[[#This Row],[PID]],Table5[[#All],[PID]],0))</f>
        <v/>
      </c>
      <c r="BA90" s="47" t="str">
        <f>INDEX(Table5[[#All],[Pick]],MATCH(Batters[[#This Row],[PID]],Table5[[#All],[PID]],0))</f>
        <v/>
      </c>
      <c r="BB90" s="47" t="str">
        <f>INDEX(Table5[[#All],[Team]],MATCH(Batters[[#This Row],[PID]],Table5[[#All],[PID]],0))</f>
        <v/>
      </c>
    </row>
    <row r="91" spans="1:54" ht="15" customHeight="1" x14ac:dyDescent="0.25">
      <c r="A91" s="42">
        <v>2920</v>
      </c>
      <c r="B91" s="42" t="s">
        <v>50</v>
      </c>
      <c r="C91" s="42" t="s">
        <v>1117</v>
      </c>
      <c r="D91" s="42" t="s">
        <v>1118</v>
      </c>
      <c r="E91" s="42">
        <v>21</v>
      </c>
      <c r="F91" s="42" t="s">
        <v>53</v>
      </c>
      <c r="G91" s="42" t="s">
        <v>53</v>
      </c>
      <c r="H91" s="43" t="s">
        <v>709</v>
      </c>
      <c r="I91" s="44" t="s">
        <v>43</v>
      </c>
      <c r="J91" s="42" t="s">
        <v>47</v>
      </c>
      <c r="K91" s="43" t="s">
        <v>43</v>
      </c>
      <c r="L91" s="42">
        <v>2</v>
      </c>
      <c r="M91" s="42">
        <v>4</v>
      </c>
      <c r="N91" s="42">
        <v>4</v>
      </c>
      <c r="O91" s="42">
        <v>2</v>
      </c>
      <c r="P91" s="43">
        <v>4</v>
      </c>
      <c r="Q91" s="42">
        <v>4</v>
      </c>
      <c r="R91" s="42">
        <v>5</v>
      </c>
      <c r="S91" s="42">
        <v>6</v>
      </c>
      <c r="T91" s="42">
        <v>5</v>
      </c>
      <c r="U91" s="43">
        <v>5</v>
      </c>
      <c r="V91" s="42">
        <v>5</v>
      </c>
      <c r="W91" s="42">
        <v>9</v>
      </c>
      <c r="X91" s="42">
        <v>1</v>
      </c>
      <c r="Y91" s="43">
        <v>1</v>
      </c>
      <c r="Z91" s="42" t="s">
        <v>45</v>
      </c>
      <c r="AA91" s="42" t="s">
        <v>45</v>
      </c>
      <c r="AB91" s="42" t="s">
        <v>45</v>
      </c>
      <c r="AC91" s="42" t="s">
        <v>45</v>
      </c>
      <c r="AD91" s="42" t="s">
        <v>45</v>
      </c>
      <c r="AE91" s="42">
        <v>2</v>
      </c>
      <c r="AF91" s="42" t="s">
        <v>45</v>
      </c>
      <c r="AG91" s="43" t="s">
        <v>45</v>
      </c>
      <c r="AH91" s="42">
        <v>1</v>
      </c>
      <c r="AI91" s="42">
        <v>3</v>
      </c>
      <c r="AJ91" s="43">
        <v>2</v>
      </c>
      <c r="AK91" s="45" t="s">
        <v>730</v>
      </c>
      <c r="AL91" s="45" t="s">
        <v>47</v>
      </c>
      <c r="AM91" s="46">
        <f>($L$3*(L91-$Q$1)/$Q$2+$M$3*(M91-$R$1)/$R$2+$N$3*(N91-$S$1)/$S$2+$O$3*(O91-$T$1)/$T$2+$P$3*(P91-$U$1)/$U$2)/(SUM($L$3:$P$3))</f>
        <v>-1.149664823236251</v>
      </c>
      <c r="AN91" s="46">
        <f>($L$3*(Q91-$Q$1)/$Q$2+$M$3*(R91-$R$1)/$R$2+$N$3*(S91-$S$1)/$S$2+$O$3*(T91-$T$1)/$T$2+$P$3*(U91-$U$1)/$U$2)/(SUM($L$3:$P$3))</f>
        <v>2.177470668143159E-2</v>
      </c>
      <c r="AO91" s="47">
        <f>IF(AVERAGE(AH91:AI91)&gt;9,1,0)+IF(AVERAGE(AH91:AI91)&gt;7,1,0)+IF(AH91&gt;7,1,0)+IF(AI91&gt;7,1,0)+IF(AJ91&gt;8,1,0)+IF(AJ91&gt;6,1,0)</f>
        <v>0</v>
      </c>
      <c r="AP91" s="48">
        <f>MIN(2,IF(OR(Z91="-",X91&lt;5),0,1+IF(Y91&gt;7,0.35,IF(Y91&gt;5,0.1,0))+IF(Z91&gt;7,1+IF(X91&gt;7,0.25,0),IF(Z91&gt;4,0.5+IF(X91&gt;7,0.25,0),0+IF(X91&gt;7,0.25))))+IF(AA91="-",0,IF(AA91&gt;9,0.5,IF(AA91&gt;7,0.25,0)))+IF(AB91="-",0,IF(AB91&gt;7,1.1,IF(AB91&gt;4,0.6,0)))+IF(OR(AC91="-",V91&lt;5),0,IF(AC91&gt;7,1+IF(V91&gt;7,0.25,0),IF(AC91&gt;4,0.5+IF(V91&gt;7,0.25,0),0)))+IF(AD91="-",0,IF(AD91&gt;7,1.5,IF(AD91&gt;4,1,0)))+IF(AE91="-",0,IF(AE91&gt;9,0.5,IF(AE91&gt;7,0.25,0)))+IF(AF91="-",0,IF(AF91&gt;7,1.25,IF(AF91&gt;4,0.75,0)))+IF(OR(AG91="-",W91&lt;4),0,IF(AG91&gt;7,1+IF(W91&gt;7,0.15,0),IF(AG91&gt;4,0.5+IF(W91&gt;7,0.15,0),0))))</f>
        <v>0</v>
      </c>
      <c r="AQ91" s="46">
        <f>($AM$3*AM91+$AN$3*AN91+$AO$3*AO91+$AP$3*AP91)+$I$3*VLOOKUP(I91,COND!$A$2:$E$7,4,FALSE)+$J$3*VLOOKUP(J91,COND!$A$2:$C$7,2,FALSE)+$K$3*VLOOKUP(K91,COND!$A$2:$C$7,3,FALSE)+IF(AND($B$2&gt;0,$E91&lt;20),$B$2*25,0)</f>
        <v>45.446329997853553</v>
      </c>
      <c r="AR91" s="49">
        <f>STANDARDIZE(AQ91,AVERAGE($AQ$5:$AQ$537),STDEVP($AQ$5:$AQ$537))</f>
        <v>0.89697375704937299</v>
      </c>
      <c r="AS91" s="47" t="str">
        <f>IF(AND(Z91&lt;&gt;"-",Y91&gt;1),"C",IF(AB91=MAX(AB91:AD91),"2B",IF(AD91=MAX(AB91:AD91),"SS",IF(OR(AC91=MAX(AA91:AD91),AND(AC91&lt;&gt;"-",AC91&gt;4,V91&gt;5)),"3B",IF(AF91=MAX(AE91:AG91),"CF",IF(AND(AG91=MAX(AE91,AG91),AND(W91&gt;5,AG91&lt;&gt;"-")),"RF",IF(AE91&lt;&gt;"-","LF",IF(AA91&lt;&gt;"-","1B","DH"))))))))</f>
        <v>LF</v>
      </c>
      <c r="AT91" s="47"/>
      <c r="AU91" s="47"/>
      <c r="AV91" s="47"/>
      <c r="AW91" s="47" t="str">
        <f>IF(AND($Q91&gt;=6,AVERAGE($S91:$T91)&gt;=6),"Likely",IF(OR($Q91&gt;6,AND($Q91=6,AVERAGE($S91:$T91)&gt;=3),AND($Q91&gt;=5,AVERAGE($S91:$T91)&gt;=5),AVERAGE($Q91,$S91:$T91)&gt;5),"Possible","Unlikely"))</f>
        <v>Unlikely</v>
      </c>
      <c r="AX91" s="47"/>
      <c r="AY91" s="47" t="str">
        <f>INDEX(Table5[[#All],[Ovr]],MATCH(Batters[[#This Row],[PID]],Table5[[#All],[PID]],0))</f>
        <v/>
      </c>
      <c r="AZ91" s="47" t="str">
        <f>INDEX(Table5[[#All],[Rnd]],MATCH(Batters[[#This Row],[PID]],Table5[[#All],[PID]],0))</f>
        <v/>
      </c>
      <c r="BA91" s="47" t="str">
        <f>INDEX(Table5[[#All],[Pick]],MATCH(Batters[[#This Row],[PID]],Table5[[#All],[PID]],0))</f>
        <v/>
      </c>
      <c r="BB91" s="47" t="str">
        <f>INDEX(Table5[[#All],[Team]],MATCH(Batters[[#This Row],[PID]],Table5[[#All],[PID]],0))</f>
        <v/>
      </c>
    </row>
    <row r="92" spans="1:54" ht="15" customHeight="1" x14ac:dyDescent="0.25">
      <c r="A92" s="42">
        <v>7034</v>
      </c>
      <c r="B92" s="42" t="s">
        <v>86</v>
      </c>
      <c r="C92" s="42" t="s">
        <v>989</v>
      </c>
      <c r="D92" s="42" t="s">
        <v>635</v>
      </c>
      <c r="E92" s="42">
        <v>21</v>
      </c>
      <c r="F92" s="42" t="s">
        <v>42</v>
      </c>
      <c r="G92" s="42" t="s">
        <v>42</v>
      </c>
      <c r="H92" s="43" t="s">
        <v>702</v>
      </c>
      <c r="I92" s="44" t="s">
        <v>43</v>
      </c>
      <c r="J92" s="42" t="s">
        <v>43</v>
      </c>
      <c r="K92" s="43" t="s">
        <v>43</v>
      </c>
      <c r="L92" s="42">
        <v>3</v>
      </c>
      <c r="M92" s="42">
        <v>7</v>
      </c>
      <c r="N92" s="42">
        <v>3</v>
      </c>
      <c r="O92" s="42">
        <v>3</v>
      </c>
      <c r="P92" s="43">
        <v>4</v>
      </c>
      <c r="Q92" s="42">
        <v>4</v>
      </c>
      <c r="R92" s="42">
        <v>8</v>
      </c>
      <c r="S92" s="42">
        <v>5</v>
      </c>
      <c r="T92" s="42">
        <v>4</v>
      </c>
      <c r="U92" s="43">
        <v>5</v>
      </c>
      <c r="V92" s="42">
        <v>3</v>
      </c>
      <c r="W92" s="42">
        <v>2</v>
      </c>
      <c r="X92" s="42">
        <v>7</v>
      </c>
      <c r="Y92" s="43">
        <v>7</v>
      </c>
      <c r="Z92" s="42">
        <v>3</v>
      </c>
      <c r="AA92" s="42" t="s">
        <v>45</v>
      </c>
      <c r="AB92" s="42" t="s">
        <v>45</v>
      </c>
      <c r="AC92" s="42" t="s">
        <v>45</v>
      </c>
      <c r="AD92" s="42" t="s">
        <v>45</v>
      </c>
      <c r="AE92" s="42" t="s">
        <v>45</v>
      </c>
      <c r="AF92" s="42" t="s">
        <v>45</v>
      </c>
      <c r="AG92" s="43" t="s">
        <v>45</v>
      </c>
      <c r="AH92" s="42">
        <v>4</v>
      </c>
      <c r="AI92" s="42">
        <v>4</v>
      </c>
      <c r="AJ92" s="43">
        <v>3</v>
      </c>
      <c r="AK92" s="45" t="s">
        <v>608</v>
      </c>
      <c r="AL92" s="45" t="s">
        <v>705</v>
      </c>
      <c r="AM92" s="46">
        <f>($L$3*(L92-$Q$1)/$Q$2+$M$3*(M92-$R$1)/$R$2+$N$3*(N92-$S$1)/$S$2+$O$3*(O92-$T$1)/$T$2+$P$3*(P92-$U$1)/$U$2)/(SUM($L$3:$P$3))</f>
        <v>-0.66728129219178611</v>
      </c>
      <c r="AN92" s="46">
        <f>($L$3*(Q92-$Q$1)/$Q$2+$M$3*(R92-$R$1)/$R$2+$N$3*(S92-$S$1)/$S$2+$O$3*(T92-$T$1)/$T$2+$P$3*(U92-$U$1)/$U$2)/(SUM($L$3:$P$3))</f>
        <v>2.1833015040595644E-3</v>
      </c>
      <c r="AO92" s="47">
        <f>IF(AVERAGE(AH92:AI92)&gt;9,1,0)+IF(AVERAGE(AH92:AI92)&gt;7,1,0)+IF(AH92&gt;7,1,0)+IF(AI92&gt;7,1,0)+IF(AJ92&gt;8,1,0)+IF(AJ92&gt;6,1,0)</f>
        <v>0</v>
      </c>
      <c r="AP92" s="48">
        <f>MIN(2,IF(OR(Z92="-",X92&lt;5),0,1+IF(Y92&gt;7,0.35,IF(Y92&gt;5,0.1,0))+IF(Z92&gt;7,1+IF(X92&gt;7,0.25,0),IF(Z92&gt;4,0.5+IF(X92&gt;7,0.25,0),0+IF(X92&gt;7,0.25))))+IF(AA92="-",0,IF(AA92&gt;9,0.5,IF(AA92&gt;7,0.25,0)))+IF(AB92="-",0,IF(AB92&gt;7,1.1,IF(AB92&gt;4,0.6,0)))+IF(OR(AC92="-",V92&lt;5),0,IF(AC92&gt;7,1+IF(V92&gt;7,0.25,0),IF(AC92&gt;4,0.5+IF(V92&gt;7,0.25,0),0)))+IF(AD92="-",0,IF(AD92&gt;7,1.5,IF(AD92&gt;4,1,0)))+IF(AE92="-",0,IF(AE92&gt;9,0.5,IF(AE92&gt;7,0.25,0)))+IF(AF92="-",0,IF(AF92&gt;7,1.25,IF(AF92&gt;4,0.75,0)))+IF(OR(AG92="-",W92&lt;4),0,IF(AG92&gt;7,1+IF(W92&gt;7,0.15,0),IF(AG92&gt;4,0.5+IF(W92&gt;7,0.15,0),0))))</f>
        <v>1.1000000000000001</v>
      </c>
      <c r="AQ92" s="46">
        <f>($AM$3*AM92+$AN$3*AN92+$AO$3*AO92+$AP$3*AP92)+$I$3*VLOOKUP(I92,COND!$A$2:$E$7,4,FALSE)+$J$3*VLOOKUP(J92,COND!$A$2:$C$7,2,FALSE)+$K$3*VLOOKUP(K92,COND!$A$2:$C$7,3,FALSE)+IF(AND($B$2&gt;0,$E92&lt;20),$B$2*25,0)</f>
        <v>46.059471488829537</v>
      </c>
      <c r="AR92" s="49">
        <f>STANDARDIZE(AQ92,AVERAGE($AQ$5:$AQ$537),STDEVP($AQ$5:$AQ$537))</f>
        <v>1.0048519272622349</v>
      </c>
      <c r="AS92" s="47" t="str">
        <f>IF(AND(Z92&lt;&gt;"-",Y92&gt;1),"C",IF(AB92=MAX(AB92:AD92),"2B",IF(AD92=MAX(AB92:AD92),"SS",IF(OR(AC92=MAX(AA92:AD92),AND(AC92&lt;&gt;"-",AC92&gt;4,V92&gt;5)),"3B",IF(AF92=MAX(AE92:AG92),"CF",IF(AND(AG92=MAX(AE92,AG92),AND(W92&gt;5,AG92&lt;&gt;"-")),"RF",IF(AE92&lt;&gt;"-","LF",IF(AA92&lt;&gt;"-","1B","DH"))))))))</f>
        <v>C</v>
      </c>
      <c r="AT92" s="47"/>
      <c r="AU92" s="47"/>
      <c r="AV92" s="47"/>
      <c r="AW92" s="47" t="str">
        <f>IF(AND($Q92&gt;=6,AVERAGE($S92:$T92)&gt;=6),"Likely",IF(OR($Q92&gt;6,AND($Q92=6,AVERAGE($S92:$T92)&gt;=3),AND($Q92&gt;=5,AVERAGE($S92:$T92)&gt;=5),AVERAGE($Q92,$S92:$T92)&gt;5),"Possible","Unlikely"))</f>
        <v>Unlikely</v>
      </c>
      <c r="AX92" s="47"/>
      <c r="AY92" s="47" t="str">
        <f>INDEX(Table5[[#All],[Ovr]],MATCH(Batters[[#This Row],[PID]],Table5[[#All],[PID]],0))</f>
        <v/>
      </c>
      <c r="AZ92" s="47" t="str">
        <f>INDEX(Table5[[#All],[Rnd]],MATCH(Batters[[#This Row],[PID]],Table5[[#All],[PID]],0))</f>
        <v/>
      </c>
      <c r="BA92" s="47" t="str">
        <f>INDEX(Table5[[#All],[Pick]],MATCH(Batters[[#This Row],[PID]],Table5[[#All],[PID]],0))</f>
        <v/>
      </c>
      <c r="BB92" s="47" t="str">
        <f>INDEX(Table5[[#All],[Team]],MATCH(Batters[[#This Row],[PID]],Table5[[#All],[PID]],0))</f>
        <v/>
      </c>
    </row>
    <row r="93" spans="1:54" ht="15" customHeight="1" x14ac:dyDescent="0.25">
      <c r="A93" s="42">
        <v>9644</v>
      </c>
      <c r="B93" s="42" t="s">
        <v>69</v>
      </c>
      <c r="C93" s="42" t="s">
        <v>129</v>
      </c>
      <c r="D93" s="42" t="s">
        <v>744</v>
      </c>
      <c r="E93" s="42">
        <v>21</v>
      </c>
      <c r="F93" s="42" t="s">
        <v>42</v>
      </c>
      <c r="G93" s="42" t="s">
        <v>42</v>
      </c>
      <c r="H93" s="43" t="s">
        <v>711</v>
      </c>
      <c r="I93" s="44" t="s">
        <v>43</v>
      </c>
      <c r="J93" s="42" t="s">
        <v>47</v>
      </c>
      <c r="K93" s="43" t="s">
        <v>43</v>
      </c>
      <c r="L93" s="42">
        <v>1</v>
      </c>
      <c r="M93" s="42">
        <v>1</v>
      </c>
      <c r="N93" s="42">
        <v>2</v>
      </c>
      <c r="O93" s="42">
        <v>2</v>
      </c>
      <c r="P93" s="43">
        <v>1</v>
      </c>
      <c r="Q93" s="42">
        <v>2</v>
      </c>
      <c r="R93" s="42">
        <v>2</v>
      </c>
      <c r="S93" s="42">
        <v>3</v>
      </c>
      <c r="T93" s="42">
        <v>4</v>
      </c>
      <c r="U93" s="43">
        <v>2</v>
      </c>
      <c r="V93" s="42">
        <v>10</v>
      </c>
      <c r="W93" s="42">
        <v>10</v>
      </c>
      <c r="X93" s="42">
        <v>1</v>
      </c>
      <c r="Y93" s="43">
        <v>1</v>
      </c>
      <c r="Z93" s="42" t="s">
        <v>45</v>
      </c>
      <c r="AA93" s="42" t="s">
        <v>45</v>
      </c>
      <c r="AB93" s="42">
        <v>1</v>
      </c>
      <c r="AC93" s="42">
        <v>6</v>
      </c>
      <c r="AD93" s="42" t="s">
        <v>45</v>
      </c>
      <c r="AE93" s="42" t="s">
        <v>45</v>
      </c>
      <c r="AF93" s="42" t="s">
        <v>45</v>
      </c>
      <c r="AG93" s="43" t="s">
        <v>45</v>
      </c>
      <c r="AH93" s="42">
        <v>2</v>
      </c>
      <c r="AI93" s="42">
        <v>3</v>
      </c>
      <c r="AJ93" s="43">
        <v>1</v>
      </c>
      <c r="AK93" s="45" t="s">
        <v>45</v>
      </c>
      <c r="AL93" s="45" t="s">
        <v>705</v>
      </c>
      <c r="AM93" s="46"/>
      <c r="AN93" s="46"/>
      <c r="AO93" s="47"/>
      <c r="AP93" s="48"/>
      <c r="AQ93" s="46">
        <f>($AM$3*AM93+$AN$3*AN93+$AO$3*AO93+$AP$3*AP93)+$I$3*VLOOKUP(I93,COND!$A$2:$E$7,4,FALSE)+$J$3*VLOOKUP(J93,COND!$A$2:$C$7,2,FALSE)+$K$3*VLOOKUP(K93,COND!$A$2:$C$7,3,FALSE)+IF(AND($B$2&gt;0,$E93&lt;20),$B$2*25,0)</f>
        <v>45.3</v>
      </c>
      <c r="AR93" s="49">
        <f>STANDARDIZE(AQ93,AVERAGE($AQ$5:$AQ$537),STDEVP($AQ$5:$AQ$537))</f>
        <v>0.87122796648059875</v>
      </c>
      <c r="AS93" s="47"/>
      <c r="AT93" s="47"/>
      <c r="AU93" s="47"/>
      <c r="AV93" s="47"/>
      <c r="AW93" s="47" t="str">
        <f>IF(AND($Q93&gt;=6,AVERAGE($S93:$T93)&gt;=6),"Likely",IF(OR($Q93&gt;6,AND($Q93=6,AVERAGE($S93:$T93)&gt;=3),AND($Q93&gt;=5,AVERAGE($S93:$T93)&gt;=5),AVERAGE($Q93,$S93:$T93)&gt;5),"Possible","Unlikely"))</f>
        <v>Unlikely</v>
      </c>
      <c r="AX93" s="47"/>
      <c r="AY93" s="47" t="str">
        <f>INDEX(Table5[[#All],[Ovr]],MATCH(Batters[[#This Row],[PID]],Table5[[#All],[PID]],0))</f>
        <v/>
      </c>
      <c r="AZ93" s="47" t="str">
        <f>INDEX(Table5[[#All],[Rnd]],MATCH(Batters[[#This Row],[PID]],Table5[[#All],[PID]],0))</f>
        <v/>
      </c>
      <c r="BA93" s="47" t="str">
        <f>INDEX(Table5[[#All],[Pick]],MATCH(Batters[[#This Row],[PID]],Table5[[#All],[PID]],0))</f>
        <v/>
      </c>
      <c r="BB93" s="47" t="str">
        <f>INDEX(Table5[[#All],[Team]],MATCH(Batters[[#This Row],[PID]],Table5[[#All],[PID]],0))</f>
        <v/>
      </c>
    </row>
    <row r="94" spans="1:54" ht="15" customHeight="1" x14ac:dyDescent="0.25">
      <c r="A94" s="42">
        <v>13724</v>
      </c>
      <c r="B94" s="42" t="s">
        <v>69</v>
      </c>
      <c r="C94" s="42" t="s">
        <v>1417</v>
      </c>
      <c r="D94" s="42" t="s">
        <v>1418</v>
      </c>
      <c r="E94" s="42">
        <v>21</v>
      </c>
      <c r="F94" s="42" t="s">
        <v>42</v>
      </c>
      <c r="G94" s="42" t="s">
        <v>42</v>
      </c>
      <c r="H94" s="43" t="s">
        <v>709</v>
      </c>
      <c r="I94" s="44" t="s">
        <v>43</v>
      </c>
      <c r="J94" s="42" t="s">
        <v>43</v>
      </c>
      <c r="K94" s="43" t="s">
        <v>47</v>
      </c>
      <c r="L94" s="42">
        <v>1</v>
      </c>
      <c r="M94" s="42">
        <v>2</v>
      </c>
      <c r="N94" s="42">
        <v>3</v>
      </c>
      <c r="O94" s="42">
        <v>2</v>
      </c>
      <c r="P94" s="43">
        <v>1</v>
      </c>
      <c r="Q94" s="42">
        <v>2</v>
      </c>
      <c r="R94" s="42">
        <v>3</v>
      </c>
      <c r="S94" s="42">
        <v>4</v>
      </c>
      <c r="T94" s="42">
        <v>5</v>
      </c>
      <c r="U94" s="43">
        <v>2</v>
      </c>
      <c r="V94" s="42">
        <v>10</v>
      </c>
      <c r="W94" s="42">
        <v>8</v>
      </c>
      <c r="X94" s="42">
        <v>1</v>
      </c>
      <c r="Y94" s="43">
        <v>1</v>
      </c>
      <c r="Z94" s="42" t="s">
        <v>45</v>
      </c>
      <c r="AA94" s="42">
        <v>2</v>
      </c>
      <c r="AB94" s="42" t="s">
        <v>45</v>
      </c>
      <c r="AC94" s="42">
        <v>2</v>
      </c>
      <c r="AD94" s="42" t="s">
        <v>45</v>
      </c>
      <c r="AE94" s="42" t="s">
        <v>45</v>
      </c>
      <c r="AF94" s="42" t="s">
        <v>45</v>
      </c>
      <c r="AG94" s="43">
        <v>1</v>
      </c>
      <c r="AH94" s="42">
        <v>4</v>
      </c>
      <c r="AI94" s="42">
        <v>1</v>
      </c>
      <c r="AJ94" s="43">
        <v>3</v>
      </c>
      <c r="AK94" s="45" t="s">
        <v>45</v>
      </c>
      <c r="AL94" s="45" t="s">
        <v>47</v>
      </c>
      <c r="AM94" s="46"/>
      <c r="AN94" s="46"/>
      <c r="AO94" s="47"/>
      <c r="AP94" s="48"/>
      <c r="AQ94" s="46">
        <f>($AM$3*AM94+$AN$3*AN94+$AO$3*AO94+$AP$3*AP94)+$I$3*VLOOKUP(I94,COND!$A$2:$E$7,4,FALSE)+$J$3*VLOOKUP(J94,COND!$A$2:$C$7,2,FALSE)+$K$3*VLOOKUP(K94,COND!$A$2:$C$7,3,FALSE)+IF(AND($B$2&gt;0,$E94&lt;20),$B$2*25,0)</f>
        <v>45.3</v>
      </c>
      <c r="AR94" s="49">
        <f>STANDARDIZE(AQ94,AVERAGE($AQ$5:$AQ$537),STDEVP($AQ$5:$AQ$537))</f>
        <v>0.87122796648059875</v>
      </c>
      <c r="AS94" s="47"/>
      <c r="AT94" s="47"/>
      <c r="AU94" s="47"/>
      <c r="AV94" s="47"/>
      <c r="AW94" s="47" t="str">
        <f>IF(AND($Q94&gt;=6,AVERAGE($S94:$T94)&gt;=6),"Likely",IF(OR($Q94&gt;6,AND($Q94=6,AVERAGE($S94:$T94)&gt;=3),AND($Q94&gt;=5,AVERAGE($S94:$T94)&gt;=5),AVERAGE($Q94,$S94:$T94)&gt;5),"Possible","Unlikely"))</f>
        <v>Unlikely</v>
      </c>
      <c r="AX94" s="47"/>
      <c r="AY94" s="47" t="str">
        <f>INDEX(Table5[[#All],[Ovr]],MATCH(Batters[[#This Row],[PID]],Table5[[#All],[PID]],0))</f>
        <v/>
      </c>
      <c r="AZ94" s="47" t="str">
        <f>INDEX(Table5[[#All],[Rnd]],MATCH(Batters[[#This Row],[PID]],Table5[[#All],[PID]],0))</f>
        <v/>
      </c>
      <c r="BA94" s="47" t="str">
        <f>INDEX(Table5[[#All],[Pick]],MATCH(Batters[[#This Row],[PID]],Table5[[#All],[PID]],0))</f>
        <v/>
      </c>
      <c r="BB94" s="47" t="str">
        <f>INDEX(Table5[[#All],[Team]],MATCH(Batters[[#This Row],[PID]],Table5[[#All],[PID]],0))</f>
        <v/>
      </c>
    </row>
    <row r="95" spans="1:54" ht="15" customHeight="1" x14ac:dyDescent="0.25">
      <c r="A95" s="42">
        <v>4860</v>
      </c>
      <c r="B95" s="42" t="s">
        <v>69</v>
      </c>
      <c r="C95" s="42" t="s">
        <v>815</v>
      </c>
      <c r="D95" s="42" t="s">
        <v>1018</v>
      </c>
      <c r="E95" s="42">
        <v>21</v>
      </c>
      <c r="F95" s="42" t="s">
        <v>42</v>
      </c>
      <c r="G95" s="42" t="s">
        <v>42</v>
      </c>
      <c r="H95" s="43" t="s">
        <v>709</v>
      </c>
      <c r="I95" s="44" t="s">
        <v>43</v>
      </c>
      <c r="J95" s="42" t="s">
        <v>47</v>
      </c>
      <c r="K95" s="43" t="s">
        <v>43</v>
      </c>
      <c r="L95" s="42">
        <v>1</v>
      </c>
      <c r="M95" s="42">
        <v>2</v>
      </c>
      <c r="N95" s="42">
        <v>3</v>
      </c>
      <c r="O95" s="42">
        <v>2</v>
      </c>
      <c r="P95" s="43">
        <v>1</v>
      </c>
      <c r="Q95" s="42">
        <v>2</v>
      </c>
      <c r="R95" s="42">
        <v>4</v>
      </c>
      <c r="S95" s="42">
        <v>5</v>
      </c>
      <c r="T95" s="42">
        <v>5</v>
      </c>
      <c r="U95" s="43">
        <v>2</v>
      </c>
      <c r="V95" s="42">
        <v>9</v>
      </c>
      <c r="W95" s="42">
        <v>9</v>
      </c>
      <c r="X95" s="42">
        <v>2</v>
      </c>
      <c r="Y95" s="43">
        <v>1</v>
      </c>
      <c r="Z95" s="42" t="s">
        <v>45</v>
      </c>
      <c r="AA95" s="42" t="s">
        <v>45</v>
      </c>
      <c r="AB95" s="42" t="s">
        <v>45</v>
      </c>
      <c r="AC95" s="42">
        <v>7</v>
      </c>
      <c r="AD95" s="42" t="s">
        <v>45</v>
      </c>
      <c r="AE95" s="42" t="s">
        <v>45</v>
      </c>
      <c r="AF95" s="42" t="s">
        <v>45</v>
      </c>
      <c r="AG95" s="43" t="s">
        <v>45</v>
      </c>
      <c r="AH95" s="42">
        <v>4</v>
      </c>
      <c r="AI95" s="42">
        <v>5</v>
      </c>
      <c r="AJ95" s="43">
        <v>1</v>
      </c>
      <c r="AK95" s="45" t="s">
        <v>45</v>
      </c>
      <c r="AL95" s="45" t="s">
        <v>47</v>
      </c>
      <c r="AM95" s="46"/>
      <c r="AN95" s="46"/>
      <c r="AO95" s="47"/>
      <c r="AP95" s="48"/>
      <c r="AQ95" s="46">
        <f>($AM$3*AM95+$AN$3*AN95+$AO$3*AO95+$AP$3*AP95)+$I$3*VLOOKUP(I95,COND!$A$2:$E$7,4,FALSE)+$J$3*VLOOKUP(J95,COND!$A$2:$C$7,2,FALSE)+$K$3*VLOOKUP(K95,COND!$A$2:$C$7,3,FALSE)+IF(AND($B$2&gt;0,$E95&lt;20),$B$2*25,0)</f>
        <v>45.3</v>
      </c>
      <c r="AR95" s="49">
        <f>STANDARDIZE(AQ95,AVERAGE($AQ$5:$AQ$537),STDEVP($AQ$5:$AQ$537))</f>
        <v>0.87122796648059875</v>
      </c>
      <c r="AS95" s="47"/>
      <c r="AT95" s="47"/>
      <c r="AU95" s="47"/>
      <c r="AV95" s="47"/>
      <c r="AW95" s="47" t="str">
        <f>IF(AND($Q95&gt;=6,AVERAGE($S95:$T95)&gt;=6),"Likely",IF(OR($Q95&gt;6,AND($Q95=6,AVERAGE($S95:$T95)&gt;=3),AND($Q95&gt;=5,AVERAGE($S95:$T95)&gt;=5),AVERAGE($Q95,$S95:$T95)&gt;5),"Possible","Unlikely"))</f>
        <v>Unlikely</v>
      </c>
      <c r="AX95" s="47"/>
      <c r="AY95" s="47" t="str">
        <f>INDEX(Table5[[#All],[Ovr]],MATCH(Batters[[#This Row],[PID]],Table5[[#All],[PID]],0))</f>
        <v/>
      </c>
      <c r="AZ95" s="47" t="str">
        <f>INDEX(Table5[[#All],[Rnd]],MATCH(Batters[[#This Row],[PID]],Table5[[#All],[PID]],0))</f>
        <v/>
      </c>
      <c r="BA95" s="47" t="str">
        <f>INDEX(Table5[[#All],[Pick]],MATCH(Batters[[#This Row],[PID]],Table5[[#All],[PID]],0))</f>
        <v/>
      </c>
      <c r="BB95" s="47" t="str">
        <f>INDEX(Table5[[#All],[Team]],MATCH(Batters[[#This Row],[PID]],Table5[[#All],[PID]],0))</f>
        <v/>
      </c>
    </row>
    <row r="96" spans="1:54" ht="15" customHeight="1" x14ac:dyDescent="0.25">
      <c r="A96" s="42">
        <v>10191</v>
      </c>
      <c r="B96" s="42" t="s">
        <v>66</v>
      </c>
      <c r="C96" s="42" t="s">
        <v>1102</v>
      </c>
      <c r="D96" s="42" t="s">
        <v>828</v>
      </c>
      <c r="E96" s="42">
        <v>21</v>
      </c>
      <c r="F96" s="42" t="s">
        <v>53</v>
      </c>
      <c r="G96" s="42" t="s">
        <v>53</v>
      </c>
      <c r="H96" s="43" t="s">
        <v>703</v>
      </c>
      <c r="I96" s="44" t="s">
        <v>43</v>
      </c>
      <c r="J96" s="42" t="s">
        <v>47</v>
      </c>
      <c r="K96" s="43" t="s">
        <v>43</v>
      </c>
      <c r="L96" s="42">
        <v>3</v>
      </c>
      <c r="M96" s="42">
        <v>4</v>
      </c>
      <c r="N96" s="42">
        <v>3</v>
      </c>
      <c r="O96" s="42">
        <v>3</v>
      </c>
      <c r="P96" s="43">
        <v>2</v>
      </c>
      <c r="Q96" s="42">
        <v>4</v>
      </c>
      <c r="R96" s="42">
        <v>6</v>
      </c>
      <c r="S96" s="42">
        <v>5</v>
      </c>
      <c r="T96" s="42">
        <v>5</v>
      </c>
      <c r="U96" s="43">
        <v>4</v>
      </c>
      <c r="V96" s="42">
        <v>7</v>
      </c>
      <c r="W96" s="42">
        <v>10</v>
      </c>
      <c r="X96" s="42">
        <v>1</v>
      </c>
      <c r="Y96" s="43">
        <v>1</v>
      </c>
      <c r="Z96" s="42" t="s">
        <v>45</v>
      </c>
      <c r="AA96" s="42" t="s">
        <v>45</v>
      </c>
      <c r="AB96" s="42" t="s">
        <v>45</v>
      </c>
      <c r="AC96" s="42" t="s">
        <v>45</v>
      </c>
      <c r="AD96" s="42" t="s">
        <v>45</v>
      </c>
      <c r="AE96" s="42" t="s">
        <v>45</v>
      </c>
      <c r="AF96" s="42" t="s">
        <v>45</v>
      </c>
      <c r="AG96" s="43">
        <v>7</v>
      </c>
      <c r="AH96" s="42">
        <v>5</v>
      </c>
      <c r="AI96" s="42">
        <v>1</v>
      </c>
      <c r="AJ96" s="43">
        <v>1</v>
      </c>
      <c r="AK96" s="45" t="s">
        <v>593</v>
      </c>
      <c r="AL96" s="45" t="s">
        <v>47</v>
      </c>
      <c r="AM96" s="46">
        <f>($L$3*(L96-$Q$1)/$Q$2+$M$3*(M96-$R$1)/$R$2+$N$3*(N96-$S$1)/$S$2+$O$3*(O96-$T$1)/$T$2+$P$3*(P96-$U$1)/$U$2)/(SUM($L$3:$P$3))</f>
        <v>-0.90049361068206368</v>
      </c>
      <c r="AN96" s="46">
        <f>($L$3*(Q96-$Q$1)/$Q$2+$M$3*(R96-$R$1)/$R$2+$N$3*(S96-$S$1)/$S$2+$O$3*(T96-$T$1)/$T$2+$P$3*(U96-$U$1)/$U$2)/(SUM($L$3:$P$3))</f>
        <v>-5.0243247540849842E-2</v>
      </c>
      <c r="AO96" s="47">
        <f>IF(AVERAGE(AH96:AI96)&gt;9,1,0)+IF(AVERAGE(AH96:AI96)&gt;7,1,0)+IF(AH96&gt;7,1,0)+IF(AI96&gt;7,1,0)+IF(AJ96&gt;8,1,0)+IF(AJ96&gt;6,1,0)</f>
        <v>0</v>
      </c>
      <c r="AP96" s="48">
        <f>MIN(2,IF(OR(Z96="-",X96&lt;5),0,1+IF(Y96&gt;7,0.35,IF(Y96&gt;5,0.1,0))+IF(Z96&gt;7,1+IF(X96&gt;7,0.25,0),IF(Z96&gt;4,0.5+IF(X96&gt;7,0.25,0),0+IF(X96&gt;7,0.25))))+IF(AA96="-",0,IF(AA96&gt;9,0.5,IF(AA96&gt;7,0.25,0)))+IF(AB96="-",0,IF(AB96&gt;7,1.1,IF(AB96&gt;4,0.6,0)))+IF(OR(AC96="-",V96&lt;5),0,IF(AC96&gt;7,1+IF(V96&gt;7,0.25,0),IF(AC96&gt;4,0.5+IF(V96&gt;7,0.25,0),0)))+IF(AD96="-",0,IF(AD96&gt;7,1.5,IF(AD96&gt;4,1,0)))+IF(AE96="-",0,IF(AE96&gt;9,0.5,IF(AE96&gt;7,0.25,0)))+IF(AF96="-",0,IF(AF96&gt;7,1.25,IF(AF96&gt;4,0.75,0)))+IF(OR(AG96="-",W96&lt;4),0,IF(AG96&gt;7,1+IF(W96&gt;7,0.15,0),IF(AG96&gt;4,0.5+IF(W96&gt;7,0.15,0),0))))</f>
        <v>0.65</v>
      </c>
      <c r="AQ96" s="46">
        <f>($AM$3*AM96+$AN$3*AN96+$AO$3*AO96+$AP$3*AP96)+$I$3*VLOOKUP(I96,COND!$A$2:$E$7,4,FALSE)+$J$3*VLOOKUP(J96,COND!$A$2:$C$7,2,FALSE)+$K$3*VLOOKUP(K96,COND!$A$2:$C$7,3,FALSE)+IF(AND($B$2&gt;0,$E96&lt;20),$B$2*25,0)</f>
        <v>45.257031668441599</v>
      </c>
      <c r="AR96" s="49">
        <f>STANDARDIZE(AQ96,AVERAGE($AQ$5:$AQ$537),STDEVP($AQ$5:$AQ$537))</f>
        <v>0.86366797412346574</v>
      </c>
      <c r="AS96" s="47" t="str">
        <f>IF(AND(Z96&lt;&gt;"-",Y96&gt;1),"C",IF(AB96=MAX(AB96:AD96),"2B",IF(AD96=MAX(AB96:AD96),"SS",IF(OR(AC96=MAX(AA96:AD96),AND(AC96&lt;&gt;"-",AC96&gt;4,V96&gt;5)),"3B",IF(AF96=MAX(AE96:AG96),"CF",IF(AND(AG96=MAX(AE96,AG96),AND(W96&gt;5,AG96&lt;&gt;"-")),"RF",IF(AE96&lt;&gt;"-","LF",IF(AA96&lt;&gt;"-","1B","DH"))))))))</f>
        <v>RF</v>
      </c>
      <c r="AT96" s="47"/>
      <c r="AU96" s="47"/>
      <c r="AV96" s="47"/>
      <c r="AW96" s="47" t="str">
        <f>IF(AND($Q96&gt;=6,AVERAGE($S96:$T96)&gt;=6),"Likely",IF(OR($Q96&gt;6,AND($Q96=6,AVERAGE($S96:$T96)&gt;=3),AND($Q96&gt;=5,AVERAGE($S96:$T96)&gt;=5),AVERAGE($Q96,$S96:$T96)&gt;5),"Possible","Unlikely"))</f>
        <v>Unlikely</v>
      </c>
      <c r="AX96" s="47"/>
      <c r="AY96" s="47" t="str">
        <f>INDEX(Table5[[#All],[Ovr]],MATCH(Batters[[#This Row],[PID]],Table5[[#All],[PID]],0))</f>
        <v/>
      </c>
      <c r="AZ96" s="47" t="str">
        <f>INDEX(Table5[[#All],[Rnd]],MATCH(Batters[[#This Row],[PID]],Table5[[#All],[PID]],0))</f>
        <v/>
      </c>
      <c r="BA96" s="47" t="str">
        <f>INDEX(Table5[[#All],[Pick]],MATCH(Batters[[#This Row],[PID]],Table5[[#All],[PID]],0))</f>
        <v/>
      </c>
      <c r="BB96" s="47" t="str">
        <f>INDEX(Table5[[#All],[Team]],MATCH(Batters[[#This Row],[PID]],Table5[[#All],[PID]],0))</f>
        <v/>
      </c>
    </row>
    <row r="97" spans="1:54" ht="15" customHeight="1" x14ac:dyDescent="0.25">
      <c r="A97" s="42">
        <v>15307</v>
      </c>
      <c r="B97" s="42" t="s">
        <v>74</v>
      </c>
      <c r="C97" s="42" t="s">
        <v>1121</v>
      </c>
      <c r="D97" s="42" t="s">
        <v>1122</v>
      </c>
      <c r="E97" s="42">
        <v>18</v>
      </c>
      <c r="F97" s="42" t="s">
        <v>42</v>
      </c>
      <c r="G97" s="42" t="s">
        <v>53</v>
      </c>
      <c r="H97" s="43" t="s">
        <v>709</v>
      </c>
      <c r="I97" s="44" t="s">
        <v>43</v>
      </c>
      <c r="J97" s="42" t="s">
        <v>47</v>
      </c>
      <c r="K97" s="43" t="s">
        <v>43</v>
      </c>
      <c r="L97" s="42">
        <v>1</v>
      </c>
      <c r="M97" s="42">
        <v>2</v>
      </c>
      <c r="N97" s="42">
        <v>2</v>
      </c>
      <c r="O97" s="42">
        <v>2</v>
      </c>
      <c r="P97" s="43">
        <v>2</v>
      </c>
      <c r="Q97" s="42">
        <v>4</v>
      </c>
      <c r="R97" s="42">
        <v>4</v>
      </c>
      <c r="S97" s="42">
        <v>2</v>
      </c>
      <c r="T97" s="42">
        <v>4</v>
      </c>
      <c r="U97" s="43">
        <v>6</v>
      </c>
      <c r="V97" s="42">
        <v>3</v>
      </c>
      <c r="W97" s="42">
        <v>6</v>
      </c>
      <c r="X97" s="42">
        <v>1</v>
      </c>
      <c r="Y97" s="43">
        <v>1</v>
      </c>
      <c r="Z97" s="42" t="s">
        <v>45</v>
      </c>
      <c r="AA97" s="42" t="s">
        <v>45</v>
      </c>
      <c r="AB97" s="42" t="s">
        <v>45</v>
      </c>
      <c r="AC97" s="42" t="s">
        <v>45</v>
      </c>
      <c r="AD97" s="42" t="s">
        <v>45</v>
      </c>
      <c r="AE97" s="42" t="s">
        <v>45</v>
      </c>
      <c r="AF97" s="42">
        <v>3</v>
      </c>
      <c r="AG97" s="43" t="s">
        <v>45</v>
      </c>
      <c r="AH97" s="42">
        <v>7</v>
      </c>
      <c r="AI97" s="42">
        <v>6</v>
      </c>
      <c r="AJ97" s="43">
        <v>6</v>
      </c>
      <c r="AK97" s="45" t="s">
        <v>427</v>
      </c>
      <c r="AL97" s="45" t="s">
        <v>705</v>
      </c>
      <c r="AM97" s="46">
        <f>($L$3*(L97-$Q$1)/$Q$2+$M$3*(M97-$R$1)/$R$2+$N$3*(N97-$S$1)/$S$2+$O$3*(O97-$T$1)/$T$2+$P$3*(P97-$U$1)/$U$2)/(SUM($L$3:$P$3))</f>
        <v>-1.8204960863583022</v>
      </c>
      <c r="AN97" s="46">
        <f>($L$3*(Q97-$Q$1)/$Q$2+$M$3*(R97-$R$1)/$R$2+$N$3*(S97-$S$1)/$S$2+$O$3*(T97-$T$1)/$T$2+$P$3*(U97-$U$1)/$U$2)/(SUM($L$3:$P$3))</f>
        <v>-0.41122435922537554</v>
      </c>
      <c r="AO97" s="47">
        <f>IF(AVERAGE(AH97:AI97)&gt;9,1,0)+IF(AVERAGE(AH97:AI97)&gt;7,1,0)+IF(AH97&gt;7,1,0)+IF(AI97&gt;7,1,0)+IF(AJ97&gt;8,1,0)+IF(AJ97&gt;6,1,0)</f>
        <v>0</v>
      </c>
      <c r="AP97" s="48">
        <f>MIN(2,IF(OR(Z97="-",X97&lt;5),0,1+IF(Y97&gt;7,0.35,IF(Y97&gt;5,0.1,0))+IF(Z97&gt;7,1+IF(X97&gt;7,0.25,0),IF(Z97&gt;4,0.5+IF(X97&gt;7,0.25,0),0+IF(X97&gt;7,0.25))))+IF(AA97="-",0,IF(AA97&gt;9,0.5,IF(AA97&gt;7,0.25,0)))+IF(AB97="-",0,IF(AB97&gt;7,1.1,IF(AB97&gt;4,0.6,0)))+IF(OR(AC97="-",V97&lt;5),0,IF(AC97&gt;7,1+IF(V97&gt;7,0.25,0),IF(AC97&gt;4,0.5+IF(V97&gt;7,0.25,0),0)))+IF(AD97="-",0,IF(AD97&gt;7,1.5,IF(AD97&gt;4,1,0)))+IF(AE97="-",0,IF(AE97&gt;9,0.5,IF(AE97&gt;7,0.25,0)))+IF(AF97="-",0,IF(AF97&gt;7,1.25,IF(AF97&gt;4,0.75,0)))+IF(OR(AG97="-",W97&lt;4),0,IF(AG97&gt;7,1+IF(W97&gt;7,0.15,0),IF(AG97&gt;4,0.5+IF(W97&gt;7,0.15,0),0))))</f>
        <v>0</v>
      </c>
      <c r="AQ97" s="46">
        <f>($AM$3*AM97+$AN$3*AN97+$AO$3*AO97+$AP$3*AP97)+$I$3*VLOOKUP(I97,COND!$A$2:$E$7,4,FALSE)+$J$3*VLOOKUP(J97,COND!$A$2:$C$7,2,FALSE)+$K$3*VLOOKUP(K97,COND!$A$2:$C$7,3,FALSE)+IF(AND($B$2&gt;0,$E97&lt;20),$B$2*25,0)</f>
        <v>45.183258080659662</v>
      </c>
      <c r="AR97" s="49">
        <f>STANDARDIZE(AQ97,AVERAGE($AQ$5:$AQ$537),STDEVP($AQ$5:$AQ$537))</f>
        <v>0.85068800167487968</v>
      </c>
      <c r="AS97" s="47" t="str">
        <f>IF(AND(Z97&lt;&gt;"-",Y97&gt;1),"C",IF(AB97=MAX(AB97:AD97),"2B",IF(AD97=MAX(AB97:AD97),"SS",IF(OR(AC97=MAX(AA97:AD97),AND(AC97&lt;&gt;"-",AC97&gt;4,V97&gt;5)),"3B",IF(AF97=MAX(AE97:AG97),"CF",IF(AND(AG97=MAX(AE97,AG97),AND(W97&gt;5,AG97&lt;&gt;"-")),"RF",IF(AE97&lt;&gt;"-","LF",IF(AA97&lt;&gt;"-","1B","DH"))))))))</f>
        <v>CF</v>
      </c>
      <c r="AT97" s="47"/>
      <c r="AU97" s="47"/>
      <c r="AV97" s="47"/>
      <c r="AW97" s="47" t="str">
        <f>IF(AND($Q97&gt;=6,AVERAGE($S97:$T97)&gt;=6),"Likely",IF(OR($Q97&gt;6,AND($Q97=6,AVERAGE($S97:$T97)&gt;=3),AND($Q97&gt;=5,AVERAGE($S97:$T97)&gt;=5),AVERAGE($Q97,$S97:$T97)&gt;5),"Possible","Unlikely"))</f>
        <v>Unlikely</v>
      </c>
      <c r="AX97" s="47"/>
      <c r="AY97" s="47" t="str">
        <f>INDEX(Table5[[#All],[Ovr]],MATCH(Batters[[#This Row],[PID]],Table5[[#All],[PID]],0))</f>
        <v/>
      </c>
      <c r="AZ97" s="47" t="str">
        <f>INDEX(Table5[[#All],[Rnd]],MATCH(Batters[[#This Row],[PID]],Table5[[#All],[PID]],0))</f>
        <v/>
      </c>
      <c r="BA97" s="47" t="str">
        <f>INDEX(Table5[[#All],[Pick]],MATCH(Batters[[#This Row],[PID]],Table5[[#All],[PID]],0))</f>
        <v/>
      </c>
      <c r="BB97" s="47" t="str">
        <f>INDEX(Table5[[#All],[Team]],MATCH(Batters[[#This Row],[PID]],Table5[[#All],[PID]],0))</f>
        <v/>
      </c>
    </row>
    <row r="98" spans="1:54" ht="15" customHeight="1" x14ac:dyDescent="0.25">
      <c r="A98" s="42">
        <v>12208</v>
      </c>
      <c r="B98" s="42" t="s">
        <v>87</v>
      </c>
      <c r="C98" s="42" t="s">
        <v>170</v>
      </c>
      <c r="D98" s="42" t="s">
        <v>162</v>
      </c>
      <c r="E98" s="42">
        <v>21</v>
      </c>
      <c r="F98" s="42" t="s">
        <v>42</v>
      </c>
      <c r="G98" s="42" t="s">
        <v>42</v>
      </c>
      <c r="H98" s="43" t="s">
        <v>711</v>
      </c>
      <c r="I98" s="44" t="s">
        <v>44</v>
      </c>
      <c r="J98" s="42" t="s">
        <v>47</v>
      </c>
      <c r="K98" s="43" t="s">
        <v>43</v>
      </c>
      <c r="L98" s="42">
        <v>1</v>
      </c>
      <c r="M98" s="42">
        <v>2</v>
      </c>
      <c r="N98" s="42">
        <v>2</v>
      </c>
      <c r="O98" s="42">
        <v>2</v>
      </c>
      <c r="P98" s="43">
        <v>1</v>
      </c>
      <c r="Q98" s="42">
        <v>2</v>
      </c>
      <c r="R98" s="42">
        <v>3</v>
      </c>
      <c r="S98" s="42">
        <v>4</v>
      </c>
      <c r="T98" s="42">
        <v>4</v>
      </c>
      <c r="U98" s="43">
        <v>2</v>
      </c>
      <c r="V98" s="42">
        <v>9</v>
      </c>
      <c r="W98" s="42">
        <v>7</v>
      </c>
      <c r="X98" s="42">
        <v>1</v>
      </c>
      <c r="Y98" s="43">
        <v>1</v>
      </c>
      <c r="Z98" s="42" t="s">
        <v>45</v>
      </c>
      <c r="AA98" s="42">
        <v>7</v>
      </c>
      <c r="AB98" s="42" t="s">
        <v>45</v>
      </c>
      <c r="AC98" s="42" t="s">
        <v>45</v>
      </c>
      <c r="AD98" s="42" t="s">
        <v>45</v>
      </c>
      <c r="AE98" s="42" t="s">
        <v>45</v>
      </c>
      <c r="AF98" s="42" t="s">
        <v>45</v>
      </c>
      <c r="AG98" s="43" t="s">
        <v>45</v>
      </c>
      <c r="AH98" s="42">
        <v>2</v>
      </c>
      <c r="AI98" s="42">
        <v>1</v>
      </c>
      <c r="AJ98" s="43">
        <v>1</v>
      </c>
      <c r="AK98" s="45" t="s">
        <v>45</v>
      </c>
      <c r="AL98" s="45" t="s">
        <v>705</v>
      </c>
      <c r="AM98" s="46"/>
      <c r="AN98" s="46"/>
      <c r="AO98" s="47"/>
      <c r="AP98" s="48"/>
      <c r="AQ98" s="46">
        <f>($AM$3*AM98+$AN$3*AN98+$AO$3*AO98+$AP$3*AP98)+$I$3*VLOOKUP(I98,COND!$A$2:$E$7,4,FALSE)+$J$3*VLOOKUP(J98,COND!$A$2:$C$7,2,FALSE)+$K$3*VLOOKUP(K98,COND!$A$2:$C$7,3,FALSE)+IF(AND($B$2&gt;0,$E98&lt;20),$B$2*25,0)</f>
        <v>45.15</v>
      </c>
      <c r="AR98" s="49">
        <f>STANDARDIZE(AQ98,AVERAGE($AQ$5:$AQ$537),STDEVP($AQ$5:$AQ$537))</f>
        <v>0.84483646342610563</v>
      </c>
      <c r="AS98" s="47"/>
      <c r="AT98" s="47"/>
      <c r="AU98" s="47"/>
      <c r="AV98" s="47"/>
      <c r="AW98" s="47" t="str">
        <f>IF(AND($Q98&gt;=6,AVERAGE($S98:$T98)&gt;=6),"Likely",IF(OR($Q98&gt;6,AND($Q98=6,AVERAGE($S98:$T98)&gt;=3),AND($Q98&gt;=5,AVERAGE($S98:$T98)&gt;=5),AVERAGE($Q98,$S98:$T98)&gt;5),"Possible","Unlikely"))</f>
        <v>Unlikely</v>
      </c>
      <c r="AX98" s="47"/>
      <c r="AY98" s="47" t="str">
        <f>INDEX(Table5[[#All],[Ovr]],MATCH(Batters[[#This Row],[PID]],Table5[[#All],[PID]],0))</f>
        <v/>
      </c>
      <c r="AZ98" s="47" t="str">
        <f>INDEX(Table5[[#All],[Rnd]],MATCH(Batters[[#This Row],[PID]],Table5[[#All],[PID]],0))</f>
        <v/>
      </c>
      <c r="BA98" s="47" t="str">
        <f>INDEX(Table5[[#All],[Pick]],MATCH(Batters[[#This Row],[PID]],Table5[[#All],[PID]],0))</f>
        <v/>
      </c>
      <c r="BB98" s="47" t="str">
        <f>INDEX(Table5[[#All],[Team]],MATCH(Batters[[#This Row],[PID]],Table5[[#All],[PID]],0))</f>
        <v/>
      </c>
    </row>
    <row r="99" spans="1:54" ht="15" customHeight="1" x14ac:dyDescent="0.25">
      <c r="A99" s="42">
        <v>8172</v>
      </c>
      <c r="B99" s="42" t="s">
        <v>66</v>
      </c>
      <c r="C99" s="42" t="s">
        <v>883</v>
      </c>
      <c r="D99" s="42" t="s">
        <v>1104</v>
      </c>
      <c r="E99" s="42">
        <v>18</v>
      </c>
      <c r="F99" s="42" t="s">
        <v>53</v>
      </c>
      <c r="G99" s="42" t="s">
        <v>53</v>
      </c>
      <c r="H99" s="43" t="s">
        <v>709</v>
      </c>
      <c r="I99" s="44" t="s">
        <v>43</v>
      </c>
      <c r="J99" s="42" t="s">
        <v>44</v>
      </c>
      <c r="K99" s="43" t="s">
        <v>43</v>
      </c>
      <c r="L99" s="42">
        <v>1</v>
      </c>
      <c r="M99" s="42">
        <v>1</v>
      </c>
      <c r="N99" s="42">
        <v>3</v>
      </c>
      <c r="O99" s="42">
        <v>2</v>
      </c>
      <c r="P99" s="43">
        <v>1</v>
      </c>
      <c r="Q99" s="42">
        <v>4</v>
      </c>
      <c r="R99" s="42">
        <v>3</v>
      </c>
      <c r="S99" s="42">
        <v>6</v>
      </c>
      <c r="T99" s="42">
        <v>4</v>
      </c>
      <c r="U99" s="43">
        <v>3</v>
      </c>
      <c r="V99" s="42">
        <v>6</v>
      </c>
      <c r="W99" s="42">
        <v>7</v>
      </c>
      <c r="X99" s="42">
        <v>1</v>
      </c>
      <c r="Y99" s="43">
        <v>1</v>
      </c>
      <c r="Z99" s="42" t="s">
        <v>45</v>
      </c>
      <c r="AA99" s="42" t="s">
        <v>45</v>
      </c>
      <c r="AB99" s="42" t="s">
        <v>45</v>
      </c>
      <c r="AC99" s="42" t="s">
        <v>45</v>
      </c>
      <c r="AD99" s="42" t="s">
        <v>45</v>
      </c>
      <c r="AE99" s="42" t="s">
        <v>45</v>
      </c>
      <c r="AF99" s="42" t="s">
        <v>45</v>
      </c>
      <c r="AG99" s="43">
        <v>2</v>
      </c>
      <c r="AH99" s="42">
        <v>3</v>
      </c>
      <c r="AI99" s="42">
        <v>3</v>
      </c>
      <c r="AJ99" s="43">
        <v>3</v>
      </c>
      <c r="AK99" s="45" t="s">
        <v>599</v>
      </c>
      <c r="AL99" s="45" t="s">
        <v>47</v>
      </c>
      <c r="AM99" s="46">
        <f>($L$3*(L99-$Q$1)/$Q$2+$M$3*(M99-$R$1)/$R$2+$N$3*(N99-$S$1)/$S$2+$O$3*(O99-$T$1)/$T$2+$P$3*(P99-$U$1)/$U$2)/(SUM($L$3:$P$3))</f>
        <v>-1.828510811770188</v>
      </c>
      <c r="AN99" s="46">
        <f>($L$3*(Q99-$Q$1)/$Q$2+$M$3*(R99-$R$1)/$R$2+$N$3*(S99-$S$1)/$S$2+$O$3*(T99-$T$1)/$T$2+$P$3*(U99-$U$1)/$U$2)/(SUM($L$3:$P$3))</f>
        <v>-0.25008728219972332</v>
      </c>
      <c r="AO99" s="47">
        <f>IF(AVERAGE(AH99:AI99)&gt;9,1,0)+IF(AVERAGE(AH99:AI99)&gt;7,1,0)+IF(AH99&gt;7,1,0)+IF(AI99&gt;7,1,0)+IF(AJ99&gt;8,1,0)+IF(AJ99&gt;6,1,0)</f>
        <v>0</v>
      </c>
      <c r="AP99" s="48">
        <f>MIN(2,IF(OR(Z99="-",X99&lt;5),0,1+IF(Y99&gt;7,0.35,IF(Y99&gt;5,0.1,0))+IF(Z99&gt;7,1+IF(X99&gt;7,0.25,0),IF(Z99&gt;4,0.5+IF(X99&gt;7,0.25,0),0+IF(X99&gt;7,0.25))))+IF(AA99="-",0,IF(AA99&gt;9,0.5,IF(AA99&gt;7,0.25,0)))+IF(AB99="-",0,IF(AB99&gt;7,1.1,IF(AB99&gt;4,0.6,0)))+IF(OR(AC99="-",V99&lt;5),0,IF(AC99&gt;7,1+IF(V99&gt;7,0.25,0),IF(AC99&gt;4,0.5+IF(V99&gt;7,0.25,0),0)))+IF(AD99="-",0,IF(AD99&gt;7,1.5,IF(AD99&gt;4,1,0)))+IF(AE99="-",0,IF(AE99&gt;9,0.5,IF(AE99&gt;7,0.25,0)))+IF(AF99="-",0,IF(AF99&gt;7,1.25,IF(AF99&gt;4,0.75,0)))+IF(OR(AG99="-",W99&lt;4),0,IF(AG99&gt;7,1+IF(W99&gt;7,0.15,0),IF(AG99&gt;4,0.5+IF(W99&gt;7,0.15,0),0))))</f>
        <v>0</v>
      </c>
      <c r="AQ99" s="46">
        <f>($AM$3*AM99+$AN$3*AN99+$AO$3*AO99+$AP$3*AP99)+$I$3*VLOOKUP(I99,COND!$A$2:$E$7,4,FALSE)+$J$3*VLOOKUP(J99,COND!$A$2:$C$7,2,FALSE)+$K$3*VLOOKUP(K99,COND!$A$2:$C$7,3,FALSE)+IF(AND($B$2&gt;0,$E99&lt;20),$B$2*25,0)</f>
        <v>46.516101532426305</v>
      </c>
      <c r="AR99" s="49">
        <f>STANDARDIZE(AQ99,AVERAGE($AQ$5:$AQ$537),STDEVP($AQ$5:$AQ$537))</f>
        <v>1.0851929485312852</v>
      </c>
      <c r="AS99" s="47" t="str">
        <f>IF(AND(Z99&lt;&gt;"-",Y99&gt;1),"C",IF(AB99=MAX(AB99:AD99),"2B",IF(AD99=MAX(AB99:AD99),"SS",IF(OR(AC99=MAX(AA99:AD99),AND(AC99&lt;&gt;"-",AC99&gt;4,V99&gt;5)),"3B",IF(AF99=MAX(AE99:AG99),"CF",IF(AND(AG99=MAX(AE99,AG99),AND(W99&gt;5,AG99&lt;&gt;"-")),"RF",IF(AE99&lt;&gt;"-","LF",IF(AA99&lt;&gt;"-","1B","DH"))))))))</f>
        <v>RF</v>
      </c>
      <c r="AT99" s="47"/>
      <c r="AU99" s="47"/>
      <c r="AV99" s="47"/>
      <c r="AW99" s="47" t="str">
        <f>IF(AND($Q99&gt;=6,AVERAGE($S99:$T99)&gt;=6),"Likely",IF(OR($Q99&gt;6,AND($Q99=6,AVERAGE($S99:$T99)&gt;=3),AND($Q99&gt;=5,AVERAGE($S99:$T99)&gt;=5),AVERAGE($Q99,$S99:$T99)&gt;5),"Possible","Unlikely"))</f>
        <v>Unlikely</v>
      </c>
      <c r="AX99" s="47"/>
      <c r="AY99" s="47" t="str">
        <f>INDEX(Table5[[#All],[Ovr]],MATCH(Batters[[#This Row],[PID]],Table5[[#All],[PID]],0))</f>
        <v/>
      </c>
      <c r="AZ99" s="47" t="str">
        <f>INDEX(Table5[[#All],[Rnd]],MATCH(Batters[[#This Row],[PID]],Table5[[#All],[PID]],0))</f>
        <v/>
      </c>
      <c r="BA99" s="47" t="str">
        <f>INDEX(Table5[[#All],[Pick]],MATCH(Batters[[#This Row],[PID]],Table5[[#All],[PID]],0))</f>
        <v/>
      </c>
      <c r="BB99" s="47" t="str">
        <f>INDEX(Table5[[#All],[Team]],MATCH(Batters[[#This Row],[PID]],Table5[[#All],[PID]],0))</f>
        <v/>
      </c>
    </row>
    <row r="100" spans="1:54" ht="15" customHeight="1" x14ac:dyDescent="0.25">
      <c r="A100" s="42">
        <v>8093</v>
      </c>
      <c r="B100" s="42" t="s">
        <v>74</v>
      </c>
      <c r="C100" s="42" t="s">
        <v>1073</v>
      </c>
      <c r="D100" s="42" t="s">
        <v>669</v>
      </c>
      <c r="E100" s="42">
        <v>18</v>
      </c>
      <c r="F100" s="42" t="s">
        <v>53</v>
      </c>
      <c r="G100" s="42" t="s">
        <v>53</v>
      </c>
      <c r="H100" s="43" t="s">
        <v>709</v>
      </c>
      <c r="I100" s="44" t="s">
        <v>43</v>
      </c>
      <c r="J100" s="42" t="s">
        <v>43</v>
      </c>
      <c r="K100" s="43" t="s">
        <v>47</v>
      </c>
      <c r="L100" s="42">
        <v>1</v>
      </c>
      <c r="M100" s="42">
        <v>1</v>
      </c>
      <c r="N100" s="42">
        <v>2</v>
      </c>
      <c r="O100" s="42">
        <v>2</v>
      </c>
      <c r="P100" s="43">
        <v>2</v>
      </c>
      <c r="Q100" s="42">
        <v>4</v>
      </c>
      <c r="R100" s="42">
        <v>3</v>
      </c>
      <c r="S100" s="42">
        <v>3</v>
      </c>
      <c r="T100" s="42">
        <v>4</v>
      </c>
      <c r="U100" s="43">
        <v>5</v>
      </c>
      <c r="V100" s="42">
        <v>3</v>
      </c>
      <c r="W100" s="42">
        <v>6</v>
      </c>
      <c r="X100" s="42">
        <v>1</v>
      </c>
      <c r="Y100" s="43">
        <v>1</v>
      </c>
      <c r="Z100" s="42" t="s">
        <v>45</v>
      </c>
      <c r="AA100" s="42" t="s">
        <v>45</v>
      </c>
      <c r="AB100" s="42" t="s">
        <v>45</v>
      </c>
      <c r="AC100" s="42" t="s">
        <v>45</v>
      </c>
      <c r="AD100" s="42" t="s">
        <v>45</v>
      </c>
      <c r="AE100" s="42">
        <v>2</v>
      </c>
      <c r="AF100" s="42" t="s">
        <v>45</v>
      </c>
      <c r="AG100" s="43">
        <v>2</v>
      </c>
      <c r="AH100" s="42">
        <v>2</v>
      </c>
      <c r="AI100" s="42">
        <v>6</v>
      </c>
      <c r="AJ100" s="43">
        <v>6</v>
      </c>
      <c r="AK100" s="45" t="s">
        <v>718</v>
      </c>
      <c r="AL100" s="45" t="s">
        <v>705</v>
      </c>
      <c r="AM100" s="46">
        <f>($L$3*(L100-$Q$1)/$Q$2+$M$3*(M100-$R$1)/$R$2+$N$3*(N100-$S$1)/$S$2+$O$3*(O100-$T$1)/$T$2+$P$3*(P100-$U$1)/$U$2)/(SUM($L$3:$P$3))</f>
        <v>-1.871555965977006</v>
      </c>
      <c r="AN100" s="46">
        <f>($L$3*(Q100-$Q$1)/$Q$2+$M$3*(R100-$R$1)/$R$2+$N$3*(S100-$S$1)/$S$2+$O$3*(T100-$T$1)/$T$2+$P$3*(U100-$U$1)/$U$2)/(SUM($L$3:$P$3))</f>
        <v>-0.41923908463726089</v>
      </c>
      <c r="AO100" s="47">
        <f>IF(AVERAGE(AH100:AI100)&gt;9,1,0)+IF(AVERAGE(AH100:AI100)&gt;7,1,0)+IF(AH100&gt;7,1,0)+IF(AI100&gt;7,1,0)+IF(AJ100&gt;8,1,0)+IF(AJ100&gt;6,1,0)</f>
        <v>0</v>
      </c>
      <c r="AP100" s="48">
        <f>MIN(2,IF(OR(Z100="-",X100&lt;5),0,1+IF(Y100&gt;7,0.35,IF(Y100&gt;5,0.1,0))+IF(Z100&gt;7,1+IF(X100&gt;7,0.25,0),IF(Z100&gt;4,0.5+IF(X100&gt;7,0.25,0),0+IF(X100&gt;7,0.25))))+IF(AA100="-",0,IF(AA100&gt;9,0.5,IF(AA100&gt;7,0.25,0)))+IF(AB100="-",0,IF(AB100&gt;7,1.1,IF(AB100&gt;4,0.6,0)))+IF(OR(AC100="-",V100&lt;5),0,IF(AC100&gt;7,1+IF(V100&gt;7,0.25,0),IF(AC100&gt;4,0.5+IF(V100&gt;7,0.25,0),0)))+IF(AD100="-",0,IF(AD100&gt;7,1.5,IF(AD100&gt;4,1,0)))+IF(AE100="-",0,IF(AE100&gt;9,0.5,IF(AE100&gt;7,0.25,0)))+IF(AF100="-",0,IF(AF100&gt;7,1.25,IF(AF100&gt;4,0.75,0)))+IF(OR(AG100="-",W100&lt;4),0,IF(AG100&gt;7,1+IF(W100&gt;7,0.15,0),IF(AG100&gt;4,0.5+IF(W100&gt;7,0.15,0),0))))</f>
        <v>0</v>
      </c>
      <c r="AQ100" s="46">
        <f>($AM$3*AM100+$AN$3*AN100+$AO$3*AO100+$AP$3*AP100)+$I$3*VLOOKUP(I100,COND!$A$2:$E$7,4,FALSE)+$J$3*VLOOKUP(J100,COND!$A$2:$C$7,2,FALSE)+$K$3*VLOOKUP(K100,COND!$A$2:$C$7,3,FALSE)+IF(AND($B$2&gt;0,$E100&lt;20),$B$2*25,0)</f>
        <v>45.081975387755165</v>
      </c>
      <c r="AR100" s="49">
        <f>STANDARDIZE(AQ100,AVERAGE($AQ$5:$AQ$537),STDEVP($AQ$5:$AQ$537))</f>
        <v>0.8328679850138373</v>
      </c>
      <c r="AS100" s="47" t="str">
        <f>IF(AND(Z100&lt;&gt;"-",Y100&gt;1),"C",IF(AB100=MAX(AB100:AD100),"2B",IF(AD100=MAX(AB100:AD100),"SS",IF(OR(AC100=MAX(AA100:AD100),AND(AC100&lt;&gt;"-",AC100&gt;4,V100&gt;5)),"3B",IF(AF100=MAX(AE100:AG100),"CF",IF(AND(AG100=MAX(AE100,AG100),AND(W100&gt;5,AG100&lt;&gt;"-")),"RF",IF(AE100&lt;&gt;"-","LF",IF(AA100&lt;&gt;"-","1B","DH"))))))))</f>
        <v>RF</v>
      </c>
      <c r="AT100" s="47"/>
      <c r="AU100" s="47"/>
      <c r="AV100" s="47"/>
      <c r="AW100" s="47" t="str">
        <f>IF(AND($Q100&gt;=6,AVERAGE($S100:$T100)&gt;=6),"Likely",IF(OR($Q100&gt;6,AND($Q100=6,AVERAGE($S100:$T100)&gt;=3),AND($Q100&gt;=5,AVERAGE($S100:$T100)&gt;=5),AVERAGE($Q100,$S100:$T100)&gt;5),"Possible","Unlikely"))</f>
        <v>Unlikely</v>
      </c>
      <c r="AX100" s="47"/>
      <c r="AY100" s="47" t="str">
        <f>INDEX(Table5[[#All],[Ovr]],MATCH(Batters[[#This Row],[PID]],Table5[[#All],[PID]],0))</f>
        <v/>
      </c>
      <c r="AZ100" s="47" t="str">
        <f>INDEX(Table5[[#All],[Rnd]],MATCH(Batters[[#This Row],[PID]],Table5[[#All],[PID]],0))</f>
        <v/>
      </c>
      <c r="BA100" s="47" t="str">
        <f>INDEX(Table5[[#All],[Pick]],MATCH(Batters[[#This Row],[PID]],Table5[[#All],[PID]],0))</f>
        <v/>
      </c>
      <c r="BB100" s="47" t="str">
        <f>INDEX(Table5[[#All],[Team]],MATCH(Batters[[#This Row],[PID]],Table5[[#All],[PID]],0))</f>
        <v/>
      </c>
    </row>
    <row r="101" spans="1:54" ht="15" customHeight="1" x14ac:dyDescent="0.25">
      <c r="A101" s="42">
        <v>10507</v>
      </c>
      <c r="B101" s="42" t="s">
        <v>74</v>
      </c>
      <c r="C101" s="42" t="s">
        <v>815</v>
      </c>
      <c r="D101" s="42" t="s">
        <v>1093</v>
      </c>
      <c r="E101" s="42">
        <v>21</v>
      </c>
      <c r="F101" s="42" t="s">
        <v>53</v>
      </c>
      <c r="G101" s="42" t="s">
        <v>42</v>
      </c>
      <c r="H101" s="43" t="s">
        <v>702</v>
      </c>
      <c r="I101" s="44" t="s">
        <v>43</v>
      </c>
      <c r="J101" s="42" t="s">
        <v>43</v>
      </c>
      <c r="K101" s="43" t="s">
        <v>43</v>
      </c>
      <c r="L101" s="42">
        <v>2</v>
      </c>
      <c r="M101" s="42">
        <v>5</v>
      </c>
      <c r="N101" s="42">
        <v>3</v>
      </c>
      <c r="O101" s="42">
        <v>3</v>
      </c>
      <c r="P101" s="43">
        <v>1</v>
      </c>
      <c r="Q101" s="42">
        <v>4</v>
      </c>
      <c r="R101" s="42">
        <v>6</v>
      </c>
      <c r="S101" s="42">
        <v>5</v>
      </c>
      <c r="T101" s="42">
        <v>5</v>
      </c>
      <c r="U101" s="43">
        <v>3</v>
      </c>
      <c r="V101" s="42">
        <v>3</v>
      </c>
      <c r="W101" s="42">
        <v>6</v>
      </c>
      <c r="X101" s="42">
        <v>1</v>
      </c>
      <c r="Y101" s="43">
        <v>1</v>
      </c>
      <c r="Z101" s="42" t="s">
        <v>45</v>
      </c>
      <c r="AA101" s="42" t="s">
        <v>45</v>
      </c>
      <c r="AB101" s="42" t="s">
        <v>45</v>
      </c>
      <c r="AC101" s="42" t="s">
        <v>45</v>
      </c>
      <c r="AD101" s="42" t="s">
        <v>45</v>
      </c>
      <c r="AE101" s="42" t="s">
        <v>45</v>
      </c>
      <c r="AF101" s="42">
        <v>8</v>
      </c>
      <c r="AG101" s="43" t="s">
        <v>45</v>
      </c>
      <c r="AH101" s="42">
        <v>10</v>
      </c>
      <c r="AI101" s="42">
        <v>7</v>
      </c>
      <c r="AJ101" s="43">
        <v>9</v>
      </c>
      <c r="AK101" s="45" t="s">
        <v>608</v>
      </c>
      <c r="AL101" s="45" t="s">
        <v>705</v>
      </c>
      <c r="AM101" s="46">
        <f>($L$3*(L101-$Q$1)/$Q$2+$M$3*(M101-$R$1)/$R$2+$N$3*(N101-$S$1)/$S$2+$O$3*(O101-$T$1)/$T$2+$P$3*(P101-$U$1)/$U$2)/(SUM($L$3:$P$3))</f>
        <v>-1.2120059070831184</v>
      </c>
      <c r="AN101" s="46">
        <f>($L$3*(Q101-$Q$1)/$Q$2+$M$3*(R101-$R$1)/$R$2+$N$3*(S101-$S$1)/$S$2+$O$3*(T101-$T$1)/$T$2+$P$3*(U101-$U$1)/$U$2)/(SUM($L$3:$P$3))</f>
        <v>-9.0259587357933296E-2</v>
      </c>
      <c r="AO101" s="47">
        <f>IF(AVERAGE(AH101:AI101)&gt;9,1,0)+IF(AVERAGE(AH101:AI101)&gt;7,1,0)+IF(AH101&gt;7,1,0)+IF(AI101&gt;7,1,0)+IF(AJ101&gt;8,1,0)+IF(AJ101&gt;6,1,0)</f>
        <v>4</v>
      </c>
      <c r="AP101" s="48">
        <f>MIN(2,IF(OR(Z101="-",X101&lt;5),0,1+IF(Y101&gt;7,0.35,IF(Y101&gt;5,0.1,0))+IF(Z101&gt;7,1+IF(X101&gt;7,0.25,0),IF(Z101&gt;4,0.5+IF(X101&gt;7,0.25,0),0+IF(X101&gt;7,0.25))))+IF(AA101="-",0,IF(AA101&gt;9,0.5,IF(AA101&gt;7,0.25,0)))+IF(AB101="-",0,IF(AB101&gt;7,1.1,IF(AB101&gt;4,0.6,0)))+IF(OR(AC101="-",V101&lt;5),0,IF(AC101&gt;7,1+IF(V101&gt;7,0.25,0),IF(AC101&gt;4,0.5+IF(V101&gt;7,0.25,0),0)))+IF(AD101="-",0,IF(AD101&gt;7,1.5,IF(AD101&gt;4,1,0)))+IF(AE101="-",0,IF(AE101&gt;9,0.5,IF(AE101&gt;7,0.25,0)))+IF(AF101="-",0,IF(AF101&gt;7,1.25,IF(AF101&gt;4,0.75,0)))+IF(OR(AG101="-",W101&lt;4),0,IF(AG101&gt;7,1+IF(W101&gt;7,0.15,0),IF(AG101&gt;4,0.5+IF(W101&gt;7,0.15,0),0))))</f>
        <v>1.25</v>
      </c>
      <c r="AQ101" s="46">
        <f>($AM$3*AM101+$AN$3*AN101+$AO$3*AO101+$AP$3*AP101)+$I$3*VLOOKUP(I101,COND!$A$2:$E$7,4,FALSE)+$J$3*VLOOKUP(J101,COND!$A$2:$C$7,2,FALSE)+$K$3*VLOOKUP(K101,COND!$A$2:$C$7,3,FALSE)+IF(AND($B$2&gt;0,$E101&lt;20),$B$2*25,0)</f>
        <v>45.712351027663154</v>
      </c>
      <c r="AR101" s="49">
        <f>STANDARDIZE(AQ101,AVERAGE($AQ$5:$AQ$537),STDEVP($AQ$5:$AQ$537))</f>
        <v>0.94377838918790324</v>
      </c>
      <c r="AS101" s="47" t="str">
        <f>IF(AND(Z101&lt;&gt;"-",Y101&gt;1),"C",IF(AB101=MAX(AB101:AD101),"2B",IF(AD101=MAX(AB101:AD101),"SS",IF(OR(AC101=MAX(AA101:AD101),AND(AC101&lt;&gt;"-",AC101&gt;4,V101&gt;5)),"3B",IF(AF101=MAX(AE101:AG101),"CF",IF(AND(AG101=MAX(AE101,AG101),AND(W101&gt;5,AG101&lt;&gt;"-")),"RF",IF(AE101&lt;&gt;"-","LF",IF(AA101&lt;&gt;"-","1B","DH"))))))))</f>
        <v>CF</v>
      </c>
      <c r="AT101" s="47"/>
      <c r="AU101" s="47"/>
      <c r="AV101" s="47"/>
      <c r="AW101" s="47" t="str">
        <f>IF(AND($Q101&gt;=6,AVERAGE($S101:$T101)&gt;=6),"Likely",IF(OR($Q101&gt;6,AND($Q101=6,AVERAGE($S101:$T101)&gt;=3),AND($Q101&gt;=5,AVERAGE($S101:$T101)&gt;=5),AVERAGE($Q101,$S101:$T101)&gt;5),"Possible","Unlikely"))</f>
        <v>Unlikely</v>
      </c>
      <c r="AX101" s="47"/>
      <c r="AY101" s="47" t="str">
        <f>INDEX(Table5[[#All],[Ovr]],MATCH(Batters[[#This Row],[PID]],Table5[[#All],[PID]],0))</f>
        <v/>
      </c>
      <c r="AZ101" s="47" t="str">
        <f>INDEX(Table5[[#All],[Rnd]],MATCH(Batters[[#This Row],[PID]],Table5[[#All],[PID]],0))</f>
        <v/>
      </c>
      <c r="BA101" s="47" t="str">
        <f>INDEX(Table5[[#All],[Pick]],MATCH(Batters[[#This Row],[PID]],Table5[[#All],[PID]],0))</f>
        <v/>
      </c>
      <c r="BB101" s="47" t="str">
        <f>INDEX(Table5[[#All],[Team]],MATCH(Batters[[#This Row],[PID]],Table5[[#All],[PID]],0))</f>
        <v/>
      </c>
    </row>
    <row r="102" spans="1:54" ht="15" customHeight="1" x14ac:dyDescent="0.25">
      <c r="A102" s="42">
        <v>6012</v>
      </c>
      <c r="B102" s="42" t="s">
        <v>69</v>
      </c>
      <c r="C102" s="42" t="s">
        <v>440</v>
      </c>
      <c r="D102" s="42" t="s">
        <v>182</v>
      </c>
      <c r="E102" s="42">
        <v>21</v>
      </c>
      <c r="F102" s="42" t="s">
        <v>42</v>
      </c>
      <c r="G102" s="42" t="s">
        <v>42</v>
      </c>
      <c r="H102" s="43" t="s">
        <v>703</v>
      </c>
      <c r="I102" s="44" t="s">
        <v>43</v>
      </c>
      <c r="J102" s="42" t="s">
        <v>47</v>
      </c>
      <c r="K102" s="43" t="s">
        <v>43</v>
      </c>
      <c r="L102" s="42">
        <v>2</v>
      </c>
      <c r="M102" s="42">
        <v>4</v>
      </c>
      <c r="N102" s="42">
        <v>3</v>
      </c>
      <c r="O102" s="42">
        <v>2</v>
      </c>
      <c r="P102" s="43">
        <v>2</v>
      </c>
      <c r="Q102" s="42">
        <v>4</v>
      </c>
      <c r="R102" s="42">
        <v>6</v>
      </c>
      <c r="S102" s="42">
        <v>5</v>
      </c>
      <c r="T102" s="42">
        <v>5</v>
      </c>
      <c r="U102" s="43">
        <v>3</v>
      </c>
      <c r="V102" s="42">
        <v>10</v>
      </c>
      <c r="W102" s="42">
        <v>8</v>
      </c>
      <c r="X102" s="42">
        <v>1</v>
      </c>
      <c r="Y102" s="43">
        <v>1</v>
      </c>
      <c r="Z102" s="42" t="s">
        <v>45</v>
      </c>
      <c r="AA102" s="42" t="s">
        <v>45</v>
      </c>
      <c r="AB102" s="42" t="s">
        <v>45</v>
      </c>
      <c r="AC102" s="42">
        <v>6</v>
      </c>
      <c r="AD102" s="42" t="s">
        <v>45</v>
      </c>
      <c r="AE102" s="42" t="s">
        <v>45</v>
      </c>
      <c r="AF102" s="42" t="s">
        <v>45</v>
      </c>
      <c r="AG102" s="43" t="s">
        <v>45</v>
      </c>
      <c r="AH102" s="42">
        <v>1</v>
      </c>
      <c r="AI102" s="42">
        <v>7</v>
      </c>
      <c r="AJ102" s="43">
        <v>8</v>
      </c>
      <c r="AK102" s="45" t="s">
        <v>1124</v>
      </c>
      <c r="AL102" s="45" t="s">
        <v>47</v>
      </c>
      <c r="AM102" s="46">
        <f>($L$3*(L102-$Q$1)/$Q$2+$M$3*(M102-$R$1)/$R$2+$N$3*(N102-$S$1)/$S$2+$O$3*(O102-$T$1)/$T$2+$P$3*(P102-$U$1)/$U$2)/(SUM($L$3:$P$3))</f>
        <v>-1.3127589968943192</v>
      </c>
      <c r="AN102" s="46">
        <f>($L$3*(Q102-$Q$1)/$Q$2+$M$3*(R102-$R$1)/$R$2+$N$3*(S102-$S$1)/$S$2+$O$3*(T102-$T$1)/$T$2+$P$3*(U102-$U$1)/$U$2)/(SUM($L$3:$P$3))</f>
        <v>-9.0259587357933296E-2</v>
      </c>
      <c r="AO102" s="47">
        <f>IF(AVERAGE(AH102:AI102)&gt;9,1,0)+IF(AVERAGE(AH102:AI102)&gt;7,1,0)+IF(AH102&gt;7,1,0)+IF(AI102&gt;7,1,0)+IF(AJ102&gt;8,1,0)+IF(AJ102&gt;6,1,0)</f>
        <v>1</v>
      </c>
      <c r="AP102" s="48">
        <f>MIN(2,IF(OR(Z102="-",X102&lt;5),0,1+IF(Y102&gt;7,0.35,IF(Y102&gt;5,0.1,0))+IF(Z102&gt;7,1+IF(X102&gt;7,0.25,0),IF(Z102&gt;4,0.5+IF(X102&gt;7,0.25,0),0+IF(X102&gt;7,0.25))))+IF(AA102="-",0,IF(AA102&gt;9,0.5,IF(AA102&gt;7,0.25,0)))+IF(AB102="-",0,IF(AB102&gt;7,1.1,IF(AB102&gt;4,0.6,0)))+IF(OR(AC102="-",V102&lt;5),0,IF(AC102&gt;7,1+IF(V102&gt;7,0.25,0),IF(AC102&gt;4,0.5+IF(V102&gt;7,0.25,0),0)))+IF(AD102="-",0,IF(AD102&gt;7,1.5,IF(AD102&gt;4,1,0)))+IF(AE102="-",0,IF(AE102&gt;9,0.5,IF(AE102&gt;7,0.25,0)))+IF(AF102="-",0,IF(AF102&gt;7,1.25,IF(AF102&gt;4,0.75,0)))+IF(OR(AG102="-",W102&lt;4),0,IF(AG102&gt;7,1+IF(W102&gt;7,0.15,0),IF(AG102&gt;4,0.5+IF(W102&gt;7,0.15,0),0))))</f>
        <v>0.75</v>
      </c>
      <c r="AQ102" s="46">
        <f>($AM$3*AM102+$AN$3*AN102+$AO$3*AO102+$AP$3*AP102)+$I$3*VLOOKUP(I102,COND!$A$2:$E$7,4,FALSE)+$J$3*VLOOKUP(J102,COND!$A$2:$C$7,2,FALSE)+$K$3*VLOOKUP(K102,COND!$A$2:$C$7,3,FALSE)+IF(AND($B$2&gt;0,$E102&lt;20),$B$2*25,0)</f>
        <v>45.002275718682036</v>
      </c>
      <c r="AR102" s="49">
        <f>STANDARDIZE(AQ102,AVERAGE($AQ$5:$AQ$537),STDEVP($AQ$5:$AQ$537))</f>
        <v>0.81884535794860003</v>
      </c>
      <c r="AS102" s="47" t="str">
        <f>IF(AND(Z102&lt;&gt;"-",Y102&gt;1),"C",IF(AB102=MAX(AB102:AD102),"2B",IF(AD102=MAX(AB102:AD102),"SS",IF(OR(AC102=MAX(AA102:AD102),AND(AC102&lt;&gt;"-",AC102&gt;4,V102&gt;5)),"3B",IF(AF102=MAX(AE102:AG102),"CF",IF(AND(AG102=MAX(AE102,AG102),AND(W102&gt;5,AG102&lt;&gt;"-")),"RF",IF(AE102&lt;&gt;"-","LF",IF(AA102&lt;&gt;"-","1B","DH"))))))))</f>
        <v>3B</v>
      </c>
      <c r="AT102" s="47"/>
      <c r="AU102" s="47"/>
      <c r="AV102" s="47"/>
      <c r="AW102" s="47" t="str">
        <f>IF(AND($Q102&gt;=6,AVERAGE($S102:$T102)&gt;=6),"Likely",IF(OR($Q102&gt;6,AND($Q102=6,AVERAGE($S102:$T102)&gt;=3),AND($Q102&gt;=5,AVERAGE($S102:$T102)&gt;=5),AVERAGE($Q102,$S102:$T102)&gt;5),"Possible","Unlikely"))</f>
        <v>Unlikely</v>
      </c>
      <c r="AX102" s="47"/>
      <c r="AY102" s="47" t="str">
        <f>INDEX(Table5[[#All],[Ovr]],MATCH(Batters[[#This Row],[PID]],Table5[[#All],[PID]],0))</f>
        <v/>
      </c>
      <c r="AZ102" s="47" t="str">
        <f>INDEX(Table5[[#All],[Rnd]],MATCH(Batters[[#This Row],[PID]],Table5[[#All],[PID]],0))</f>
        <v/>
      </c>
      <c r="BA102" s="47" t="str">
        <f>INDEX(Table5[[#All],[Pick]],MATCH(Batters[[#This Row],[PID]],Table5[[#All],[PID]],0))</f>
        <v/>
      </c>
      <c r="BB102" s="47" t="str">
        <f>INDEX(Table5[[#All],[Team]],MATCH(Batters[[#This Row],[PID]],Table5[[#All],[PID]],0))</f>
        <v/>
      </c>
    </row>
    <row r="103" spans="1:54" ht="15" customHeight="1" x14ac:dyDescent="0.25">
      <c r="A103" s="42">
        <v>7025</v>
      </c>
      <c r="B103" s="42" t="s">
        <v>72</v>
      </c>
      <c r="C103" s="42" t="s">
        <v>1055</v>
      </c>
      <c r="D103" s="42" t="s">
        <v>1056</v>
      </c>
      <c r="E103" s="42">
        <v>21</v>
      </c>
      <c r="F103" s="42" t="s">
        <v>53</v>
      </c>
      <c r="G103" s="42" t="s">
        <v>42</v>
      </c>
      <c r="H103" s="43" t="s">
        <v>702</v>
      </c>
      <c r="I103" s="44" t="s">
        <v>44</v>
      </c>
      <c r="J103" s="42" t="s">
        <v>47</v>
      </c>
      <c r="K103" s="43" t="s">
        <v>43</v>
      </c>
      <c r="L103" s="42">
        <v>3</v>
      </c>
      <c r="M103" s="42">
        <v>3</v>
      </c>
      <c r="N103" s="42">
        <v>3</v>
      </c>
      <c r="O103" s="42">
        <v>4</v>
      </c>
      <c r="P103" s="43">
        <v>2</v>
      </c>
      <c r="Q103" s="42">
        <v>4</v>
      </c>
      <c r="R103" s="42">
        <v>4</v>
      </c>
      <c r="S103" s="42">
        <v>4</v>
      </c>
      <c r="T103" s="42">
        <v>6</v>
      </c>
      <c r="U103" s="43">
        <v>3</v>
      </c>
      <c r="V103" s="42">
        <v>8</v>
      </c>
      <c r="W103" s="42">
        <v>8</v>
      </c>
      <c r="X103" s="42">
        <v>1</v>
      </c>
      <c r="Y103" s="43">
        <v>1</v>
      </c>
      <c r="Z103" s="42" t="s">
        <v>45</v>
      </c>
      <c r="AA103" s="42" t="s">
        <v>45</v>
      </c>
      <c r="AB103" s="42" t="s">
        <v>45</v>
      </c>
      <c r="AC103" s="42" t="s">
        <v>45</v>
      </c>
      <c r="AD103" s="42">
        <v>8</v>
      </c>
      <c r="AE103" s="42" t="s">
        <v>45</v>
      </c>
      <c r="AF103" s="42" t="s">
        <v>45</v>
      </c>
      <c r="AG103" s="43" t="s">
        <v>45</v>
      </c>
      <c r="AH103" s="42">
        <v>9</v>
      </c>
      <c r="AI103" s="42">
        <v>9</v>
      </c>
      <c r="AJ103" s="43">
        <v>8</v>
      </c>
      <c r="AK103" s="45" t="s">
        <v>589</v>
      </c>
      <c r="AL103" s="45" t="s">
        <v>47</v>
      </c>
      <c r="AM103" s="46">
        <f>($L$3*(L103-$Q$1)/$Q$2+$M$3*(M103-$R$1)/$R$2+$N$3*(N103-$S$1)/$S$2+$O$3*(O103-$T$1)/$T$2+$P$3*(P103-$U$1)/$U$2)/(SUM($L$3:$P$3))</f>
        <v>-0.86184394029118594</v>
      </c>
      <c r="AN103" s="46">
        <f>($L$3*(Q103-$Q$1)/$Q$2+$M$3*(R103-$R$1)/$R$2+$N$3*(S103-$S$1)/$S$2+$O$3*(T103-$T$1)/$T$2+$P$3*(U103-$U$1)/$U$2)/(SUM($L$3:$P$3))</f>
        <v>-0.18573129060966079</v>
      </c>
      <c r="AO103" s="47">
        <f>IF(AVERAGE(AH103:AI103)&gt;9,1,0)+IF(AVERAGE(AH103:AI103)&gt;7,1,0)+IF(AH103&gt;7,1,0)+IF(AI103&gt;7,1,0)+IF(AJ103&gt;8,1,0)+IF(AJ103&gt;6,1,0)</f>
        <v>4</v>
      </c>
      <c r="AP103" s="48">
        <f>MIN(2,IF(OR(Z103="-",X103&lt;5),0,1+IF(Y103&gt;7,0.35,IF(Y103&gt;5,0.1,0))+IF(Z103&gt;7,1+IF(X103&gt;7,0.25,0),IF(Z103&gt;4,0.5+IF(X103&gt;7,0.25,0),0+IF(X103&gt;7,0.25))))+IF(AA103="-",0,IF(AA103&gt;9,0.5,IF(AA103&gt;7,0.25,0)))+IF(AB103="-",0,IF(AB103&gt;7,1.1,IF(AB103&gt;4,0.6,0)))+IF(OR(AC103="-",V103&lt;5),0,IF(AC103&gt;7,1+IF(V103&gt;7,0.25,0),IF(AC103&gt;4,0.5+IF(V103&gt;7,0.25,0),0)))+IF(AD103="-",0,IF(AD103&gt;7,1.5,IF(AD103&gt;4,1,0)))+IF(AE103="-",0,IF(AE103&gt;9,0.5,IF(AE103&gt;7,0.25,0)))+IF(AF103="-",0,IF(AF103&gt;7,1.25,IF(AF103&gt;4,0.75,0)))+IF(OR(AG103="-",W103&lt;4),0,IF(AG103&gt;7,1+IF(W103&gt;7,0.15,0),IF(AG103&gt;4,0.5+IF(W103&gt;7,0.15,0),0))))</f>
        <v>1.5</v>
      </c>
      <c r="AQ103" s="46">
        <f>($AM$3*AM103+$AN$3*AN103+$AO$3*AO103+$AP$3*AP103)+$I$3*VLOOKUP(I103,COND!$A$2:$E$7,4,FALSE)+$J$3*VLOOKUP(J103,COND!$A$2:$C$7,2,FALSE)+$K$3*VLOOKUP(K103,COND!$A$2:$C$7,3,FALSE)+IF(AND($B$2&gt;0,$E103&lt;20),$B$2*25,0)</f>
        <v>45.001706785321616</v>
      </c>
      <c r="AR103" s="49">
        <f>STANDARDIZE(AQ103,AVERAGE($AQ$5:$AQ$537),STDEVP($AQ$5:$AQ$537))</f>
        <v>0.81874525790513786</v>
      </c>
      <c r="AS103" s="47" t="str">
        <f>IF(AND(Z103&lt;&gt;"-",Y103&gt;1),"C",IF(AB103=MAX(AB103:AD103),"2B",IF(AD103=MAX(AB103:AD103),"SS",IF(OR(AC103=MAX(AA103:AD103),AND(AC103&lt;&gt;"-",AC103&gt;4,V103&gt;5)),"3B",IF(AF103=MAX(AE103:AG103),"CF",IF(AND(AG103=MAX(AE103,AG103),AND(W103&gt;5,AG103&lt;&gt;"-")),"RF",IF(AE103&lt;&gt;"-","LF",IF(AA103&lt;&gt;"-","1B","DH"))))))))</f>
        <v>SS</v>
      </c>
      <c r="AT103" s="47"/>
      <c r="AU103" s="47"/>
      <c r="AV103" s="47"/>
      <c r="AW103" s="47" t="str">
        <f>IF(AND($Q103&gt;=6,AVERAGE($S103:$T103)&gt;=6),"Likely",IF(OR($Q103&gt;6,AND($Q103=6,AVERAGE($S103:$T103)&gt;=3),AND($Q103&gt;=5,AVERAGE($S103:$T103)&gt;=5),AVERAGE($Q103,$S103:$T103)&gt;5),"Possible","Unlikely"))</f>
        <v>Unlikely</v>
      </c>
      <c r="AX103" s="47"/>
      <c r="AY103" s="47" t="str">
        <f>INDEX(Table5[[#All],[Ovr]],MATCH(Batters[[#This Row],[PID]],Table5[[#All],[PID]],0))</f>
        <v/>
      </c>
      <c r="AZ103" s="47" t="str">
        <f>INDEX(Table5[[#All],[Rnd]],MATCH(Batters[[#This Row],[PID]],Table5[[#All],[PID]],0))</f>
        <v/>
      </c>
      <c r="BA103" s="47" t="str">
        <f>INDEX(Table5[[#All],[Pick]],MATCH(Batters[[#This Row],[PID]],Table5[[#All],[PID]],0))</f>
        <v/>
      </c>
      <c r="BB103" s="47" t="str">
        <f>INDEX(Table5[[#All],[Team]],MATCH(Batters[[#This Row],[PID]],Table5[[#All],[PID]],0))</f>
        <v/>
      </c>
    </row>
    <row r="104" spans="1:54" ht="15" customHeight="1" x14ac:dyDescent="0.25">
      <c r="A104" s="42">
        <v>8308</v>
      </c>
      <c r="B104" s="42" t="s">
        <v>69</v>
      </c>
      <c r="C104" s="42" t="s">
        <v>130</v>
      </c>
      <c r="D104" s="42" t="s">
        <v>1319</v>
      </c>
      <c r="E104" s="42">
        <v>18</v>
      </c>
      <c r="F104" s="42" t="s">
        <v>53</v>
      </c>
      <c r="G104" s="42" t="s">
        <v>42</v>
      </c>
      <c r="H104" s="43" t="s">
        <v>709</v>
      </c>
      <c r="I104" s="44" t="s">
        <v>43</v>
      </c>
      <c r="J104" s="42" t="s">
        <v>47</v>
      </c>
      <c r="K104" s="43" t="s">
        <v>47</v>
      </c>
      <c r="L104" s="42">
        <v>1</v>
      </c>
      <c r="M104" s="42">
        <v>1</v>
      </c>
      <c r="N104" s="42">
        <v>2</v>
      </c>
      <c r="O104" s="42">
        <v>2</v>
      </c>
      <c r="P104" s="43">
        <v>1</v>
      </c>
      <c r="Q104" s="42">
        <v>3</v>
      </c>
      <c r="R104" s="42">
        <v>3</v>
      </c>
      <c r="S104" s="42">
        <v>4</v>
      </c>
      <c r="T104" s="42">
        <v>5</v>
      </c>
      <c r="U104" s="43">
        <v>3</v>
      </c>
      <c r="V104" s="42">
        <v>10</v>
      </c>
      <c r="W104" s="42">
        <v>10</v>
      </c>
      <c r="X104" s="42">
        <v>1</v>
      </c>
      <c r="Y104" s="43">
        <v>1</v>
      </c>
      <c r="Z104" s="42" t="s">
        <v>45</v>
      </c>
      <c r="AA104" s="42" t="s">
        <v>45</v>
      </c>
      <c r="AB104" s="42" t="s">
        <v>45</v>
      </c>
      <c r="AC104" s="42">
        <v>5</v>
      </c>
      <c r="AD104" s="42" t="s">
        <v>45</v>
      </c>
      <c r="AE104" s="42" t="s">
        <v>45</v>
      </c>
      <c r="AF104" s="42" t="s">
        <v>45</v>
      </c>
      <c r="AG104" s="43" t="s">
        <v>45</v>
      </c>
      <c r="AH104" s="42">
        <v>9</v>
      </c>
      <c r="AI104" s="42">
        <v>10</v>
      </c>
      <c r="AJ104" s="43">
        <v>7</v>
      </c>
      <c r="AK104" s="45" t="s">
        <v>599</v>
      </c>
      <c r="AL104" s="45" t="s">
        <v>47</v>
      </c>
      <c r="AM104" s="46">
        <f>($L$3*(L104-$Q$1)/$Q$2+$M$3*(M104-$R$1)/$R$2+$N$3*(N104-$S$1)/$S$2+$O$3*(O104-$T$1)/$T$2+$P$3*(P104-$U$1)/$U$2)/(SUM($L$3:$P$3))</f>
        <v>-1.9115723057940897</v>
      </c>
      <c r="AN104" s="46">
        <f>($L$3*(Q104-$Q$1)/$Q$2+$M$3*(R104-$R$1)/$R$2+$N$3*(S104-$S$1)/$S$2+$O$3*(T104-$T$1)/$T$2+$P$3*(U104-$U$1)/$U$2)/(SUM($L$3:$P$3))</f>
        <v>-0.64905655644061999</v>
      </c>
      <c r="AO104" s="47">
        <f>IF(AVERAGE(AH104:AI104)&gt;9,1,0)+IF(AVERAGE(AH104:AI104)&gt;7,1,0)+IF(AH104&gt;7,1,0)+IF(AI104&gt;7,1,0)+IF(AJ104&gt;8,1,0)+IF(AJ104&gt;6,1,0)</f>
        <v>5</v>
      </c>
      <c r="AP104" s="48">
        <f>MIN(2,IF(OR(Z104="-",X104&lt;5),0,1+IF(Y104&gt;7,0.35,IF(Y104&gt;5,0.1,0))+IF(Z104&gt;7,1+IF(X104&gt;7,0.25,0),IF(Z104&gt;4,0.5+IF(X104&gt;7,0.25,0),0+IF(X104&gt;7,0.25))))+IF(AA104="-",0,IF(AA104&gt;9,0.5,IF(AA104&gt;7,0.25,0)))+IF(AB104="-",0,IF(AB104&gt;7,1.1,IF(AB104&gt;4,0.6,0)))+IF(OR(AC104="-",V104&lt;5),0,IF(AC104&gt;7,1+IF(V104&gt;7,0.25,0),IF(AC104&gt;4,0.5+IF(V104&gt;7,0.25,0),0)))+IF(AD104="-",0,IF(AD104&gt;7,1.5,IF(AD104&gt;4,1,0)))+IF(AE104="-",0,IF(AE104&gt;9,0.5,IF(AE104&gt;7,0.25,0)))+IF(AF104="-",0,IF(AF104&gt;7,1.25,IF(AF104&gt;4,0.75,0)))+IF(OR(AG104="-",W104&lt;4),0,IF(AG104&gt;7,1+IF(W104&gt;7,0.15,0),IF(AG104&gt;4,0.5+IF(W104&gt;7,0.15,0),0))))</f>
        <v>0.75</v>
      </c>
      <c r="AQ104" s="46">
        <f>($AM$3*AM104+$AN$3*AN104+$AO$3*AO104+$AP$3*AP104)+$I$3*VLOOKUP(I104,COND!$A$2:$E$7,4,FALSE)+$J$3*VLOOKUP(J104,COND!$A$2:$C$7,2,FALSE)+$K$3*VLOOKUP(K104,COND!$A$2:$C$7,3,FALSE)+IF(AND($B$2&gt;0,$E104&lt;20),$B$2*25,0)</f>
        <v>44.20349742546648</v>
      </c>
      <c r="AR104" s="49">
        <f>STANDARDIZE(AQ104,AVERAGE($AQ$5:$AQ$537),STDEVP($AQ$5:$AQ$537))</f>
        <v>0.67830562618019108</v>
      </c>
      <c r="AS104" s="47" t="str">
        <f>IF(AND(Z104&lt;&gt;"-",Y104&gt;1),"C",IF(AB104=MAX(AB104:AD104),"2B",IF(AD104=MAX(AB104:AD104),"SS",IF(OR(AC104=MAX(AA104:AD104),AND(AC104&lt;&gt;"-",AC104&gt;4,V104&gt;5)),"3B",IF(AF104=MAX(AE104:AG104),"CF",IF(AND(AG104=MAX(AE104,AG104),AND(W104&gt;5,AG104&lt;&gt;"-")),"RF",IF(AE104&lt;&gt;"-","LF",IF(AA104&lt;&gt;"-","1B","DH"))))))))</f>
        <v>3B</v>
      </c>
      <c r="AT104" s="47"/>
      <c r="AU104" s="47"/>
      <c r="AV104" s="47"/>
      <c r="AW104" s="47" t="str">
        <f>IF(AND($Q104&gt;=6,AVERAGE($S104:$T104)&gt;=6),"Likely",IF(OR($Q104&gt;6,AND($Q104=6,AVERAGE($S104:$T104)&gt;=3),AND($Q104&gt;=5,AVERAGE($S104:$T104)&gt;=5),AVERAGE($Q104,$S104:$T104)&gt;5),"Possible","Unlikely"))</f>
        <v>Unlikely</v>
      </c>
      <c r="AX104" s="47"/>
      <c r="AY104" s="47" t="str">
        <f>INDEX(Table5[[#All],[Ovr]],MATCH(Batters[[#This Row],[PID]],Table5[[#All],[PID]],0))</f>
        <v/>
      </c>
      <c r="AZ104" s="47" t="str">
        <f>INDEX(Table5[[#All],[Rnd]],MATCH(Batters[[#This Row],[PID]],Table5[[#All],[PID]],0))</f>
        <v/>
      </c>
      <c r="BA104" s="47" t="str">
        <f>INDEX(Table5[[#All],[Pick]],MATCH(Batters[[#This Row],[PID]],Table5[[#All],[PID]],0))</f>
        <v/>
      </c>
      <c r="BB104" s="47" t="str">
        <f>INDEX(Table5[[#All],[Team]],MATCH(Batters[[#This Row],[PID]],Table5[[#All],[PID]],0))</f>
        <v/>
      </c>
    </row>
    <row r="105" spans="1:54" ht="15" customHeight="1" x14ac:dyDescent="0.25">
      <c r="A105" s="42">
        <v>7459</v>
      </c>
      <c r="B105" s="42" t="s">
        <v>72</v>
      </c>
      <c r="C105" s="42" t="s">
        <v>337</v>
      </c>
      <c r="D105" s="42" t="s">
        <v>809</v>
      </c>
      <c r="E105" s="42">
        <v>18</v>
      </c>
      <c r="F105" s="42" t="s">
        <v>53</v>
      </c>
      <c r="G105" s="42" t="s">
        <v>42</v>
      </c>
      <c r="H105" s="43" t="s">
        <v>703</v>
      </c>
      <c r="I105" s="44" t="s">
        <v>47</v>
      </c>
      <c r="J105" s="42" t="s">
        <v>43</v>
      </c>
      <c r="K105" s="43" t="s">
        <v>43</v>
      </c>
      <c r="L105" s="42">
        <v>1</v>
      </c>
      <c r="M105" s="42">
        <v>1</v>
      </c>
      <c r="N105" s="42">
        <v>2</v>
      </c>
      <c r="O105" s="42">
        <v>2</v>
      </c>
      <c r="P105" s="43">
        <v>1</v>
      </c>
      <c r="Q105" s="42">
        <v>4</v>
      </c>
      <c r="R105" s="42">
        <v>3</v>
      </c>
      <c r="S105" s="42">
        <v>3</v>
      </c>
      <c r="T105" s="42">
        <v>4</v>
      </c>
      <c r="U105" s="43">
        <v>3</v>
      </c>
      <c r="V105" s="42">
        <v>8</v>
      </c>
      <c r="W105" s="42">
        <v>8</v>
      </c>
      <c r="X105" s="42">
        <v>1</v>
      </c>
      <c r="Y105" s="43">
        <v>1</v>
      </c>
      <c r="Z105" s="42" t="s">
        <v>45</v>
      </c>
      <c r="AA105" s="42" t="s">
        <v>45</v>
      </c>
      <c r="AB105" s="42" t="s">
        <v>45</v>
      </c>
      <c r="AC105" s="42" t="s">
        <v>45</v>
      </c>
      <c r="AD105" s="42">
        <v>5</v>
      </c>
      <c r="AE105" s="42" t="s">
        <v>45</v>
      </c>
      <c r="AF105" s="42" t="s">
        <v>45</v>
      </c>
      <c r="AG105" s="43" t="s">
        <v>45</v>
      </c>
      <c r="AH105" s="42">
        <v>7</v>
      </c>
      <c r="AI105" s="42">
        <v>9</v>
      </c>
      <c r="AJ105" s="43">
        <v>8</v>
      </c>
      <c r="AK105" s="45" t="s">
        <v>660</v>
      </c>
      <c r="AL105" s="45" t="s">
        <v>47</v>
      </c>
      <c r="AM105" s="46">
        <f>($L$3*(L105-$Q$1)/$Q$2+$M$3*(M105-$R$1)/$R$2+$N$3*(N105-$S$1)/$S$2+$O$3*(O105-$T$1)/$T$2+$P$3*(P105-$U$1)/$U$2)/(SUM($L$3:$P$3))</f>
        <v>-1.9115723057940897</v>
      </c>
      <c r="AN105" s="46">
        <f>($L$3*(Q105-$Q$1)/$Q$2+$M$3*(R105-$R$1)/$R$2+$N$3*(S105-$S$1)/$S$2+$O$3*(T105-$T$1)/$T$2+$P$3*(U105-$U$1)/$U$2)/(SUM($L$3:$P$3))</f>
        <v>-0.49927176427142772</v>
      </c>
      <c r="AO105" s="47">
        <f>IF(AVERAGE(AH105:AI105)&gt;9,1,0)+IF(AVERAGE(AH105:AI105)&gt;7,1,0)+IF(AH105&gt;7,1,0)+IF(AI105&gt;7,1,0)+IF(AJ105&gt;8,1,0)+IF(AJ105&gt;6,1,0)</f>
        <v>3</v>
      </c>
      <c r="AP105" s="48">
        <f>MIN(2,IF(OR(Z105="-",X105&lt;5),0,1+IF(Y105&gt;7,0.35,IF(Y105&gt;5,0.1,0))+IF(Z105&gt;7,1+IF(X105&gt;7,0.25,0),IF(Z105&gt;4,0.5+IF(X105&gt;7,0.25,0),0+IF(X105&gt;7,0.25))))+IF(AA105="-",0,IF(AA105&gt;9,0.5,IF(AA105&gt;7,0.25,0)))+IF(AB105="-",0,IF(AB105&gt;7,1.1,IF(AB105&gt;4,0.6,0)))+IF(OR(AC105="-",V105&lt;5),0,IF(AC105&gt;7,1+IF(V105&gt;7,0.25,0),IF(AC105&gt;4,0.5+IF(V105&gt;7,0.25,0),0)))+IF(AD105="-",0,IF(AD105&gt;7,1.5,IF(AD105&gt;4,1,0)))+IF(AE105="-",0,IF(AE105&gt;9,0.5,IF(AE105&gt;7,0.25,0)))+IF(AF105="-",0,IF(AF105&gt;7,1.25,IF(AF105&gt;4,0.75,0)))+IF(OR(AG105="-",W105&lt;4),0,IF(AG105&gt;7,1+IF(W105&gt;7,0.15,0),IF(AG105&gt;4,0.5+IF(W105&gt;7,0.15,0),0))))</f>
        <v>1</v>
      </c>
      <c r="AQ105" s="46">
        <f>($AM$3*AM105+$AN$3*AN105+$AO$3*AO105+$AP$3*AP105)+$I$3*VLOOKUP(I105,COND!$A$2:$E$7,4,FALSE)+$J$3*VLOOKUP(J105,COND!$A$2:$C$7,2,FALSE)+$K$3*VLOOKUP(K105,COND!$A$2:$C$7,3,FALSE)+IF(AND($B$2&gt;0,$E105&lt;20),$B$2*25,0)</f>
        <v>45.542581598163451</v>
      </c>
      <c r="AR105" s="49">
        <f>STANDARDIZE(AQ105,AVERAGE($AQ$5:$AQ$537),STDEVP($AQ$5:$AQ$537))</f>
        <v>0.91390858640656336</v>
      </c>
      <c r="AS105" s="47" t="str">
        <f>IF(AND(Z105&lt;&gt;"-",Y105&gt;1),"C",IF(AB105=MAX(AB105:AD105),"2B",IF(AD105=MAX(AB105:AD105),"SS",IF(OR(AC105=MAX(AA105:AD105),AND(AC105&lt;&gt;"-",AC105&gt;4,V105&gt;5)),"3B",IF(AF105=MAX(AE105:AG105),"CF",IF(AND(AG105=MAX(AE105,AG105),AND(W105&gt;5,AG105&lt;&gt;"-")),"RF",IF(AE105&lt;&gt;"-","LF",IF(AA105&lt;&gt;"-","1B","DH"))))))))</f>
        <v>SS</v>
      </c>
      <c r="AT105" s="47"/>
      <c r="AU105" s="47"/>
      <c r="AV105" s="47"/>
      <c r="AW105" s="47" t="str">
        <f>IF(AND($Q105&gt;=6,AVERAGE($S105:$T105)&gt;=6),"Likely",IF(OR($Q105&gt;6,AND($Q105=6,AVERAGE($S105:$T105)&gt;=3),AND($Q105&gt;=5,AVERAGE($S105:$T105)&gt;=5),AVERAGE($Q105,$S105:$T105)&gt;5),"Possible","Unlikely"))</f>
        <v>Unlikely</v>
      </c>
      <c r="AX105" s="47"/>
      <c r="AY105" s="47" t="str">
        <f>INDEX(Table5[[#All],[Ovr]],MATCH(Batters[[#This Row],[PID]],Table5[[#All],[PID]],0))</f>
        <v/>
      </c>
      <c r="AZ105" s="47" t="str">
        <f>INDEX(Table5[[#All],[Rnd]],MATCH(Batters[[#This Row],[PID]],Table5[[#All],[PID]],0))</f>
        <v/>
      </c>
      <c r="BA105" s="47" t="str">
        <f>INDEX(Table5[[#All],[Pick]],MATCH(Batters[[#This Row],[PID]],Table5[[#All],[PID]],0))</f>
        <v/>
      </c>
      <c r="BB105" s="47" t="str">
        <f>INDEX(Table5[[#All],[Team]],MATCH(Batters[[#This Row],[PID]],Table5[[#All],[PID]],0))</f>
        <v/>
      </c>
    </row>
    <row r="106" spans="1:54" ht="15" customHeight="1" x14ac:dyDescent="0.25">
      <c r="A106" s="42">
        <v>7141</v>
      </c>
      <c r="B106" s="42" t="s">
        <v>72</v>
      </c>
      <c r="C106" s="42" t="s">
        <v>1127</v>
      </c>
      <c r="D106" s="42" t="s">
        <v>919</v>
      </c>
      <c r="E106" s="42">
        <v>21</v>
      </c>
      <c r="F106" s="42" t="s">
        <v>42</v>
      </c>
      <c r="G106" s="42" t="s">
        <v>42</v>
      </c>
      <c r="H106" s="43" t="s">
        <v>702</v>
      </c>
      <c r="I106" s="44" t="s">
        <v>43</v>
      </c>
      <c r="J106" s="42" t="s">
        <v>43</v>
      </c>
      <c r="K106" s="43" t="s">
        <v>44</v>
      </c>
      <c r="L106" s="42">
        <v>3</v>
      </c>
      <c r="M106" s="42">
        <v>5</v>
      </c>
      <c r="N106" s="42">
        <v>3</v>
      </c>
      <c r="O106" s="42">
        <v>4</v>
      </c>
      <c r="P106" s="43">
        <v>3</v>
      </c>
      <c r="Q106" s="42">
        <v>4</v>
      </c>
      <c r="R106" s="42">
        <v>6</v>
      </c>
      <c r="S106" s="42">
        <v>4</v>
      </c>
      <c r="T106" s="42">
        <v>6</v>
      </c>
      <c r="U106" s="43">
        <v>4</v>
      </c>
      <c r="V106" s="42">
        <v>7</v>
      </c>
      <c r="W106" s="42">
        <v>6</v>
      </c>
      <c r="X106" s="42">
        <v>1</v>
      </c>
      <c r="Y106" s="43">
        <v>1</v>
      </c>
      <c r="Z106" s="42" t="s">
        <v>45</v>
      </c>
      <c r="AA106" s="42" t="s">
        <v>45</v>
      </c>
      <c r="AB106" s="42" t="s">
        <v>45</v>
      </c>
      <c r="AC106" s="42" t="s">
        <v>45</v>
      </c>
      <c r="AD106" s="42">
        <v>7</v>
      </c>
      <c r="AE106" s="42" t="s">
        <v>45</v>
      </c>
      <c r="AF106" s="42">
        <v>4</v>
      </c>
      <c r="AG106" s="43" t="s">
        <v>45</v>
      </c>
      <c r="AH106" s="42">
        <v>10</v>
      </c>
      <c r="AI106" s="42">
        <v>9</v>
      </c>
      <c r="AJ106" s="43">
        <v>10</v>
      </c>
      <c r="AK106" s="45" t="s">
        <v>859</v>
      </c>
      <c r="AL106" s="45" t="s">
        <v>47</v>
      </c>
      <c r="AM106" s="46">
        <f>($L$3*(L106-$Q$1)/$Q$2+$M$3*(M106-$R$1)/$R$2+$N$3*(N106-$S$1)/$S$2+$O$3*(O106-$T$1)/$T$2+$P$3*(P106-$U$1)/$U$2)/(SUM($L$3:$P$3))</f>
        <v>-0.71970784123669562</v>
      </c>
      <c r="AN106" s="46">
        <f>($L$3*(Q106-$Q$1)/$Q$2+$M$3*(R106-$R$1)/$R$2+$N$3*(S106-$S$1)/$S$2+$O$3*(T106-$T$1)/$T$2+$P$3*(U106-$U$1)/$U$2)/(SUM($L$3:$P$3))</f>
        <v>-4.3595191555170297E-2</v>
      </c>
      <c r="AO106" s="47">
        <f>IF(AVERAGE(AH106:AI106)&gt;9,1,0)+IF(AVERAGE(AH106:AI106)&gt;7,1,0)+IF(AH106&gt;7,1,0)+IF(AI106&gt;7,1,0)+IF(AJ106&gt;8,1,0)+IF(AJ106&gt;6,1,0)</f>
        <v>6</v>
      </c>
      <c r="AP106" s="48">
        <f>MIN(2,IF(OR(Z106="-",X106&lt;5),0,1+IF(Y106&gt;7,0.35,IF(Y106&gt;5,0.1,0))+IF(Z106&gt;7,1+IF(X106&gt;7,0.25,0),IF(Z106&gt;4,0.5+IF(X106&gt;7,0.25,0),0+IF(X106&gt;7,0.25))))+IF(AA106="-",0,IF(AA106&gt;9,0.5,IF(AA106&gt;7,0.25,0)))+IF(AB106="-",0,IF(AB106&gt;7,1.1,IF(AB106&gt;4,0.6,0)))+IF(OR(AC106="-",V106&lt;5),0,IF(AC106&gt;7,1+IF(V106&gt;7,0.25,0),IF(AC106&gt;4,0.5+IF(V106&gt;7,0.25,0),0)))+IF(AD106="-",0,IF(AD106&gt;7,1.5,IF(AD106&gt;4,1,0)))+IF(AE106="-",0,IF(AE106&gt;9,0.5,IF(AE106&gt;7,0.25,0)))+IF(AF106="-",0,IF(AF106&gt;7,1.25,IF(AF106&gt;4,0.75,0)))+IF(OR(AG106="-",W106&lt;4),0,IF(AG106&gt;7,1+IF(W106&gt;7,0.15,0),IF(AG106&gt;4,0.5+IF(W106&gt;7,0.15,0),0))))</f>
        <v>1</v>
      </c>
      <c r="AQ106" s="46">
        <f>($AM$3*AM106+$AN$3*AN106+$AO$3*AO106+$AP$3*AP106)+$I$3*VLOOKUP(I106,COND!$A$2:$E$7,4,FALSE)+$J$3*VLOOKUP(J106,COND!$A$2:$C$7,2,FALSE)+$K$3*VLOOKUP(K106,COND!$A$2:$C$7,3,FALSE)+IF(AND($B$2&gt;0,$E106&lt;20),$B$2*25,0)</f>
        <v>46.104886917214287</v>
      </c>
      <c r="AR106" s="49">
        <f>STANDARDIZE(AQ106,AVERAGE($AQ$5:$AQ$537),STDEVP($AQ$5:$AQ$537))</f>
        <v>1.0128424700418166</v>
      </c>
      <c r="AS106" s="47" t="str">
        <f>IF(AND(Z106&lt;&gt;"-",Y106&gt;1),"C",IF(AB106=MAX(AB106:AD106),"2B",IF(AD106=MAX(AB106:AD106),"SS",IF(OR(AC106=MAX(AA106:AD106),AND(AC106&lt;&gt;"-",AC106&gt;4,V106&gt;5)),"3B",IF(AF106=MAX(AE106:AG106),"CF",IF(AND(AG106=MAX(AE106,AG106),AND(W106&gt;5,AG106&lt;&gt;"-")),"RF",IF(AE106&lt;&gt;"-","LF",IF(AA106&lt;&gt;"-","1B","DH"))))))))</f>
        <v>SS</v>
      </c>
      <c r="AT106" s="47"/>
      <c r="AU106" s="47"/>
      <c r="AV106" s="47"/>
      <c r="AW106" s="47" t="str">
        <f>IF(AND($Q106&gt;=6,AVERAGE($S106:$T106)&gt;=6),"Likely",IF(OR($Q106&gt;6,AND($Q106=6,AVERAGE($S106:$T106)&gt;=3),AND($Q106&gt;=5,AVERAGE($S106:$T106)&gt;=5),AVERAGE($Q106,$S106:$T106)&gt;5),"Possible","Unlikely"))</f>
        <v>Unlikely</v>
      </c>
      <c r="AX106" s="47"/>
      <c r="AY106" s="47" t="str">
        <f>INDEX(Table5[[#All],[Ovr]],MATCH(Batters[[#This Row],[PID]],Table5[[#All],[PID]],0))</f>
        <v/>
      </c>
      <c r="AZ106" s="47" t="str">
        <f>INDEX(Table5[[#All],[Rnd]],MATCH(Batters[[#This Row],[PID]],Table5[[#All],[PID]],0))</f>
        <v/>
      </c>
      <c r="BA106" s="47" t="str">
        <f>INDEX(Table5[[#All],[Pick]],MATCH(Batters[[#This Row],[PID]],Table5[[#All],[PID]],0))</f>
        <v/>
      </c>
      <c r="BB106" s="47" t="str">
        <f>INDEX(Table5[[#All],[Team]],MATCH(Batters[[#This Row],[PID]],Table5[[#All],[PID]],0))</f>
        <v/>
      </c>
    </row>
    <row r="107" spans="1:54" ht="15" customHeight="1" x14ac:dyDescent="0.25">
      <c r="A107" s="42">
        <v>8484</v>
      </c>
      <c r="B107" s="42" t="s">
        <v>71</v>
      </c>
      <c r="C107" s="42" t="s">
        <v>1085</v>
      </c>
      <c r="D107" s="42" t="s">
        <v>1086</v>
      </c>
      <c r="E107" s="42">
        <v>18</v>
      </c>
      <c r="F107" s="42" t="s">
        <v>62</v>
      </c>
      <c r="G107" s="42" t="s">
        <v>42</v>
      </c>
      <c r="H107" s="43" t="s">
        <v>711</v>
      </c>
      <c r="I107" s="44" t="s">
        <v>43</v>
      </c>
      <c r="J107" s="42" t="s">
        <v>47</v>
      </c>
      <c r="K107" s="43" t="s">
        <v>43</v>
      </c>
      <c r="L107" s="42">
        <v>1</v>
      </c>
      <c r="M107" s="42">
        <v>1</v>
      </c>
      <c r="N107" s="42">
        <v>2</v>
      </c>
      <c r="O107" s="42">
        <v>1</v>
      </c>
      <c r="P107" s="43">
        <v>2</v>
      </c>
      <c r="Q107" s="42">
        <v>4</v>
      </c>
      <c r="R107" s="42">
        <v>4</v>
      </c>
      <c r="S107" s="42">
        <v>3</v>
      </c>
      <c r="T107" s="42">
        <v>3</v>
      </c>
      <c r="U107" s="43">
        <v>5</v>
      </c>
      <c r="V107" s="42">
        <v>5</v>
      </c>
      <c r="W107" s="42">
        <v>2</v>
      </c>
      <c r="X107" s="42">
        <v>1</v>
      </c>
      <c r="Y107" s="43">
        <v>1</v>
      </c>
      <c r="Z107" s="42" t="s">
        <v>45</v>
      </c>
      <c r="AA107" s="42" t="s">
        <v>45</v>
      </c>
      <c r="AB107" s="42" t="s">
        <v>45</v>
      </c>
      <c r="AC107" s="42" t="s">
        <v>45</v>
      </c>
      <c r="AD107" s="42" t="s">
        <v>45</v>
      </c>
      <c r="AE107" s="42" t="s">
        <v>45</v>
      </c>
      <c r="AF107" s="42" t="s">
        <v>45</v>
      </c>
      <c r="AG107" s="43" t="s">
        <v>45</v>
      </c>
      <c r="AH107" s="42">
        <v>6</v>
      </c>
      <c r="AI107" s="42">
        <v>6</v>
      </c>
      <c r="AJ107" s="43">
        <v>6</v>
      </c>
      <c r="AK107" s="45" t="s">
        <v>438</v>
      </c>
      <c r="AL107" s="45" t="s">
        <v>47</v>
      </c>
      <c r="AM107" s="46">
        <f>($L$3*(L107-$Q$1)/$Q$2+$M$3*(M107-$R$1)/$R$2+$N$3*(N107-$S$1)/$S$2+$O$3*(O107-$T$1)/$T$2+$P$3*(P107-$U$1)/$U$2)/(SUM($L$3:$P$3))</f>
        <v>-1.961265515986587</v>
      </c>
      <c r="AN107" s="46">
        <f>($L$3*(Q107-$Q$1)/$Q$2+$M$3*(R107-$R$1)/$R$2+$N$3*(S107-$S$1)/$S$2+$O$3*(T107-$T$1)/$T$2+$P$3*(U107-$U$1)/$U$2)/(SUM($L$3:$P$3))</f>
        <v>-0.45788875502813847</v>
      </c>
      <c r="AO107" s="47">
        <f>IF(AVERAGE(AH107:AI107)&gt;9,1,0)+IF(AVERAGE(AH107:AI107)&gt;7,1,0)+IF(AH107&gt;7,1,0)+IF(AI107&gt;7,1,0)+IF(AJ107&gt;8,1,0)+IF(AJ107&gt;6,1,0)</f>
        <v>0</v>
      </c>
      <c r="AP107" s="48">
        <f>MIN(2,IF(OR(Z107="-",X107&lt;5),0,1+IF(Y107&gt;7,0.35,IF(Y107&gt;5,0.1,0))+IF(Z107&gt;7,1+IF(X107&gt;7,0.25,0),IF(Z107&gt;4,0.5+IF(X107&gt;7,0.25,0),0+IF(X107&gt;7,0.25))))+IF(AA107="-",0,IF(AA107&gt;9,0.5,IF(AA107&gt;7,0.25,0)))+IF(AB107="-",0,IF(AB107&gt;7,1.1,IF(AB107&gt;4,0.6,0)))+IF(OR(AC107="-",V107&lt;5),0,IF(AC107&gt;7,1+IF(V107&gt;7,0.25,0),IF(AC107&gt;4,0.5+IF(V107&gt;7,0.25,0),0)))+IF(AD107="-",0,IF(AD107&gt;7,1.5,IF(AD107&gt;4,1,0)))+IF(AE107="-",0,IF(AE107&gt;9,0.5,IF(AE107&gt;7,0.25,0)))+IF(AF107="-",0,IF(AF107&gt;7,1.25,IF(AF107&gt;4,0.75,0)))+IF(OR(AG107="-",W107&lt;4),0,IF(AG107&gt;7,1+IF(W107&gt;7,0.15,0),IF(AG107&gt;4,0.5+IF(W107&gt;7,0.15,0),0))))</f>
        <v>0</v>
      </c>
      <c r="AQ107" s="46">
        <f>($AM$3*AM107+$AN$3*AN107+$AO$3*AO107+$AP$3*AP107)+$I$3*VLOOKUP(I107,COND!$A$2:$E$7,4,FALSE)+$J$3*VLOOKUP(J107,COND!$A$2:$C$7,2,FALSE)+$K$3*VLOOKUP(K107,COND!$A$2:$C$7,3,FALSE)+IF(AND($B$2&gt;0,$E107&lt;20),$B$2*25,0)</f>
        <v>44.609208388063678</v>
      </c>
      <c r="AR107" s="49">
        <f>STANDARDIZE(AQ107,AVERAGE($AQ$5:$AQ$537),STDEVP($AQ$5:$AQ$537))</f>
        <v>0.74968777357102701</v>
      </c>
      <c r="AS107" s="47" t="str">
        <f>IF(AND(Z107&lt;&gt;"-",Y107&gt;1),"C",IF(AB107=MAX(AB107:AD107),"2B",IF(AD107=MAX(AB107:AD107),"SS",IF(OR(AC107=MAX(AA107:AD107),AND(AC107&lt;&gt;"-",AC107&gt;4,V107&gt;5)),"3B",IF(AF107=MAX(AE107:AG107),"CF",IF(AND(AG107=MAX(AE107,AG107),AND(W107&gt;5,AG107&lt;&gt;"-")),"RF",IF(AE107&lt;&gt;"-","LF",IF(AA107&lt;&gt;"-","1B","DH"))))))))</f>
        <v>DH</v>
      </c>
      <c r="AT107" s="47"/>
      <c r="AU107" s="47"/>
      <c r="AV107" s="47"/>
      <c r="AW107" s="47" t="str">
        <f>IF(AND($Q107&gt;=6,AVERAGE($S107:$T107)&gt;=6),"Likely",IF(OR($Q107&gt;6,AND($Q107=6,AVERAGE($S107:$T107)&gt;=3),AND($Q107&gt;=5,AVERAGE($S107:$T107)&gt;=5),AVERAGE($Q107,$S107:$T107)&gt;5),"Possible","Unlikely"))</f>
        <v>Unlikely</v>
      </c>
      <c r="AX107" s="47"/>
      <c r="AY107" s="47" t="str">
        <f>INDEX(Table5[[#All],[Ovr]],MATCH(Batters[[#This Row],[PID]],Table5[[#All],[PID]],0))</f>
        <v/>
      </c>
      <c r="AZ107" s="47" t="str">
        <f>INDEX(Table5[[#All],[Rnd]],MATCH(Batters[[#This Row],[PID]],Table5[[#All],[PID]],0))</f>
        <v/>
      </c>
      <c r="BA107" s="47" t="str">
        <f>INDEX(Table5[[#All],[Pick]],MATCH(Batters[[#This Row],[PID]],Table5[[#All],[PID]],0))</f>
        <v/>
      </c>
      <c r="BB107" s="47" t="str">
        <f>INDEX(Table5[[#All],[Team]],MATCH(Batters[[#This Row],[PID]],Table5[[#All],[PID]],0))</f>
        <v/>
      </c>
    </row>
    <row r="108" spans="1:54" ht="15" customHeight="1" x14ac:dyDescent="0.25">
      <c r="A108" s="42">
        <v>13267</v>
      </c>
      <c r="B108" s="42" t="s">
        <v>86</v>
      </c>
      <c r="C108" s="42" t="s">
        <v>900</v>
      </c>
      <c r="D108" s="42" t="s">
        <v>901</v>
      </c>
      <c r="E108" s="42">
        <v>22</v>
      </c>
      <c r="F108" s="42" t="s">
        <v>62</v>
      </c>
      <c r="G108" s="42" t="s">
        <v>42</v>
      </c>
      <c r="H108" s="43" t="s">
        <v>709</v>
      </c>
      <c r="I108" s="44" t="s">
        <v>47</v>
      </c>
      <c r="J108" s="42" t="s">
        <v>43</v>
      </c>
      <c r="K108" s="43" t="s">
        <v>43</v>
      </c>
      <c r="L108" s="42">
        <v>1</v>
      </c>
      <c r="M108" s="42">
        <v>2</v>
      </c>
      <c r="N108" s="42">
        <v>2</v>
      </c>
      <c r="O108" s="42">
        <v>4</v>
      </c>
      <c r="P108" s="43">
        <v>1</v>
      </c>
      <c r="Q108" s="42">
        <v>2</v>
      </c>
      <c r="R108" s="42">
        <v>3</v>
      </c>
      <c r="S108" s="42">
        <v>3</v>
      </c>
      <c r="T108" s="42">
        <v>6</v>
      </c>
      <c r="U108" s="43">
        <v>1</v>
      </c>
      <c r="V108" s="42">
        <v>6</v>
      </c>
      <c r="W108" s="42">
        <v>5</v>
      </c>
      <c r="X108" s="42">
        <v>8</v>
      </c>
      <c r="Y108" s="43">
        <v>4</v>
      </c>
      <c r="Z108" s="42">
        <v>2</v>
      </c>
      <c r="AA108" s="42" t="s">
        <v>45</v>
      </c>
      <c r="AB108" s="42" t="s">
        <v>45</v>
      </c>
      <c r="AC108" s="42" t="s">
        <v>45</v>
      </c>
      <c r="AD108" s="42" t="s">
        <v>45</v>
      </c>
      <c r="AE108" s="42" t="s">
        <v>45</v>
      </c>
      <c r="AF108" s="42" t="s">
        <v>45</v>
      </c>
      <c r="AG108" s="43" t="s">
        <v>45</v>
      </c>
      <c r="AH108" s="42">
        <v>1</v>
      </c>
      <c r="AI108" s="42">
        <v>1</v>
      </c>
      <c r="AJ108" s="43">
        <v>3</v>
      </c>
      <c r="AK108" s="45" t="s">
        <v>45</v>
      </c>
      <c r="AL108" s="45" t="s">
        <v>705</v>
      </c>
      <c r="AM108" s="46"/>
      <c r="AN108" s="46"/>
      <c r="AO108" s="47"/>
      <c r="AP108" s="48"/>
      <c r="AQ108" s="46">
        <f>($AM$3*AM108+$AN$3*AN108+$AO$3*AO108+$AP$3*AP108)+$I$3*VLOOKUP(I108,COND!$A$2:$E$7,4,FALSE)+$J$3*VLOOKUP(J108,COND!$A$2:$C$7,2,FALSE)+$K$3*VLOOKUP(K108,COND!$A$2:$C$7,3,FALSE)+IF(AND($B$2&gt;0,$E108&lt;20),$B$2*25,0)</f>
        <v>45.224999999999994</v>
      </c>
      <c r="AR108" s="49">
        <f>STANDARDIZE(AQ108,AVERAGE($AQ$5:$AQ$537),STDEVP($AQ$5:$AQ$537))</f>
        <v>0.85803221495335158</v>
      </c>
      <c r="AS108" s="47"/>
      <c r="AT108" s="47"/>
      <c r="AU108" s="47"/>
      <c r="AV108" s="47"/>
      <c r="AW108" s="47" t="str">
        <f>IF(AND($Q108&gt;=6,AVERAGE($S108:$T108)&gt;=6),"Likely",IF(OR($Q108&gt;6,AND($Q108=6,AVERAGE($S108:$T108)&gt;=3),AND($Q108&gt;=5,AVERAGE($S108:$T108)&gt;=5),AVERAGE($Q108,$S108:$T108)&gt;5),"Possible","Unlikely"))</f>
        <v>Unlikely</v>
      </c>
      <c r="AX108" s="47"/>
      <c r="AY108" s="47" t="str">
        <f>INDEX(Table5[[#All],[Ovr]],MATCH(Batters[[#This Row],[PID]],Table5[[#All],[PID]],0))</f>
        <v/>
      </c>
      <c r="AZ108" s="47" t="str">
        <f>INDEX(Table5[[#All],[Rnd]],MATCH(Batters[[#This Row],[PID]],Table5[[#All],[PID]],0))</f>
        <v/>
      </c>
      <c r="BA108" s="47" t="str">
        <f>INDEX(Table5[[#All],[Pick]],MATCH(Batters[[#This Row],[PID]],Table5[[#All],[PID]],0))</f>
        <v/>
      </c>
      <c r="BB108" s="47" t="str">
        <f>INDEX(Table5[[#All],[Team]],MATCH(Batters[[#This Row],[PID]],Table5[[#All],[PID]],0))</f>
        <v/>
      </c>
    </row>
    <row r="109" spans="1:54" ht="15" customHeight="1" x14ac:dyDescent="0.25">
      <c r="A109" s="42">
        <v>6718</v>
      </c>
      <c r="B109" s="42" t="s">
        <v>66</v>
      </c>
      <c r="C109" s="42" t="s">
        <v>1131</v>
      </c>
      <c r="D109" s="42" t="s">
        <v>1132</v>
      </c>
      <c r="E109" s="42">
        <v>21</v>
      </c>
      <c r="F109" s="42" t="s">
        <v>42</v>
      </c>
      <c r="G109" s="42" t="s">
        <v>53</v>
      </c>
      <c r="H109" s="43" t="s">
        <v>703</v>
      </c>
      <c r="I109" s="44" t="s">
        <v>43</v>
      </c>
      <c r="J109" s="42" t="s">
        <v>44</v>
      </c>
      <c r="K109" s="43" t="s">
        <v>43</v>
      </c>
      <c r="L109" s="42">
        <v>3</v>
      </c>
      <c r="M109" s="42">
        <v>5</v>
      </c>
      <c r="N109" s="42">
        <v>4</v>
      </c>
      <c r="O109" s="42">
        <v>3</v>
      </c>
      <c r="P109" s="43">
        <v>2</v>
      </c>
      <c r="Q109" s="42">
        <v>4</v>
      </c>
      <c r="R109" s="42">
        <v>5</v>
      </c>
      <c r="S109" s="42">
        <v>6</v>
      </c>
      <c r="T109" s="42">
        <v>6</v>
      </c>
      <c r="U109" s="43">
        <v>3</v>
      </c>
      <c r="V109" s="42">
        <v>8</v>
      </c>
      <c r="W109" s="42">
        <v>10</v>
      </c>
      <c r="X109" s="42">
        <v>1</v>
      </c>
      <c r="Y109" s="43">
        <v>1</v>
      </c>
      <c r="Z109" s="42" t="s">
        <v>45</v>
      </c>
      <c r="AA109" s="42" t="s">
        <v>45</v>
      </c>
      <c r="AB109" s="42" t="s">
        <v>45</v>
      </c>
      <c r="AC109" s="42" t="s">
        <v>45</v>
      </c>
      <c r="AD109" s="42" t="s">
        <v>45</v>
      </c>
      <c r="AE109" s="42" t="s">
        <v>45</v>
      </c>
      <c r="AF109" s="42">
        <v>1</v>
      </c>
      <c r="AG109" s="43">
        <v>6</v>
      </c>
      <c r="AH109" s="42">
        <v>8</v>
      </c>
      <c r="AI109" s="42">
        <v>5</v>
      </c>
      <c r="AJ109" s="43">
        <v>4</v>
      </c>
      <c r="AK109" s="45" t="s">
        <v>45</v>
      </c>
      <c r="AL109" s="45" t="s">
        <v>47</v>
      </c>
      <c r="AM109" s="46">
        <f>($L$3*(L109-$Q$1)/$Q$2+$M$3*(M109-$R$1)/$R$2+$N$3*(N109-$S$1)/$S$2+$O$3*(O109-$T$1)/$T$2+$P$3*(P109-$U$1)/$U$2)/(SUM($L$3:$P$3))</f>
        <v>-0.76637223703945856</v>
      </c>
      <c r="AN109" s="46">
        <f>($L$3*(Q109-$Q$1)/$Q$2+$M$3*(R109-$R$1)/$R$2+$N$3*(S109-$S$1)/$S$2+$O$3*(T109-$T$1)/$T$2+$P$3*(U109-$U$1)/$U$2)/(SUM($L$3:$P$3))</f>
        <v>3.1451577056845731E-2</v>
      </c>
      <c r="AO109" s="47">
        <f>IF(AVERAGE(AH109:AI109)&gt;9,1,0)+IF(AVERAGE(AH109:AI109)&gt;7,1,0)+IF(AH109&gt;7,1,0)+IF(AI109&gt;7,1,0)+IF(AJ109&gt;8,1,0)+IF(AJ109&gt;6,1,0)</f>
        <v>1</v>
      </c>
      <c r="AP109" s="48">
        <f>MIN(2,IF(OR(Z109="-",X109&lt;5),0,1+IF(Y109&gt;7,0.35,IF(Y109&gt;5,0.1,0))+IF(Z109&gt;7,1+IF(X109&gt;7,0.25,0),IF(Z109&gt;4,0.5+IF(X109&gt;7,0.25,0),0+IF(X109&gt;7,0.25))))+IF(AA109="-",0,IF(AA109&gt;9,0.5,IF(AA109&gt;7,0.25,0)))+IF(AB109="-",0,IF(AB109&gt;7,1.1,IF(AB109&gt;4,0.6,0)))+IF(OR(AC109="-",V109&lt;5),0,IF(AC109&gt;7,1+IF(V109&gt;7,0.25,0),IF(AC109&gt;4,0.5+IF(V109&gt;7,0.25,0),0)))+IF(AD109="-",0,IF(AD109&gt;7,1.5,IF(AD109&gt;4,1,0)))+IF(AE109="-",0,IF(AE109&gt;9,0.5,IF(AE109&gt;7,0.25,0)))+IF(AF109="-",0,IF(AF109&gt;7,1.25,IF(AF109&gt;4,0.75,0)))+IF(OR(AG109="-",W109&lt;4),0,IF(AG109&gt;7,1+IF(W109&gt;7,0.15,0),IF(AG109&gt;4,0.5+IF(W109&gt;7,0.15,0),0))))</f>
        <v>0.65</v>
      </c>
      <c r="AQ109" s="46">
        <f>($AM$3*AM109+$AN$3*AN109+$AO$3*AO109+$AP$3*AP109)+$I$3*VLOOKUP(I109,COND!$A$2:$E$7,4,FALSE)+$J$3*VLOOKUP(J109,COND!$A$2:$C$7,2,FALSE)+$K$3*VLOOKUP(K109,COND!$A$2:$C$7,3,FALSE)+IF(AND($B$2&gt;0,$E109&lt;20),$B$2*25,0)</f>
        <v>45.817448367644872</v>
      </c>
      <c r="AR109" s="49">
        <f>STANDARDIZE(AQ109,AVERAGE($AQ$5:$AQ$537),STDEVP($AQ$5:$AQ$537))</f>
        <v>0.96226956764888083</v>
      </c>
      <c r="AS109" s="47" t="str">
        <f>IF(AND(Z109&lt;&gt;"-",Y109&gt;1),"C",IF(AB109=MAX(AB109:AD109),"2B",IF(AD109=MAX(AB109:AD109),"SS",IF(OR(AC109=MAX(AA109:AD109),AND(AC109&lt;&gt;"-",AC109&gt;4,V109&gt;5)),"3B",IF(AF109=MAX(AE109:AG109),"CF",IF(AND(AG109=MAX(AE109,AG109),AND(W109&gt;5,AG109&lt;&gt;"-")),"RF",IF(AE109&lt;&gt;"-","LF",IF(AA109&lt;&gt;"-","1B","DH"))))))))</f>
        <v>RF</v>
      </c>
      <c r="AT109" s="47"/>
      <c r="AU109" s="47"/>
      <c r="AV109" s="47"/>
      <c r="AW109" s="47" t="str">
        <f>IF(AND($Q109&gt;=6,AVERAGE($S109:$T109)&gt;=6),"Likely",IF(OR($Q109&gt;6,AND($Q109=6,AVERAGE($S109:$T109)&gt;=3),AND($Q109&gt;=5,AVERAGE($S109:$T109)&gt;=5),AVERAGE($Q109,$S109:$T109)&gt;5),"Possible","Unlikely"))</f>
        <v>Possible</v>
      </c>
      <c r="AX109" s="47"/>
      <c r="AY109" s="47" t="str">
        <f>INDEX(Table5[[#All],[Ovr]],MATCH(Batters[[#This Row],[PID]],Table5[[#All],[PID]],0))</f>
        <v/>
      </c>
      <c r="AZ109" s="47" t="str">
        <f>INDEX(Table5[[#All],[Rnd]],MATCH(Batters[[#This Row],[PID]],Table5[[#All],[PID]],0))</f>
        <v/>
      </c>
      <c r="BA109" s="47" t="str">
        <f>INDEX(Table5[[#All],[Pick]],MATCH(Batters[[#This Row],[PID]],Table5[[#All],[PID]],0))</f>
        <v/>
      </c>
      <c r="BB109" s="47" t="str">
        <f>INDEX(Table5[[#All],[Team]],MATCH(Batters[[#This Row],[PID]],Table5[[#All],[PID]],0))</f>
        <v/>
      </c>
    </row>
    <row r="110" spans="1:54" ht="15" customHeight="1" x14ac:dyDescent="0.25">
      <c r="A110" s="42">
        <v>7022</v>
      </c>
      <c r="B110" s="42" t="s">
        <v>66</v>
      </c>
      <c r="C110" s="42" t="s">
        <v>1096</v>
      </c>
      <c r="D110" s="42" t="s">
        <v>643</v>
      </c>
      <c r="E110" s="42">
        <v>21</v>
      </c>
      <c r="F110" s="42" t="s">
        <v>53</v>
      </c>
      <c r="G110" s="42" t="s">
        <v>53</v>
      </c>
      <c r="H110" s="43" t="s">
        <v>703</v>
      </c>
      <c r="I110" s="44" t="s">
        <v>43</v>
      </c>
      <c r="J110" s="42" t="s">
        <v>47</v>
      </c>
      <c r="K110" s="43" t="s">
        <v>47</v>
      </c>
      <c r="L110" s="42">
        <v>2</v>
      </c>
      <c r="M110" s="42">
        <v>4</v>
      </c>
      <c r="N110" s="42">
        <v>2</v>
      </c>
      <c r="O110" s="42">
        <v>3</v>
      </c>
      <c r="P110" s="43">
        <v>4</v>
      </c>
      <c r="Q110" s="42">
        <v>4</v>
      </c>
      <c r="R110" s="42">
        <v>5</v>
      </c>
      <c r="S110" s="42">
        <v>2</v>
      </c>
      <c r="T110" s="42">
        <v>6</v>
      </c>
      <c r="U110" s="43">
        <v>5</v>
      </c>
      <c r="V110" s="42">
        <v>6</v>
      </c>
      <c r="W110" s="42">
        <v>8</v>
      </c>
      <c r="X110" s="42">
        <v>1</v>
      </c>
      <c r="Y110" s="43">
        <v>1</v>
      </c>
      <c r="Z110" s="42" t="s">
        <v>45</v>
      </c>
      <c r="AA110" s="42" t="s">
        <v>45</v>
      </c>
      <c r="AB110" s="42" t="s">
        <v>45</v>
      </c>
      <c r="AC110" s="42" t="s">
        <v>45</v>
      </c>
      <c r="AD110" s="42" t="s">
        <v>45</v>
      </c>
      <c r="AE110" s="42" t="s">
        <v>45</v>
      </c>
      <c r="AF110" s="42" t="s">
        <v>45</v>
      </c>
      <c r="AG110" s="43">
        <v>6</v>
      </c>
      <c r="AH110" s="42">
        <v>7</v>
      </c>
      <c r="AI110" s="42">
        <v>6</v>
      </c>
      <c r="AJ110" s="43">
        <v>8</v>
      </c>
      <c r="AK110" s="45" t="s">
        <v>717</v>
      </c>
      <c r="AL110" s="45" t="s">
        <v>705</v>
      </c>
      <c r="AM110" s="46">
        <f>($L$3*(L110-$Q$1)/$Q$2+$M$3*(M110-$R$1)/$R$2+$N$3*(N110-$S$1)/$S$2+$O$3*(O110-$T$1)/$T$2+$P$3*(P110-$U$1)/$U$2)/(SUM($L$3:$P$3))</f>
        <v>-1.2260782612744727</v>
      </c>
      <c r="AN110" s="46">
        <f>($L$3*(Q110-$Q$1)/$Q$2+$M$3*(R110-$R$1)/$R$2+$N$3*(S110-$S$1)/$S$2+$O$3*(T110-$T$1)/$T$2+$P$3*(U110-$U$1)/$U$2)/(SUM($L$3:$P$3))</f>
        <v>-0.22076171940459338</v>
      </c>
      <c r="AO110" s="47">
        <f>IF(AVERAGE(AH110:AI110)&gt;9,1,0)+IF(AVERAGE(AH110:AI110)&gt;7,1,0)+IF(AH110&gt;7,1,0)+IF(AI110&gt;7,1,0)+IF(AJ110&gt;8,1,0)+IF(AJ110&gt;6,1,0)</f>
        <v>1</v>
      </c>
      <c r="AP110" s="48">
        <f>MIN(2,IF(OR(Z110="-",X110&lt;5),0,1+IF(Y110&gt;7,0.35,IF(Y110&gt;5,0.1,0))+IF(Z110&gt;7,1+IF(X110&gt;7,0.25,0),IF(Z110&gt;4,0.5+IF(X110&gt;7,0.25,0),0+IF(X110&gt;7,0.25))))+IF(AA110="-",0,IF(AA110&gt;9,0.5,IF(AA110&gt;7,0.25,0)))+IF(AB110="-",0,IF(AB110&gt;7,1.1,IF(AB110&gt;4,0.6,0)))+IF(OR(AC110="-",V110&lt;5),0,IF(AC110&gt;7,1+IF(V110&gt;7,0.25,0),IF(AC110&gt;4,0.5+IF(V110&gt;7,0.25,0),0)))+IF(AD110="-",0,IF(AD110&gt;7,1.5,IF(AD110&gt;4,1,0)))+IF(AE110="-",0,IF(AE110&gt;9,0.5,IF(AE110&gt;7,0.25,0)))+IF(AF110="-",0,IF(AF110&gt;7,1.25,IF(AF110&gt;4,0.75,0)))+IF(OR(AG110="-",W110&lt;4),0,IF(AG110&gt;7,1+IF(W110&gt;7,0.15,0),IF(AG110&gt;4,0.5+IF(W110&gt;7,0.15,0),0))))</f>
        <v>0.65</v>
      </c>
      <c r="AQ110" s="46">
        <f>($AM$3*AM110+$AN$3*AN110+$AO$3*AO110+$AP$3*AP110)+$I$3*VLOOKUP(I110,COND!$A$2:$E$7,4,FALSE)+$J$3*VLOOKUP(J110,COND!$A$2:$C$7,2,FALSE)+$K$3*VLOOKUP(K110,COND!$A$2:$C$7,3,FALSE)+IF(AND($B$2&gt;0,$E110&lt;20),$B$2*25,0)</f>
        <v>43.6449182076841</v>
      </c>
      <c r="AR110" s="49">
        <f>STANDARDIZE(AQ110,AVERAGE($AQ$5:$AQ$537),STDEVP($AQ$5:$AQ$537))</f>
        <v>0.58002732529832302</v>
      </c>
      <c r="AS110" s="47" t="str">
        <f>IF(AND(Z110&lt;&gt;"-",Y110&gt;1),"C",IF(AB110=MAX(AB110:AD110),"2B",IF(AD110=MAX(AB110:AD110),"SS",IF(OR(AC110=MAX(AA110:AD110),AND(AC110&lt;&gt;"-",AC110&gt;4,V110&gt;5)),"3B",IF(AF110=MAX(AE110:AG110),"CF",IF(AND(AG110=MAX(AE110,AG110),AND(W110&gt;5,AG110&lt;&gt;"-")),"RF",IF(AE110&lt;&gt;"-","LF",IF(AA110&lt;&gt;"-","1B","DH"))))))))</f>
        <v>RF</v>
      </c>
      <c r="AT110" s="47"/>
      <c r="AU110" s="47"/>
      <c r="AV110" s="47"/>
      <c r="AW110" s="47" t="str">
        <f>IF(AND($Q110&gt;=6,AVERAGE($S110:$T110)&gt;=6),"Likely",IF(OR($Q110&gt;6,AND($Q110=6,AVERAGE($S110:$T110)&gt;=3),AND($Q110&gt;=5,AVERAGE($S110:$T110)&gt;=5),AVERAGE($Q110,$S110:$T110)&gt;5),"Possible","Unlikely"))</f>
        <v>Unlikely</v>
      </c>
      <c r="AX110" s="47"/>
      <c r="AY110" s="47" t="str">
        <f>INDEX(Table5[[#All],[Ovr]],MATCH(Batters[[#This Row],[PID]],Table5[[#All],[PID]],0))</f>
        <v/>
      </c>
      <c r="AZ110" s="47" t="str">
        <f>INDEX(Table5[[#All],[Rnd]],MATCH(Batters[[#This Row],[PID]],Table5[[#All],[PID]],0))</f>
        <v/>
      </c>
      <c r="BA110" s="47" t="str">
        <f>INDEX(Table5[[#All],[Pick]],MATCH(Batters[[#This Row],[PID]],Table5[[#All],[PID]],0))</f>
        <v/>
      </c>
      <c r="BB110" s="47" t="str">
        <f>INDEX(Table5[[#All],[Team]],MATCH(Batters[[#This Row],[PID]],Table5[[#All],[PID]],0))</f>
        <v/>
      </c>
    </row>
    <row r="111" spans="1:54" ht="15" customHeight="1" x14ac:dyDescent="0.25">
      <c r="A111" s="42">
        <v>12101</v>
      </c>
      <c r="B111" s="42" t="s">
        <v>87</v>
      </c>
      <c r="C111" s="42" t="s">
        <v>185</v>
      </c>
      <c r="D111" s="42" t="s">
        <v>180</v>
      </c>
      <c r="E111" s="42">
        <v>21</v>
      </c>
      <c r="F111" s="42" t="s">
        <v>62</v>
      </c>
      <c r="G111" s="42" t="s">
        <v>42</v>
      </c>
      <c r="H111" s="43" t="s">
        <v>721</v>
      </c>
      <c r="I111" s="44" t="s">
        <v>43</v>
      </c>
      <c r="J111" s="42" t="s">
        <v>43</v>
      </c>
      <c r="K111" s="43" t="s">
        <v>43</v>
      </c>
      <c r="L111" s="42">
        <v>1</v>
      </c>
      <c r="M111" s="42">
        <v>2</v>
      </c>
      <c r="N111" s="42">
        <v>2</v>
      </c>
      <c r="O111" s="42">
        <v>3</v>
      </c>
      <c r="P111" s="43">
        <v>1</v>
      </c>
      <c r="Q111" s="42">
        <v>1</v>
      </c>
      <c r="R111" s="42">
        <v>3</v>
      </c>
      <c r="S111" s="42">
        <v>4</v>
      </c>
      <c r="T111" s="42">
        <v>5</v>
      </c>
      <c r="U111" s="43">
        <v>1</v>
      </c>
      <c r="V111" s="42">
        <v>3</v>
      </c>
      <c r="W111" s="42">
        <v>3</v>
      </c>
      <c r="X111" s="42">
        <v>4</v>
      </c>
      <c r="Y111" s="43">
        <v>4</v>
      </c>
      <c r="Z111" s="42" t="s">
        <v>45</v>
      </c>
      <c r="AA111" s="42">
        <v>3</v>
      </c>
      <c r="AB111" s="42" t="s">
        <v>45</v>
      </c>
      <c r="AC111" s="42" t="s">
        <v>45</v>
      </c>
      <c r="AD111" s="42" t="s">
        <v>45</v>
      </c>
      <c r="AE111" s="42" t="s">
        <v>45</v>
      </c>
      <c r="AF111" s="42" t="s">
        <v>45</v>
      </c>
      <c r="AG111" s="43" t="s">
        <v>45</v>
      </c>
      <c r="AH111" s="42">
        <v>1</v>
      </c>
      <c r="AI111" s="42">
        <v>2</v>
      </c>
      <c r="AJ111" s="43">
        <v>2</v>
      </c>
      <c r="AK111" s="45" t="s">
        <v>717</v>
      </c>
      <c r="AL111" s="45" t="s">
        <v>705</v>
      </c>
      <c r="AM111" s="46"/>
      <c r="AN111" s="46"/>
      <c r="AO111" s="47"/>
      <c r="AP111" s="48"/>
      <c r="AQ111" s="46">
        <f>($AM$3*AM111+$AN$3*AN111+$AO$3*AO111+$AP$3*AP111)+$I$3*VLOOKUP(I111,COND!$A$2:$E$7,4,FALSE)+$J$3*VLOOKUP(J111,COND!$A$2:$C$7,2,FALSE)+$K$3*VLOOKUP(K111,COND!$A$2:$C$7,3,FALSE)+IF(AND($B$2&gt;0,$E111&lt;20),$B$2*25,0)</f>
        <v>45</v>
      </c>
      <c r="AR111" s="49">
        <f>STANDARDIZE(AQ111,AVERAGE($AQ$5:$AQ$537),STDEVP($AQ$5:$AQ$537))</f>
        <v>0.81844496037161252</v>
      </c>
      <c r="AS111" s="47"/>
      <c r="AT111" s="47"/>
      <c r="AU111" s="47"/>
      <c r="AV111" s="47"/>
      <c r="AW111" s="47" t="str">
        <f>IF(AND($Q111&gt;=6,AVERAGE($S111:$T111)&gt;=6),"Likely",IF(OR($Q111&gt;6,AND($Q111=6,AVERAGE($S111:$T111)&gt;=3),AND($Q111&gt;=5,AVERAGE($S111:$T111)&gt;=5),AVERAGE($Q111,$S111:$T111)&gt;5),"Possible","Unlikely"))</f>
        <v>Unlikely</v>
      </c>
      <c r="AX111" s="47"/>
      <c r="AY111" s="47" t="str">
        <f>INDEX(Table5[[#All],[Ovr]],MATCH(Batters[[#This Row],[PID]],Table5[[#All],[PID]],0))</f>
        <v/>
      </c>
      <c r="AZ111" s="47" t="str">
        <f>INDEX(Table5[[#All],[Rnd]],MATCH(Batters[[#This Row],[PID]],Table5[[#All],[PID]],0))</f>
        <v/>
      </c>
      <c r="BA111" s="47" t="str">
        <f>INDEX(Table5[[#All],[Pick]],MATCH(Batters[[#This Row],[PID]],Table5[[#All],[PID]],0))</f>
        <v/>
      </c>
      <c r="BB111" s="47" t="str">
        <f>INDEX(Table5[[#All],[Team]],MATCH(Batters[[#This Row],[PID]],Table5[[#All],[PID]],0))</f>
        <v/>
      </c>
    </row>
    <row r="112" spans="1:54" ht="15" customHeight="1" x14ac:dyDescent="0.25">
      <c r="A112" s="42">
        <v>16396</v>
      </c>
      <c r="B112" s="42" t="s">
        <v>87</v>
      </c>
      <c r="C112" s="42" t="s">
        <v>579</v>
      </c>
      <c r="D112" s="42" t="s">
        <v>847</v>
      </c>
      <c r="E112" s="42">
        <v>21</v>
      </c>
      <c r="F112" s="42" t="s">
        <v>42</v>
      </c>
      <c r="G112" s="42" t="s">
        <v>42</v>
      </c>
      <c r="H112" s="43" t="s">
        <v>721</v>
      </c>
      <c r="I112" s="44" t="s">
        <v>43</v>
      </c>
      <c r="J112" s="42" t="s">
        <v>44</v>
      </c>
      <c r="K112" s="43" t="s">
        <v>47</v>
      </c>
      <c r="L112" s="42">
        <v>1</v>
      </c>
      <c r="M112" s="42">
        <v>2</v>
      </c>
      <c r="N112" s="42">
        <v>2</v>
      </c>
      <c r="O112" s="42">
        <v>3</v>
      </c>
      <c r="P112" s="43">
        <v>1</v>
      </c>
      <c r="Q112" s="42">
        <v>2</v>
      </c>
      <c r="R112" s="42">
        <v>3</v>
      </c>
      <c r="S112" s="42">
        <v>3</v>
      </c>
      <c r="T112" s="42">
        <v>5</v>
      </c>
      <c r="U112" s="43">
        <v>3</v>
      </c>
      <c r="V112" s="42">
        <v>3</v>
      </c>
      <c r="W112" s="42">
        <v>3</v>
      </c>
      <c r="X112" s="42">
        <v>4</v>
      </c>
      <c r="Y112" s="43">
        <v>4</v>
      </c>
      <c r="Z112" s="42" t="s">
        <v>45</v>
      </c>
      <c r="AA112" s="42">
        <v>2</v>
      </c>
      <c r="AB112" s="42" t="s">
        <v>45</v>
      </c>
      <c r="AC112" s="42" t="s">
        <v>45</v>
      </c>
      <c r="AD112" s="42" t="s">
        <v>45</v>
      </c>
      <c r="AE112" s="42" t="s">
        <v>45</v>
      </c>
      <c r="AF112" s="42" t="s">
        <v>45</v>
      </c>
      <c r="AG112" s="43" t="s">
        <v>45</v>
      </c>
      <c r="AH112" s="42">
        <v>1</v>
      </c>
      <c r="AI112" s="42">
        <v>2</v>
      </c>
      <c r="AJ112" s="43">
        <v>1</v>
      </c>
      <c r="AK112" s="45" t="s">
        <v>45</v>
      </c>
      <c r="AL112" s="45" t="s">
        <v>705</v>
      </c>
      <c r="AM112" s="46"/>
      <c r="AN112" s="46"/>
      <c r="AO112" s="47"/>
      <c r="AP112" s="48"/>
      <c r="AQ112" s="46">
        <f>($AM$3*AM112+$AN$3*AN112+$AO$3*AO112+$AP$3*AP112)+$I$3*VLOOKUP(I112,COND!$A$2:$E$7,4,FALSE)+$J$3*VLOOKUP(J112,COND!$A$2:$C$7,2,FALSE)+$K$3*VLOOKUP(K112,COND!$A$2:$C$7,3,FALSE)+IF(AND($B$2&gt;0,$E112&lt;20),$B$2*25,0)</f>
        <v>45</v>
      </c>
      <c r="AR112" s="49">
        <f>STANDARDIZE(AQ112,AVERAGE($AQ$5:$AQ$537),STDEVP($AQ$5:$AQ$537))</f>
        <v>0.81844496037161252</v>
      </c>
      <c r="AS112" s="47"/>
      <c r="AT112" s="47"/>
      <c r="AU112" s="47"/>
      <c r="AV112" s="47"/>
      <c r="AW112" s="47" t="str">
        <f>IF(AND($Q112&gt;=6,AVERAGE($S112:$T112)&gt;=6),"Likely",IF(OR($Q112&gt;6,AND($Q112=6,AVERAGE($S112:$T112)&gt;=3),AND($Q112&gt;=5,AVERAGE($S112:$T112)&gt;=5),AVERAGE($Q112,$S112:$T112)&gt;5),"Possible","Unlikely"))</f>
        <v>Unlikely</v>
      </c>
      <c r="AX112" s="47"/>
      <c r="AY112" s="47" t="str">
        <f>INDEX(Table5[[#All],[Ovr]],MATCH(Batters[[#This Row],[PID]],Table5[[#All],[PID]],0))</f>
        <v/>
      </c>
      <c r="AZ112" s="47" t="str">
        <f>INDEX(Table5[[#All],[Rnd]],MATCH(Batters[[#This Row],[PID]],Table5[[#All],[PID]],0))</f>
        <v/>
      </c>
      <c r="BA112" s="47" t="str">
        <f>INDEX(Table5[[#All],[Pick]],MATCH(Batters[[#This Row],[PID]],Table5[[#All],[PID]],0))</f>
        <v/>
      </c>
      <c r="BB112" s="47" t="str">
        <f>INDEX(Table5[[#All],[Team]],MATCH(Batters[[#This Row],[PID]],Table5[[#All],[PID]],0))</f>
        <v/>
      </c>
    </row>
    <row r="113" spans="1:54" ht="15" customHeight="1" x14ac:dyDescent="0.25">
      <c r="A113" s="42">
        <v>9304</v>
      </c>
      <c r="B113" s="42" t="s">
        <v>87</v>
      </c>
      <c r="C113" s="42" t="s">
        <v>682</v>
      </c>
      <c r="D113" s="42" t="s">
        <v>157</v>
      </c>
      <c r="E113" s="42">
        <v>21</v>
      </c>
      <c r="F113" s="42" t="s">
        <v>42</v>
      </c>
      <c r="G113" s="42" t="s">
        <v>42</v>
      </c>
      <c r="H113" s="43" t="s">
        <v>721</v>
      </c>
      <c r="I113" s="44" t="s">
        <v>43</v>
      </c>
      <c r="J113" s="42" t="s">
        <v>44</v>
      </c>
      <c r="K113" s="43" t="s">
        <v>47</v>
      </c>
      <c r="L113" s="42">
        <v>1</v>
      </c>
      <c r="M113" s="42">
        <v>1</v>
      </c>
      <c r="N113" s="42">
        <v>3</v>
      </c>
      <c r="O113" s="42">
        <v>2</v>
      </c>
      <c r="P113" s="43">
        <v>1</v>
      </c>
      <c r="Q113" s="42">
        <v>2</v>
      </c>
      <c r="R113" s="42">
        <v>2</v>
      </c>
      <c r="S113" s="42">
        <v>4</v>
      </c>
      <c r="T113" s="42">
        <v>4</v>
      </c>
      <c r="U113" s="43">
        <v>2</v>
      </c>
      <c r="V113" s="42">
        <v>5</v>
      </c>
      <c r="W113" s="42">
        <v>3</v>
      </c>
      <c r="X113" s="42">
        <v>1</v>
      </c>
      <c r="Y113" s="43">
        <v>1</v>
      </c>
      <c r="Z113" s="42" t="s">
        <v>45</v>
      </c>
      <c r="AA113" s="42">
        <v>3</v>
      </c>
      <c r="AB113" s="42" t="s">
        <v>45</v>
      </c>
      <c r="AC113" s="42" t="s">
        <v>45</v>
      </c>
      <c r="AD113" s="42" t="s">
        <v>45</v>
      </c>
      <c r="AE113" s="42" t="s">
        <v>45</v>
      </c>
      <c r="AF113" s="42" t="s">
        <v>45</v>
      </c>
      <c r="AG113" s="43" t="s">
        <v>45</v>
      </c>
      <c r="AH113" s="42">
        <v>1</v>
      </c>
      <c r="AI113" s="42">
        <v>6</v>
      </c>
      <c r="AJ113" s="43">
        <v>5</v>
      </c>
      <c r="AK113" s="45" t="s">
        <v>45</v>
      </c>
      <c r="AL113" s="45" t="s">
        <v>47</v>
      </c>
      <c r="AM113" s="46"/>
      <c r="AN113" s="46"/>
      <c r="AO113" s="47"/>
      <c r="AP113" s="48"/>
      <c r="AQ113" s="46">
        <f>($AM$3*AM113+$AN$3*AN113+$AO$3*AO113+$AP$3*AP113)+$I$3*VLOOKUP(I113,COND!$A$2:$E$7,4,FALSE)+$J$3*VLOOKUP(J113,COND!$A$2:$C$7,2,FALSE)+$K$3*VLOOKUP(K113,COND!$A$2:$C$7,3,FALSE)+IF(AND($B$2&gt;0,$E113&lt;20),$B$2*25,0)</f>
        <v>45</v>
      </c>
      <c r="AR113" s="49">
        <f>STANDARDIZE(AQ113,AVERAGE($AQ$5:$AQ$537),STDEVP($AQ$5:$AQ$537))</f>
        <v>0.81844496037161252</v>
      </c>
      <c r="AS113" s="47"/>
      <c r="AT113" s="47"/>
      <c r="AU113" s="47"/>
      <c r="AV113" s="47"/>
      <c r="AW113" s="47" t="str">
        <f>IF(AND($Q113&gt;=6,AVERAGE($S113:$T113)&gt;=6),"Likely",IF(OR($Q113&gt;6,AND($Q113=6,AVERAGE($S113:$T113)&gt;=3),AND($Q113&gt;=5,AVERAGE($S113:$T113)&gt;=5),AVERAGE($Q113,$S113:$T113)&gt;5),"Possible","Unlikely"))</f>
        <v>Unlikely</v>
      </c>
      <c r="AX113" s="47"/>
      <c r="AY113" s="47" t="str">
        <f>INDEX(Table5[[#All],[Ovr]],MATCH(Batters[[#This Row],[PID]],Table5[[#All],[PID]],0))</f>
        <v/>
      </c>
      <c r="AZ113" s="47" t="str">
        <f>INDEX(Table5[[#All],[Rnd]],MATCH(Batters[[#This Row],[PID]],Table5[[#All],[PID]],0))</f>
        <v/>
      </c>
      <c r="BA113" s="47" t="str">
        <f>INDEX(Table5[[#All],[Pick]],MATCH(Batters[[#This Row],[PID]],Table5[[#All],[PID]],0))</f>
        <v/>
      </c>
      <c r="BB113" s="47" t="str">
        <f>INDEX(Table5[[#All],[Team]],MATCH(Batters[[#This Row],[PID]],Table5[[#All],[PID]],0))</f>
        <v/>
      </c>
    </row>
    <row r="114" spans="1:54" ht="15" customHeight="1" x14ac:dyDescent="0.25">
      <c r="A114" s="42">
        <v>13356</v>
      </c>
      <c r="B114" s="42" t="s">
        <v>86</v>
      </c>
      <c r="C114" s="42" t="s">
        <v>795</v>
      </c>
      <c r="D114" s="42" t="s">
        <v>388</v>
      </c>
      <c r="E114" s="42">
        <v>22</v>
      </c>
      <c r="F114" s="42" t="s">
        <v>42</v>
      </c>
      <c r="G114" s="42" t="s">
        <v>42</v>
      </c>
      <c r="H114" s="43" t="s">
        <v>709</v>
      </c>
      <c r="I114" s="44" t="s">
        <v>43</v>
      </c>
      <c r="J114" s="42" t="s">
        <v>43</v>
      </c>
      <c r="K114" s="43" t="s">
        <v>43</v>
      </c>
      <c r="L114" s="42">
        <v>2</v>
      </c>
      <c r="M114" s="42">
        <v>4</v>
      </c>
      <c r="N114" s="42">
        <v>2</v>
      </c>
      <c r="O114" s="42">
        <v>3</v>
      </c>
      <c r="P114" s="43">
        <v>1</v>
      </c>
      <c r="Q114" s="42">
        <v>2</v>
      </c>
      <c r="R114" s="42">
        <v>4</v>
      </c>
      <c r="S114" s="42">
        <v>3</v>
      </c>
      <c r="T114" s="42">
        <v>5</v>
      </c>
      <c r="U114" s="43">
        <v>2</v>
      </c>
      <c r="V114" s="42">
        <v>1</v>
      </c>
      <c r="W114" s="42">
        <v>2</v>
      </c>
      <c r="X114" s="42">
        <v>5</v>
      </c>
      <c r="Y114" s="43">
        <v>6</v>
      </c>
      <c r="Z114" s="42" t="s">
        <v>45</v>
      </c>
      <c r="AA114" s="42" t="s">
        <v>45</v>
      </c>
      <c r="AB114" s="42" t="s">
        <v>45</v>
      </c>
      <c r="AC114" s="42" t="s">
        <v>45</v>
      </c>
      <c r="AD114" s="42" t="s">
        <v>45</v>
      </c>
      <c r="AE114" s="42" t="s">
        <v>45</v>
      </c>
      <c r="AF114" s="42" t="s">
        <v>45</v>
      </c>
      <c r="AG114" s="43" t="s">
        <v>45</v>
      </c>
      <c r="AH114" s="42">
        <v>1</v>
      </c>
      <c r="AI114" s="42">
        <v>1</v>
      </c>
      <c r="AJ114" s="43">
        <v>1</v>
      </c>
      <c r="AK114" s="45" t="s">
        <v>45</v>
      </c>
      <c r="AL114" s="45" t="s">
        <v>705</v>
      </c>
      <c r="AM114" s="46"/>
      <c r="AN114" s="46"/>
      <c r="AO114" s="47"/>
      <c r="AP114" s="48"/>
      <c r="AQ114" s="46">
        <f>($AM$3*AM114+$AN$3*AN114+$AO$3*AO114+$AP$3*AP114)+$I$3*VLOOKUP(I114,COND!$A$2:$E$7,4,FALSE)+$J$3*VLOOKUP(J114,COND!$A$2:$C$7,2,FALSE)+$K$3*VLOOKUP(K114,COND!$A$2:$C$7,3,FALSE)+IF(AND($B$2&gt;0,$E114&lt;20),$B$2*25,0)</f>
        <v>45</v>
      </c>
      <c r="AR114" s="49">
        <f>STANDARDIZE(AQ114,AVERAGE($AQ$5:$AQ$537),STDEVP($AQ$5:$AQ$537))</f>
        <v>0.81844496037161252</v>
      </c>
      <c r="AS114" s="47"/>
      <c r="AT114" s="47"/>
      <c r="AU114" s="47"/>
      <c r="AV114" s="47"/>
      <c r="AW114" s="47" t="str">
        <f>IF(AND($Q114&gt;=6,AVERAGE($S114:$T114)&gt;=6),"Likely",IF(OR($Q114&gt;6,AND($Q114=6,AVERAGE($S114:$T114)&gt;=3),AND($Q114&gt;=5,AVERAGE($S114:$T114)&gt;=5),AVERAGE($Q114,$S114:$T114)&gt;5),"Possible","Unlikely"))</f>
        <v>Unlikely</v>
      </c>
      <c r="AX114" s="47"/>
      <c r="AY114" s="47" t="str">
        <f>INDEX(Table5[[#All],[Ovr]],MATCH(Batters[[#This Row],[PID]],Table5[[#All],[PID]],0))</f>
        <v/>
      </c>
      <c r="AZ114" s="47" t="str">
        <f>INDEX(Table5[[#All],[Rnd]],MATCH(Batters[[#This Row],[PID]],Table5[[#All],[PID]],0))</f>
        <v/>
      </c>
      <c r="BA114" s="47" t="str">
        <f>INDEX(Table5[[#All],[Pick]],MATCH(Batters[[#This Row],[PID]],Table5[[#All],[PID]],0))</f>
        <v/>
      </c>
      <c r="BB114" s="47" t="str">
        <f>INDEX(Table5[[#All],[Team]],MATCH(Batters[[#This Row],[PID]],Table5[[#All],[PID]],0))</f>
        <v/>
      </c>
    </row>
    <row r="115" spans="1:54" ht="15" customHeight="1" x14ac:dyDescent="0.25">
      <c r="A115" s="42">
        <v>18061</v>
      </c>
      <c r="B115" s="42" t="s">
        <v>86</v>
      </c>
      <c r="C115" s="42" t="s">
        <v>337</v>
      </c>
      <c r="D115" s="42" t="s">
        <v>899</v>
      </c>
      <c r="E115" s="42">
        <v>22</v>
      </c>
      <c r="F115" s="42" t="s">
        <v>42</v>
      </c>
      <c r="G115" s="42" t="s">
        <v>42</v>
      </c>
      <c r="H115" s="43" t="s">
        <v>709</v>
      </c>
      <c r="I115" s="44" t="s">
        <v>43</v>
      </c>
      <c r="J115" s="42" t="s">
        <v>44</v>
      </c>
      <c r="K115" s="43" t="s">
        <v>47</v>
      </c>
      <c r="L115" s="42">
        <v>1</v>
      </c>
      <c r="M115" s="42">
        <v>2</v>
      </c>
      <c r="N115" s="42">
        <v>3</v>
      </c>
      <c r="O115" s="42">
        <v>3</v>
      </c>
      <c r="P115" s="43">
        <v>1</v>
      </c>
      <c r="Q115" s="42">
        <v>2</v>
      </c>
      <c r="R115" s="42">
        <v>2</v>
      </c>
      <c r="S115" s="42">
        <v>4</v>
      </c>
      <c r="T115" s="42">
        <v>4</v>
      </c>
      <c r="U115" s="43">
        <v>1</v>
      </c>
      <c r="V115" s="42">
        <v>5</v>
      </c>
      <c r="W115" s="42">
        <v>5</v>
      </c>
      <c r="X115" s="42">
        <v>6</v>
      </c>
      <c r="Y115" s="43">
        <v>8</v>
      </c>
      <c r="Z115" s="42">
        <v>4</v>
      </c>
      <c r="AA115" s="42" t="s">
        <v>45</v>
      </c>
      <c r="AB115" s="42" t="s">
        <v>45</v>
      </c>
      <c r="AC115" s="42" t="s">
        <v>45</v>
      </c>
      <c r="AD115" s="42" t="s">
        <v>45</v>
      </c>
      <c r="AE115" s="42" t="s">
        <v>45</v>
      </c>
      <c r="AF115" s="42" t="s">
        <v>45</v>
      </c>
      <c r="AG115" s="43" t="s">
        <v>45</v>
      </c>
      <c r="AH115" s="42">
        <v>1</v>
      </c>
      <c r="AI115" s="42">
        <v>1</v>
      </c>
      <c r="AJ115" s="43">
        <v>1</v>
      </c>
      <c r="AK115" s="45" t="s">
        <v>45</v>
      </c>
      <c r="AL115" s="45" t="s">
        <v>705</v>
      </c>
      <c r="AM115" s="46"/>
      <c r="AN115" s="46"/>
      <c r="AO115" s="47"/>
      <c r="AP115" s="48"/>
      <c r="AQ115" s="46">
        <f>($AM$3*AM115+$AN$3*AN115+$AO$3*AO115+$AP$3*AP115)+$I$3*VLOOKUP(I115,COND!$A$2:$E$7,4,FALSE)+$J$3*VLOOKUP(J115,COND!$A$2:$C$7,2,FALSE)+$K$3*VLOOKUP(K115,COND!$A$2:$C$7,3,FALSE)+IF(AND($B$2&gt;0,$E115&lt;20),$B$2*25,0)</f>
        <v>45</v>
      </c>
      <c r="AR115" s="49">
        <f>STANDARDIZE(AQ115,AVERAGE($AQ$5:$AQ$537),STDEVP($AQ$5:$AQ$537))</f>
        <v>0.81844496037161252</v>
      </c>
      <c r="AS115" s="47"/>
      <c r="AT115" s="47"/>
      <c r="AU115" s="47"/>
      <c r="AV115" s="47"/>
      <c r="AW115" s="47" t="str">
        <f>IF(AND($Q115&gt;=6,AVERAGE($S115:$T115)&gt;=6),"Likely",IF(OR($Q115&gt;6,AND($Q115=6,AVERAGE($S115:$T115)&gt;=3),AND($Q115&gt;=5,AVERAGE($S115:$T115)&gt;=5),AVERAGE($Q115,$S115:$T115)&gt;5),"Possible","Unlikely"))</f>
        <v>Unlikely</v>
      </c>
      <c r="AX115" s="47"/>
      <c r="AY115" s="47" t="str">
        <f>INDEX(Table5[[#All],[Ovr]],MATCH(Batters[[#This Row],[PID]],Table5[[#All],[PID]],0))</f>
        <v/>
      </c>
      <c r="AZ115" s="47" t="str">
        <f>INDEX(Table5[[#All],[Rnd]],MATCH(Batters[[#This Row],[PID]],Table5[[#All],[PID]],0))</f>
        <v/>
      </c>
      <c r="BA115" s="47" t="str">
        <f>INDEX(Table5[[#All],[Pick]],MATCH(Batters[[#This Row],[PID]],Table5[[#All],[PID]],0))</f>
        <v/>
      </c>
      <c r="BB115" s="47" t="str">
        <f>INDEX(Table5[[#All],[Team]],MATCH(Batters[[#This Row],[PID]],Table5[[#All],[PID]],0))</f>
        <v/>
      </c>
    </row>
    <row r="116" spans="1:54" ht="15" customHeight="1" x14ac:dyDescent="0.25">
      <c r="A116" s="42">
        <v>11807</v>
      </c>
      <c r="B116" s="42" t="s">
        <v>69</v>
      </c>
      <c r="C116" s="42" t="s">
        <v>128</v>
      </c>
      <c r="D116" s="42" t="s">
        <v>475</v>
      </c>
      <c r="E116" s="42">
        <v>22</v>
      </c>
      <c r="F116" s="42" t="s">
        <v>62</v>
      </c>
      <c r="G116" s="42" t="s">
        <v>42</v>
      </c>
      <c r="H116" s="43" t="s">
        <v>711</v>
      </c>
      <c r="I116" s="44" t="s">
        <v>43</v>
      </c>
      <c r="J116" s="42" t="s">
        <v>43</v>
      </c>
      <c r="K116" s="43" t="s">
        <v>43</v>
      </c>
      <c r="L116" s="42">
        <v>2</v>
      </c>
      <c r="M116" s="42">
        <v>2</v>
      </c>
      <c r="N116" s="42">
        <v>3</v>
      </c>
      <c r="O116" s="42">
        <v>1</v>
      </c>
      <c r="P116" s="43">
        <v>1</v>
      </c>
      <c r="Q116" s="42">
        <v>2</v>
      </c>
      <c r="R116" s="42">
        <v>3</v>
      </c>
      <c r="S116" s="42">
        <v>4</v>
      </c>
      <c r="T116" s="42">
        <v>3</v>
      </c>
      <c r="U116" s="43">
        <v>3</v>
      </c>
      <c r="V116" s="42">
        <v>8</v>
      </c>
      <c r="W116" s="42">
        <v>9</v>
      </c>
      <c r="X116" s="42">
        <v>1</v>
      </c>
      <c r="Y116" s="43">
        <v>1</v>
      </c>
      <c r="Z116" s="42" t="s">
        <v>45</v>
      </c>
      <c r="AA116" s="42" t="s">
        <v>45</v>
      </c>
      <c r="AB116" s="42" t="s">
        <v>45</v>
      </c>
      <c r="AC116" s="42">
        <v>6</v>
      </c>
      <c r="AD116" s="42" t="s">
        <v>45</v>
      </c>
      <c r="AE116" s="42" t="s">
        <v>45</v>
      </c>
      <c r="AF116" s="42" t="s">
        <v>45</v>
      </c>
      <c r="AG116" s="43" t="s">
        <v>45</v>
      </c>
      <c r="AH116" s="42">
        <v>1</v>
      </c>
      <c r="AI116" s="42">
        <v>1</v>
      </c>
      <c r="AJ116" s="43">
        <v>1</v>
      </c>
      <c r="AK116" s="45" t="s">
        <v>45</v>
      </c>
      <c r="AL116" s="45" t="s">
        <v>705</v>
      </c>
      <c r="AM116" s="46"/>
      <c r="AN116" s="46"/>
      <c r="AO116" s="47"/>
      <c r="AP116" s="48"/>
      <c r="AQ116" s="46">
        <f>($AM$3*AM116+$AN$3*AN116+$AO$3*AO116+$AP$3*AP116)+$I$3*VLOOKUP(I116,COND!$A$2:$E$7,4,FALSE)+$J$3*VLOOKUP(J116,COND!$A$2:$C$7,2,FALSE)+$K$3*VLOOKUP(K116,COND!$A$2:$C$7,3,FALSE)+IF(AND($B$2&gt;0,$E116&lt;20),$B$2*25,0)</f>
        <v>45</v>
      </c>
      <c r="AR116" s="49">
        <f>STANDARDIZE(AQ116,AVERAGE($AQ$5:$AQ$537),STDEVP($AQ$5:$AQ$537))</f>
        <v>0.81844496037161252</v>
      </c>
      <c r="AS116" s="47"/>
      <c r="AT116" s="47"/>
      <c r="AU116" s="47"/>
      <c r="AV116" s="47"/>
      <c r="AW116" s="47" t="str">
        <f>IF(AND($Q116&gt;=6,AVERAGE($S116:$T116)&gt;=6),"Likely",IF(OR($Q116&gt;6,AND($Q116=6,AVERAGE($S116:$T116)&gt;=3),AND($Q116&gt;=5,AVERAGE($S116:$T116)&gt;=5),AVERAGE($Q116,$S116:$T116)&gt;5),"Possible","Unlikely"))</f>
        <v>Unlikely</v>
      </c>
      <c r="AX116" s="47"/>
      <c r="AY116" s="47" t="str">
        <f>INDEX(Table5[[#All],[Ovr]],MATCH(Batters[[#This Row],[PID]],Table5[[#All],[PID]],0))</f>
        <v/>
      </c>
      <c r="AZ116" s="47" t="str">
        <f>INDEX(Table5[[#All],[Rnd]],MATCH(Batters[[#This Row],[PID]],Table5[[#All],[PID]],0))</f>
        <v/>
      </c>
      <c r="BA116" s="47" t="str">
        <f>INDEX(Table5[[#All],[Pick]],MATCH(Batters[[#This Row],[PID]],Table5[[#All],[PID]],0))</f>
        <v/>
      </c>
      <c r="BB116" s="47" t="str">
        <f>INDEX(Table5[[#All],[Team]],MATCH(Batters[[#This Row],[PID]],Table5[[#All],[PID]],0))</f>
        <v/>
      </c>
    </row>
    <row r="117" spans="1:54" ht="15" customHeight="1" x14ac:dyDescent="0.25">
      <c r="A117" s="42">
        <v>12887</v>
      </c>
      <c r="B117" s="42" t="s">
        <v>72</v>
      </c>
      <c r="C117" s="42" t="s">
        <v>1432</v>
      </c>
      <c r="D117" s="42" t="s">
        <v>1433</v>
      </c>
      <c r="E117" s="42">
        <v>21</v>
      </c>
      <c r="F117" s="42" t="s">
        <v>42</v>
      </c>
      <c r="G117" s="42" t="s">
        <v>42</v>
      </c>
      <c r="H117" s="43" t="s">
        <v>711</v>
      </c>
      <c r="I117" s="44" t="s">
        <v>43</v>
      </c>
      <c r="J117" s="42" t="s">
        <v>43</v>
      </c>
      <c r="K117" s="43" t="s">
        <v>43</v>
      </c>
      <c r="L117" s="42">
        <v>2</v>
      </c>
      <c r="M117" s="42">
        <v>2</v>
      </c>
      <c r="N117" s="42">
        <v>2</v>
      </c>
      <c r="O117" s="42">
        <v>3</v>
      </c>
      <c r="P117" s="43">
        <v>1</v>
      </c>
      <c r="Q117" s="42">
        <v>2</v>
      </c>
      <c r="R117" s="42">
        <v>4</v>
      </c>
      <c r="S117" s="42">
        <v>3</v>
      </c>
      <c r="T117" s="42">
        <v>5</v>
      </c>
      <c r="U117" s="43">
        <v>3</v>
      </c>
      <c r="V117" s="42">
        <v>5</v>
      </c>
      <c r="W117" s="42">
        <v>6</v>
      </c>
      <c r="X117" s="42">
        <v>1</v>
      </c>
      <c r="Y117" s="43">
        <v>1</v>
      </c>
      <c r="Z117" s="42" t="s">
        <v>45</v>
      </c>
      <c r="AA117" s="42" t="s">
        <v>45</v>
      </c>
      <c r="AB117" s="42">
        <v>2</v>
      </c>
      <c r="AC117" s="42" t="s">
        <v>45</v>
      </c>
      <c r="AD117" s="42">
        <v>1</v>
      </c>
      <c r="AE117" s="42" t="s">
        <v>45</v>
      </c>
      <c r="AF117" s="42" t="s">
        <v>45</v>
      </c>
      <c r="AG117" s="43">
        <v>1</v>
      </c>
      <c r="AH117" s="42">
        <v>5</v>
      </c>
      <c r="AI117" s="42">
        <v>5</v>
      </c>
      <c r="AJ117" s="43">
        <v>4</v>
      </c>
      <c r="AK117" s="45" t="s">
        <v>45</v>
      </c>
      <c r="AL117" s="45" t="s">
        <v>705</v>
      </c>
      <c r="AM117" s="46"/>
      <c r="AN117" s="46"/>
      <c r="AO117" s="47"/>
      <c r="AP117" s="48"/>
      <c r="AQ117" s="46">
        <f>($AM$3*AM117+$AN$3*AN117+$AO$3*AO117+$AP$3*AP117)+$I$3*VLOOKUP(I117,COND!$A$2:$E$7,4,FALSE)+$J$3*VLOOKUP(J117,COND!$A$2:$C$7,2,FALSE)+$K$3*VLOOKUP(K117,COND!$A$2:$C$7,3,FALSE)+IF(AND($B$2&gt;0,$E117&lt;20),$B$2*25,0)</f>
        <v>45</v>
      </c>
      <c r="AR117" s="49">
        <f>STANDARDIZE(AQ117,AVERAGE($AQ$5:$AQ$537),STDEVP($AQ$5:$AQ$537))</f>
        <v>0.81844496037161252</v>
      </c>
      <c r="AS117" s="47"/>
      <c r="AT117" s="47"/>
      <c r="AU117" s="47"/>
      <c r="AV117" s="47"/>
      <c r="AW117" s="47" t="str">
        <f>IF(AND($Q117&gt;=6,AVERAGE($S117:$T117)&gt;=6),"Likely",IF(OR($Q117&gt;6,AND($Q117=6,AVERAGE($S117:$T117)&gt;=3),AND($Q117&gt;=5,AVERAGE($S117:$T117)&gt;=5),AVERAGE($Q117,$S117:$T117)&gt;5),"Possible","Unlikely"))</f>
        <v>Unlikely</v>
      </c>
      <c r="AX117" s="47"/>
      <c r="AY117" s="47" t="str">
        <f>INDEX(Table5[[#All],[Ovr]],MATCH(Batters[[#This Row],[PID]],Table5[[#All],[PID]],0))</f>
        <v/>
      </c>
      <c r="AZ117" s="47" t="str">
        <f>INDEX(Table5[[#All],[Rnd]],MATCH(Batters[[#This Row],[PID]],Table5[[#All],[PID]],0))</f>
        <v/>
      </c>
      <c r="BA117" s="47" t="str">
        <f>INDEX(Table5[[#All],[Pick]],MATCH(Batters[[#This Row],[PID]],Table5[[#All],[PID]],0))</f>
        <v/>
      </c>
      <c r="BB117" s="47" t="str">
        <f>INDEX(Table5[[#All],[Team]],MATCH(Batters[[#This Row],[PID]],Table5[[#All],[PID]],0))</f>
        <v/>
      </c>
    </row>
    <row r="118" spans="1:54" ht="15" customHeight="1" x14ac:dyDescent="0.25">
      <c r="A118" s="42">
        <v>17814</v>
      </c>
      <c r="B118" s="42" t="s">
        <v>86</v>
      </c>
      <c r="C118" s="42" t="s">
        <v>1437</v>
      </c>
      <c r="D118" s="42" t="s">
        <v>1438</v>
      </c>
      <c r="E118" s="42">
        <v>21</v>
      </c>
      <c r="F118" s="42" t="s">
        <v>42</v>
      </c>
      <c r="G118" s="42" t="s">
        <v>42</v>
      </c>
      <c r="H118" s="43" t="s">
        <v>709</v>
      </c>
      <c r="I118" s="44" t="s">
        <v>43</v>
      </c>
      <c r="J118" s="42" t="s">
        <v>43</v>
      </c>
      <c r="K118" s="43" t="s">
        <v>43</v>
      </c>
      <c r="L118" s="42">
        <v>2</v>
      </c>
      <c r="M118" s="42">
        <v>3</v>
      </c>
      <c r="N118" s="42">
        <v>3</v>
      </c>
      <c r="O118" s="42">
        <v>3</v>
      </c>
      <c r="P118" s="43">
        <v>1</v>
      </c>
      <c r="Q118" s="42">
        <v>2</v>
      </c>
      <c r="R118" s="42">
        <v>5</v>
      </c>
      <c r="S118" s="42">
        <v>3</v>
      </c>
      <c r="T118" s="42">
        <v>6</v>
      </c>
      <c r="U118" s="43">
        <v>2</v>
      </c>
      <c r="V118" s="42">
        <v>3</v>
      </c>
      <c r="W118" s="42">
        <v>4</v>
      </c>
      <c r="X118" s="42">
        <v>5</v>
      </c>
      <c r="Y118" s="43">
        <v>8</v>
      </c>
      <c r="Z118" s="42">
        <v>2</v>
      </c>
      <c r="AA118" s="42" t="s">
        <v>45</v>
      </c>
      <c r="AB118" s="42" t="s">
        <v>45</v>
      </c>
      <c r="AC118" s="42" t="s">
        <v>45</v>
      </c>
      <c r="AD118" s="42" t="s">
        <v>45</v>
      </c>
      <c r="AE118" s="42" t="s">
        <v>45</v>
      </c>
      <c r="AF118" s="42" t="s">
        <v>45</v>
      </c>
      <c r="AG118" s="43" t="s">
        <v>45</v>
      </c>
      <c r="AH118" s="42">
        <v>1</v>
      </c>
      <c r="AI118" s="42">
        <v>4</v>
      </c>
      <c r="AJ118" s="43">
        <v>2</v>
      </c>
      <c r="AK118" s="45" t="s">
        <v>45</v>
      </c>
      <c r="AL118" s="45" t="s">
        <v>47</v>
      </c>
      <c r="AM118" s="46"/>
      <c r="AN118" s="46"/>
      <c r="AO118" s="47"/>
      <c r="AP118" s="48"/>
      <c r="AQ118" s="46">
        <f>($AM$3*AM118+$AN$3*AN118+$AO$3*AO118+$AP$3*AP118)+$I$3*VLOOKUP(I118,COND!$A$2:$E$7,4,FALSE)+$J$3*VLOOKUP(J118,COND!$A$2:$C$7,2,FALSE)+$K$3*VLOOKUP(K118,COND!$A$2:$C$7,3,FALSE)+IF(AND($B$2&gt;0,$E118&lt;20),$B$2*25,0)</f>
        <v>45</v>
      </c>
      <c r="AR118" s="49">
        <f>STANDARDIZE(AQ118,AVERAGE($AQ$5:$AQ$537),STDEVP($AQ$5:$AQ$537))</f>
        <v>0.81844496037161252</v>
      </c>
      <c r="AS118" s="47"/>
      <c r="AT118" s="47"/>
      <c r="AU118" s="47"/>
      <c r="AV118" s="47"/>
      <c r="AW118" s="47" t="str">
        <f>IF(AND($Q118&gt;=6,AVERAGE($S118:$T118)&gt;=6),"Likely",IF(OR($Q118&gt;6,AND($Q118=6,AVERAGE($S118:$T118)&gt;=3),AND($Q118&gt;=5,AVERAGE($S118:$T118)&gt;=5),AVERAGE($Q118,$S118:$T118)&gt;5),"Possible","Unlikely"))</f>
        <v>Unlikely</v>
      </c>
      <c r="AX118" s="47"/>
      <c r="AY118" s="47" t="str">
        <f>INDEX(Table5[[#All],[Ovr]],MATCH(Batters[[#This Row],[PID]],Table5[[#All],[PID]],0))</f>
        <v/>
      </c>
      <c r="AZ118" s="47" t="str">
        <f>INDEX(Table5[[#All],[Rnd]],MATCH(Batters[[#This Row],[PID]],Table5[[#All],[PID]],0))</f>
        <v/>
      </c>
      <c r="BA118" s="47" t="str">
        <f>INDEX(Table5[[#All],[Pick]],MATCH(Batters[[#This Row],[PID]],Table5[[#All],[PID]],0))</f>
        <v/>
      </c>
      <c r="BB118" s="47" t="str">
        <f>INDEX(Table5[[#All],[Team]],MATCH(Batters[[#This Row],[PID]],Table5[[#All],[PID]],0))</f>
        <v/>
      </c>
    </row>
    <row r="119" spans="1:54" ht="15" customHeight="1" x14ac:dyDescent="0.25">
      <c r="A119" s="42">
        <v>14541</v>
      </c>
      <c r="B119" s="42" t="s">
        <v>69</v>
      </c>
      <c r="C119" s="42" t="s">
        <v>291</v>
      </c>
      <c r="D119" s="42" t="s">
        <v>1091</v>
      </c>
      <c r="E119" s="42">
        <v>21</v>
      </c>
      <c r="F119" s="42" t="s">
        <v>53</v>
      </c>
      <c r="G119" s="42" t="s">
        <v>42</v>
      </c>
      <c r="H119" s="43" t="s">
        <v>703</v>
      </c>
      <c r="I119" s="44" t="s">
        <v>43</v>
      </c>
      <c r="J119" s="42" t="s">
        <v>43</v>
      </c>
      <c r="K119" s="43" t="s">
        <v>44</v>
      </c>
      <c r="L119" s="42">
        <v>3</v>
      </c>
      <c r="M119" s="42">
        <v>6</v>
      </c>
      <c r="N119" s="42">
        <v>4</v>
      </c>
      <c r="O119" s="42">
        <v>4</v>
      </c>
      <c r="P119" s="43">
        <v>1</v>
      </c>
      <c r="Q119" s="42">
        <v>4</v>
      </c>
      <c r="R119" s="42">
        <v>6</v>
      </c>
      <c r="S119" s="42">
        <v>6</v>
      </c>
      <c r="T119" s="42">
        <v>6</v>
      </c>
      <c r="U119" s="43">
        <v>3</v>
      </c>
      <c r="V119" s="42">
        <v>8</v>
      </c>
      <c r="W119" s="42">
        <v>7</v>
      </c>
      <c r="X119" s="42">
        <v>1</v>
      </c>
      <c r="Y119" s="43">
        <v>1</v>
      </c>
      <c r="Z119" s="42" t="s">
        <v>45</v>
      </c>
      <c r="AA119" s="42" t="s">
        <v>45</v>
      </c>
      <c r="AB119" s="42" t="s">
        <v>45</v>
      </c>
      <c r="AC119" s="42">
        <v>4</v>
      </c>
      <c r="AD119" s="42" t="s">
        <v>45</v>
      </c>
      <c r="AE119" s="42">
        <v>2</v>
      </c>
      <c r="AF119" s="42" t="s">
        <v>45</v>
      </c>
      <c r="AG119" s="43">
        <v>2</v>
      </c>
      <c r="AH119" s="42">
        <v>4</v>
      </c>
      <c r="AI119" s="42">
        <v>4</v>
      </c>
      <c r="AJ119" s="43">
        <v>1</v>
      </c>
      <c r="AK119" s="45" t="s">
        <v>45</v>
      </c>
      <c r="AL119" s="45" t="s">
        <v>47</v>
      </c>
      <c r="AM119" s="46">
        <f>($L$3*(L119-$Q$1)/$Q$2+$M$3*(M119-$R$1)/$R$2+$N$3*(N119-$S$1)/$S$2+$O$3*(O119-$T$1)/$T$2+$P$3*(P119-$U$1)/$U$2)/(SUM($L$3:$P$3))</f>
        <v>-0.66561914722825744</v>
      </c>
      <c r="AN119" s="46">
        <f>($L$3*(Q119-$Q$1)/$Q$2+$M$3*(R119-$R$1)/$R$2+$N$3*(S119-$S$1)/$S$2+$O$3*(T119-$T$1)/$T$2+$P$3*(U119-$U$1)/$U$2)/(SUM($L$3:$P$3))</f>
        <v>8.2511456675549238E-2</v>
      </c>
      <c r="AO119" s="47">
        <f>IF(AVERAGE(AH119:AI119)&gt;9,1,0)+IF(AVERAGE(AH119:AI119)&gt;7,1,0)+IF(AH119&gt;7,1,0)+IF(AI119&gt;7,1,0)+IF(AJ119&gt;8,1,0)+IF(AJ119&gt;6,1,0)</f>
        <v>0</v>
      </c>
      <c r="AP119" s="48">
        <f>MIN(2,IF(OR(Z119="-",X119&lt;5),0,1+IF(Y119&gt;7,0.35,IF(Y119&gt;5,0.1,0))+IF(Z119&gt;7,1+IF(X119&gt;7,0.25,0),IF(Z119&gt;4,0.5+IF(X119&gt;7,0.25,0),0+IF(X119&gt;7,0.25))))+IF(AA119="-",0,IF(AA119&gt;9,0.5,IF(AA119&gt;7,0.25,0)))+IF(AB119="-",0,IF(AB119&gt;7,1.1,IF(AB119&gt;4,0.6,0)))+IF(OR(AC119="-",V119&lt;5),0,IF(AC119&gt;7,1+IF(V119&gt;7,0.25,0),IF(AC119&gt;4,0.5+IF(V119&gt;7,0.25,0),0)))+IF(AD119="-",0,IF(AD119&gt;7,1.5,IF(AD119&gt;4,1,0)))+IF(AE119="-",0,IF(AE119&gt;9,0.5,IF(AE119&gt;7,0.25,0)))+IF(AF119="-",0,IF(AF119&gt;7,1.25,IF(AF119&gt;4,0.75,0)))+IF(OR(AG119="-",W119&lt;4),0,IF(AG119&gt;7,1+IF(W119&gt;7,0.15,0),IF(AG119&gt;4,0.5+IF(W119&gt;7,0.15,0),0))))</f>
        <v>0</v>
      </c>
      <c r="AQ119" s="46">
        <f>($AM$3*AM119+$AN$3*AN119+$AO$3*AO119+$AP$3*AP119)+$I$3*VLOOKUP(I119,COND!$A$2:$E$7,4,FALSE)+$J$3*VLOOKUP(J119,COND!$A$2:$C$7,2,FALSE)+$K$3*VLOOKUP(K119,COND!$A$2:$C$7,3,FALSE)+IF(AND($B$2&gt;0,$E119&lt;20),$B$2*25,0)</f>
        <v>45.62357556538376</v>
      </c>
      <c r="AR119" s="49">
        <f>STANDARDIZE(AQ119,AVERAGE($AQ$5:$AQ$537),STDEVP($AQ$5:$AQ$537))</f>
        <v>0.9281589366284988</v>
      </c>
      <c r="AS119" s="47" t="str">
        <f>IF(AND(Z119&lt;&gt;"-",Y119&gt;1),"C",IF(AB119=MAX(AB119:AD119),"2B",IF(AD119=MAX(AB119:AD119),"SS",IF(OR(AC119=MAX(AA119:AD119),AND(AC119&lt;&gt;"-",AC119&gt;4,V119&gt;5)),"3B",IF(AF119=MAX(AE119:AG119),"CF",IF(AND(AG119=MAX(AE119,AG119),AND(W119&gt;5,AG119&lt;&gt;"-")),"RF",IF(AE119&lt;&gt;"-","LF",IF(AA119&lt;&gt;"-","1B","DH"))))))))</f>
        <v>3B</v>
      </c>
      <c r="AT119" s="47"/>
      <c r="AU119" s="47"/>
      <c r="AV119" s="47"/>
      <c r="AW119" s="47" t="str">
        <f>IF(AND($Q119&gt;=6,AVERAGE($S119:$T119)&gt;=6),"Likely",IF(OR($Q119&gt;6,AND($Q119=6,AVERAGE($S119:$T119)&gt;=3),AND($Q119&gt;=5,AVERAGE($S119:$T119)&gt;=5),AVERAGE($Q119,$S119:$T119)&gt;5),"Possible","Unlikely"))</f>
        <v>Possible</v>
      </c>
      <c r="AX119" s="47"/>
      <c r="AY119" s="47" t="str">
        <f>INDEX(Table5[[#All],[Ovr]],MATCH(Batters[[#This Row],[PID]],Table5[[#All],[PID]],0))</f>
        <v/>
      </c>
      <c r="AZ119" s="47" t="str">
        <f>INDEX(Table5[[#All],[Rnd]],MATCH(Batters[[#This Row],[PID]],Table5[[#All],[PID]],0))</f>
        <v/>
      </c>
      <c r="BA119" s="47" t="str">
        <f>INDEX(Table5[[#All],[Pick]],MATCH(Batters[[#This Row],[PID]],Table5[[#All],[PID]],0))</f>
        <v/>
      </c>
      <c r="BB119" s="47" t="str">
        <f>INDEX(Table5[[#All],[Team]],MATCH(Batters[[#This Row],[PID]],Table5[[#All],[PID]],0))</f>
        <v/>
      </c>
    </row>
    <row r="120" spans="1:54" ht="15" customHeight="1" x14ac:dyDescent="0.25">
      <c r="A120" s="42">
        <v>6254</v>
      </c>
      <c r="B120" s="42" t="s">
        <v>86</v>
      </c>
      <c r="C120" s="42" t="s">
        <v>134</v>
      </c>
      <c r="D120" s="42" t="s">
        <v>687</v>
      </c>
      <c r="E120" s="42">
        <v>20</v>
      </c>
      <c r="F120" s="42" t="s">
        <v>42</v>
      </c>
      <c r="G120" s="42" t="s">
        <v>42</v>
      </c>
      <c r="H120" s="43" t="s">
        <v>709</v>
      </c>
      <c r="I120" s="44" t="s">
        <v>44</v>
      </c>
      <c r="J120" s="42" t="s">
        <v>43</v>
      </c>
      <c r="K120" s="43" t="s">
        <v>43</v>
      </c>
      <c r="L120" s="42">
        <v>1</v>
      </c>
      <c r="M120" s="42">
        <v>1</v>
      </c>
      <c r="N120" s="42">
        <v>2</v>
      </c>
      <c r="O120" s="42">
        <v>2</v>
      </c>
      <c r="P120" s="43">
        <v>1</v>
      </c>
      <c r="Q120" s="42">
        <v>2</v>
      </c>
      <c r="R120" s="42">
        <v>2</v>
      </c>
      <c r="S120" s="42">
        <v>3</v>
      </c>
      <c r="T120" s="42">
        <v>6</v>
      </c>
      <c r="U120" s="43">
        <v>1</v>
      </c>
      <c r="V120" s="42">
        <v>4</v>
      </c>
      <c r="W120" s="42">
        <v>3</v>
      </c>
      <c r="X120" s="42">
        <v>7</v>
      </c>
      <c r="Y120" s="43">
        <v>5</v>
      </c>
      <c r="Z120" s="42" t="s">
        <v>45</v>
      </c>
      <c r="AA120" s="42" t="s">
        <v>45</v>
      </c>
      <c r="AB120" s="42" t="s">
        <v>45</v>
      </c>
      <c r="AC120" s="42" t="s">
        <v>45</v>
      </c>
      <c r="AD120" s="42" t="s">
        <v>45</v>
      </c>
      <c r="AE120" s="42" t="s">
        <v>45</v>
      </c>
      <c r="AF120" s="42" t="s">
        <v>45</v>
      </c>
      <c r="AG120" s="43" t="s">
        <v>45</v>
      </c>
      <c r="AH120" s="42">
        <v>1</v>
      </c>
      <c r="AI120" s="42">
        <v>2</v>
      </c>
      <c r="AJ120" s="43">
        <v>1</v>
      </c>
      <c r="AK120" s="45" t="s">
        <v>45</v>
      </c>
      <c r="AL120" s="45" t="s">
        <v>705</v>
      </c>
      <c r="AM120" s="46"/>
      <c r="AN120" s="46"/>
      <c r="AO120" s="47"/>
      <c r="AP120" s="48"/>
      <c r="AQ120" s="46">
        <f>($AM$3*AM120+$AN$3*AN120+$AO$3*AO120+$AP$3*AP120)+$I$3*VLOOKUP(I120,COND!$A$2:$E$7,4,FALSE)+$J$3*VLOOKUP(J120,COND!$A$2:$C$7,2,FALSE)+$K$3*VLOOKUP(K120,COND!$A$2:$C$7,3,FALSE)+IF(AND($B$2&gt;0,$E120&lt;20),$B$2*25,0)</f>
        <v>44.85</v>
      </c>
      <c r="AR120" s="49">
        <f>STANDARDIZE(AQ120,AVERAGE($AQ$5:$AQ$537),STDEVP($AQ$5:$AQ$537))</f>
        <v>0.7920534573171194</v>
      </c>
      <c r="AS120" s="47"/>
      <c r="AT120" s="47"/>
      <c r="AU120" s="47"/>
      <c r="AV120" s="47"/>
      <c r="AW120" s="47" t="str">
        <f>IF(AND($Q120&gt;=6,AVERAGE($S120:$T120)&gt;=6),"Likely",IF(OR($Q120&gt;6,AND($Q120=6,AVERAGE($S120:$T120)&gt;=3),AND($Q120&gt;=5,AVERAGE($S120:$T120)&gt;=5),AVERAGE($Q120,$S120:$T120)&gt;5),"Possible","Unlikely"))</f>
        <v>Unlikely</v>
      </c>
      <c r="AX120" s="47"/>
      <c r="AY120" s="47" t="str">
        <f>INDEX(Table5[[#All],[Ovr]],MATCH(Batters[[#This Row],[PID]],Table5[[#All],[PID]],0))</f>
        <v/>
      </c>
      <c r="AZ120" s="47" t="str">
        <f>INDEX(Table5[[#All],[Rnd]],MATCH(Batters[[#This Row],[PID]],Table5[[#All],[PID]],0))</f>
        <v/>
      </c>
      <c r="BA120" s="47" t="str">
        <f>INDEX(Table5[[#All],[Pick]],MATCH(Batters[[#This Row],[PID]],Table5[[#All],[PID]],0))</f>
        <v/>
      </c>
      <c r="BB120" s="47" t="str">
        <f>INDEX(Table5[[#All],[Team]],MATCH(Batters[[#This Row],[PID]],Table5[[#All],[PID]],0))</f>
        <v/>
      </c>
    </row>
    <row r="121" spans="1:54" ht="15" customHeight="1" x14ac:dyDescent="0.25">
      <c r="A121" s="42">
        <v>16004</v>
      </c>
      <c r="B121" s="42" t="s">
        <v>71</v>
      </c>
      <c r="C121" s="42" t="s">
        <v>177</v>
      </c>
      <c r="D121" s="42" t="s">
        <v>1421</v>
      </c>
      <c r="E121" s="42">
        <v>21</v>
      </c>
      <c r="F121" s="42" t="s">
        <v>42</v>
      </c>
      <c r="G121" s="42" t="s">
        <v>42</v>
      </c>
      <c r="H121" s="43" t="s">
        <v>721</v>
      </c>
      <c r="I121" s="44" t="s">
        <v>44</v>
      </c>
      <c r="J121" s="42" t="s">
        <v>43</v>
      </c>
      <c r="K121" s="43" t="s">
        <v>43</v>
      </c>
      <c r="L121" s="42">
        <v>1</v>
      </c>
      <c r="M121" s="42">
        <v>1</v>
      </c>
      <c r="N121" s="42">
        <v>2</v>
      </c>
      <c r="O121" s="42">
        <v>2</v>
      </c>
      <c r="P121" s="43">
        <v>2</v>
      </c>
      <c r="Q121" s="42">
        <v>2</v>
      </c>
      <c r="R121" s="42">
        <v>2</v>
      </c>
      <c r="S121" s="42">
        <v>2</v>
      </c>
      <c r="T121" s="42">
        <v>3</v>
      </c>
      <c r="U121" s="43">
        <v>5</v>
      </c>
      <c r="V121" s="42">
        <v>4</v>
      </c>
      <c r="W121" s="42">
        <v>1</v>
      </c>
      <c r="X121" s="42">
        <v>1</v>
      </c>
      <c r="Y121" s="43">
        <v>1</v>
      </c>
      <c r="Z121" s="42" t="s">
        <v>45</v>
      </c>
      <c r="AA121" s="42" t="s">
        <v>45</v>
      </c>
      <c r="AB121" s="42">
        <v>1</v>
      </c>
      <c r="AC121" s="42" t="s">
        <v>45</v>
      </c>
      <c r="AD121" s="42" t="s">
        <v>45</v>
      </c>
      <c r="AE121" s="42" t="s">
        <v>45</v>
      </c>
      <c r="AF121" s="42" t="s">
        <v>45</v>
      </c>
      <c r="AG121" s="43" t="s">
        <v>45</v>
      </c>
      <c r="AH121" s="42">
        <v>3</v>
      </c>
      <c r="AI121" s="42">
        <v>1</v>
      </c>
      <c r="AJ121" s="43">
        <v>1</v>
      </c>
      <c r="AK121" s="45" t="s">
        <v>45</v>
      </c>
      <c r="AL121" s="45" t="s">
        <v>47</v>
      </c>
      <c r="AM121" s="46"/>
      <c r="AN121" s="46"/>
      <c r="AO121" s="47"/>
      <c r="AP121" s="48"/>
      <c r="AQ121" s="46">
        <f>($AM$3*AM121+$AN$3*AN121+$AO$3*AO121+$AP$3*AP121)+$I$3*VLOOKUP(I121,COND!$A$2:$E$7,4,FALSE)+$J$3*VLOOKUP(J121,COND!$A$2:$C$7,2,FALSE)+$K$3*VLOOKUP(K121,COND!$A$2:$C$7,3,FALSE)+IF(AND($B$2&gt;0,$E121&lt;20),$B$2*25,0)</f>
        <v>44.85</v>
      </c>
      <c r="AR121" s="49">
        <f>STANDARDIZE(AQ121,AVERAGE($AQ$5:$AQ$537),STDEVP($AQ$5:$AQ$537))</f>
        <v>0.7920534573171194</v>
      </c>
      <c r="AS121" s="47"/>
      <c r="AT121" s="47"/>
      <c r="AU121" s="47"/>
      <c r="AV121" s="47"/>
      <c r="AW121" s="47" t="str">
        <f>IF(AND($Q121&gt;=6,AVERAGE($S121:$T121)&gt;=6),"Likely",IF(OR($Q121&gt;6,AND($Q121=6,AVERAGE($S121:$T121)&gt;=3),AND($Q121&gt;=5,AVERAGE($S121:$T121)&gt;=5),AVERAGE($Q121,$S121:$T121)&gt;5),"Possible","Unlikely"))</f>
        <v>Unlikely</v>
      </c>
      <c r="AX121" s="47"/>
      <c r="AY121" s="47" t="str">
        <f>INDEX(Table5[[#All],[Ovr]],MATCH(Batters[[#This Row],[PID]],Table5[[#All],[PID]],0))</f>
        <v/>
      </c>
      <c r="AZ121" s="47" t="str">
        <f>INDEX(Table5[[#All],[Rnd]],MATCH(Batters[[#This Row],[PID]],Table5[[#All],[PID]],0))</f>
        <v/>
      </c>
      <c r="BA121" s="47" t="str">
        <f>INDEX(Table5[[#All],[Pick]],MATCH(Batters[[#This Row],[PID]],Table5[[#All],[PID]],0))</f>
        <v/>
      </c>
      <c r="BB121" s="47" t="str">
        <f>INDEX(Table5[[#All],[Team]],MATCH(Batters[[#This Row],[PID]],Table5[[#All],[PID]],0))</f>
        <v/>
      </c>
    </row>
    <row r="122" spans="1:54" ht="15" customHeight="1" x14ac:dyDescent="0.25">
      <c r="A122" s="42">
        <v>7276</v>
      </c>
      <c r="B122" s="42" t="s">
        <v>66</v>
      </c>
      <c r="C122" s="42" t="s">
        <v>1130</v>
      </c>
      <c r="D122" s="42" t="s">
        <v>625</v>
      </c>
      <c r="E122" s="42">
        <v>21</v>
      </c>
      <c r="F122" s="42" t="s">
        <v>42</v>
      </c>
      <c r="G122" s="42" t="s">
        <v>42</v>
      </c>
      <c r="H122" s="43" t="s">
        <v>709</v>
      </c>
      <c r="I122" s="44" t="s">
        <v>43</v>
      </c>
      <c r="J122" s="42" t="s">
        <v>43</v>
      </c>
      <c r="K122" s="43" t="s">
        <v>43</v>
      </c>
      <c r="L122" s="42">
        <v>2</v>
      </c>
      <c r="M122" s="42">
        <v>5</v>
      </c>
      <c r="N122" s="42">
        <v>3</v>
      </c>
      <c r="O122" s="42">
        <v>4</v>
      </c>
      <c r="P122" s="43">
        <v>2</v>
      </c>
      <c r="Q122" s="42">
        <v>4</v>
      </c>
      <c r="R122" s="42">
        <v>5</v>
      </c>
      <c r="S122" s="42">
        <v>5</v>
      </c>
      <c r="T122" s="42">
        <v>6</v>
      </c>
      <c r="U122" s="43">
        <v>4</v>
      </c>
      <c r="V122" s="42">
        <v>4</v>
      </c>
      <c r="W122" s="42">
        <v>6</v>
      </c>
      <c r="X122" s="42">
        <v>1</v>
      </c>
      <c r="Y122" s="43">
        <v>1</v>
      </c>
      <c r="Z122" s="42" t="s">
        <v>45</v>
      </c>
      <c r="AA122" s="42" t="s">
        <v>45</v>
      </c>
      <c r="AB122" s="42" t="s">
        <v>45</v>
      </c>
      <c r="AC122" s="42" t="s">
        <v>45</v>
      </c>
      <c r="AD122" s="42" t="s">
        <v>45</v>
      </c>
      <c r="AE122" s="42" t="s">
        <v>45</v>
      </c>
      <c r="AF122" s="42" t="s">
        <v>45</v>
      </c>
      <c r="AG122" s="43">
        <v>3</v>
      </c>
      <c r="AH122" s="42">
        <v>5</v>
      </c>
      <c r="AI122" s="42">
        <v>2</v>
      </c>
      <c r="AJ122" s="43">
        <v>2</v>
      </c>
      <c r="AK122" s="45" t="s">
        <v>717</v>
      </c>
      <c r="AL122" s="45" t="s">
        <v>705</v>
      </c>
      <c r="AM122" s="46">
        <f>($L$3*(L122-$Q$1)/$Q$2+$M$3*(M122-$R$1)/$R$2+$N$3*(N122-$S$1)/$S$2+$O$3*(O122-$T$1)/$T$2+$P$3*(P122-$U$1)/$U$2)/(SUM($L$3:$P$3))</f>
        <v>-1.0822800172564537</v>
      </c>
      <c r="AN122" s="46">
        <f>($L$3*(Q122-$Q$1)/$Q$2+$M$3*(R122-$R$1)/$R$2+$N$3*(S122-$S$1)/$S$2+$O$3*(T122-$T$1)/$T$2+$P$3*(U122-$U$1)/$U$2)/(SUM($L$3:$P$3))</f>
        <v>-1.1593577149972334E-2</v>
      </c>
      <c r="AO122" s="47">
        <f>IF(AVERAGE(AH122:AI122)&gt;9,1,0)+IF(AVERAGE(AH122:AI122)&gt;7,1,0)+IF(AH122&gt;7,1,0)+IF(AI122&gt;7,1,0)+IF(AJ122&gt;8,1,0)+IF(AJ122&gt;6,1,0)</f>
        <v>0</v>
      </c>
      <c r="AP122" s="48">
        <f>MIN(2,IF(OR(Z122="-",X122&lt;5),0,1+IF(Y122&gt;7,0.35,IF(Y122&gt;5,0.1,0))+IF(Z122&gt;7,1+IF(X122&gt;7,0.25,0),IF(Z122&gt;4,0.5+IF(X122&gt;7,0.25,0),0+IF(X122&gt;7,0.25))))+IF(AA122="-",0,IF(AA122&gt;9,0.5,IF(AA122&gt;7,0.25,0)))+IF(AB122="-",0,IF(AB122&gt;7,1.1,IF(AB122&gt;4,0.6,0)))+IF(OR(AC122="-",V122&lt;5),0,IF(AC122&gt;7,1+IF(V122&gt;7,0.25,0),IF(AC122&gt;4,0.5+IF(V122&gt;7,0.25,0),0)))+IF(AD122="-",0,IF(AD122&gt;7,1.5,IF(AD122&gt;4,1,0)))+IF(AE122="-",0,IF(AE122&gt;9,0.5,IF(AE122&gt;7,0.25,0)))+IF(AF122="-",0,IF(AF122&gt;7,1.25,IF(AF122&gt;4,0.75,0)))+IF(OR(AG122="-",W122&lt;4),0,IF(AG122&gt;7,1+IF(W122&gt;7,0.15,0),IF(AG122&gt;4,0.5+IF(W122&gt;7,0.15,0),0))))</f>
        <v>0</v>
      </c>
      <c r="AQ122" s="46">
        <f>($AM$3*AM122+$AN$3*AN122+$AO$3*AO122+$AP$3*AP122)+$I$3*VLOOKUP(I122,COND!$A$2:$E$7,4,FALSE)+$J$3*VLOOKUP(J122,COND!$A$2:$C$7,2,FALSE)+$K$3*VLOOKUP(K122,COND!$A$2:$C$7,3,FALSE)+IF(AND($B$2&gt;0,$E122&lt;20),$B$2*25,0)</f>
        <v>44.752649072474682</v>
      </c>
      <c r="AR122" s="49">
        <f>STANDARDIZE(AQ122,AVERAGE($AQ$5:$AQ$537),STDEVP($AQ$5:$AQ$537))</f>
        <v>0.77492520864283798</v>
      </c>
      <c r="AS122" s="47" t="str">
        <f>IF(AND(Z122&lt;&gt;"-",Y122&gt;1),"C",IF(AB122=MAX(AB122:AD122),"2B",IF(AD122=MAX(AB122:AD122),"SS",IF(OR(AC122=MAX(AA122:AD122),AND(AC122&lt;&gt;"-",AC122&gt;4,V122&gt;5)),"3B",IF(AF122=MAX(AE122:AG122),"CF",IF(AND(AG122=MAX(AE122,AG122),AND(W122&gt;5,AG122&lt;&gt;"-")),"RF",IF(AE122&lt;&gt;"-","LF",IF(AA122&lt;&gt;"-","1B","DH"))))))))</f>
        <v>RF</v>
      </c>
      <c r="AT122" s="47"/>
      <c r="AU122" s="47"/>
      <c r="AV122" s="47"/>
      <c r="AW122" s="47" t="str">
        <f>IF(AND($Q122&gt;=6,AVERAGE($S122:$T122)&gt;=6),"Likely",IF(OR($Q122&gt;6,AND($Q122=6,AVERAGE($S122:$T122)&gt;=3),AND($Q122&gt;=5,AVERAGE($S122:$T122)&gt;=5),AVERAGE($Q122,$S122:$T122)&gt;5),"Possible","Unlikely"))</f>
        <v>Unlikely</v>
      </c>
      <c r="AX122" s="47"/>
      <c r="AY122" s="47" t="str">
        <f>INDEX(Table5[[#All],[Ovr]],MATCH(Batters[[#This Row],[PID]],Table5[[#All],[PID]],0))</f>
        <v/>
      </c>
      <c r="AZ122" s="47" t="str">
        <f>INDEX(Table5[[#All],[Rnd]],MATCH(Batters[[#This Row],[PID]],Table5[[#All],[PID]],0))</f>
        <v/>
      </c>
      <c r="BA122" s="47" t="str">
        <f>INDEX(Table5[[#All],[Pick]],MATCH(Batters[[#This Row],[PID]],Table5[[#All],[PID]],0))</f>
        <v/>
      </c>
      <c r="BB122" s="47" t="str">
        <f>INDEX(Table5[[#All],[Team]],MATCH(Batters[[#This Row],[PID]],Table5[[#All],[PID]],0))</f>
        <v/>
      </c>
    </row>
    <row r="123" spans="1:54" ht="15" customHeight="1" x14ac:dyDescent="0.25">
      <c r="A123" s="42">
        <v>10452</v>
      </c>
      <c r="B123" s="42" t="s">
        <v>87</v>
      </c>
      <c r="C123" s="42" t="s">
        <v>604</v>
      </c>
      <c r="D123" s="42" t="s">
        <v>1267</v>
      </c>
      <c r="E123" s="42">
        <v>18</v>
      </c>
      <c r="F123" s="42" t="s">
        <v>42</v>
      </c>
      <c r="G123" s="42" t="s">
        <v>53</v>
      </c>
      <c r="H123" s="43" t="s">
        <v>709</v>
      </c>
      <c r="I123" s="44" t="s">
        <v>47</v>
      </c>
      <c r="J123" s="42" t="s">
        <v>43</v>
      </c>
      <c r="K123" s="43" t="s">
        <v>43</v>
      </c>
      <c r="L123" s="42">
        <v>1</v>
      </c>
      <c r="M123" s="42">
        <v>2</v>
      </c>
      <c r="N123" s="42">
        <v>3</v>
      </c>
      <c r="O123" s="42">
        <v>2</v>
      </c>
      <c r="P123" s="43">
        <v>1</v>
      </c>
      <c r="Q123" s="42">
        <v>3</v>
      </c>
      <c r="R123" s="42">
        <v>3</v>
      </c>
      <c r="S123" s="42">
        <v>6</v>
      </c>
      <c r="T123" s="42">
        <v>5</v>
      </c>
      <c r="U123" s="43">
        <v>3</v>
      </c>
      <c r="V123" s="42">
        <v>5</v>
      </c>
      <c r="W123" s="42">
        <v>1</v>
      </c>
      <c r="X123" s="42">
        <v>1</v>
      </c>
      <c r="Y123" s="43">
        <v>1</v>
      </c>
      <c r="Z123" s="42" t="s">
        <v>45</v>
      </c>
      <c r="AA123" s="42">
        <v>2</v>
      </c>
      <c r="AB123" s="42" t="s">
        <v>45</v>
      </c>
      <c r="AC123" s="42" t="s">
        <v>45</v>
      </c>
      <c r="AD123" s="42" t="s">
        <v>45</v>
      </c>
      <c r="AE123" s="42" t="s">
        <v>45</v>
      </c>
      <c r="AF123" s="42" t="s">
        <v>45</v>
      </c>
      <c r="AG123" s="43" t="s">
        <v>45</v>
      </c>
      <c r="AH123" s="42">
        <v>5</v>
      </c>
      <c r="AI123" s="42">
        <v>9</v>
      </c>
      <c r="AJ123" s="43">
        <v>10</v>
      </c>
      <c r="AK123" s="45" t="s">
        <v>787</v>
      </c>
      <c r="AL123" s="45" t="s">
        <v>47</v>
      </c>
      <c r="AM123" s="46">
        <f>($L$3*(L123-$Q$1)/$Q$2+$M$3*(M123-$R$1)/$R$2+$N$3*(N123-$S$1)/$S$2+$O$3*(O123-$T$1)/$T$2+$P$3*(P123-$U$1)/$U$2)/(SUM($L$3:$P$3))</f>
        <v>-1.7774509321514844</v>
      </c>
      <c r="AN123" s="46">
        <f>($L$3*(Q123-$Q$1)/$Q$2+$M$3*(R123-$R$1)/$R$2+$N$3*(S123-$S$1)/$S$2+$O$3*(T123-$T$1)/$T$2+$P$3*(U123-$U$1)/$U$2)/(SUM($L$3:$P$3))</f>
        <v>-0.48293356839281698</v>
      </c>
      <c r="AO123" s="47">
        <f>IF(AVERAGE(AH123:AI123)&gt;9,1,0)+IF(AVERAGE(AH123:AI123)&gt;7,1,0)+IF(AH123&gt;7,1,0)+IF(AI123&gt;7,1,0)+IF(AJ123&gt;8,1,0)+IF(AJ123&gt;6,1,0)</f>
        <v>3</v>
      </c>
      <c r="AP123" s="48">
        <f>MIN(2,IF(OR(Z123="-",X123&lt;5),0,1+IF(Y123&gt;7,0.35,IF(Y123&gt;5,0.1,0))+IF(Z123&gt;7,1+IF(X123&gt;7,0.25,0),IF(Z123&gt;4,0.5+IF(X123&gt;7,0.25,0),0+IF(X123&gt;7,0.25))))+IF(AA123="-",0,IF(AA123&gt;9,0.5,IF(AA123&gt;7,0.25,0)))+IF(AB123="-",0,IF(AB123&gt;7,1.1,IF(AB123&gt;4,0.6,0)))+IF(OR(AC123="-",V123&lt;5),0,IF(AC123&gt;7,1+IF(V123&gt;7,0.25,0),IF(AC123&gt;4,0.5+IF(V123&gt;7,0.25,0),0)))+IF(AD123="-",0,IF(AD123&gt;7,1.5,IF(AD123&gt;4,1,0)))+IF(AE123="-",0,IF(AE123&gt;9,0.5,IF(AE123&gt;7,0.25,0)))+IF(AF123="-",0,IF(AF123&gt;7,1.25,IF(AF123&gt;4,0.75,0)))+IF(OR(AG123="-",W123&lt;4),0,IF(AG123&gt;7,1+IF(W123&gt;7,0.15,0),IF(AG123&gt;4,0.5+IF(W123&gt;7,0.15,0),0))))</f>
        <v>0</v>
      </c>
      <c r="AQ123" s="46">
        <f>($AM$3*AM123+$AN$3*AN123+$AO$3*AO123+$AP$3*AP123)+$I$3*VLOOKUP(I123,COND!$A$2:$E$7,4,FALSE)+$J$3*VLOOKUP(J123,COND!$A$2:$C$7,2,FALSE)+$K$3*VLOOKUP(K123,COND!$A$2:$C$7,3,FALSE)+IF(AND($B$2&gt;0,$E123&lt;20),$B$2*25,0)</f>
        <v>44.752052086071046</v>
      </c>
      <c r="AR123" s="49">
        <f>STANDARDIZE(AQ123,AVERAGE($AQ$5:$AQ$537),STDEVP($AQ$5:$AQ$537))</f>
        <v>0.77482017285287097</v>
      </c>
      <c r="AS123" s="47" t="str">
        <f>IF(AND(Z123&lt;&gt;"-",Y123&gt;1),"C",IF(AB123=MAX(AB123:AD123),"2B",IF(AD123=MAX(AB123:AD123),"SS",IF(OR(AC123=MAX(AA123:AD123),AND(AC123&lt;&gt;"-",AC123&gt;4,V123&gt;5)),"3B",IF(AF123=MAX(AE123:AG123),"CF",IF(AND(AG123=MAX(AE123,AG123),AND(W123&gt;5,AG123&lt;&gt;"-")),"RF",IF(AE123&lt;&gt;"-","LF",IF(AA123&lt;&gt;"-","1B","DH"))))))))</f>
        <v>1B</v>
      </c>
      <c r="AT123" s="47"/>
      <c r="AU123" s="47"/>
      <c r="AV123" s="47"/>
      <c r="AW123" s="47" t="str">
        <f>IF(AND($Q123&gt;=6,AVERAGE($S123:$T123)&gt;=6),"Likely",IF(OR($Q123&gt;6,AND($Q123=6,AVERAGE($S123:$T123)&gt;=3),AND($Q123&gt;=5,AVERAGE($S123:$T123)&gt;=5),AVERAGE($Q123,$S123:$T123)&gt;5),"Possible","Unlikely"))</f>
        <v>Unlikely</v>
      </c>
      <c r="AX123" s="47"/>
      <c r="AY123" s="47" t="str">
        <f>INDEX(Table5[[#All],[Ovr]],MATCH(Batters[[#This Row],[PID]],Table5[[#All],[PID]],0))</f>
        <v/>
      </c>
      <c r="AZ123" s="47" t="str">
        <f>INDEX(Table5[[#All],[Rnd]],MATCH(Batters[[#This Row],[PID]],Table5[[#All],[PID]],0))</f>
        <v/>
      </c>
      <c r="BA123" s="47" t="str">
        <f>INDEX(Table5[[#All],[Pick]],MATCH(Batters[[#This Row],[PID]],Table5[[#All],[PID]],0))</f>
        <v/>
      </c>
      <c r="BB123" s="47" t="str">
        <f>INDEX(Table5[[#All],[Team]],MATCH(Batters[[#This Row],[PID]],Table5[[#All],[PID]],0))</f>
        <v/>
      </c>
    </row>
    <row r="124" spans="1:54" ht="15" customHeight="1" x14ac:dyDescent="0.25">
      <c r="A124" s="42">
        <v>5922</v>
      </c>
      <c r="B124" s="42" t="s">
        <v>50</v>
      </c>
      <c r="C124" s="42" t="s">
        <v>1114</v>
      </c>
      <c r="D124" s="42" t="s">
        <v>1115</v>
      </c>
      <c r="E124" s="42">
        <v>18</v>
      </c>
      <c r="F124" s="42" t="s">
        <v>42</v>
      </c>
      <c r="G124" s="42" t="s">
        <v>42</v>
      </c>
      <c r="H124" s="43" t="s">
        <v>709</v>
      </c>
      <c r="I124" s="44" t="s">
        <v>44</v>
      </c>
      <c r="J124" s="42" t="s">
        <v>44</v>
      </c>
      <c r="K124" s="43" t="s">
        <v>43</v>
      </c>
      <c r="L124" s="42">
        <v>1</v>
      </c>
      <c r="M124" s="42">
        <v>1</v>
      </c>
      <c r="N124" s="42">
        <v>2</v>
      </c>
      <c r="O124" s="42">
        <v>1</v>
      </c>
      <c r="P124" s="43">
        <v>1</v>
      </c>
      <c r="Q124" s="42">
        <v>4</v>
      </c>
      <c r="R124" s="42">
        <v>4</v>
      </c>
      <c r="S124" s="42">
        <v>4</v>
      </c>
      <c r="T124" s="42">
        <v>4</v>
      </c>
      <c r="U124" s="43">
        <v>4</v>
      </c>
      <c r="V124" s="42">
        <v>8</v>
      </c>
      <c r="W124" s="42">
        <v>9</v>
      </c>
      <c r="X124" s="42">
        <v>1</v>
      </c>
      <c r="Y124" s="43">
        <v>1</v>
      </c>
      <c r="Z124" s="42" t="s">
        <v>45</v>
      </c>
      <c r="AA124" s="42" t="s">
        <v>45</v>
      </c>
      <c r="AB124" s="42" t="s">
        <v>45</v>
      </c>
      <c r="AC124" s="42" t="s">
        <v>45</v>
      </c>
      <c r="AD124" s="42" t="s">
        <v>45</v>
      </c>
      <c r="AE124" s="42" t="s">
        <v>45</v>
      </c>
      <c r="AF124" s="42" t="s">
        <v>45</v>
      </c>
      <c r="AG124" s="43" t="s">
        <v>45</v>
      </c>
      <c r="AH124" s="42">
        <v>2</v>
      </c>
      <c r="AI124" s="42">
        <v>2</v>
      </c>
      <c r="AJ124" s="43">
        <v>1</v>
      </c>
      <c r="AK124" s="45" t="s">
        <v>599</v>
      </c>
      <c r="AL124" s="45" t="s">
        <v>705</v>
      </c>
      <c r="AM124" s="46">
        <f>($L$3*(L124-$Q$1)/$Q$2+$M$3*(M124-$R$1)/$R$2+$N$3*(N124-$S$1)/$S$2+$O$3*(O124-$T$1)/$T$2+$P$3*(P124-$U$1)/$U$2)/(SUM($L$3:$P$3))</f>
        <v>-2.0012818558036707</v>
      </c>
      <c r="AN124" s="46">
        <f>($L$3*(Q124-$Q$1)/$Q$2+$M$3*(R124-$R$1)/$R$2+$N$3*(S124-$S$1)/$S$2+$O$3*(T124-$T$1)/$T$2+$P$3*(U124-$U$1)/$U$2)/(SUM($L$3:$P$3))</f>
        <v>-0.32513405081173941</v>
      </c>
      <c r="AO124" s="47">
        <f>IF(AVERAGE(AH124:AI124)&gt;9,1,0)+IF(AVERAGE(AH124:AI124)&gt;7,1,0)+IF(AH124&gt;7,1,0)+IF(AI124&gt;7,1,0)+IF(AJ124&gt;8,1,0)+IF(AJ124&gt;6,1,0)</f>
        <v>0</v>
      </c>
      <c r="AP124" s="48">
        <f>MIN(2,IF(OR(Z124="-",X124&lt;5),0,1+IF(Y124&gt;7,0.35,IF(Y124&gt;5,0.1,0))+IF(Z124&gt;7,1+IF(X124&gt;7,0.25,0),IF(Z124&gt;4,0.5+IF(X124&gt;7,0.25,0),0+IF(X124&gt;7,0.25))))+IF(AA124="-",0,IF(AA124&gt;9,0.5,IF(AA124&gt;7,0.25,0)))+IF(AB124="-",0,IF(AB124&gt;7,1.1,IF(AB124&gt;4,0.6,0)))+IF(OR(AC124="-",V124&lt;5),0,IF(AC124&gt;7,1+IF(V124&gt;7,0.25,0),IF(AC124&gt;4,0.5+IF(V124&gt;7,0.25,0),0)))+IF(AD124="-",0,IF(AD124&gt;7,1.5,IF(AD124&gt;4,1,0)))+IF(AE124="-",0,IF(AE124&gt;9,0.5,IF(AE124&gt;7,0.25,0)))+IF(AF124="-",0,IF(AF124&gt;7,1.25,IF(AF124&gt;4,0.75,0)))+IF(OR(AG124="-",W124&lt;4),0,IF(AG124&gt;7,1+IF(W124&gt;7,0.15,0),IF(AG124&gt;4,0.5+IF(W124&gt;7,0.15,0),0))))</f>
        <v>0</v>
      </c>
      <c r="AQ124" s="46">
        <f>($AM$3*AM124+$AN$3*AN124+$AO$3*AO124+$AP$3*AP124)+$I$3*VLOOKUP(I124,COND!$A$2:$E$7,4,FALSE)+$J$3*VLOOKUP(J124,COND!$A$2:$C$7,2,FALSE)+$K$3*VLOOKUP(K124,COND!$A$2:$C$7,3,FALSE)+IF(AND($B$2&gt;0,$E124&lt;20),$B$2*25,0)</f>
        <v>45.44826320467876</v>
      </c>
      <c r="AR124" s="49">
        <f>STANDARDIZE(AQ124,AVERAGE($AQ$5:$AQ$537),STDEVP($AQ$5:$AQ$537))</f>
        <v>0.89731389194158906</v>
      </c>
      <c r="AS124" s="47" t="str">
        <f>IF(AND(Z124&lt;&gt;"-",Y124&gt;1),"C",IF(AB124=MAX(AB124:AD124),"2B",IF(AD124=MAX(AB124:AD124),"SS",IF(OR(AC124=MAX(AA124:AD124),AND(AC124&lt;&gt;"-",AC124&gt;4,V124&gt;5)),"3B",IF(AF124=MAX(AE124:AG124),"CF",IF(AND(AG124=MAX(AE124,AG124),AND(W124&gt;5,AG124&lt;&gt;"-")),"RF",IF(AE124&lt;&gt;"-","LF",IF(AA124&lt;&gt;"-","1B","DH"))))))))</f>
        <v>DH</v>
      </c>
      <c r="AT124" s="47"/>
      <c r="AU124" s="47"/>
      <c r="AV124" s="47"/>
      <c r="AW124" s="47" t="str">
        <f>IF(AND($Q124&gt;=6,AVERAGE($S124:$T124)&gt;=6),"Likely",IF(OR($Q124&gt;6,AND($Q124=6,AVERAGE($S124:$T124)&gt;=3),AND($Q124&gt;=5,AVERAGE($S124:$T124)&gt;=5),AVERAGE($Q124,$S124:$T124)&gt;5),"Possible","Unlikely"))</f>
        <v>Unlikely</v>
      </c>
      <c r="AX124" s="47"/>
      <c r="AY124" s="47" t="str">
        <f>INDEX(Table5[[#All],[Ovr]],MATCH(Batters[[#This Row],[PID]],Table5[[#All],[PID]],0))</f>
        <v/>
      </c>
      <c r="AZ124" s="47" t="str">
        <f>INDEX(Table5[[#All],[Rnd]],MATCH(Batters[[#This Row],[PID]],Table5[[#All],[PID]],0))</f>
        <v/>
      </c>
      <c r="BA124" s="47" t="str">
        <f>INDEX(Table5[[#All],[Pick]],MATCH(Batters[[#This Row],[PID]],Table5[[#All],[PID]],0))</f>
        <v/>
      </c>
      <c r="BB124" s="47" t="str">
        <f>INDEX(Table5[[#All],[Team]],MATCH(Batters[[#This Row],[PID]],Table5[[#All],[PID]],0))</f>
        <v/>
      </c>
    </row>
    <row r="125" spans="1:54" ht="15" customHeight="1" x14ac:dyDescent="0.25">
      <c r="A125" s="42">
        <v>15944</v>
      </c>
      <c r="B125" s="42" t="s">
        <v>69</v>
      </c>
      <c r="C125" s="42" t="s">
        <v>799</v>
      </c>
      <c r="D125" s="42" t="s">
        <v>1280</v>
      </c>
      <c r="E125" s="42">
        <v>18</v>
      </c>
      <c r="F125" s="42" t="s">
        <v>42</v>
      </c>
      <c r="G125" s="42" t="s">
        <v>42</v>
      </c>
      <c r="H125" s="43" t="s">
        <v>709</v>
      </c>
      <c r="I125" s="44" t="s">
        <v>43</v>
      </c>
      <c r="J125" s="42" t="s">
        <v>43</v>
      </c>
      <c r="K125" s="43" t="s">
        <v>43</v>
      </c>
      <c r="L125" s="42">
        <v>1</v>
      </c>
      <c r="M125" s="42">
        <v>2</v>
      </c>
      <c r="N125" s="42">
        <v>3</v>
      </c>
      <c r="O125" s="42">
        <v>2</v>
      </c>
      <c r="P125" s="43">
        <v>1</v>
      </c>
      <c r="Q125" s="42">
        <v>3</v>
      </c>
      <c r="R125" s="42">
        <v>4</v>
      </c>
      <c r="S125" s="42">
        <v>5</v>
      </c>
      <c r="T125" s="42">
        <v>6</v>
      </c>
      <c r="U125" s="43">
        <v>3</v>
      </c>
      <c r="V125" s="42">
        <v>10</v>
      </c>
      <c r="W125" s="42">
        <v>9</v>
      </c>
      <c r="X125" s="42">
        <v>1</v>
      </c>
      <c r="Y125" s="43">
        <v>1</v>
      </c>
      <c r="Z125" s="42" t="s">
        <v>45</v>
      </c>
      <c r="AA125" s="42" t="s">
        <v>45</v>
      </c>
      <c r="AB125" s="42" t="s">
        <v>45</v>
      </c>
      <c r="AC125" s="42">
        <v>3</v>
      </c>
      <c r="AD125" s="42" t="s">
        <v>45</v>
      </c>
      <c r="AE125" s="42" t="s">
        <v>45</v>
      </c>
      <c r="AF125" s="42" t="s">
        <v>45</v>
      </c>
      <c r="AG125" s="43" t="s">
        <v>45</v>
      </c>
      <c r="AH125" s="42">
        <v>3</v>
      </c>
      <c r="AI125" s="42">
        <v>4</v>
      </c>
      <c r="AJ125" s="43">
        <v>3</v>
      </c>
      <c r="AK125" s="45" t="s">
        <v>602</v>
      </c>
      <c r="AL125" s="45" t="s">
        <v>705</v>
      </c>
      <c r="AM125" s="46">
        <f>($L$3*(L125-$Q$1)/$Q$2+$M$3*(M125-$R$1)/$R$2+$N$3*(N125-$S$1)/$S$2+$O$3*(O125-$T$1)/$T$2+$P$3*(P125-$U$1)/$U$2)/(SUM($L$3:$P$3))</f>
        <v>-1.7774509321514844</v>
      </c>
      <c r="AN125" s="46">
        <f>($L$3*(Q125-$Q$1)/$Q$2+$M$3*(R125-$R$1)/$R$2+$N$3*(S125-$S$1)/$S$2+$O$3*(T125-$T$1)/$T$2+$P$3*(U125-$U$1)/$U$2)/(SUM($L$3:$P$3))</f>
        <v>-0.42522563278843395</v>
      </c>
      <c r="AO125" s="47">
        <f>IF(AVERAGE(AH125:AI125)&gt;9,1,0)+IF(AVERAGE(AH125:AI125)&gt;7,1,0)+IF(AH125&gt;7,1,0)+IF(AI125&gt;7,1,0)+IF(AJ125&gt;8,1,0)+IF(AJ125&gt;6,1,0)</f>
        <v>0</v>
      </c>
      <c r="AP125" s="48">
        <f>MIN(2,IF(OR(Z125="-",X125&lt;5),0,1+IF(Y125&gt;7,0.35,IF(Y125&gt;5,0.1,0))+IF(Z125&gt;7,1+IF(X125&gt;7,0.25,0),IF(Z125&gt;4,0.5+IF(X125&gt;7,0.25,0),0+IF(X125&gt;7,0.25))))+IF(AA125="-",0,IF(AA125&gt;9,0.5,IF(AA125&gt;7,0.25,0)))+IF(AB125="-",0,IF(AB125&gt;7,1.1,IF(AB125&gt;4,0.6,0)))+IF(OR(AC125="-",V125&lt;5),0,IF(AC125&gt;7,1+IF(V125&gt;7,0.25,0),IF(AC125&gt;4,0.5+IF(V125&gt;7,0.25,0),0)))+IF(AD125="-",0,IF(AD125&gt;7,1.5,IF(AD125&gt;4,1,0)))+IF(AE125="-",0,IF(AE125&gt;9,0.5,IF(AE125&gt;7,0.25,0)))+IF(AF125="-",0,IF(AF125&gt;7,1.25,IF(AF125&gt;4,0.75,0)))+IF(OR(AG125="-",W125&lt;4),0,IF(AG125&gt;7,1+IF(W125&gt;7,0.15,0),IF(AG125&gt;4,0.5+IF(W125&gt;7,0.15,0),0))))</f>
        <v>0</v>
      </c>
      <c r="AQ125" s="46">
        <f>($AM$3*AM125+$AN$3*AN125+$AO$3*AO125+$AP$3*AP125)+$I$3*VLOOKUP(I125,COND!$A$2:$E$7,4,FALSE)+$J$3*VLOOKUP(J125,COND!$A$2:$C$7,2,FALSE)+$K$3*VLOOKUP(K125,COND!$A$2:$C$7,3,FALSE)+IF(AND($B$2&gt;0,$E125&lt;20),$B$2*25,0)</f>
        <v>44.719547313323645</v>
      </c>
      <c r="AR125" s="49">
        <f>STANDARDIZE(AQ125,AVERAGE($AQ$5:$AQ$537),STDEVP($AQ$5:$AQ$537))</f>
        <v>0.76910117412454659</v>
      </c>
      <c r="AS125" s="47" t="str">
        <f>IF(AND(Z125&lt;&gt;"-",Y125&gt;1),"C",IF(AB125=MAX(AB125:AD125),"2B",IF(AD125=MAX(AB125:AD125),"SS",IF(OR(AC125=MAX(AA125:AD125),AND(AC125&lt;&gt;"-",AC125&gt;4,V125&gt;5)),"3B",IF(AF125=MAX(AE125:AG125),"CF",IF(AND(AG125=MAX(AE125,AG125),AND(W125&gt;5,AG125&lt;&gt;"-")),"RF",IF(AE125&lt;&gt;"-","LF",IF(AA125&lt;&gt;"-","1B","DH"))))))))</f>
        <v>3B</v>
      </c>
      <c r="AT125" s="47"/>
      <c r="AU125" s="47"/>
      <c r="AV125" s="47"/>
      <c r="AW125" s="47" t="str">
        <f>IF(AND($Q125&gt;=6,AVERAGE($S125:$T125)&gt;=6),"Likely",IF(OR($Q125&gt;6,AND($Q125=6,AVERAGE($S125:$T125)&gt;=3),AND($Q125&gt;=5,AVERAGE($S125:$T125)&gt;=5),AVERAGE($Q125,$S125:$T125)&gt;5),"Possible","Unlikely"))</f>
        <v>Unlikely</v>
      </c>
      <c r="AX125" s="47"/>
      <c r="AY125" s="47" t="str">
        <f>INDEX(Table5[[#All],[Ovr]],MATCH(Batters[[#This Row],[PID]],Table5[[#All],[PID]],0))</f>
        <v/>
      </c>
      <c r="AZ125" s="47" t="str">
        <f>INDEX(Table5[[#All],[Rnd]],MATCH(Batters[[#This Row],[PID]],Table5[[#All],[PID]],0))</f>
        <v/>
      </c>
      <c r="BA125" s="47" t="str">
        <f>INDEX(Table5[[#All],[Pick]],MATCH(Batters[[#This Row],[PID]],Table5[[#All],[PID]],0))</f>
        <v/>
      </c>
      <c r="BB125" s="47" t="str">
        <f>INDEX(Table5[[#All],[Team]],MATCH(Batters[[#This Row],[PID]],Table5[[#All],[PID]],0))</f>
        <v/>
      </c>
    </row>
    <row r="126" spans="1:54" ht="15" customHeight="1" x14ac:dyDescent="0.25">
      <c r="A126" s="42">
        <v>9891</v>
      </c>
      <c r="B126" s="42" t="s">
        <v>66</v>
      </c>
      <c r="C126" s="42" t="s">
        <v>211</v>
      </c>
      <c r="D126" s="42" t="s">
        <v>941</v>
      </c>
      <c r="E126" s="42">
        <v>21</v>
      </c>
      <c r="F126" s="42" t="s">
        <v>53</v>
      </c>
      <c r="G126" s="42" t="s">
        <v>53</v>
      </c>
      <c r="H126" s="43" t="s">
        <v>703</v>
      </c>
      <c r="I126" s="44" t="s">
        <v>43</v>
      </c>
      <c r="J126" s="42" t="s">
        <v>43</v>
      </c>
      <c r="K126" s="43" t="s">
        <v>43</v>
      </c>
      <c r="L126" s="42">
        <v>3</v>
      </c>
      <c r="M126" s="42">
        <v>3</v>
      </c>
      <c r="N126" s="42">
        <v>4</v>
      </c>
      <c r="O126" s="42">
        <v>3</v>
      </c>
      <c r="P126" s="43">
        <v>1</v>
      </c>
      <c r="Q126" s="42">
        <v>4</v>
      </c>
      <c r="R126" s="42">
        <v>5</v>
      </c>
      <c r="S126" s="42">
        <v>6</v>
      </c>
      <c r="T126" s="42">
        <v>5</v>
      </c>
      <c r="U126" s="43">
        <v>3</v>
      </c>
      <c r="V126" s="42">
        <v>7</v>
      </c>
      <c r="W126" s="42">
        <v>9</v>
      </c>
      <c r="X126" s="42">
        <v>1</v>
      </c>
      <c r="Y126" s="43">
        <v>1</v>
      </c>
      <c r="Z126" s="42" t="s">
        <v>45</v>
      </c>
      <c r="AA126" s="42" t="s">
        <v>45</v>
      </c>
      <c r="AB126" s="42" t="s">
        <v>45</v>
      </c>
      <c r="AC126" s="42" t="s">
        <v>45</v>
      </c>
      <c r="AD126" s="42" t="s">
        <v>45</v>
      </c>
      <c r="AE126" s="42" t="s">
        <v>45</v>
      </c>
      <c r="AF126" s="42" t="s">
        <v>45</v>
      </c>
      <c r="AG126" s="43">
        <v>4</v>
      </c>
      <c r="AH126" s="42">
        <v>4</v>
      </c>
      <c r="AI126" s="42">
        <v>8</v>
      </c>
      <c r="AJ126" s="43">
        <v>7</v>
      </c>
      <c r="AK126" s="45" t="s">
        <v>632</v>
      </c>
      <c r="AL126" s="45" t="s">
        <v>47</v>
      </c>
      <c r="AM126" s="46">
        <f>($L$3*(L126-$Q$1)/$Q$2+$M$3*(M126-$R$1)/$R$2+$N$3*(N126-$S$1)/$S$2+$O$3*(O126-$T$1)/$T$2+$P$3*(P126-$U$1)/$U$2)/(SUM($L$3:$P$3))</f>
        <v>-0.90850833609394899</v>
      </c>
      <c r="AN126" s="46">
        <f>($L$3*(Q126-$Q$1)/$Q$2+$M$3*(R126-$R$1)/$R$2+$N$3*(S126-$S$1)/$S$2+$O$3*(T126-$T$1)/$T$2+$P$3*(U126-$U$1)/$U$2)/(SUM($L$3:$P$3))</f>
        <v>-5.8257972952735312E-2</v>
      </c>
      <c r="AO126" s="47">
        <f>IF(AVERAGE(AH126:AI126)&gt;9,1,0)+IF(AVERAGE(AH126:AI126)&gt;7,1,0)+IF(AH126&gt;7,1,0)+IF(AI126&gt;7,1,0)+IF(AJ126&gt;8,1,0)+IF(AJ126&gt;6,1,0)</f>
        <v>2</v>
      </c>
      <c r="AP126" s="48">
        <f>MIN(2,IF(OR(Z126="-",X126&lt;5),0,1+IF(Y126&gt;7,0.35,IF(Y126&gt;5,0.1,0))+IF(Z126&gt;7,1+IF(X126&gt;7,0.25,0),IF(Z126&gt;4,0.5+IF(X126&gt;7,0.25,0),0+IF(X126&gt;7,0.25))))+IF(AA126="-",0,IF(AA126&gt;9,0.5,IF(AA126&gt;7,0.25,0)))+IF(AB126="-",0,IF(AB126&gt;7,1.1,IF(AB126&gt;4,0.6,0)))+IF(OR(AC126="-",V126&lt;5),0,IF(AC126&gt;7,1+IF(V126&gt;7,0.25,0),IF(AC126&gt;4,0.5+IF(V126&gt;7,0.25,0),0)))+IF(AD126="-",0,IF(AD126&gt;7,1.5,IF(AD126&gt;4,1,0)))+IF(AE126="-",0,IF(AE126&gt;9,0.5,IF(AE126&gt;7,0.25,0)))+IF(AF126="-",0,IF(AF126&gt;7,1.25,IF(AF126&gt;4,0.75,0)))+IF(OR(AG126="-",W126&lt;4),0,IF(AG126&gt;7,1+IF(W126&gt;7,0.15,0),IF(AG126&gt;4,0.5+IF(W126&gt;7,0.15,0),0))))</f>
        <v>0</v>
      </c>
      <c r="AQ126" s="46">
        <f>($AM$3*AM126+$AN$3*AN126+$AO$3*AO126+$AP$3*AP126)+$I$3*VLOOKUP(I126,COND!$A$2:$E$7,4,FALSE)+$J$3*VLOOKUP(J126,COND!$A$2:$C$7,2,FALSE)+$K$3*VLOOKUP(K126,COND!$A$2:$C$7,3,FALSE)+IF(AND($B$2&gt;0,$E126&lt;20),$B$2*25,0)</f>
        <v>44.543386824291119</v>
      </c>
      <c r="AR126" s="49">
        <f>STANDARDIZE(AQ126,AVERAGE($AQ$5:$AQ$537),STDEVP($AQ$5:$AQ$537))</f>
        <v>0.73810690689532688</v>
      </c>
      <c r="AS126" s="47" t="str">
        <f>IF(AND(Z126&lt;&gt;"-",Y126&gt;1),"C",IF(AB126=MAX(AB126:AD126),"2B",IF(AD126=MAX(AB126:AD126),"SS",IF(OR(AC126=MAX(AA126:AD126),AND(AC126&lt;&gt;"-",AC126&gt;4,V126&gt;5)),"3B",IF(AF126=MAX(AE126:AG126),"CF",IF(AND(AG126=MAX(AE126,AG126),AND(W126&gt;5,AG126&lt;&gt;"-")),"RF",IF(AE126&lt;&gt;"-","LF",IF(AA126&lt;&gt;"-","1B","DH"))))))))</f>
        <v>RF</v>
      </c>
      <c r="AT126" s="47"/>
      <c r="AU126" s="47"/>
      <c r="AV126" s="47"/>
      <c r="AW126" s="47" t="str">
        <f>IF(AND($Q126&gt;=6,AVERAGE($S126:$T126)&gt;=6),"Likely",IF(OR($Q126&gt;6,AND($Q126=6,AVERAGE($S126:$T126)&gt;=3),AND($Q126&gt;=5,AVERAGE($S126:$T126)&gt;=5),AVERAGE($Q126,$S126:$T126)&gt;5),"Possible","Unlikely"))</f>
        <v>Unlikely</v>
      </c>
      <c r="AX126" s="47"/>
      <c r="AY126" s="47" t="str">
        <f>INDEX(Table5[[#All],[Ovr]],MATCH(Batters[[#This Row],[PID]],Table5[[#All],[PID]],0))</f>
        <v/>
      </c>
      <c r="AZ126" s="47" t="str">
        <f>INDEX(Table5[[#All],[Rnd]],MATCH(Batters[[#This Row],[PID]],Table5[[#All],[PID]],0))</f>
        <v/>
      </c>
      <c r="BA126" s="47" t="str">
        <f>INDEX(Table5[[#All],[Pick]],MATCH(Batters[[#This Row],[PID]],Table5[[#All],[PID]],0))</f>
        <v/>
      </c>
      <c r="BB126" s="47" t="str">
        <f>INDEX(Table5[[#All],[Team]],MATCH(Batters[[#This Row],[PID]],Table5[[#All],[PID]],0))</f>
        <v/>
      </c>
    </row>
    <row r="127" spans="1:54" ht="15" customHeight="1" x14ac:dyDescent="0.25">
      <c r="A127" s="42">
        <v>10300</v>
      </c>
      <c r="B127" s="42" t="s">
        <v>86</v>
      </c>
      <c r="C127" s="42" t="s">
        <v>724</v>
      </c>
      <c r="D127" s="42" t="s">
        <v>722</v>
      </c>
      <c r="E127" s="42">
        <v>21</v>
      </c>
      <c r="F127" s="42" t="s">
        <v>53</v>
      </c>
      <c r="G127" s="42" t="s">
        <v>42</v>
      </c>
      <c r="H127" s="43" t="s">
        <v>703</v>
      </c>
      <c r="I127" s="44" t="s">
        <v>43</v>
      </c>
      <c r="J127" s="42" t="s">
        <v>43</v>
      </c>
      <c r="K127" s="43" t="s">
        <v>43</v>
      </c>
      <c r="L127" s="42">
        <v>3</v>
      </c>
      <c r="M127" s="42">
        <v>2</v>
      </c>
      <c r="N127" s="42">
        <v>3</v>
      </c>
      <c r="O127" s="42">
        <v>2</v>
      </c>
      <c r="P127" s="43">
        <v>1</v>
      </c>
      <c r="Q127" s="42">
        <v>4</v>
      </c>
      <c r="R127" s="42">
        <v>5</v>
      </c>
      <c r="S127" s="42">
        <v>5</v>
      </c>
      <c r="T127" s="42">
        <v>5</v>
      </c>
      <c r="U127" s="43">
        <v>3</v>
      </c>
      <c r="V127" s="42">
        <v>4</v>
      </c>
      <c r="W127" s="42">
        <v>4</v>
      </c>
      <c r="X127" s="42">
        <v>6</v>
      </c>
      <c r="Y127" s="43">
        <v>8</v>
      </c>
      <c r="Z127" s="42">
        <v>3</v>
      </c>
      <c r="AA127" s="42" t="s">
        <v>45</v>
      </c>
      <c r="AB127" s="42" t="s">
        <v>45</v>
      </c>
      <c r="AC127" s="42" t="s">
        <v>45</v>
      </c>
      <c r="AD127" s="42" t="s">
        <v>45</v>
      </c>
      <c r="AE127" s="42" t="s">
        <v>45</v>
      </c>
      <c r="AF127" s="42" t="s">
        <v>45</v>
      </c>
      <c r="AG127" s="43" t="s">
        <v>45</v>
      </c>
      <c r="AH127" s="42">
        <v>3</v>
      </c>
      <c r="AI127" s="42">
        <v>2</v>
      </c>
      <c r="AJ127" s="43">
        <v>1</v>
      </c>
      <c r="AK127" s="45" t="s">
        <v>1074</v>
      </c>
      <c r="AL127" s="45" t="s">
        <v>705</v>
      </c>
      <c r="AM127" s="46">
        <f>($L$3*(L127-$Q$1)/$Q$2+$M$3*(M127-$R$1)/$R$2+$N$3*(N127-$S$1)/$S$2+$O$3*(O127-$T$1)/$T$2+$P$3*(P127-$U$1)/$U$2)/(SUM($L$3:$P$3))</f>
        <v>-1.132339259746135</v>
      </c>
      <c r="AN127" s="46">
        <f>($L$3*(Q127-$Q$1)/$Q$2+$M$3*(R127-$R$1)/$R$2+$N$3*(S127-$S$1)/$S$2+$O$3*(T127-$T$1)/$T$2+$P$3*(U127-$U$1)/$U$2)/(SUM($L$3:$P$3))</f>
        <v>-0.14131946697663683</v>
      </c>
      <c r="AO127" s="47">
        <f>IF(AVERAGE(AH127:AI127)&gt;9,1,0)+IF(AVERAGE(AH127:AI127)&gt;7,1,0)+IF(AH127&gt;7,1,0)+IF(AI127&gt;7,1,0)+IF(AJ127&gt;8,1,0)+IF(AJ127&gt;6,1,0)</f>
        <v>0</v>
      </c>
      <c r="AP127" s="48">
        <f>MIN(2,IF(OR(Z127="-",X127&lt;5),0,1+IF(Y127&gt;7,0.35,IF(Y127&gt;5,0.1,0))+IF(Z127&gt;7,1+IF(X127&gt;7,0.25,0),IF(Z127&gt;4,0.5+IF(X127&gt;7,0.25,0),0+IF(X127&gt;7,0.25))))+IF(AA127="-",0,IF(AA127&gt;9,0.5,IF(AA127&gt;7,0.25,0)))+IF(AB127="-",0,IF(AB127&gt;7,1.1,IF(AB127&gt;4,0.6,0)))+IF(OR(AC127="-",V127&lt;5),0,IF(AC127&gt;7,1+IF(V127&gt;7,0.25,0),IF(AC127&gt;4,0.5+IF(V127&gt;7,0.25,0),0)))+IF(AD127="-",0,IF(AD127&gt;7,1.5,IF(AD127&gt;4,1,0)))+IF(AE127="-",0,IF(AE127&gt;9,0.5,IF(AE127&gt;7,0.25,0)))+IF(AF127="-",0,IF(AF127&gt;7,1.25,IF(AF127&gt;4,0.75,0)))+IF(OR(AG127="-",W127&lt;4),0,IF(AG127&gt;7,1+IF(W127&gt;7,0.15,0),IF(AG127&gt;4,0.5+IF(W127&gt;7,0.15,0),0))))</f>
        <v>1.35</v>
      </c>
      <c r="AQ127" s="46">
        <f>($AM$3*AM127+$AN$3*AN127+$AO$3*AO127+$AP$3*AP127)+$I$3*VLOOKUP(I127,COND!$A$2:$E$7,4,FALSE)+$J$3*VLOOKUP(J127,COND!$A$2:$C$7,2,FALSE)+$K$3*VLOOKUP(K127,COND!$A$2:$C$7,3,FALSE)+IF(AND($B$2&gt;0,$E127&lt;20),$B$2*25,0)</f>
        <v>44.540932470305748</v>
      </c>
      <c r="AR127" s="49">
        <f>STANDARDIZE(AQ127,AVERAGE($AQ$5:$AQ$537),STDEVP($AQ$5:$AQ$537))</f>
        <v>0.73767507962398204</v>
      </c>
      <c r="AS127" s="47" t="str">
        <f>IF(AND(Z127&lt;&gt;"-",Y127&gt;1),"C",IF(AB127=MAX(AB127:AD127),"2B",IF(AD127=MAX(AB127:AD127),"SS",IF(OR(AC127=MAX(AA127:AD127),AND(AC127&lt;&gt;"-",AC127&gt;4,V127&gt;5)),"3B",IF(AF127=MAX(AE127:AG127),"CF",IF(AND(AG127=MAX(AE127,AG127),AND(W127&gt;5,AG127&lt;&gt;"-")),"RF",IF(AE127&lt;&gt;"-","LF",IF(AA127&lt;&gt;"-","1B","DH"))))))))</f>
        <v>C</v>
      </c>
      <c r="AT127" s="47"/>
      <c r="AU127" s="47"/>
      <c r="AV127" s="47"/>
      <c r="AW127" s="47" t="str">
        <f>IF(AND($Q127&gt;=6,AVERAGE($S127:$T127)&gt;=6),"Likely",IF(OR($Q127&gt;6,AND($Q127=6,AVERAGE($S127:$T127)&gt;=3),AND($Q127&gt;=5,AVERAGE($S127:$T127)&gt;=5),AVERAGE($Q127,$S127:$T127)&gt;5),"Possible","Unlikely"))</f>
        <v>Unlikely</v>
      </c>
      <c r="AX127" s="47"/>
      <c r="AY127" s="47" t="str">
        <f>INDEX(Table5[[#All],[Ovr]],MATCH(Batters[[#This Row],[PID]],Table5[[#All],[PID]],0))</f>
        <v/>
      </c>
      <c r="AZ127" s="47" t="str">
        <f>INDEX(Table5[[#All],[Rnd]],MATCH(Batters[[#This Row],[PID]],Table5[[#All],[PID]],0))</f>
        <v/>
      </c>
      <c r="BA127" s="47" t="str">
        <f>INDEX(Table5[[#All],[Pick]],MATCH(Batters[[#This Row],[PID]],Table5[[#All],[PID]],0))</f>
        <v/>
      </c>
      <c r="BB127" s="47" t="str">
        <f>INDEX(Table5[[#All],[Team]],MATCH(Batters[[#This Row],[PID]],Table5[[#All],[PID]],0))</f>
        <v/>
      </c>
    </row>
    <row r="128" spans="1:54" ht="15" customHeight="1" x14ac:dyDescent="0.25">
      <c r="A128" s="42">
        <v>17889</v>
      </c>
      <c r="B128" s="42" t="s">
        <v>87</v>
      </c>
      <c r="C128" s="42" t="s">
        <v>203</v>
      </c>
      <c r="D128" s="42" t="s">
        <v>1192</v>
      </c>
      <c r="E128" s="42">
        <v>18</v>
      </c>
      <c r="F128" s="42" t="s">
        <v>42</v>
      </c>
      <c r="G128" s="42" t="s">
        <v>42</v>
      </c>
      <c r="H128" s="43" t="s">
        <v>711</v>
      </c>
      <c r="I128" s="44" t="s">
        <v>43</v>
      </c>
      <c r="J128" s="42" t="s">
        <v>47</v>
      </c>
      <c r="K128" s="43" t="s">
        <v>43</v>
      </c>
      <c r="L128" s="42">
        <v>1</v>
      </c>
      <c r="M128" s="42">
        <v>2</v>
      </c>
      <c r="N128" s="42">
        <v>3</v>
      </c>
      <c r="O128" s="42">
        <v>1</v>
      </c>
      <c r="P128" s="43">
        <v>3</v>
      </c>
      <c r="Q128" s="42">
        <v>3</v>
      </c>
      <c r="R128" s="42">
        <v>4</v>
      </c>
      <c r="S128" s="42">
        <v>5</v>
      </c>
      <c r="T128" s="42">
        <v>4</v>
      </c>
      <c r="U128" s="43">
        <v>5</v>
      </c>
      <c r="V128" s="42">
        <v>3</v>
      </c>
      <c r="W128" s="42">
        <v>3</v>
      </c>
      <c r="X128" s="42">
        <v>4</v>
      </c>
      <c r="Y128" s="43">
        <v>3</v>
      </c>
      <c r="Z128" s="42" t="s">
        <v>45</v>
      </c>
      <c r="AA128" s="42">
        <v>2</v>
      </c>
      <c r="AB128" s="42" t="s">
        <v>45</v>
      </c>
      <c r="AC128" s="42" t="s">
        <v>45</v>
      </c>
      <c r="AD128" s="42" t="s">
        <v>45</v>
      </c>
      <c r="AE128" s="42" t="s">
        <v>45</v>
      </c>
      <c r="AF128" s="42" t="s">
        <v>45</v>
      </c>
      <c r="AG128" s="43" t="s">
        <v>45</v>
      </c>
      <c r="AH128" s="42">
        <v>6</v>
      </c>
      <c r="AI128" s="42">
        <v>6</v>
      </c>
      <c r="AJ128" s="43">
        <v>6</v>
      </c>
      <c r="AK128" s="45" t="s">
        <v>599</v>
      </c>
      <c r="AL128" s="45" t="s">
        <v>47</v>
      </c>
      <c r="AM128" s="46">
        <f>($L$3*(L128-$Q$1)/$Q$2+$M$3*(M128-$R$1)/$R$2+$N$3*(N128-$S$1)/$S$2+$O$3*(O128-$T$1)/$T$2+$P$3*(P128-$U$1)/$U$2)/(SUM($L$3:$P$3))</f>
        <v>-1.7871278025268986</v>
      </c>
      <c r="AN128" s="46">
        <f>($L$3*(Q128-$Q$1)/$Q$2+$M$3*(R128-$R$1)/$R$2+$N$3*(S128-$S$1)/$S$2+$O$3*(T128-$T$1)/$T$2+$P$3*(U128-$U$1)/$U$2)/(SUM($L$3:$P$3))</f>
        <v>-0.52461205317342918</v>
      </c>
      <c r="AO128" s="47">
        <f>IF(AVERAGE(AH128:AI128)&gt;9,1,0)+IF(AVERAGE(AH128:AI128)&gt;7,1,0)+IF(AH128&gt;7,1,0)+IF(AI128&gt;7,1,0)+IF(AJ128&gt;8,1,0)+IF(AJ128&gt;6,1,0)</f>
        <v>0</v>
      </c>
      <c r="AP128" s="48">
        <f>MIN(2,IF(OR(Z128="-",X128&lt;5),0,1+IF(Y128&gt;7,0.35,IF(Y128&gt;5,0.1,0))+IF(Z128&gt;7,1+IF(X128&gt;7,0.25,0),IF(Z128&gt;4,0.5+IF(X128&gt;7,0.25,0),0+IF(X128&gt;7,0.25))))+IF(AA128="-",0,IF(AA128&gt;9,0.5,IF(AA128&gt;7,0.25,0)))+IF(AB128="-",0,IF(AB128&gt;7,1.1,IF(AB128&gt;4,0.6,0)))+IF(OR(AC128="-",V128&lt;5),0,IF(AC128&gt;7,1+IF(V128&gt;7,0.25,0),IF(AC128&gt;4,0.5+IF(V128&gt;7,0.25,0),0)))+IF(AD128="-",0,IF(AD128&gt;7,1.5,IF(AD128&gt;4,1,0)))+IF(AE128="-",0,IF(AE128&gt;9,0.5,IF(AE128&gt;7,0.25,0)))+IF(AF128="-",0,IF(AF128&gt;7,1.25,IF(AF128&gt;4,0.75,0)))+IF(OR(AG128="-",W128&lt;4),0,IF(AG128&gt;7,1+IF(W128&gt;7,0.15,0),IF(AG128&gt;4,0.5+IF(W128&gt;7,0.15,0),0))))</f>
        <v>0</v>
      </c>
      <c r="AQ128" s="46">
        <f>($AM$3*AM128+$AN$3*AN128+$AO$3*AO128+$AP$3*AP128)+$I$3*VLOOKUP(I128,COND!$A$2:$E$7,4,FALSE)+$J$3*VLOOKUP(J128,COND!$A$2:$C$7,2,FALSE)+$K$3*VLOOKUP(K128,COND!$A$2:$C$7,3,FALSE)+IF(AND($B$2&gt;0,$E128&lt;20),$B$2*25,0)</f>
        <v>43.825942581666162</v>
      </c>
      <c r="AR128" s="49">
        <f>STANDARDIZE(AQ128,AVERAGE($AQ$5:$AQ$537),STDEVP($AQ$5:$AQ$537))</f>
        <v>0.61187736075755861</v>
      </c>
      <c r="AS128" s="47" t="str">
        <f>IF(AND(Z128&lt;&gt;"-",Y128&gt;1),"C",IF(AB128=MAX(AB128:AD128),"2B",IF(AD128=MAX(AB128:AD128),"SS",IF(OR(AC128=MAX(AA128:AD128),AND(AC128&lt;&gt;"-",AC128&gt;4,V128&gt;5)),"3B",IF(AF128=MAX(AE128:AG128),"CF",IF(AND(AG128=MAX(AE128,AG128),AND(W128&gt;5,AG128&lt;&gt;"-")),"RF",IF(AE128&lt;&gt;"-","LF",IF(AA128&lt;&gt;"-","1B","DH"))))))))</f>
        <v>1B</v>
      </c>
      <c r="AT128" s="47"/>
      <c r="AU128" s="47"/>
      <c r="AV128" s="47"/>
      <c r="AW128" s="47" t="str">
        <f>IF(AND($Q128&gt;=6,AVERAGE($S128:$T128)&gt;=6),"Likely",IF(OR($Q128&gt;6,AND($Q128=6,AVERAGE($S128:$T128)&gt;=3),AND($Q128&gt;=5,AVERAGE($S128:$T128)&gt;=5),AVERAGE($Q128,$S128:$T128)&gt;5),"Possible","Unlikely"))</f>
        <v>Unlikely</v>
      </c>
      <c r="AX128" s="47"/>
      <c r="AY128" s="47" t="str">
        <f>INDEX(Table5[[#All],[Ovr]],MATCH(Batters[[#This Row],[PID]],Table5[[#All],[PID]],0))</f>
        <v/>
      </c>
      <c r="AZ128" s="47" t="str">
        <f>INDEX(Table5[[#All],[Rnd]],MATCH(Batters[[#This Row],[PID]],Table5[[#All],[PID]],0))</f>
        <v/>
      </c>
      <c r="BA128" s="47" t="str">
        <f>INDEX(Table5[[#All],[Pick]],MATCH(Batters[[#This Row],[PID]],Table5[[#All],[PID]],0))</f>
        <v/>
      </c>
      <c r="BB128" s="47" t="str">
        <f>INDEX(Table5[[#All],[Team]],MATCH(Batters[[#This Row],[PID]],Table5[[#All],[PID]],0))</f>
        <v/>
      </c>
    </row>
    <row r="129" spans="1:54" ht="15" customHeight="1" x14ac:dyDescent="0.25">
      <c r="A129" s="42">
        <v>9940</v>
      </c>
      <c r="B129" s="42" t="s">
        <v>71</v>
      </c>
      <c r="C129" s="42" t="s">
        <v>1107</v>
      </c>
      <c r="D129" s="42" t="s">
        <v>1108</v>
      </c>
      <c r="E129" s="42">
        <v>21</v>
      </c>
      <c r="F129" s="42" t="s">
        <v>42</v>
      </c>
      <c r="G129" s="42" t="s">
        <v>42</v>
      </c>
      <c r="H129" s="43" t="s">
        <v>703</v>
      </c>
      <c r="I129" s="44" t="s">
        <v>43</v>
      </c>
      <c r="J129" s="42" t="s">
        <v>43</v>
      </c>
      <c r="K129" s="43" t="s">
        <v>43</v>
      </c>
      <c r="L129" s="42">
        <v>3</v>
      </c>
      <c r="M129" s="42">
        <v>5</v>
      </c>
      <c r="N129" s="42">
        <v>3</v>
      </c>
      <c r="O129" s="42">
        <v>1</v>
      </c>
      <c r="P129" s="43">
        <v>3</v>
      </c>
      <c r="Q129" s="42">
        <v>4</v>
      </c>
      <c r="R129" s="42">
        <v>7</v>
      </c>
      <c r="S129" s="42">
        <v>5</v>
      </c>
      <c r="T129" s="42">
        <v>3</v>
      </c>
      <c r="U129" s="43">
        <v>5</v>
      </c>
      <c r="V129" s="42">
        <v>7</v>
      </c>
      <c r="W129" s="42">
        <v>8</v>
      </c>
      <c r="X129" s="42">
        <v>1</v>
      </c>
      <c r="Y129" s="43">
        <v>1</v>
      </c>
      <c r="Z129" s="42" t="s">
        <v>45</v>
      </c>
      <c r="AA129" s="42" t="s">
        <v>45</v>
      </c>
      <c r="AB129" s="42">
        <v>5</v>
      </c>
      <c r="AC129" s="42" t="s">
        <v>45</v>
      </c>
      <c r="AD129" s="42">
        <v>3</v>
      </c>
      <c r="AE129" s="42">
        <v>4</v>
      </c>
      <c r="AF129" s="42" t="s">
        <v>45</v>
      </c>
      <c r="AG129" s="43" t="s">
        <v>45</v>
      </c>
      <c r="AH129" s="42">
        <v>8</v>
      </c>
      <c r="AI129" s="42">
        <v>8</v>
      </c>
      <c r="AJ129" s="43">
        <v>7</v>
      </c>
      <c r="AK129" s="45" t="s">
        <v>660</v>
      </c>
      <c r="AL129" s="45" t="s">
        <v>47</v>
      </c>
      <c r="AM129" s="46">
        <f>($L$3*(L129-$Q$1)/$Q$2+$M$3*(M129-$R$1)/$R$2+$N$3*(N129-$S$1)/$S$2+$O$3*(O129-$T$1)/$T$2+$P$3*(P129-$U$1)/$U$2)/(SUM($L$3:$P$3))</f>
        <v>-0.98883649126543882</v>
      </c>
      <c r="AN129" s="46">
        <f>($L$3*(Q129-$Q$1)/$Q$2+$M$3*(R129-$R$1)/$R$2+$N$3*(S129-$S$1)/$S$2+$O$3*(T129-$T$1)/$T$2+$P$3*(U129-$U$1)/$U$2)/(SUM($L$3:$P$3))</f>
        <v>-0.13858612812422499</v>
      </c>
      <c r="AO129" s="47">
        <f>IF(AVERAGE(AH129:AI129)&gt;9,1,0)+IF(AVERAGE(AH129:AI129)&gt;7,1,0)+IF(AH129&gt;7,1,0)+IF(AI129&gt;7,1,0)+IF(AJ129&gt;8,1,0)+IF(AJ129&gt;6,1,0)</f>
        <v>4</v>
      </c>
      <c r="AP129" s="48">
        <f>MIN(2,IF(OR(Z129="-",X129&lt;5),0,1+IF(Y129&gt;7,0.35,IF(Y129&gt;5,0.1,0))+IF(Z129&gt;7,1+IF(X129&gt;7,0.25,0),IF(Z129&gt;4,0.5+IF(X129&gt;7,0.25,0),0+IF(X129&gt;7,0.25))))+IF(AA129="-",0,IF(AA129&gt;9,0.5,IF(AA129&gt;7,0.25,0)))+IF(AB129="-",0,IF(AB129&gt;7,1.1,IF(AB129&gt;4,0.6,0)))+IF(OR(AC129="-",V129&lt;5),0,IF(AC129&gt;7,1+IF(V129&gt;7,0.25,0),IF(AC129&gt;4,0.5+IF(V129&gt;7,0.25,0),0)))+IF(AD129="-",0,IF(AD129&gt;7,1.5,IF(AD129&gt;4,1,0)))+IF(AE129="-",0,IF(AE129&gt;9,0.5,IF(AE129&gt;7,0.25,0)))+IF(AF129="-",0,IF(AF129&gt;7,1.25,IF(AF129&gt;4,0.75,0)))+IF(OR(AG129="-",W129&lt;4),0,IF(AG129&gt;7,1+IF(W129&gt;7,0.15,0),IF(AG129&gt;4,0.5+IF(W129&gt;7,0.15,0),0))))</f>
        <v>0.6</v>
      </c>
      <c r="AQ129" s="46">
        <f>($AM$3*AM129+$AN$3*AN129+$AO$3*AO129+$AP$3*AP129)+$I$3*VLOOKUP(I129,COND!$A$2:$E$7,4,FALSE)+$J$3*VLOOKUP(J129,COND!$A$2:$C$7,2,FALSE)+$K$3*VLOOKUP(K129,COND!$A$2:$C$7,3,FALSE)+IF(AND($B$2&gt;0,$E129&lt;20),$B$2*25,0)</f>
        <v>44.504749480049426</v>
      </c>
      <c r="AR129" s="49">
        <f>STANDARDIZE(AQ129,AVERAGE($AQ$5:$AQ$537),STDEVP($AQ$5:$AQ$537))</f>
        <v>0.73130892297151262</v>
      </c>
      <c r="AS129" s="47" t="str">
        <f>IF(AND(Z129&lt;&gt;"-",Y129&gt;1),"C",IF(AB129=MAX(AB129:AD129),"2B",IF(AD129=MAX(AB129:AD129),"SS",IF(OR(AC129=MAX(AA129:AD129),AND(AC129&lt;&gt;"-",AC129&gt;4,V129&gt;5)),"3B",IF(AF129=MAX(AE129:AG129),"CF",IF(AND(AG129=MAX(AE129,AG129),AND(W129&gt;5,AG129&lt;&gt;"-")),"RF",IF(AE129&lt;&gt;"-","LF",IF(AA129&lt;&gt;"-","1B","DH"))))))))</f>
        <v>2B</v>
      </c>
      <c r="AT129" s="47"/>
      <c r="AU129" s="47"/>
      <c r="AV129" s="47"/>
      <c r="AW129" s="47" t="str">
        <f>IF(AND($Q129&gt;=6,AVERAGE($S129:$T129)&gt;=6),"Likely",IF(OR($Q129&gt;6,AND($Q129=6,AVERAGE($S129:$T129)&gt;=3),AND($Q129&gt;=5,AVERAGE($S129:$T129)&gt;=5),AVERAGE($Q129,$S129:$T129)&gt;5),"Possible","Unlikely"))</f>
        <v>Unlikely</v>
      </c>
      <c r="AX129" s="47"/>
      <c r="AY129" s="47" t="str">
        <f>INDEX(Table5[[#All],[Ovr]],MATCH(Batters[[#This Row],[PID]],Table5[[#All],[PID]],0))</f>
        <v/>
      </c>
      <c r="AZ129" s="47" t="str">
        <f>INDEX(Table5[[#All],[Rnd]],MATCH(Batters[[#This Row],[PID]],Table5[[#All],[PID]],0))</f>
        <v/>
      </c>
      <c r="BA129" s="47" t="str">
        <f>INDEX(Table5[[#All],[Pick]],MATCH(Batters[[#This Row],[PID]],Table5[[#All],[PID]],0))</f>
        <v/>
      </c>
      <c r="BB129" s="47" t="str">
        <f>INDEX(Table5[[#All],[Team]],MATCH(Batters[[#This Row],[PID]],Table5[[#All],[PID]],0))</f>
        <v/>
      </c>
    </row>
    <row r="130" spans="1:54" ht="15" customHeight="1" x14ac:dyDescent="0.25">
      <c r="A130" s="42">
        <v>7664</v>
      </c>
      <c r="B130" s="42" t="s">
        <v>86</v>
      </c>
      <c r="C130" s="42" t="s">
        <v>163</v>
      </c>
      <c r="D130" s="42" t="s">
        <v>1252</v>
      </c>
      <c r="E130" s="42">
        <v>18</v>
      </c>
      <c r="F130" s="42" t="s">
        <v>62</v>
      </c>
      <c r="G130" s="42" t="s">
        <v>42</v>
      </c>
      <c r="H130" s="43" t="s">
        <v>703</v>
      </c>
      <c r="I130" s="44" t="s">
        <v>43</v>
      </c>
      <c r="J130" s="42" t="s">
        <v>43</v>
      </c>
      <c r="K130" s="43" t="s">
        <v>43</v>
      </c>
      <c r="L130" s="42">
        <v>1</v>
      </c>
      <c r="M130" s="42">
        <v>1</v>
      </c>
      <c r="N130" s="42">
        <v>2</v>
      </c>
      <c r="O130" s="42">
        <v>2</v>
      </c>
      <c r="P130" s="43">
        <v>1</v>
      </c>
      <c r="Q130" s="42">
        <v>3</v>
      </c>
      <c r="R130" s="42">
        <v>4</v>
      </c>
      <c r="S130" s="42">
        <v>4</v>
      </c>
      <c r="T130" s="42">
        <v>7</v>
      </c>
      <c r="U130" s="43">
        <v>2</v>
      </c>
      <c r="V130" s="42">
        <v>3</v>
      </c>
      <c r="W130" s="42">
        <v>3</v>
      </c>
      <c r="X130" s="42">
        <v>6</v>
      </c>
      <c r="Y130" s="43">
        <v>5</v>
      </c>
      <c r="Z130" s="42" t="s">
        <v>45</v>
      </c>
      <c r="AA130" s="42" t="s">
        <v>45</v>
      </c>
      <c r="AB130" s="42" t="s">
        <v>45</v>
      </c>
      <c r="AC130" s="42" t="s">
        <v>45</v>
      </c>
      <c r="AD130" s="42" t="s">
        <v>45</v>
      </c>
      <c r="AE130" s="42" t="s">
        <v>45</v>
      </c>
      <c r="AF130" s="42" t="s">
        <v>45</v>
      </c>
      <c r="AG130" s="43" t="s">
        <v>45</v>
      </c>
      <c r="AH130" s="42">
        <v>1</v>
      </c>
      <c r="AI130" s="42">
        <v>1</v>
      </c>
      <c r="AJ130" s="43">
        <v>1</v>
      </c>
      <c r="AK130" s="45" t="s">
        <v>602</v>
      </c>
      <c r="AL130" s="45" t="s">
        <v>47</v>
      </c>
      <c r="AM130" s="46">
        <f>($L$3*(L130-$Q$1)/$Q$2+$M$3*(M130-$R$1)/$R$2+$N$3*(N130-$S$1)/$S$2+$O$3*(O130-$T$1)/$T$2+$P$3*(P130-$U$1)/$U$2)/(SUM($L$3:$P$3))</f>
        <v>-1.9115723057940897</v>
      </c>
      <c r="AN130" s="46">
        <f>($L$3*(Q130-$Q$1)/$Q$2+$M$3*(R130-$R$1)/$R$2+$N$3*(S130-$S$1)/$S$2+$O$3*(T130-$T$1)/$T$2+$P$3*(U130-$U$1)/$U$2)/(SUM($L$3:$P$3))</f>
        <v>-0.45859391661983795</v>
      </c>
      <c r="AO130" s="47">
        <f>IF(AVERAGE(AH130:AI130)&gt;9,1,0)+IF(AVERAGE(AH130:AI130)&gt;7,1,0)+IF(AH130&gt;7,1,0)+IF(AI130&gt;7,1,0)+IF(AJ130&gt;8,1,0)+IF(AJ130&gt;6,1,0)</f>
        <v>0</v>
      </c>
      <c r="AP130" s="48">
        <f>MIN(2,IF(OR(Z130="-",X130&lt;5),0,1+IF(Y130&gt;7,0.35,IF(Y130&gt;5,0.1,0))+IF(Z130&gt;7,1+IF(X130&gt;7,0.25,0),IF(Z130&gt;4,0.5+IF(X130&gt;7,0.25,0),0+IF(X130&gt;7,0.25))))+IF(AA130="-",0,IF(AA130&gt;9,0.5,IF(AA130&gt;7,0.25,0)))+IF(AB130="-",0,IF(AB130&gt;7,1.1,IF(AB130&gt;4,0.6,0)))+IF(OR(AC130="-",V130&lt;5),0,IF(AC130&gt;7,1+IF(V130&gt;7,0.25,0),IF(AC130&gt;4,0.5+IF(V130&gt;7,0.25,0),0)))+IF(AD130="-",0,IF(AD130&gt;7,1.5,IF(AD130&gt;4,1,0)))+IF(AE130="-",0,IF(AE130&gt;9,0.5,IF(AE130&gt;7,0.25,0)))+IF(AF130="-",0,IF(AF130&gt;7,1.25,IF(AF130&gt;4,0.75,0)))+IF(OR(AG130="-",W130&lt;4),0,IF(AG130&gt;7,1+IF(W130&gt;7,0.15,0),IF(AG130&gt;4,0.5+IF(W130&gt;7,0.15,0),0))))</f>
        <v>0</v>
      </c>
      <c r="AQ130" s="46">
        <f>($AM$3*AM130+$AN$3*AN130+$AO$3*AO130+$AP$3*AP130)+$I$3*VLOOKUP(I130,COND!$A$2:$E$7,4,FALSE)+$J$3*VLOOKUP(J130,COND!$A$2:$C$7,2,FALSE)+$K$3*VLOOKUP(K130,COND!$A$2:$C$7,3,FALSE)+IF(AND($B$2&gt;0,$E130&lt;20),$B$2*25,0)</f>
        <v>44.305715769982534</v>
      </c>
      <c r="AR130" s="49">
        <f>STANDARDIZE(AQ130,AVERAGE($AQ$5:$AQ$537),STDEVP($AQ$5:$AQ$537))</f>
        <v>0.69629026452366238</v>
      </c>
      <c r="AS130" s="47" t="str">
        <f>IF(AND(Z130&lt;&gt;"-",Y130&gt;1),"C",IF(AB130=MAX(AB130:AD130),"2B",IF(AD130=MAX(AB130:AD130),"SS",IF(OR(AC130=MAX(AA130:AD130),AND(AC130&lt;&gt;"-",AC130&gt;4,V130&gt;5)),"3B",IF(AF130=MAX(AE130:AG130),"CF",IF(AND(AG130=MAX(AE130,AG130),AND(W130&gt;5,AG130&lt;&gt;"-")),"RF",IF(AE130&lt;&gt;"-","LF",IF(AA130&lt;&gt;"-","1B","DH"))))))))</f>
        <v>DH</v>
      </c>
      <c r="AT130" s="47"/>
      <c r="AU130" s="47"/>
      <c r="AV130" s="47"/>
      <c r="AW130" s="47" t="str">
        <f>IF(AND($Q130&gt;=6,AVERAGE($S130:$T130)&gt;=6),"Likely",IF(OR($Q130&gt;6,AND($Q130=6,AVERAGE($S130:$T130)&gt;=3),AND($Q130&gt;=5,AVERAGE($S130:$T130)&gt;=5),AVERAGE($Q130,$S130:$T130)&gt;5),"Possible","Unlikely"))</f>
        <v>Unlikely</v>
      </c>
      <c r="AX130" s="47"/>
      <c r="AY130" s="47" t="str">
        <f>INDEX(Table5[[#All],[Ovr]],MATCH(Batters[[#This Row],[PID]],Table5[[#All],[PID]],0))</f>
        <v/>
      </c>
      <c r="AZ130" s="47" t="str">
        <f>INDEX(Table5[[#All],[Rnd]],MATCH(Batters[[#This Row],[PID]],Table5[[#All],[PID]],0))</f>
        <v/>
      </c>
      <c r="BA130" s="47" t="str">
        <f>INDEX(Table5[[#All],[Pick]],MATCH(Batters[[#This Row],[PID]],Table5[[#All],[PID]],0))</f>
        <v/>
      </c>
      <c r="BB130" s="47" t="str">
        <f>INDEX(Table5[[#All],[Team]],MATCH(Batters[[#This Row],[PID]],Table5[[#All],[PID]],0))</f>
        <v/>
      </c>
    </row>
    <row r="131" spans="1:54" ht="15" customHeight="1" x14ac:dyDescent="0.25">
      <c r="A131" s="42">
        <v>7406</v>
      </c>
      <c r="B131" s="42" t="s">
        <v>74</v>
      </c>
      <c r="C131" s="42" t="s">
        <v>1080</v>
      </c>
      <c r="D131" s="42" t="s">
        <v>1081</v>
      </c>
      <c r="E131" s="42">
        <v>21</v>
      </c>
      <c r="F131" s="42" t="s">
        <v>42</v>
      </c>
      <c r="G131" s="42" t="s">
        <v>42</v>
      </c>
      <c r="H131" s="43" t="s">
        <v>703</v>
      </c>
      <c r="I131" s="44" t="s">
        <v>43</v>
      </c>
      <c r="J131" s="42" t="s">
        <v>43</v>
      </c>
      <c r="K131" s="43" t="s">
        <v>43</v>
      </c>
      <c r="L131" s="42">
        <v>3</v>
      </c>
      <c r="M131" s="42">
        <v>4</v>
      </c>
      <c r="N131" s="42">
        <v>2</v>
      </c>
      <c r="O131" s="42">
        <v>3</v>
      </c>
      <c r="P131" s="43">
        <v>4</v>
      </c>
      <c r="Q131" s="42">
        <v>4</v>
      </c>
      <c r="R131" s="42">
        <v>4</v>
      </c>
      <c r="S131" s="42">
        <v>3</v>
      </c>
      <c r="T131" s="42">
        <v>5</v>
      </c>
      <c r="U131" s="43">
        <v>6</v>
      </c>
      <c r="V131" s="42">
        <v>4</v>
      </c>
      <c r="W131" s="42">
        <v>7</v>
      </c>
      <c r="X131" s="42">
        <v>1</v>
      </c>
      <c r="Y131" s="43">
        <v>1</v>
      </c>
      <c r="Z131" s="42" t="s">
        <v>45</v>
      </c>
      <c r="AA131" s="42" t="s">
        <v>45</v>
      </c>
      <c r="AB131" s="42" t="s">
        <v>45</v>
      </c>
      <c r="AC131" s="42" t="s">
        <v>45</v>
      </c>
      <c r="AD131" s="42" t="s">
        <v>45</v>
      </c>
      <c r="AE131" s="42" t="s">
        <v>45</v>
      </c>
      <c r="AF131" s="42">
        <v>8</v>
      </c>
      <c r="AG131" s="43" t="s">
        <v>45</v>
      </c>
      <c r="AH131" s="42">
        <v>10</v>
      </c>
      <c r="AI131" s="42">
        <v>9</v>
      </c>
      <c r="AJ131" s="43">
        <v>10</v>
      </c>
      <c r="AK131" s="45" t="s">
        <v>820</v>
      </c>
      <c r="AL131" s="45" t="s">
        <v>47</v>
      </c>
      <c r="AM131" s="46">
        <f>($L$3*(L131-$Q$1)/$Q$2+$M$3*(M131-$R$1)/$R$2+$N$3*(N131-$S$1)/$S$2+$O$3*(O131-$T$1)/$T$2+$P$3*(P131-$U$1)/$U$2)/(SUM($L$3:$P$3))</f>
        <v>-0.90352242507179814</v>
      </c>
      <c r="AN131" s="46">
        <f>($L$3*(Q131-$Q$1)/$Q$2+$M$3*(R131-$R$1)/$R$2+$N$3*(S131-$S$1)/$S$2+$O$3*(T131-$T$1)/$T$2+$P$3*(U131-$U$1)/$U$2)/(SUM($L$3:$P$3))</f>
        <v>-0.23845331519189295</v>
      </c>
      <c r="AO131" s="47">
        <f>IF(AVERAGE(AH131:AI131)&gt;9,1,0)+IF(AVERAGE(AH131:AI131)&gt;7,1,0)+IF(AH131&gt;7,1,0)+IF(AI131&gt;7,1,0)+IF(AJ131&gt;8,1,0)+IF(AJ131&gt;6,1,0)</f>
        <v>6</v>
      </c>
      <c r="AP131" s="48">
        <f>MIN(2,IF(OR(Z131="-",X131&lt;5),0,1+IF(Y131&gt;7,0.35,IF(Y131&gt;5,0.1,0))+IF(Z131&gt;7,1+IF(X131&gt;7,0.25,0),IF(Z131&gt;4,0.5+IF(X131&gt;7,0.25,0),0+IF(X131&gt;7,0.25))))+IF(AA131="-",0,IF(AA131&gt;9,0.5,IF(AA131&gt;7,0.25,0)))+IF(AB131="-",0,IF(AB131&gt;7,1.1,IF(AB131&gt;4,0.6,0)))+IF(OR(AC131="-",V131&lt;5),0,IF(AC131&gt;7,1+IF(V131&gt;7,0.25,0),IF(AC131&gt;4,0.5+IF(V131&gt;7,0.25,0),0)))+IF(AD131="-",0,IF(AD131&gt;7,1.5,IF(AD131&gt;4,1,0)))+IF(AE131="-",0,IF(AE131&gt;9,0.5,IF(AE131&gt;7,0.25,0)))+IF(AF131="-",0,IF(AF131&gt;7,1.25,IF(AF131&gt;4,0.75,0)))+IF(OR(AG131="-",W131&lt;4),0,IF(AG131&gt;7,1+IF(W131&gt;7,0.15,0),IF(AG131&gt;4,0.5+IF(W131&gt;7,0.15,0),0))))</f>
        <v>1.25</v>
      </c>
      <c r="AQ131" s="46">
        <f>($AM$3*AM131+$AN$3*AN131+$AO$3*AO131+$AP$3*AP131)+$I$3*VLOOKUP(I131,COND!$A$2:$E$7,4,FALSE)+$J$3*VLOOKUP(J131,COND!$A$2:$C$7,2,FALSE)+$K$3*VLOOKUP(K131,COND!$A$2:$C$7,3,FALSE)+IF(AND($B$2&gt;0,$E131&lt;20),$B$2*25,0)</f>
        <v>44.298207975190103</v>
      </c>
      <c r="AR131" s="49">
        <f>STANDARDIZE(AQ131,AVERAGE($AQ$5:$AQ$537),STDEVP($AQ$5:$AQ$537))</f>
        <v>0.69496931792901595</v>
      </c>
      <c r="AS131" s="47" t="str">
        <f>IF(AND(Z131&lt;&gt;"-",Y131&gt;1),"C",IF(AB131=MAX(AB131:AD131),"2B",IF(AD131=MAX(AB131:AD131),"SS",IF(OR(AC131=MAX(AA131:AD131),AND(AC131&lt;&gt;"-",AC131&gt;4,V131&gt;5)),"3B",IF(AF131=MAX(AE131:AG131),"CF",IF(AND(AG131=MAX(AE131,AG131),AND(W131&gt;5,AG131&lt;&gt;"-")),"RF",IF(AE131&lt;&gt;"-","LF",IF(AA131&lt;&gt;"-","1B","DH"))))))))</f>
        <v>CF</v>
      </c>
      <c r="AT131" s="47"/>
      <c r="AU131" s="47"/>
      <c r="AV131" s="47"/>
      <c r="AW131" s="47" t="str">
        <f>IF(AND($Q131&gt;=6,AVERAGE($S131:$T131)&gt;=6),"Likely",IF(OR($Q131&gt;6,AND($Q131=6,AVERAGE($S131:$T131)&gt;=3),AND($Q131&gt;=5,AVERAGE($S131:$T131)&gt;=5),AVERAGE($Q131,$S131:$T131)&gt;5),"Possible","Unlikely"))</f>
        <v>Unlikely</v>
      </c>
      <c r="AX131" s="47"/>
      <c r="AY131" s="47" t="str">
        <f>INDEX(Table5[[#All],[Ovr]],MATCH(Batters[[#This Row],[PID]],Table5[[#All],[PID]],0))</f>
        <v/>
      </c>
      <c r="AZ131" s="47" t="str">
        <f>INDEX(Table5[[#All],[Rnd]],MATCH(Batters[[#This Row],[PID]],Table5[[#All],[PID]],0))</f>
        <v/>
      </c>
      <c r="BA131" s="47" t="str">
        <f>INDEX(Table5[[#All],[Pick]],MATCH(Batters[[#This Row],[PID]],Table5[[#All],[PID]],0))</f>
        <v/>
      </c>
      <c r="BB131" s="47" t="str">
        <f>INDEX(Table5[[#All],[Team]],MATCH(Batters[[#This Row],[PID]],Table5[[#All],[PID]],0))</f>
        <v/>
      </c>
    </row>
    <row r="132" spans="1:54" ht="15" customHeight="1" x14ac:dyDescent="0.25">
      <c r="A132" s="42">
        <v>10327</v>
      </c>
      <c r="B132" s="42" t="s">
        <v>72</v>
      </c>
      <c r="C132" s="42" t="s">
        <v>972</v>
      </c>
      <c r="D132" s="42" t="s">
        <v>350</v>
      </c>
      <c r="E132" s="42">
        <v>21</v>
      </c>
      <c r="F132" s="42" t="s">
        <v>42</v>
      </c>
      <c r="G132" s="42" t="s">
        <v>42</v>
      </c>
      <c r="H132" s="43" t="s">
        <v>703</v>
      </c>
      <c r="I132" s="44" t="s">
        <v>43</v>
      </c>
      <c r="J132" s="42" t="s">
        <v>43</v>
      </c>
      <c r="K132" s="43" t="s">
        <v>43</v>
      </c>
      <c r="L132" s="42">
        <v>2</v>
      </c>
      <c r="M132" s="42">
        <v>3</v>
      </c>
      <c r="N132" s="42">
        <v>3</v>
      </c>
      <c r="O132" s="42">
        <v>3</v>
      </c>
      <c r="P132" s="43">
        <v>2</v>
      </c>
      <c r="Q132" s="42">
        <v>4</v>
      </c>
      <c r="R132" s="42">
        <v>6</v>
      </c>
      <c r="S132" s="42">
        <v>5</v>
      </c>
      <c r="T132" s="42">
        <v>5</v>
      </c>
      <c r="U132" s="43">
        <v>4</v>
      </c>
      <c r="V132" s="42">
        <v>5</v>
      </c>
      <c r="W132" s="42">
        <v>4</v>
      </c>
      <c r="X132" s="42">
        <v>1</v>
      </c>
      <c r="Y132" s="43">
        <v>1</v>
      </c>
      <c r="Z132" s="42" t="s">
        <v>45</v>
      </c>
      <c r="AA132" s="42" t="s">
        <v>45</v>
      </c>
      <c r="AB132" s="42">
        <v>2</v>
      </c>
      <c r="AC132" s="42" t="s">
        <v>45</v>
      </c>
      <c r="AD132" s="42">
        <v>3</v>
      </c>
      <c r="AE132" s="42" t="s">
        <v>45</v>
      </c>
      <c r="AF132" s="42">
        <v>1</v>
      </c>
      <c r="AG132" s="43" t="s">
        <v>45</v>
      </c>
      <c r="AH132" s="42">
        <v>4</v>
      </c>
      <c r="AI132" s="42">
        <v>3</v>
      </c>
      <c r="AJ132" s="43">
        <v>1</v>
      </c>
      <c r="AK132" s="45" t="s">
        <v>787</v>
      </c>
      <c r="AL132" s="45" t="s">
        <v>47</v>
      </c>
      <c r="AM132" s="46">
        <f>($L$3*(L132-$Q$1)/$Q$2+$M$3*(M132-$R$1)/$R$2+$N$3*(N132-$S$1)/$S$2+$O$3*(O132-$T$1)/$T$2+$P$3*(P132-$U$1)/$U$2)/(SUM($L$3:$P$3))</f>
        <v>-1.2741093265034418</v>
      </c>
      <c r="AN132" s="46">
        <f>($L$3*(Q132-$Q$1)/$Q$2+$M$3*(R132-$R$1)/$R$2+$N$3*(S132-$S$1)/$S$2+$O$3*(T132-$T$1)/$T$2+$P$3*(U132-$U$1)/$U$2)/(SUM($L$3:$P$3))</f>
        <v>-5.0243247540849842E-2</v>
      </c>
      <c r="AO132" s="47">
        <f>IF(AVERAGE(AH132:AI132)&gt;9,1,0)+IF(AVERAGE(AH132:AI132)&gt;7,1,0)+IF(AH132&gt;7,1,0)+IF(AI132&gt;7,1,0)+IF(AJ132&gt;8,1,0)+IF(AJ132&gt;6,1,0)</f>
        <v>0</v>
      </c>
      <c r="AP132" s="48">
        <f>MIN(2,IF(OR(Z132="-",X132&lt;5),0,1+IF(Y132&gt;7,0.35,IF(Y132&gt;5,0.1,0))+IF(Z132&gt;7,1+IF(X132&gt;7,0.25,0),IF(Z132&gt;4,0.5+IF(X132&gt;7,0.25,0),0+IF(X132&gt;7,0.25))))+IF(AA132="-",0,IF(AA132&gt;9,0.5,IF(AA132&gt;7,0.25,0)))+IF(AB132="-",0,IF(AB132&gt;7,1.1,IF(AB132&gt;4,0.6,0)))+IF(OR(AC132="-",V132&lt;5),0,IF(AC132&gt;7,1+IF(V132&gt;7,0.25,0),IF(AC132&gt;4,0.5+IF(V132&gt;7,0.25,0),0)))+IF(AD132="-",0,IF(AD132&gt;7,1.5,IF(AD132&gt;4,1,0)))+IF(AE132="-",0,IF(AE132&gt;9,0.5,IF(AE132&gt;7,0.25,0)))+IF(AF132="-",0,IF(AF132&gt;7,1.25,IF(AF132&gt;4,0.75,0)))+IF(OR(AG132="-",W132&lt;4),0,IF(AG132&gt;7,1+IF(W132&gt;7,0.15,0),IF(AG132&gt;4,0.5+IF(W132&gt;7,0.15,0),0))))</f>
        <v>0</v>
      </c>
      <c r="AQ132" s="46">
        <f>($AM$3*AM132+$AN$3*AN132+$AO$3*AO132+$AP$3*AP132)+$I$3*VLOOKUP(I132,COND!$A$2:$E$7,4,FALSE)+$J$3*VLOOKUP(J132,COND!$A$2:$C$7,2,FALSE)+$K$3*VLOOKUP(K132,COND!$A$2:$C$7,3,FALSE)+IF(AND($B$2&gt;0,$E132&lt;20),$B$2*25,0)</f>
        <v>44.269670096859457</v>
      </c>
      <c r="AR132" s="49">
        <f>STANDARDIZE(AQ132,AVERAGE($AQ$5:$AQ$537),STDEVP($AQ$5:$AQ$537))</f>
        <v>0.68994826790813601</v>
      </c>
      <c r="AS132" s="47" t="str">
        <f>IF(AND(Z132&lt;&gt;"-",Y132&gt;1),"C",IF(AB132=MAX(AB132:AD132),"2B",IF(AD132=MAX(AB132:AD132),"SS",IF(OR(AC132=MAX(AA132:AD132),AND(AC132&lt;&gt;"-",AC132&gt;4,V132&gt;5)),"3B",IF(AF132=MAX(AE132:AG132),"CF",IF(AND(AG132=MAX(AE132,AG132),AND(W132&gt;5,AG132&lt;&gt;"-")),"RF",IF(AE132&lt;&gt;"-","LF",IF(AA132&lt;&gt;"-","1B","DH"))))))))</f>
        <v>SS</v>
      </c>
      <c r="AT132" s="47"/>
      <c r="AU132" s="47"/>
      <c r="AV132" s="47"/>
      <c r="AW132" s="47" t="str">
        <f>IF(AND($Q132&gt;=6,AVERAGE($S132:$T132)&gt;=6),"Likely",IF(OR($Q132&gt;6,AND($Q132=6,AVERAGE($S132:$T132)&gt;=3),AND($Q132&gt;=5,AVERAGE($S132:$T132)&gt;=5),AVERAGE($Q132,$S132:$T132)&gt;5),"Possible","Unlikely"))</f>
        <v>Unlikely</v>
      </c>
      <c r="AX132" s="47"/>
      <c r="AY132" s="47" t="str">
        <f>INDEX(Table5[[#All],[Ovr]],MATCH(Batters[[#This Row],[PID]],Table5[[#All],[PID]],0))</f>
        <v/>
      </c>
      <c r="AZ132" s="47" t="str">
        <f>INDEX(Table5[[#All],[Rnd]],MATCH(Batters[[#This Row],[PID]],Table5[[#All],[PID]],0))</f>
        <v/>
      </c>
      <c r="BA132" s="47" t="str">
        <f>INDEX(Table5[[#All],[Pick]],MATCH(Batters[[#This Row],[PID]],Table5[[#All],[PID]],0))</f>
        <v/>
      </c>
      <c r="BB132" s="47" t="str">
        <f>INDEX(Table5[[#All],[Team]],MATCH(Batters[[#This Row],[PID]],Table5[[#All],[PID]],0))</f>
        <v/>
      </c>
    </row>
    <row r="133" spans="1:54" ht="15" customHeight="1" x14ac:dyDescent="0.25">
      <c r="A133" s="42">
        <v>6401</v>
      </c>
      <c r="B133" s="42" t="s">
        <v>69</v>
      </c>
      <c r="C133" s="42" t="s">
        <v>1195</v>
      </c>
      <c r="D133" s="42" t="s">
        <v>962</v>
      </c>
      <c r="E133" s="42">
        <v>18</v>
      </c>
      <c r="F133" s="42" t="s">
        <v>42</v>
      </c>
      <c r="G133" s="42" t="s">
        <v>42</v>
      </c>
      <c r="H133" s="43" t="s">
        <v>709</v>
      </c>
      <c r="I133" s="44" t="s">
        <v>43</v>
      </c>
      <c r="J133" s="42" t="s">
        <v>43</v>
      </c>
      <c r="K133" s="43" t="s">
        <v>43</v>
      </c>
      <c r="L133" s="42">
        <v>1</v>
      </c>
      <c r="M133" s="42">
        <v>2</v>
      </c>
      <c r="N133" s="42">
        <v>3</v>
      </c>
      <c r="O133" s="42">
        <v>2</v>
      </c>
      <c r="P133" s="43">
        <v>1</v>
      </c>
      <c r="Q133" s="42">
        <v>3</v>
      </c>
      <c r="R133" s="42">
        <v>5</v>
      </c>
      <c r="S133" s="42">
        <v>5</v>
      </c>
      <c r="T133" s="42">
        <v>5</v>
      </c>
      <c r="U133" s="43">
        <v>3</v>
      </c>
      <c r="V133" s="42">
        <v>7</v>
      </c>
      <c r="W133" s="42">
        <v>6</v>
      </c>
      <c r="X133" s="42">
        <v>1</v>
      </c>
      <c r="Y133" s="43">
        <v>1</v>
      </c>
      <c r="Z133" s="42" t="s">
        <v>45</v>
      </c>
      <c r="AA133" s="42" t="s">
        <v>45</v>
      </c>
      <c r="AB133" s="42" t="s">
        <v>45</v>
      </c>
      <c r="AC133" s="42">
        <v>3</v>
      </c>
      <c r="AD133" s="42" t="s">
        <v>45</v>
      </c>
      <c r="AE133" s="42" t="s">
        <v>45</v>
      </c>
      <c r="AF133" s="42" t="s">
        <v>45</v>
      </c>
      <c r="AG133" s="43" t="s">
        <v>45</v>
      </c>
      <c r="AH133" s="42">
        <v>1</v>
      </c>
      <c r="AI133" s="42">
        <v>2</v>
      </c>
      <c r="AJ133" s="43">
        <v>2</v>
      </c>
      <c r="AK133" s="45" t="s">
        <v>602</v>
      </c>
      <c r="AL133" s="45" t="s">
        <v>47</v>
      </c>
      <c r="AM133" s="46">
        <f>($L$3*(L133-$Q$1)/$Q$2+$M$3*(M133-$R$1)/$R$2+$N$3*(N133-$S$1)/$S$2+$O$3*(O133-$T$1)/$T$2+$P$3*(P133-$U$1)/$U$2)/(SUM($L$3:$P$3))</f>
        <v>-1.7774509321514844</v>
      </c>
      <c r="AN133" s="46">
        <f>($L$3*(Q133-$Q$1)/$Q$2+$M$3*(R133-$R$1)/$R$2+$N$3*(S133-$S$1)/$S$2+$O$3*(T133-$T$1)/$T$2+$P$3*(U133-$U$1)/$U$2)/(SUM($L$3:$P$3))</f>
        <v>-0.46387530317931153</v>
      </c>
      <c r="AO133" s="47">
        <f>IF(AVERAGE(AH133:AI133)&gt;9,1,0)+IF(AVERAGE(AH133:AI133)&gt;7,1,0)+IF(AH133&gt;7,1,0)+IF(AI133&gt;7,1,0)+IF(AJ133&gt;8,1,0)+IF(AJ133&gt;6,1,0)</f>
        <v>0</v>
      </c>
      <c r="AP133" s="48">
        <f>MIN(2,IF(OR(Z133="-",X133&lt;5),0,1+IF(Y133&gt;7,0.35,IF(Y133&gt;5,0.1,0))+IF(Z133&gt;7,1+IF(X133&gt;7,0.25,0),IF(Z133&gt;4,0.5+IF(X133&gt;7,0.25,0),0+IF(X133&gt;7,0.25))))+IF(AA133="-",0,IF(AA133&gt;9,0.5,IF(AA133&gt;7,0.25,0)))+IF(AB133="-",0,IF(AB133&gt;7,1.1,IF(AB133&gt;4,0.6,0)))+IF(OR(AC133="-",V133&lt;5),0,IF(AC133&gt;7,1+IF(V133&gt;7,0.25,0),IF(AC133&gt;4,0.5+IF(V133&gt;7,0.25,0),0)))+IF(AD133="-",0,IF(AD133&gt;7,1.5,IF(AD133&gt;4,1,0)))+IF(AE133="-",0,IF(AE133&gt;9,0.5,IF(AE133&gt;7,0.25,0)))+IF(AF133="-",0,IF(AF133&gt;7,1.25,IF(AF133&gt;4,0.75,0)))+IF(OR(AG133="-",W133&lt;4),0,IF(AG133&gt;7,1+IF(W133&gt;7,0.15,0),IF(AG133&gt;4,0.5+IF(W133&gt;7,0.15,0),0))))</f>
        <v>0</v>
      </c>
      <c r="AQ133" s="46">
        <f>($AM$3*AM133+$AN$3*AN133+$AO$3*AO133+$AP$3*AP133)+$I$3*VLOOKUP(I133,COND!$A$2:$E$7,4,FALSE)+$J$3*VLOOKUP(J133,COND!$A$2:$C$7,2,FALSE)+$K$3*VLOOKUP(K133,COND!$A$2:$C$7,3,FALSE)+IF(AND($B$2&gt;0,$E133&lt;20),$B$2*25,0)</f>
        <v>44.255751268633112</v>
      </c>
      <c r="AR133" s="49">
        <f>STANDARDIZE(AQ133,AVERAGE($AQ$5:$AQ$537),STDEVP($AQ$5:$AQ$537))</f>
        <v>0.68749934259046563</v>
      </c>
      <c r="AS133" s="47" t="str">
        <f>IF(AND(Z133&lt;&gt;"-",Y133&gt;1),"C",IF(AB133=MAX(AB133:AD133),"2B",IF(AD133=MAX(AB133:AD133),"SS",IF(OR(AC133=MAX(AA133:AD133),AND(AC133&lt;&gt;"-",AC133&gt;4,V133&gt;5)),"3B",IF(AF133=MAX(AE133:AG133),"CF",IF(AND(AG133=MAX(AE133,AG133),AND(W133&gt;5,AG133&lt;&gt;"-")),"RF",IF(AE133&lt;&gt;"-","LF",IF(AA133&lt;&gt;"-","1B","DH"))))))))</f>
        <v>3B</v>
      </c>
      <c r="AT133" s="47"/>
      <c r="AU133" s="47"/>
      <c r="AV133" s="47"/>
      <c r="AW133" s="47" t="str">
        <f>IF(AND($Q133&gt;=6,AVERAGE($S133:$T133)&gt;=6),"Likely",IF(OR($Q133&gt;6,AND($Q133=6,AVERAGE($S133:$T133)&gt;=3),AND($Q133&gt;=5,AVERAGE($S133:$T133)&gt;=5),AVERAGE($Q133,$S133:$T133)&gt;5),"Possible","Unlikely"))</f>
        <v>Unlikely</v>
      </c>
      <c r="AX133" s="47"/>
      <c r="AY133" s="47" t="str">
        <f>INDEX(Table5[[#All],[Ovr]],MATCH(Batters[[#This Row],[PID]],Table5[[#All],[PID]],0))</f>
        <v/>
      </c>
      <c r="AZ133" s="47" t="str">
        <f>INDEX(Table5[[#All],[Rnd]],MATCH(Batters[[#This Row],[PID]],Table5[[#All],[PID]],0))</f>
        <v/>
      </c>
      <c r="BA133" s="47" t="str">
        <f>INDEX(Table5[[#All],[Pick]],MATCH(Batters[[#This Row],[PID]],Table5[[#All],[PID]],0))</f>
        <v/>
      </c>
      <c r="BB133" s="47" t="str">
        <f>INDEX(Table5[[#All],[Team]],MATCH(Batters[[#This Row],[PID]],Table5[[#All],[PID]],0))</f>
        <v/>
      </c>
    </row>
    <row r="134" spans="1:54" ht="15" customHeight="1" x14ac:dyDescent="0.25">
      <c r="A134" s="42">
        <v>17590</v>
      </c>
      <c r="B134" s="42" t="s">
        <v>74</v>
      </c>
      <c r="C134" s="42" t="s">
        <v>146</v>
      </c>
      <c r="D134" s="42" t="s">
        <v>131</v>
      </c>
      <c r="E134" s="42">
        <v>18</v>
      </c>
      <c r="F134" s="42" t="s">
        <v>42</v>
      </c>
      <c r="G134" s="42" t="s">
        <v>53</v>
      </c>
      <c r="H134" s="43" t="s">
        <v>709</v>
      </c>
      <c r="I134" s="44" t="s">
        <v>43</v>
      </c>
      <c r="J134" s="42" t="s">
        <v>44</v>
      </c>
      <c r="K134" s="43" t="s">
        <v>43</v>
      </c>
      <c r="L134" s="42">
        <v>1</v>
      </c>
      <c r="M134" s="42">
        <v>1</v>
      </c>
      <c r="N134" s="42">
        <v>2</v>
      </c>
      <c r="O134" s="42">
        <v>1</v>
      </c>
      <c r="P134" s="43">
        <v>2</v>
      </c>
      <c r="Q134" s="42">
        <v>4</v>
      </c>
      <c r="R134" s="42">
        <v>4</v>
      </c>
      <c r="S134" s="42">
        <v>3</v>
      </c>
      <c r="T134" s="42">
        <v>3</v>
      </c>
      <c r="U134" s="43">
        <v>4</v>
      </c>
      <c r="V134" s="42">
        <v>4</v>
      </c>
      <c r="W134" s="42">
        <v>8</v>
      </c>
      <c r="X134" s="42">
        <v>1</v>
      </c>
      <c r="Y134" s="43">
        <v>1</v>
      </c>
      <c r="Z134" s="42" t="s">
        <v>45</v>
      </c>
      <c r="AA134" s="42" t="s">
        <v>45</v>
      </c>
      <c r="AB134" s="42" t="s">
        <v>45</v>
      </c>
      <c r="AC134" s="42" t="s">
        <v>45</v>
      </c>
      <c r="AD134" s="42" t="s">
        <v>45</v>
      </c>
      <c r="AE134" s="42" t="s">
        <v>45</v>
      </c>
      <c r="AF134" s="42">
        <v>5</v>
      </c>
      <c r="AG134" s="43" t="s">
        <v>45</v>
      </c>
      <c r="AH134" s="42">
        <v>9</v>
      </c>
      <c r="AI134" s="42">
        <v>9</v>
      </c>
      <c r="AJ134" s="43">
        <v>8</v>
      </c>
      <c r="AK134" s="45" t="s">
        <v>596</v>
      </c>
      <c r="AL134" s="45" t="s">
        <v>47</v>
      </c>
      <c r="AM134" s="46">
        <f>($L$3*(L134-$Q$1)/$Q$2+$M$3*(M134-$R$1)/$R$2+$N$3*(N134-$S$1)/$S$2+$O$3*(O134-$T$1)/$T$2+$P$3*(P134-$U$1)/$U$2)/(SUM($L$3:$P$3))</f>
        <v>-1.961265515986587</v>
      </c>
      <c r="AN134" s="46">
        <f>($L$3*(Q134-$Q$1)/$Q$2+$M$3*(R134-$R$1)/$R$2+$N$3*(S134-$S$1)/$S$2+$O$3*(T134-$T$1)/$T$2+$P$3*(U134-$U$1)/$U$2)/(SUM($L$3:$P$3))</f>
        <v>-0.49790509484522188</v>
      </c>
      <c r="AO134" s="47">
        <f>IF(AVERAGE(AH134:AI134)&gt;9,1,0)+IF(AVERAGE(AH134:AI134)&gt;7,1,0)+IF(AH134&gt;7,1,0)+IF(AI134&gt;7,1,0)+IF(AJ134&gt;8,1,0)+IF(AJ134&gt;6,1,0)</f>
        <v>4</v>
      </c>
      <c r="AP134" s="48">
        <f>MIN(2,IF(OR(Z134="-",X134&lt;5),0,1+IF(Y134&gt;7,0.35,IF(Y134&gt;5,0.1,0))+IF(Z134&gt;7,1+IF(X134&gt;7,0.25,0),IF(Z134&gt;4,0.5+IF(X134&gt;7,0.25,0),0+IF(X134&gt;7,0.25))))+IF(AA134="-",0,IF(AA134&gt;9,0.5,IF(AA134&gt;7,0.25,0)))+IF(AB134="-",0,IF(AB134&gt;7,1.1,IF(AB134&gt;4,0.6,0)))+IF(OR(AC134="-",V134&lt;5),0,IF(AC134&gt;7,1+IF(V134&gt;7,0.25,0),IF(AC134&gt;4,0.5+IF(V134&gt;7,0.25,0),0)))+IF(AD134="-",0,IF(AD134&gt;7,1.5,IF(AD134&gt;4,1,0)))+IF(AE134="-",0,IF(AE134&gt;9,0.5,IF(AE134&gt;7,0.25,0)))+IF(AF134="-",0,IF(AF134&gt;7,1.25,IF(AF134&gt;4,0.75,0)))+IF(OR(AG134="-",W134&lt;4),0,IF(AG134&gt;7,1+IF(W134&gt;7,0.15,0),IF(AG134&gt;4,0.5+IF(W134&gt;7,0.15,0),0))))</f>
        <v>0.75</v>
      </c>
      <c r="AQ134" s="46">
        <f>($AM$3*AM134+$AN$3*AN134+$AO$3*AO134+$AP$3*AP134)+$I$3*VLOOKUP(I134,COND!$A$2:$E$7,4,FALSE)+$J$3*VLOOKUP(J134,COND!$A$2:$C$7,2,FALSE)+$K$3*VLOOKUP(K134,COND!$A$2:$C$7,3,FALSE)+IF(AND($B$2&gt;0,$E134&lt;20),$B$2*25,0)</f>
        <v>44.945678976925343</v>
      </c>
      <c r="AR134" s="49">
        <f>STANDARDIZE(AQ134,AVERAGE($AQ$5:$AQ$537),STDEVP($AQ$5:$AQ$537))</f>
        <v>0.8088875373956258</v>
      </c>
      <c r="AS134" s="47" t="str">
        <f>IF(AND(Z134&lt;&gt;"-",Y134&gt;1),"C",IF(AB134=MAX(AB134:AD134),"2B",IF(AD134=MAX(AB134:AD134),"SS",IF(OR(AC134=MAX(AA134:AD134),AND(AC134&lt;&gt;"-",AC134&gt;4,V134&gt;5)),"3B",IF(AF134=MAX(AE134:AG134),"CF",IF(AND(AG134=MAX(AE134,AG134),AND(W134&gt;5,AG134&lt;&gt;"-")),"RF",IF(AE134&lt;&gt;"-","LF",IF(AA134&lt;&gt;"-","1B","DH"))))))))</f>
        <v>CF</v>
      </c>
      <c r="AT134" s="47"/>
      <c r="AU134" s="47"/>
      <c r="AV134" s="47"/>
      <c r="AW134" s="47" t="str">
        <f>IF(AND($Q134&gt;=6,AVERAGE($S134:$T134)&gt;=6),"Likely",IF(OR($Q134&gt;6,AND($Q134=6,AVERAGE($S134:$T134)&gt;=3),AND($Q134&gt;=5,AVERAGE($S134:$T134)&gt;=5),AVERAGE($Q134,$S134:$T134)&gt;5),"Possible","Unlikely"))</f>
        <v>Unlikely</v>
      </c>
      <c r="AX134" s="47"/>
      <c r="AY134" s="47" t="str">
        <f>INDEX(Table5[[#All],[Ovr]],MATCH(Batters[[#This Row],[PID]],Table5[[#All],[PID]],0))</f>
        <v/>
      </c>
      <c r="AZ134" s="47" t="str">
        <f>INDEX(Table5[[#All],[Rnd]],MATCH(Batters[[#This Row],[PID]],Table5[[#All],[PID]],0))</f>
        <v/>
      </c>
      <c r="BA134" s="47" t="str">
        <f>INDEX(Table5[[#All],[Pick]],MATCH(Batters[[#This Row],[PID]],Table5[[#All],[PID]],0))</f>
        <v/>
      </c>
      <c r="BB134" s="47" t="str">
        <f>INDEX(Table5[[#All],[Team]],MATCH(Batters[[#This Row],[PID]],Table5[[#All],[PID]],0))</f>
        <v/>
      </c>
    </row>
    <row r="135" spans="1:54" ht="15" customHeight="1" x14ac:dyDescent="0.25">
      <c r="A135" s="42">
        <v>14001</v>
      </c>
      <c r="B135" s="42" t="s">
        <v>71</v>
      </c>
      <c r="C135" s="42" t="s">
        <v>335</v>
      </c>
      <c r="D135" s="42" t="s">
        <v>936</v>
      </c>
      <c r="E135" s="42">
        <v>18</v>
      </c>
      <c r="F135" s="42" t="s">
        <v>42</v>
      </c>
      <c r="G135" s="42" t="s">
        <v>42</v>
      </c>
      <c r="H135" s="43" t="s">
        <v>709</v>
      </c>
      <c r="I135" s="44" t="s">
        <v>44</v>
      </c>
      <c r="J135" s="42" t="s">
        <v>43</v>
      </c>
      <c r="K135" s="43" t="s">
        <v>43</v>
      </c>
      <c r="L135" s="42">
        <v>1</v>
      </c>
      <c r="M135" s="42">
        <v>2</v>
      </c>
      <c r="N135" s="42">
        <v>3</v>
      </c>
      <c r="O135" s="42">
        <v>2</v>
      </c>
      <c r="P135" s="43">
        <v>3</v>
      </c>
      <c r="Q135" s="42">
        <v>3</v>
      </c>
      <c r="R135" s="42">
        <v>5</v>
      </c>
      <c r="S135" s="42">
        <v>5</v>
      </c>
      <c r="T135" s="42">
        <v>4</v>
      </c>
      <c r="U135" s="43">
        <v>5</v>
      </c>
      <c r="V135" s="42">
        <v>4</v>
      </c>
      <c r="W135" s="42">
        <v>2</v>
      </c>
      <c r="X135" s="42">
        <v>1</v>
      </c>
      <c r="Y135" s="43">
        <v>1</v>
      </c>
      <c r="Z135" s="42" t="s">
        <v>45</v>
      </c>
      <c r="AA135" s="42" t="s">
        <v>45</v>
      </c>
      <c r="AB135" s="42">
        <v>1</v>
      </c>
      <c r="AC135" s="42" t="s">
        <v>45</v>
      </c>
      <c r="AD135" s="42" t="s">
        <v>45</v>
      </c>
      <c r="AE135" s="42" t="s">
        <v>45</v>
      </c>
      <c r="AF135" s="42" t="s">
        <v>45</v>
      </c>
      <c r="AG135" s="43" t="s">
        <v>45</v>
      </c>
      <c r="AH135" s="42">
        <v>6</v>
      </c>
      <c r="AI135" s="42">
        <v>6</v>
      </c>
      <c r="AJ135" s="43">
        <v>7</v>
      </c>
      <c r="AK135" s="45" t="s">
        <v>599</v>
      </c>
      <c r="AL135" s="45" t="s">
        <v>47</v>
      </c>
      <c r="AM135" s="46">
        <f>($L$3*(L135-$Q$1)/$Q$2+$M$3*(M135-$R$1)/$R$2+$N$3*(N135-$S$1)/$S$2+$O$3*(O135-$T$1)/$T$2+$P$3*(P135-$U$1)/$U$2)/(SUM($L$3:$P$3))</f>
        <v>-1.6974182525173176</v>
      </c>
      <c r="AN135" s="46">
        <f>($L$3*(Q135-$Q$1)/$Q$2+$M$3*(R135-$R$1)/$R$2+$N$3*(S135-$S$1)/$S$2+$O$3*(T135-$T$1)/$T$2+$P$3*(U135-$U$1)/$U$2)/(SUM($L$3:$P$3))</f>
        <v>-0.47355217355472567</v>
      </c>
      <c r="AO135" s="47">
        <f>IF(AVERAGE(AH135:AI135)&gt;9,1,0)+IF(AVERAGE(AH135:AI135)&gt;7,1,0)+IF(AH135&gt;7,1,0)+IF(AI135&gt;7,1,0)+IF(AJ135&gt;8,1,0)+IF(AJ135&gt;6,1,0)</f>
        <v>1</v>
      </c>
      <c r="AP135" s="48">
        <f>MIN(2,IF(OR(Z135="-",X135&lt;5),0,1+IF(Y135&gt;7,0.35,IF(Y135&gt;5,0.1,0))+IF(Z135&gt;7,1+IF(X135&gt;7,0.25,0),IF(Z135&gt;4,0.5+IF(X135&gt;7,0.25,0),0+IF(X135&gt;7,0.25))))+IF(AA135="-",0,IF(AA135&gt;9,0.5,IF(AA135&gt;7,0.25,0)))+IF(AB135="-",0,IF(AB135&gt;7,1.1,IF(AB135&gt;4,0.6,0)))+IF(OR(AC135="-",V135&lt;5),0,IF(AC135&gt;7,1+IF(V135&gt;7,0.25,0),IF(AC135&gt;4,0.5+IF(V135&gt;7,0.25,0),0)))+IF(AD135="-",0,IF(AD135&gt;7,1.5,IF(AD135&gt;4,1,0)))+IF(AE135="-",0,IF(AE135&gt;9,0.5,IF(AE135&gt;7,0.25,0)))+IF(AF135="-",0,IF(AF135&gt;7,1.25,IF(AF135&gt;4,0.75,0)))+IF(OR(AG135="-",W135&lt;4),0,IF(AG135&gt;7,1+IF(W135&gt;7,0.15,0),IF(AG135&gt;4,0.5+IF(W135&gt;7,0.15,0),0))))</f>
        <v>0</v>
      </c>
      <c r="AQ135" s="46">
        <f>($AM$3*AM135+$AN$3*AN135+$AO$3*AO135+$AP$3*AP135)+$I$3*VLOOKUP(I135,COND!$A$2:$E$7,4,FALSE)+$J$3*VLOOKUP(J135,COND!$A$2:$C$7,2,FALSE)+$K$3*VLOOKUP(K135,COND!$A$2:$C$7,3,FALSE)+IF(AND($B$2&gt;0,$E135&lt;20),$B$2*25,0)</f>
        <v>44.164298758758228</v>
      </c>
      <c r="AR135" s="49">
        <f>STANDARDIZE(AQ135,AVERAGE($AQ$5:$AQ$537),STDEVP($AQ$5:$AQ$537))</f>
        <v>0.67140888129910514</v>
      </c>
      <c r="AS135" s="47" t="str">
        <f>IF(AND(Z135&lt;&gt;"-",Y135&gt;1),"C",IF(AB135=MAX(AB135:AD135),"2B",IF(AD135=MAX(AB135:AD135),"SS",IF(OR(AC135=MAX(AA135:AD135),AND(AC135&lt;&gt;"-",AC135&gt;4,V135&gt;5)),"3B",IF(AF135=MAX(AE135:AG135),"CF",IF(AND(AG135=MAX(AE135,AG135),AND(W135&gt;5,AG135&lt;&gt;"-")),"RF",IF(AE135&lt;&gt;"-","LF",IF(AA135&lt;&gt;"-","1B","DH"))))))))</f>
        <v>2B</v>
      </c>
      <c r="AT135" s="47"/>
      <c r="AU135" s="47"/>
      <c r="AV135" s="47"/>
      <c r="AW135" s="47" t="str">
        <f>IF(AND($Q135&gt;=6,AVERAGE($S135:$T135)&gt;=6),"Likely",IF(OR($Q135&gt;6,AND($Q135=6,AVERAGE($S135:$T135)&gt;=3),AND($Q135&gt;=5,AVERAGE($S135:$T135)&gt;=5),AVERAGE($Q135,$S135:$T135)&gt;5),"Possible","Unlikely"))</f>
        <v>Unlikely</v>
      </c>
      <c r="AX135" s="47"/>
      <c r="AY135" s="47" t="str">
        <f>INDEX(Table5[[#All],[Ovr]],MATCH(Batters[[#This Row],[PID]],Table5[[#All],[PID]],0))</f>
        <v/>
      </c>
      <c r="AZ135" s="47" t="str">
        <f>INDEX(Table5[[#All],[Rnd]],MATCH(Batters[[#This Row],[PID]],Table5[[#All],[PID]],0))</f>
        <v/>
      </c>
      <c r="BA135" s="47" t="str">
        <f>INDEX(Table5[[#All],[Pick]],MATCH(Batters[[#This Row],[PID]],Table5[[#All],[PID]],0))</f>
        <v/>
      </c>
      <c r="BB135" s="47" t="str">
        <f>INDEX(Table5[[#All],[Team]],MATCH(Batters[[#This Row],[PID]],Table5[[#All],[PID]],0))</f>
        <v/>
      </c>
    </row>
    <row r="136" spans="1:54" ht="15" customHeight="1" x14ac:dyDescent="0.25">
      <c r="A136" s="42">
        <v>8948</v>
      </c>
      <c r="B136" s="42" t="s">
        <v>87</v>
      </c>
      <c r="C136" s="42" t="s">
        <v>1162</v>
      </c>
      <c r="D136" s="42" t="s">
        <v>1163</v>
      </c>
      <c r="E136" s="42">
        <v>18</v>
      </c>
      <c r="F136" s="42" t="s">
        <v>42</v>
      </c>
      <c r="G136" s="42" t="s">
        <v>42</v>
      </c>
      <c r="H136" s="43" t="s">
        <v>709</v>
      </c>
      <c r="I136" s="44" t="s">
        <v>43</v>
      </c>
      <c r="J136" s="42" t="s">
        <v>47</v>
      </c>
      <c r="K136" s="43" t="s">
        <v>43</v>
      </c>
      <c r="L136" s="42">
        <v>1</v>
      </c>
      <c r="M136" s="42">
        <v>1</v>
      </c>
      <c r="N136" s="42">
        <v>2</v>
      </c>
      <c r="O136" s="42">
        <v>1</v>
      </c>
      <c r="P136" s="43">
        <v>1</v>
      </c>
      <c r="Q136" s="42">
        <v>3</v>
      </c>
      <c r="R136" s="42">
        <v>3</v>
      </c>
      <c r="S136" s="42">
        <v>4</v>
      </c>
      <c r="T136" s="42">
        <v>5</v>
      </c>
      <c r="U136" s="43">
        <v>4</v>
      </c>
      <c r="V136" s="42">
        <v>3</v>
      </c>
      <c r="W136" s="42">
        <v>2</v>
      </c>
      <c r="X136" s="42">
        <v>1</v>
      </c>
      <c r="Y136" s="43">
        <v>1</v>
      </c>
      <c r="Z136" s="42" t="s">
        <v>45</v>
      </c>
      <c r="AA136" s="42">
        <v>6</v>
      </c>
      <c r="AB136" s="42" t="s">
        <v>45</v>
      </c>
      <c r="AC136" s="42" t="s">
        <v>45</v>
      </c>
      <c r="AD136" s="42" t="s">
        <v>45</v>
      </c>
      <c r="AE136" s="42" t="s">
        <v>45</v>
      </c>
      <c r="AF136" s="42" t="s">
        <v>45</v>
      </c>
      <c r="AG136" s="43" t="s">
        <v>45</v>
      </c>
      <c r="AH136" s="42">
        <v>10</v>
      </c>
      <c r="AI136" s="42">
        <v>6</v>
      </c>
      <c r="AJ136" s="43">
        <v>9</v>
      </c>
      <c r="AK136" s="45" t="s">
        <v>428</v>
      </c>
      <c r="AL136" s="45" t="s">
        <v>47</v>
      </c>
      <c r="AM136" s="46">
        <f>($L$3*(L136-$Q$1)/$Q$2+$M$3*(M136-$R$1)/$R$2+$N$3*(N136-$S$1)/$S$2+$O$3*(O136-$T$1)/$T$2+$P$3*(P136-$U$1)/$U$2)/(SUM($L$3:$P$3))</f>
        <v>-2.0012818558036707</v>
      </c>
      <c r="AN136" s="46">
        <f>($L$3*(Q136-$Q$1)/$Q$2+$M$3*(R136-$R$1)/$R$2+$N$3*(S136-$S$1)/$S$2+$O$3*(T136-$T$1)/$T$2+$P$3*(U136-$U$1)/$U$2)/(SUM($L$3:$P$3))</f>
        <v>-0.60904021662353647</v>
      </c>
      <c r="AO136" s="47">
        <f>IF(AVERAGE(AH136:AI136)&gt;9,1,0)+IF(AVERAGE(AH136:AI136)&gt;7,1,0)+IF(AH136&gt;7,1,0)+IF(AI136&gt;7,1,0)+IF(AJ136&gt;8,1,0)+IF(AJ136&gt;6,1,0)</f>
        <v>4</v>
      </c>
      <c r="AP136" s="48">
        <f>MIN(2,IF(OR(Z136="-",X136&lt;5),0,1+IF(Y136&gt;7,0.35,IF(Y136&gt;5,0.1,0))+IF(Z136&gt;7,1+IF(X136&gt;7,0.25,0),IF(Z136&gt;4,0.5+IF(X136&gt;7,0.25,0),0+IF(X136&gt;7,0.25))))+IF(AA136="-",0,IF(AA136&gt;9,0.5,IF(AA136&gt;7,0.25,0)))+IF(AB136="-",0,IF(AB136&gt;7,1.1,IF(AB136&gt;4,0.6,0)))+IF(OR(AC136="-",V136&lt;5),0,IF(AC136&gt;7,1+IF(V136&gt;7,0.25,0),IF(AC136&gt;4,0.5+IF(V136&gt;7,0.25,0),0)))+IF(AD136="-",0,IF(AD136&gt;7,1.5,IF(AD136&gt;4,1,0)))+IF(AE136="-",0,IF(AE136&gt;9,0.5,IF(AE136&gt;7,0.25,0)))+IF(AF136="-",0,IF(AF136&gt;7,1.25,IF(AF136&gt;4,0.75,0)))+IF(OR(AG136="-",W136&lt;4),0,IF(AG136&gt;7,1+IF(W136&gt;7,0.15,0),IF(AG136&gt;4,0.5+IF(W136&gt;7,0.15,0),0))))</f>
        <v>0</v>
      </c>
      <c r="AQ136" s="46">
        <f>($AM$3*AM136+$AN$3*AN136+$AO$3*AO136+$AP$3*AP136)+$I$3*VLOOKUP(I136,COND!$A$2:$E$7,4,FALSE)+$J$3*VLOOKUP(J136,COND!$A$2:$C$7,2,FALSE)+$K$3*VLOOKUP(K136,COND!$A$2:$C$7,3,FALSE)+IF(AND($B$2&gt;0,$E136&lt;20),$B$2*25,0)</f>
        <v>43.458055881603862</v>
      </c>
      <c r="AR136" s="49">
        <f>STANDARDIZE(AQ136,AVERAGE($AQ$5:$AQ$537),STDEVP($AQ$5:$AQ$537))</f>
        <v>0.54715014096821413</v>
      </c>
      <c r="AS136" s="47" t="str">
        <f>IF(AND(Z136&lt;&gt;"-",Y136&gt;1),"C",IF(AB136=MAX(AB136:AD136),"2B",IF(AD136=MAX(AB136:AD136),"SS",IF(OR(AC136=MAX(AA136:AD136),AND(AC136&lt;&gt;"-",AC136&gt;4,V136&gt;5)),"3B",IF(AF136=MAX(AE136:AG136),"CF",IF(AND(AG136=MAX(AE136,AG136),AND(W136&gt;5,AG136&lt;&gt;"-")),"RF",IF(AE136&lt;&gt;"-","LF",IF(AA136&lt;&gt;"-","1B","DH"))))))))</f>
        <v>1B</v>
      </c>
      <c r="AT136" s="47"/>
      <c r="AU136" s="47"/>
      <c r="AV136" s="47"/>
      <c r="AW136" s="47" t="str">
        <f>IF(AND($Q136&gt;=6,AVERAGE($S136:$T136)&gt;=6),"Likely",IF(OR($Q136&gt;6,AND($Q136=6,AVERAGE($S136:$T136)&gt;=3),AND($Q136&gt;=5,AVERAGE($S136:$T136)&gt;=5),AVERAGE($Q136,$S136:$T136)&gt;5),"Possible","Unlikely"))</f>
        <v>Unlikely</v>
      </c>
      <c r="AX136" s="47"/>
      <c r="AY136" s="47" t="str">
        <f>INDEX(Table5[[#All],[Ovr]],MATCH(Batters[[#This Row],[PID]],Table5[[#All],[PID]],0))</f>
        <v/>
      </c>
      <c r="AZ136" s="47" t="str">
        <f>INDEX(Table5[[#All],[Rnd]],MATCH(Batters[[#This Row],[PID]],Table5[[#All],[PID]],0))</f>
        <v/>
      </c>
      <c r="BA136" s="47" t="str">
        <f>INDEX(Table5[[#All],[Pick]],MATCH(Batters[[#This Row],[PID]],Table5[[#All],[PID]],0))</f>
        <v/>
      </c>
      <c r="BB136" s="47" t="str">
        <f>INDEX(Table5[[#All],[Team]],MATCH(Batters[[#This Row],[PID]],Table5[[#All],[PID]],0))</f>
        <v/>
      </c>
    </row>
    <row r="137" spans="1:54" ht="15" customHeight="1" x14ac:dyDescent="0.25">
      <c r="A137" s="42">
        <v>7884</v>
      </c>
      <c r="B137" s="42" t="s">
        <v>50</v>
      </c>
      <c r="C137" s="42" t="s">
        <v>449</v>
      </c>
      <c r="D137" s="42" t="s">
        <v>1166</v>
      </c>
      <c r="E137" s="42">
        <v>18</v>
      </c>
      <c r="F137" s="42" t="s">
        <v>42</v>
      </c>
      <c r="G137" s="42" t="s">
        <v>42</v>
      </c>
      <c r="H137" s="43" t="s">
        <v>709</v>
      </c>
      <c r="I137" s="44" t="s">
        <v>43</v>
      </c>
      <c r="J137" s="42" t="s">
        <v>43</v>
      </c>
      <c r="K137" s="43" t="s">
        <v>47</v>
      </c>
      <c r="L137" s="42">
        <v>1</v>
      </c>
      <c r="M137" s="42">
        <v>2</v>
      </c>
      <c r="N137" s="42">
        <v>2</v>
      </c>
      <c r="O137" s="42">
        <v>1</v>
      </c>
      <c r="P137" s="43">
        <v>1</v>
      </c>
      <c r="Q137" s="42">
        <v>3</v>
      </c>
      <c r="R137" s="42">
        <v>6</v>
      </c>
      <c r="S137" s="42">
        <v>4</v>
      </c>
      <c r="T137" s="42">
        <v>4</v>
      </c>
      <c r="U137" s="43">
        <v>3</v>
      </c>
      <c r="V137" s="42">
        <v>7</v>
      </c>
      <c r="W137" s="42">
        <v>6</v>
      </c>
      <c r="X137" s="42">
        <v>1</v>
      </c>
      <c r="Y137" s="43">
        <v>1</v>
      </c>
      <c r="Z137" s="42" t="s">
        <v>45</v>
      </c>
      <c r="AA137" s="42">
        <v>3</v>
      </c>
      <c r="AB137" s="42" t="s">
        <v>45</v>
      </c>
      <c r="AC137" s="42" t="s">
        <v>45</v>
      </c>
      <c r="AD137" s="42" t="s">
        <v>45</v>
      </c>
      <c r="AE137" s="42">
        <v>2</v>
      </c>
      <c r="AF137" s="42" t="s">
        <v>45</v>
      </c>
      <c r="AG137" s="43" t="s">
        <v>45</v>
      </c>
      <c r="AH137" s="42">
        <v>2</v>
      </c>
      <c r="AI137" s="42">
        <v>7</v>
      </c>
      <c r="AJ137" s="43">
        <v>9</v>
      </c>
      <c r="AK137" s="45" t="s">
        <v>764</v>
      </c>
      <c r="AL137" s="45" t="s">
        <v>705</v>
      </c>
      <c r="AM137" s="46">
        <f>($L$3*(L137-$Q$1)/$Q$2+$M$3*(M137-$R$1)/$R$2+$N$3*(N137-$S$1)/$S$2+$O$3*(O137-$T$1)/$T$2+$P$3*(P137-$U$1)/$U$2)/(SUM($L$3:$P$3))</f>
        <v>-1.9502219761849671</v>
      </c>
      <c r="AN137" s="46">
        <f>($L$3*(Q137-$Q$1)/$Q$2+$M$3*(R137-$R$1)/$R$2+$N$3*(S137-$S$1)/$S$2+$O$3*(T137-$T$1)/$T$2+$P$3*(U137-$U$1)/$U$2)/(SUM($L$3:$P$3))</f>
        <v>-0.5855864675940905</v>
      </c>
      <c r="AO137" s="47">
        <f>IF(AVERAGE(AH137:AI137)&gt;9,1,0)+IF(AVERAGE(AH137:AI137)&gt;7,1,0)+IF(AH137&gt;7,1,0)+IF(AI137&gt;7,1,0)+IF(AJ137&gt;8,1,0)+IF(AJ137&gt;6,1,0)</f>
        <v>2</v>
      </c>
      <c r="AP137" s="48">
        <f>MIN(2,IF(OR(Z137="-",X137&lt;5),0,1+IF(Y137&gt;7,0.35,IF(Y137&gt;5,0.1,0))+IF(Z137&gt;7,1+IF(X137&gt;7,0.25,0),IF(Z137&gt;4,0.5+IF(X137&gt;7,0.25,0),0+IF(X137&gt;7,0.25))))+IF(AA137="-",0,IF(AA137&gt;9,0.5,IF(AA137&gt;7,0.25,0)))+IF(AB137="-",0,IF(AB137&gt;7,1.1,IF(AB137&gt;4,0.6,0)))+IF(OR(AC137="-",V137&lt;5),0,IF(AC137&gt;7,1+IF(V137&gt;7,0.25,0),IF(AC137&gt;4,0.5+IF(V137&gt;7,0.25,0),0)))+IF(AD137="-",0,IF(AD137&gt;7,1.5,IF(AD137&gt;4,1,0)))+IF(AE137="-",0,IF(AE137&gt;9,0.5,IF(AE137&gt;7,0.25,0)))+IF(AF137="-",0,IF(AF137&gt;7,1.25,IF(AF137&gt;4,0.75,0)))+IF(OR(AG137="-",W137&lt;4),0,IF(AG137&gt;7,1+IF(W137&gt;7,0.15,0),IF(AG137&gt;4,0.5+IF(W137&gt;7,0.15,0),0))))</f>
        <v>0</v>
      </c>
      <c r="AQ137" s="46">
        <f>($AM$3*AM137+$AN$3*AN137+$AO$3*AO137+$AP$3*AP137)+$I$3*VLOOKUP(I137,COND!$A$2:$E$7,4,FALSE)+$J$3*VLOOKUP(J137,COND!$A$2:$C$7,2,FALSE)+$K$3*VLOOKUP(K137,COND!$A$2:$C$7,3,FALSE)+IF(AND($B$2&gt;0,$E137&lt;20),$B$2*25,0)</f>
        <v>43.411273524585752</v>
      </c>
      <c r="AR137" s="49">
        <f>STANDARDIZE(AQ137,AVERAGE($AQ$5:$AQ$537),STDEVP($AQ$5:$AQ$537))</f>
        <v>0.53891909618061518</v>
      </c>
      <c r="AS137" s="47" t="str">
        <f>IF(AND(Z137&lt;&gt;"-",Y137&gt;1),"C",IF(AB137=MAX(AB137:AD137),"2B",IF(AD137=MAX(AB137:AD137),"SS",IF(OR(AC137=MAX(AA137:AD137),AND(AC137&lt;&gt;"-",AC137&gt;4,V137&gt;5)),"3B",IF(AF137=MAX(AE137:AG137),"CF",IF(AND(AG137=MAX(AE137,AG137),AND(W137&gt;5,AG137&lt;&gt;"-")),"RF",IF(AE137&lt;&gt;"-","LF",IF(AA137&lt;&gt;"-","1B","DH"))))))))</f>
        <v>LF</v>
      </c>
      <c r="AT137" s="47"/>
      <c r="AU137" s="47"/>
      <c r="AV137" s="47"/>
      <c r="AW137" s="47" t="str">
        <f>IF(AND($Q137&gt;=6,AVERAGE($S137:$T137)&gt;=6),"Likely",IF(OR($Q137&gt;6,AND($Q137=6,AVERAGE($S137:$T137)&gt;=3),AND($Q137&gt;=5,AVERAGE($S137:$T137)&gt;=5),AVERAGE($Q137,$S137:$T137)&gt;5),"Possible","Unlikely"))</f>
        <v>Unlikely</v>
      </c>
      <c r="AX137" s="47"/>
      <c r="AY137" s="47" t="str">
        <f>INDEX(Table5[[#All],[Ovr]],MATCH(Batters[[#This Row],[PID]],Table5[[#All],[PID]],0))</f>
        <v/>
      </c>
      <c r="AZ137" s="47" t="str">
        <f>INDEX(Table5[[#All],[Rnd]],MATCH(Batters[[#This Row],[PID]],Table5[[#All],[PID]],0))</f>
        <v/>
      </c>
      <c r="BA137" s="47" t="str">
        <f>INDEX(Table5[[#All],[Pick]],MATCH(Batters[[#This Row],[PID]],Table5[[#All],[PID]],0))</f>
        <v/>
      </c>
      <c r="BB137" s="47" t="str">
        <f>INDEX(Table5[[#All],[Team]],MATCH(Batters[[#This Row],[PID]],Table5[[#All],[PID]],0))</f>
        <v/>
      </c>
    </row>
    <row r="138" spans="1:54" ht="15" customHeight="1" x14ac:dyDescent="0.25">
      <c r="A138" s="42">
        <v>7078</v>
      </c>
      <c r="B138" s="42" t="s">
        <v>86</v>
      </c>
      <c r="C138" s="42" t="s">
        <v>684</v>
      </c>
      <c r="D138" s="42" t="s">
        <v>852</v>
      </c>
      <c r="E138" s="42">
        <v>20</v>
      </c>
      <c r="F138" s="42" t="s">
        <v>62</v>
      </c>
      <c r="G138" s="42" t="s">
        <v>42</v>
      </c>
      <c r="H138" s="43" t="s">
        <v>709</v>
      </c>
      <c r="I138" s="44" t="s">
        <v>43</v>
      </c>
      <c r="J138" s="42" t="s">
        <v>44</v>
      </c>
      <c r="K138" s="43" t="s">
        <v>43</v>
      </c>
      <c r="L138" s="42">
        <v>2</v>
      </c>
      <c r="M138" s="42">
        <v>3</v>
      </c>
      <c r="N138" s="42">
        <v>3</v>
      </c>
      <c r="O138" s="42">
        <v>3</v>
      </c>
      <c r="P138" s="43">
        <v>1</v>
      </c>
      <c r="Q138" s="42">
        <v>2</v>
      </c>
      <c r="R138" s="42">
        <v>4</v>
      </c>
      <c r="S138" s="42">
        <v>4</v>
      </c>
      <c r="T138" s="42">
        <v>6</v>
      </c>
      <c r="U138" s="43">
        <v>3</v>
      </c>
      <c r="V138" s="42">
        <v>2</v>
      </c>
      <c r="W138" s="42">
        <v>2</v>
      </c>
      <c r="X138" s="42">
        <v>4</v>
      </c>
      <c r="Y138" s="43">
        <v>8</v>
      </c>
      <c r="Z138" s="42">
        <v>2</v>
      </c>
      <c r="AA138" s="42" t="s">
        <v>45</v>
      </c>
      <c r="AB138" s="42" t="s">
        <v>45</v>
      </c>
      <c r="AC138" s="42" t="s">
        <v>45</v>
      </c>
      <c r="AD138" s="42" t="s">
        <v>45</v>
      </c>
      <c r="AE138" s="42" t="s">
        <v>45</v>
      </c>
      <c r="AF138" s="42" t="s">
        <v>45</v>
      </c>
      <c r="AG138" s="43" t="s">
        <v>45</v>
      </c>
      <c r="AH138" s="42">
        <v>1</v>
      </c>
      <c r="AI138" s="42">
        <v>1</v>
      </c>
      <c r="AJ138" s="43">
        <v>1</v>
      </c>
      <c r="AK138" s="45" t="s">
        <v>45</v>
      </c>
      <c r="AL138" s="45" t="s">
        <v>47</v>
      </c>
      <c r="AM138" s="46"/>
      <c r="AN138" s="46"/>
      <c r="AO138" s="47"/>
      <c r="AP138" s="48"/>
      <c r="AQ138" s="46">
        <f>($AM$3*AM138+$AN$3*AN138+$AO$3*AO138+$AP$3*AP138)+$I$3*VLOOKUP(I138,COND!$A$2:$E$7,4,FALSE)+$J$3*VLOOKUP(J138,COND!$A$2:$C$7,2,FALSE)+$K$3*VLOOKUP(K138,COND!$A$2:$C$7,3,FALSE)+IF(AND($B$2&gt;0,$E138&lt;20),$B$2*25,0)</f>
        <v>44.7</v>
      </c>
      <c r="AR138" s="49">
        <f>STANDARDIZE(AQ138,AVERAGE($AQ$5:$AQ$537),STDEVP($AQ$5:$AQ$537))</f>
        <v>0.76566195426262629</v>
      </c>
      <c r="AS138" s="47"/>
      <c r="AT138" s="47"/>
      <c r="AU138" s="47"/>
      <c r="AV138" s="47"/>
      <c r="AW138" s="47" t="str">
        <f>IF(AND($Q138&gt;=6,AVERAGE($S138:$T138)&gt;=6),"Likely",IF(OR($Q138&gt;6,AND($Q138=6,AVERAGE($S138:$T138)&gt;=3),AND($Q138&gt;=5,AVERAGE($S138:$T138)&gt;=5),AVERAGE($Q138,$S138:$T138)&gt;5),"Possible","Unlikely"))</f>
        <v>Unlikely</v>
      </c>
      <c r="AX138" s="47"/>
      <c r="AY138" s="47" t="str">
        <f>INDEX(Table5[[#All],[Ovr]],MATCH(Batters[[#This Row],[PID]],Table5[[#All],[PID]],0))</f>
        <v/>
      </c>
      <c r="AZ138" s="47" t="str">
        <f>INDEX(Table5[[#All],[Rnd]],MATCH(Batters[[#This Row],[PID]],Table5[[#All],[PID]],0))</f>
        <v/>
      </c>
      <c r="BA138" s="47" t="str">
        <f>INDEX(Table5[[#All],[Pick]],MATCH(Batters[[#This Row],[PID]],Table5[[#All],[PID]],0))</f>
        <v/>
      </c>
      <c r="BB138" s="47" t="str">
        <f>INDEX(Table5[[#All],[Team]],MATCH(Batters[[#This Row],[PID]],Table5[[#All],[PID]],0))</f>
        <v/>
      </c>
    </row>
    <row r="139" spans="1:54" ht="15" customHeight="1" x14ac:dyDescent="0.25">
      <c r="A139" s="42">
        <v>11800</v>
      </c>
      <c r="B139" s="42" t="s">
        <v>50</v>
      </c>
      <c r="C139" s="42" t="s">
        <v>898</v>
      </c>
      <c r="D139" s="42" t="s">
        <v>336</v>
      </c>
      <c r="E139" s="42">
        <v>22</v>
      </c>
      <c r="F139" s="42" t="s">
        <v>42</v>
      </c>
      <c r="G139" s="42" t="s">
        <v>42</v>
      </c>
      <c r="H139" s="43" t="s">
        <v>721</v>
      </c>
      <c r="I139" s="44" t="s">
        <v>43</v>
      </c>
      <c r="J139" s="42" t="s">
        <v>44</v>
      </c>
      <c r="K139" s="43" t="s">
        <v>43</v>
      </c>
      <c r="L139" s="42">
        <v>1</v>
      </c>
      <c r="M139" s="42">
        <v>1</v>
      </c>
      <c r="N139" s="42">
        <v>2</v>
      </c>
      <c r="O139" s="42">
        <v>2</v>
      </c>
      <c r="P139" s="43">
        <v>1</v>
      </c>
      <c r="Q139" s="42">
        <v>2</v>
      </c>
      <c r="R139" s="42">
        <v>3</v>
      </c>
      <c r="S139" s="42">
        <v>3</v>
      </c>
      <c r="T139" s="42">
        <v>3</v>
      </c>
      <c r="U139" s="43">
        <v>3</v>
      </c>
      <c r="V139" s="42">
        <v>9</v>
      </c>
      <c r="W139" s="42">
        <v>9</v>
      </c>
      <c r="X139" s="42">
        <v>1</v>
      </c>
      <c r="Y139" s="43">
        <v>1</v>
      </c>
      <c r="Z139" s="42" t="s">
        <v>45</v>
      </c>
      <c r="AA139" s="42" t="s">
        <v>45</v>
      </c>
      <c r="AB139" s="42" t="s">
        <v>45</v>
      </c>
      <c r="AC139" s="42" t="s">
        <v>45</v>
      </c>
      <c r="AD139" s="42" t="s">
        <v>45</v>
      </c>
      <c r="AE139" s="42">
        <v>3</v>
      </c>
      <c r="AF139" s="42" t="s">
        <v>45</v>
      </c>
      <c r="AG139" s="43" t="s">
        <v>45</v>
      </c>
      <c r="AH139" s="42">
        <v>8</v>
      </c>
      <c r="AI139" s="42">
        <v>10</v>
      </c>
      <c r="AJ139" s="43">
        <v>7</v>
      </c>
      <c r="AK139" s="45" t="s">
        <v>45</v>
      </c>
      <c r="AL139" s="45" t="s">
        <v>705</v>
      </c>
      <c r="AM139" s="46"/>
      <c r="AN139" s="46"/>
      <c r="AO139" s="47"/>
      <c r="AP139" s="48"/>
      <c r="AQ139" s="46">
        <f>($AM$3*AM139+$AN$3*AN139+$AO$3*AO139+$AP$3*AP139)+$I$3*VLOOKUP(I139,COND!$A$2:$E$7,4,FALSE)+$J$3*VLOOKUP(J139,COND!$A$2:$C$7,2,FALSE)+$K$3*VLOOKUP(K139,COND!$A$2:$C$7,3,FALSE)+IF(AND($B$2&gt;0,$E139&lt;20),$B$2*25,0)</f>
        <v>44.7</v>
      </c>
      <c r="AR139" s="49">
        <f>STANDARDIZE(AQ139,AVERAGE($AQ$5:$AQ$537),STDEVP($AQ$5:$AQ$537))</f>
        <v>0.76566195426262629</v>
      </c>
      <c r="AS139" s="47"/>
      <c r="AT139" s="47"/>
      <c r="AU139" s="47"/>
      <c r="AV139" s="47"/>
      <c r="AW139" s="47" t="str">
        <f>IF(AND($Q139&gt;=6,AVERAGE($S139:$T139)&gt;=6),"Likely",IF(OR($Q139&gt;6,AND($Q139=6,AVERAGE($S139:$T139)&gt;=3),AND($Q139&gt;=5,AVERAGE($S139:$T139)&gt;=5),AVERAGE($Q139,$S139:$T139)&gt;5),"Possible","Unlikely"))</f>
        <v>Unlikely</v>
      </c>
      <c r="AX139" s="47"/>
      <c r="AY139" s="47" t="str">
        <f>INDEX(Table5[[#All],[Ovr]],MATCH(Batters[[#This Row],[PID]],Table5[[#All],[PID]],0))</f>
        <v/>
      </c>
      <c r="AZ139" s="47" t="str">
        <f>INDEX(Table5[[#All],[Rnd]],MATCH(Batters[[#This Row],[PID]],Table5[[#All],[PID]],0))</f>
        <v/>
      </c>
      <c r="BA139" s="47" t="str">
        <f>INDEX(Table5[[#All],[Pick]],MATCH(Batters[[#This Row],[PID]],Table5[[#All],[PID]],0))</f>
        <v/>
      </c>
      <c r="BB139" s="47" t="str">
        <f>INDEX(Table5[[#All],[Team]],MATCH(Batters[[#This Row],[PID]],Table5[[#All],[PID]],0))</f>
        <v/>
      </c>
    </row>
    <row r="140" spans="1:54" ht="15" customHeight="1" x14ac:dyDescent="0.25">
      <c r="A140" s="42">
        <v>7337</v>
      </c>
      <c r="B140" s="42" t="s">
        <v>86</v>
      </c>
      <c r="C140" s="42" t="s">
        <v>724</v>
      </c>
      <c r="D140" s="42" t="s">
        <v>213</v>
      </c>
      <c r="E140" s="42">
        <v>21</v>
      </c>
      <c r="F140" s="42" t="s">
        <v>42</v>
      </c>
      <c r="G140" s="42" t="s">
        <v>42</v>
      </c>
      <c r="H140" s="43" t="s">
        <v>709</v>
      </c>
      <c r="I140" s="44" t="s">
        <v>43</v>
      </c>
      <c r="J140" s="42" t="s">
        <v>44</v>
      </c>
      <c r="K140" s="43" t="s">
        <v>43</v>
      </c>
      <c r="L140" s="42">
        <v>1</v>
      </c>
      <c r="M140" s="42">
        <v>3</v>
      </c>
      <c r="N140" s="42">
        <v>3</v>
      </c>
      <c r="O140" s="42">
        <v>4</v>
      </c>
      <c r="P140" s="43">
        <v>1</v>
      </c>
      <c r="Q140" s="42">
        <v>2</v>
      </c>
      <c r="R140" s="42">
        <v>4</v>
      </c>
      <c r="S140" s="42">
        <v>3</v>
      </c>
      <c r="T140" s="42">
        <v>6</v>
      </c>
      <c r="U140" s="43">
        <v>2</v>
      </c>
      <c r="V140" s="42">
        <v>2</v>
      </c>
      <c r="W140" s="42">
        <v>1</v>
      </c>
      <c r="X140" s="42">
        <v>4</v>
      </c>
      <c r="Y140" s="43">
        <v>9</v>
      </c>
      <c r="Z140" s="42">
        <v>3</v>
      </c>
      <c r="AA140" s="42" t="s">
        <v>45</v>
      </c>
      <c r="AB140" s="42" t="s">
        <v>45</v>
      </c>
      <c r="AC140" s="42" t="s">
        <v>45</v>
      </c>
      <c r="AD140" s="42" t="s">
        <v>45</v>
      </c>
      <c r="AE140" s="42" t="s">
        <v>45</v>
      </c>
      <c r="AF140" s="42" t="s">
        <v>45</v>
      </c>
      <c r="AG140" s="43" t="s">
        <v>45</v>
      </c>
      <c r="AH140" s="42">
        <v>1</v>
      </c>
      <c r="AI140" s="42">
        <v>1</v>
      </c>
      <c r="AJ140" s="43">
        <v>1</v>
      </c>
      <c r="AK140" s="45" t="s">
        <v>45</v>
      </c>
      <c r="AL140" s="45" t="s">
        <v>705</v>
      </c>
      <c r="AM140" s="46"/>
      <c r="AN140" s="46"/>
      <c r="AO140" s="47"/>
      <c r="AP140" s="48"/>
      <c r="AQ140" s="46">
        <f>($AM$3*AM140+$AN$3*AN140+$AO$3*AO140+$AP$3*AP140)+$I$3*VLOOKUP(I140,COND!$A$2:$E$7,4,FALSE)+$J$3*VLOOKUP(J140,COND!$A$2:$C$7,2,FALSE)+$K$3*VLOOKUP(K140,COND!$A$2:$C$7,3,FALSE)+IF(AND($B$2&gt;0,$E140&lt;20),$B$2*25,0)</f>
        <v>44.7</v>
      </c>
      <c r="AR140" s="49">
        <f>STANDARDIZE(AQ140,AVERAGE($AQ$5:$AQ$537),STDEVP($AQ$5:$AQ$537))</f>
        <v>0.76566195426262629</v>
      </c>
      <c r="AS140" s="47"/>
      <c r="AT140" s="47"/>
      <c r="AU140" s="47"/>
      <c r="AV140" s="47"/>
      <c r="AW140" s="47" t="str">
        <f>IF(AND($Q140&gt;=6,AVERAGE($S140:$T140)&gt;=6),"Likely",IF(OR($Q140&gt;6,AND($Q140=6,AVERAGE($S140:$T140)&gt;=3),AND($Q140&gt;=5,AVERAGE($S140:$T140)&gt;=5),AVERAGE($Q140,$S140:$T140)&gt;5),"Possible","Unlikely"))</f>
        <v>Unlikely</v>
      </c>
      <c r="AX140" s="47"/>
      <c r="AY140" s="47" t="str">
        <f>INDEX(Table5[[#All],[Ovr]],MATCH(Batters[[#This Row],[PID]],Table5[[#All],[PID]],0))</f>
        <v/>
      </c>
      <c r="AZ140" s="47" t="str">
        <f>INDEX(Table5[[#All],[Rnd]],MATCH(Batters[[#This Row],[PID]],Table5[[#All],[PID]],0))</f>
        <v/>
      </c>
      <c r="BA140" s="47" t="str">
        <f>INDEX(Table5[[#All],[Pick]],MATCH(Batters[[#This Row],[PID]],Table5[[#All],[PID]],0))</f>
        <v/>
      </c>
      <c r="BB140" s="47" t="str">
        <f>INDEX(Table5[[#All],[Team]],MATCH(Batters[[#This Row],[PID]],Table5[[#All],[PID]],0))</f>
        <v/>
      </c>
    </row>
    <row r="141" spans="1:54" ht="15" customHeight="1" x14ac:dyDescent="0.25">
      <c r="A141" s="42">
        <v>9835</v>
      </c>
      <c r="B141" s="42" t="s">
        <v>72</v>
      </c>
      <c r="C141" s="42" t="s">
        <v>1414</v>
      </c>
      <c r="D141" s="42" t="s">
        <v>1415</v>
      </c>
      <c r="E141" s="42">
        <v>21</v>
      </c>
      <c r="F141" s="42" t="s">
        <v>42</v>
      </c>
      <c r="G141" s="42" t="s">
        <v>42</v>
      </c>
      <c r="H141" s="43" t="s">
        <v>709</v>
      </c>
      <c r="I141" s="44" t="s">
        <v>43</v>
      </c>
      <c r="J141" s="42" t="s">
        <v>43</v>
      </c>
      <c r="K141" s="43" t="s">
        <v>44</v>
      </c>
      <c r="L141" s="42">
        <v>1</v>
      </c>
      <c r="M141" s="42">
        <v>2</v>
      </c>
      <c r="N141" s="42">
        <v>2</v>
      </c>
      <c r="O141" s="42">
        <v>2</v>
      </c>
      <c r="P141" s="43">
        <v>1</v>
      </c>
      <c r="Q141" s="42">
        <v>2</v>
      </c>
      <c r="R141" s="42">
        <v>3</v>
      </c>
      <c r="S141" s="42">
        <v>3</v>
      </c>
      <c r="T141" s="42">
        <v>4</v>
      </c>
      <c r="U141" s="43">
        <v>2</v>
      </c>
      <c r="V141" s="42">
        <v>7</v>
      </c>
      <c r="W141" s="42">
        <v>7</v>
      </c>
      <c r="X141" s="42">
        <v>1</v>
      </c>
      <c r="Y141" s="43">
        <v>1</v>
      </c>
      <c r="Z141" s="42" t="s">
        <v>45</v>
      </c>
      <c r="AA141" s="42" t="s">
        <v>45</v>
      </c>
      <c r="AB141" s="42" t="s">
        <v>45</v>
      </c>
      <c r="AC141" s="42">
        <v>3</v>
      </c>
      <c r="AD141" s="42">
        <v>8</v>
      </c>
      <c r="AE141" s="42" t="s">
        <v>45</v>
      </c>
      <c r="AF141" s="42" t="s">
        <v>45</v>
      </c>
      <c r="AG141" s="43" t="s">
        <v>45</v>
      </c>
      <c r="AH141" s="42">
        <v>8</v>
      </c>
      <c r="AI141" s="42">
        <v>8</v>
      </c>
      <c r="AJ141" s="43">
        <v>4</v>
      </c>
      <c r="AK141" s="45" t="s">
        <v>730</v>
      </c>
      <c r="AL141" s="45" t="s">
        <v>705</v>
      </c>
      <c r="AM141" s="46"/>
      <c r="AN141" s="46"/>
      <c r="AO141" s="47"/>
      <c r="AP141" s="48"/>
      <c r="AQ141" s="46">
        <f>($AM$3*AM141+$AN$3*AN141+$AO$3*AO141+$AP$3*AP141)+$I$3*VLOOKUP(I141,COND!$A$2:$E$7,4,FALSE)+$J$3*VLOOKUP(J141,COND!$A$2:$C$7,2,FALSE)+$K$3*VLOOKUP(K141,COND!$A$2:$C$7,3,FALSE)+IF(AND($B$2&gt;0,$E141&lt;20),$B$2*25,0)</f>
        <v>44.7</v>
      </c>
      <c r="AR141" s="49">
        <f>STANDARDIZE(AQ141,AVERAGE($AQ$5:$AQ$537),STDEVP($AQ$5:$AQ$537))</f>
        <v>0.76566195426262629</v>
      </c>
      <c r="AS141" s="47"/>
      <c r="AT141" s="47"/>
      <c r="AU141" s="47"/>
      <c r="AV141" s="47"/>
      <c r="AW141" s="47" t="str">
        <f>IF(AND($Q141&gt;=6,AVERAGE($S141:$T141)&gt;=6),"Likely",IF(OR($Q141&gt;6,AND($Q141=6,AVERAGE($S141:$T141)&gt;=3),AND($Q141&gt;=5,AVERAGE($S141:$T141)&gt;=5),AVERAGE($Q141,$S141:$T141)&gt;5),"Possible","Unlikely"))</f>
        <v>Unlikely</v>
      </c>
      <c r="AX141" s="47"/>
      <c r="AY141" s="47" t="str">
        <f>INDEX(Table5[[#All],[Ovr]],MATCH(Batters[[#This Row],[PID]],Table5[[#All],[PID]],0))</f>
        <v/>
      </c>
      <c r="AZ141" s="47" t="str">
        <f>INDEX(Table5[[#All],[Rnd]],MATCH(Batters[[#This Row],[PID]],Table5[[#All],[PID]],0))</f>
        <v/>
      </c>
      <c r="BA141" s="47" t="str">
        <f>INDEX(Table5[[#All],[Pick]],MATCH(Batters[[#This Row],[PID]],Table5[[#All],[PID]],0))</f>
        <v/>
      </c>
      <c r="BB141" s="47" t="str">
        <f>INDEX(Table5[[#All],[Team]],MATCH(Batters[[#This Row],[PID]],Table5[[#All],[PID]],0))</f>
        <v/>
      </c>
    </row>
    <row r="142" spans="1:54" ht="15" customHeight="1" x14ac:dyDescent="0.25">
      <c r="A142" s="42">
        <v>12238</v>
      </c>
      <c r="B142" s="42" t="s">
        <v>86</v>
      </c>
      <c r="C142" s="42" t="s">
        <v>902</v>
      </c>
      <c r="D142" s="42" t="s">
        <v>903</v>
      </c>
      <c r="E142" s="42">
        <v>22</v>
      </c>
      <c r="F142" s="42" t="s">
        <v>42</v>
      </c>
      <c r="G142" s="42" t="s">
        <v>42</v>
      </c>
      <c r="H142" s="43" t="s">
        <v>709</v>
      </c>
      <c r="I142" s="44" t="s">
        <v>43</v>
      </c>
      <c r="J142" s="42" t="s">
        <v>44</v>
      </c>
      <c r="K142" s="43" t="s">
        <v>43</v>
      </c>
      <c r="L142" s="42">
        <v>2</v>
      </c>
      <c r="M142" s="42">
        <v>3</v>
      </c>
      <c r="N142" s="42">
        <v>3</v>
      </c>
      <c r="O142" s="42">
        <v>4</v>
      </c>
      <c r="P142" s="43">
        <v>1</v>
      </c>
      <c r="Q142" s="42">
        <v>2</v>
      </c>
      <c r="R142" s="42">
        <v>3</v>
      </c>
      <c r="S142" s="42">
        <v>4</v>
      </c>
      <c r="T142" s="42">
        <v>6</v>
      </c>
      <c r="U142" s="43">
        <v>2</v>
      </c>
      <c r="V142" s="42">
        <v>5</v>
      </c>
      <c r="W142" s="42">
        <v>4</v>
      </c>
      <c r="X142" s="42">
        <v>6</v>
      </c>
      <c r="Y142" s="43">
        <v>6</v>
      </c>
      <c r="Z142" s="42">
        <v>2</v>
      </c>
      <c r="AA142" s="42" t="s">
        <v>45</v>
      </c>
      <c r="AB142" s="42" t="s">
        <v>45</v>
      </c>
      <c r="AC142" s="42" t="s">
        <v>45</v>
      </c>
      <c r="AD142" s="42" t="s">
        <v>45</v>
      </c>
      <c r="AE142" s="42" t="s">
        <v>45</v>
      </c>
      <c r="AF142" s="42" t="s">
        <v>45</v>
      </c>
      <c r="AG142" s="43" t="s">
        <v>45</v>
      </c>
      <c r="AH142" s="42">
        <v>2</v>
      </c>
      <c r="AI142" s="42">
        <v>1</v>
      </c>
      <c r="AJ142" s="43">
        <v>1</v>
      </c>
      <c r="AK142" s="45" t="s">
        <v>45</v>
      </c>
      <c r="AL142" s="45" t="s">
        <v>705</v>
      </c>
      <c r="AM142" s="46"/>
      <c r="AN142" s="46"/>
      <c r="AO142" s="47"/>
      <c r="AP142" s="48"/>
      <c r="AQ142" s="46">
        <f>($AM$3*AM142+$AN$3*AN142+$AO$3*AO142+$AP$3*AP142)+$I$3*VLOOKUP(I142,COND!$A$2:$E$7,4,FALSE)+$J$3*VLOOKUP(J142,COND!$A$2:$C$7,2,FALSE)+$K$3*VLOOKUP(K142,COND!$A$2:$C$7,3,FALSE)+IF(AND($B$2&gt;0,$E142&lt;20),$B$2*25,0)</f>
        <v>44.7</v>
      </c>
      <c r="AR142" s="49">
        <f>STANDARDIZE(AQ142,AVERAGE($AQ$5:$AQ$537),STDEVP($AQ$5:$AQ$537))</f>
        <v>0.76566195426262629</v>
      </c>
      <c r="AS142" s="47"/>
      <c r="AT142" s="47"/>
      <c r="AU142" s="47"/>
      <c r="AV142" s="47"/>
      <c r="AW142" s="47" t="str">
        <f>IF(AND($Q142&gt;=6,AVERAGE($S142:$T142)&gt;=6),"Likely",IF(OR($Q142&gt;6,AND($Q142=6,AVERAGE($S142:$T142)&gt;=3),AND($Q142&gt;=5,AVERAGE($S142:$T142)&gt;=5),AVERAGE($Q142,$S142:$T142)&gt;5),"Possible","Unlikely"))</f>
        <v>Unlikely</v>
      </c>
      <c r="AX142" s="47"/>
      <c r="AY142" s="47" t="str">
        <f>INDEX(Table5[[#All],[Ovr]],MATCH(Batters[[#This Row],[PID]],Table5[[#All],[PID]],0))</f>
        <v/>
      </c>
      <c r="AZ142" s="47" t="str">
        <f>INDEX(Table5[[#All],[Rnd]],MATCH(Batters[[#This Row],[PID]],Table5[[#All],[PID]],0))</f>
        <v/>
      </c>
      <c r="BA142" s="47" t="str">
        <f>INDEX(Table5[[#All],[Pick]],MATCH(Batters[[#This Row],[PID]],Table5[[#All],[PID]],0))</f>
        <v/>
      </c>
      <c r="BB142" s="47" t="str">
        <f>INDEX(Table5[[#All],[Team]],MATCH(Batters[[#This Row],[PID]],Table5[[#All],[PID]],0))</f>
        <v/>
      </c>
    </row>
    <row r="143" spans="1:54" ht="15" customHeight="1" x14ac:dyDescent="0.25">
      <c r="A143" s="42">
        <v>11950</v>
      </c>
      <c r="B143" s="42" t="s">
        <v>87</v>
      </c>
      <c r="C143" s="42" t="s">
        <v>206</v>
      </c>
      <c r="D143" s="42" t="s">
        <v>1420</v>
      </c>
      <c r="E143" s="42">
        <v>21</v>
      </c>
      <c r="F143" s="42" t="s">
        <v>42</v>
      </c>
      <c r="G143" s="42" t="s">
        <v>42</v>
      </c>
      <c r="H143" s="43" t="s">
        <v>721</v>
      </c>
      <c r="I143" s="44" t="s">
        <v>43</v>
      </c>
      <c r="J143" s="42" t="s">
        <v>44</v>
      </c>
      <c r="K143" s="43" t="s">
        <v>43</v>
      </c>
      <c r="L143" s="42">
        <v>1</v>
      </c>
      <c r="M143" s="42">
        <v>2</v>
      </c>
      <c r="N143" s="42">
        <v>2</v>
      </c>
      <c r="O143" s="42">
        <v>1</v>
      </c>
      <c r="P143" s="43">
        <v>1</v>
      </c>
      <c r="Q143" s="42">
        <v>2</v>
      </c>
      <c r="R143" s="42">
        <v>3</v>
      </c>
      <c r="S143" s="42">
        <v>3</v>
      </c>
      <c r="T143" s="42">
        <v>4</v>
      </c>
      <c r="U143" s="43">
        <v>2</v>
      </c>
      <c r="V143" s="42">
        <v>8</v>
      </c>
      <c r="W143" s="42">
        <v>7</v>
      </c>
      <c r="X143" s="42">
        <v>6</v>
      </c>
      <c r="Y143" s="43">
        <v>3</v>
      </c>
      <c r="Z143" s="42" t="s">
        <v>45</v>
      </c>
      <c r="AA143" s="42">
        <v>2</v>
      </c>
      <c r="AB143" s="42" t="s">
        <v>45</v>
      </c>
      <c r="AC143" s="42" t="s">
        <v>45</v>
      </c>
      <c r="AD143" s="42" t="s">
        <v>45</v>
      </c>
      <c r="AE143" s="42" t="s">
        <v>45</v>
      </c>
      <c r="AF143" s="42" t="s">
        <v>45</v>
      </c>
      <c r="AG143" s="43" t="s">
        <v>45</v>
      </c>
      <c r="AH143" s="42">
        <v>2</v>
      </c>
      <c r="AI143" s="42">
        <v>3</v>
      </c>
      <c r="AJ143" s="43">
        <v>1</v>
      </c>
      <c r="AK143" s="45" t="s">
        <v>45</v>
      </c>
      <c r="AL143" s="45" t="s">
        <v>47</v>
      </c>
      <c r="AM143" s="46"/>
      <c r="AN143" s="46"/>
      <c r="AO143" s="47"/>
      <c r="AP143" s="48"/>
      <c r="AQ143" s="46">
        <f>($AM$3*AM143+$AN$3*AN143+$AO$3*AO143+$AP$3*AP143)+$I$3*VLOOKUP(I143,COND!$A$2:$E$7,4,FALSE)+$J$3*VLOOKUP(J143,COND!$A$2:$C$7,2,FALSE)+$K$3*VLOOKUP(K143,COND!$A$2:$C$7,3,FALSE)+IF(AND($B$2&gt;0,$E143&lt;20),$B$2*25,0)</f>
        <v>44.7</v>
      </c>
      <c r="AR143" s="49">
        <f>STANDARDIZE(AQ143,AVERAGE($AQ$5:$AQ$537),STDEVP($AQ$5:$AQ$537))</f>
        <v>0.76566195426262629</v>
      </c>
      <c r="AS143" s="47"/>
      <c r="AT143" s="47"/>
      <c r="AU143" s="47"/>
      <c r="AV143" s="47"/>
      <c r="AW143" s="47" t="str">
        <f>IF(AND($Q143&gt;=6,AVERAGE($S143:$T143)&gt;=6),"Likely",IF(OR($Q143&gt;6,AND($Q143=6,AVERAGE($S143:$T143)&gt;=3),AND($Q143&gt;=5,AVERAGE($S143:$T143)&gt;=5),AVERAGE($Q143,$S143:$T143)&gt;5),"Possible","Unlikely"))</f>
        <v>Unlikely</v>
      </c>
      <c r="AX143" s="47"/>
      <c r="AY143" s="47" t="str">
        <f>INDEX(Table5[[#All],[Ovr]],MATCH(Batters[[#This Row],[PID]],Table5[[#All],[PID]],0))</f>
        <v/>
      </c>
      <c r="AZ143" s="47" t="str">
        <f>INDEX(Table5[[#All],[Rnd]],MATCH(Batters[[#This Row],[PID]],Table5[[#All],[PID]],0))</f>
        <v/>
      </c>
      <c r="BA143" s="47" t="str">
        <f>INDEX(Table5[[#All],[Pick]],MATCH(Batters[[#This Row],[PID]],Table5[[#All],[PID]],0))</f>
        <v/>
      </c>
      <c r="BB143" s="47" t="str">
        <f>INDEX(Table5[[#All],[Team]],MATCH(Batters[[#This Row],[PID]],Table5[[#All],[PID]],0))</f>
        <v/>
      </c>
    </row>
    <row r="144" spans="1:54" ht="15" customHeight="1" x14ac:dyDescent="0.25">
      <c r="A144" s="42">
        <v>17819</v>
      </c>
      <c r="B144" s="42" t="s">
        <v>86</v>
      </c>
      <c r="C144" s="42" t="s">
        <v>1422</v>
      </c>
      <c r="D144" s="42" t="s">
        <v>1423</v>
      </c>
      <c r="E144" s="42">
        <v>21</v>
      </c>
      <c r="F144" s="42" t="s">
        <v>62</v>
      </c>
      <c r="G144" s="42" t="s">
        <v>42</v>
      </c>
      <c r="H144" s="43" t="s">
        <v>709</v>
      </c>
      <c r="I144" s="44" t="s">
        <v>43</v>
      </c>
      <c r="J144" s="42" t="s">
        <v>44</v>
      </c>
      <c r="K144" s="43" t="s">
        <v>43</v>
      </c>
      <c r="L144" s="42">
        <v>1</v>
      </c>
      <c r="M144" s="42">
        <v>3</v>
      </c>
      <c r="N144" s="42">
        <v>3</v>
      </c>
      <c r="O144" s="42">
        <v>3</v>
      </c>
      <c r="P144" s="43">
        <v>1</v>
      </c>
      <c r="Q144" s="42">
        <v>2</v>
      </c>
      <c r="R144" s="42">
        <v>4</v>
      </c>
      <c r="S144" s="42">
        <v>3</v>
      </c>
      <c r="T144" s="42">
        <v>6</v>
      </c>
      <c r="U144" s="43">
        <v>2</v>
      </c>
      <c r="V144" s="42">
        <v>2</v>
      </c>
      <c r="W144" s="42">
        <v>2</v>
      </c>
      <c r="X144" s="42">
        <v>4</v>
      </c>
      <c r="Y144" s="43">
        <v>6</v>
      </c>
      <c r="Z144" s="42">
        <v>2</v>
      </c>
      <c r="AA144" s="42" t="s">
        <v>45</v>
      </c>
      <c r="AB144" s="42" t="s">
        <v>45</v>
      </c>
      <c r="AC144" s="42" t="s">
        <v>45</v>
      </c>
      <c r="AD144" s="42" t="s">
        <v>45</v>
      </c>
      <c r="AE144" s="42" t="s">
        <v>45</v>
      </c>
      <c r="AF144" s="42" t="s">
        <v>45</v>
      </c>
      <c r="AG144" s="43" t="s">
        <v>45</v>
      </c>
      <c r="AH144" s="42">
        <v>1</v>
      </c>
      <c r="AI144" s="42">
        <v>1</v>
      </c>
      <c r="AJ144" s="43">
        <v>1</v>
      </c>
      <c r="AK144" s="45" t="s">
        <v>45</v>
      </c>
      <c r="AL144" s="45" t="s">
        <v>705</v>
      </c>
      <c r="AM144" s="46"/>
      <c r="AN144" s="46"/>
      <c r="AO144" s="47"/>
      <c r="AP144" s="48"/>
      <c r="AQ144" s="46">
        <f>($AM$3*AM144+$AN$3*AN144+$AO$3*AO144+$AP$3*AP144)+$I$3*VLOOKUP(I144,COND!$A$2:$E$7,4,FALSE)+$J$3*VLOOKUP(J144,COND!$A$2:$C$7,2,FALSE)+$K$3*VLOOKUP(K144,COND!$A$2:$C$7,3,FALSE)+IF(AND($B$2&gt;0,$E144&lt;20),$B$2*25,0)</f>
        <v>44.7</v>
      </c>
      <c r="AR144" s="49">
        <f>STANDARDIZE(AQ144,AVERAGE($AQ$5:$AQ$537),STDEVP($AQ$5:$AQ$537))</f>
        <v>0.76566195426262629</v>
      </c>
      <c r="AS144" s="47"/>
      <c r="AT144" s="47"/>
      <c r="AU144" s="47"/>
      <c r="AV144" s="47"/>
      <c r="AW144" s="47" t="str">
        <f>IF(AND($Q144&gt;=6,AVERAGE($S144:$T144)&gt;=6),"Likely",IF(OR($Q144&gt;6,AND($Q144=6,AVERAGE($S144:$T144)&gt;=3),AND($Q144&gt;=5,AVERAGE($S144:$T144)&gt;=5),AVERAGE($Q144,$S144:$T144)&gt;5),"Possible","Unlikely"))</f>
        <v>Unlikely</v>
      </c>
      <c r="AX144" s="47"/>
      <c r="AY144" s="47" t="str">
        <f>INDEX(Table5[[#All],[Ovr]],MATCH(Batters[[#This Row],[PID]],Table5[[#All],[PID]],0))</f>
        <v/>
      </c>
      <c r="AZ144" s="47" t="str">
        <f>INDEX(Table5[[#All],[Rnd]],MATCH(Batters[[#This Row],[PID]],Table5[[#All],[PID]],0))</f>
        <v/>
      </c>
      <c r="BA144" s="47" t="str">
        <f>INDEX(Table5[[#All],[Pick]],MATCH(Batters[[#This Row],[PID]],Table5[[#All],[PID]],0))</f>
        <v/>
      </c>
      <c r="BB144" s="47" t="str">
        <f>INDEX(Table5[[#All],[Team]],MATCH(Batters[[#This Row],[PID]],Table5[[#All],[PID]],0))</f>
        <v/>
      </c>
    </row>
    <row r="145" spans="1:54" ht="15" customHeight="1" x14ac:dyDescent="0.25">
      <c r="A145" s="42">
        <v>10111</v>
      </c>
      <c r="B145" s="42" t="s">
        <v>86</v>
      </c>
      <c r="C145" s="42" t="s">
        <v>406</v>
      </c>
      <c r="D145" s="42" t="s">
        <v>322</v>
      </c>
      <c r="E145" s="42">
        <v>22</v>
      </c>
      <c r="F145" s="42" t="s">
        <v>42</v>
      </c>
      <c r="G145" s="42" t="s">
        <v>42</v>
      </c>
      <c r="H145" s="43" t="s">
        <v>709</v>
      </c>
      <c r="I145" s="44" t="s">
        <v>43</v>
      </c>
      <c r="J145" s="42" t="s">
        <v>44</v>
      </c>
      <c r="K145" s="43" t="s">
        <v>43</v>
      </c>
      <c r="L145" s="42">
        <v>2</v>
      </c>
      <c r="M145" s="42">
        <v>2</v>
      </c>
      <c r="N145" s="42">
        <v>3</v>
      </c>
      <c r="O145" s="42">
        <v>3</v>
      </c>
      <c r="P145" s="43">
        <v>1</v>
      </c>
      <c r="Q145" s="42">
        <v>2</v>
      </c>
      <c r="R145" s="42">
        <v>2</v>
      </c>
      <c r="S145" s="42">
        <v>3</v>
      </c>
      <c r="T145" s="42">
        <v>5</v>
      </c>
      <c r="U145" s="43">
        <v>2</v>
      </c>
      <c r="V145" s="42">
        <v>4</v>
      </c>
      <c r="W145" s="42">
        <v>4</v>
      </c>
      <c r="X145" s="42">
        <v>6</v>
      </c>
      <c r="Y145" s="43">
        <v>3</v>
      </c>
      <c r="Z145" s="42" t="s">
        <v>45</v>
      </c>
      <c r="AA145" s="42" t="s">
        <v>45</v>
      </c>
      <c r="AB145" s="42" t="s">
        <v>45</v>
      </c>
      <c r="AC145" s="42" t="s">
        <v>45</v>
      </c>
      <c r="AD145" s="42" t="s">
        <v>45</v>
      </c>
      <c r="AE145" s="42" t="s">
        <v>45</v>
      </c>
      <c r="AF145" s="42" t="s">
        <v>45</v>
      </c>
      <c r="AG145" s="43" t="s">
        <v>45</v>
      </c>
      <c r="AH145" s="42">
        <v>1</v>
      </c>
      <c r="AI145" s="42">
        <v>1</v>
      </c>
      <c r="AJ145" s="43">
        <v>1</v>
      </c>
      <c r="AK145" s="45" t="s">
        <v>45</v>
      </c>
      <c r="AL145" s="45" t="s">
        <v>47</v>
      </c>
      <c r="AM145" s="46"/>
      <c r="AN145" s="46"/>
      <c r="AO145" s="47"/>
      <c r="AP145" s="48"/>
      <c r="AQ145" s="46">
        <f>($AM$3*AM145+$AN$3*AN145+$AO$3*AO145+$AP$3*AP145)+$I$3*VLOOKUP(I145,COND!$A$2:$E$7,4,FALSE)+$J$3*VLOOKUP(J145,COND!$A$2:$C$7,2,FALSE)+$K$3*VLOOKUP(K145,COND!$A$2:$C$7,3,FALSE)+IF(AND($B$2&gt;0,$E145&lt;20),$B$2*25,0)</f>
        <v>44.7</v>
      </c>
      <c r="AR145" s="49">
        <f>STANDARDIZE(AQ145,AVERAGE($AQ$5:$AQ$537),STDEVP($AQ$5:$AQ$537))</f>
        <v>0.76566195426262629</v>
      </c>
      <c r="AS145" s="47"/>
      <c r="AT145" s="47"/>
      <c r="AU145" s="47"/>
      <c r="AV145" s="47"/>
      <c r="AW145" s="47" t="str">
        <f>IF(AND($Q145&gt;=6,AVERAGE($S145:$T145)&gt;=6),"Likely",IF(OR($Q145&gt;6,AND($Q145=6,AVERAGE($S145:$T145)&gt;=3),AND($Q145&gt;=5,AVERAGE($S145:$T145)&gt;=5),AVERAGE($Q145,$S145:$T145)&gt;5),"Possible","Unlikely"))</f>
        <v>Unlikely</v>
      </c>
      <c r="AX145" s="47"/>
      <c r="AY145" s="47" t="str">
        <f>INDEX(Table5[[#All],[Ovr]],MATCH(Batters[[#This Row],[PID]],Table5[[#All],[PID]],0))</f>
        <v/>
      </c>
      <c r="AZ145" s="47" t="str">
        <f>INDEX(Table5[[#All],[Rnd]],MATCH(Batters[[#This Row],[PID]],Table5[[#All],[PID]],0))</f>
        <v/>
      </c>
      <c r="BA145" s="47" t="str">
        <f>INDEX(Table5[[#All],[Pick]],MATCH(Batters[[#This Row],[PID]],Table5[[#All],[PID]],0))</f>
        <v/>
      </c>
      <c r="BB145" s="47" t="str">
        <f>INDEX(Table5[[#All],[Team]],MATCH(Batters[[#This Row],[PID]],Table5[[#All],[PID]],0))</f>
        <v/>
      </c>
    </row>
    <row r="146" spans="1:54" ht="15" customHeight="1" x14ac:dyDescent="0.25">
      <c r="A146" s="42">
        <v>5147</v>
      </c>
      <c r="B146" s="42" t="s">
        <v>87</v>
      </c>
      <c r="C146" s="42" t="s">
        <v>327</v>
      </c>
      <c r="D146" s="42" t="s">
        <v>162</v>
      </c>
      <c r="E146" s="42">
        <v>22</v>
      </c>
      <c r="F146" s="42" t="s">
        <v>42</v>
      </c>
      <c r="G146" s="42" t="s">
        <v>42</v>
      </c>
      <c r="H146" s="43" t="s">
        <v>721</v>
      </c>
      <c r="I146" s="44" t="s">
        <v>43</v>
      </c>
      <c r="J146" s="42" t="s">
        <v>44</v>
      </c>
      <c r="K146" s="43" t="s">
        <v>43</v>
      </c>
      <c r="L146" s="42">
        <v>1</v>
      </c>
      <c r="M146" s="42">
        <v>1</v>
      </c>
      <c r="N146" s="42">
        <v>2</v>
      </c>
      <c r="O146" s="42">
        <v>1</v>
      </c>
      <c r="P146" s="43">
        <v>1</v>
      </c>
      <c r="Q146" s="42">
        <v>2</v>
      </c>
      <c r="R146" s="42">
        <v>1</v>
      </c>
      <c r="S146" s="42">
        <v>2</v>
      </c>
      <c r="T146" s="42">
        <v>2</v>
      </c>
      <c r="U146" s="43">
        <v>3</v>
      </c>
      <c r="V146" s="42">
        <v>10</v>
      </c>
      <c r="W146" s="42">
        <v>2</v>
      </c>
      <c r="X146" s="42">
        <v>1</v>
      </c>
      <c r="Y146" s="43">
        <v>1</v>
      </c>
      <c r="Z146" s="42" t="s">
        <v>45</v>
      </c>
      <c r="AA146" s="42" t="s">
        <v>45</v>
      </c>
      <c r="AB146" s="42" t="s">
        <v>45</v>
      </c>
      <c r="AC146" s="42" t="s">
        <v>45</v>
      </c>
      <c r="AD146" s="42" t="s">
        <v>45</v>
      </c>
      <c r="AE146" s="42" t="s">
        <v>45</v>
      </c>
      <c r="AF146" s="42" t="s">
        <v>45</v>
      </c>
      <c r="AG146" s="43" t="s">
        <v>45</v>
      </c>
      <c r="AH146" s="42">
        <v>1</v>
      </c>
      <c r="AI146" s="42">
        <v>1</v>
      </c>
      <c r="AJ146" s="43">
        <v>1</v>
      </c>
      <c r="AK146" s="45" t="s">
        <v>45</v>
      </c>
      <c r="AL146" s="45" t="s">
        <v>705</v>
      </c>
      <c r="AM146" s="46"/>
      <c r="AN146" s="46"/>
      <c r="AO146" s="47"/>
      <c r="AP146" s="48"/>
      <c r="AQ146" s="46">
        <f>($AM$3*AM146+$AN$3*AN146+$AO$3*AO146+$AP$3*AP146)+$I$3*VLOOKUP(I146,COND!$A$2:$E$7,4,FALSE)+$J$3*VLOOKUP(J146,COND!$A$2:$C$7,2,FALSE)+$K$3*VLOOKUP(K146,COND!$A$2:$C$7,3,FALSE)+IF(AND($B$2&gt;0,$E146&lt;20),$B$2*25,0)</f>
        <v>44.7</v>
      </c>
      <c r="AR146" s="49">
        <f>STANDARDIZE(AQ146,AVERAGE($AQ$5:$AQ$537),STDEVP($AQ$5:$AQ$537))</f>
        <v>0.76566195426262629</v>
      </c>
      <c r="AS146" s="47"/>
      <c r="AT146" s="47"/>
      <c r="AU146" s="47"/>
      <c r="AV146" s="47"/>
      <c r="AW146" s="47" t="str">
        <f>IF(AND($Q146&gt;=6,AVERAGE($S146:$T146)&gt;=6),"Likely",IF(OR($Q146&gt;6,AND($Q146=6,AVERAGE($S146:$T146)&gt;=3),AND($Q146&gt;=5,AVERAGE($S146:$T146)&gt;=5),AVERAGE($Q146,$S146:$T146)&gt;5),"Possible","Unlikely"))</f>
        <v>Unlikely</v>
      </c>
      <c r="AX146" s="47"/>
      <c r="AY146" s="47" t="str">
        <f>INDEX(Table5[[#All],[Ovr]],MATCH(Batters[[#This Row],[PID]],Table5[[#All],[PID]],0))</f>
        <v/>
      </c>
      <c r="AZ146" s="47" t="str">
        <f>INDEX(Table5[[#All],[Rnd]],MATCH(Batters[[#This Row],[PID]],Table5[[#All],[PID]],0))</f>
        <v/>
      </c>
      <c r="BA146" s="47" t="str">
        <f>INDEX(Table5[[#All],[Pick]],MATCH(Batters[[#This Row],[PID]],Table5[[#All],[PID]],0))</f>
        <v/>
      </c>
      <c r="BB146" s="47" t="str">
        <f>INDEX(Table5[[#All],[Team]],MATCH(Batters[[#This Row],[PID]],Table5[[#All],[PID]],0))</f>
        <v/>
      </c>
    </row>
    <row r="147" spans="1:54" ht="15" customHeight="1" x14ac:dyDescent="0.25">
      <c r="A147" s="42">
        <v>7285</v>
      </c>
      <c r="B147" s="42" t="s">
        <v>86</v>
      </c>
      <c r="C147" s="42" t="s">
        <v>1434</v>
      </c>
      <c r="D147" s="42" t="s">
        <v>1435</v>
      </c>
      <c r="E147" s="42">
        <v>21</v>
      </c>
      <c r="F147" s="42" t="s">
        <v>42</v>
      </c>
      <c r="G147" s="42" t="s">
        <v>42</v>
      </c>
      <c r="H147" s="43" t="s">
        <v>703</v>
      </c>
      <c r="I147" s="44" t="s">
        <v>43</v>
      </c>
      <c r="J147" s="42" t="s">
        <v>44</v>
      </c>
      <c r="K147" s="43" t="s">
        <v>43</v>
      </c>
      <c r="L147" s="42">
        <v>1</v>
      </c>
      <c r="M147" s="42">
        <v>3</v>
      </c>
      <c r="N147" s="42">
        <v>4</v>
      </c>
      <c r="O147" s="42">
        <v>4</v>
      </c>
      <c r="P147" s="43">
        <v>1</v>
      </c>
      <c r="Q147" s="42">
        <v>2</v>
      </c>
      <c r="R147" s="42">
        <v>4</v>
      </c>
      <c r="S147" s="42">
        <v>5</v>
      </c>
      <c r="T147" s="42">
        <v>6</v>
      </c>
      <c r="U147" s="43">
        <v>2</v>
      </c>
      <c r="V147" s="42">
        <v>2</v>
      </c>
      <c r="W147" s="42">
        <v>3</v>
      </c>
      <c r="X147" s="42">
        <v>4</v>
      </c>
      <c r="Y147" s="43">
        <v>8</v>
      </c>
      <c r="Z147" s="42" t="s">
        <v>45</v>
      </c>
      <c r="AA147" s="42" t="s">
        <v>45</v>
      </c>
      <c r="AB147" s="42" t="s">
        <v>45</v>
      </c>
      <c r="AC147" s="42" t="s">
        <v>45</v>
      </c>
      <c r="AD147" s="42" t="s">
        <v>45</v>
      </c>
      <c r="AE147" s="42" t="s">
        <v>45</v>
      </c>
      <c r="AF147" s="42" t="s">
        <v>45</v>
      </c>
      <c r="AG147" s="43" t="s">
        <v>45</v>
      </c>
      <c r="AH147" s="42">
        <v>1</v>
      </c>
      <c r="AI147" s="42">
        <v>2</v>
      </c>
      <c r="AJ147" s="43">
        <v>2</v>
      </c>
      <c r="AK147" s="45" t="s">
        <v>723</v>
      </c>
      <c r="AL147" s="45" t="s">
        <v>47</v>
      </c>
      <c r="AM147" s="46"/>
      <c r="AN147" s="46"/>
      <c r="AO147" s="47"/>
      <c r="AP147" s="48"/>
      <c r="AQ147" s="46">
        <f>($AM$3*AM147+$AN$3*AN147+$AO$3*AO147+$AP$3*AP147)+$I$3*VLOOKUP(I147,COND!$A$2:$E$7,4,FALSE)+$J$3*VLOOKUP(J147,COND!$A$2:$C$7,2,FALSE)+$K$3*VLOOKUP(K147,COND!$A$2:$C$7,3,FALSE)+IF(AND($B$2&gt;0,$E147&lt;20),$B$2*25,0)</f>
        <v>44.7</v>
      </c>
      <c r="AR147" s="49">
        <f>STANDARDIZE(AQ147,AVERAGE($AQ$5:$AQ$537),STDEVP($AQ$5:$AQ$537))</f>
        <v>0.76566195426262629</v>
      </c>
      <c r="AS147" s="47"/>
      <c r="AT147" s="47"/>
      <c r="AU147" s="47"/>
      <c r="AV147" s="47"/>
      <c r="AW147" s="47" t="str">
        <f>IF(AND($Q147&gt;=6,AVERAGE($S147:$T147)&gt;=6),"Likely",IF(OR($Q147&gt;6,AND($Q147=6,AVERAGE($S147:$T147)&gt;=3),AND($Q147&gt;=5,AVERAGE($S147:$T147)&gt;=5),AVERAGE($Q147,$S147:$T147)&gt;5),"Possible","Unlikely"))</f>
        <v>Unlikely</v>
      </c>
      <c r="AX147" s="47"/>
      <c r="AY147" s="47" t="str">
        <f>INDEX(Table5[[#All],[Ovr]],MATCH(Batters[[#This Row],[PID]],Table5[[#All],[PID]],0))</f>
        <v/>
      </c>
      <c r="AZ147" s="47" t="str">
        <f>INDEX(Table5[[#All],[Rnd]],MATCH(Batters[[#This Row],[PID]],Table5[[#All],[PID]],0))</f>
        <v/>
      </c>
      <c r="BA147" s="47" t="str">
        <f>INDEX(Table5[[#All],[Pick]],MATCH(Batters[[#This Row],[PID]],Table5[[#All],[PID]],0))</f>
        <v/>
      </c>
      <c r="BB147" s="47" t="str">
        <f>INDEX(Table5[[#All],[Team]],MATCH(Batters[[#This Row],[PID]],Table5[[#All],[PID]],0))</f>
        <v/>
      </c>
    </row>
    <row r="148" spans="1:54" ht="15" customHeight="1" x14ac:dyDescent="0.25">
      <c r="A148" s="42">
        <v>10529</v>
      </c>
      <c r="B148" s="42" t="s">
        <v>86</v>
      </c>
      <c r="C148" s="42" t="s">
        <v>123</v>
      </c>
      <c r="D148" s="42" t="s">
        <v>1115</v>
      </c>
      <c r="E148" s="42">
        <v>21</v>
      </c>
      <c r="F148" s="42" t="s">
        <v>42</v>
      </c>
      <c r="G148" s="42" t="s">
        <v>42</v>
      </c>
      <c r="H148" s="43" t="s">
        <v>709</v>
      </c>
      <c r="I148" s="44" t="s">
        <v>44</v>
      </c>
      <c r="J148" s="42" t="s">
        <v>44</v>
      </c>
      <c r="K148" s="43" t="s">
        <v>43</v>
      </c>
      <c r="L148" s="42">
        <v>2</v>
      </c>
      <c r="M148" s="42">
        <v>1</v>
      </c>
      <c r="N148" s="42">
        <v>2</v>
      </c>
      <c r="O148" s="42">
        <v>3</v>
      </c>
      <c r="P148" s="43">
        <v>1</v>
      </c>
      <c r="Q148" s="42">
        <v>2</v>
      </c>
      <c r="R148" s="42">
        <v>2</v>
      </c>
      <c r="S148" s="42">
        <v>3</v>
      </c>
      <c r="T148" s="42">
        <v>4</v>
      </c>
      <c r="U148" s="43">
        <v>3</v>
      </c>
      <c r="V148" s="42">
        <v>2</v>
      </c>
      <c r="W148" s="42">
        <v>4</v>
      </c>
      <c r="X148" s="42">
        <v>7</v>
      </c>
      <c r="Y148" s="43">
        <v>7</v>
      </c>
      <c r="Z148" s="42">
        <v>3</v>
      </c>
      <c r="AA148" s="42" t="s">
        <v>45</v>
      </c>
      <c r="AB148" s="42" t="s">
        <v>45</v>
      </c>
      <c r="AC148" s="42" t="s">
        <v>45</v>
      </c>
      <c r="AD148" s="42" t="s">
        <v>45</v>
      </c>
      <c r="AE148" s="42" t="s">
        <v>45</v>
      </c>
      <c r="AF148" s="42" t="s">
        <v>45</v>
      </c>
      <c r="AG148" s="43" t="s">
        <v>45</v>
      </c>
      <c r="AH148" s="42">
        <v>1</v>
      </c>
      <c r="AI148" s="42">
        <v>1</v>
      </c>
      <c r="AJ148" s="43">
        <v>1</v>
      </c>
      <c r="AK148" s="45" t="s">
        <v>45</v>
      </c>
      <c r="AL148" s="45" t="s">
        <v>47</v>
      </c>
      <c r="AM148" s="46"/>
      <c r="AN148" s="46"/>
      <c r="AO148" s="47"/>
      <c r="AP148" s="48"/>
      <c r="AQ148" s="46">
        <f>($AM$3*AM148+$AN$3*AN148+$AO$3*AO148+$AP$3*AP148)+$I$3*VLOOKUP(I148,COND!$A$2:$E$7,4,FALSE)+$J$3*VLOOKUP(J148,COND!$A$2:$C$7,2,FALSE)+$K$3*VLOOKUP(K148,COND!$A$2:$C$7,3,FALSE)+IF(AND($B$2&gt;0,$E148&lt;20),$B$2*25,0)</f>
        <v>44.55</v>
      </c>
      <c r="AR148" s="49">
        <f>STANDARDIZE(AQ148,AVERAGE($AQ$5:$AQ$537),STDEVP($AQ$5:$AQ$537))</f>
        <v>0.73927045120813195</v>
      </c>
      <c r="AS148" s="47"/>
      <c r="AT148" s="47"/>
      <c r="AU148" s="47"/>
      <c r="AV148" s="47"/>
      <c r="AW148" s="47" t="str">
        <f>IF(AND($Q148&gt;=6,AVERAGE($S148:$T148)&gt;=6),"Likely",IF(OR($Q148&gt;6,AND($Q148=6,AVERAGE($S148:$T148)&gt;=3),AND($Q148&gt;=5,AVERAGE($S148:$T148)&gt;=5),AVERAGE($Q148,$S148:$T148)&gt;5),"Possible","Unlikely"))</f>
        <v>Unlikely</v>
      </c>
      <c r="AX148" s="47"/>
      <c r="AY148" s="47" t="str">
        <f>INDEX(Table5[[#All],[Ovr]],MATCH(Batters[[#This Row],[PID]],Table5[[#All],[PID]],0))</f>
        <v/>
      </c>
      <c r="AZ148" s="47" t="str">
        <f>INDEX(Table5[[#All],[Rnd]],MATCH(Batters[[#This Row],[PID]],Table5[[#All],[PID]],0))</f>
        <v/>
      </c>
      <c r="BA148" s="47" t="str">
        <f>INDEX(Table5[[#All],[Pick]],MATCH(Batters[[#This Row],[PID]],Table5[[#All],[PID]],0))</f>
        <v/>
      </c>
      <c r="BB148" s="47" t="str">
        <f>INDEX(Table5[[#All],[Team]],MATCH(Batters[[#This Row],[PID]],Table5[[#All],[PID]],0))</f>
        <v/>
      </c>
    </row>
    <row r="149" spans="1:54" ht="15" customHeight="1" x14ac:dyDescent="0.25">
      <c r="A149" s="42">
        <v>7280</v>
      </c>
      <c r="B149" s="42" t="s">
        <v>50</v>
      </c>
      <c r="C149" s="42" t="s">
        <v>871</v>
      </c>
      <c r="D149" s="42" t="s">
        <v>1068</v>
      </c>
      <c r="E149" s="42">
        <v>21</v>
      </c>
      <c r="F149" s="42" t="s">
        <v>53</v>
      </c>
      <c r="G149" s="42" t="s">
        <v>53</v>
      </c>
      <c r="H149" s="43" t="s">
        <v>703</v>
      </c>
      <c r="I149" s="44" t="s">
        <v>43</v>
      </c>
      <c r="J149" s="42" t="s">
        <v>43</v>
      </c>
      <c r="K149" s="43" t="s">
        <v>44</v>
      </c>
      <c r="L149" s="42">
        <v>3</v>
      </c>
      <c r="M149" s="42">
        <v>5</v>
      </c>
      <c r="N149" s="42">
        <v>4</v>
      </c>
      <c r="O149" s="42">
        <v>2</v>
      </c>
      <c r="P149" s="43">
        <v>3</v>
      </c>
      <c r="Q149" s="42">
        <v>4</v>
      </c>
      <c r="R149" s="42">
        <v>7</v>
      </c>
      <c r="S149" s="42">
        <v>6</v>
      </c>
      <c r="T149" s="42">
        <v>4</v>
      </c>
      <c r="U149" s="43">
        <v>4</v>
      </c>
      <c r="V149" s="42">
        <v>6</v>
      </c>
      <c r="W149" s="42">
        <v>7</v>
      </c>
      <c r="X149" s="42">
        <v>1</v>
      </c>
      <c r="Y149" s="43">
        <v>1</v>
      </c>
      <c r="Z149" s="42" t="s">
        <v>45</v>
      </c>
      <c r="AA149" s="42" t="s">
        <v>45</v>
      </c>
      <c r="AB149" s="42" t="s">
        <v>45</v>
      </c>
      <c r="AC149" s="42" t="s">
        <v>45</v>
      </c>
      <c r="AD149" s="42" t="s">
        <v>45</v>
      </c>
      <c r="AE149" s="42">
        <v>5</v>
      </c>
      <c r="AF149" s="42" t="s">
        <v>45</v>
      </c>
      <c r="AG149" s="43">
        <v>1</v>
      </c>
      <c r="AH149" s="42">
        <v>3</v>
      </c>
      <c r="AI149" s="42">
        <v>4</v>
      </c>
      <c r="AJ149" s="43">
        <v>4</v>
      </c>
      <c r="AK149" s="45" t="s">
        <v>589</v>
      </c>
      <c r="AL149" s="45" t="s">
        <v>47</v>
      </c>
      <c r="AM149" s="46">
        <f>($L$3*(L149-$Q$1)/$Q$2+$M$3*(M149-$R$1)/$R$2+$N$3*(N149-$S$1)/$S$2+$O$3*(O149-$T$1)/$T$2+$P$3*(P149-$U$1)/$U$2)/(SUM($L$3:$P$3))</f>
        <v>-0.81606544723195629</v>
      </c>
      <c r="AN149" s="46">
        <f>($L$3*(Q149-$Q$1)/$Q$2+$M$3*(R149-$R$1)/$R$2+$N$3*(S149-$S$1)/$S$2+$O$3*(T149-$T$1)/$T$2+$P$3*(U149-$U$1)/$U$2)/(SUM($L$3:$P$3))</f>
        <v>-5.8314239078259052E-3</v>
      </c>
      <c r="AO149" s="47">
        <f>IF(AVERAGE(AH149:AI149)&gt;9,1,0)+IF(AVERAGE(AH149:AI149)&gt;7,1,0)+IF(AH149&gt;7,1,0)+IF(AI149&gt;7,1,0)+IF(AJ149&gt;8,1,0)+IF(AJ149&gt;6,1,0)</f>
        <v>0</v>
      </c>
      <c r="AP149" s="48">
        <f>MIN(2,IF(OR(Z149="-",X149&lt;5),0,1+IF(Y149&gt;7,0.35,IF(Y149&gt;5,0.1,0))+IF(Z149&gt;7,1+IF(X149&gt;7,0.25,0),IF(Z149&gt;4,0.5+IF(X149&gt;7,0.25,0),0+IF(X149&gt;7,0.25))))+IF(AA149="-",0,IF(AA149&gt;9,0.5,IF(AA149&gt;7,0.25,0)))+IF(AB149="-",0,IF(AB149&gt;7,1.1,IF(AB149&gt;4,0.6,0)))+IF(OR(AC149="-",V149&lt;5),0,IF(AC149&gt;7,1+IF(V149&gt;7,0.25,0),IF(AC149&gt;4,0.5+IF(V149&gt;7,0.25,0),0)))+IF(AD149="-",0,IF(AD149&gt;7,1.5,IF(AD149&gt;4,1,0)))+IF(AE149="-",0,IF(AE149&gt;9,0.5,IF(AE149&gt;7,0.25,0)))+IF(AF149="-",0,IF(AF149&gt;7,1.25,IF(AF149&gt;4,0.75,0)))+IF(OR(AG149="-",W149&lt;4),0,IF(AG149&gt;7,1+IF(W149&gt;7,0.15,0),IF(AG149&gt;4,0.5+IF(W149&gt;7,0.15,0),0))))</f>
        <v>0</v>
      </c>
      <c r="AQ149" s="46">
        <f>($AM$3*AM149+$AN$3*AN149+$AO$3*AO149+$AP$3*AP149)+$I$3*VLOOKUP(I149,COND!$A$2:$E$7,4,FALSE)+$J$3*VLOOKUP(J149,COND!$A$2:$C$7,2,FALSE)+$K$3*VLOOKUP(K149,COND!$A$2:$C$7,3,FALSE)+IF(AND($B$2&gt;0,$E149&lt;20),$B$2*25,0)</f>
        <v>44.548416368382888</v>
      </c>
      <c r="AR149" s="49">
        <f>STANDARDIZE(AQ149,AVERAGE($AQ$5:$AQ$537),STDEVP($AQ$5:$AQ$537))</f>
        <v>0.73899182175039779</v>
      </c>
      <c r="AS149" s="47" t="str">
        <f>IF(AND(Z149&lt;&gt;"-",Y149&gt;1),"C",IF(AB149=MAX(AB149:AD149),"2B",IF(AD149=MAX(AB149:AD149),"SS",IF(OR(AC149=MAX(AA149:AD149),AND(AC149&lt;&gt;"-",AC149&gt;4,V149&gt;5)),"3B",IF(AF149=MAX(AE149:AG149),"CF",IF(AND(AG149=MAX(AE149,AG149),AND(W149&gt;5,AG149&lt;&gt;"-")),"RF",IF(AE149&lt;&gt;"-","LF",IF(AA149&lt;&gt;"-","1B","DH"))))))))</f>
        <v>LF</v>
      </c>
      <c r="AT149" s="47"/>
      <c r="AU149" s="47"/>
      <c r="AV149" s="47"/>
      <c r="AW149" s="47" t="str">
        <f>IF(AND($Q149&gt;=6,AVERAGE($S149:$T149)&gt;=6),"Likely",IF(OR($Q149&gt;6,AND($Q149=6,AVERAGE($S149:$T149)&gt;=3),AND($Q149&gt;=5,AVERAGE($S149:$T149)&gt;=5),AVERAGE($Q149,$S149:$T149)&gt;5),"Possible","Unlikely"))</f>
        <v>Unlikely</v>
      </c>
      <c r="AX149" s="47"/>
      <c r="AY149" s="47" t="str">
        <f>INDEX(Table5[[#All],[Ovr]],MATCH(Batters[[#This Row],[PID]],Table5[[#All],[PID]],0))</f>
        <v/>
      </c>
      <c r="AZ149" s="47" t="str">
        <f>INDEX(Table5[[#All],[Rnd]],MATCH(Batters[[#This Row],[PID]],Table5[[#All],[PID]],0))</f>
        <v/>
      </c>
      <c r="BA149" s="47" t="str">
        <f>INDEX(Table5[[#All],[Pick]],MATCH(Batters[[#This Row],[PID]],Table5[[#All],[PID]],0))</f>
        <v/>
      </c>
      <c r="BB149" s="47" t="str">
        <f>INDEX(Table5[[#All],[Team]],MATCH(Batters[[#This Row],[PID]],Table5[[#All],[PID]],0))</f>
        <v/>
      </c>
    </row>
    <row r="150" spans="1:54" ht="15" customHeight="1" x14ac:dyDescent="0.25">
      <c r="A150" s="42">
        <v>756</v>
      </c>
      <c r="B150" s="42" t="s">
        <v>74</v>
      </c>
      <c r="C150" s="42" t="s">
        <v>371</v>
      </c>
      <c r="D150" s="42" t="s">
        <v>1265</v>
      </c>
      <c r="E150" s="42">
        <v>18</v>
      </c>
      <c r="F150" s="42" t="s">
        <v>53</v>
      </c>
      <c r="G150" s="42" t="s">
        <v>53</v>
      </c>
      <c r="H150" s="43" t="s">
        <v>709</v>
      </c>
      <c r="I150" s="44" t="s">
        <v>43</v>
      </c>
      <c r="J150" s="42" t="s">
        <v>43</v>
      </c>
      <c r="K150" s="43" t="s">
        <v>43</v>
      </c>
      <c r="L150" s="42">
        <v>1</v>
      </c>
      <c r="M150" s="42">
        <v>1</v>
      </c>
      <c r="N150" s="42">
        <v>2</v>
      </c>
      <c r="O150" s="42">
        <v>1</v>
      </c>
      <c r="P150" s="43">
        <v>1</v>
      </c>
      <c r="Q150" s="42">
        <v>3</v>
      </c>
      <c r="R150" s="42">
        <v>4</v>
      </c>
      <c r="S150" s="42">
        <v>4</v>
      </c>
      <c r="T150" s="42">
        <v>5</v>
      </c>
      <c r="U150" s="43">
        <v>3</v>
      </c>
      <c r="V150" s="42">
        <v>4</v>
      </c>
      <c r="W150" s="42">
        <v>6</v>
      </c>
      <c r="X150" s="42">
        <v>1</v>
      </c>
      <c r="Y150" s="43">
        <v>1</v>
      </c>
      <c r="Z150" s="42" t="s">
        <v>45</v>
      </c>
      <c r="AA150" s="42" t="s">
        <v>45</v>
      </c>
      <c r="AB150" s="42" t="s">
        <v>45</v>
      </c>
      <c r="AC150" s="42" t="s">
        <v>45</v>
      </c>
      <c r="AD150" s="42" t="s">
        <v>45</v>
      </c>
      <c r="AE150" s="42" t="s">
        <v>45</v>
      </c>
      <c r="AF150" s="42">
        <v>5</v>
      </c>
      <c r="AG150" s="43" t="s">
        <v>45</v>
      </c>
      <c r="AH150" s="42">
        <v>10</v>
      </c>
      <c r="AI150" s="42">
        <v>6</v>
      </c>
      <c r="AJ150" s="43">
        <v>5</v>
      </c>
      <c r="AK150" s="45" t="s">
        <v>764</v>
      </c>
      <c r="AL150" s="45" t="s">
        <v>47</v>
      </c>
      <c r="AM150" s="46">
        <f>($L$3*(L150-$Q$1)/$Q$2+$M$3*(M150-$R$1)/$R$2+$N$3*(N150-$S$1)/$S$2+$O$3*(O150-$T$1)/$T$2+$P$3*(P150-$U$1)/$U$2)/(SUM($L$3:$P$3))</f>
        <v>-2.0012818558036707</v>
      </c>
      <c r="AN150" s="46">
        <f>($L$3*(Q150-$Q$1)/$Q$2+$M$3*(R150-$R$1)/$R$2+$N$3*(S150-$S$1)/$S$2+$O$3*(T150-$T$1)/$T$2+$P$3*(U150-$U$1)/$U$2)/(SUM($L$3:$P$3))</f>
        <v>-0.59799667682191648</v>
      </c>
      <c r="AO150" s="47">
        <f>IF(AVERAGE(AH150:AI150)&gt;9,1,0)+IF(AVERAGE(AH150:AI150)&gt;7,1,0)+IF(AH150&gt;7,1,0)+IF(AI150&gt;7,1,0)+IF(AJ150&gt;8,1,0)+IF(AJ150&gt;6,1,0)</f>
        <v>2</v>
      </c>
      <c r="AP150" s="48">
        <f>MIN(2,IF(OR(Z150="-",X150&lt;5),0,1+IF(Y150&gt;7,0.35,IF(Y150&gt;5,0.1,0))+IF(Z150&gt;7,1+IF(X150&gt;7,0.25,0),IF(Z150&gt;4,0.5+IF(X150&gt;7,0.25,0),0+IF(X150&gt;7,0.25))))+IF(AA150="-",0,IF(AA150&gt;9,0.5,IF(AA150&gt;7,0.25,0)))+IF(AB150="-",0,IF(AB150&gt;7,1.1,IF(AB150&gt;4,0.6,0)))+IF(OR(AC150="-",V150&lt;5),0,IF(AC150&gt;7,1+IF(V150&gt;7,0.25,0),IF(AC150&gt;4,0.5+IF(V150&gt;7,0.25,0),0)))+IF(AD150="-",0,IF(AD150&gt;7,1.5,IF(AD150&gt;4,1,0)))+IF(AE150="-",0,IF(AE150&gt;9,0.5,IF(AE150&gt;7,0.25,0)))+IF(AF150="-",0,IF(AF150&gt;7,1.25,IF(AF150&gt;4,0.75,0)))+IF(OR(AG150="-",W150&lt;4),0,IF(AG150&gt;7,1+IF(W150&gt;7,0.15,0),IF(AG150&gt;4,0.5+IF(W150&gt;7,0.15,0),0))))</f>
        <v>0.75</v>
      </c>
      <c r="AQ150" s="46">
        <f>($AM$3*AM150+$AN$3*AN150+$AO$3*AO150+$AP$3*AP150)+$I$3*VLOOKUP(I150,COND!$A$2:$E$7,4,FALSE)+$J$3*VLOOKUP(J150,COND!$A$2:$C$7,2,FALSE)+$K$3*VLOOKUP(K150,COND!$A$2:$C$7,3,FALSE)+IF(AND($B$2&gt;0,$E150&lt;20),$B$2*25,0)</f>
        <v>43.707245025889968</v>
      </c>
      <c r="AR150" s="49">
        <f>STANDARDIZE(AQ150,AVERAGE($AQ$5:$AQ$537),STDEVP($AQ$5:$AQ$537))</f>
        <v>0.5909933147187032</v>
      </c>
      <c r="AS150" s="47" t="str">
        <f>IF(AND(Z150&lt;&gt;"-",Y150&gt;1),"C",IF(AB150=MAX(AB150:AD150),"2B",IF(AD150=MAX(AB150:AD150),"SS",IF(OR(AC150=MAX(AA150:AD150),AND(AC150&lt;&gt;"-",AC150&gt;4,V150&gt;5)),"3B",IF(AF150=MAX(AE150:AG150),"CF",IF(AND(AG150=MAX(AE150,AG150),AND(W150&gt;5,AG150&lt;&gt;"-")),"RF",IF(AE150&lt;&gt;"-","LF",IF(AA150&lt;&gt;"-","1B","DH"))))))))</f>
        <v>CF</v>
      </c>
      <c r="AT150" s="47"/>
      <c r="AU150" s="47"/>
      <c r="AV150" s="47"/>
      <c r="AW150" s="47" t="str">
        <f>IF(AND($Q150&gt;=6,AVERAGE($S150:$T150)&gt;=6),"Likely",IF(OR($Q150&gt;6,AND($Q150=6,AVERAGE($S150:$T150)&gt;=3),AND($Q150&gt;=5,AVERAGE($S150:$T150)&gt;=5),AVERAGE($Q150,$S150:$T150)&gt;5),"Possible","Unlikely"))</f>
        <v>Unlikely</v>
      </c>
      <c r="AX150" s="47"/>
      <c r="AY150" s="47" t="str">
        <f>INDEX(Table5[[#All],[Ovr]],MATCH(Batters[[#This Row],[PID]],Table5[[#All],[PID]],0))</f>
        <v/>
      </c>
      <c r="AZ150" s="47" t="str">
        <f>INDEX(Table5[[#All],[Rnd]],MATCH(Batters[[#This Row],[PID]],Table5[[#All],[PID]],0))</f>
        <v/>
      </c>
      <c r="BA150" s="47" t="str">
        <f>INDEX(Table5[[#All],[Pick]],MATCH(Batters[[#This Row],[PID]],Table5[[#All],[PID]],0))</f>
        <v/>
      </c>
      <c r="BB150" s="47" t="str">
        <f>INDEX(Table5[[#All],[Team]],MATCH(Batters[[#This Row],[PID]],Table5[[#All],[PID]],0))</f>
        <v/>
      </c>
    </row>
    <row r="151" spans="1:54" ht="15" customHeight="1" x14ac:dyDescent="0.25">
      <c r="A151" s="42">
        <v>13345</v>
      </c>
      <c r="B151" s="42" t="s">
        <v>69</v>
      </c>
      <c r="C151" s="42" t="s">
        <v>1283</v>
      </c>
      <c r="D151" s="42" t="s">
        <v>1284</v>
      </c>
      <c r="E151" s="42">
        <v>18</v>
      </c>
      <c r="F151" s="42" t="s">
        <v>53</v>
      </c>
      <c r="G151" s="42" t="s">
        <v>42</v>
      </c>
      <c r="H151" s="43" t="s">
        <v>709</v>
      </c>
      <c r="I151" s="44" t="s">
        <v>43</v>
      </c>
      <c r="J151" s="42" t="s">
        <v>43</v>
      </c>
      <c r="K151" s="43" t="s">
        <v>43</v>
      </c>
      <c r="L151" s="42">
        <v>1</v>
      </c>
      <c r="M151" s="42">
        <v>2</v>
      </c>
      <c r="N151" s="42">
        <v>2</v>
      </c>
      <c r="O151" s="42">
        <v>2</v>
      </c>
      <c r="P151" s="43">
        <v>1</v>
      </c>
      <c r="Q151" s="42">
        <v>3</v>
      </c>
      <c r="R151" s="42">
        <v>5</v>
      </c>
      <c r="S151" s="42">
        <v>5</v>
      </c>
      <c r="T151" s="42">
        <v>4</v>
      </c>
      <c r="U151" s="43">
        <v>4</v>
      </c>
      <c r="V151" s="42">
        <v>9</v>
      </c>
      <c r="W151" s="42">
        <v>7</v>
      </c>
      <c r="X151" s="42">
        <v>1</v>
      </c>
      <c r="Y151" s="43">
        <v>1</v>
      </c>
      <c r="Z151" s="42" t="s">
        <v>45</v>
      </c>
      <c r="AA151" s="42" t="s">
        <v>45</v>
      </c>
      <c r="AB151" s="42" t="s">
        <v>45</v>
      </c>
      <c r="AC151" s="42">
        <v>3</v>
      </c>
      <c r="AD151" s="42" t="s">
        <v>45</v>
      </c>
      <c r="AE151" s="42" t="s">
        <v>45</v>
      </c>
      <c r="AF151" s="42" t="s">
        <v>45</v>
      </c>
      <c r="AG151" s="43" t="s">
        <v>45</v>
      </c>
      <c r="AH151" s="42">
        <v>5</v>
      </c>
      <c r="AI151" s="42">
        <v>2</v>
      </c>
      <c r="AJ151" s="43">
        <v>1</v>
      </c>
      <c r="AK151" s="45" t="s">
        <v>599</v>
      </c>
      <c r="AL151" s="45" t="s">
        <v>705</v>
      </c>
      <c r="AM151" s="46">
        <f>($L$3*(L151-$Q$1)/$Q$2+$M$3*(M151-$R$1)/$R$2+$N$3*(N151-$S$1)/$S$2+$O$3*(O151-$T$1)/$T$2+$P$3*(P151-$U$1)/$U$2)/(SUM($L$3:$P$3))</f>
        <v>-1.8605124261753858</v>
      </c>
      <c r="AN151" s="46">
        <f>($L$3*(Q151-$Q$1)/$Q$2+$M$3*(R151-$R$1)/$R$2+$N$3*(S151-$S$1)/$S$2+$O$3*(T151-$T$1)/$T$2+$P$3*(U151-$U$1)/$U$2)/(SUM($L$3:$P$3))</f>
        <v>-0.51356851337180909</v>
      </c>
      <c r="AO151" s="47">
        <f>IF(AVERAGE(AH151:AI151)&gt;9,1,0)+IF(AVERAGE(AH151:AI151)&gt;7,1,0)+IF(AH151&gt;7,1,0)+IF(AI151&gt;7,1,0)+IF(AJ151&gt;8,1,0)+IF(AJ151&gt;6,1,0)</f>
        <v>0</v>
      </c>
      <c r="AP151" s="48">
        <f>MIN(2,IF(OR(Z151="-",X151&lt;5),0,1+IF(Y151&gt;7,0.35,IF(Y151&gt;5,0.1,0))+IF(Z151&gt;7,1+IF(X151&gt;7,0.25,0),IF(Z151&gt;4,0.5+IF(X151&gt;7,0.25,0),0+IF(X151&gt;7,0.25))))+IF(AA151="-",0,IF(AA151&gt;9,0.5,IF(AA151&gt;7,0.25,0)))+IF(AB151="-",0,IF(AB151&gt;7,1.1,IF(AB151&gt;4,0.6,0)))+IF(OR(AC151="-",V151&lt;5),0,IF(AC151&gt;7,1+IF(V151&gt;7,0.25,0),IF(AC151&gt;4,0.5+IF(V151&gt;7,0.25,0),0)))+IF(AD151="-",0,IF(AD151&gt;7,1.5,IF(AD151&gt;4,1,0)))+IF(AE151="-",0,IF(AE151&gt;9,0.5,IF(AE151&gt;7,0.25,0)))+IF(AF151="-",0,IF(AF151&gt;7,1.25,IF(AF151&gt;4,0.75,0)))+IF(OR(AG151="-",W151&lt;4),0,IF(AG151&gt;7,1+IF(W151&gt;7,0.15,0),IF(AG151&gt;4,0.5+IF(W151&gt;7,0.15,0),0))))</f>
        <v>0</v>
      </c>
      <c r="AQ151" s="46">
        <f>($AM$3*AM151+$AN$3*AN151+$AO$3*AO151+$AP$3*AP151)+$I$3*VLOOKUP(I151,COND!$A$2:$E$7,4,FALSE)+$J$3*VLOOKUP(J151,COND!$A$2:$C$7,2,FALSE)+$K$3*VLOOKUP(K151,COND!$A$2:$C$7,3,FALSE)+IF(AND($B$2&gt;0,$E151&lt;20),$B$2*25,0)</f>
        <v>43.651126596920754</v>
      </c>
      <c r="AR151" s="49">
        <f>STANDARDIZE(AQ151,AVERAGE($AQ$5:$AQ$537),STDEVP($AQ$5:$AQ$537))</f>
        <v>0.5811196501216741</v>
      </c>
      <c r="AS151" s="47" t="str">
        <f>IF(AND(Z151&lt;&gt;"-",Y151&gt;1),"C",IF(AB151=MAX(AB151:AD151),"2B",IF(AD151=MAX(AB151:AD151),"SS",IF(OR(AC151=MAX(AA151:AD151),AND(AC151&lt;&gt;"-",AC151&gt;4,V151&gt;5)),"3B",IF(AF151=MAX(AE151:AG151),"CF",IF(AND(AG151=MAX(AE151,AG151),AND(W151&gt;5,AG151&lt;&gt;"-")),"RF",IF(AE151&lt;&gt;"-","LF",IF(AA151&lt;&gt;"-","1B","DH"))))))))</f>
        <v>3B</v>
      </c>
      <c r="AT151" s="47"/>
      <c r="AU151" s="47"/>
      <c r="AV151" s="47"/>
      <c r="AW151" s="47" t="str">
        <f>IF(AND($Q151&gt;=6,AVERAGE($S151:$T151)&gt;=6),"Likely",IF(OR($Q151&gt;6,AND($Q151=6,AVERAGE($S151:$T151)&gt;=3),AND($Q151&gt;=5,AVERAGE($S151:$T151)&gt;=5),AVERAGE($Q151,$S151:$T151)&gt;5),"Possible","Unlikely"))</f>
        <v>Unlikely</v>
      </c>
      <c r="AX151" s="47"/>
      <c r="AY151" s="47" t="str">
        <f>INDEX(Table5[[#All],[Ovr]],MATCH(Batters[[#This Row],[PID]],Table5[[#All],[PID]],0))</f>
        <v/>
      </c>
      <c r="AZ151" s="47" t="str">
        <f>INDEX(Table5[[#All],[Rnd]],MATCH(Batters[[#This Row],[PID]],Table5[[#All],[PID]],0))</f>
        <v/>
      </c>
      <c r="BA151" s="47" t="str">
        <f>INDEX(Table5[[#All],[Pick]],MATCH(Batters[[#This Row],[PID]],Table5[[#All],[PID]],0))</f>
        <v/>
      </c>
      <c r="BB151" s="47" t="str">
        <f>INDEX(Table5[[#All],[Team]],MATCH(Batters[[#This Row],[PID]],Table5[[#All],[PID]],0))</f>
        <v/>
      </c>
    </row>
    <row r="152" spans="1:54" ht="15" customHeight="1" x14ac:dyDescent="0.25">
      <c r="A152" s="42">
        <v>8954</v>
      </c>
      <c r="B152" s="42" t="s">
        <v>69</v>
      </c>
      <c r="C152" s="42" t="s">
        <v>361</v>
      </c>
      <c r="D152" s="42" t="s">
        <v>1209</v>
      </c>
      <c r="E152" s="42">
        <v>18</v>
      </c>
      <c r="F152" s="42" t="s">
        <v>42</v>
      </c>
      <c r="G152" s="42" t="s">
        <v>42</v>
      </c>
      <c r="H152" s="43" t="s">
        <v>709</v>
      </c>
      <c r="I152" s="44" t="s">
        <v>43</v>
      </c>
      <c r="J152" s="42" t="s">
        <v>43</v>
      </c>
      <c r="K152" s="43" t="s">
        <v>43</v>
      </c>
      <c r="L152" s="42">
        <v>1</v>
      </c>
      <c r="M152" s="42">
        <v>2</v>
      </c>
      <c r="N152" s="42">
        <v>2</v>
      </c>
      <c r="O152" s="42">
        <v>2</v>
      </c>
      <c r="P152" s="43">
        <v>1</v>
      </c>
      <c r="Q152" s="42">
        <v>3</v>
      </c>
      <c r="R152" s="42">
        <v>4</v>
      </c>
      <c r="S152" s="42">
        <v>5</v>
      </c>
      <c r="T152" s="42">
        <v>5</v>
      </c>
      <c r="U152" s="43">
        <v>3</v>
      </c>
      <c r="V152" s="42">
        <v>10</v>
      </c>
      <c r="W152" s="42">
        <v>8</v>
      </c>
      <c r="X152" s="42">
        <v>1</v>
      </c>
      <c r="Y152" s="43">
        <v>1</v>
      </c>
      <c r="Z152" s="42" t="s">
        <v>45</v>
      </c>
      <c r="AA152" s="42" t="s">
        <v>45</v>
      </c>
      <c r="AB152" s="42" t="s">
        <v>45</v>
      </c>
      <c r="AC152" s="42">
        <v>2</v>
      </c>
      <c r="AD152" s="42" t="s">
        <v>45</v>
      </c>
      <c r="AE152" s="42" t="s">
        <v>45</v>
      </c>
      <c r="AF152" s="42" t="s">
        <v>45</v>
      </c>
      <c r="AG152" s="43" t="s">
        <v>45</v>
      </c>
      <c r="AH152" s="42">
        <v>2</v>
      </c>
      <c r="AI152" s="42">
        <v>6</v>
      </c>
      <c r="AJ152" s="43">
        <v>4</v>
      </c>
      <c r="AK152" s="45" t="s">
        <v>599</v>
      </c>
      <c r="AL152" s="45" t="s">
        <v>705</v>
      </c>
      <c r="AM152" s="46">
        <f>($L$3*(L152-$Q$1)/$Q$2+$M$3*(M152-$R$1)/$R$2+$N$3*(N152-$S$1)/$S$2+$O$3*(O152-$T$1)/$T$2+$P$3*(P152-$U$1)/$U$2)/(SUM($L$3:$P$3))</f>
        <v>-1.8605124261753858</v>
      </c>
      <c r="AN152" s="46">
        <f>($L$3*(Q152-$Q$1)/$Q$2+$M$3*(R152-$R$1)/$R$2+$N$3*(S152-$S$1)/$S$2+$O$3*(T152-$T$1)/$T$2+$P$3*(U152-$U$1)/$U$2)/(SUM($L$3:$P$3))</f>
        <v>-0.51493518279801498</v>
      </c>
      <c r="AO152" s="47">
        <f>IF(AVERAGE(AH152:AI152)&gt;9,1,0)+IF(AVERAGE(AH152:AI152)&gt;7,1,0)+IF(AH152&gt;7,1,0)+IF(AI152&gt;7,1,0)+IF(AJ152&gt;8,1,0)+IF(AJ152&gt;6,1,0)</f>
        <v>0</v>
      </c>
      <c r="AP152" s="48">
        <f>MIN(2,IF(OR(Z152="-",X152&lt;5),0,1+IF(Y152&gt;7,0.35,IF(Y152&gt;5,0.1,0))+IF(Z152&gt;7,1+IF(X152&gt;7,0.25,0),IF(Z152&gt;4,0.5+IF(X152&gt;7,0.25,0),0+IF(X152&gt;7,0.25))))+IF(AA152="-",0,IF(AA152&gt;9,0.5,IF(AA152&gt;7,0.25,0)))+IF(AB152="-",0,IF(AB152&gt;7,1.1,IF(AB152&gt;4,0.6,0)))+IF(OR(AC152="-",V152&lt;5),0,IF(AC152&gt;7,1+IF(V152&gt;7,0.25,0),IF(AC152&gt;4,0.5+IF(V152&gt;7,0.25,0),0)))+IF(AD152="-",0,IF(AD152&gt;7,1.5,IF(AD152&gt;4,1,0)))+IF(AE152="-",0,IF(AE152&gt;9,0.5,IF(AE152&gt;7,0.25,0)))+IF(AF152="-",0,IF(AF152&gt;7,1.25,IF(AF152&gt;4,0.75,0)))+IF(OR(AG152="-",W152&lt;4),0,IF(AG152&gt;7,1+IF(W152&gt;7,0.15,0),IF(AG152&gt;4,0.5+IF(W152&gt;7,0.15,0),0))))</f>
        <v>0</v>
      </c>
      <c r="AQ152" s="46">
        <f>($AM$3*AM152+$AN$3*AN152+$AO$3*AO152+$AP$3*AP152)+$I$3*VLOOKUP(I152,COND!$A$2:$E$7,4,FALSE)+$J$3*VLOOKUP(J152,COND!$A$2:$C$7,2,FALSE)+$K$3*VLOOKUP(K152,COND!$A$2:$C$7,3,FALSE)+IF(AND($B$2&gt;0,$E152&lt;20),$B$2*25,0)</f>
        <v>43.634726563806282</v>
      </c>
      <c r="AR152" s="49">
        <f>STANDARDIZE(AQ152,AVERAGE($AQ$5:$AQ$537),STDEVP($AQ$5:$AQ$537))</f>
        <v>0.57823417329477822</v>
      </c>
      <c r="AS152" s="47" t="str">
        <f>IF(AND(Z152&lt;&gt;"-",Y152&gt;1),"C",IF(AB152=MAX(AB152:AD152),"2B",IF(AD152=MAX(AB152:AD152),"SS",IF(OR(AC152=MAX(AA152:AD152),AND(AC152&lt;&gt;"-",AC152&gt;4,V152&gt;5)),"3B",IF(AF152=MAX(AE152:AG152),"CF",IF(AND(AG152=MAX(AE152,AG152),AND(W152&gt;5,AG152&lt;&gt;"-")),"RF",IF(AE152&lt;&gt;"-","LF",IF(AA152&lt;&gt;"-","1B","DH"))))))))</f>
        <v>3B</v>
      </c>
      <c r="AT152" s="47"/>
      <c r="AU152" s="47"/>
      <c r="AV152" s="47"/>
      <c r="AW152" s="47" t="str">
        <f>IF(AND($Q152&gt;=6,AVERAGE($S152:$T152)&gt;=6),"Likely",IF(OR($Q152&gt;6,AND($Q152=6,AVERAGE($S152:$T152)&gt;=3),AND($Q152&gt;=5,AVERAGE($S152:$T152)&gt;=5),AVERAGE($Q152,$S152:$T152)&gt;5),"Possible","Unlikely"))</f>
        <v>Unlikely</v>
      </c>
      <c r="AX152" s="47"/>
      <c r="AY152" s="47" t="str">
        <f>INDEX(Table5[[#All],[Ovr]],MATCH(Batters[[#This Row],[PID]],Table5[[#All],[PID]],0))</f>
        <v/>
      </c>
      <c r="AZ152" s="47" t="str">
        <f>INDEX(Table5[[#All],[Rnd]],MATCH(Batters[[#This Row],[PID]],Table5[[#All],[PID]],0))</f>
        <v/>
      </c>
      <c r="BA152" s="47" t="str">
        <f>INDEX(Table5[[#All],[Pick]],MATCH(Batters[[#This Row],[PID]],Table5[[#All],[PID]],0))</f>
        <v/>
      </c>
      <c r="BB152" s="47" t="str">
        <f>INDEX(Table5[[#All],[Team]],MATCH(Batters[[#This Row],[PID]],Table5[[#All],[PID]],0))</f>
        <v/>
      </c>
    </row>
    <row r="153" spans="1:54" ht="15" customHeight="1" x14ac:dyDescent="0.25">
      <c r="A153" s="42">
        <v>8075</v>
      </c>
      <c r="B153" s="42" t="s">
        <v>87</v>
      </c>
      <c r="C153" s="42" t="s">
        <v>372</v>
      </c>
      <c r="D153" s="42" t="s">
        <v>171</v>
      </c>
      <c r="E153" s="42">
        <v>18</v>
      </c>
      <c r="F153" s="42" t="s">
        <v>53</v>
      </c>
      <c r="G153" s="42" t="s">
        <v>53</v>
      </c>
      <c r="H153" s="43" t="s">
        <v>709</v>
      </c>
      <c r="I153" s="44" t="s">
        <v>43</v>
      </c>
      <c r="J153" s="42" t="s">
        <v>43</v>
      </c>
      <c r="K153" s="43" t="s">
        <v>43</v>
      </c>
      <c r="L153" s="42">
        <v>1</v>
      </c>
      <c r="M153" s="42">
        <v>1</v>
      </c>
      <c r="N153" s="42">
        <v>2</v>
      </c>
      <c r="O153" s="42">
        <v>2</v>
      </c>
      <c r="P153" s="43">
        <v>2</v>
      </c>
      <c r="Q153" s="42">
        <v>3</v>
      </c>
      <c r="R153" s="42">
        <v>4</v>
      </c>
      <c r="S153" s="42">
        <v>4</v>
      </c>
      <c r="T153" s="42">
        <v>5</v>
      </c>
      <c r="U153" s="43">
        <v>5</v>
      </c>
      <c r="V153" s="42">
        <v>2</v>
      </c>
      <c r="W153" s="42">
        <v>3</v>
      </c>
      <c r="X153" s="42">
        <v>1</v>
      </c>
      <c r="Y153" s="43">
        <v>1</v>
      </c>
      <c r="Z153" s="42" t="s">
        <v>45</v>
      </c>
      <c r="AA153" s="42">
        <v>1</v>
      </c>
      <c r="AB153" s="42" t="s">
        <v>45</v>
      </c>
      <c r="AC153" s="42" t="s">
        <v>45</v>
      </c>
      <c r="AD153" s="42" t="s">
        <v>45</v>
      </c>
      <c r="AE153" s="42" t="s">
        <v>45</v>
      </c>
      <c r="AF153" s="42" t="s">
        <v>45</v>
      </c>
      <c r="AG153" s="43" t="s">
        <v>45</v>
      </c>
      <c r="AH153" s="42">
        <v>1</v>
      </c>
      <c r="AI153" s="42">
        <v>1</v>
      </c>
      <c r="AJ153" s="43">
        <v>1</v>
      </c>
      <c r="AK153" s="45" t="s">
        <v>427</v>
      </c>
      <c r="AL153" s="45" t="s">
        <v>705</v>
      </c>
      <c r="AM153" s="46">
        <f>($L$3*(L153-$Q$1)/$Q$2+$M$3*(M153-$R$1)/$R$2+$N$3*(N153-$S$1)/$S$2+$O$3*(O153-$T$1)/$T$2+$P$3*(P153-$U$1)/$U$2)/(SUM($L$3:$P$3))</f>
        <v>-1.871555965977006</v>
      </c>
      <c r="AN153" s="46">
        <f>($L$3*(Q153-$Q$1)/$Q$2+$M$3*(R153-$R$1)/$R$2+$N$3*(S153-$S$1)/$S$2+$O$3*(T153-$T$1)/$T$2+$P$3*(U153-$U$1)/$U$2)/(SUM($L$3:$P$3))</f>
        <v>-0.51796399718774966</v>
      </c>
      <c r="AO153" s="47">
        <f>IF(AVERAGE(AH153:AI153)&gt;9,1,0)+IF(AVERAGE(AH153:AI153)&gt;7,1,0)+IF(AH153&gt;7,1,0)+IF(AI153&gt;7,1,0)+IF(AJ153&gt;8,1,0)+IF(AJ153&gt;6,1,0)</f>
        <v>0</v>
      </c>
      <c r="AP153" s="48">
        <f>MIN(2,IF(OR(Z153="-",X153&lt;5),0,1+IF(Y153&gt;7,0.35,IF(Y153&gt;5,0.1,0))+IF(Z153&gt;7,1+IF(X153&gt;7,0.25,0),IF(Z153&gt;4,0.5+IF(X153&gt;7,0.25,0),0+IF(X153&gt;7,0.25))))+IF(AA153="-",0,IF(AA153&gt;9,0.5,IF(AA153&gt;7,0.25,0)))+IF(AB153="-",0,IF(AB153&gt;7,1.1,IF(AB153&gt;4,0.6,0)))+IF(OR(AC153="-",V153&lt;5),0,IF(AC153&gt;7,1+IF(V153&gt;7,0.25,0),IF(AC153&gt;4,0.5+IF(V153&gt;7,0.25,0),0)))+IF(AD153="-",0,IF(AD153&gt;7,1.5,IF(AD153&gt;4,1,0)))+IF(AE153="-",0,IF(AE153&gt;9,0.5,IF(AE153&gt;7,0.25,0)))+IF(AF153="-",0,IF(AF153&gt;7,1.25,IF(AF153&gt;4,0.75,0)))+IF(OR(AG153="-",W153&lt;4),0,IF(AG153&gt;7,1+IF(W153&gt;7,0.15,0),IF(AG153&gt;4,0.5+IF(W153&gt;7,0.15,0),0))))</f>
        <v>0</v>
      </c>
      <c r="AQ153" s="46">
        <f>($AM$3*AM153+$AN$3*AN153+$AO$3*AO153+$AP$3*AP153)+$I$3*VLOOKUP(I153,COND!$A$2:$E$7,4,FALSE)+$J$3*VLOOKUP(J153,COND!$A$2:$C$7,2,FALSE)+$K$3*VLOOKUP(K153,COND!$A$2:$C$7,3,FALSE)+IF(AND($B$2&gt;0,$E153&lt;20),$B$2*25,0)</f>
        <v>43.597276437149304</v>
      </c>
      <c r="AR153" s="49">
        <f>STANDARDIZE(AQ153,AVERAGE($AQ$5:$AQ$537),STDEVP($AQ$5:$AQ$537))</f>
        <v>0.57164507241438622</v>
      </c>
      <c r="AS153" s="47" t="str">
        <f>IF(AND(Z153&lt;&gt;"-",Y153&gt;1),"C",IF(AB153=MAX(AB153:AD153),"2B",IF(AD153=MAX(AB153:AD153),"SS",IF(OR(AC153=MAX(AA153:AD153),AND(AC153&lt;&gt;"-",AC153&gt;4,V153&gt;5)),"3B",IF(AF153=MAX(AE153:AG153),"CF",IF(AND(AG153=MAX(AE153,AG153),AND(W153&gt;5,AG153&lt;&gt;"-")),"RF",IF(AE153&lt;&gt;"-","LF",IF(AA153&lt;&gt;"-","1B","DH"))))))))</f>
        <v>1B</v>
      </c>
      <c r="AT153" s="47"/>
      <c r="AU153" s="47"/>
      <c r="AV153" s="47"/>
      <c r="AW153" s="47" t="str">
        <f>IF(AND($Q153&gt;=6,AVERAGE($S153:$T153)&gt;=6),"Likely",IF(OR($Q153&gt;6,AND($Q153=6,AVERAGE($S153:$T153)&gt;=3),AND($Q153&gt;=5,AVERAGE($S153:$T153)&gt;=5),AVERAGE($Q153,$S153:$T153)&gt;5),"Possible","Unlikely"))</f>
        <v>Unlikely</v>
      </c>
      <c r="AX153" s="47"/>
      <c r="AY153" s="47" t="str">
        <f>INDEX(Table5[[#All],[Ovr]],MATCH(Batters[[#This Row],[PID]],Table5[[#All],[PID]],0))</f>
        <v/>
      </c>
      <c r="AZ153" s="47" t="str">
        <f>INDEX(Table5[[#All],[Rnd]],MATCH(Batters[[#This Row],[PID]],Table5[[#All],[PID]],0))</f>
        <v/>
      </c>
      <c r="BA153" s="47" t="str">
        <f>INDEX(Table5[[#All],[Pick]],MATCH(Batters[[#This Row],[PID]],Table5[[#All],[PID]],0))</f>
        <v/>
      </c>
      <c r="BB153" s="47" t="str">
        <f>INDEX(Table5[[#All],[Team]],MATCH(Batters[[#This Row],[PID]],Table5[[#All],[PID]],0))</f>
        <v/>
      </c>
    </row>
    <row r="154" spans="1:54" ht="15" customHeight="1" x14ac:dyDescent="0.25">
      <c r="A154" s="42">
        <v>16395</v>
      </c>
      <c r="B154" s="42" t="s">
        <v>74</v>
      </c>
      <c r="C154" s="42" t="s">
        <v>629</v>
      </c>
      <c r="D154" s="42" t="s">
        <v>1182</v>
      </c>
      <c r="E154" s="42">
        <v>18</v>
      </c>
      <c r="F154" s="42" t="s">
        <v>53</v>
      </c>
      <c r="G154" s="42" t="s">
        <v>53</v>
      </c>
      <c r="H154" s="43" t="s">
        <v>711</v>
      </c>
      <c r="I154" s="44" t="s">
        <v>43</v>
      </c>
      <c r="J154" s="42" t="s">
        <v>43</v>
      </c>
      <c r="K154" s="43" t="s">
        <v>43</v>
      </c>
      <c r="L154" s="42">
        <v>1</v>
      </c>
      <c r="M154" s="42">
        <v>2</v>
      </c>
      <c r="N154" s="42">
        <v>3</v>
      </c>
      <c r="O154" s="42">
        <v>2</v>
      </c>
      <c r="P154" s="43">
        <v>1</v>
      </c>
      <c r="Q154" s="42">
        <v>3</v>
      </c>
      <c r="R154" s="42">
        <v>3</v>
      </c>
      <c r="S154" s="42">
        <v>4</v>
      </c>
      <c r="T154" s="42">
        <v>6</v>
      </c>
      <c r="U154" s="43">
        <v>4</v>
      </c>
      <c r="V154" s="42">
        <v>2</v>
      </c>
      <c r="W154" s="42">
        <v>4</v>
      </c>
      <c r="X154" s="42">
        <v>1</v>
      </c>
      <c r="Y154" s="43">
        <v>1</v>
      </c>
      <c r="Z154" s="42" t="s">
        <v>45</v>
      </c>
      <c r="AA154" s="42" t="s">
        <v>45</v>
      </c>
      <c r="AB154" s="42" t="s">
        <v>45</v>
      </c>
      <c r="AC154" s="42" t="s">
        <v>45</v>
      </c>
      <c r="AD154" s="42" t="s">
        <v>45</v>
      </c>
      <c r="AE154" s="42">
        <v>2</v>
      </c>
      <c r="AF154" s="42">
        <v>2</v>
      </c>
      <c r="AG154" s="43" t="s">
        <v>45</v>
      </c>
      <c r="AH154" s="42">
        <v>6</v>
      </c>
      <c r="AI154" s="42">
        <v>5</v>
      </c>
      <c r="AJ154" s="43">
        <v>2</v>
      </c>
      <c r="AK154" s="45" t="s">
        <v>758</v>
      </c>
      <c r="AL154" s="45" t="s">
        <v>705</v>
      </c>
      <c r="AM154" s="46">
        <f>($L$3*(L154-$Q$1)/$Q$2+$M$3*(M154-$R$1)/$R$2+$N$3*(N154-$S$1)/$S$2+$O$3*(O154-$T$1)/$T$2+$P$3*(P154-$U$1)/$U$2)/(SUM($L$3:$P$3))</f>
        <v>-1.7774509321514844</v>
      </c>
      <c r="AN154" s="46">
        <f>($L$3*(Q154-$Q$1)/$Q$2+$M$3*(R154-$R$1)/$R$2+$N$3*(S154-$S$1)/$S$2+$O$3*(T154-$T$1)/$T$2+$P$3*(U154-$U$1)/$U$2)/(SUM($L$3:$P$3))</f>
        <v>-0.51933066661395544</v>
      </c>
      <c r="AO154" s="47">
        <f>IF(AVERAGE(AH154:AI154)&gt;9,1,0)+IF(AVERAGE(AH154:AI154)&gt;7,1,0)+IF(AH154&gt;7,1,0)+IF(AI154&gt;7,1,0)+IF(AJ154&gt;8,1,0)+IF(AJ154&gt;6,1,0)</f>
        <v>0</v>
      </c>
      <c r="AP154" s="48">
        <f>MIN(2,IF(OR(Z154="-",X154&lt;5),0,1+IF(Y154&gt;7,0.35,IF(Y154&gt;5,0.1,0))+IF(Z154&gt;7,1+IF(X154&gt;7,0.25,0),IF(Z154&gt;4,0.5+IF(X154&gt;7,0.25,0),0+IF(X154&gt;7,0.25))))+IF(AA154="-",0,IF(AA154&gt;9,0.5,IF(AA154&gt;7,0.25,0)))+IF(AB154="-",0,IF(AB154&gt;7,1.1,IF(AB154&gt;4,0.6,0)))+IF(OR(AC154="-",V154&lt;5),0,IF(AC154&gt;7,1+IF(V154&gt;7,0.25,0),IF(AC154&gt;4,0.5+IF(V154&gt;7,0.25,0),0)))+IF(AD154="-",0,IF(AD154&gt;7,1.5,IF(AD154&gt;4,1,0)))+IF(AE154="-",0,IF(AE154&gt;9,0.5,IF(AE154&gt;7,0.25,0)))+IF(AF154="-",0,IF(AF154&gt;7,1.25,IF(AF154&gt;4,0.75,0)))+IF(OR(AG154="-",W154&lt;4),0,IF(AG154&gt;7,1+IF(W154&gt;7,0.15,0),IF(AG154&gt;4,0.5+IF(W154&gt;7,0.15,0),0))))</f>
        <v>0</v>
      </c>
      <c r="AQ154" s="46">
        <f>($AM$3*AM154+$AN$3*AN154+$AO$3*AO154+$AP$3*AP154)+$I$3*VLOOKUP(I154,COND!$A$2:$E$7,4,FALSE)+$J$3*VLOOKUP(J154,COND!$A$2:$C$7,2,FALSE)+$K$3*VLOOKUP(K154,COND!$A$2:$C$7,3,FALSE)+IF(AND($B$2&gt;0,$E154&lt;20),$B$2*25,0)</f>
        <v>43.590286907417386</v>
      </c>
      <c r="AR154" s="49">
        <f>STANDARDIZE(AQ154,AVERAGE($AQ$5:$AQ$537),STDEVP($AQ$5:$AQ$537))</f>
        <v>0.57041531111259036</v>
      </c>
      <c r="AS154" s="47" t="str">
        <f>IF(AND(Z154&lt;&gt;"-",Y154&gt;1),"C",IF(AB154=MAX(AB154:AD154),"2B",IF(AD154=MAX(AB154:AD154),"SS",IF(OR(AC154=MAX(AA154:AD154),AND(AC154&lt;&gt;"-",AC154&gt;4,V154&gt;5)),"3B",IF(AF154=MAX(AE154:AG154),"CF",IF(AND(AG154=MAX(AE154,AG154),AND(W154&gt;5,AG154&lt;&gt;"-")),"RF",IF(AE154&lt;&gt;"-","LF",IF(AA154&lt;&gt;"-","1B","DH"))))))))</f>
        <v>CF</v>
      </c>
      <c r="AT154" s="47"/>
      <c r="AU154" s="47"/>
      <c r="AV154" s="47"/>
      <c r="AW154" s="47" t="str">
        <f>IF(AND($Q154&gt;=6,AVERAGE($S154:$T154)&gt;=6),"Likely",IF(OR($Q154&gt;6,AND($Q154=6,AVERAGE($S154:$T154)&gt;=3),AND($Q154&gt;=5,AVERAGE($S154:$T154)&gt;=5),AVERAGE($Q154,$S154:$T154)&gt;5),"Possible","Unlikely"))</f>
        <v>Unlikely</v>
      </c>
      <c r="AX154" s="47"/>
      <c r="AY154" s="47" t="str">
        <f>INDEX(Table5[[#All],[Ovr]],MATCH(Batters[[#This Row],[PID]],Table5[[#All],[PID]],0))</f>
        <v/>
      </c>
      <c r="AZ154" s="47" t="str">
        <f>INDEX(Table5[[#All],[Rnd]],MATCH(Batters[[#This Row],[PID]],Table5[[#All],[PID]],0))</f>
        <v/>
      </c>
      <c r="BA154" s="47" t="str">
        <f>INDEX(Table5[[#All],[Pick]],MATCH(Batters[[#This Row],[PID]],Table5[[#All],[PID]],0))</f>
        <v/>
      </c>
      <c r="BB154" s="47" t="str">
        <f>INDEX(Table5[[#All],[Team]],MATCH(Batters[[#This Row],[PID]],Table5[[#All],[PID]],0))</f>
        <v/>
      </c>
    </row>
    <row r="155" spans="1:54" ht="15" customHeight="1" x14ac:dyDescent="0.25">
      <c r="A155" s="42">
        <v>8800</v>
      </c>
      <c r="B155" s="42" t="s">
        <v>86</v>
      </c>
      <c r="C155" s="42" t="s">
        <v>1239</v>
      </c>
      <c r="D155" s="42" t="s">
        <v>158</v>
      </c>
      <c r="E155" s="42">
        <v>17</v>
      </c>
      <c r="F155" s="42" t="s">
        <v>42</v>
      </c>
      <c r="G155" s="42" t="s">
        <v>42</v>
      </c>
      <c r="H155" s="43" t="s">
        <v>709</v>
      </c>
      <c r="I155" s="44" t="s">
        <v>44</v>
      </c>
      <c r="J155" s="42" t="s">
        <v>43</v>
      </c>
      <c r="K155" s="43" t="s">
        <v>43</v>
      </c>
      <c r="L155" s="42">
        <v>1</v>
      </c>
      <c r="M155" s="42">
        <v>1</v>
      </c>
      <c r="N155" s="42">
        <v>2</v>
      </c>
      <c r="O155" s="42">
        <v>1</v>
      </c>
      <c r="P155" s="43">
        <v>1</v>
      </c>
      <c r="Q155" s="42">
        <v>3</v>
      </c>
      <c r="R155" s="42">
        <v>4</v>
      </c>
      <c r="S155" s="42">
        <v>4</v>
      </c>
      <c r="T155" s="42">
        <v>5</v>
      </c>
      <c r="U155" s="43">
        <v>3</v>
      </c>
      <c r="V155" s="42">
        <v>7</v>
      </c>
      <c r="W155" s="42">
        <v>8</v>
      </c>
      <c r="X155" s="42">
        <v>7</v>
      </c>
      <c r="Y155" s="43">
        <v>6</v>
      </c>
      <c r="Z155" s="42">
        <v>2</v>
      </c>
      <c r="AA155" s="42" t="s">
        <v>45</v>
      </c>
      <c r="AB155" s="42" t="s">
        <v>45</v>
      </c>
      <c r="AC155" s="42" t="s">
        <v>45</v>
      </c>
      <c r="AD155" s="42" t="s">
        <v>45</v>
      </c>
      <c r="AE155" s="42" t="s">
        <v>45</v>
      </c>
      <c r="AF155" s="42" t="s">
        <v>45</v>
      </c>
      <c r="AG155" s="43" t="s">
        <v>45</v>
      </c>
      <c r="AH155" s="42">
        <v>1</v>
      </c>
      <c r="AI155" s="42">
        <v>2</v>
      </c>
      <c r="AJ155" s="43">
        <v>1</v>
      </c>
      <c r="AK155" s="45" t="s">
        <v>599</v>
      </c>
      <c r="AL155" s="45" t="s">
        <v>47</v>
      </c>
      <c r="AM155" s="46">
        <f>($L$3*(L155-$Q$1)/$Q$2+$M$3*(M155-$R$1)/$R$2+$N$3*(N155-$S$1)/$S$2+$O$3*(O155-$T$1)/$T$2+$P$3*(P155-$U$1)/$U$2)/(SUM($L$3:$P$3))</f>
        <v>-2.0012818558036707</v>
      </c>
      <c r="AN155" s="46">
        <f>($L$3*(Q155-$Q$1)/$Q$2+$M$3*(R155-$R$1)/$R$2+$N$3*(S155-$S$1)/$S$2+$O$3*(T155-$T$1)/$T$2+$P$3*(U155-$U$1)/$U$2)/(SUM($L$3:$P$3))</f>
        <v>-0.59799667682191648</v>
      </c>
      <c r="AO155" s="47">
        <f>IF(AVERAGE(AH155:AI155)&gt;9,1,0)+IF(AVERAGE(AH155:AI155)&gt;7,1,0)+IF(AH155&gt;7,1,0)+IF(AI155&gt;7,1,0)+IF(AJ155&gt;8,1,0)+IF(AJ155&gt;6,1,0)</f>
        <v>0</v>
      </c>
      <c r="AP155" s="48">
        <f>MIN(2,IF(OR(Z155="-",X155&lt;5),0,1+IF(Y155&gt;7,0.35,IF(Y155&gt;5,0.1,0))+IF(Z155&gt;7,1+IF(X155&gt;7,0.25,0),IF(Z155&gt;4,0.5+IF(X155&gt;7,0.25,0),0+IF(X155&gt;7,0.25))))+IF(AA155="-",0,IF(AA155&gt;9,0.5,IF(AA155&gt;7,0.25,0)))+IF(AB155="-",0,IF(AB155&gt;7,1.1,IF(AB155&gt;4,0.6,0)))+IF(OR(AC155="-",V155&lt;5),0,IF(AC155&gt;7,1+IF(V155&gt;7,0.25,0),IF(AC155&gt;4,0.5+IF(V155&gt;7,0.25,0),0)))+IF(AD155="-",0,IF(AD155&gt;7,1.5,IF(AD155&gt;4,1,0)))+IF(AE155="-",0,IF(AE155&gt;9,0.5,IF(AE155&gt;7,0.25,0)))+IF(AF155="-",0,IF(AF155&gt;7,1.25,IF(AF155&gt;4,0.75,0)))+IF(OR(AG155="-",W155&lt;4),0,IF(AG155&gt;7,1+IF(W155&gt;7,0.15,0),IF(AG155&gt;4,0.5+IF(W155&gt;7,0.15,0),0))))</f>
        <v>1.1000000000000001</v>
      </c>
      <c r="AQ155" s="46">
        <f>($AM$3*AM155+$AN$3*AN155+$AO$3*AO155+$AP$3*AP155)+$I$3*VLOOKUP(I155,COND!$A$2:$E$7,4,FALSE)+$J$3*VLOOKUP(J155,COND!$A$2:$C$7,2,FALSE)+$K$3*VLOOKUP(K155,COND!$A$2:$C$7,3,FALSE)+IF(AND($B$2&gt;0,$E155&lt;20),$B$2*25,0)</f>
        <v>43.573911692556635</v>
      </c>
      <c r="AR155" s="49">
        <f>STANDARDIZE(AQ155,AVERAGE($AQ$5:$AQ$537),STDEVP($AQ$5:$AQ$537))</f>
        <v>0.56753420089248696</v>
      </c>
      <c r="AS155" s="47" t="str">
        <f>IF(AND(Z155&lt;&gt;"-",Y155&gt;1),"C",IF(AB155=MAX(AB155:AD155),"2B",IF(AD155=MAX(AB155:AD155),"SS",IF(OR(AC155=MAX(AA155:AD155),AND(AC155&lt;&gt;"-",AC155&gt;4,V155&gt;5)),"3B",IF(AF155=MAX(AE155:AG155),"CF",IF(AND(AG155=MAX(AE155,AG155),AND(W155&gt;5,AG155&lt;&gt;"-")),"RF",IF(AE155&lt;&gt;"-","LF",IF(AA155&lt;&gt;"-","1B","DH"))))))))</f>
        <v>C</v>
      </c>
      <c r="AT155" s="47"/>
      <c r="AU155" s="47"/>
      <c r="AV155" s="47"/>
      <c r="AW155" s="47" t="str">
        <f>IF(AND($Q155&gt;=6,AVERAGE($S155:$T155)&gt;=6),"Likely",IF(OR($Q155&gt;6,AND($Q155=6,AVERAGE($S155:$T155)&gt;=3),AND($Q155&gt;=5,AVERAGE($S155:$T155)&gt;=5),AVERAGE($Q155,$S155:$T155)&gt;5),"Possible","Unlikely"))</f>
        <v>Unlikely</v>
      </c>
      <c r="AX155" s="47"/>
      <c r="AY155" s="47" t="str">
        <f>INDEX(Table5[[#All],[Ovr]],MATCH(Batters[[#This Row],[PID]],Table5[[#All],[PID]],0))</f>
        <v/>
      </c>
      <c r="AZ155" s="47" t="str">
        <f>INDEX(Table5[[#All],[Rnd]],MATCH(Batters[[#This Row],[PID]],Table5[[#All],[PID]],0))</f>
        <v/>
      </c>
      <c r="BA155" s="47" t="str">
        <f>INDEX(Table5[[#All],[Pick]],MATCH(Batters[[#This Row],[PID]],Table5[[#All],[PID]],0))</f>
        <v/>
      </c>
      <c r="BB155" s="47" t="str">
        <f>INDEX(Table5[[#All],[Team]],MATCH(Batters[[#This Row],[PID]],Table5[[#All],[PID]],0))</f>
        <v/>
      </c>
    </row>
    <row r="156" spans="1:54" ht="15" customHeight="1" x14ac:dyDescent="0.25">
      <c r="A156" s="42">
        <v>14088</v>
      </c>
      <c r="B156" s="42" t="s">
        <v>87</v>
      </c>
      <c r="C156" s="42" t="s">
        <v>1135</v>
      </c>
      <c r="D156" s="42" t="s">
        <v>387</v>
      </c>
      <c r="E156" s="42">
        <v>18</v>
      </c>
      <c r="F156" s="42" t="s">
        <v>53</v>
      </c>
      <c r="G156" s="42" t="s">
        <v>53</v>
      </c>
      <c r="H156" s="43" t="s">
        <v>709</v>
      </c>
      <c r="I156" s="44" t="s">
        <v>43</v>
      </c>
      <c r="J156" s="42" t="s">
        <v>43</v>
      </c>
      <c r="K156" s="43" t="s">
        <v>43</v>
      </c>
      <c r="L156" s="42">
        <v>1</v>
      </c>
      <c r="M156" s="42">
        <v>2</v>
      </c>
      <c r="N156" s="42">
        <v>3</v>
      </c>
      <c r="O156" s="42">
        <v>1</v>
      </c>
      <c r="P156" s="43">
        <v>1</v>
      </c>
      <c r="Q156" s="42">
        <v>3</v>
      </c>
      <c r="R156" s="42">
        <v>3</v>
      </c>
      <c r="S156" s="42">
        <v>6</v>
      </c>
      <c r="T156" s="42">
        <v>5</v>
      </c>
      <c r="U156" s="43">
        <v>2</v>
      </c>
      <c r="V156" s="42">
        <v>1</v>
      </c>
      <c r="W156" s="42">
        <v>2</v>
      </c>
      <c r="X156" s="42">
        <v>1</v>
      </c>
      <c r="Y156" s="43">
        <v>1</v>
      </c>
      <c r="Z156" s="42" t="s">
        <v>45</v>
      </c>
      <c r="AA156" s="42">
        <v>2</v>
      </c>
      <c r="AB156" s="42" t="s">
        <v>45</v>
      </c>
      <c r="AC156" s="42" t="s">
        <v>45</v>
      </c>
      <c r="AD156" s="42" t="s">
        <v>45</v>
      </c>
      <c r="AE156" s="42" t="s">
        <v>45</v>
      </c>
      <c r="AF156" s="42" t="s">
        <v>45</v>
      </c>
      <c r="AG156" s="43" t="s">
        <v>45</v>
      </c>
      <c r="AH156" s="42">
        <v>4</v>
      </c>
      <c r="AI156" s="42">
        <v>2</v>
      </c>
      <c r="AJ156" s="43">
        <v>1</v>
      </c>
      <c r="AK156" s="45" t="s">
        <v>718</v>
      </c>
      <c r="AL156" s="45" t="s">
        <v>47</v>
      </c>
      <c r="AM156" s="46">
        <f>($L$3*(L156-$Q$1)/$Q$2+$M$3*(M156-$R$1)/$R$2+$N$3*(N156-$S$1)/$S$2+$O$3*(O156-$T$1)/$T$2+$P$3*(P156-$U$1)/$U$2)/(SUM($L$3:$P$3))</f>
        <v>-1.8671604821610654</v>
      </c>
      <c r="AN156" s="46">
        <f>($L$3*(Q156-$Q$1)/$Q$2+$M$3*(R156-$R$1)/$R$2+$N$3*(S156-$S$1)/$S$2+$O$3*(T156-$T$1)/$T$2+$P$3*(U156-$U$1)/$U$2)/(SUM($L$3:$P$3))</f>
        <v>-0.52294990820990039</v>
      </c>
      <c r="AO156" s="47">
        <f>IF(AVERAGE(AH156:AI156)&gt;9,1,0)+IF(AVERAGE(AH156:AI156)&gt;7,1,0)+IF(AH156&gt;7,1,0)+IF(AI156&gt;7,1,0)+IF(AJ156&gt;8,1,0)+IF(AJ156&gt;6,1,0)</f>
        <v>0</v>
      </c>
      <c r="AP156" s="48">
        <f>MIN(2,IF(OR(Z156="-",X156&lt;5),0,1+IF(Y156&gt;7,0.35,IF(Y156&gt;5,0.1,0))+IF(Z156&gt;7,1+IF(X156&gt;7,0.25,0),IF(Z156&gt;4,0.5+IF(X156&gt;7,0.25,0),0+IF(X156&gt;7,0.25))))+IF(AA156="-",0,IF(AA156&gt;9,0.5,IF(AA156&gt;7,0.25,0)))+IF(AB156="-",0,IF(AB156&gt;7,1.1,IF(AB156&gt;4,0.6,0)))+IF(OR(AC156="-",V156&lt;5),0,IF(AC156&gt;7,1+IF(V156&gt;7,0.25,0),IF(AC156&gt;4,0.5+IF(V156&gt;7,0.25,0),0)))+IF(AD156="-",0,IF(AD156&gt;7,1.5,IF(AD156&gt;4,1,0)))+IF(AE156="-",0,IF(AE156&gt;9,0.5,IF(AE156&gt;7,0.25,0)))+IF(AF156="-",0,IF(AF156&gt;7,1.25,IF(AF156&gt;4,0.75,0)))+IF(OR(AG156="-",W156&lt;4),0,IF(AG156&gt;7,1+IF(W156&gt;7,0.15,0),IF(AG156&gt;4,0.5+IF(W156&gt;7,0.15,0),0))))</f>
        <v>0</v>
      </c>
      <c r="AQ156" s="46">
        <f>($AM$3*AM156+$AN$3*AN156+$AO$3*AO156+$AP$3*AP156)+$I$3*VLOOKUP(I156,COND!$A$2:$E$7,4,FALSE)+$J$3*VLOOKUP(J156,COND!$A$2:$C$7,2,FALSE)+$K$3*VLOOKUP(K156,COND!$A$2:$C$7,3,FALSE)+IF(AND($B$2&gt;0,$E156&lt;20),$B$2*25,0)</f>
        <v>43.537885053265086</v>
      </c>
      <c r="AR156" s="49">
        <f>STANDARDIZE(AQ156,AVERAGE($AQ$5:$AQ$537),STDEVP($AQ$5:$AQ$537))</f>
        <v>0.56119555315311331</v>
      </c>
      <c r="AS156" s="47" t="str">
        <f>IF(AND(Z156&lt;&gt;"-",Y156&gt;1),"C",IF(AB156=MAX(AB156:AD156),"2B",IF(AD156=MAX(AB156:AD156),"SS",IF(OR(AC156=MAX(AA156:AD156),AND(AC156&lt;&gt;"-",AC156&gt;4,V156&gt;5)),"3B",IF(AF156=MAX(AE156:AG156),"CF",IF(AND(AG156=MAX(AE156,AG156),AND(W156&gt;5,AG156&lt;&gt;"-")),"RF",IF(AE156&lt;&gt;"-","LF",IF(AA156&lt;&gt;"-","1B","DH"))))))))</f>
        <v>1B</v>
      </c>
      <c r="AT156" s="47"/>
      <c r="AU156" s="47"/>
      <c r="AV156" s="47"/>
      <c r="AW156" s="47" t="str">
        <f>IF(AND($Q156&gt;=6,AVERAGE($S156:$T156)&gt;=6),"Likely",IF(OR($Q156&gt;6,AND($Q156=6,AVERAGE($S156:$T156)&gt;=3),AND($Q156&gt;=5,AVERAGE($S156:$T156)&gt;=5),AVERAGE($Q156,$S156:$T156)&gt;5),"Possible","Unlikely"))</f>
        <v>Unlikely</v>
      </c>
      <c r="AX156" s="47"/>
      <c r="AY156" s="47" t="str">
        <f>INDEX(Table5[[#All],[Ovr]],MATCH(Batters[[#This Row],[PID]],Table5[[#All],[PID]],0))</f>
        <v/>
      </c>
      <c r="AZ156" s="47" t="str">
        <f>INDEX(Table5[[#All],[Rnd]],MATCH(Batters[[#This Row],[PID]],Table5[[#All],[PID]],0))</f>
        <v/>
      </c>
      <c r="BA156" s="47" t="str">
        <f>INDEX(Table5[[#All],[Pick]],MATCH(Batters[[#This Row],[PID]],Table5[[#All],[PID]],0))</f>
        <v/>
      </c>
      <c r="BB156" s="47" t="str">
        <f>INDEX(Table5[[#All],[Team]],MATCH(Batters[[#This Row],[PID]],Table5[[#All],[PID]],0))</f>
        <v/>
      </c>
    </row>
    <row r="157" spans="1:54" ht="15" customHeight="1" x14ac:dyDescent="0.25">
      <c r="A157" s="42">
        <v>8336</v>
      </c>
      <c r="B157" s="42" t="s">
        <v>72</v>
      </c>
      <c r="C157" s="42" t="s">
        <v>1268</v>
      </c>
      <c r="D157" s="42" t="s">
        <v>1269</v>
      </c>
      <c r="E157" s="42">
        <v>18</v>
      </c>
      <c r="F157" s="42" t="s">
        <v>62</v>
      </c>
      <c r="G157" s="42" t="s">
        <v>42</v>
      </c>
      <c r="H157" s="43" t="s">
        <v>709</v>
      </c>
      <c r="I157" s="44" t="s">
        <v>44</v>
      </c>
      <c r="J157" s="42" t="s">
        <v>43</v>
      </c>
      <c r="K157" s="43" t="s">
        <v>47</v>
      </c>
      <c r="L157" s="42">
        <v>1</v>
      </c>
      <c r="M157" s="42">
        <v>1</v>
      </c>
      <c r="N157" s="42">
        <v>2</v>
      </c>
      <c r="O157" s="42">
        <v>1</v>
      </c>
      <c r="P157" s="43">
        <v>1</v>
      </c>
      <c r="Q157" s="42">
        <v>3</v>
      </c>
      <c r="R157" s="42">
        <v>3</v>
      </c>
      <c r="S157" s="42">
        <v>4</v>
      </c>
      <c r="T157" s="42">
        <v>5</v>
      </c>
      <c r="U157" s="43">
        <v>4</v>
      </c>
      <c r="V157" s="42">
        <v>6</v>
      </c>
      <c r="W157" s="42">
        <v>6</v>
      </c>
      <c r="X157" s="42">
        <v>1</v>
      </c>
      <c r="Y157" s="43">
        <v>1</v>
      </c>
      <c r="Z157" s="42" t="s">
        <v>45</v>
      </c>
      <c r="AA157" s="42" t="s">
        <v>45</v>
      </c>
      <c r="AB157" s="42" t="s">
        <v>45</v>
      </c>
      <c r="AC157" s="42" t="s">
        <v>45</v>
      </c>
      <c r="AD157" s="42">
        <v>3</v>
      </c>
      <c r="AE157" s="42" t="s">
        <v>45</v>
      </c>
      <c r="AF157" s="42" t="s">
        <v>45</v>
      </c>
      <c r="AG157" s="43" t="s">
        <v>45</v>
      </c>
      <c r="AH157" s="42">
        <v>6</v>
      </c>
      <c r="AI157" s="42">
        <v>8</v>
      </c>
      <c r="AJ157" s="43">
        <v>6</v>
      </c>
      <c r="AK157" s="45" t="s">
        <v>739</v>
      </c>
      <c r="AL157" s="45" t="s">
        <v>47</v>
      </c>
      <c r="AM157" s="46">
        <f>($L$3*(L157-$Q$1)/$Q$2+$M$3*(M157-$R$1)/$R$2+$N$3*(N157-$S$1)/$S$2+$O$3*(O157-$T$1)/$T$2+$P$3*(P157-$U$1)/$U$2)/(SUM($L$3:$P$3))</f>
        <v>-2.0012818558036707</v>
      </c>
      <c r="AN157" s="46">
        <f>($L$3*(Q157-$Q$1)/$Q$2+$M$3*(R157-$R$1)/$R$2+$N$3*(S157-$S$1)/$S$2+$O$3*(T157-$T$1)/$T$2+$P$3*(U157-$U$1)/$U$2)/(SUM($L$3:$P$3))</f>
        <v>-0.60904021662353647</v>
      </c>
      <c r="AO157" s="47">
        <f>IF(AVERAGE(AH157:AI157)&gt;9,1,0)+IF(AVERAGE(AH157:AI157)&gt;7,1,0)+IF(AH157&gt;7,1,0)+IF(AI157&gt;7,1,0)+IF(AJ157&gt;8,1,0)+IF(AJ157&gt;6,1,0)</f>
        <v>1</v>
      </c>
      <c r="AP157" s="48">
        <f>MIN(2,IF(OR(Z157="-",X157&lt;5),0,1+IF(Y157&gt;7,0.35,IF(Y157&gt;5,0.1,0))+IF(Z157&gt;7,1+IF(X157&gt;7,0.25,0),IF(Z157&gt;4,0.5+IF(X157&gt;7,0.25,0),0+IF(X157&gt;7,0.25))))+IF(AA157="-",0,IF(AA157&gt;9,0.5,IF(AA157&gt;7,0.25,0)))+IF(AB157="-",0,IF(AB157&gt;7,1.1,IF(AB157&gt;4,0.6,0)))+IF(OR(AC157="-",V157&lt;5),0,IF(AC157&gt;7,1+IF(V157&gt;7,0.25,0),IF(AC157&gt;4,0.5+IF(V157&gt;7,0.25,0),0)))+IF(AD157="-",0,IF(AD157&gt;7,1.5,IF(AD157&gt;4,1,0)))+IF(AE157="-",0,IF(AE157&gt;9,0.5,IF(AE157&gt;7,0.25,0)))+IF(AF157="-",0,IF(AF157&gt;7,1.25,IF(AF157&gt;4,0.75,0)))+IF(OR(AG157="-",W157&lt;4),0,IF(AG157&gt;7,1+IF(W157&gt;7,0.15,0),IF(AG157&gt;4,0.5+IF(W157&gt;7,0.15,0),0))))</f>
        <v>0</v>
      </c>
      <c r="AQ157" s="46">
        <f>($AM$3*AM157+$AN$3*AN157+$AO$3*AO157+$AP$3*AP157)+$I$3*VLOOKUP(I157,COND!$A$2:$E$7,4,FALSE)+$J$3*VLOOKUP(J157,COND!$A$2:$C$7,2,FALSE)+$K$3*VLOOKUP(K157,COND!$A$2:$C$7,3,FALSE)+IF(AND($B$2&gt;0,$E157&lt;20),$B$2*25,0)</f>
        <v>42.808055881603863</v>
      </c>
      <c r="AR157" s="49">
        <f>STANDARDIZE(AQ157,AVERAGE($AQ$5:$AQ$537),STDEVP($AQ$5:$AQ$537))</f>
        <v>0.43278696106540981</v>
      </c>
      <c r="AS157" s="47" t="str">
        <f>IF(AND(Z157&lt;&gt;"-",Y157&gt;1),"C",IF(AB157=MAX(AB157:AD157),"2B",IF(AD157=MAX(AB157:AD157),"SS",IF(OR(AC157=MAX(AA157:AD157),AND(AC157&lt;&gt;"-",AC157&gt;4,V157&gt;5)),"3B",IF(AF157=MAX(AE157:AG157),"CF",IF(AND(AG157=MAX(AE157,AG157),AND(W157&gt;5,AG157&lt;&gt;"-")),"RF",IF(AE157&lt;&gt;"-","LF",IF(AA157&lt;&gt;"-","1B","DH"))))))))</f>
        <v>SS</v>
      </c>
      <c r="AT157" s="47"/>
      <c r="AU157" s="47"/>
      <c r="AV157" s="47"/>
      <c r="AW157" s="47" t="str">
        <f>IF(AND($Q157&gt;=6,AVERAGE($S157:$T157)&gt;=6),"Likely",IF(OR($Q157&gt;6,AND($Q157=6,AVERAGE($S157:$T157)&gt;=3),AND($Q157&gt;=5,AVERAGE($S157:$T157)&gt;=5),AVERAGE($Q157,$S157:$T157)&gt;5),"Possible","Unlikely"))</f>
        <v>Unlikely</v>
      </c>
      <c r="AX157" s="47"/>
      <c r="AY157" s="47" t="str">
        <f>INDEX(Table5[[#All],[Ovr]],MATCH(Batters[[#This Row],[PID]],Table5[[#All],[PID]],0))</f>
        <v/>
      </c>
      <c r="AZ157" s="47" t="str">
        <f>INDEX(Table5[[#All],[Rnd]],MATCH(Batters[[#This Row],[PID]],Table5[[#All],[PID]],0))</f>
        <v/>
      </c>
      <c r="BA157" s="47" t="str">
        <f>INDEX(Table5[[#All],[Pick]],MATCH(Batters[[#This Row],[PID]],Table5[[#All],[PID]],0))</f>
        <v/>
      </c>
      <c r="BB157" s="47" t="str">
        <f>INDEX(Table5[[#All],[Team]],MATCH(Batters[[#This Row],[PID]],Table5[[#All],[PID]],0))</f>
        <v/>
      </c>
    </row>
    <row r="158" spans="1:54" ht="15" customHeight="1" x14ac:dyDescent="0.25">
      <c r="A158" s="42">
        <v>7633</v>
      </c>
      <c r="B158" s="42" t="s">
        <v>50</v>
      </c>
      <c r="C158" s="42" t="s">
        <v>797</v>
      </c>
      <c r="D158" s="42" t="s">
        <v>1143</v>
      </c>
      <c r="E158" s="42">
        <v>18</v>
      </c>
      <c r="F158" s="42" t="s">
        <v>53</v>
      </c>
      <c r="G158" s="42" t="s">
        <v>53</v>
      </c>
      <c r="H158" s="43" t="s">
        <v>709</v>
      </c>
      <c r="I158" s="44" t="s">
        <v>44</v>
      </c>
      <c r="J158" s="42" t="s">
        <v>43</v>
      </c>
      <c r="K158" s="43" t="s">
        <v>43</v>
      </c>
      <c r="L158" s="42">
        <v>1</v>
      </c>
      <c r="M158" s="42">
        <v>1</v>
      </c>
      <c r="N158" s="42">
        <v>2</v>
      </c>
      <c r="O158" s="42">
        <v>1</v>
      </c>
      <c r="P158" s="43">
        <v>1</v>
      </c>
      <c r="Q158" s="42">
        <v>3</v>
      </c>
      <c r="R158" s="42">
        <v>5</v>
      </c>
      <c r="S158" s="42">
        <v>5</v>
      </c>
      <c r="T158" s="42">
        <v>4</v>
      </c>
      <c r="U158" s="43">
        <v>4</v>
      </c>
      <c r="V158" s="42">
        <v>3</v>
      </c>
      <c r="W158" s="42">
        <v>5</v>
      </c>
      <c r="X158" s="42">
        <v>1</v>
      </c>
      <c r="Y158" s="43">
        <v>1</v>
      </c>
      <c r="Z158" s="42" t="s">
        <v>45</v>
      </c>
      <c r="AA158" s="42" t="s">
        <v>45</v>
      </c>
      <c r="AB158" s="42" t="s">
        <v>45</v>
      </c>
      <c r="AC158" s="42" t="s">
        <v>45</v>
      </c>
      <c r="AD158" s="42" t="s">
        <v>45</v>
      </c>
      <c r="AE158" s="42" t="s">
        <v>45</v>
      </c>
      <c r="AF158" s="42" t="s">
        <v>45</v>
      </c>
      <c r="AG158" s="43" t="s">
        <v>45</v>
      </c>
      <c r="AH158" s="42">
        <v>1</v>
      </c>
      <c r="AI158" s="42">
        <v>1</v>
      </c>
      <c r="AJ158" s="43">
        <v>1</v>
      </c>
      <c r="AK158" s="45" t="s">
        <v>599</v>
      </c>
      <c r="AL158" s="45" t="s">
        <v>47</v>
      </c>
      <c r="AM158" s="46">
        <f>($L$3*(L158-$Q$1)/$Q$2+$M$3*(M158-$R$1)/$R$2+$N$3*(N158-$S$1)/$S$2+$O$3*(O158-$T$1)/$T$2+$P$3*(P158-$U$1)/$U$2)/(SUM($L$3:$P$3))</f>
        <v>-2.0012818558036707</v>
      </c>
      <c r="AN158" s="46">
        <f>($L$3*(Q158-$Q$1)/$Q$2+$M$3*(R158-$R$1)/$R$2+$N$3*(S158-$S$1)/$S$2+$O$3*(T158-$T$1)/$T$2+$P$3*(U158-$U$1)/$U$2)/(SUM($L$3:$P$3))</f>
        <v>-0.51356851337180909</v>
      </c>
      <c r="AO158" s="47">
        <f>IF(AVERAGE(AH158:AI158)&gt;9,1,0)+IF(AVERAGE(AH158:AI158)&gt;7,1,0)+IF(AH158&gt;7,1,0)+IF(AI158&gt;7,1,0)+IF(AJ158&gt;8,1,0)+IF(AJ158&gt;6,1,0)</f>
        <v>0</v>
      </c>
      <c r="AP158" s="48">
        <f>MIN(2,IF(OR(Z158="-",X158&lt;5),0,1+IF(Y158&gt;7,0.35,IF(Y158&gt;5,0.1,0))+IF(Z158&gt;7,1+IF(X158&gt;7,0.25,0),IF(Z158&gt;4,0.5+IF(X158&gt;7,0.25,0),0+IF(X158&gt;7,0.25))))+IF(AA158="-",0,IF(AA158&gt;9,0.5,IF(AA158&gt;7,0.25,0)))+IF(AB158="-",0,IF(AB158&gt;7,1.1,IF(AB158&gt;4,0.6,0)))+IF(OR(AC158="-",V158&lt;5),0,IF(AC158&gt;7,1+IF(V158&gt;7,0.25,0),IF(AC158&gt;4,0.5+IF(V158&gt;7,0.25,0),0)))+IF(AD158="-",0,IF(AD158&gt;7,1.5,IF(AD158&gt;4,1,0)))+IF(AE158="-",0,IF(AE158&gt;9,0.5,IF(AE158&gt;7,0.25,0)))+IF(AF158="-",0,IF(AF158&gt;7,1.25,IF(AF158&gt;4,0.75,0)))+IF(OR(AG158="-",W158&lt;4),0,IF(AG158&gt;7,1+IF(W158&gt;7,0.15,0),IF(AG158&gt;4,0.5+IF(W158&gt;7,0.15,0),0))))</f>
        <v>0</v>
      </c>
      <c r="AQ158" s="46">
        <f>($AM$3*AM158+$AN$3*AN158+$AO$3*AO158+$AP$3*AP158)+$I$3*VLOOKUP(I158,COND!$A$2:$E$7,4,FALSE)+$J$3*VLOOKUP(J158,COND!$A$2:$C$7,2,FALSE)+$K$3*VLOOKUP(K158,COND!$A$2:$C$7,3,FALSE)+IF(AND($B$2&gt;0,$E158&lt;20),$B$2*25,0)</f>
        <v>43.487049653957925</v>
      </c>
      <c r="AR158" s="49">
        <f>STANDARDIZE(AQ158,AVERAGE($AQ$5:$AQ$537),STDEVP($AQ$5:$AQ$537))</f>
        <v>0.55225140251250449</v>
      </c>
      <c r="AS158" s="47" t="str">
        <f>IF(AND(Z158&lt;&gt;"-",Y158&gt;1),"C",IF(AB158=MAX(AB158:AD158),"2B",IF(AD158=MAX(AB158:AD158),"SS",IF(OR(AC158=MAX(AA158:AD158),AND(AC158&lt;&gt;"-",AC158&gt;4,V158&gt;5)),"3B",IF(AF158=MAX(AE158:AG158),"CF",IF(AND(AG158=MAX(AE158,AG158),AND(W158&gt;5,AG158&lt;&gt;"-")),"RF",IF(AE158&lt;&gt;"-","LF",IF(AA158&lt;&gt;"-","1B","DH"))))))))</f>
        <v>DH</v>
      </c>
      <c r="AT158" s="47"/>
      <c r="AU158" s="47"/>
      <c r="AV158" s="47"/>
      <c r="AW158" s="47" t="str">
        <f>IF(AND($Q158&gt;=6,AVERAGE($S158:$T158)&gt;=6),"Likely",IF(OR($Q158&gt;6,AND($Q158=6,AVERAGE($S158:$T158)&gt;=3),AND($Q158&gt;=5,AVERAGE($S158:$T158)&gt;=5),AVERAGE($Q158,$S158:$T158)&gt;5),"Possible","Unlikely"))</f>
        <v>Unlikely</v>
      </c>
      <c r="AX158" s="47"/>
      <c r="AY158" s="47" t="str">
        <f>INDEX(Table5[[#All],[Ovr]],MATCH(Batters[[#This Row],[PID]],Table5[[#All],[PID]],0))</f>
        <v/>
      </c>
      <c r="AZ158" s="47" t="str">
        <f>INDEX(Table5[[#All],[Rnd]],MATCH(Batters[[#This Row],[PID]],Table5[[#All],[PID]],0))</f>
        <v/>
      </c>
      <c r="BA158" s="47" t="str">
        <f>INDEX(Table5[[#All],[Pick]],MATCH(Batters[[#This Row],[PID]],Table5[[#All],[PID]],0))</f>
        <v/>
      </c>
      <c r="BB158" s="47" t="str">
        <f>INDEX(Table5[[#All],[Team]],MATCH(Batters[[#This Row],[PID]],Table5[[#All],[PID]],0))</f>
        <v/>
      </c>
    </row>
    <row r="159" spans="1:54" ht="15" customHeight="1" x14ac:dyDescent="0.25">
      <c r="A159" s="42">
        <v>6660</v>
      </c>
      <c r="B159" s="42" t="s">
        <v>74</v>
      </c>
      <c r="C159" s="42" t="s">
        <v>1246</v>
      </c>
      <c r="D159" s="42" t="s">
        <v>982</v>
      </c>
      <c r="E159" s="42">
        <v>18</v>
      </c>
      <c r="F159" s="42" t="s">
        <v>42</v>
      </c>
      <c r="G159" s="42" t="s">
        <v>42</v>
      </c>
      <c r="H159" s="43" t="s">
        <v>709</v>
      </c>
      <c r="I159" s="44" t="s">
        <v>43</v>
      </c>
      <c r="J159" s="42" t="s">
        <v>47</v>
      </c>
      <c r="K159" s="43" t="s">
        <v>43</v>
      </c>
      <c r="L159" s="42">
        <v>1</v>
      </c>
      <c r="M159" s="42">
        <v>2</v>
      </c>
      <c r="N159" s="42">
        <v>2</v>
      </c>
      <c r="O159" s="42">
        <v>2</v>
      </c>
      <c r="P159" s="43">
        <v>1</v>
      </c>
      <c r="Q159" s="42">
        <v>3</v>
      </c>
      <c r="R159" s="42">
        <v>4</v>
      </c>
      <c r="S159" s="42">
        <v>3</v>
      </c>
      <c r="T159" s="42">
        <v>5</v>
      </c>
      <c r="U159" s="43">
        <v>4</v>
      </c>
      <c r="V159" s="42">
        <v>7</v>
      </c>
      <c r="W159" s="42">
        <v>10</v>
      </c>
      <c r="X159" s="42">
        <v>1</v>
      </c>
      <c r="Y159" s="43">
        <v>1</v>
      </c>
      <c r="Z159" s="42" t="s">
        <v>45</v>
      </c>
      <c r="AA159" s="42" t="s">
        <v>45</v>
      </c>
      <c r="AB159" s="42" t="s">
        <v>45</v>
      </c>
      <c r="AC159" s="42" t="s">
        <v>45</v>
      </c>
      <c r="AD159" s="42" t="s">
        <v>45</v>
      </c>
      <c r="AE159" s="42" t="s">
        <v>45</v>
      </c>
      <c r="AF159" s="42">
        <v>4</v>
      </c>
      <c r="AG159" s="43" t="s">
        <v>45</v>
      </c>
      <c r="AH159" s="42">
        <v>5</v>
      </c>
      <c r="AI159" s="42">
        <v>8</v>
      </c>
      <c r="AJ159" s="43">
        <v>7</v>
      </c>
      <c r="AK159" s="45" t="s">
        <v>718</v>
      </c>
      <c r="AL159" s="45" t="s">
        <v>705</v>
      </c>
      <c r="AM159" s="46">
        <f>($L$3*(L159-$Q$1)/$Q$2+$M$3*(M159-$R$1)/$R$2+$N$3*(N159-$S$1)/$S$2+$O$3*(O159-$T$1)/$T$2+$P$3*(P159-$U$1)/$U$2)/(SUM($L$3:$P$3))</f>
        <v>-1.8605124261753858</v>
      </c>
      <c r="AN159" s="46">
        <f>($L$3*(Q159-$Q$1)/$Q$2+$M$3*(R159-$R$1)/$R$2+$N$3*(S159-$S$1)/$S$2+$O$3*(T159-$T$1)/$T$2+$P$3*(U159-$U$1)/$U$2)/(SUM($L$3:$P$3))</f>
        <v>-0.64104183102873458</v>
      </c>
      <c r="AO159" s="47">
        <f>IF(AVERAGE(AH159:AI159)&gt;9,1,0)+IF(AVERAGE(AH159:AI159)&gt;7,1,0)+IF(AH159&gt;7,1,0)+IF(AI159&gt;7,1,0)+IF(AJ159&gt;8,1,0)+IF(AJ159&gt;6,1,0)</f>
        <v>2</v>
      </c>
      <c r="AP159" s="48">
        <f>MIN(2,IF(OR(Z159="-",X159&lt;5),0,1+IF(Y159&gt;7,0.35,IF(Y159&gt;5,0.1,0))+IF(Z159&gt;7,1+IF(X159&gt;7,0.25,0),IF(Z159&gt;4,0.5+IF(X159&gt;7,0.25,0),0+IF(X159&gt;7,0.25))))+IF(AA159="-",0,IF(AA159&gt;9,0.5,IF(AA159&gt;7,0.25,0)))+IF(AB159="-",0,IF(AB159&gt;7,1.1,IF(AB159&gt;4,0.6,0)))+IF(OR(AC159="-",V159&lt;5),0,IF(AC159&gt;7,1+IF(V159&gt;7,0.25,0),IF(AC159&gt;4,0.5+IF(V159&gt;7,0.25,0),0)))+IF(AD159="-",0,IF(AD159&gt;7,1.5,IF(AD159&gt;4,1,0)))+IF(AE159="-",0,IF(AE159&gt;9,0.5,IF(AE159&gt;7,0.25,0)))+IF(AF159="-",0,IF(AF159&gt;7,1.25,IF(AF159&gt;4,0.75,0)))+IF(OR(AG159="-",W159&lt;4),0,IF(AG159&gt;7,1+IF(W159&gt;7,0.15,0),IF(AG159&gt;4,0.5+IF(W159&gt;7,0.15,0),0))))</f>
        <v>0</v>
      </c>
      <c r="AQ159" s="46">
        <f>($AM$3*AM159+$AN$3*AN159+$AO$3*AO159+$AP$3*AP159)+$I$3*VLOOKUP(I159,COND!$A$2:$E$7,4,FALSE)+$J$3*VLOOKUP(J159,COND!$A$2:$C$7,2,FALSE)+$K$3*VLOOKUP(K159,COND!$A$2:$C$7,3,FALSE)+IF(AND($B$2&gt;0,$E159&lt;20),$B$2*25,0)</f>
        <v>42.754780118370981</v>
      </c>
      <c r="AR159" s="49">
        <f>STANDARDIZE(AQ159,AVERAGE($AQ$5:$AQ$537),STDEVP($AQ$5:$AQ$537))</f>
        <v>0.42341344461146924</v>
      </c>
      <c r="AS159" s="47" t="str">
        <f>IF(AND(Z159&lt;&gt;"-",Y159&gt;1),"C",IF(AB159=MAX(AB159:AD159),"2B",IF(AD159=MAX(AB159:AD159),"SS",IF(OR(AC159=MAX(AA159:AD159),AND(AC159&lt;&gt;"-",AC159&gt;4,V159&gt;5)),"3B",IF(AF159=MAX(AE159:AG159),"CF",IF(AND(AG159=MAX(AE159,AG159),AND(W159&gt;5,AG159&lt;&gt;"-")),"RF",IF(AE159&lt;&gt;"-","LF",IF(AA159&lt;&gt;"-","1B","DH"))))))))</f>
        <v>CF</v>
      </c>
      <c r="AT159" s="47"/>
      <c r="AU159" s="47"/>
      <c r="AV159" s="47"/>
      <c r="AW159" s="47" t="str">
        <f>IF(AND($Q159&gt;=6,AVERAGE($S159:$T159)&gt;=6),"Likely",IF(OR($Q159&gt;6,AND($Q159=6,AVERAGE($S159:$T159)&gt;=3),AND($Q159&gt;=5,AVERAGE($S159:$T159)&gt;=5),AVERAGE($Q159,$S159:$T159)&gt;5),"Possible","Unlikely"))</f>
        <v>Unlikely</v>
      </c>
      <c r="AX159" s="47"/>
      <c r="AY159" s="47" t="str">
        <f>INDEX(Table5[[#All],[Ovr]],MATCH(Batters[[#This Row],[PID]],Table5[[#All],[PID]],0))</f>
        <v/>
      </c>
      <c r="AZ159" s="47" t="str">
        <f>INDEX(Table5[[#All],[Rnd]],MATCH(Batters[[#This Row],[PID]],Table5[[#All],[PID]],0))</f>
        <v/>
      </c>
      <c r="BA159" s="47" t="str">
        <f>INDEX(Table5[[#All],[Pick]],MATCH(Batters[[#This Row],[PID]],Table5[[#All],[PID]],0))</f>
        <v/>
      </c>
      <c r="BB159" s="47" t="str">
        <f>INDEX(Table5[[#All],[Team]],MATCH(Batters[[#This Row],[PID]],Table5[[#All],[PID]],0))</f>
        <v/>
      </c>
    </row>
    <row r="160" spans="1:54" ht="15" customHeight="1" x14ac:dyDescent="0.25">
      <c r="A160" s="42">
        <v>9677</v>
      </c>
      <c r="B160" s="42" t="s">
        <v>72</v>
      </c>
      <c r="C160" s="42" t="s">
        <v>1079</v>
      </c>
      <c r="D160" s="42" t="s">
        <v>878</v>
      </c>
      <c r="E160" s="42">
        <v>21</v>
      </c>
      <c r="F160" s="42" t="s">
        <v>53</v>
      </c>
      <c r="G160" s="42" t="s">
        <v>42</v>
      </c>
      <c r="H160" s="43" t="s">
        <v>703</v>
      </c>
      <c r="I160" s="44" t="s">
        <v>43</v>
      </c>
      <c r="J160" s="42" t="s">
        <v>43</v>
      </c>
      <c r="K160" s="43" t="s">
        <v>43</v>
      </c>
      <c r="L160" s="42">
        <v>2</v>
      </c>
      <c r="M160" s="42">
        <v>3</v>
      </c>
      <c r="N160" s="42">
        <v>2</v>
      </c>
      <c r="O160" s="42">
        <v>3</v>
      </c>
      <c r="P160" s="43">
        <v>3</v>
      </c>
      <c r="Q160" s="42">
        <v>4</v>
      </c>
      <c r="R160" s="42">
        <v>5</v>
      </c>
      <c r="S160" s="42">
        <v>3</v>
      </c>
      <c r="T160" s="42">
        <v>5</v>
      </c>
      <c r="U160" s="43">
        <v>4</v>
      </c>
      <c r="V160" s="42">
        <v>6</v>
      </c>
      <c r="W160" s="42">
        <v>6</v>
      </c>
      <c r="X160" s="42">
        <v>1</v>
      </c>
      <c r="Y160" s="43">
        <v>1</v>
      </c>
      <c r="Z160" s="42" t="s">
        <v>45</v>
      </c>
      <c r="AA160" s="42" t="s">
        <v>45</v>
      </c>
      <c r="AB160" s="42">
        <v>5</v>
      </c>
      <c r="AC160" s="42" t="s">
        <v>45</v>
      </c>
      <c r="AD160" s="42">
        <v>6</v>
      </c>
      <c r="AE160" s="42" t="s">
        <v>45</v>
      </c>
      <c r="AF160" s="42" t="s">
        <v>45</v>
      </c>
      <c r="AG160" s="43" t="s">
        <v>45</v>
      </c>
      <c r="AH160" s="42">
        <v>7</v>
      </c>
      <c r="AI160" s="42">
        <v>7</v>
      </c>
      <c r="AJ160" s="43">
        <v>8</v>
      </c>
      <c r="AK160" s="45" t="s">
        <v>914</v>
      </c>
      <c r="AL160" s="45" t="s">
        <v>47</v>
      </c>
      <c r="AM160" s="46">
        <f>($L$3*(L160-$Q$1)/$Q$2+$M$3*(M160-$R$1)/$R$2+$N$3*(N160-$S$1)/$S$2+$O$3*(O160-$T$1)/$T$2+$P$3*(P160-$U$1)/$U$2)/(SUM($L$3:$P$3))</f>
        <v>-1.31715448071026</v>
      </c>
      <c r="AN160" s="46">
        <f>($L$3*(Q160-$Q$1)/$Q$2+$M$3*(R160-$R$1)/$R$2+$N$3*(S160-$S$1)/$S$2+$O$3*(T160-$T$1)/$T$2+$P$3*(U160-$U$1)/$U$2)/(SUM($L$3:$P$3))</f>
        <v>-0.26742611520735632</v>
      </c>
      <c r="AO160" s="47">
        <f>IF(AVERAGE(AH160:AI160)&gt;9,1,0)+IF(AVERAGE(AH160:AI160)&gt;7,1,0)+IF(AH160&gt;7,1,0)+IF(AI160&gt;7,1,0)+IF(AJ160&gt;8,1,0)+IF(AJ160&gt;6,1,0)</f>
        <v>1</v>
      </c>
      <c r="AP160" s="48">
        <f>MIN(2,IF(OR(Z160="-",X160&lt;5),0,1+IF(Y160&gt;7,0.35,IF(Y160&gt;5,0.1,0))+IF(Z160&gt;7,1+IF(X160&gt;7,0.25,0),IF(Z160&gt;4,0.5+IF(X160&gt;7,0.25,0),0+IF(X160&gt;7,0.25))))+IF(AA160="-",0,IF(AA160&gt;9,0.5,IF(AA160&gt;7,0.25,0)))+IF(AB160="-",0,IF(AB160&gt;7,1.1,IF(AB160&gt;4,0.6,0)))+IF(OR(AC160="-",V160&lt;5),0,IF(AC160&gt;7,1+IF(V160&gt;7,0.25,0),IF(AC160&gt;4,0.5+IF(V160&gt;7,0.25,0),0)))+IF(AD160="-",0,IF(AD160&gt;7,1.5,IF(AD160&gt;4,1,0)))+IF(AE160="-",0,IF(AE160&gt;9,0.5,IF(AE160&gt;7,0.25,0)))+IF(AF160="-",0,IF(AF160&gt;7,1.25,IF(AF160&gt;4,0.75,0)))+IF(OR(AG160="-",W160&lt;4),0,IF(AG160&gt;7,1+IF(W160&gt;7,0.15,0),IF(AG160&gt;4,0.5+IF(W160&gt;7,0.15,0),0))))</f>
        <v>1.6</v>
      </c>
      <c r="AQ160" s="46">
        <f>($AM$3*AM160+$AN$3*AN160+$AO$3*AO160+$AP$3*AP160)+$I$3*VLOOKUP(I160,COND!$A$2:$E$7,4,FALSE)+$J$3*VLOOKUP(J160,COND!$A$2:$C$7,2,FALSE)+$K$3*VLOOKUP(K160,COND!$A$2:$C$7,3,FALSE)+IF(AND($B$2&gt;0,$E160&lt;20),$B$2*25,0)</f>
        <v>43.425837836107362</v>
      </c>
      <c r="AR160" s="49">
        <f>STANDARDIZE(AQ160,AVERAGE($AQ$5:$AQ$537),STDEVP($AQ$5:$AQ$537))</f>
        <v>0.54148158999400964</v>
      </c>
      <c r="AS160" s="47" t="str">
        <f>IF(AND(Z160&lt;&gt;"-",Y160&gt;1),"C",IF(AB160=MAX(AB160:AD160),"2B",IF(AD160=MAX(AB160:AD160),"SS",IF(OR(AC160=MAX(AA160:AD160),AND(AC160&lt;&gt;"-",AC160&gt;4,V160&gt;5)),"3B",IF(AF160=MAX(AE160:AG160),"CF",IF(AND(AG160=MAX(AE160,AG160),AND(W160&gt;5,AG160&lt;&gt;"-")),"RF",IF(AE160&lt;&gt;"-","LF",IF(AA160&lt;&gt;"-","1B","DH"))))))))</f>
        <v>SS</v>
      </c>
      <c r="AT160" s="47"/>
      <c r="AU160" s="47"/>
      <c r="AV160" s="47"/>
      <c r="AW160" s="47" t="str">
        <f>IF(AND($Q160&gt;=6,AVERAGE($S160:$T160)&gt;=6),"Likely",IF(OR($Q160&gt;6,AND($Q160=6,AVERAGE($S160:$T160)&gt;=3),AND($Q160&gt;=5,AVERAGE($S160:$T160)&gt;=5),AVERAGE($Q160,$S160:$T160)&gt;5),"Possible","Unlikely"))</f>
        <v>Unlikely</v>
      </c>
      <c r="AX160" s="47"/>
      <c r="AY160" s="47" t="str">
        <f>INDEX(Table5[[#All],[Ovr]],MATCH(Batters[[#This Row],[PID]],Table5[[#All],[PID]],0))</f>
        <v/>
      </c>
      <c r="AZ160" s="47" t="str">
        <f>INDEX(Table5[[#All],[Rnd]],MATCH(Batters[[#This Row],[PID]],Table5[[#All],[PID]],0))</f>
        <v/>
      </c>
      <c r="BA160" s="47" t="str">
        <f>INDEX(Table5[[#All],[Pick]],MATCH(Batters[[#This Row],[PID]],Table5[[#All],[PID]],0))</f>
        <v/>
      </c>
      <c r="BB160" s="47" t="str">
        <f>INDEX(Table5[[#All],[Team]],MATCH(Batters[[#This Row],[PID]],Table5[[#All],[PID]],0))</f>
        <v/>
      </c>
    </row>
    <row r="161" spans="1:54" ht="15" customHeight="1" x14ac:dyDescent="0.25">
      <c r="A161" s="42">
        <v>6799</v>
      </c>
      <c r="B161" s="42" t="s">
        <v>69</v>
      </c>
      <c r="C161" s="42" t="s">
        <v>1066</v>
      </c>
      <c r="D161" s="42" t="s">
        <v>1067</v>
      </c>
      <c r="E161" s="42">
        <v>21</v>
      </c>
      <c r="F161" s="42" t="s">
        <v>42</v>
      </c>
      <c r="G161" s="42" t="s">
        <v>42</v>
      </c>
      <c r="H161" s="43" t="s">
        <v>703</v>
      </c>
      <c r="I161" s="44" t="s">
        <v>43</v>
      </c>
      <c r="J161" s="42" t="s">
        <v>43</v>
      </c>
      <c r="K161" s="43" t="s">
        <v>43</v>
      </c>
      <c r="L161" s="42">
        <v>3</v>
      </c>
      <c r="M161" s="42">
        <v>5</v>
      </c>
      <c r="N161" s="42">
        <v>4</v>
      </c>
      <c r="O161" s="42">
        <v>3</v>
      </c>
      <c r="P161" s="43">
        <v>2</v>
      </c>
      <c r="Q161" s="42">
        <v>4</v>
      </c>
      <c r="R161" s="42">
        <v>6</v>
      </c>
      <c r="S161" s="42">
        <v>5</v>
      </c>
      <c r="T161" s="42">
        <v>4</v>
      </c>
      <c r="U161" s="43">
        <v>4</v>
      </c>
      <c r="V161" s="42">
        <v>8</v>
      </c>
      <c r="W161" s="42">
        <v>7</v>
      </c>
      <c r="X161" s="42">
        <v>1</v>
      </c>
      <c r="Y161" s="43">
        <v>1</v>
      </c>
      <c r="Z161" s="42" t="s">
        <v>45</v>
      </c>
      <c r="AA161" s="42" t="s">
        <v>45</v>
      </c>
      <c r="AB161" s="42" t="s">
        <v>45</v>
      </c>
      <c r="AC161" s="42">
        <v>4</v>
      </c>
      <c r="AD161" s="42" t="s">
        <v>45</v>
      </c>
      <c r="AE161" s="42" t="s">
        <v>45</v>
      </c>
      <c r="AF161" s="42" t="s">
        <v>45</v>
      </c>
      <c r="AG161" s="43" t="s">
        <v>45</v>
      </c>
      <c r="AH161" s="42">
        <v>5</v>
      </c>
      <c r="AI161" s="42">
        <v>4</v>
      </c>
      <c r="AJ161" s="43">
        <v>4</v>
      </c>
      <c r="AK161" s="45" t="s">
        <v>45</v>
      </c>
      <c r="AL161" s="45" t="s">
        <v>47</v>
      </c>
      <c r="AM161" s="46">
        <f>($L$3*(L161-$Q$1)/$Q$2+$M$3*(M161-$R$1)/$R$2+$N$3*(N161-$S$1)/$S$2+$O$3*(O161-$T$1)/$T$2+$P$3*(P161-$U$1)/$U$2)/(SUM($L$3:$P$3))</f>
        <v>-0.76637223703945856</v>
      </c>
      <c r="AN161" s="46">
        <f>($L$3*(Q161-$Q$1)/$Q$2+$M$3*(R161-$R$1)/$R$2+$N$3*(S161-$S$1)/$S$2+$O$3*(T161-$T$1)/$T$2+$P$3*(U161-$U$1)/$U$2)/(SUM($L$3:$P$3))</f>
        <v>-0.13995279755043089</v>
      </c>
      <c r="AO161" s="47">
        <f>IF(AVERAGE(AH161:AI161)&gt;9,1,0)+IF(AVERAGE(AH161:AI161)&gt;7,1,0)+IF(AH161&gt;7,1,0)+IF(AI161&gt;7,1,0)+IF(AJ161&gt;8,1,0)+IF(AJ161&gt;6,1,0)</f>
        <v>0</v>
      </c>
      <c r="AP161" s="48">
        <f>MIN(2,IF(OR(Z161="-",X161&lt;5),0,1+IF(Y161&gt;7,0.35,IF(Y161&gt;5,0.1,0))+IF(Z161&gt;7,1+IF(X161&gt;7,0.25,0),IF(Z161&gt;4,0.5+IF(X161&gt;7,0.25,0),0+IF(X161&gt;7,0.25))))+IF(AA161="-",0,IF(AA161&gt;9,0.5,IF(AA161&gt;7,0.25,0)))+IF(AB161="-",0,IF(AB161&gt;7,1.1,IF(AB161&gt;4,0.6,0)))+IF(OR(AC161="-",V161&lt;5),0,IF(AC161&gt;7,1+IF(V161&gt;7,0.25,0),IF(AC161&gt;4,0.5+IF(V161&gt;7,0.25,0),0)))+IF(AD161="-",0,IF(AD161&gt;7,1.5,IF(AD161&gt;4,1,0)))+IF(AE161="-",0,IF(AE161&gt;9,0.5,IF(AE161&gt;7,0.25,0)))+IF(AF161="-",0,IF(AF161&gt;7,1.25,IF(AF161&gt;4,0.75,0)))+IF(OR(AG161="-",W161&lt;4),0,IF(AG161&gt;7,1+IF(W161&gt;7,0.15,0),IF(AG161&gt;4,0.5+IF(W161&gt;7,0.15,0),0))))</f>
        <v>0</v>
      </c>
      <c r="AQ161" s="46">
        <f>($AM$3*AM161+$AN$3*AN161+$AO$3*AO161+$AP$3*AP161)+$I$3*VLOOKUP(I161,COND!$A$2:$E$7,4,FALSE)+$J$3*VLOOKUP(J161,COND!$A$2:$C$7,2,FALSE)+$K$3*VLOOKUP(K161,COND!$A$2:$C$7,3,FALSE)+IF(AND($B$2&gt;0,$E161&lt;20),$B$2*25,0)</f>
        <v>43.243929205690883</v>
      </c>
      <c r="AR161" s="49">
        <f>STANDARDIZE(AQ161,AVERAGE($AQ$5:$AQ$537),STDEVP($AQ$5:$AQ$537))</f>
        <v>0.50947597549217483</v>
      </c>
      <c r="AS161" s="47" t="str">
        <f>IF(AND(Z161&lt;&gt;"-",Y161&gt;1),"C",IF(AB161=MAX(AB161:AD161),"2B",IF(AD161=MAX(AB161:AD161),"SS",IF(OR(AC161=MAX(AA161:AD161),AND(AC161&lt;&gt;"-",AC161&gt;4,V161&gt;5)),"3B",IF(AF161=MAX(AE161:AG161),"CF",IF(AND(AG161=MAX(AE161,AG161),AND(W161&gt;5,AG161&lt;&gt;"-")),"RF",IF(AE161&lt;&gt;"-","LF",IF(AA161&lt;&gt;"-","1B","DH"))))))))</f>
        <v>3B</v>
      </c>
      <c r="AT161" s="47"/>
      <c r="AU161" s="47"/>
      <c r="AV161" s="47"/>
      <c r="AW161" s="47" t="str">
        <f>IF(AND($Q161&gt;=6,AVERAGE($S161:$T161)&gt;=6),"Likely",IF(OR($Q161&gt;6,AND($Q161=6,AVERAGE($S161:$T161)&gt;=3),AND($Q161&gt;=5,AVERAGE($S161:$T161)&gt;=5),AVERAGE($Q161,$S161:$T161)&gt;5),"Possible","Unlikely"))</f>
        <v>Unlikely</v>
      </c>
      <c r="AX161" s="47"/>
      <c r="AY161" s="47" t="str">
        <f>INDEX(Table5[[#All],[Ovr]],MATCH(Batters[[#This Row],[PID]],Table5[[#All],[PID]],0))</f>
        <v/>
      </c>
      <c r="AZ161" s="47" t="str">
        <f>INDEX(Table5[[#All],[Rnd]],MATCH(Batters[[#This Row],[PID]],Table5[[#All],[PID]],0))</f>
        <v/>
      </c>
      <c r="BA161" s="47" t="str">
        <f>INDEX(Table5[[#All],[Pick]],MATCH(Batters[[#This Row],[PID]],Table5[[#All],[PID]],0))</f>
        <v/>
      </c>
      <c r="BB161" s="47" t="str">
        <f>INDEX(Table5[[#All],[Team]],MATCH(Batters[[#This Row],[PID]],Table5[[#All],[PID]],0))</f>
        <v/>
      </c>
    </row>
    <row r="162" spans="1:54" ht="15" customHeight="1" x14ac:dyDescent="0.25">
      <c r="A162" s="42">
        <v>7816</v>
      </c>
      <c r="B162" s="42" t="s">
        <v>66</v>
      </c>
      <c r="C162" s="42" t="s">
        <v>466</v>
      </c>
      <c r="D162" s="42" t="s">
        <v>472</v>
      </c>
      <c r="E162" s="42">
        <v>18</v>
      </c>
      <c r="F162" s="42" t="s">
        <v>53</v>
      </c>
      <c r="G162" s="42" t="s">
        <v>53</v>
      </c>
      <c r="H162" s="43" t="s">
        <v>709</v>
      </c>
      <c r="I162" s="44" t="s">
        <v>43</v>
      </c>
      <c r="J162" s="42" t="s">
        <v>43</v>
      </c>
      <c r="K162" s="43" t="s">
        <v>43</v>
      </c>
      <c r="L162" s="42">
        <v>1</v>
      </c>
      <c r="M162" s="42">
        <v>2</v>
      </c>
      <c r="N162" s="42">
        <v>2</v>
      </c>
      <c r="O162" s="42">
        <v>1</v>
      </c>
      <c r="P162" s="43">
        <v>1</v>
      </c>
      <c r="Q162" s="42">
        <v>3</v>
      </c>
      <c r="R162" s="42">
        <v>5</v>
      </c>
      <c r="S162" s="42">
        <v>4</v>
      </c>
      <c r="T162" s="42">
        <v>5</v>
      </c>
      <c r="U162" s="43">
        <v>3</v>
      </c>
      <c r="V162" s="42">
        <v>6</v>
      </c>
      <c r="W162" s="42">
        <v>8</v>
      </c>
      <c r="X162" s="42">
        <v>1</v>
      </c>
      <c r="Y162" s="43">
        <v>1</v>
      </c>
      <c r="Z162" s="42" t="s">
        <v>45</v>
      </c>
      <c r="AA162" s="42" t="s">
        <v>45</v>
      </c>
      <c r="AB162" s="42" t="s">
        <v>45</v>
      </c>
      <c r="AC162" s="42" t="s">
        <v>45</v>
      </c>
      <c r="AD162" s="42" t="s">
        <v>45</v>
      </c>
      <c r="AE162" s="42" t="s">
        <v>45</v>
      </c>
      <c r="AF162" s="42" t="s">
        <v>45</v>
      </c>
      <c r="AG162" s="43">
        <v>1</v>
      </c>
      <c r="AH162" s="42">
        <v>1</v>
      </c>
      <c r="AI162" s="42">
        <v>1</v>
      </c>
      <c r="AJ162" s="43">
        <v>1</v>
      </c>
      <c r="AK162" s="45" t="s">
        <v>599</v>
      </c>
      <c r="AL162" s="45" t="s">
        <v>705</v>
      </c>
      <c r="AM162" s="46">
        <f>($L$3*(L162-$Q$1)/$Q$2+$M$3*(M162-$R$1)/$R$2+$N$3*(N162-$S$1)/$S$2+$O$3*(O162-$T$1)/$T$2+$P$3*(P162-$U$1)/$U$2)/(SUM($L$3:$P$3))</f>
        <v>-1.9502219761849671</v>
      </c>
      <c r="AN162" s="46">
        <f>($L$3*(Q162-$Q$1)/$Q$2+$M$3*(R162-$R$1)/$R$2+$N$3*(S162-$S$1)/$S$2+$O$3*(T162-$T$1)/$T$2+$P$3*(U162-$U$1)/$U$2)/(SUM($L$3:$P$3))</f>
        <v>-0.54693679720321298</v>
      </c>
      <c r="AO162" s="47">
        <f>IF(AVERAGE(AH162:AI162)&gt;9,1,0)+IF(AVERAGE(AH162:AI162)&gt;7,1,0)+IF(AH162&gt;7,1,0)+IF(AI162&gt;7,1,0)+IF(AJ162&gt;8,1,0)+IF(AJ162&gt;6,1,0)</f>
        <v>0</v>
      </c>
      <c r="AP162" s="48">
        <f>MIN(2,IF(OR(Z162="-",X162&lt;5),0,1+IF(Y162&gt;7,0.35,IF(Y162&gt;5,0.1,0))+IF(Z162&gt;7,1+IF(X162&gt;7,0.25,0),IF(Z162&gt;4,0.5+IF(X162&gt;7,0.25,0),0+IF(X162&gt;7,0.25))))+IF(AA162="-",0,IF(AA162&gt;9,0.5,IF(AA162&gt;7,0.25,0)))+IF(AB162="-",0,IF(AB162&gt;7,1.1,IF(AB162&gt;4,0.6,0)))+IF(OR(AC162="-",V162&lt;5),0,IF(AC162&gt;7,1+IF(V162&gt;7,0.25,0),IF(AC162&gt;4,0.5+IF(V162&gt;7,0.25,0),0)))+IF(AD162="-",0,IF(AD162&gt;7,1.5,IF(AD162&gt;4,1,0)))+IF(AE162="-",0,IF(AE162&gt;9,0.5,IF(AE162&gt;7,0.25,0)))+IF(AF162="-",0,IF(AF162&gt;7,1.25,IF(AF162&gt;4,0.75,0)))+IF(OR(AG162="-",W162&lt;4),0,IF(AG162&gt;7,1+IF(W162&gt;7,0.15,0),IF(AG162&gt;4,0.5+IF(W162&gt;7,0.15,0),0))))</f>
        <v>0</v>
      </c>
      <c r="AQ162" s="46">
        <f>($AM$3*AM162+$AN$3*AN162+$AO$3*AO162+$AP$3*AP162)+$I$3*VLOOKUP(I162,COND!$A$2:$E$7,4,FALSE)+$J$3*VLOOKUP(J162,COND!$A$2:$C$7,2,FALSE)+$K$3*VLOOKUP(K162,COND!$A$2:$C$7,3,FALSE)+IF(AND($B$2&gt;0,$E162&lt;20),$B$2*25,0)</f>
        <v>43.241736235942952</v>
      </c>
      <c r="AR162" s="49">
        <f>STANDARDIZE(AQ162,AVERAGE($AQ$5:$AQ$537),STDEVP($AQ$5:$AQ$537))</f>
        <v>0.50909013704016859</v>
      </c>
      <c r="AS162" s="47" t="str">
        <f>IF(AND(Z162&lt;&gt;"-",Y162&gt;1),"C",IF(AB162=MAX(AB162:AD162),"2B",IF(AD162=MAX(AB162:AD162),"SS",IF(OR(AC162=MAX(AA162:AD162),AND(AC162&lt;&gt;"-",AC162&gt;4,V162&gt;5)),"3B",IF(AF162=MAX(AE162:AG162),"CF",IF(AND(AG162=MAX(AE162,AG162),AND(W162&gt;5,AG162&lt;&gt;"-")),"RF",IF(AE162&lt;&gt;"-","LF",IF(AA162&lt;&gt;"-","1B","DH"))))))))</f>
        <v>RF</v>
      </c>
      <c r="AT162" s="47"/>
      <c r="AU162" s="47"/>
      <c r="AV162" s="47"/>
      <c r="AW162" s="47" t="str">
        <f>IF(AND($Q162&gt;=6,AVERAGE($S162:$T162)&gt;=6),"Likely",IF(OR($Q162&gt;6,AND($Q162=6,AVERAGE($S162:$T162)&gt;=3),AND($Q162&gt;=5,AVERAGE($S162:$T162)&gt;=5),AVERAGE($Q162,$S162:$T162)&gt;5),"Possible","Unlikely"))</f>
        <v>Unlikely</v>
      </c>
      <c r="AX162" s="47"/>
      <c r="AY162" s="47" t="str">
        <f>INDEX(Table5[[#All],[Ovr]],MATCH(Batters[[#This Row],[PID]],Table5[[#All],[PID]],0))</f>
        <v/>
      </c>
      <c r="AZ162" s="47" t="str">
        <f>INDEX(Table5[[#All],[Rnd]],MATCH(Batters[[#This Row],[PID]],Table5[[#All],[PID]],0))</f>
        <v/>
      </c>
      <c r="BA162" s="47" t="str">
        <f>INDEX(Table5[[#All],[Pick]],MATCH(Batters[[#This Row],[PID]],Table5[[#All],[PID]],0))</f>
        <v/>
      </c>
      <c r="BB162" s="47" t="str">
        <f>INDEX(Table5[[#All],[Team]],MATCH(Batters[[#This Row],[PID]],Table5[[#All],[PID]],0))</f>
        <v/>
      </c>
    </row>
    <row r="163" spans="1:54" ht="15" customHeight="1" x14ac:dyDescent="0.25">
      <c r="A163" s="42">
        <v>17917</v>
      </c>
      <c r="B163" s="42" t="s">
        <v>74</v>
      </c>
      <c r="C163" s="42" t="s">
        <v>1288</v>
      </c>
      <c r="D163" s="42" t="s">
        <v>896</v>
      </c>
      <c r="E163" s="42">
        <v>18</v>
      </c>
      <c r="F163" s="42" t="s">
        <v>42</v>
      </c>
      <c r="G163" s="42" t="s">
        <v>42</v>
      </c>
      <c r="H163" s="43" t="s">
        <v>709</v>
      </c>
      <c r="I163" s="44" t="s">
        <v>43</v>
      </c>
      <c r="J163" s="42" t="s">
        <v>47</v>
      </c>
      <c r="K163" s="43" t="s">
        <v>43</v>
      </c>
      <c r="L163" s="42">
        <v>1</v>
      </c>
      <c r="M163" s="42">
        <v>1</v>
      </c>
      <c r="N163" s="42">
        <v>2</v>
      </c>
      <c r="O163" s="42">
        <v>2</v>
      </c>
      <c r="P163" s="43">
        <v>1</v>
      </c>
      <c r="Q163" s="42">
        <v>3</v>
      </c>
      <c r="R163" s="42">
        <v>3</v>
      </c>
      <c r="S163" s="42">
        <v>4</v>
      </c>
      <c r="T163" s="42">
        <v>4</v>
      </c>
      <c r="U163" s="43">
        <v>3</v>
      </c>
      <c r="V163" s="42">
        <v>6</v>
      </c>
      <c r="W163" s="42">
        <v>8</v>
      </c>
      <c r="X163" s="42">
        <v>1</v>
      </c>
      <c r="Y163" s="43">
        <v>1</v>
      </c>
      <c r="Z163" s="42" t="s">
        <v>45</v>
      </c>
      <c r="AA163" s="42" t="s">
        <v>45</v>
      </c>
      <c r="AB163" s="42" t="s">
        <v>45</v>
      </c>
      <c r="AC163" s="42" t="s">
        <v>45</v>
      </c>
      <c r="AD163" s="42">
        <v>1</v>
      </c>
      <c r="AE163" s="42" t="s">
        <v>45</v>
      </c>
      <c r="AF163" s="42">
        <v>5</v>
      </c>
      <c r="AG163" s="43" t="s">
        <v>45</v>
      </c>
      <c r="AH163" s="42">
        <v>8</v>
      </c>
      <c r="AI163" s="42">
        <v>6</v>
      </c>
      <c r="AJ163" s="43">
        <v>9</v>
      </c>
      <c r="AK163" s="45" t="s">
        <v>718</v>
      </c>
      <c r="AL163" s="45" t="s">
        <v>47</v>
      </c>
      <c r="AM163" s="46">
        <f>($L$3*(L163-$Q$1)/$Q$2+$M$3*(M163-$R$1)/$R$2+$N$3*(N163-$S$1)/$S$2+$O$3*(O163-$T$1)/$T$2+$P$3*(P163-$U$1)/$U$2)/(SUM($L$3:$P$3))</f>
        <v>-1.9115723057940897</v>
      </c>
      <c r="AN163" s="46">
        <f>($L$3*(Q163-$Q$1)/$Q$2+$M$3*(R163-$R$1)/$R$2+$N$3*(S163-$S$1)/$S$2+$O$3*(T163-$T$1)/$T$2+$P$3*(U163-$U$1)/$U$2)/(SUM($L$3:$P$3))</f>
        <v>-0.73876610645020102</v>
      </c>
      <c r="AO163" s="47">
        <f>IF(AVERAGE(AH163:AI163)&gt;9,1,0)+IF(AVERAGE(AH163:AI163)&gt;7,1,0)+IF(AH163&gt;7,1,0)+IF(AI163&gt;7,1,0)+IF(AJ163&gt;8,1,0)+IF(AJ163&gt;6,1,0)</f>
        <v>3</v>
      </c>
      <c r="AP163" s="48">
        <f>MIN(2,IF(OR(Z163="-",X163&lt;5),0,1+IF(Y163&gt;7,0.35,IF(Y163&gt;5,0.1,0))+IF(Z163&gt;7,1+IF(X163&gt;7,0.25,0),IF(Z163&gt;4,0.5+IF(X163&gt;7,0.25,0),0+IF(X163&gt;7,0.25))))+IF(AA163="-",0,IF(AA163&gt;9,0.5,IF(AA163&gt;7,0.25,0)))+IF(AB163="-",0,IF(AB163&gt;7,1.1,IF(AB163&gt;4,0.6,0)))+IF(OR(AC163="-",V163&lt;5),0,IF(AC163&gt;7,1+IF(V163&gt;7,0.25,0),IF(AC163&gt;4,0.5+IF(V163&gt;7,0.25,0),0)))+IF(AD163="-",0,IF(AD163&gt;7,1.5,IF(AD163&gt;4,1,0)))+IF(AE163="-",0,IF(AE163&gt;9,0.5,IF(AE163&gt;7,0.25,0)))+IF(AF163="-",0,IF(AF163&gt;7,1.25,IF(AF163&gt;4,0.75,0)))+IF(OR(AG163="-",W163&lt;4),0,IF(AG163&gt;7,1+IF(W163&gt;7,0.15,0),IF(AG163&gt;4,0.5+IF(W163&gt;7,0.15,0),0))))</f>
        <v>0.75</v>
      </c>
      <c r="AQ163" s="46">
        <f>($AM$3*AM163+$AN$3*AN163+$AO$3*AO163+$AP$3*AP163)+$I$3*VLOOKUP(I163,COND!$A$2:$E$7,4,FALSE)+$J$3*VLOOKUP(J163,COND!$A$2:$C$7,2,FALSE)+$K$3*VLOOKUP(K163,COND!$A$2:$C$7,3,FALSE)+IF(AND($B$2&gt;0,$E163&lt;20),$B$2*25,0)</f>
        <v>42.493649492018179</v>
      </c>
      <c r="AR163" s="49">
        <f>STANDARDIZE(AQ163,AVERAGE($AQ$5:$AQ$537),STDEVP($AQ$5:$AQ$537))</f>
        <v>0.37746924645805763</v>
      </c>
      <c r="AS163" s="47" t="str">
        <f>IF(AND(Z163&lt;&gt;"-",Y163&gt;1),"C",IF(AB163=MAX(AB163:AD163),"2B",IF(AD163=MAX(AB163:AD163),"SS",IF(OR(AC163=MAX(AA163:AD163),AND(AC163&lt;&gt;"-",AC163&gt;4,V163&gt;5)),"3B",IF(AF163=MAX(AE163:AG163),"CF",IF(AND(AG163=MAX(AE163,AG163),AND(W163&gt;5,AG163&lt;&gt;"-")),"RF",IF(AE163&lt;&gt;"-","LF",IF(AA163&lt;&gt;"-","1B","DH"))))))))</f>
        <v>SS</v>
      </c>
      <c r="AT163" s="47"/>
      <c r="AU163" s="47"/>
      <c r="AV163" s="47"/>
      <c r="AW163" s="47" t="str">
        <f>IF(AND($Q163&gt;=6,AVERAGE($S163:$T163)&gt;=6),"Likely",IF(OR($Q163&gt;6,AND($Q163=6,AVERAGE($S163:$T163)&gt;=3),AND($Q163&gt;=5,AVERAGE($S163:$T163)&gt;=5),AVERAGE($Q163,$S163:$T163)&gt;5),"Possible","Unlikely"))</f>
        <v>Unlikely</v>
      </c>
      <c r="AX163" s="47"/>
      <c r="AY163" s="47" t="str">
        <f>INDEX(Table5[[#All],[Ovr]],MATCH(Batters[[#This Row],[PID]],Table5[[#All],[PID]],0))</f>
        <v/>
      </c>
      <c r="AZ163" s="47" t="str">
        <f>INDEX(Table5[[#All],[Rnd]],MATCH(Batters[[#This Row],[PID]],Table5[[#All],[PID]],0))</f>
        <v/>
      </c>
      <c r="BA163" s="47" t="str">
        <f>INDEX(Table5[[#All],[Pick]],MATCH(Batters[[#This Row],[PID]],Table5[[#All],[PID]],0))</f>
        <v/>
      </c>
      <c r="BB163" s="47" t="str">
        <f>INDEX(Table5[[#All],[Team]],MATCH(Batters[[#This Row],[PID]],Table5[[#All],[PID]],0))</f>
        <v/>
      </c>
    </row>
    <row r="164" spans="1:54" ht="15" customHeight="1" x14ac:dyDescent="0.25">
      <c r="A164" s="42">
        <v>12776</v>
      </c>
      <c r="B164" s="42" t="s">
        <v>66</v>
      </c>
      <c r="C164" s="42" t="s">
        <v>1069</v>
      </c>
      <c r="D164" s="42" t="s">
        <v>1070</v>
      </c>
      <c r="E164" s="42">
        <v>21</v>
      </c>
      <c r="F164" s="42" t="s">
        <v>42</v>
      </c>
      <c r="G164" s="42" t="s">
        <v>42</v>
      </c>
      <c r="H164" s="43" t="s">
        <v>703</v>
      </c>
      <c r="I164" s="44" t="s">
        <v>43</v>
      </c>
      <c r="J164" s="42" t="s">
        <v>43</v>
      </c>
      <c r="K164" s="43" t="s">
        <v>43</v>
      </c>
      <c r="L164" s="42">
        <v>2</v>
      </c>
      <c r="M164" s="42">
        <v>3</v>
      </c>
      <c r="N164" s="42">
        <v>3</v>
      </c>
      <c r="O164" s="42">
        <v>4</v>
      </c>
      <c r="P164" s="43">
        <v>2</v>
      </c>
      <c r="Q164" s="42">
        <v>4</v>
      </c>
      <c r="R164" s="42">
        <v>4</v>
      </c>
      <c r="S164" s="42">
        <v>4</v>
      </c>
      <c r="T164" s="42">
        <v>6</v>
      </c>
      <c r="U164" s="43">
        <v>3</v>
      </c>
      <c r="V164" s="42">
        <v>3</v>
      </c>
      <c r="W164" s="42">
        <v>5</v>
      </c>
      <c r="X164" s="42">
        <v>1</v>
      </c>
      <c r="Y164" s="43">
        <v>1</v>
      </c>
      <c r="Z164" s="42" t="s">
        <v>45</v>
      </c>
      <c r="AA164" s="42" t="s">
        <v>45</v>
      </c>
      <c r="AB164" s="42" t="s">
        <v>45</v>
      </c>
      <c r="AC164" s="42" t="s">
        <v>45</v>
      </c>
      <c r="AD164" s="42" t="s">
        <v>45</v>
      </c>
      <c r="AE164" s="42">
        <v>4</v>
      </c>
      <c r="AF164" s="42">
        <v>1</v>
      </c>
      <c r="AG164" s="43">
        <v>4</v>
      </c>
      <c r="AH164" s="42">
        <v>9</v>
      </c>
      <c r="AI164" s="42">
        <v>7</v>
      </c>
      <c r="AJ164" s="43">
        <v>8</v>
      </c>
      <c r="AK164" s="45" t="s">
        <v>589</v>
      </c>
      <c r="AL164" s="45" t="s">
        <v>47</v>
      </c>
      <c r="AM164" s="46">
        <f>($L$3*(L164-$Q$1)/$Q$2+$M$3*(M164-$R$1)/$R$2+$N$3*(N164-$S$1)/$S$2+$O$3*(O164-$T$1)/$T$2+$P$3*(P164-$U$1)/$U$2)/(SUM($L$3:$P$3))</f>
        <v>-1.1843997764938607</v>
      </c>
      <c r="AN164" s="46">
        <f>($L$3*(Q164-$Q$1)/$Q$2+$M$3*(R164-$R$1)/$R$2+$N$3*(S164-$S$1)/$S$2+$O$3*(T164-$T$1)/$T$2+$P$3*(U164-$U$1)/$U$2)/(SUM($L$3:$P$3))</f>
        <v>-0.18573129060966079</v>
      </c>
      <c r="AO164" s="47">
        <f>IF(AVERAGE(AH164:AI164)&gt;9,1,0)+IF(AVERAGE(AH164:AI164)&gt;7,1,0)+IF(AH164&gt;7,1,0)+IF(AI164&gt;7,1,0)+IF(AJ164&gt;8,1,0)+IF(AJ164&gt;6,1,0)</f>
        <v>3</v>
      </c>
      <c r="AP164" s="48">
        <f>MIN(2,IF(OR(Z164="-",X164&lt;5),0,1+IF(Y164&gt;7,0.35,IF(Y164&gt;5,0.1,0))+IF(Z164&gt;7,1+IF(X164&gt;7,0.25,0),IF(Z164&gt;4,0.5+IF(X164&gt;7,0.25,0),0+IF(X164&gt;7,0.25))))+IF(AA164="-",0,IF(AA164&gt;9,0.5,IF(AA164&gt;7,0.25,0)))+IF(AB164="-",0,IF(AB164&gt;7,1.1,IF(AB164&gt;4,0.6,0)))+IF(OR(AC164="-",V164&lt;5),0,IF(AC164&gt;7,1+IF(V164&gt;7,0.25,0),IF(AC164&gt;4,0.5+IF(V164&gt;7,0.25,0),0)))+IF(AD164="-",0,IF(AD164&gt;7,1.5,IF(AD164&gt;4,1,0)))+IF(AE164="-",0,IF(AE164&gt;9,0.5,IF(AE164&gt;7,0.25,0)))+IF(AF164="-",0,IF(AF164&gt;7,1.25,IF(AF164&gt;4,0.75,0)))+IF(OR(AG164="-",W164&lt;4),0,IF(AG164&gt;7,1+IF(W164&gt;7,0.15,0),IF(AG164&gt;4,0.5+IF(W164&gt;7,0.15,0),0))))</f>
        <v>0</v>
      </c>
      <c r="AQ164" s="46">
        <f>($AM$3*AM164+$AN$3*AN164+$AO$3*AO164+$AP$3*AP164)+$I$3*VLOOKUP(I164,COND!$A$2:$E$7,4,FALSE)+$J$3*VLOOKUP(J164,COND!$A$2:$C$7,2,FALSE)+$K$3*VLOOKUP(K164,COND!$A$2:$C$7,3,FALSE)+IF(AND($B$2&gt;0,$E164&lt;20),$B$2*25,0)</f>
        <v>43.152784535034684</v>
      </c>
      <c r="AR164" s="49">
        <f>STANDARDIZE(AQ164,AVERAGE($AQ$5:$AQ$537),STDEVP($AQ$5:$AQ$537))</f>
        <v>0.49343967646534903</v>
      </c>
      <c r="AS164" s="47" t="str">
        <f>IF(AND(Z164&lt;&gt;"-",Y164&gt;1),"C",IF(AB164=MAX(AB164:AD164),"2B",IF(AD164=MAX(AB164:AD164),"SS",IF(OR(AC164=MAX(AA164:AD164),AND(AC164&lt;&gt;"-",AC164&gt;4,V164&gt;5)),"3B",IF(AF164=MAX(AE164:AG164),"CF",IF(AND(AG164=MAX(AE164,AG164),AND(W164&gt;5,AG164&lt;&gt;"-")),"RF",IF(AE164&lt;&gt;"-","LF",IF(AA164&lt;&gt;"-","1B","DH"))))))))</f>
        <v>LF</v>
      </c>
      <c r="AT164" s="47"/>
      <c r="AU164" s="47"/>
      <c r="AV164" s="47"/>
      <c r="AW164" s="47" t="str">
        <f>IF(AND($Q164&gt;=6,AVERAGE($S164:$T164)&gt;=6),"Likely",IF(OR($Q164&gt;6,AND($Q164=6,AVERAGE($S164:$T164)&gt;=3),AND($Q164&gt;=5,AVERAGE($S164:$T164)&gt;=5),AVERAGE($Q164,$S164:$T164)&gt;5),"Possible","Unlikely"))</f>
        <v>Unlikely</v>
      </c>
      <c r="AX164" s="47"/>
      <c r="AY164" s="47" t="str">
        <f>INDEX(Table5[[#All],[Ovr]],MATCH(Batters[[#This Row],[PID]],Table5[[#All],[PID]],0))</f>
        <v/>
      </c>
      <c r="AZ164" s="47" t="str">
        <f>INDEX(Table5[[#All],[Rnd]],MATCH(Batters[[#This Row],[PID]],Table5[[#All],[PID]],0))</f>
        <v/>
      </c>
      <c r="BA164" s="47" t="str">
        <f>INDEX(Table5[[#All],[Pick]],MATCH(Batters[[#This Row],[PID]],Table5[[#All],[PID]],0))</f>
        <v/>
      </c>
      <c r="BB164" s="47" t="str">
        <f>INDEX(Table5[[#All],[Team]],MATCH(Batters[[#This Row],[PID]],Table5[[#All],[PID]],0))</f>
        <v/>
      </c>
    </row>
    <row r="165" spans="1:54" ht="15" customHeight="1" x14ac:dyDescent="0.25">
      <c r="A165" s="42">
        <v>6788</v>
      </c>
      <c r="B165" s="42" t="s">
        <v>66</v>
      </c>
      <c r="C165" s="42" t="s">
        <v>1129</v>
      </c>
      <c r="D165" s="42" t="s">
        <v>607</v>
      </c>
      <c r="E165" s="42">
        <v>21</v>
      </c>
      <c r="F165" s="42" t="s">
        <v>42</v>
      </c>
      <c r="G165" s="42" t="s">
        <v>42</v>
      </c>
      <c r="H165" s="43" t="s">
        <v>709</v>
      </c>
      <c r="I165" s="44" t="s">
        <v>43</v>
      </c>
      <c r="J165" s="42" t="s">
        <v>47</v>
      </c>
      <c r="K165" s="43" t="s">
        <v>43</v>
      </c>
      <c r="L165" s="42">
        <v>3</v>
      </c>
      <c r="M165" s="42">
        <v>3</v>
      </c>
      <c r="N165" s="42">
        <v>2</v>
      </c>
      <c r="O165" s="42">
        <v>3</v>
      </c>
      <c r="P165" s="43">
        <v>4</v>
      </c>
      <c r="Q165" s="42">
        <v>4</v>
      </c>
      <c r="R165" s="42">
        <v>3</v>
      </c>
      <c r="S165" s="42">
        <v>3</v>
      </c>
      <c r="T165" s="42">
        <v>5</v>
      </c>
      <c r="U165" s="43">
        <v>5</v>
      </c>
      <c r="V165" s="42">
        <v>6</v>
      </c>
      <c r="W165" s="42">
        <v>9</v>
      </c>
      <c r="X165" s="42">
        <v>1</v>
      </c>
      <c r="Y165" s="43">
        <v>1</v>
      </c>
      <c r="Z165" s="42" t="s">
        <v>45</v>
      </c>
      <c r="AA165" s="42" t="s">
        <v>45</v>
      </c>
      <c r="AB165" s="42" t="s">
        <v>45</v>
      </c>
      <c r="AC165" s="42" t="s">
        <v>45</v>
      </c>
      <c r="AD165" s="42" t="s">
        <v>45</v>
      </c>
      <c r="AE165" s="42">
        <v>2</v>
      </c>
      <c r="AF165" s="42" t="s">
        <v>45</v>
      </c>
      <c r="AG165" s="43">
        <v>7</v>
      </c>
      <c r="AH165" s="42">
        <v>10</v>
      </c>
      <c r="AI165" s="42">
        <v>8</v>
      </c>
      <c r="AJ165" s="43">
        <v>5</v>
      </c>
      <c r="AK165" s="45" t="s">
        <v>45</v>
      </c>
      <c r="AL165" s="45" t="s">
        <v>47</v>
      </c>
      <c r="AM165" s="46">
        <f>($L$3*(L165-$Q$1)/$Q$2+$M$3*(M165-$R$1)/$R$2+$N$3*(N165-$S$1)/$S$2+$O$3*(O165-$T$1)/$T$2+$P$3*(P165-$U$1)/$U$2)/(SUM($L$3:$P$3))</f>
        <v>-0.95458230469050154</v>
      </c>
      <c r="AN165" s="46">
        <f>($L$3*(Q165-$Q$1)/$Q$2+$M$3*(R165-$R$1)/$R$2+$N$3*(S165-$S$1)/$S$2+$O$3*(T165-$T$1)/$T$2+$P$3*(U165-$U$1)/$U$2)/(SUM($L$3:$P$3))</f>
        <v>-0.32952953462767981</v>
      </c>
      <c r="AO165" s="47">
        <f>IF(AVERAGE(AH165:AI165)&gt;9,1,0)+IF(AVERAGE(AH165:AI165)&gt;7,1,0)+IF(AH165&gt;7,1,0)+IF(AI165&gt;7,1,0)+IF(AJ165&gt;8,1,0)+IF(AJ165&gt;6,1,0)</f>
        <v>3</v>
      </c>
      <c r="AP165" s="48">
        <f>MIN(2,IF(OR(Z165="-",X165&lt;5),0,1+IF(Y165&gt;7,0.35,IF(Y165&gt;5,0.1,0))+IF(Z165&gt;7,1+IF(X165&gt;7,0.25,0),IF(Z165&gt;4,0.5+IF(X165&gt;7,0.25,0),0+IF(X165&gt;7,0.25))))+IF(AA165="-",0,IF(AA165&gt;9,0.5,IF(AA165&gt;7,0.25,0)))+IF(AB165="-",0,IF(AB165&gt;7,1.1,IF(AB165&gt;4,0.6,0)))+IF(OR(AC165="-",V165&lt;5),0,IF(AC165&gt;7,1+IF(V165&gt;7,0.25,0),IF(AC165&gt;4,0.5+IF(V165&gt;7,0.25,0),0)))+IF(AD165="-",0,IF(AD165&gt;7,1.5,IF(AD165&gt;4,1,0)))+IF(AE165="-",0,IF(AE165&gt;9,0.5,IF(AE165&gt;7,0.25,0)))+IF(AF165="-",0,IF(AF165&gt;7,1.25,IF(AF165&gt;4,0.75,0)))+IF(OR(AG165="-",W165&lt;4),0,IF(AG165&gt;7,1+IF(W165&gt;7,0.15,0),IF(AG165&gt;4,0.5+IF(W165&gt;7,0.15,0),0))))</f>
        <v>0.65</v>
      </c>
      <c r="AQ165" s="46">
        <f>($AM$3*AM165+$AN$3*AN165+$AO$3*AO165+$AP$3*AP165)+$I$3*VLOOKUP(I165,COND!$A$2:$E$7,4,FALSE)+$J$3*VLOOKUP(J165,COND!$A$2:$C$7,2,FALSE)+$K$3*VLOOKUP(K165,COND!$A$2:$C$7,3,FALSE)+IF(AND($B$2&gt;0,$E165&lt;20),$B$2*25,0)</f>
        <v>42.400187353998795</v>
      </c>
      <c r="AR165" s="49">
        <f>STANDARDIZE(AQ165,AVERAGE($AQ$5:$AQ$537),STDEVP($AQ$5:$AQ$537))</f>
        <v>0.36102520445127073</v>
      </c>
      <c r="AS165" s="47" t="str">
        <f>IF(AND(Z165&lt;&gt;"-",Y165&gt;1),"C",IF(AB165=MAX(AB165:AD165),"2B",IF(AD165=MAX(AB165:AD165),"SS",IF(OR(AC165=MAX(AA165:AD165),AND(AC165&lt;&gt;"-",AC165&gt;4,V165&gt;5)),"3B",IF(AF165=MAX(AE165:AG165),"CF",IF(AND(AG165=MAX(AE165,AG165),AND(W165&gt;5,AG165&lt;&gt;"-")),"RF",IF(AE165&lt;&gt;"-","LF",IF(AA165&lt;&gt;"-","1B","DH"))))))))</f>
        <v>RF</v>
      </c>
      <c r="AT165" s="47"/>
      <c r="AU165" s="47"/>
      <c r="AV165" s="47"/>
      <c r="AW165" s="47" t="str">
        <f>IF(AND($Q165&gt;=6,AVERAGE($S165:$T165)&gt;=6),"Likely",IF(OR($Q165&gt;6,AND($Q165=6,AVERAGE($S165:$T165)&gt;=3),AND($Q165&gt;=5,AVERAGE($S165:$T165)&gt;=5),AVERAGE($Q165,$S165:$T165)&gt;5),"Possible","Unlikely"))</f>
        <v>Unlikely</v>
      </c>
      <c r="AX165" s="47"/>
      <c r="AY165" s="47" t="str">
        <f>INDEX(Table5[[#All],[Ovr]],MATCH(Batters[[#This Row],[PID]],Table5[[#All],[PID]],0))</f>
        <v/>
      </c>
      <c r="AZ165" s="47" t="str">
        <f>INDEX(Table5[[#All],[Rnd]],MATCH(Batters[[#This Row],[PID]],Table5[[#All],[PID]],0))</f>
        <v/>
      </c>
      <c r="BA165" s="47" t="str">
        <f>INDEX(Table5[[#All],[Pick]],MATCH(Batters[[#This Row],[PID]],Table5[[#All],[PID]],0))</f>
        <v/>
      </c>
      <c r="BB165" s="47" t="str">
        <f>INDEX(Table5[[#All],[Team]],MATCH(Batters[[#This Row],[PID]],Table5[[#All],[PID]],0))</f>
        <v/>
      </c>
    </row>
    <row r="166" spans="1:54" ht="15" customHeight="1" x14ac:dyDescent="0.25">
      <c r="A166" s="42">
        <v>6176</v>
      </c>
      <c r="B166" s="42" t="s">
        <v>69</v>
      </c>
      <c r="C166" s="42" t="s">
        <v>127</v>
      </c>
      <c r="D166" s="42" t="s">
        <v>1263</v>
      </c>
      <c r="E166" s="42">
        <v>18</v>
      </c>
      <c r="F166" s="42" t="s">
        <v>42</v>
      </c>
      <c r="G166" s="42" t="s">
        <v>42</v>
      </c>
      <c r="H166" s="43" t="s">
        <v>711</v>
      </c>
      <c r="I166" s="44" t="s">
        <v>43</v>
      </c>
      <c r="J166" s="42" t="s">
        <v>47</v>
      </c>
      <c r="K166" s="43" t="s">
        <v>43</v>
      </c>
      <c r="L166" s="42">
        <v>1</v>
      </c>
      <c r="M166" s="42">
        <v>1</v>
      </c>
      <c r="N166" s="42">
        <v>2</v>
      </c>
      <c r="O166" s="42">
        <v>1</v>
      </c>
      <c r="P166" s="43">
        <v>1</v>
      </c>
      <c r="Q166" s="42">
        <v>3</v>
      </c>
      <c r="R166" s="42">
        <v>3</v>
      </c>
      <c r="S166" s="42">
        <v>5</v>
      </c>
      <c r="T166" s="42">
        <v>4</v>
      </c>
      <c r="U166" s="43">
        <v>3</v>
      </c>
      <c r="V166" s="42">
        <v>7</v>
      </c>
      <c r="W166" s="42">
        <v>6</v>
      </c>
      <c r="X166" s="42">
        <v>1</v>
      </c>
      <c r="Y166" s="43">
        <v>1</v>
      </c>
      <c r="Z166" s="42" t="s">
        <v>45</v>
      </c>
      <c r="AA166" s="42" t="s">
        <v>45</v>
      </c>
      <c r="AB166" s="42" t="s">
        <v>45</v>
      </c>
      <c r="AC166" s="42" t="s">
        <v>45</v>
      </c>
      <c r="AD166" s="42" t="s">
        <v>45</v>
      </c>
      <c r="AE166" s="42" t="s">
        <v>45</v>
      </c>
      <c r="AF166" s="42" t="s">
        <v>45</v>
      </c>
      <c r="AG166" s="43" t="s">
        <v>45</v>
      </c>
      <c r="AH166" s="42">
        <v>9</v>
      </c>
      <c r="AI166" s="42">
        <v>4</v>
      </c>
      <c r="AJ166" s="43">
        <v>2</v>
      </c>
      <c r="AK166" s="45" t="s">
        <v>758</v>
      </c>
      <c r="AL166" s="45" t="s">
        <v>47</v>
      </c>
      <c r="AM166" s="46">
        <f>($L$3*(L166-$Q$1)/$Q$2+$M$3*(M166-$R$1)/$R$2+$N$3*(N166-$S$1)/$S$2+$O$3*(O166-$T$1)/$T$2+$P$3*(P166-$U$1)/$U$2)/(SUM($L$3:$P$3))</f>
        <v>-2.0012818558036707</v>
      </c>
      <c r="AN166" s="46">
        <f>($L$3*(Q166-$Q$1)/$Q$2+$M$3*(R166-$R$1)/$R$2+$N$3*(S166-$S$1)/$S$2+$O$3*(T166-$T$1)/$T$2+$P$3*(U166-$U$1)/$U$2)/(SUM($L$3:$P$3))</f>
        <v>-0.65570461242629963</v>
      </c>
      <c r="AO166" s="47">
        <f>IF(AVERAGE(AH166:AI166)&gt;9,1,0)+IF(AVERAGE(AH166:AI166)&gt;7,1,0)+IF(AH166&gt;7,1,0)+IF(AI166&gt;7,1,0)+IF(AJ166&gt;8,1,0)+IF(AJ166&gt;6,1,0)</f>
        <v>1</v>
      </c>
      <c r="AP166" s="48">
        <f>MIN(2,IF(OR(Z166="-",X166&lt;5),0,1+IF(Y166&gt;7,0.35,IF(Y166&gt;5,0.1,0))+IF(Z166&gt;7,1+IF(X166&gt;7,0.25,0),IF(Z166&gt;4,0.5+IF(X166&gt;7,0.25,0),0+IF(X166&gt;7,0.25))))+IF(AA166="-",0,IF(AA166&gt;9,0.5,IF(AA166&gt;7,0.25,0)))+IF(AB166="-",0,IF(AB166&gt;7,1.1,IF(AB166&gt;4,0.6,0)))+IF(OR(AC166="-",V166&lt;5),0,IF(AC166&gt;7,1+IF(V166&gt;7,0.25,0),IF(AC166&gt;4,0.5+IF(V166&gt;7,0.25,0),0)))+IF(AD166="-",0,IF(AD166&gt;7,1.5,IF(AD166&gt;4,1,0)))+IF(AE166="-",0,IF(AE166&gt;9,0.5,IF(AE166&gt;7,0.25,0)))+IF(AF166="-",0,IF(AF166&gt;7,1.25,IF(AF166&gt;4,0.75,0)))+IF(OR(AG166="-",W166&lt;4),0,IF(AG166&gt;7,1+IF(W166&gt;7,0.15,0),IF(AG166&gt;4,0.5+IF(W166&gt;7,0.15,0),0))))</f>
        <v>0</v>
      </c>
      <c r="AQ166" s="46">
        <f>($AM$3*AM166+$AN$3*AN166+$AO$3*AO166+$AP$3*AP166)+$I$3*VLOOKUP(I166,COND!$A$2:$E$7,4,FALSE)+$J$3*VLOOKUP(J166,COND!$A$2:$C$7,2,FALSE)+$K$3*VLOOKUP(K166,COND!$A$2:$C$7,3,FALSE)+IF(AND($B$2&gt;0,$E166&lt;20),$B$2*25,0)</f>
        <v>42.398083131970708</v>
      </c>
      <c r="AR166" s="49">
        <f>STANDARDIZE(AQ166,AVERAGE($AQ$5:$AQ$537),STDEVP($AQ$5:$AQ$537))</f>
        <v>0.3606549805707267</v>
      </c>
      <c r="AS166" s="47" t="str">
        <f>IF(AND(Z166&lt;&gt;"-",Y166&gt;1),"C",IF(AB166=MAX(AB166:AD166),"2B",IF(AD166=MAX(AB166:AD166),"SS",IF(OR(AC166=MAX(AA166:AD166),AND(AC166&lt;&gt;"-",AC166&gt;4,V166&gt;5)),"3B",IF(AF166=MAX(AE166:AG166),"CF",IF(AND(AG166=MAX(AE166,AG166),AND(W166&gt;5,AG166&lt;&gt;"-")),"RF",IF(AE166&lt;&gt;"-","LF",IF(AA166&lt;&gt;"-","1B","DH"))))))))</f>
        <v>DH</v>
      </c>
      <c r="AT166" s="47"/>
      <c r="AU166" s="47"/>
      <c r="AV166" s="47"/>
      <c r="AW166" s="47" t="str">
        <f>IF(AND($Q166&gt;=6,AVERAGE($S166:$T166)&gt;=6),"Likely",IF(OR($Q166&gt;6,AND($Q166=6,AVERAGE($S166:$T166)&gt;=3),AND($Q166&gt;=5,AVERAGE($S166:$T166)&gt;=5),AVERAGE($Q166,$S166:$T166)&gt;5),"Possible","Unlikely"))</f>
        <v>Unlikely</v>
      </c>
      <c r="AX166" s="47"/>
      <c r="AY166" s="47" t="str">
        <f>INDEX(Table5[[#All],[Ovr]],MATCH(Batters[[#This Row],[PID]],Table5[[#All],[PID]],0))</f>
        <v/>
      </c>
      <c r="AZ166" s="47" t="str">
        <f>INDEX(Table5[[#All],[Rnd]],MATCH(Batters[[#This Row],[PID]],Table5[[#All],[PID]],0))</f>
        <v/>
      </c>
      <c r="BA166" s="47" t="str">
        <f>INDEX(Table5[[#All],[Pick]],MATCH(Batters[[#This Row],[PID]],Table5[[#All],[PID]],0))</f>
        <v/>
      </c>
      <c r="BB166" s="47" t="str">
        <f>INDEX(Table5[[#All],[Team]],MATCH(Batters[[#This Row],[PID]],Table5[[#All],[PID]],0))</f>
        <v/>
      </c>
    </row>
    <row r="167" spans="1:54" ht="15" customHeight="1" x14ac:dyDescent="0.25">
      <c r="A167" s="42">
        <v>9732</v>
      </c>
      <c r="B167" s="42" t="s">
        <v>87</v>
      </c>
      <c r="C167" s="42" t="s">
        <v>639</v>
      </c>
      <c r="D167" s="42" t="s">
        <v>1119</v>
      </c>
      <c r="E167" s="42">
        <v>21</v>
      </c>
      <c r="F167" s="42" t="s">
        <v>53</v>
      </c>
      <c r="G167" s="42" t="s">
        <v>53</v>
      </c>
      <c r="H167" s="43" t="s">
        <v>709</v>
      </c>
      <c r="I167" s="44" t="s">
        <v>43</v>
      </c>
      <c r="J167" s="42" t="s">
        <v>47</v>
      </c>
      <c r="K167" s="43" t="s">
        <v>43</v>
      </c>
      <c r="L167" s="42">
        <v>2</v>
      </c>
      <c r="M167" s="42">
        <v>3</v>
      </c>
      <c r="N167" s="42">
        <v>3</v>
      </c>
      <c r="O167" s="42">
        <v>3</v>
      </c>
      <c r="P167" s="43">
        <v>3</v>
      </c>
      <c r="Q167" s="42">
        <v>4</v>
      </c>
      <c r="R167" s="42">
        <v>4</v>
      </c>
      <c r="S167" s="42">
        <v>4</v>
      </c>
      <c r="T167" s="42">
        <v>5</v>
      </c>
      <c r="U167" s="43">
        <v>4</v>
      </c>
      <c r="V167" s="42">
        <v>2</v>
      </c>
      <c r="W167" s="42">
        <v>4</v>
      </c>
      <c r="X167" s="42">
        <v>1</v>
      </c>
      <c r="Y167" s="43">
        <v>1</v>
      </c>
      <c r="Z167" s="42" t="s">
        <v>45</v>
      </c>
      <c r="AA167" s="42">
        <v>7</v>
      </c>
      <c r="AB167" s="42" t="s">
        <v>45</v>
      </c>
      <c r="AC167" s="42" t="s">
        <v>45</v>
      </c>
      <c r="AD167" s="42" t="s">
        <v>45</v>
      </c>
      <c r="AE167" s="42" t="s">
        <v>45</v>
      </c>
      <c r="AF167" s="42" t="s">
        <v>45</v>
      </c>
      <c r="AG167" s="43" t="s">
        <v>45</v>
      </c>
      <c r="AH167" s="42">
        <v>2</v>
      </c>
      <c r="AI167" s="42">
        <v>1</v>
      </c>
      <c r="AJ167" s="43">
        <v>3</v>
      </c>
      <c r="AK167" s="45" t="s">
        <v>45</v>
      </c>
      <c r="AL167" s="45" t="s">
        <v>47</v>
      </c>
      <c r="AM167" s="46">
        <f>($L$3*(L167-$Q$1)/$Q$2+$M$3*(M167-$R$1)/$R$2+$N$3*(N167-$S$1)/$S$2+$O$3*(O167-$T$1)/$T$2+$P$3*(P167-$U$1)/$U$2)/(SUM($L$3:$P$3))</f>
        <v>-1.2340929866863586</v>
      </c>
      <c r="AN167" s="46">
        <f>($L$3*(Q167-$Q$1)/$Q$2+$M$3*(R167-$R$1)/$R$2+$N$3*(S167-$S$1)/$S$2+$O$3*(T167-$T$1)/$T$2+$P$3*(U167-$U$1)/$U$2)/(SUM($L$3:$P$3))</f>
        <v>-0.23542450080215838</v>
      </c>
      <c r="AO167" s="47">
        <f>IF(AVERAGE(AH167:AI167)&gt;9,1,0)+IF(AVERAGE(AH167:AI167)&gt;7,1,0)+IF(AH167&gt;7,1,0)+IF(AI167&gt;7,1,0)+IF(AJ167&gt;8,1,0)+IF(AJ167&gt;6,1,0)</f>
        <v>0</v>
      </c>
      <c r="AP167" s="48">
        <f>MIN(2,IF(OR(Z167="-",X167&lt;5),0,1+IF(Y167&gt;7,0.35,IF(Y167&gt;5,0.1,0))+IF(Z167&gt;7,1+IF(X167&gt;7,0.25,0),IF(Z167&gt;4,0.5+IF(X167&gt;7,0.25,0),0+IF(X167&gt;7,0.25))))+IF(AA167="-",0,IF(AA167&gt;9,0.5,IF(AA167&gt;7,0.25,0)))+IF(AB167="-",0,IF(AB167&gt;7,1.1,IF(AB167&gt;4,0.6,0)))+IF(OR(AC167="-",V167&lt;5),0,IF(AC167&gt;7,1+IF(V167&gt;7,0.25,0),IF(AC167&gt;4,0.5+IF(V167&gt;7,0.25,0),0)))+IF(AD167="-",0,IF(AD167&gt;7,1.5,IF(AD167&gt;4,1,0)))+IF(AE167="-",0,IF(AE167&gt;9,0.5,IF(AE167&gt;7,0.25,0)))+IF(AF167="-",0,IF(AF167&gt;7,1.25,IF(AF167&gt;4,0.75,0)))+IF(OR(AG167="-",W167&lt;4),0,IF(AG167&gt;7,1+IF(W167&gt;7,0.15,0),IF(AG167&gt;4,0.5+IF(W167&gt;7,0.15,0),0))))</f>
        <v>0</v>
      </c>
      <c r="AQ167" s="46">
        <f>($AM$3*AM167+$AN$3*AN167+$AO$3*AO167+$AP$3*AP167)+$I$3*VLOOKUP(I167,COND!$A$2:$E$7,4,FALSE)+$J$3*VLOOKUP(J167,COND!$A$2:$C$7,2,FALSE)+$K$3*VLOOKUP(K167,COND!$A$2:$C$7,3,FALSE)+IF(AND($B$2&gt;0,$E167&lt;20),$B$2*25,0)</f>
        <v>42.351496691705464</v>
      </c>
      <c r="AR167" s="49">
        <f>STANDARDIZE(AQ167,AVERAGE($AQ$5:$AQ$537),STDEVP($AQ$5:$AQ$537))</f>
        <v>0.35245840603367229</v>
      </c>
      <c r="AS167" s="47" t="str">
        <f>IF(AND(Z167&lt;&gt;"-",Y167&gt;1),"C",IF(AB167=MAX(AB167:AD167),"2B",IF(AD167=MAX(AB167:AD167),"SS",IF(OR(AC167=MAX(AA167:AD167),AND(AC167&lt;&gt;"-",AC167&gt;4,V167&gt;5)),"3B",IF(AF167=MAX(AE167:AG167),"CF",IF(AND(AG167=MAX(AE167,AG167),AND(W167&gt;5,AG167&lt;&gt;"-")),"RF",IF(AE167&lt;&gt;"-","LF",IF(AA167&lt;&gt;"-","1B","DH"))))))))</f>
        <v>1B</v>
      </c>
      <c r="AT167" s="47"/>
      <c r="AU167" s="47"/>
      <c r="AV167" s="47"/>
      <c r="AW167" s="47" t="str">
        <f>IF(AND($Q167&gt;=6,AVERAGE($S167:$T167)&gt;=6),"Likely",IF(OR($Q167&gt;6,AND($Q167=6,AVERAGE($S167:$T167)&gt;=3),AND($Q167&gt;=5,AVERAGE($S167:$T167)&gt;=5),AVERAGE($Q167,$S167:$T167)&gt;5),"Possible","Unlikely"))</f>
        <v>Unlikely</v>
      </c>
      <c r="AX167" s="47"/>
      <c r="AY167" s="47" t="str">
        <f>INDEX(Table5[[#All],[Ovr]],MATCH(Batters[[#This Row],[PID]],Table5[[#All],[PID]],0))</f>
        <v/>
      </c>
      <c r="AZ167" s="47" t="str">
        <f>INDEX(Table5[[#All],[Rnd]],MATCH(Batters[[#This Row],[PID]],Table5[[#All],[PID]],0))</f>
        <v/>
      </c>
      <c r="BA167" s="47" t="str">
        <f>INDEX(Table5[[#All],[Pick]],MATCH(Batters[[#This Row],[PID]],Table5[[#All],[PID]],0))</f>
        <v/>
      </c>
      <c r="BB167" s="47" t="str">
        <f>INDEX(Table5[[#All],[Team]],MATCH(Batters[[#This Row],[PID]],Table5[[#All],[PID]],0))</f>
        <v/>
      </c>
    </row>
    <row r="168" spans="1:54" ht="15" customHeight="1" x14ac:dyDescent="0.25">
      <c r="A168" s="42">
        <v>6206</v>
      </c>
      <c r="B168" s="42" t="s">
        <v>87</v>
      </c>
      <c r="C168" s="42" t="s">
        <v>1321</v>
      </c>
      <c r="D168" s="42" t="s">
        <v>756</v>
      </c>
      <c r="E168" s="42">
        <v>18</v>
      </c>
      <c r="F168" s="42" t="s">
        <v>53</v>
      </c>
      <c r="G168" s="42" t="s">
        <v>53</v>
      </c>
      <c r="H168" s="43" t="s">
        <v>709</v>
      </c>
      <c r="I168" s="44" t="s">
        <v>43</v>
      </c>
      <c r="J168" s="42" t="s">
        <v>43</v>
      </c>
      <c r="K168" s="43" t="s">
        <v>43</v>
      </c>
      <c r="L168" s="42">
        <v>1</v>
      </c>
      <c r="M168" s="42">
        <v>2</v>
      </c>
      <c r="N168" s="42">
        <v>3</v>
      </c>
      <c r="O168" s="42">
        <v>2</v>
      </c>
      <c r="P168" s="43">
        <v>1</v>
      </c>
      <c r="Q168" s="42">
        <v>3</v>
      </c>
      <c r="R168" s="42">
        <v>3</v>
      </c>
      <c r="S168" s="42">
        <v>5</v>
      </c>
      <c r="T168" s="42">
        <v>5</v>
      </c>
      <c r="U168" s="43">
        <v>3</v>
      </c>
      <c r="V168" s="42">
        <v>3</v>
      </c>
      <c r="W168" s="42">
        <v>3</v>
      </c>
      <c r="X168" s="42">
        <v>1</v>
      </c>
      <c r="Y168" s="43">
        <v>1</v>
      </c>
      <c r="Z168" s="42" t="s">
        <v>45</v>
      </c>
      <c r="AA168" s="42">
        <v>1</v>
      </c>
      <c r="AB168" s="42" t="s">
        <v>45</v>
      </c>
      <c r="AC168" s="42" t="s">
        <v>45</v>
      </c>
      <c r="AD168" s="42" t="s">
        <v>45</v>
      </c>
      <c r="AE168" s="42" t="s">
        <v>45</v>
      </c>
      <c r="AF168" s="42" t="s">
        <v>45</v>
      </c>
      <c r="AG168" s="43" t="s">
        <v>45</v>
      </c>
      <c r="AH168" s="42">
        <v>1</v>
      </c>
      <c r="AI168" s="42">
        <v>1</v>
      </c>
      <c r="AJ168" s="43">
        <v>2</v>
      </c>
      <c r="AK168" s="45" t="s">
        <v>739</v>
      </c>
      <c r="AL168" s="45" t="s">
        <v>705</v>
      </c>
      <c r="AM168" s="46">
        <f>($L$3*(L168-$Q$1)/$Q$2+$M$3*(M168-$R$1)/$R$2+$N$3*(N168-$S$1)/$S$2+$O$3*(O168-$T$1)/$T$2+$P$3*(P168-$U$1)/$U$2)/(SUM($L$3:$P$3))</f>
        <v>-1.7774509321514844</v>
      </c>
      <c r="AN168" s="46">
        <f>($L$3*(Q168-$Q$1)/$Q$2+$M$3*(R168-$R$1)/$R$2+$N$3*(S168-$S$1)/$S$2+$O$3*(T168-$T$1)/$T$2+$P$3*(U168-$U$1)/$U$2)/(SUM($L$3:$P$3))</f>
        <v>-0.56599506241671849</v>
      </c>
      <c r="AO168" s="47">
        <f>IF(AVERAGE(AH168:AI168)&gt;9,1,0)+IF(AVERAGE(AH168:AI168)&gt;7,1,0)+IF(AH168&gt;7,1,0)+IF(AI168&gt;7,1,0)+IF(AJ168&gt;8,1,0)+IF(AJ168&gt;6,1,0)</f>
        <v>0</v>
      </c>
      <c r="AP168" s="48">
        <f>MIN(2,IF(OR(Z168="-",X168&lt;5),0,1+IF(Y168&gt;7,0.35,IF(Y168&gt;5,0.1,0))+IF(Z168&gt;7,1+IF(X168&gt;7,0.25,0),IF(Z168&gt;4,0.5+IF(X168&gt;7,0.25,0),0+IF(X168&gt;7,0.25))))+IF(AA168="-",0,IF(AA168&gt;9,0.5,IF(AA168&gt;7,0.25,0)))+IF(AB168="-",0,IF(AB168&gt;7,1.1,IF(AB168&gt;4,0.6,0)))+IF(OR(AC168="-",V168&lt;5),0,IF(AC168&gt;7,1+IF(V168&gt;7,0.25,0),IF(AC168&gt;4,0.5+IF(V168&gt;7,0.25,0),0)))+IF(AD168="-",0,IF(AD168&gt;7,1.5,IF(AD168&gt;4,1,0)))+IF(AE168="-",0,IF(AE168&gt;9,0.5,IF(AE168&gt;7,0.25,0)))+IF(AF168="-",0,IF(AF168&gt;7,1.25,IF(AF168&gt;4,0.75,0)))+IF(OR(AG168="-",W168&lt;4),0,IF(AG168&gt;7,1+IF(W168&gt;7,0.15,0),IF(AG168&gt;4,0.5+IF(W168&gt;7,0.15,0),0))))</f>
        <v>0</v>
      </c>
      <c r="AQ168" s="46">
        <f>($AM$3*AM168+$AN$3*AN168+$AO$3*AO168+$AP$3*AP168)+$I$3*VLOOKUP(I168,COND!$A$2:$E$7,4,FALSE)+$J$3*VLOOKUP(J168,COND!$A$2:$C$7,2,FALSE)+$K$3*VLOOKUP(K168,COND!$A$2:$C$7,3,FALSE)+IF(AND($B$2&gt;0,$E168&lt;20),$B$2*25,0)</f>
        <v>43.030314157784233</v>
      </c>
      <c r="AR168" s="49">
        <f>STANDARDIZE(AQ168,AVERAGE($AQ$5:$AQ$537),STDEVP($AQ$5:$AQ$537))</f>
        <v>0.47189182756341413</v>
      </c>
      <c r="AS168" s="47" t="str">
        <f>IF(AND(Z168&lt;&gt;"-",Y168&gt;1),"C",IF(AB168=MAX(AB168:AD168),"2B",IF(AD168=MAX(AB168:AD168),"SS",IF(OR(AC168=MAX(AA168:AD168),AND(AC168&lt;&gt;"-",AC168&gt;4,V168&gt;5)),"3B",IF(AF168=MAX(AE168:AG168),"CF",IF(AND(AG168=MAX(AE168,AG168),AND(W168&gt;5,AG168&lt;&gt;"-")),"RF",IF(AE168&lt;&gt;"-","LF",IF(AA168&lt;&gt;"-","1B","DH"))))))))</f>
        <v>1B</v>
      </c>
      <c r="AT168" s="47"/>
      <c r="AU168" s="47"/>
      <c r="AV168" s="47"/>
      <c r="AW168" s="47" t="str">
        <f>IF(AND($Q168&gt;=6,AVERAGE($S168:$T168)&gt;=6),"Likely",IF(OR($Q168&gt;6,AND($Q168=6,AVERAGE($S168:$T168)&gt;=3),AND($Q168&gt;=5,AVERAGE($S168:$T168)&gt;=5),AVERAGE($Q168,$S168:$T168)&gt;5),"Possible","Unlikely"))</f>
        <v>Unlikely</v>
      </c>
      <c r="AX168" s="47"/>
      <c r="AY168" s="47" t="str">
        <f>INDEX(Table5[[#All],[Ovr]],MATCH(Batters[[#This Row],[PID]],Table5[[#All],[PID]],0))</f>
        <v/>
      </c>
      <c r="AZ168" s="47" t="str">
        <f>INDEX(Table5[[#All],[Rnd]],MATCH(Batters[[#This Row],[PID]],Table5[[#All],[PID]],0))</f>
        <v/>
      </c>
      <c r="BA168" s="47" t="str">
        <f>INDEX(Table5[[#All],[Pick]],MATCH(Batters[[#This Row],[PID]],Table5[[#All],[PID]],0))</f>
        <v/>
      </c>
      <c r="BB168" s="47" t="str">
        <f>INDEX(Table5[[#All],[Team]],MATCH(Batters[[#This Row],[PID]],Table5[[#All],[PID]],0))</f>
        <v/>
      </c>
    </row>
    <row r="169" spans="1:54" ht="15" customHeight="1" x14ac:dyDescent="0.25">
      <c r="A169" s="42">
        <v>6256</v>
      </c>
      <c r="B169" s="42" t="s">
        <v>87</v>
      </c>
      <c r="C169" s="42" t="s">
        <v>348</v>
      </c>
      <c r="D169" s="42" t="s">
        <v>777</v>
      </c>
      <c r="E169" s="42">
        <v>18</v>
      </c>
      <c r="F169" s="42" t="s">
        <v>42</v>
      </c>
      <c r="G169" s="42" t="s">
        <v>42</v>
      </c>
      <c r="H169" s="43" t="s">
        <v>711</v>
      </c>
      <c r="I169" s="44" t="s">
        <v>43</v>
      </c>
      <c r="J169" s="42" t="s">
        <v>47</v>
      </c>
      <c r="K169" s="43" t="s">
        <v>47</v>
      </c>
      <c r="L169" s="42">
        <v>1</v>
      </c>
      <c r="M169" s="42">
        <v>2</v>
      </c>
      <c r="N169" s="42">
        <v>2</v>
      </c>
      <c r="O169" s="42">
        <v>2</v>
      </c>
      <c r="P169" s="43">
        <v>1</v>
      </c>
      <c r="Q169" s="42">
        <v>3</v>
      </c>
      <c r="R169" s="42">
        <v>3</v>
      </c>
      <c r="S169" s="42">
        <v>3</v>
      </c>
      <c r="T169" s="42">
        <v>5</v>
      </c>
      <c r="U169" s="43">
        <v>3</v>
      </c>
      <c r="V169" s="42">
        <v>3</v>
      </c>
      <c r="W169" s="42">
        <v>3</v>
      </c>
      <c r="X169" s="42">
        <v>4</v>
      </c>
      <c r="Y169" s="43">
        <v>5</v>
      </c>
      <c r="Z169" s="42" t="s">
        <v>45</v>
      </c>
      <c r="AA169" s="42">
        <v>3</v>
      </c>
      <c r="AB169" s="42" t="s">
        <v>45</v>
      </c>
      <c r="AC169" s="42" t="s">
        <v>45</v>
      </c>
      <c r="AD169" s="42" t="s">
        <v>45</v>
      </c>
      <c r="AE169" s="42" t="s">
        <v>45</v>
      </c>
      <c r="AF169" s="42" t="s">
        <v>45</v>
      </c>
      <c r="AG169" s="43" t="s">
        <v>45</v>
      </c>
      <c r="AH169" s="42">
        <v>3</v>
      </c>
      <c r="AI169" s="42">
        <v>6</v>
      </c>
      <c r="AJ169" s="43">
        <v>6</v>
      </c>
      <c r="AK169" s="45" t="s">
        <v>730</v>
      </c>
      <c r="AL169" s="45" t="s">
        <v>705</v>
      </c>
      <c r="AM169" s="46">
        <f>($L$3*(L169-$Q$1)/$Q$2+$M$3*(M169-$R$1)/$R$2+$N$3*(N169-$S$1)/$S$2+$O$3*(O169-$T$1)/$T$2+$P$3*(P169-$U$1)/$U$2)/(SUM($L$3:$P$3))</f>
        <v>-1.8605124261753858</v>
      </c>
      <c r="AN169" s="46">
        <f>($L$3*(Q169-$Q$1)/$Q$2+$M$3*(R169-$R$1)/$R$2+$N$3*(S169-$S$1)/$S$2+$O$3*(T169-$T$1)/$T$2+$P$3*(U169-$U$1)/$U$2)/(SUM($L$3:$P$3))</f>
        <v>-0.73211805046452161</v>
      </c>
      <c r="AO169" s="47">
        <f>IF(AVERAGE(AH169:AI169)&gt;9,1,0)+IF(AVERAGE(AH169:AI169)&gt;7,1,0)+IF(AH169&gt;7,1,0)+IF(AI169&gt;7,1,0)+IF(AJ169&gt;8,1,0)+IF(AJ169&gt;6,1,0)</f>
        <v>0</v>
      </c>
      <c r="AP169" s="48">
        <f>MIN(2,IF(OR(Z169="-",X169&lt;5),0,1+IF(Y169&gt;7,0.35,IF(Y169&gt;5,0.1,0))+IF(Z169&gt;7,1+IF(X169&gt;7,0.25,0),IF(Z169&gt;4,0.5+IF(X169&gt;7,0.25,0),0+IF(X169&gt;7,0.25))))+IF(AA169="-",0,IF(AA169&gt;9,0.5,IF(AA169&gt;7,0.25,0)))+IF(AB169="-",0,IF(AB169&gt;7,1.1,IF(AB169&gt;4,0.6,0)))+IF(OR(AC169="-",V169&lt;5),0,IF(AC169&gt;7,1+IF(V169&gt;7,0.25,0),IF(AC169&gt;4,0.5+IF(V169&gt;7,0.25,0),0)))+IF(AD169="-",0,IF(AD169&gt;7,1.5,IF(AD169&gt;4,1,0)))+IF(AE169="-",0,IF(AE169&gt;9,0.5,IF(AE169&gt;7,0.25,0)))+IF(AF169="-",0,IF(AF169&gt;7,1.25,IF(AF169&gt;4,0.75,0)))+IF(OR(AG169="-",W169&lt;4),0,IF(AG169&gt;7,1+IF(W169&gt;7,0.15,0),IF(AG169&gt;4,0.5+IF(W169&gt;7,0.15,0),0))))</f>
        <v>0</v>
      </c>
      <c r="AQ169" s="46">
        <f>($AM$3*AM169+$AN$3*AN169+$AO$3*AO169+$AP$3*AP169)+$I$3*VLOOKUP(I169,COND!$A$2:$E$7,4,FALSE)+$J$3*VLOOKUP(J169,COND!$A$2:$C$7,2,FALSE)+$K$3*VLOOKUP(K169,COND!$A$2:$C$7,3,FALSE)+IF(AND($B$2&gt;0,$E169&lt;20),$B$2*25,0)</f>
        <v>41.628532151808201</v>
      </c>
      <c r="AR169" s="49">
        <f>STANDARDIZE(AQ169,AVERAGE($AQ$5:$AQ$537),STDEVP($AQ$5:$AQ$537))</f>
        <v>0.22525760028041236</v>
      </c>
      <c r="AS169" s="47" t="str">
        <f>IF(AND(Z169&lt;&gt;"-",Y169&gt;1),"C",IF(AB169=MAX(AB169:AD169),"2B",IF(AD169=MAX(AB169:AD169),"SS",IF(OR(AC169=MAX(AA169:AD169),AND(AC169&lt;&gt;"-",AC169&gt;4,V169&gt;5)),"3B",IF(AF169=MAX(AE169:AG169),"CF",IF(AND(AG169=MAX(AE169,AG169),AND(W169&gt;5,AG169&lt;&gt;"-")),"RF",IF(AE169&lt;&gt;"-","LF",IF(AA169&lt;&gt;"-","1B","DH"))))))))</f>
        <v>1B</v>
      </c>
      <c r="AT169" s="47"/>
      <c r="AU169" s="47"/>
      <c r="AV169" s="47"/>
      <c r="AW169" s="47" t="str">
        <f>IF(AND($Q169&gt;=6,AVERAGE($S169:$T169)&gt;=6),"Likely",IF(OR($Q169&gt;6,AND($Q169=6,AVERAGE($S169:$T169)&gt;=3),AND($Q169&gt;=5,AVERAGE($S169:$T169)&gt;=5),AVERAGE($Q169,$S169:$T169)&gt;5),"Possible","Unlikely"))</f>
        <v>Unlikely</v>
      </c>
      <c r="AX169" s="47"/>
      <c r="AY169" s="47" t="str">
        <f>INDEX(Table5[[#All],[Ovr]],MATCH(Batters[[#This Row],[PID]],Table5[[#All],[PID]],0))</f>
        <v/>
      </c>
      <c r="AZ169" s="47" t="str">
        <f>INDEX(Table5[[#All],[Rnd]],MATCH(Batters[[#This Row],[PID]],Table5[[#All],[PID]],0))</f>
        <v/>
      </c>
      <c r="BA169" s="47" t="str">
        <f>INDEX(Table5[[#All],[Pick]],MATCH(Batters[[#This Row],[PID]],Table5[[#All],[PID]],0))</f>
        <v/>
      </c>
      <c r="BB169" s="47" t="str">
        <f>INDEX(Table5[[#All],[Team]],MATCH(Batters[[#This Row],[PID]],Table5[[#All],[PID]],0))</f>
        <v/>
      </c>
    </row>
    <row r="170" spans="1:54" ht="15" customHeight="1" x14ac:dyDescent="0.25">
      <c r="A170" s="42">
        <v>13564</v>
      </c>
      <c r="B170" s="42" t="s">
        <v>66</v>
      </c>
      <c r="C170" s="42" t="s">
        <v>1010</v>
      </c>
      <c r="D170" s="42" t="s">
        <v>979</v>
      </c>
      <c r="E170" s="42">
        <v>18</v>
      </c>
      <c r="F170" s="42" t="s">
        <v>53</v>
      </c>
      <c r="G170" s="42" t="s">
        <v>53</v>
      </c>
      <c r="H170" s="43" t="s">
        <v>711</v>
      </c>
      <c r="I170" s="44" t="s">
        <v>43</v>
      </c>
      <c r="J170" s="42" t="s">
        <v>43</v>
      </c>
      <c r="K170" s="43" t="s">
        <v>43</v>
      </c>
      <c r="L170" s="42">
        <v>1</v>
      </c>
      <c r="M170" s="42">
        <v>1</v>
      </c>
      <c r="N170" s="42">
        <v>2</v>
      </c>
      <c r="O170" s="42">
        <v>1</v>
      </c>
      <c r="P170" s="43">
        <v>1</v>
      </c>
      <c r="Q170" s="42">
        <v>3</v>
      </c>
      <c r="R170" s="42">
        <v>3</v>
      </c>
      <c r="S170" s="42">
        <v>5</v>
      </c>
      <c r="T170" s="42">
        <v>5</v>
      </c>
      <c r="U170" s="43">
        <v>3</v>
      </c>
      <c r="V170" s="42">
        <v>9</v>
      </c>
      <c r="W170" s="42">
        <v>10</v>
      </c>
      <c r="X170" s="42">
        <v>1</v>
      </c>
      <c r="Y170" s="43">
        <v>1</v>
      </c>
      <c r="Z170" s="42" t="s">
        <v>45</v>
      </c>
      <c r="AA170" s="42" t="s">
        <v>45</v>
      </c>
      <c r="AB170" s="42" t="s">
        <v>45</v>
      </c>
      <c r="AC170" s="42" t="s">
        <v>45</v>
      </c>
      <c r="AD170" s="42" t="s">
        <v>45</v>
      </c>
      <c r="AE170" s="42" t="s">
        <v>45</v>
      </c>
      <c r="AF170" s="42" t="s">
        <v>45</v>
      </c>
      <c r="AG170" s="43">
        <v>1</v>
      </c>
      <c r="AH170" s="42">
        <v>1</v>
      </c>
      <c r="AI170" s="42">
        <v>1</v>
      </c>
      <c r="AJ170" s="43">
        <v>1</v>
      </c>
      <c r="AK170" s="45" t="s">
        <v>787</v>
      </c>
      <c r="AL170" s="45" t="s">
        <v>47</v>
      </c>
      <c r="AM170" s="46">
        <f>($L$3*(L170-$Q$1)/$Q$2+$M$3*(M170-$R$1)/$R$2+$N$3*(N170-$S$1)/$S$2+$O$3*(O170-$T$1)/$T$2+$P$3*(P170-$U$1)/$U$2)/(SUM($L$3:$P$3))</f>
        <v>-2.0012818558036707</v>
      </c>
      <c r="AN170" s="46">
        <f>($L$3*(Q170-$Q$1)/$Q$2+$M$3*(R170-$R$1)/$R$2+$N$3*(S170-$S$1)/$S$2+$O$3*(T170-$T$1)/$T$2+$P$3*(U170-$U$1)/$U$2)/(SUM($L$3:$P$3))</f>
        <v>-0.56599506241671849</v>
      </c>
      <c r="AO170" s="47">
        <f>IF(AVERAGE(AH170:AI170)&gt;9,1,0)+IF(AVERAGE(AH170:AI170)&gt;7,1,0)+IF(AH170&gt;7,1,0)+IF(AI170&gt;7,1,0)+IF(AJ170&gt;8,1,0)+IF(AJ170&gt;6,1,0)</f>
        <v>0</v>
      </c>
      <c r="AP170" s="48">
        <f>MIN(2,IF(OR(Z170="-",X170&lt;5),0,1+IF(Y170&gt;7,0.35,IF(Y170&gt;5,0.1,0))+IF(Z170&gt;7,1+IF(X170&gt;7,0.25,0),IF(Z170&gt;4,0.5+IF(X170&gt;7,0.25,0),0+IF(X170&gt;7,0.25))))+IF(AA170="-",0,IF(AA170&gt;9,0.5,IF(AA170&gt;7,0.25,0)))+IF(AB170="-",0,IF(AB170&gt;7,1.1,IF(AB170&gt;4,0.6,0)))+IF(OR(AC170="-",V170&lt;5),0,IF(AC170&gt;7,1+IF(V170&gt;7,0.25,0),IF(AC170&gt;4,0.5+IF(V170&gt;7,0.25,0),0)))+IF(AD170="-",0,IF(AD170&gt;7,1.5,IF(AD170&gt;4,1,0)))+IF(AE170="-",0,IF(AE170&gt;9,0.5,IF(AE170&gt;7,0.25,0)))+IF(AF170="-",0,IF(AF170&gt;7,1.25,IF(AF170&gt;4,0.75,0)))+IF(OR(AG170="-",W170&lt;4),0,IF(AG170&gt;7,1+IF(W170&gt;7,0.15,0),IF(AG170&gt;4,0.5+IF(W170&gt;7,0.15,0),0))))</f>
        <v>0</v>
      </c>
      <c r="AQ170" s="46">
        <f>($AM$3*AM170+$AN$3*AN170+$AO$3*AO170+$AP$3*AP170)+$I$3*VLOOKUP(I170,COND!$A$2:$E$7,4,FALSE)+$J$3*VLOOKUP(J170,COND!$A$2:$C$7,2,FALSE)+$K$3*VLOOKUP(K170,COND!$A$2:$C$7,3,FALSE)+IF(AND($B$2&gt;0,$E170&lt;20),$B$2*25,0)</f>
        <v>43.007931065419015</v>
      </c>
      <c r="AR170" s="49">
        <f>STANDARDIZE(AQ170,AVERAGE($AQ$5:$AQ$537),STDEVP($AQ$5:$AQ$537))</f>
        <v>0.4679536712265765</v>
      </c>
      <c r="AS170" s="47" t="str">
        <f>IF(AND(Z170&lt;&gt;"-",Y170&gt;1),"C",IF(AB170=MAX(AB170:AD170),"2B",IF(AD170=MAX(AB170:AD170),"SS",IF(OR(AC170=MAX(AA170:AD170),AND(AC170&lt;&gt;"-",AC170&gt;4,V170&gt;5)),"3B",IF(AF170=MAX(AE170:AG170),"CF",IF(AND(AG170=MAX(AE170,AG170),AND(W170&gt;5,AG170&lt;&gt;"-")),"RF",IF(AE170&lt;&gt;"-","LF",IF(AA170&lt;&gt;"-","1B","DH"))))))))</f>
        <v>RF</v>
      </c>
      <c r="AT170" s="47"/>
      <c r="AU170" s="47"/>
      <c r="AV170" s="47"/>
      <c r="AW170" s="47" t="str">
        <f>IF(AND($Q170&gt;=6,AVERAGE($S170:$T170)&gt;=6),"Likely",IF(OR($Q170&gt;6,AND($Q170=6,AVERAGE($S170:$T170)&gt;=3),AND($Q170&gt;=5,AVERAGE($S170:$T170)&gt;=5),AVERAGE($Q170,$S170:$T170)&gt;5),"Possible","Unlikely"))</f>
        <v>Unlikely</v>
      </c>
      <c r="AX170" s="47"/>
      <c r="AY170" s="47" t="str">
        <f>INDEX(Table5[[#All],[Ovr]],MATCH(Batters[[#This Row],[PID]],Table5[[#All],[PID]],0))</f>
        <v/>
      </c>
      <c r="AZ170" s="47" t="str">
        <f>INDEX(Table5[[#All],[Rnd]],MATCH(Batters[[#This Row],[PID]],Table5[[#All],[PID]],0))</f>
        <v/>
      </c>
      <c r="BA170" s="47" t="str">
        <f>INDEX(Table5[[#All],[Pick]],MATCH(Batters[[#This Row],[PID]],Table5[[#All],[PID]],0))</f>
        <v/>
      </c>
      <c r="BB170" s="47" t="str">
        <f>INDEX(Table5[[#All],[Team]],MATCH(Batters[[#This Row],[PID]],Table5[[#All],[PID]],0))</f>
        <v/>
      </c>
    </row>
    <row r="171" spans="1:54" ht="15" customHeight="1" x14ac:dyDescent="0.25">
      <c r="A171" s="42">
        <v>9353</v>
      </c>
      <c r="B171" s="42" t="s">
        <v>86</v>
      </c>
      <c r="C171" s="42" t="s">
        <v>798</v>
      </c>
      <c r="D171" s="42" t="s">
        <v>1404</v>
      </c>
      <c r="E171" s="42">
        <v>20</v>
      </c>
      <c r="F171" s="42" t="s">
        <v>42</v>
      </c>
      <c r="G171" s="42" t="s">
        <v>42</v>
      </c>
      <c r="H171" s="43" t="s">
        <v>709</v>
      </c>
      <c r="I171" s="44" t="s">
        <v>43</v>
      </c>
      <c r="J171" s="42" t="s">
        <v>44</v>
      </c>
      <c r="K171" s="43" t="s">
        <v>44</v>
      </c>
      <c r="L171" s="42">
        <v>1</v>
      </c>
      <c r="M171" s="42">
        <v>2</v>
      </c>
      <c r="N171" s="42">
        <v>2</v>
      </c>
      <c r="O171" s="42">
        <v>3</v>
      </c>
      <c r="P171" s="43">
        <v>1</v>
      </c>
      <c r="Q171" s="42">
        <v>2</v>
      </c>
      <c r="R171" s="42">
        <v>5</v>
      </c>
      <c r="S171" s="42">
        <v>4</v>
      </c>
      <c r="T171" s="42">
        <v>6</v>
      </c>
      <c r="U171" s="43">
        <v>2</v>
      </c>
      <c r="V171" s="42">
        <v>1</v>
      </c>
      <c r="W171" s="42">
        <v>2</v>
      </c>
      <c r="X171" s="42">
        <v>3</v>
      </c>
      <c r="Y171" s="43">
        <v>8</v>
      </c>
      <c r="Z171" s="42" t="s">
        <v>45</v>
      </c>
      <c r="AA171" s="42" t="s">
        <v>45</v>
      </c>
      <c r="AB171" s="42" t="s">
        <v>45</v>
      </c>
      <c r="AC171" s="42" t="s">
        <v>45</v>
      </c>
      <c r="AD171" s="42" t="s">
        <v>45</v>
      </c>
      <c r="AE171" s="42" t="s">
        <v>45</v>
      </c>
      <c r="AF171" s="42" t="s">
        <v>45</v>
      </c>
      <c r="AG171" s="43" t="s">
        <v>45</v>
      </c>
      <c r="AH171" s="42">
        <v>3</v>
      </c>
      <c r="AI171" s="42">
        <v>3</v>
      </c>
      <c r="AJ171" s="43">
        <v>1</v>
      </c>
      <c r="AK171" s="45" t="s">
        <v>615</v>
      </c>
      <c r="AL171" s="45" t="s">
        <v>47</v>
      </c>
      <c r="AM171" s="46"/>
      <c r="AN171" s="46"/>
      <c r="AO171" s="47"/>
      <c r="AP171" s="48"/>
      <c r="AQ171" s="46">
        <f>($AM$3*AM171+$AN$3*AN171+$AO$3*AO171+$AP$3*AP171)+$I$3*VLOOKUP(I171,COND!$A$2:$E$7,4,FALSE)+$J$3*VLOOKUP(J171,COND!$A$2:$C$7,2,FALSE)+$K$3*VLOOKUP(K171,COND!$A$2:$C$7,3,FALSE)+IF(AND($B$2&gt;0,$E171&lt;20),$B$2*25,0)</f>
        <v>44.4</v>
      </c>
      <c r="AR171" s="49">
        <f>STANDARDIZE(AQ171,AVERAGE($AQ$5:$AQ$537),STDEVP($AQ$5:$AQ$537))</f>
        <v>0.71287894815363884</v>
      </c>
      <c r="AS171" s="47"/>
      <c r="AT171" s="47"/>
      <c r="AU171" s="47"/>
      <c r="AV171" s="47"/>
      <c r="AW171" s="47" t="str">
        <f>IF(AND($Q171&gt;=6,AVERAGE($S171:$T171)&gt;=6),"Likely",IF(OR($Q171&gt;6,AND($Q171=6,AVERAGE($S171:$T171)&gt;=3),AND($Q171&gt;=5,AVERAGE($S171:$T171)&gt;=5),AVERAGE($Q171,$S171:$T171)&gt;5),"Possible","Unlikely"))</f>
        <v>Unlikely</v>
      </c>
      <c r="AX171" s="47"/>
      <c r="AY171" s="47" t="str">
        <f>INDEX(Table5[[#All],[Ovr]],MATCH(Batters[[#This Row],[PID]],Table5[[#All],[PID]],0))</f>
        <v/>
      </c>
      <c r="AZ171" s="47" t="str">
        <f>INDEX(Table5[[#All],[Rnd]],MATCH(Batters[[#This Row],[PID]],Table5[[#All],[PID]],0))</f>
        <v/>
      </c>
      <c r="BA171" s="47" t="str">
        <f>INDEX(Table5[[#All],[Pick]],MATCH(Batters[[#This Row],[PID]],Table5[[#All],[PID]],0))</f>
        <v/>
      </c>
      <c r="BB171" s="47" t="str">
        <f>INDEX(Table5[[#All],[Team]],MATCH(Batters[[#This Row],[PID]],Table5[[#All],[PID]],0))</f>
        <v/>
      </c>
    </row>
    <row r="172" spans="1:54" ht="15" customHeight="1" x14ac:dyDescent="0.25">
      <c r="A172" s="42">
        <v>6253</v>
      </c>
      <c r="B172" s="42" t="s">
        <v>69</v>
      </c>
      <c r="C172" s="42" t="s">
        <v>1207</v>
      </c>
      <c r="D172" s="42" t="s">
        <v>1208</v>
      </c>
      <c r="E172" s="42">
        <v>18</v>
      </c>
      <c r="F172" s="42" t="s">
        <v>42</v>
      </c>
      <c r="G172" s="42" t="s">
        <v>42</v>
      </c>
      <c r="H172" s="43" t="s">
        <v>709</v>
      </c>
      <c r="I172" s="44" t="s">
        <v>43</v>
      </c>
      <c r="J172" s="42" t="s">
        <v>43</v>
      </c>
      <c r="K172" s="43" t="s">
        <v>43</v>
      </c>
      <c r="L172" s="42">
        <v>2</v>
      </c>
      <c r="M172" s="42">
        <v>2</v>
      </c>
      <c r="N172" s="42">
        <v>2</v>
      </c>
      <c r="O172" s="42">
        <v>2</v>
      </c>
      <c r="P172" s="43">
        <v>1</v>
      </c>
      <c r="Q172" s="42">
        <v>3</v>
      </c>
      <c r="R172" s="42">
        <v>5</v>
      </c>
      <c r="S172" s="42">
        <v>3</v>
      </c>
      <c r="T172" s="42">
        <v>5</v>
      </c>
      <c r="U172" s="43">
        <v>4</v>
      </c>
      <c r="V172" s="42">
        <v>8</v>
      </c>
      <c r="W172" s="42">
        <v>7</v>
      </c>
      <c r="X172" s="42">
        <v>1</v>
      </c>
      <c r="Y172" s="43">
        <v>1</v>
      </c>
      <c r="Z172" s="42" t="s">
        <v>45</v>
      </c>
      <c r="AA172" s="42" t="s">
        <v>45</v>
      </c>
      <c r="AB172" s="42" t="s">
        <v>45</v>
      </c>
      <c r="AC172" s="42">
        <v>2</v>
      </c>
      <c r="AD172" s="42" t="s">
        <v>45</v>
      </c>
      <c r="AE172" s="42">
        <v>2</v>
      </c>
      <c r="AF172" s="42" t="s">
        <v>45</v>
      </c>
      <c r="AG172" s="43" t="s">
        <v>45</v>
      </c>
      <c r="AH172" s="42">
        <v>8</v>
      </c>
      <c r="AI172" s="42">
        <v>3</v>
      </c>
      <c r="AJ172" s="43">
        <v>2</v>
      </c>
      <c r="AK172" s="45" t="s">
        <v>730</v>
      </c>
      <c r="AL172" s="45" t="s">
        <v>47</v>
      </c>
      <c r="AM172" s="46">
        <f>($L$3*(L172-$Q$1)/$Q$2+$M$3*(M172-$R$1)/$R$2+$N$3*(N172-$S$1)/$S$2+$O$3*(O172-$T$1)/$T$2+$P$3*(P172-$U$1)/$U$2)/(SUM($L$3:$P$3))</f>
        <v>-1.5379565899727115</v>
      </c>
      <c r="AN172" s="46">
        <f>($L$3*(Q172-$Q$1)/$Q$2+$M$3*(R172-$R$1)/$R$2+$N$3*(S172-$S$1)/$S$2+$O$3*(T172-$T$1)/$T$2+$P$3*(U172-$U$1)/$U$2)/(SUM($L$3:$P$3))</f>
        <v>-0.58998195141003107</v>
      </c>
      <c r="AO172" s="47">
        <f>IF(AVERAGE(AH172:AI172)&gt;9,1,0)+IF(AVERAGE(AH172:AI172)&gt;7,1,0)+IF(AH172&gt;7,1,0)+IF(AI172&gt;7,1,0)+IF(AJ172&gt;8,1,0)+IF(AJ172&gt;6,1,0)</f>
        <v>1</v>
      </c>
      <c r="AP172" s="48">
        <f>MIN(2,IF(OR(Z172="-",X172&lt;5),0,1+IF(Y172&gt;7,0.35,IF(Y172&gt;5,0.1,0))+IF(Z172&gt;7,1+IF(X172&gt;7,0.25,0),IF(Z172&gt;4,0.5+IF(X172&gt;7,0.25,0),0+IF(X172&gt;7,0.25))))+IF(AA172="-",0,IF(AA172&gt;9,0.5,IF(AA172&gt;7,0.25,0)))+IF(AB172="-",0,IF(AB172&gt;7,1.1,IF(AB172&gt;4,0.6,0)))+IF(OR(AC172="-",V172&lt;5),0,IF(AC172&gt;7,1+IF(V172&gt;7,0.25,0),IF(AC172&gt;4,0.5+IF(V172&gt;7,0.25,0),0)))+IF(AD172="-",0,IF(AD172&gt;7,1.5,IF(AD172&gt;4,1,0)))+IF(AE172="-",0,IF(AE172&gt;9,0.5,IF(AE172&gt;7,0.25,0)))+IF(AF172="-",0,IF(AF172&gt;7,1.25,IF(AF172&gt;4,0.75,0)))+IF(OR(AG172="-",W172&lt;4),0,IF(AG172&gt;7,1+IF(W172&gt;7,0.15,0),IF(AG172&gt;4,0.5+IF(W172&gt;7,0.15,0),0))))</f>
        <v>0</v>
      </c>
      <c r="AQ172" s="46">
        <f>($AM$3*AM172+$AN$3*AN172+$AO$3*AO172+$AP$3*AP172)+$I$3*VLOOKUP(I172,COND!$A$2:$E$7,4,FALSE)+$J$3*VLOOKUP(J172,COND!$A$2:$C$7,2,FALSE)+$K$3*VLOOKUP(K172,COND!$A$2:$C$7,3,FALSE)+IF(AND($B$2&gt;0,$E172&lt;20),$B$2*25,0)</f>
        <v>42.933087590749025</v>
      </c>
      <c r="AR172" s="49">
        <f>STANDARDIZE(AQ172,AVERAGE($AQ$5:$AQ$537),STDEVP($AQ$5:$AQ$537))</f>
        <v>0.45478545929083025</v>
      </c>
      <c r="AS172" s="47" t="str">
        <f>IF(AND(Z172&lt;&gt;"-",Y172&gt;1),"C",IF(AB172=MAX(AB172:AD172),"2B",IF(AD172=MAX(AB172:AD172),"SS",IF(OR(AC172=MAX(AA172:AD172),AND(AC172&lt;&gt;"-",AC172&gt;4,V172&gt;5)),"3B",IF(AF172=MAX(AE172:AG172),"CF",IF(AND(AG172=MAX(AE172,AG172),AND(W172&gt;5,AG172&lt;&gt;"-")),"RF",IF(AE172&lt;&gt;"-","LF",IF(AA172&lt;&gt;"-","1B","DH"))))))))</f>
        <v>3B</v>
      </c>
      <c r="AT172" s="47"/>
      <c r="AU172" s="47"/>
      <c r="AV172" s="47"/>
      <c r="AW172" s="47" t="str">
        <f>IF(AND($Q172&gt;=6,AVERAGE($S172:$T172)&gt;=6),"Likely",IF(OR($Q172&gt;6,AND($Q172=6,AVERAGE($S172:$T172)&gt;=3),AND($Q172&gt;=5,AVERAGE($S172:$T172)&gt;=5),AVERAGE($Q172,$S172:$T172)&gt;5),"Possible","Unlikely"))</f>
        <v>Unlikely</v>
      </c>
      <c r="AX172" s="47"/>
      <c r="AY172" s="47" t="str">
        <f>INDEX(Table5[[#All],[Ovr]],MATCH(Batters[[#This Row],[PID]],Table5[[#All],[PID]],0))</f>
        <v/>
      </c>
      <c r="AZ172" s="47" t="str">
        <f>INDEX(Table5[[#All],[Rnd]],MATCH(Batters[[#This Row],[PID]],Table5[[#All],[PID]],0))</f>
        <v/>
      </c>
      <c r="BA172" s="47" t="str">
        <f>INDEX(Table5[[#All],[Pick]],MATCH(Batters[[#This Row],[PID]],Table5[[#All],[PID]],0))</f>
        <v/>
      </c>
      <c r="BB172" s="47" t="str">
        <f>INDEX(Table5[[#All],[Team]],MATCH(Batters[[#This Row],[PID]],Table5[[#All],[PID]],0))</f>
        <v/>
      </c>
    </row>
    <row r="173" spans="1:54" ht="15" customHeight="1" x14ac:dyDescent="0.25">
      <c r="A173" s="42">
        <v>17996</v>
      </c>
      <c r="B173" s="42" t="s">
        <v>71</v>
      </c>
      <c r="C173" s="42" t="s">
        <v>327</v>
      </c>
      <c r="D173" s="42" t="s">
        <v>1103</v>
      </c>
      <c r="E173" s="42">
        <v>21</v>
      </c>
      <c r="F173" s="42" t="s">
        <v>42</v>
      </c>
      <c r="G173" s="42" t="s">
        <v>42</v>
      </c>
      <c r="H173" s="43" t="s">
        <v>709</v>
      </c>
      <c r="I173" s="44" t="s">
        <v>47</v>
      </c>
      <c r="J173" s="42" t="s">
        <v>47</v>
      </c>
      <c r="K173" s="43" t="s">
        <v>43</v>
      </c>
      <c r="L173" s="42">
        <v>2</v>
      </c>
      <c r="M173" s="42">
        <v>2</v>
      </c>
      <c r="N173" s="42">
        <v>2</v>
      </c>
      <c r="O173" s="42">
        <v>1</v>
      </c>
      <c r="P173" s="43">
        <v>2</v>
      </c>
      <c r="Q173" s="42">
        <v>4</v>
      </c>
      <c r="R173" s="42">
        <v>6</v>
      </c>
      <c r="S173" s="42">
        <v>3</v>
      </c>
      <c r="T173" s="42">
        <v>4</v>
      </c>
      <c r="U173" s="43">
        <v>4</v>
      </c>
      <c r="V173" s="42">
        <v>5</v>
      </c>
      <c r="W173" s="42">
        <v>3</v>
      </c>
      <c r="X173" s="42">
        <v>1</v>
      </c>
      <c r="Y173" s="43">
        <v>1</v>
      </c>
      <c r="Z173" s="42" t="s">
        <v>45</v>
      </c>
      <c r="AA173" s="42" t="s">
        <v>45</v>
      </c>
      <c r="AB173" s="42">
        <v>4</v>
      </c>
      <c r="AC173" s="42" t="s">
        <v>45</v>
      </c>
      <c r="AD173" s="42">
        <v>1</v>
      </c>
      <c r="AE173" s="42" t="s">
        <v>45</v>
      </c>
      <c r="AF173" s="42" t="s">
        <v>45</v>
      </c>
      <c r="AG173" s="43" t="s">
        <v>45</v>
      </c>
      <c r="AH173" s="42">
        <v>8</v>
      </c>
      <c r="AI173" s="42">
        <v>9</v>
      </c>
      <c r="AJ173" s="43">
        <v>6</v>
      </c>
      <c r="AK173" s="45" t="s">
        <v>916</v>
      </c>
      <c r="AL173" s="45" t="s">
        <v>705</v>
      </c>
      <c r="AM173" s="46">
        <f>($L$3*(L173-$Q$1)/$Q$2+$M$3*(M173-$R$1)/$R$2+$N$3*(N173-$S$1)/$S$2+$O$3*(O173-$T$1)/$T$2+$P$3*(P173-$U$1)/$U$2)/(SUM($L$3:$P$3))</f>
        <v>-1.5876498001652086</v>
      </c>
      <c r="AN173" s="46">
        <f>($L$3*(Q173-$Q$1)/$Q$2+$M$3*(R173-$R$1)/$R$2+$N$3*(S173-$S$1)/$S$2+$O$3*(T173-$T$1)/$T$2+$P$3*(U173-$U$1)/$U$2)/(SUM($L$3:$P$3))</f>
        <v>-0.30607578559823384</v>
      </c>
      <c r="AO173" s="47">
        <f>IF(AVERAGE(AH173:AI173)&gt;9,1,0)+IF(AVERAGE(AH173:AI173)&gt;7,1,0)+IF(AH173&gt;7,1,0)+IF(AI173&gt;7,1,0)+IF(AJ173&gt;8,1,0)+IF(AJ173&gt;6,1,0)</f>
        <v>3</v>
      </c>
      <c r="AP173" s="48">
        <f>MIN(2,IF(OR(Z173="-",X173&lt;5),0,1+IF(Y173&gt;7,0.35,IF(Y173&gt;5,0.1,0))+IF(Z173&gt;7,1+IF(X173&gt;7,0.25,0),IF(Z173&gt;4,0.5+IF(X173&gt;7,0.25,0),0+IF(X173&gt;7,0.25))))+IF(AA173="-",0,IF(AA173&gt;9,0.5,IF(AA173&gt;7,0.25,0)))+IF(AB173="-",0,IF(AB173&gt;7,1.1,IF(AB173&gt;4,0.6,0)))+IF(OR(AC173="-",V173&lt;5),0,IF(AC173&gt;7,1+IF(V173&gt;7,0.25,0),IF(AC173&gt;4,0.5+IF(V173&gt;7,0.25,0),0)))+IF(AD173="-",0,IF(AD173&gt;7,1.5,IF(AD173&gt;4,1,0)))+IF(AE173="-",0,IF(AE173&gt;9,0.5,IF(AE173&gt;7,0.25,0)))+IF(AF173="-",0,IF(AF173&gt;7,1.25,IF(AF173&gt;4,0.75,0)))+IF(OR(AG173="-",W173&lt;4),0,IF(AG173&gt;7,1+IF(W173&gt;7,0.15,0),IF(AG173&gt;4,0.5+IF(W173&gt;7,0.15,0),0))))</f>
        <v>0</v>
      </c>
      <c r="AQ173" s="46">
        <f>($AM$3*AM173+$AN$3*AN173+$AO$3*AO173+$AP$3*AP173)+$I$3*VLOOKUP(I173,COND!$A$2:$E$7,4,FALSE)+$J$3*VLOOKUP(J173,COND!$A$2:$C$7,2,FALSE)+$K$3*VLOOKUP(K173,COND!$A$2:$C$7,3,FALSE)+IF(AND($B$2&gt;0,$E173&lt;20),$B$2*25,0)</f>
        <v>42.193325592804669</v>
      </c>
      <c r="AR173" s="49">
        <f>STANDARDIZE(AQ173,AVERAGE($AQ$5:$AQ$537),STDEVP($AQ$5:$AQ$537))</f>
        <v>0.32462925243518631</v>
      </c>
      <c r="AS173" s="47" t="str">
        <f>IF(AND(Z173&lt;&gt;"-",Y173&gt;1),"C",IF(AB173=MAX(AB173:AD173),"2B",IF(AD173=MAX(AB173:AD173),"SS",IF(OR(AC173=MAX(AA173:AD173),AND(AC173&lt;&gt;"-",AC173&gt;4,V173&gt;5)),"3B",IF(AF173=MAX(AE173:AG173),"CF",IF(AND(AG173=MAX(AE173,AG173),AND(W173&gt;5,AG173&lt;&gt;"-")),"RF",IF(AE173&lt;&gt;"-","LF",IF(AA173&lt;&gt;"-","1B","DH"))))))))</f>
        <v>2B</v>
      </c>
      <c r="AT173" s="47"/>
      <c r="AU173" s="47"/>
      <c r="AV173" s="47"/>
      <c r="AW173" s="47" t="str">
        <f>IF(AND($Q173&gt;=6,AVERAGE($S173:$T173)&gt;=6),"Likely",IF(OR($Q173&gt;6,AND($Q173=6,AVERAGE($S173:$T173)&gt;=3),AND($Q173&gt;=5,AVERAGE($S173:$T173)&gt;=5),AVERAGE($Q173,$S173:$T173)&gt;5),"Possible","Unlikely"))</f>
        <v>Unlikely</v>
      </c>
      <c r="AX173" s="47"/>
      <c r="AY173" s="47" t="str">
        <f>INDEX(Table5[[#All],[Ovr]],MATCH(Batters[[#This Row],[PID]],Table5[[#All],[PID]],0))</f>
        <v/>
      </c>
      <c r="AZ173" s="47" t="str">
        <f>INDEX(Table5[[#All],[Rnd]],MATCH(Batters[[#This Row],[PID]],Table5[[#All],[PID]],0))</f>
        <v/>
      </c>
      <c r="BA173" s="47" t="str">
        <f>INDEX(Table5[[#All],[Pick]],MATCH(Batters[[#This Row],[PID]],Table5[[#All],[PID]],0))</f>
        <v/>
      </c>
      <c r="BB173" s="47" t="str">
        <f>INDEX(Table5[[#All],[Team]],MATCH(Batters[[#This Row],[PID]],Table5[[#All],[PID]],0))</f>
        <v/>
      </c>
    </row>
    <row r="174" spans="1:54" ht="15" customHeight="1" x14ac:dyDescent="0.25">
      <c r="A174" s="42">
        <v>10294</v>
      </c>
      <c r="B174" s="42" t="s">
        <v>74</v>
      </c>
      <c r="C174" s="42" t="s">
        <v>861</v>
      </c>
      <c r="D174" s="42" t="s">
        <v>1071</v>
      </c>
      <c r="E174" s="42">
        <v>18</v>
      </c>
      <c r="F174" s="42" t="s">
        <v>53</v>
      </c>
      <c r="G174" s="42" t="s">
        <v>42</v>
      </c>
      <c r="H174" s="43" t="s">
        <v>709</v>
      </c>
      <c r="I174" s="44" t="s">
        <v>44</v>
      </c>
      <c r="J174" s="42" t="s">
        <v>44</v>
      </c>
      <c r="K174" s="43" t="s">
        <v>43</v>
      </c>
      <c r="L174" s="42">
        <v>1</v>
      </c>
      <c r="M174" s="42">
        <v>2</v>
      </c>
      <c r="N174" s="42">
        <v>2</v>
      </c>
      <c r="O174" s="42">
        <v>1</v>
      </c>
      <c r="P174" s="43">
        <v>2</v>
      </c>
      <c r="Q174" s="42">
        <v>4</v>
      </c>
      <c r="R174" s="42">
        <v>4</v>
      </c>
      <c r="S174" s="42">
        <v>2</v>
      </c>
      <c r="T174" s="42">
        <v>4</v>
      </c>
      <c r="U174" s="43">
        <v>4</v>
      </c>
      <c r="V174" s="42">
        <v>5</v>
      </c>
      <c r="W174" s="42">
        <v>7</v>
      </c>
      <c r="X174" s="42">
        <v>1</v>
      </c>
      <c r="Y174" s="43">
        <v>1</v>
      </c>
      <c r="Z174" s="42" t="s">
        <v>45</v>
      </c>
      <c r="AA174" s="42" t="s">
        <v>45</v>
      </c>
      <c r="AB174" s="42" t="s">
        <v>45</v>
      </c>
      <c r="AC174" s="42" t="s">
        <v>45</v>
      </c>
      <c r="AD174" s="42" t="s">
        <v>45</v>
      </c>
      <c r="AE174" s="42">
        <v>3</v>
      </c>
      <c r="AF174" s="42">
        <v>2</v>
      </c>
      <c r="AG174" s="43" t="s">
        <v>45</v>
      </c>
      <c r="AH174" s="42">
        <v>7</v>
      </c>
      <c r="AI174" s="42">
        <v>6</v>
      </c>
      <c r="AJ174" s="43">
        <v>5</v>
      </c>
      <c r="AK174" s="45" t="s">
        <v>615</v>
      </c>
      <c r="AL174" s="45" t="s">
        <v>47</v>
      </c>
      <c r="AM174" s="46">
        <f>($L$3*(L174-$Q$1)/$Q$2+$M$3*(M174-$R$1)/$R$2+$N$3*(N174-$S$1)/$S$2+$O$3*(O174-$T$1)/$T$2+$P$3*(P174-$U$1)/$U$2)/(SUM($L$3:$P$3))</f>
        <v>-1.9102056363678834</v>
      </c>
      <c r="AN174" s="46">
        <f>($L$3*(Q174-$Q$1)/$Q$2+$M$3*(R174-$R$1)/$R$2+$N$3*(S174-$S$1)/$S$2+$O$3*(T174-$T$1)/$T$2+$P$3*(U174-$U$1)/$U$2)/(SUM($L$3:$P$3))</f>
        <v>-0.49125703885954242</v>
      </c>
      <c r="AO174" s="47">
        <f>IF(AVERAGE(AH174:AI174)&gt;9,1,0)+IF(AVERAGE(AH174:AI174)&gt;7,1,0)+IF(AH174&gt;7,1,0)+IF(AI174&gt;7,1,0)+IF(AJ174&gt;8,1,0)+IF(AJ174&gt;6,1,0)</f>
        <v>0</v>
      </c>
      <c r="AP174" s="48">
        <f>MIN(2,IF(OR(Z174="-",X174&lt;5),0,1+IF(Y174&gt;7,0.35,IF(Y174&gt;5,0.1,0))+IF(Z174&gt;7,1+IF(X174&gt;7,0.25,0),IF(Z174&gt;4,0.5+IF(X174&gt;7,0.25,0),0+IF(X174&gt;7,0.25))))+IF(AA174="-",0,IF(AA174&gt;9,0.5,IF(AA174&gt;7,0.25,0)))+IF(AB174="-",0,IF(AB174&gt;7,1.1,IF(AB174&gt;4,0.6,0)))+IF(OR(AC174="-",V174&lt;5),0,IF(AC174&gt;7,1+IF(V174&gt;7,0.25,0),IF(AC174&gt;4,0.5+IF(V174&gt;7,0.25,0),0)))+IF(AD174="-",0,IF(AD174&gt;7,1.5,IF(AD174&gt;4,1,0)))+IF(AE174="-",0,IF(AE174&gt;9,0.5,IF(AE174&gt;7,0.25,0)))+IF(AF174="-",0,IF(AF174&gt;7,1.25,IF(AF174&gt;4,0.75,0)))+IF(OR(AG174="-",W174&lt;4),0,IF(AG174&gt;7,1+IF(W174&gt;7,0.15,0),IF(AG174&gt;4,0.5+IF(W174&gt;7,0.15,0),0))))</f>
        <v>0</v>
      </c>
      <c r="AQ174" s="46">
        <f>($AM$3*AM174+$AN$3*AN174+$AO$3*AO174+$AP$3*AP174)+$I$3*VLOOKUP(I174,COND!$A$2:$E$7,4,FALSE)+$J$3*VLOOKUP(J174,COND!$A$2:$C$7,2,FALSE)+$K$3*VLOOKUP(K174,COND!$A$2:$C$7,3,FALSE)+IF(AND($B$2&gt;0,$E174&lt;20),$B$2*25,0)</f>
        <v>43.463894970048699</v>
      </c>
      <c r="AR174" s="49">
        <f>STANDARDIZE(AQ174,AVERAGE($AQ$5:$AQ$537),STDEVP($AQ$5:$AQ$537))</f>
        <v>0.54817748977172998</v>
      </c>
      <c r="AS174" s="47" t="str">
        <f>IF(AND(Z174&lt;&gt;"-",Y174&gt;1),"C",IF(AB174=MAX(AB174:AD174),"2B",IF(AD174=MAX(AB174:AD174),"SS",IF(OR(AC174=MAX(AA174:AD174),AND(AC174&lt;&gt;"-",AC174&gt;4,V174&gt;5)),"3B",IF(AF174=MAX(AE174:AG174),"CF",IF(AND(AG174=MAX(AE174,AG174),AND(W174&gt;5,AG174&lt;&gt;"-")),"RF",IF(AE174&lt;&gt;"-","LF",IF(AA174&lt;&gt;"-","1B","DH"))))))))</f>
        <v>LF</v>
      </c>
      <c r="AT174" s="47"/>
      <c r="AU174" s="47"/>
      <c r="AV174" s="47"/>
      <c r="AW174" s="47" t="str">
        <f>IF(AND($Q174&gt;=6,AVERAGE($S174:$T174)&gt;=6),"Likely",IF(OR($Q174&gt;6,AND($Q174=6,AVERAGE($S174:$T174)&gt;=3),AND($Q174&gt;=5,AVERAGE($S174:$T174)&gt;=5),AVERAGE($Q174,$S174:$T174)&gt;5),"Possible","Unlikely"))</f>
        <v>Unlikely</v>
      </c>
      <c r="AX174" s="47"/>
      <c r="AY174" s="47" t="str">
        <f>INDEX(Table5[[#All],[Ovr]],MATCH(Batters[[#This Row],[PID]],Table5[[#All],[PID]],0))</f>
        <v/>
      </c>
      <c r="AZ174" s="47" t="str">
        <f>INDEX(Table5[[#All],[Rnd]],MATCH(Batters[[#This Row],[PID]],Table5[[#All],[PID]],0))</f>
        <v/>
      </c>
      <c r="BA174" s="47" t="str">
        <f>INDEX(Table5[[#All],[Pick]],MATCH(Batters[[#This Row],[PID]],Table5[[#All],[PID]],0))</f>
        <v/>
      </c>
      <c r="BB174" s="47" t="str">
        <f>INDEX(Table5[[#All],[Team]],MATCH(Batters[[#This Row],[PID]],Table5[[#All],[PID]],0))</f>
        <v/>
      </c>
    </row>
    <row r="175" spans="1:54" ht="15" customHeight="1" x14ac:dyDescent="0.25">
      <c r="A175" s="42">
        <v>9630</v>
      </c>
      <c r="B175" s="42" t="s">
        <v>71</v>
      </c>
      <c r="C175" s="42" t="s">
        <v>798</v>
      </c>
      <c r="D175" s="42" t="s">
        <v>174</v>
      </c>
      <c r="E175" s="42">
        <v>21</v>
      </c>
      <c r="F175" s="42" t="s">
        <v>42</v>
      </c>
      <c r="G175" s="42" t="s">
        <v>42</v>
      </c>
      <c r="H175" s="43" t="s">
        <v>703</v>
      </c>
      <c r="I175" s="44" t="s">
        <v>43</v>
      </c>
      <c r="J175" s="42" t="s">
        <v>43</v>
      </c>
      <c r="K175" s="43" t="s">
        <v>43</v>
      </c>
      <c r="L175" s="42">
        <v>2</v>
      </c>
      <c r="M175" s="42">
        <v>4</v>
      </c>
      <c r="N175" s="42">
        <v>2</v>
      </c>
      <c r="O175" s="42">
        <v>2</v>
      </c>
      <c r="P175" s="43">
        <v>2</v>
      </c>
      <c r="Q175" s="42">
        <v>4</v>
      </c>
      <c r="R175" s="42">
        <v>6</v>
      </c>
      <c r="S175" s="42">
        <v>3</v>
      </c>
      <c r="T175" s="42">
        <v>5</v>
      </c>
      <c r="U175" s="43">
        <v>5</v>
      </c>
      <c r="V175" s="42">
        <v>3</v>
      </c>
      <c r="W175" s="42">
        <v>2</v>
      </c>
      <c r="X175" s="42">
        <v>1</v>
      </c>
      <c r="Y175" s="43">
        <v>1</v>
      </c>
      <c r="Z175" s="42" t="s">
        <v>45</v>
      </c>
      <c r="AA175" s="42" t="s">
        <v>45</v>
      </c>
      <c r="AB175" s="42">
        <v>4</v>
      </c>
      <c r="AC175" s="42" t="s">
        <v>45</v>
      </c>
      <c r="AD175" s="42" t="s">
        <v>45</v>
      </c>
      <c r="AE175" s="42" t="s">
        <v>45</v>
      </c>
      <c r="AF175" s="42" t="s">
        <v>45</v>
      </c>
      <c r="AG175" s="43" t="s">
        <v>45</v>
      </c>
      <c r="AH175" s="42">
        <v>6</v>
      </c>
      <c r="AI175" s="42">
        <v>5</v>
      </c>
      <c r="AJ175" s="43">
        <v>3</v>
      </c>
      <c r="AK175" s="45" t="s">
        <v>615</v>
      </c>
      <c r="AL175" s="45" t="s">
        <v>705</v>
      </c>
      <c r="AM175" s="46">
        <f>($L$3*(L175-$Q$1)/$Q$2+$M$3*(M175-$R$1)/$R$2+$N$3*(N175-$S$1)/$S$2+$O$3*(O175-$T$1)/$T$2+$P$3*(P175-$U$1)/$U$2)/(SUM($L$3:$P$3))</f>
        <v>-1.3958204909182206</v>
      </c>
      <c r="AN175" s="46">
        <f>($L$3*(Q175-$Q$1)/$Q$2+$M$3*(R175-$R$1)/$R$2+$N$3*(S175-$S$1)/$S$2+$O$3*(T175-$T$1)/$T$2+$P$3*(U175-$U$1)/$U$2)/(SUM($L$3:$P$3))</f>
        <v>-0.17634989577156937</v>
      </c>
      <c r="AO175" s="47">
        <f>IF(AVERAGE(AH175:AI175)&gt;9,1,0)+IF(AVERAGE(AH175:AI175)&gt;7,1,0)+IF(AH175&gt;7,1,0)+IF(AI175&gt;7,1,0)+IF(AJ175&gt;8,1,0)+IF(AJ175&gt;6,1,0)</f>
        <v>0</v>
      </c>
      <c r="AP175" s="48">
        <f>MIN(2,IF(OR(Z175="-",X175&lt;5),0,1+IF(Y175&gt;7,0.35,IF(Y175&gt;5,0.1,0))+IF(Z175&gt;7,1+IF(X175&gt;7,0.25,0),IF(Z175&gt;4,0.5+IF(X175&gt;7,0.25,0),0+IF(X175&gt;7,0.25))))+IF(AA175="-",0,IF(AA175&gt;9,0.5,IF(AA175&gt;7,0.25,0)))+IF(AB175="-",0,IF(AB175&gt;7,1.1,IF(AB175&gt;4,0.6,0)))+IF(OR(AC175="-",V175&lt;5),0,IF(AC175&gt;7,1+IF(V175&gt;7,0.25,0),IF(AC175&gt;4,0.5+IF(V175&gt;7,0.25,0),0)))+IF(AD175="-",0,IF(AD175&gt;7,1.5,IF(AD175&gt;4,1,0)))+IF(AE175="-",0,IF(AE175&gt;9,0.5,IF(AE175&gt;7,0.25,0)))+IF(AF175="-",0,IF(AF175&gt;7,1.25,IF(AF175&gt;4,0.75,0)))+IF(OR(AG175="-",W175&lt;4),0,IF(AG175&gt;7,1+IF(W175&gt;7,0.15,0),IF(AG175&gt;4,0.5+IF(W175&gt;7,0.15,0),0))))</f>
        <v>0</v>
      </c>
      <c r="AQ175" s="46">
        <f>($AM$3*AM175+$AN$3*AN175+$AO$3*AO175+$AP$3*AP175)+$I$3*VLOOKUP(I175,COND!$A$2:$E$7,4,FALSE)+$J$3*VLOOKUP(J175,COND!$A$2:$C$7,2,FALSE)+$K$3*VLOOKUP(K175,COND!$A$2:$C$7,3,FALSE)+IF(AND($B$2&gt;0,$E175&lt;20),$B$2*25,0)</f>
        <v>42.744219201649344</v>
      </c>
      <c r="AR175" s="49">
        <f>STANDARDIZE(AQ175,AVERAGE($AQ$5:$AQ$537),STDEVP($AQ$5:$AQ$537))</f>
        <v>0.42155532150535369</v>
      </c>
      <c r="AS175" s="47" t="str">
        <f>IF(AND(Z175&lt;&gt;"-",Y175&gt;1),"C",IF(AB175=MAX(AB175:AD175),"2B",IF(AD175=MAX(AB175:AD175),"SS",IF(OR(AC175=MAX(AA175:AD175),AND(AC175&lt;&gt;"-",AC175&gt;4,V175&gt;5)),"3B",IF(AF175=MAX(AE175:AG175),"CF",IF(AND(AG175=MAX(AE175,AG175),AND(W175&gt;5,AG175&lt;&gt;"-")),"RF",IF(AE175&lt;&gt;"-","LF",IF(AA175&lt;&gt;"-","1B","DH"))))))))</f>
        <v>2B</v>
      </c>
      <c r="AT175" s="47"/>
      <c r="AU175" s="47"/>
      <c r="AV175" s="47"/>
      <c r="AW175" s="47" t="str">
        <f>IF(AND($Q175&gt;=6,AVERAGE($S175:$T175)&gt;=6),"Likely",IF(OR($Q175&gt;6,AND($Q175=6,AVERAGE($S175:$T175)&gt;=3),AND($Q175&gt;=5,AVERAGE($S175:$T175)&gt;=5),AVERAGE($Q175,$S175:$T175)&gt;5),"Possible","Unlikely"))</f>
        <v>Unlikely</v>
      </c>
      <c r="AX175" s="47"/>
      <c r="AY175" s="47" t="str">
        <f>INDEX(Table5[[#All],[Ovr]],MATCH(Batters[[#This Row],[PID]],Table5[[#All],[PID]],0))</f>
        <v/>
      </c>
      <c r="AZ175" s="47" t="str">
        <f>INDEX(Table5[[#All],[Rnd]],MATCH(Batters[[#This Row],[PID]],Table5[[#All],[PID]],0))</f>
        <v/>
      </c>
      <c r="BA175" s="47" t="str">
        <f>INDEX(Table5[[#All],[Pick]],MATCH(Batters[[#This Row],[PID]],Table5[[#All],[PID]],0))</f>
        <v/>
      </c>
      <c r="BB175" s="47" t="str">
        <f>INDEX(Table5[[#All],[Team]],MATCH(Batters[[#This Row],[PID]],Table5[[#All],[PID]],0))</f>
        <v/>
      </c>
    </row>
    <row r="176" spans="1:54" ht="15" customHeight="1" x14ac:dyDescent="0.25">
      <c r="A176" s="42">
        <v>7663</v>
      </c>
      <c r="B176" s="42" t="s">
        <v>87</v>
      </c>
      <c r="C176" s="42" t="s">
        <v>129</v>
      </c>
      <c r="D176" s="42" t="s">
        <v>144</v>
      </c>
      <c r="E176" s="42">
        <v>18</v>
      </c>
      <c r="F176" s="42" t="s">
        <v>53</v>
      </c>
      <c r="G176" s="42" t="s">
        <v>53</v>
      </c>
      <c r="H176" s="43" t="s">
        <v>711</v>
      </c>
      <c r="I176" s="44" t="s">
        <v>43</v>
      </c>
      <c r="J176" s="42" t="s">
        <v>43</v>
      </c>
      <c r="K176" s="43" t="s">
        <v>43</v>
      </c>
      <c r="L176" s="42">
        <v>1</v>
      </c>
      <c r="M176" s="42">
        <v>2</v>
      </c>
      <c r="N176" s="42">
        <v>2</v>
      </c>
      <c r="O176" s="42">
        <v>1</v>
      </c>
      <c r="P176" s="43">
        <v>1</v>
      </c>
      <c r="Q176" s="42">
        <v>3</v>
      </c>
      <c r="R176" s="42">
        <v>5</v>
      </c>
      <c r="S176" s="42">
        <v>5</v>
      </c>
      <c r="T176" s="42">
        <v>4</v>
      </c>
      <c r="U176" s="43">
        <v>2</v>
      </c>
      <c r="V176" s="42">
        <v>2</v>
      </c>
      <c r="W176" s="42">
        <v>4</v>
      </c>
      <c r="X176" s="42">
        <v>1</v>
      </c>
      <c r="Y176" s="43">
        <v>1</v>
      </c>
      <c r="Z176" s="42" t="s">
        <v>45</v>
      </c>
      <c r="AA176" s="42">
        <v>2</v>
      </c>
      <c r="AB176" s="42" t="s">
        <v>45</v>
      </c>
      <c r="AC176" s="42" t="s">
        <v>45</v>
      </c>
      <c r="AD176" s="42" t="s">
        <v>45</v>
      </c>
      <c r="AE176" s="42" t="s">
        <v>45</v>
      </c>
      <c r="AF176" s="42" t="s">
        <v>45</v>
      </c>
      <c r="AG176" s="43" t="s">
        <v>45</v>
      </c>
      <c r="AH176" s="42">
        <v>1</v>
      </c>
      <c r="AI176" s="42">
        <v>2</v>
      </c>
      <c r="AJ176" s="43">
        <v>1</v>
      </c>
      <c r="AK176" s="45" t="s">
        <v>593</v>
      </c>
      <c r="AL176" s="45" t="s">
        <v>47</v>
      </c>
      <c r="AM176" s="46">
        <f>($L$3*(L176-$Q$1)/$Q$2+$M$3*(M176-$R$1)/$R$2+$N$3*(N176-$S$1)/$S$2+$O$3*(O176-$T$1)/$T$2+$P$3*(P176-$U$1)/$U$2)/(SUM($L$3:$P$3))</f>
        <v>-1.9502219761849671</v>
      </c>
      <c r="AN176" s="46">
        <f>($L$3*(Q176-$Q$1)/$Q$2+$M$3*(R176-$R$1)/$R$2+$N$3*(S176-$S$1)/$S$2+$O$3*(T176-$T$1)/$T$2+$P$3*(U176-$U$1)/$U$2)/(SUM($L$3:$P$3))</f>
        <v>-0.59360119300597602</v>
      </c>
      <c r="AO176" s="47">
        <f>IF(AVERAGE(AH176:AI176)&gt;9,1,0)+IF(AVERAGE(AH176:AI176)&gt;7,1,0)+IF(AH176&gt;7,1,0)+IF(AI176&gt;7,1,0)+IF(AJ176&gt;8,1,0)+IF(AJ176&gt;6,1,0)</f>
        <v>0</v>
      </c>
      <c r="AP176" s="48">
        <f>MIN(2,IF(OR(Z176="-",X176&lt;5),0,1+IF(Y176&gt;7,0.35,IF(Y176&gt;5,0.1,0))+IF(Z176&gt;7,1+IF(X176&gt;7,0.25,0),IF(Z176&gt;4,0.5+IF(X176&gt;7,0.25,0),0+IF(X176&gt;7,0.25))))+IF(AA176="-",0,IF(AA176&gt;9,0.5,IF(AA176&gt;7,0.25,0)))+IF(AB176="-",0,IF(AB176&gt;7,1.1,IF(AB176&gt;4,0.6,0)))+IF(OR(AC176="-",V176&lt;5),0,IF(AC176&gt;7,1+IF(V176&gt;7,0.25,0),IF(AC176&gt;4,0.5+IF(V176&gt;7,0.25,0),0)))+IF(AD176="-",0,IF(AD176&gt;7,1.5,IF(AD176&gt;4,1,0)))+IF(AE176="-",0,IF(AE176&gt;9,0.5,IF(AE176&gt;7,0.25,0)))+IF(AF176="-",0,IF(AF176&gt;7,1.25,IF(AF176&gt;4,0.75,0)))+IF(OR(AG176="-",W176&lt;4),0,IF(AG176&gt;7,1+IF(W176&gt;7,0.15,0),IF(AG176&gt;4,0.5+IF(W176&gt;7,0.15,0),0))))</f>
        <v>0</v>
      </c>
      <c r="AQ176" s="46">
        <f>($AM$3*AM176+$AN$3*AN176+$AO$3*AO176+$AP$3*AP176)+$I$3*VLOOKUP(I176,COND!$A$2:$E$7,4,FALSE)+$J$3*VLOOKUP(J176,COND!$A$2:$C$7,2,FALSE)+$K$3*VLOOKUP(K176,COND!$A$2:$C$7,3,FALSE)+IF(AND($B$2&gt;0,$E176&lt;20),$B$2*25,0)</f>
        <v>42.681763486309791</v>
      </c>
      <c r="AR176" s="49">
        <f>STANDARDIZE(AQ176,AVERAGE($AQ$5:$AQ$537),STDEVP($AQ$5:$AQ$537))</f>
        <v>0.41056665349099114</v>
      </c>
      <c r="AS176" s="47" t="str">
        <f>IF(AND(Z176&lt;&gt;"-",Y176&gt;1),"C",IF(AB176=MAX(AB176:AD176),"2B",IF(AD176=MAX(AB176:AD176),"SS",IF(OR(AC176=MAX(AA176:AD176),AND(AC176&lt;&gt;"-",AC176&gt;4,V176&gt;5)),"3B",IF(AF176=MAX(AE176:AG176),"CF",IF(AND(AG176=MAX(AE176,AG176),AND(W176&gt;5,AG176&lt;&gt;"-")),"RF",IF(AE176&lt;&gt;"-","LF",IF(AA176&lt;&gt;"-","1B","DH"))))))))</f>
        <v>1B</v>
      </c>
      <c r="AT176" s="47"/>
      <c r="AU176" s="47"/>
      <c r="AV176" s="47"/>
      <c r="AW176" s="47" t="str">
        <f>IF(AND($Q176&gt;=6,AVERAGE($S176:$T176)&gt;=6),"Likely",IF(OR($Q176&gt;6,AND($Q176=6,AVERAGE($S176:$T176)&gt;=3),AND($Q176&gt;=5,AVERAGE($S176:$T176)&gt;=5),AVERAGE($Q176,$S176:$T176)&gt;5),"Possible","Unlikely"))</f>
        <v>Unlikely</v>
      </c>
      <c r="AX176" s="47"/>
      <c r="AY176" s="47" t="str">
        <f>INDEX(Table5[[#All],[Ovr]],MATCH(Batters[[#This Row],[PID]],Table5[[#All],[PID]],0))</f>
        <v/>
      </c>
      <c r="AZ176" s="47" t="str">
        <f>INDEX(Table5[[#All],[Rnd]],MATCH(Batters[[#This Row],[PID]],Table5[[#All],[PID]],0))</f>
        <v/>
      </c>
      <c r="BA176" s="47" t="str">
        <f>INDEX(Table5[[#All],[Pick]],MATCH(Batters[[#This Row],[PID]],Table5[[#All],[PID]],0))</f>
        <v/>
      </c>
      <c r="BB176" s="47" t="str">
        <f>INDEX(Table5[[#All],[Team]],MATCH(Batters[[#This Row],[PID]],Table5[[#All],[PID]],0))</f>
        <v/>
      </c>
    </row>
    <row r="177" spans="1:54" ht="15" customHeight="1" x14ac:dyDescent="0.25">
      <c r="A177" s="42">
        <v>5297</v>
      </c>
      <c r="B177" s="42" t="s">
        <v>72</v>
      </c>
      <c r="C177" s="42" t="s">
        <v>184</v>
      </c>
      <c r="D177" s="42" t="s">
        <v>864</v>
      </c>
      <c r="E177" s="42">
        <v>18</v>
      </c>
      <c r="F177" s="42" t="s">
        <v>42</v>
      </c>
      <c r="G177" s="42" t="s">
        <v>42</v>
      </c>
      <c r="H177" s="43" t="s">
        <v>709</v>
      </c>
      <c r="I177" s="44" t="s">
        <v>43</v>
      </c>
      <c r="J177" s="42" t="s">
        <v>43</v>
      </c>
      <c r="K177" s="43" t="s">
        <v>43</v>
      </c>
      <c r="L177" s="42">
        <v>1</v>
      </c>
      <c r="M177" s="42">
        <v>2</v>
      </c>
      <c r="N177" s="42">
        <v>2</v>
      </c>
      <c r="O177" s="42">
        <v>1</v>
      </c>
      <c r="P177" s="43">
        <v>1</v>
      </c>
      <c r="Q177" s="42">
        <v>3</v>
      </c>
      <c r="R177" s="42">
        <v>5</v>
      </c>
      <c r="S177" s="42">
        <v>3</v>
      </c>
      <c r="T177" s="42">
        <v>4</v>
      </c>
      <c r="U177" s="43">
        <v>3</v>
      </c>
      <c r="V177" s="42">
        <v>8</v>
      </c>
      <c r="W177" s="42">
        <v>7</v>
      </c>
      <c r="X177" s="42">
        <v>1</v>
      </c>
      <c r="Y177" s="43">
        <v>1</v>
      </c>
      <c r="Z177" s="42" t="s">
        <v>45</v>
      </c>
      <c r="AA177" s="42" t="s">
        <v>45</v>
      </c>
      <c r="AB177" s="42" t="s">
        <v>45</v>
      </c>
      <c r="AC177" s="42" t="s">
        <v>45</v>
      </c>
      <c r="AD177" s="42">
        <v>6</v>
      </c>
      <c r="AE177" s="42" t="s">
        <v>45</v>
      </c>
      <c r="AF177" s="42" t="s">
        <v>45</v>
      </c>
      <c r="AG177" s="43" t="s">
        <v>45</v>
      </c>
      <c r="AH177" s="42">
        <v>8</v>
      </c>
      <c r="AI177" s="42">
        <v>7</v>
      </c>
      <c r="AJ177" s="43">
        <v>8</v>
      </c>
      <c r="AK177" s="45" t="s">
        <v>820</v>
      </c>
      <c r="AL177" s="45" t="s">
        <v>47</v>
      </c>
      <c r="AM177" s="46">
        <f>($L$3*(L177-$Q$1)/$Q$2+$M$3*(M177-$R$1)/$R$2+$N$3*(N177-$S$1)/$S$2+$O$3*(O177-$T$1)/$T$2+$P$3*(P177-$U$1)/$U$2)/(SUM($L$3:$P$3))</f>
        <v>-1.9502219761849671</v>
      </c>
      <c r="AN177" s="46">
        <f>($L$3*(Q177-$Q$1)/$Q$2+$M$3*(R177-$R$1)/$R$2+$N$3*(S177-$S$1)/$S$2+$O$3*(T177-$T$1)/$T$2+$P$3*(U177-$U$1)/$U$2)/(SUM($L$3:$P$3))</f>
        <v>-0.71970784123669562</v>
      </c>
      <c r="AO177" s="47">
        <f>IF(AVERAGE(AH177:AI177)&gt;9,1,0)+IF(AVERAGE(AH177:AI177)&gt;7,1,0)+IF(AH177&gt;7,1,0)+IF(AI177&gt;7,1,0)+IF(AJ177&gt;8,1,0)+IF(AJ177&gt;6,1,0)</f>
        <v>3</v>
      </c>
      <c r="AP177" s="48">
        <f>MIN(2,IF(OR(Z177="-",X177&lt;5),0,1+IF(Y177&gt;7,0.35,IF(Y177&gt;5,0.1,0))+IF(Z177&gt;7,1+IF(X177&gt;7,0.25,0),IF(Z177&gt;4,0.5+IF(X177&gt;7,0.25,0),0+IF(X177&gt;7,0.25))))+IF(AA177="-",0,IF(AA177&gt;9,0.5,IF(AA177&gt;7,0.25,0)))+IF(AB177="-",0,IF(AB177&gt;7,1.1,IF(AB177&gt;4,0.6,0)))+IF(OR(AC177="-",V177&lt;5),0,IF(AC177&gt;7,1+IF(V177&gt;7,0.25,0),IF(AC177&gt;4,0.5+IF(V177&gt;7,0.25,0),0)))+IF(AD177="-",0,IF(AD177&gt;7,1.5,IF(AD177&gt;4,1,0)))+IF(AE177="-",0,IF(AE177&gt;9,0.5,IF(AE177&gt;7,0.25,0)))+IF(AF177="-",0,IF(AF177&gt;7,1.25,IF(AF177&gt;4,0.75,0)))+IF(OR(AG177="-",W177&lt;4),0,IF(AG177&gt;7,1+IF(W177&gt;7,0.15,0),IF(AG177&gt;4,0.5+IF(W177&gt;7,0.15,0),0))))</f>
        <v>1</v>
      </c>
      <c r="AQ177" s="46">
        <f>($AM$3*AM177+$AN$3*AN177+$AO$3*AO177+$AP$3*AP177)+$I$3*VLOOKUP(I177,COND!$A$2:$E$7,4,FALSE)+$J$3*VLOOKUP(J177,COND!$A$2:$C$7,2,FALSE)+$K$3*VLOOKUP(K177,COND!$A$2:$C$7,3,FALSE)+IF(AND($B$2&gt;0,$E177&lt;20),$B$2*25,0)</f>
        <v>42.668483707541156</v>
      </c>
      <c r="AR177" s="49">
        <f>STANDARDIZE(AQ177,AVERAGE($AQ$5:$AQ$537),STDEVP($AQ$5:$AQ$537))</f>
        <v>0.40823016467808843</v>
      </c>
      <c r="AS177" s="47" t="str">
        <f>IF(AND(Z177&lt;&gt;"-",Y177&gt;1),"C",IF(AB177=MAX(AB177:AD177),"2B",IF(AD177=MAX(AB177:AD177),"SS",IF(OR(AC177=MAX(AA177:AD177),AND(AC177&lt;&gt;"-",AC177&gt;4,V177&gt;5)),"3B",IF(AF177=MAX(AE177:AG177),"CF",IF(AND(AG177=MAX(AE177,AG177),AND(W177&gt;5,AG177&lt;&gt;"-")),"RF",IF(AE177&lt;&gt;"-","LF",IF(AA177&lt;&gt;"-","1B","DH"))))))))</f>
        <v>SS</v>
      </c>
      <c r="AT177" s="47"/>
      <c r="AU177" s="47"/>
      <c r="AV177" s="47"/>
      <c r="AW177" s="47" t="str">
        <f>IF(AND($Q177&gt;=6,AVERAGE($S177:$T177)&gt;=6),"Likely",IF(OR($Q177&gt;6,AND($Q177=6,AVERAGE($S177:$T177)&gt;=3),AND($Q177&gt;=5,AVERAGE($S177:$T177)&gt;=5),AVERAGE($Q177,$S177:$T177)&gt;5),"Possible","Unlikely"))</f>
        <v>Unlikely</v>
      </c>
      <c r="AX177" s="47"/>
      <c r="AY177" s="47" t="str">
        <f>INDEX(Table5[[#All],[Ovr]],MATCH(Batters[[#This Row],[PID]],Table5[[#All],[PID]],0))</f>
        <v/>
      </c>
      <c r="AZ177" s="47" t="str">
        <f>INDEX(Table5[[#All],[Rnd]],MATCH(Batters[[#This Row],[PID]],Table5[[#All],[PID]],0))</f>
        <v/>
      </c>
      <c r="BA177" s="47" t="str">
        <f>INDEX(Table5[[#All],[Pick]],MATCH(Batters[[#This Row],[PID]],Table5[[#All],[PID]],0))</f>
        <v/>
      </c>
      <c r="BB177" s="47" t="str">
        <f>INDEX(Table5[[#All],[Team]],MATCH(Batters[[#This Row],[PID]],Table5[[#All],[PID]],0))</f>
        <v/>
      </c>
    </row>
    <row r="178" spans="1:54" ht="15" customHeight="1" x14ac:dyDescent="0.25">
      <c r="A178" s="42">
        <v>1307</v>
      </c>
      <c r="B178" s="42" t="s">
        <v>72</v>
      </c>
      <c r="C178" s="42" t="s">
        <v>468</v>
      </c>
      <c r="D178" s="42" t="s">
        <v>1271</v>
      </c>
      <c r="E178" s="42">
        <v>18</v>
      </c>
      <c r="F178" s="42" t="s">
        <v>53</v>
      </c>
      <c r="G178" s="42" t="s">
        <v>42</v>
      </c>
      <c r="H178" s="43" t="s">
        <v>711</v>
      </c>
      <c r="I178" s="44" t="s">
        <v>43</v>
      </c>
      <c r="J178" s="42" t="s">
        <v>47</v>
      </c>
      <c r="K178" s="43" t="s">
        <v>43</v>
      </c>
      <c r="L178" s="42">
        <v>1</v>
      </c>
      <c r="M178" s="42">
        <v>1</v>
      </c>
      <c r="N178" s="42">
        <v>2</v>
      </c>
      <c r="O178" s="42">
        <v>1</v>
      </c>
      <c r="P178" s="43">
        <v>1</v>
      </c>
      <c r="Q178" s="42">
        <v>3</v>
      </c>
      <c r="R178" s="42">
        <v>3</v>
      </c>
      <c r="S178" s="42">
        <v>2</v>
      </c>
      <c r="T178" s="42">
        <v>5</v>
      </c>
      <c r="U178" s="43">
        <v>5</v>
      </c>
      <c r="V178" s="42">
        <v>4</v>
      </c>
      <c r="W178" s="42">
        <v>1</v>
      </c>
      <c r="X178" s="42">
        <v>1</v>
      </c>
      <c r="Y178" s="43">
        <v>1</v>
      </c>
      <c r="Z178" s="42" t="s">
        <v>45</v>
      </c>
      <c r="AA178" s="42" t="s">
        <v>45</v>
      </c>
      <c r="AB178" s="42">
        <v>3</v>
      </c>
      <c r="AC178" s="42" t="s">
        <v>45</v>
      </c>
      <c r="AD178" s="42">
        <v>1</v>
      </c>
      <c r="AE178" s="42" t="s">
        <v>45</v>
      </c>
      <c r="AF178" s="42" t="s">
        <v>45</v>
      </c>
      <c r="AG178" s="43" t="s">
        <v>45</v>
      </c>
      <c r="AH178" s="42">
        <v>8</v>
      </c>
      <c r="AI178" s="42">
        <v>9</v>
      </c>
      <c r="AJ178" s="43">
        <v>7</v>
      </c>
      <c r="AK178" s="45" t="s">
        <v>739</v>
      </c>
      <c r="AL178" s="45" t="s">
        <v>705</v>
      </c>
      <c r="AM178" s="46">
        <f>($L$3*(L178-$Q$1)/$Q$2+$M$3*(M178-$R$1)/$R$2+$N$3*(N178-$S$1)/$S$2+$O$3*(O178-$T$1)/$T$2+$P$3*(P178-$U$1)/$U$2)/(SUM($L$3:$P$3))</f>
        <v>-2.0012818558036707</v>
      </c>
      <c r="AN178" s="46">
        <f>($L$3*(Q178-$Q$1)/$Q$2+$M$3*(R178-$R$1)/$R$2+$N$3*(S178-$S$1)/$S$2+$O$3*(T178-$T$1)/$T$2+$P$3*(U178-$U$1)/$U$2)/(SUM($L$3:$P$3))</f>
        <v>-0.73514686485425607</v>
      </c>
      <c r="AO178" s="47">
        <f>IF(AVERAGE(AH178:AI178)&gt;9,1,0)+IF(AVERAGE(AH178:AI178)&gt;7,1,0)+IF(AH178&gt;7,1,0)+IF(AI178&gt;7,1,0)+IF(AJ178&gt;8,1,0)+IF(AJ178&gt;6,1,0)</f>
        <v>4</v>
      </c>
      <c r="AP178" s="48">
        <f>MIN(2,IF(OR(Z178="-",X178&lt;5),0,1+IF(Y178&gt;7,0.35,IF(Y178&gt;5,0.1,0))+IF(Z178&gt;7,1+IF(X178&gt;7,0.25,0),IF(Z178&gt;4,0.5+IF(X178&gt;7,0.25,0),0+IF(X178&gt;7,0.25))))+IF(AA178="-",0,IF(AA178&gt;9,0.5,IF(AA178&gt;7,0.25,0)))+IF(AB178="-",0,IF(AB178&gt;7,1.1,IF(AB178&gt;4,0.6,0)))+IF(OR(AC178="-",V178&lt;5),0,IF(AC178&gt;7,1+IF(V178&gt;7,0.25,0),IF(AC178&gt;4,0.5+IF(V178&gt;7,0.25,0),0)))+IF(AD178="-",0,IF(AD178&gt;7,1.5,IF(AD178&gt;4,1,0)))+IF(AE178="-",0,IF(AE178&gt;9,0.5,IF(AE178&gt;7,0.25,0)))+IF(AF178="-",0,IF(AF178&gt;7,1.25,IF(AF178&gt;4,0.75,0)))+IF(OR(AG178="-",W178&lt;4),0,IF(AG178&gt;7,1+IF(W178&gt;7,0.15,0),IF(AG178&gt;4,0.5+IF(W178&gt;7,0.15,0),0))))</f>
        <v>0</v>
      </c>
      <c r="AQ178" s="46">
        <f>($AM$3*AM178+$AN$3*AN178+$AO$3*AO178+$AP$3*AP178)+$I$3*VLOOKUP(I178,COND!$A$2:$E$7,4,FALSE)+$J$3*VLOOKUP(J178,COND!$A$2:$C$7,2,FALSE)+$K$3*VLOOKUP(K178,COND!$A$2:$C$7,3,FALSE)+IF(AND($B$2&gt;0,$E178&lt;20),$B$2*25,0)</f>
        <v>41.944776102835228</v>
      </c>
      <c r="AR178" s="49">
        <f>STANDARDIZE(AQ178,AVERAGE($AQ$5:$AQ$537),STDEVP($AQ$5:$AQ$537))</f>
        <v>0.28089862161037776</v>
      </c>
      <c r="AS178" s="47" t="str">
        <f>IF(AND(Z178&lt;&gt;"-",Y178&gt;1),"C",IF(AB178=MAX(AB178:AD178),"2B",IF(AD178=MAX(AB178:AD178),"SS",IF(OR(AC178=MAX(AA178:AD178),AND(AC178&lt;&gt;"-",AC178&gt;4,V178&gt;5)),"3B",IF(AF178=MAX(AE178:AG178),"CF",IF(AND(AG178=MAX(AE178,AG178),AND(W178&gt;5,AG178&lt;&gt;"-")),"RF",IF(AE178&lt;&gt;"-","LF",IF(AA178&lt;&gt;"-","1B","DH"))))))))</f>
        <v>2B</v>
      </c>
      <c r="AT178" s="47"/>
      <c r="AU178" s="47"/>
      <c r="AV178" s="47"/>
      <c r="AW178" s="47" t="str">
        <f>IF(AND($Q178&gt;=6,AVERAGE($S178:$T178)&gt;=6),"Likely",IF(OR($Q178&gt;6,AND($Q178=6,AVERAGE($S178:$T178)&gt;=3),AND($Q178&gt;=5,AVERAGE($S178:$T178)&gt;=5),AVERAGE($Q178,$S178:$T178)&gt;5),"Possible","Unlikely"))</f>
        <v>Unlikely</v>
      </c>
      <c r="AX178" s="47"/>
      <c r="AY178" s="47" t="str">
        <f>INDEX(Table5[[#All],[Ovr]],MATCH(Batters[[#This Row],[PID]],Table5[[#All],[PID]],0))</f>
        <v/>
      </c>
      <c r="AZ178" s="47" t="str">
        <f>INDEX(Table5[[#All],[Rnd]],MATCH(Batters[[#This Row],[PID]],Table5[[#All],[PID]],0))</f>
        <v/>
      </c>
      <c r="BA178" s="47" t="str">
        <f>INDEX(Table5[[#All],[Pick]],MATCH(Batters[[#This Row],[PID]],Table5[[#All],[PID]],0))</f>
        <v/>
      </c>
      <c r="BB178" s="47" t="str">
        <f>INDEX(Table5[[#All],[Team]],MATCH(Batters[[#This Row],[PID]],Table5[[#All],[PID]],0))</f>
        <v/>
      </c>
    </row>
    <row r="179" spans="1:54" ht="15" customHeight="1" x14ac:dyDescent="0.25">
      <c r="A179" s="42">
        <v>6448</v>
      </c>
      <c r="B179" s="42" t="s">
        <v>86</v>
      </c>
      <c r="C179" s="42" t="s">
        <v>1187</v>
      </c>
      <c r="D179" s="42" t="s">
        <v>1186</v>
      </c>
      <c r="E179" s="42">
        <v>18</v>
      </c>
      <c r="F179" s="42" t="s">
        <v>42</v>
      </c>
      <c r="G179" s="42" t="s">
        <v>42</v>
      </c>
      <c r="H179" s="43" t="s">
        <v>711</v>
      </c>
      <c r="I179" s="44" t="s">
        <v>43</v>
      </c>
      <c r="J179" s="42" t="s">
        <v>44</v>
      </c>
      <c r="K179" s="43" t="s">
        <v>43</v>
      </c>
      <c r="L179" s="42">
        <v>1</v>
      </c>
      <c r="M179" s="42">
        <v>1</v>
      </c>
      <c r="N179" s="42">
        <v>3</v>
      </c>
      <c r="O179" s="42">
        <v>2</v>
      </c>
      <c r="P179" s="43">
        <v>1</v>
      </c>
      <c r="Q179" s="42">
        <v>3</v>
      </c>
      <c r="R179" s="42">
        <v>4</v>
      </c>
      <c r="S179" s="42">
        <v>5</v>
      </c>
      <c r="T179" s="42">
        <v>5</v>
      </c>
      <c r="U179" s="43">
        <v>3</v>
      </c>
      <c r="V179" s="42">
        <v>3</v>
      </c>
      <c r="W179" s="42">
        <v>2</v>
      </c>
      <c r="X179" s="42">
        <v>3</v>
      </c>
      <c r="Y179" s="43">
        <v>2</v>
      </c>
      <c r="Z179" s="42" t="s">
        <v>45</v>
      </c>
      <c r="AA179" s="42" t="s">
        <v>45</v>
      </c>
      <c r="AB179" s="42" t="s">
        <v>45</v>
      </c>
      <c r="AC179" s="42" t="s">
        <v>45</v>
      </c>
      <c r="AD179" s="42" t="s">
        <v>45</v>
      </c>
      <c r="AE179" s="42" t="s">
        <v>45</v>
      </c>
      <c r="AF179" s="42" t="s">
        <v>45</v>
      </c>
      <c r="AG179" s="43" t="s">
        <v>45</v>
      </c>
      <c r="AH179" s="42">
        <v>1</v>
      </c>
      <c r="AI179" s="42">
        <v>3</v>
      </c>
      <c r="AJ179" s="43">
        <v>3</v>
      </c>
      <c r="AK179" s="45" t="s">
        <v>718</v>
      </c>
      <c r="AL179" s="45" t="s">
        <v>47</v>
      </c>
      <c r="AM179" s="46">
        <f>($L$3*(L179-$Q$1)/$Q$2+$M$3*(M179-$R$1)/$R$2+$N$3*(N179-$S$1)/$S$2+$O$3*(O179-$T$1)/$T$2+$P$3*(P179-$U$1)/$U$2)/(SUM($L$3:$P$3))</f>
        <v>-1.828510811770188</v>
      </c>
      <c r="AN179" s="46">
        <f>($L$3*(Q179-$Q$1)/$Q$2+$M$3*(R179-$R$1)/$R$2+$N$3*(S179-$S$1)/$S$2+$O$3*(T179-$T$1)/$T$2+$P$3*(U179-$U$1)/$U$2)/(SUM($L$3:$P$3))</f>
        <v>-0.51493518279801498</v>
      </c>
      <c r="AO179" s="47">
        <f>IF(AVERAGE(AH179:AI179)&gt;9,1,0)+IF(AVERAGE(AH179:AI179)&gt;7,1,0)+IF(AH179&gt;7,1,0)+IF(AI179&gt;7,1,0)+IF(AJ179&gt;8,1,0)+IF(AJ179&gt;6,1,0)</f>
        <v>0</v>
      </c>
      <c r="AP179" s="48">
        <f>MIN(2,IF(OR(Z179="-",X179&lt;5),0,1+IF(Y179&gt;7,0.35,IF(Y179&gt;5,0.1,0))+IF(Z179&gt;7,1+IF(X179&gt;7,0.25,0),IF(Z179&gt;4,0.5+IF(X179&gt;7,0.25,0),0+IF(X179&gt;7,0.25))))+IF(AA179="-",0,IF(AA179&gt;9,0.5,IF(AA179&gt;7,0.25,0)))+IF(AB179="-",0,IF(AB179&gt;7,1.1,IF(AB179&gt;4,0.6,0)))+IF(OR(AC179="-",V179&lt;5),0,IF(AC179&gt;7,1+IF(V179&gt;7,0.25,0),IF(AC179&gt;4,0.5+IF(V179&gt;7,0.25,0),0)))+IF(AD179="-",0,IF(AD179&gt;7,1.5,IF(AD179&gt;4,1,0)))+IF(AE179="-",0,IF(AE179&gt;9,0.5,IF(AE179&gt;7,0.25,0)))+IF(AF179="-",0,IF(AF179&gt;7,1.25,IF(AF179&gt;4,0.75,0)))+IF(OR(AG179="-",W179&lt;4),0,IF(AG179&gt;7,1+IF(W179&gt;7,0.15,0),IF(AG179&gt;4,0.5+IF(W179&gt;7,0.15,0),0))))</f>
        <v>0</v>
      </c>
      <c r="AQ179" s="46">
        <f>($AM$3*AM179+$AN$3*AN179+$AO$3*AO179+$AP$3*AP179)+$I$3*VLOOKUP(I179,COND!$A$2:$E$7,4,FALSE)+$J$3*VLOOKUP(J179,COND!$A$2:$C$7,2,FALSE)+$K$3*VLOOKUP(K179,COND!$A$2:$C$7,3,FALSE)+IF(AND($B$2&gt;0,$E179&lt;20),$B$2*25,0)</f>
        <v>43.337926725246803</v>
      </c>
      <c r="AR179" s="49">
        <f>STANDARDIZE(AQ179,AVERAGE($AQ$5:$AQ$537),STDEVP($AQ$5:$AQ$537))</f>
        <v>0.52601421432200723</v>
      </c>
      <c r="AS179" s="47" t="str">
        <f>IF(AND(Z179&lt;&gt;"-",Y179&gt;1),"C",IF(AB179=MAX(AB179:AD179),"2B",IF(AD179=MAX(AB179:AD179),"SS",IF(OR(AC179=MAX(AA179:AD179),AND(AC179&lt;&gt;"-",AC179&gt;4,V179&gt;5)),"3B",IF(AF179=MAX(AE179:AG179),"CF",IF(AND(AG179=MAX(AE179,AG179),AND(W179&gt;5,AG179&lt;&gt;"-")),"RF",IF(AE179&lt;&gt;"-","LF",IF(AA179&lt;&gt;"-","1B","DH"))))))))</f>
        <v>DH</v>
      </c>
      <c r="AT179" s="47"/>
      <c r="AU179" s="47"/>
      <c r="AV179" s="47"/>
      <c r="AW179" s="47" t="str">
        <f>IF(AND($Q179&gt;=6,AVERAGE($S179:$T179)&gt;=6),"Likely",IF(OR($Q179&gt;6,AND($Q179=6,AVERAGE($S179:$T179)&gt;=3),AND($Q179&gt;=5,AVERAGE($S179:$T179)&gt;=5),AVERAGE($Q179,$S179:$T179)&gt;5),"Possible","Unlikely"))</f>
        <v>Unlikely</v>
      </c>
      <c r="AX179" s="47"/>
      <c r="AY179" s="47" t="str">
        <f>INDEX(Table5[[#All],[Ovr]],MATCH(Batters[[#This Row],[PID]],Table5[[#All],[PID]],0))</f>
        <v/>
      </c>
      <c r="AZ179" s="47" t="str">
        <f>INDEX(Table5[[#All],[Rnd]],MATCH(Batters[[#This Row],[PID]],Table5[[#All],[PID]],0))</f>
        <v/>
      </c>
      <c r="BA179" s="47" t="str">
        <f>INDEX(Table5[[#All],[Pick]],MATCH(Batters[[#This Row],[PID]],Table5[[#All],[PID]],0))</f>
        <v/>
      </c>
      <c r="BB179" s="47" t="str">
        <f>INDEX(Table5[[#All],[Team]],MATCH(Batters[[#This Row],[PID]],Table5[[#All],[PID]],0))</f>
        <v/>
      </c>
    </row>
    <row r="180" spans="1:54" ht="15" customHeight="1" x14ac:dyDescent="0.25">
      <c r="A180" s="42">
        <v>14747</v>
      </c>
      <c r="B180" s="42" t="s">
        <v>87</v>
      </c>
      <c r="C180" s="42" t="s">
        <v>1133</v>
      </c>
      <c r="D180" s="42" t="s">
        <v>1134</v>
      </c>
      <c r="E180" s="42">
        <v>18</v>
      </c>
      <c r="F180" s="42" t="s">
        <v>62</v>
      </c>
      <c r="G180" s="42" t="s">
        <v>42</v>
      </c>
      <c r="H180" s="43" t="s">
        <v>709</v>
      </c>
      <c r="I180" s="44" t="s">
        <v>44</v>
      </c>
      <c r="J180" s="42" t="s">
        <v>44</v>
      </c>
      <c r="K180" s="43" t="s">
        <v>44</v>
      </c>
      <c r="L180" s="42">
        <v>1</v>
      </c>
      <c r="M180" s="42">
        <v>2</v>
      </c>
      <c r="N180" s="42">
        <v>3</v>
      </c>
      <c r="O180" s="42">
        <v>2</v>
      </c>
      <c r="P180" s="43">
        <v>1</v>
      </c>
      <c r="Q180" s="42">
        <v>3</v>
      </c>
      <c r="R180" s="42">
        <v>5</v>
      </c>
      <c r="S180" s="42">
        <v>6</v>
      </c>
      <c r="T180" s="42">
        <v>5</v>
      </c>
      <c r="U180" s="43">
        <v>2</v>
      </c>
      <c r="V180" s="42">
        <v>3</v>
      </c>
      <c r="W180" s="42">
        <v>1</v>
      </c>
      <c r="X180" s="42">
        <v>1</v>
      </c>
      <c r="Y180" s="43">
        <v>1</v>
      </c>
      <c r="Z180" s="42" t="s">
        <v>45</v>
      </c>
      <c r="AA180" s="42">
        <v>5</v>
      </c>
      <c r="AB180" s="42" t="s">
        <v>45</v>
      </c>
      <c r="AC180" s="42" t="s">
        <v>45</v>
      </c>
      <c r="AD180" s="42" t="s">
        <v>45</v>
      </c>
      <c r="AE180" s="42" t="s">
        <v>45</v>
      </c>
      <c r="AF180" s="42" t="s">
        <v>45</v>
      </c>
      <c r="AG180" s="43" t="s">
        <v>45</v>
      </c>
      <c r="AH180" s="42">
        <v>2</v>
      </c>
      <c r="AI180" s="42">
        <v>1</v>
      </c>
      <c r="AJ180" s="43">
        <v>1</v>
      </c>
      <c r="AK180" s="45" t="s">
        <v>602</v>
      </c>
      <c r="AL180" s="45" t="s">
        <v>47</v>
      </c>
      <c r="AM180" s="46">
        <f>($L$3*(L180-$Q$1)/$Q$2+$M$3*(M180-$R$1)/$R$2+$N$3*(N180-$S$1)/$S$2+$O$3*(O180-$T$1)/$T$2+$P$3*(P180-$U$1)/$U$2)/(SUM($L$3:$P$3))</f>
        <v>-1.7774509321514844</v>
      </c>
      <c r="AN180" s="46">
        <f>($L$3*(Q180-$Q$1)/$Q$2+$M$3*(R180-$R$1)/$R$2+$N$3*(S180-$S$1)/$S$2+$O$3*(T180-$T$1)/$T$2+$P$3*(U180-$U$1)/$U$2)/(SUM($L$3:$P$3))</f>
        <v>-0.42083014897249338</v>
      </c>
      <c r="AO180" s="47">
        <f>IF(AVERAGE(AH180:AI180)&gt;9,1,0)+IF(AVERAGE(AH180:AI180)&gt;7,1,0)+IF(AH180&gt;7,1,0)+IF(AI180&gt;7,1,0)+IF(AJ180&gt;8,1,0)+IF(AJ180&gt;6,1,0)</f>
        <v>0</v>
      </c>
      <c r="AP180" s="48">
        <f>MIN(2,IF(OR(Z180="-",X180&lt;5),0,1+IF(Y180&gt;7,0.35,IF(Y180&gt;5,0.1,0))+IF(Z180&gt;7,1+IF(X180&gt;7,0.25,0),IF(Z180&gt;4,0.5+IF(X180&gt;7,0.25,0),0+IF(X180&gt;7,0.25))))+IF(AA180="-",0,IF(AA180&gt;9,0.5,IF(AA180&gt;7,0.25,0)))+IF(AB180="-",0,IF(AB180&gt;7,1.1,IF(AB180&gt;4,0.6,0)))+IF(OR(AC180="-",V180&lt;5),0,IF(AC180&gt;7,1+IF(V180&gt;7,0.25,0),IF(AC180&gt;4,0.5+IF(V180&gt;7,0.25,0),0)))+IF(AD180="-",0,IF(AD180&gt;7,1.5,IF(AD180&gt;4,1,0)))+IF(AE180="-",0,IF(AE180&gt;9,0.5,IF(AE180&gt;7,0.25,0)))+IF(AF180="-",0,IF(AF180&gt;7,1.25,IF(AF180&gt;4,0.75,0)))+IF(OR(AG180="-",W180&lt;4),0,IF(AG180&gt;7,1+IF(W180&gt;7,0.15,0),IF(AG180&gt;4,0.5+IF(W180&gt;7,0.15,0),0))))</f>
        <v>0</v>
      </c>
      <c r="AQ180" s="46">
        <f>($AM$3*AM180+$AN$3*AN180+$AO$3*AO180+$AP$3*AP180)+$I$3*VLOOKUP(I180,COND!$A$2:$E$7,4,FALSE)+$J$3*VLOOKUP(J180,COND!$A$2:$C$7,2,FALSE)+$K$3*VLOOKUP(K180,COND!$A$2:$C$7,3,FALSE)+IF(AND($B$2&gt;0,$E180&lt;20),$B$2*25,0)</f>
        <v>44.022293119114934</v>
      </c>
      <c r="AR180" s="49">
        <f>STANDARDIZE(AQ180,AVERAGE($AQ$5:$AQ$537),STDEVP($AQ$5:$AQ$537))</f>
        <v>0.64642393281642996</v>
      </c>
      <c r="AS180" s="47" t="str">
        <f>IF(AND(Z180&lt;&gt;"-",Y180&gt;1),"C",IF(AB180=MAX(AB180:AD180),"2B",IF(AD180=MAX(AB180:AD180),"SS",IF(OR(AC180=MAX(AA180:AD180),AND(AC180&lt;&gt;"-",AC180&gt;4,V180&gt;5)),"3B",IF(AF180=MAX(AE180:AG180),"CF",IF(AND(AG180=MAX(AE180,AG180),AND(W180&gt;5,AG180&lt;&gt;"-")),"RF",IF(AE180&lt;&gt;"-","LF",IF(AA180&lt;&gt;"-","1B","DH"))))))))</f>
        <v>1B</v>
      </c>
      <c r="AT180" s="47"/>
      <c r="AU180" s="47"/>
      <c r="AV180" s="47"/>
      <c r="AW180" s="47" t="str">
        <f>IF(AND($Q180&gt;=6,AVERAGE($S180:$T180)&gt;=6),"Likely",IF(OR($Q180&gt;6,AND($Q180=6,AVERAGE($S180:$T180)&gt;=3),AND($Q180&gt;=5,AVERAGE($S180:$T180)&gt;=5),AVERAGE($Q180,$S180:$T180)&gt;5),"Possible","Unlikely"))</f>
        <v>Unlikely</v>
      </c>
      <c r="AX180" s="47"/>
      <c r="AY180" s="47" t="str">
        <f>INDEX(Table5[[#All],[Ovr]],MATCH(Batters[[#This Row],[PID]],Table5[[#All],[PID]],0))</f>
        <v/>
      </c>
      <c r="AZ180" s="47" t="str">
        <f>INDEX(Table5[[#All],[Rnd]],MATCH(Batters[[#This Row],[PID]],Table5[[#All],[PID]],0))</f>
        <v/>
      </c>
      <c r="BA180" s="47" t="str">
        <f>INDEX(Table5[[#All],[Pick]],MATCH(Batters[[#This Row],[PID]],Table5[[#All],[PID]],0))</f>
        <v/>
      </c>
      <c r="BB180" s="47" t="str">
        <f>INDEX(Table5[[#All],[Team]],MATCH(Batters[[#This Row],[PID]],Table5[[#All],[PID]],0))</f>
        <v/>
      </c>
    </row>
    <row r="181" spans="1:54" ht="15" customHeight="1" x14ac:dyDescent="0.25">
      <c r="A181" s="42">
        <v>7982</v>
      </c>
      <c r="B181" s="42" t="s">
        <v>87</v>
      </c>
      <c r="C181" s="42" t="s">
        <v>163</v>
      </c>
      <c r="D181" s="42" t="s">
        <v>1227</v>
      </c>
      <c r="E181" s="42">
        <v>18</v>
      </c>
      <c r="F181" s="42" t="s">
        <v>53</v>
      </c>
      <c r="G181" s="42" t="s">
        <v>42</v>
      </c>
      <c r="H181" s="43" t="s">
        <v>711</v>
      </c>
      <c r="I181" s="44" t="s">
        <v>43</v>
      </c>
      <c r="J181" s="42" t="s">
        <v>43</v>
      </c>
      <c r="K181" s="43" t="s">
        <v>43</v>
      </c>
      <c r="L181" s="42">
        <v>1</v>
      </c>
      <c r="M181" s="42">
        <v>1</v>
      </c>
      <c r="N181" s="42">
        <v>2</v>
      </c>
      <c r="O181" s="42">
        <v>2</v>
      </c>
      <c r="P181" s="43">
        <v>2</v>
      </c>
      <c r="Q181" s="42">
        <v>3</v>
      </c>
      <c r="R181" s="42">
        <v>4</v>
      </c>
      <c r="S181" s="42">
        <v>3</v>
      </c>
      <c r="T181" s="42">
        <v>5</v>
      </c>
      <c r="U181" s="43">
        <v>5</v>
      </c>
      <c r="V181" s="42">
        <v>5</v>
      </c>
      <c r="W181" s="42">
        <v>4</v>
      </c>
      <c r="X181" s="42">
        <v>4</v>
      </c>
      <c r="Y181" s="43">
        <v>4</v>
      </c>
      <c r="Z181" s="42" t="s">
        <v>45</v>
      </c>
      <c r="AA181" s="42">
        <v>4</v>
      </c>
      <c r="AB181" s="42" t="s">
        <v>45</v>
      </c>
      <c r="AC181" s="42" t="s">
        <v>45</v>
      </c>
      <c r="AD181" s="42" t="s">
        <v>45</v>
      </c>
      <c r="AE181" s="42" t="s">
        <v>45</v>
      </c>
      <c r="AF181" s="42" t="s">
        <v>45</v>
      </c>
      <c r="AG181" s="43" t="s">
        <v>45</v>
      </c>
      <c r="AH181" s="42">
        <v>1</v>
      </c>
      <c r="AI181" s="42">
        <v>1</v>
      </c>
      <c r="AJ181" s="43">
        <v>1</v>
      </c>
      <c r="AK181" s="45" t="s">
        <v>718</v>
      </c>
      <c r="AL181" s="45" t="s">
        <v>47</v>
      </c>
      <c r="AM181" s="46">
        <f>($L$3*(L181-$Q$1)/$Q$2+$M$3*(M181-$R$1)/$R$2+$N$3*(N181-$S$1)/$S$2+$O$3*(O181-$T$1)/$T$2+$P$3*(P181-$U$1)/$U$2)/(SUM($L$3:$P$3))</f>
        <v>-1.871555965977006</v>
      </c>
      <c r="AN181" s="46">
        <f>($L$3*(Q181-$Q$1)/$Q$2+$M$3*(R181-$R$1)/$R$2+$N$3*(S181-$S$1)/$S$2+$O$3*(T181-$T$1)/$T$2+$P$3*(U181-$U$1)/$U$2)/(SUM($L$3:$P$3))</f>
        <v>-0.60102549121165116</v>
      </c>
      <c r="AO181" s="47">
        <f>IF(AVERAGE(AH181:AI181)&gt;9,1,0)+IF(AVERAGE(AH181:AI181)&gt;7,1,0)+IF(AH181&gt;7,1,0)+IF(AI181&gt;7,1,0)+IF(AJ181&gt;8,1,0)+IF(AJ181&gt;6,1,0)</f>
        <v>0</v>
      </c>
      <c r="AP181" s="48">
        <f>MIN(2,IF(OR(Z181="-",X181&lt;5),0,1+IF(Y181&gt;7,0.35,IF(Y181&gt;5,0.1,0))+IF(Z181&gt;7,1+IF(X181&gt;7,0.25,0),IF(Z181&gt;4,0.5+IF(X181&gt;7,0.25,0),0+IF(X181&gt;7,0.25))))+IF(AA181="-",0,IF(AA181&gt;9,0.5,IF(AA181&gt;7,0.25,0)))+IF(AB181="-",0,IF(AB181&gt;7,1.1,IF(AB181&gt;4,0.6,0)))+IF(OR(AC181="-",V181&lt;5),0,IF(AC181&gt;7,1+IF(V181&gt;7,0.25,0),IF(AC181&gt;4,0.5+IF(V181&gt;7,0.25,0),0)))+IF(AD181="-",0,IF(AD181&gt;7,1.5,IF(AD181&gt;4,1,0)))+IF(AE181="-",0,IF(AE181&gt;9,0.5,IF(AE181&gt;7,0.25,0)))+IF(AF181="-",0,IF(AF181&gt;7,1.25,IF(AF181&gt;4,0.75,0)))+IF(OR(AG181="-",W181&lt;4),0,IF(AG181&gt;7,1+IF(W181&gt;7,0.15,0),IF(AG181&gt;4,0.5+IF(W181&gt;7,0.15,0),0))))</f>
        <v>0</v>
      </c>
      <c r="AQ181" s="46">
        <f>($AM$3*AM181+$AN$3*AN181+$AO$3*AO181+$AP$3*AP181)+$I$3*VLOOKUP(I181,COND!$A$2:$E$7,4,FALSE)+$J$3*VLOOKUP(J181,COND!$A$2:$C$7,2,FALSE)+$K$3*VLOOKUP(K181,COND!$A$2:$C$7,3,FALSE)+IF(AND($B$2&gt;0,$E181&lt;20),$B$2*25,0)</f>
        <v>42.600538508862485</v>
      </c>
      <c r="AR181" s="49">
        <f>STANDARDIZE(AQ181,AVERAGE($AQ$5:$AQ$537),STDEVP($AQ$5:$AQ$537))</f>
        <v>0.39627565855497965</v>
      </c>
      <c r="AS181" s="47" t="str">
        <f>IF(AND(Z181&lt;&gt;"-",Y181&gt;1),"C",IF(AB181=MAX(AB181:AD181),"2B",IF(AD181=MAX(AB181:AD181),"SS",IF(OR(AC181=MAX(AA181:AD181),AND(AC181&lt;&gt;"-",AC181&gt;4,V181&gt;5)),"3B",IF(AF181=MAX(AE181:AG181),"CF",IF(AND(AG181=MAX(AE181,AG181),AND(W181&gt;5,AG181&lt;&gt;"-")),"RF",IF(AE181&lt;&gt;"-","LF",IF(AA181&lt;&gt;"-","1B","DH"))))))))</f>
        <v>1B</v>
      </c>
      <c r="AT181" s="47"/>
      <c r="AU181" s="47"/>
      <c r="AV181" s="47"/>
      <c r="AW181" s="47" t="str">
        <f>IF(AND($Q181&gt;=6,AVERAGE($S181:$T181)&gt;=6),"Likely",IF(OR($Q181&gt;6,AND($Q181=6,AVERAGE($S181:$T181)&gt;=3),AND($Q181&gt;=5,AVERAGE($S181:$T181)&gt;=5),AVERAGE($Q181,$S181:$T181)&gt;5),"Possible","Unlikely"))</f>
        <v>Unlikely</v>
      </c>
      <c r="AX181" s="47"/>
      <c r="AY181" s="47" t="str">
        <f>INDEX(Table5[[#All],[Ovr]],MATCH(Batters[[#This Row],[PID]],Table5[[#All],[PID]],0))</f>
        <v/>
      </c>
      <c r="AZ181" s="47" t="str">
        <f>INDEX(Table5[[#All],[Rnd]],MATCH(Batters[[#This Row],[PID]],Table5[[#All],[PID]],0))</f>
        <v/>
      </c>
      <c r="BA181" s="47" t="str">
        <f>INDEX(Table5[[#All],[Pick]],MATCH(Batters[[#This Row],[PID]],Table5[[#All],[PID]],0))</f>
        <v/>
      </c>
      <c r="BB181" s="47" t="str">
        <f>INDEX(Table5[[#All],[Team]],MATCH(Batters[[#This Row],[PID]],Table5[[#All],[PID]],0))</f>
        <v/>
      </c>
    </row>
    <row r="182" spans="1:54" ht="15" customHeight="1" x14ac:dyDescent="0.25">
      <c r="A182" s="42">
        <v>7514</v>
      </c>
      <c r="B182" s="42" t="s">
        <v>87</v>
      </c>
      <c r="C182" s="42" t="s">
        <v>724</v>
      </c>
      <c r="D182" s="42" t="s">
        <v>816</v>
      </c>
      <c r="E182" s="42">
        <v>18</v>
      </c>
      <c r="F182" s="42" t="s">
        <v>53</v>
      </c>
      <c r="G182" s="42" t="s">
        <v>53</v>
      </c>
      <c r="H182" s="43" t="s">
        <v>721</v>
      </c>
      <c r="I182" s="44" t="s">
        <v>43</v>
      </c>
      <c r="J182" s="42" t="s">
        <v>47</v>
      </c>
      <c r="K182" s="43" t="s">
        <v>43</v>
      </c>
      <c r="L182" s="42">
        <v>1</v>
      </c>
      <c r="M182" s="42">
        <v>1</v>
      </c>
      <c r="N182" s="42">
        <v>2</v>
      </c>
      <c r="O182" s="42">
        <v>1</v>
      </c>
      <c r="P182" s="43">
        <v>1</v>
      </c>
      <c r="Q182" s="42">
        <v>3</v>
      </c>
      <c r="R182" s="42">
        <v>3</v>
      </c>
      <c r="S182" s="42">
        <v>5</v>
      </c>
      <c r="T182" s="42">
        <v>4</v>
      </c>
      <c r="U182" s="43">
        <v>2</v>
      </c>
      <c r="V182" s="42">
        <v>4</v>
      </c>
      <c r="W182" s="42">
        <v>4</v>
      </c>
      <c r="X182" s="42">
        <v>1</v>
      </c>
      <c r="Y182" s="43">
        <v>1</v>
      </c>
      <c r="Z182" s="42" t="s">
        <v>45</v>
      </c>
      <c r="AA182" s="42">
        <v>1</v>
      </c>
      <c r="AB182" s="42" t="s">
        <v>45</v>
      </c>
      <c r="AC182" s="42" t="s">
        <v>45</v>
      </c>
      <c r="AD182" s="42" t="s">
        <v>45</v>
      </c>
      <c r="AE182" s="42" t="s">
        <v>45</v>
      </c>
      <c r="AF182" s="42" t="s">
        <v>45</v>
      </c>
      <c r="AG182" s="43" t="s">
        <v>45</v>
      </c>
      <c r="AH182" s="42">
        <v>1</v>
      </c>
      <c r="AI182" s="42">
        <v>2</v>
      </c>
      <c r="AJ182" s="43">
        <v>5</v>
      </c>
      <c r="AK182" s="45" t="s">
        <v>718</v>
      </c>
      <c r="AL182" s="45" t="s">
        <v>705</v>
      </c>
      <c r="AM182" s="46">
        <f>($L$3*(L182-$Q$1)/$Q$2+$M$3*(M182-$R$1)/$R$2+$N$3*(N182-$S$1)/$S$2+$O$3*(O182-$T$1)/$T$2+$P$3*(P182-$U$1)/$U$2)/(SUM($L$3:$P$3))</f>
        <v>-2.0012818558036707</v>
      </c>
      <c r="AN182" s="46">
        <f>($L$3*(Q182-$Q$1)/$Q$2+$M$3*(R182-$R$1)/$R$2+$N$3*(S182-$S$1)/$S$2+$O$3*(T182-$T$1)/$T$2+$P$3*(U182-$U$1)/$U$2)/(SUM($L$3:$P$3))</f>
        <v>-0.69572095224338304</v>
      </c>
      <c r="AO182" s="47">
        <f>IF(AVERAGE(AH182:AI182)&gt;9,1,0)+IF(AVERAGE(AH182:AI182)&gt;7,1,0)+IF(AH182&gt;7,1,0)+IF(AI182&gt;7,1,0)+IF(AJ182&gt;8,1,0)+IF(AJ182&gt;6,1,0)</f>
        <v>0</v>
      </c>
      <c r="AP182" s="48">
        <f>MIN(2,IF(OR(Z182="-",X182&lt;5),0,1+IF(Y182&gt;7,0.35,IF(Y182&gt;5,0.1,0))+IF(Z182&gt;7,1+IF(X182&gt;7,0.25,0),IF(Z182&gt;4,0.5+IF(X182&gt;7,0.25,0),0+IF(X182&gt;7,0.25))))+IF(AA182="-",0,IF(AA182&gt;9,0.5,IF(AA182&gt;7,0.25,0)))+IF(AB182="-",0,IF(AB182&gt;7,1.1,IF(AB182&gt;4,0.6,0)))+IF(OR(AC182="-",V182&lt;5),0,IF(AC182&gt;7,1+IF(V182&gt;7,0.25,0),IF(AC182&gt;4,0.5+IF(V182&gt;7,0.25,0),0)))+IF(AD182="-",0,IF(AD182&gt;7,1.5,IF(AD182&gt;4,1,0)))+IF(AE182="-",0,IF(AE182&gt;9,0.5,IF(AE182&gt;7,0.25,0)))+IF(AF182="-",0,IF(AF182&gt;7,1.25,IF(AF182&gt;4,0.75,0)))+IF(OR(AG182="-",W182&lt;4),0,IF(AG182&gt;7,1+IF(W182&gt;7,0.15,0),IF(AG182&gt;4,0.5+IF(W182&gt;7,0.15,0),0))))</f>
        <v>0</v>
      </c>
      <c r="AQ182" s="46">
        <f>($AM$3*AM182+$AN$3*AN182+$AO$3*AO182+$AP$3*AP182)+$I$3*VLOOKUP(I182,COND!$A$2:$E$7,4,FALSE)+$J$3*VLOOKUP(J182,COND!$A$2:$C$7,2,FALSE)+$K$3*VLOOKUP(K182,COND!$A$2:$C$7,3,FALSE)+IF(AND($B$2&gt;0,$E182&lt;20),$B$2*25,0)</f>
        <v>41.751220387499039</v>
      </c>
      <c r="AR182" s="49">
        <f>STANDARDIZE(AQ182,AVERAGE($AQ$5:$AQ$537),STDEVP($AQ$5:$AQ$537))</f>
        <v>0.24684377992697998</v>
      </c>
      <c r="AS182" s="47" t="str">
        <f>IF(AND(Z182&lt;&gt;"-",Y182&gt;1),"C",IF(AB182=MAX(AB182:AD182),"2B",IF(AD182=MAX(AB182:AD182),"SS",IF(OR(AC182=MAX(AA182:AD182),AND(AC182&lt;&gt;"-",AC182&gt;4,V182&gt;5)),"3B",IF(AF182=MAX(AE182:AG182),"CF",IF(AND(AG182=MAX(AE182,AG182),AND(W182&gt;5,AG182&lt;&gt;"-")),"RF",IF(AE182&lt;&gt;"-","LF",IF(AA182&lt;&gt;"-","1B","DH"))))))))</f>
        <v>1B</v>
      </c>
      <c r="AT182" s="47"/>
      <c r="AU182" s="47"/>
      <c r="AV182" s="47"/>
      <c r="AW182" s="47" t="str">
        <f>IF(AND($Q182&gt;=6,AVERAGE($S182:$T182)&gt;=6),"Likely",IF(OR($Q182&gt;6,AND($Q182=6,AVERAGE($S182:$T182)&gt;=3),AND($Q182&gt;=5,AVERAGE($S182:$T182)&gt;=5),AVERAGE($Q182,$S182:$T182)&gt;5),"Possible","Unlikely"))</f>
        <v>Unlikely</v>
      </c>
      <c r="AX182" s="47"/>
      <c r="AY182" s="47" t="str">
        <f>INDEX(Table5[[#All],[Ovr]],MATCH(Batters[[#This Row],[PID]],Table5[[#All],[PID]],0))</f>
        <v/>
      </c>
      <c r="AZ182" s="47" t="str">
        <f>INDEX(Table5[[#All],[Rnd]],MATCH(Batters[[#This Row],[PID]],Table5[[#All],[PID]],0))</f>
        <v/>
      </c>
      <c r="BA182" s="47" t="str">
        <f>INDEX(Table5[[#All],[Pick]],MATCH(Batters[[#This Row],[PID]],Table5[[#All],[PID]],0))</f>
        <v/>
      </c>
      <c r="BB182" s="47" t="str">
        <f>INDEX(Table5[[#All],[Team]],MATCH(Batters[[#This Row],[PID]],Table5[[#All],[PID]],0))</f>
        <v/>
      </c>
    </row>
    <row r="183" spans="1:54" ht="15" customHeight="1" x14ac:dyDescent="0.25">
      <c r="A183" s="42">
        <v>11210</v>
      </c>
      <c r="B183" s="42" t="s">
        <v>50</v>
      </c>
      <c r="C183" s="42" t="s">
        <v>666</v>
      </c>
      <c r="D183" s="42" t="s">
        <v>1105</v>
      </c>
      <c r="E183" s="42">
        <v>21</v>
      </c>
      <c r="F183" s="42" t="s">
        <v>53</v>
      </c>
      <c r="G183" s="42" t="s">
        <v>53</v>
      </c>
      <c r="H183" s="43" t="s">
        <v>709</v>
      </c>
      <c r="I183" s="44" t="s">
        <v>43</v>
      </c>
      <c r="J183" s="42" t="s">
        <v>43</v>
      </c>
      <c r="K183" s="43" t="s">
        <v>43</v>
      </c>
      <c r="L183" s="42">
        <v>2</v>
      </c>
      <c r="M183" s="42">
        <v>2</v>
      </c>
      <c r="N183" s="42">
        <v>2</v>
      </c>
      <c r="O183" s="42">
        <v>3</v>
      </c>
      <c r="P183" s="43">
        <v>1</v>
      </c>
      <c r="Q183" s="42">
        <v>4</v>
      </c>
      <c r="R183" s="42">
        <v>4</v>
      </c>
      <c r="S183" s="42">
        <v>3</v>
      </c>
      <c r="T183" s="42">
        <v>6</v>
      </c>
      <c r="U183" s="43">
        <v>4</v>
      </c>
      <c r="V183" s="42">
        <v>1</v>
      </c>
      <c r="W183" s="42">
        <v>4</v>
      </c>
      <c r="X183" s="42">
        <v>1</v>
      </c>
      <c r="Y183" s="43">
        <v>1</v>
      </c>
      <c r="Z183" s="42" t="s">
        <v>45</v>
      </c>
      <c r="AA183" s="42" t="s">
        <v>45</v>
      </c>
      <c r="AB183" s="42" t="s">
        <v>45</v>
      </c>
      <c r="AC183" s="42" t="s">
        <v>45</v>
      </c>
      <c r="AD183" s="42" t="s">
        <v>45</v>
      </c>
      <c r="AE183" s="42">
        <v>6</v>
      </c>
      <c r="AF183" s="42">
        <v>1</v>
      </c>
      <c r="AG183" s="43" t="s">
        <v>45</v>
      </c>
      <c r="AH183" s="42">
        <v>10</v>
      </c>
      <c r="AI183" s="42">
        <v>5</v>
      </c>
      <c r="AJ183" s="43">
        <v>3</v>
      </c>
      <c r="AK183" s="45" t="s">
        <v>45</v>
      </c>
      <c r="AL183" s="45" t="s">
        <v>47</v>
      </c>
      <c r="AM183" s="46">
        <f>($L$3*(L183-$Q$1)/$Q$2+$M$3*(M183-$R$1)/$R$2+$N$3*(N183-$S$1)/$S$2+$O$3*(O183-$T$1)/$T$2+$P$3*(P183-$U$1)/$U$2)/(SUM($L$3:$P$3))</f>
        <v>-1.4482470399631302</v>
      </c>
      <c r="AN183" s="46">
        <f>($L$3*(Q183-$Q$1)/$Q$2+$M$3*(R183-$R$1)/$R$2+$N$3*(S183-$S$1)/$S$2+$O$3*(T183-$T$1)/$T$2+$P$3*(U183-$U$1)/$U$2)/(SUM($L$3:$P$3))</f>
        <v>-0.2287764448164788</v>
      </c>
      <c r="AO183" s="47">
        <f>IF(AVERAGE(AH183:AI183)&gt;9,1,0)+IF(AVERAGE(AH183:AI183)&gt;7,1,0)+IF(AH183&gt;7,1,0)+IF(AI183&gt;7,1,0)+IF(AJ183&gt;8,1,0)+IF(AJ183&gt;6,1,0)</f>
        <v>2</v>
      </c>
      <c r="AP183" s="48">
        <f>MIN(2,IF(OR(Z183="-",X183&lt;5),0,1+IF(Y183&gt;7,0.35,IF(Y183&gt;5,0.1,0))+IF(Z183&gt;7,1+IF(X183&gt;7,0.25,0),IF(Z183&gt;4,0.5+IF(X183&gt;7,0.25,0),0+IF(X183&gt;7,0.25))))+IF(AA183="-",0,IF(AA183&gt;9,0.5,IF(AA183&gt;7,0.25,0)))+IF(AB183="-",0,IF(AB183&gt;7,1.1,IF(AB183&gt;4,0.6,0)))+IF(OR(AC183="-",V183&lt;5),0,IF(AC183&gt;7,1+IF(V183&gt;7,0.25,0),IF(AC183&gt;4,0.5+IF(V183&gt;7,0.25,0),0)))+IF(AD183="-",0,IF(AD183&gt;7,1.5,IF(AD183&gt;4,1,0)))+IF(AE183="-",0,IF(AE183&gt;9,0.5,IF(AE183&gt;7,0.25,0)))+IF(AF183="-",0,IF(AF183&gt;7,1.25,IF(AF183&gt;4,0.75,0)))+IF(OR(AG183="-",W183&lt;4),0,IF(AG183&gt;7,1+IF(W183&gt;7,0.15,0),IF(AG183&gt;4,0.5+IF(W183&gt;7,0.15,0),0))))</f>
        <v>0</v>
      </c>
      <c r="AQ183" s="46">
        <f>($AM$3*AM183+$AN$3*AN183+$AO$3*AO183+$AP$3*AP183)+$I$3*VLOOKUP(I183,COND!$A$2:$E$7,4,FALSE)+$J$3*VLOOKUP(J183,COND!$A$2:$C$7,2,FALSE)+$K$3*VLOOKUP(K183,COND!$A$2:$C$7,3,FALSE)+IF(AND($B$2&gt;0,$E183&lt;20),$B$2*25,0)</f>
        <v>42.443191291539279</v>
      </c>
      <c r="AR183" s="49">
        <f>STANDARDIZE(AQ183,AVERAGE($AQ$5:$AQ$537),STDEVP($AQ$5:$AQ$537))</f>
        <v>0.36859146144430344</v>
      </c>
      <c r="AS183" s="47" t="str">
        <f>IF(AND(Z183&lt;&gt;"-",Y183&gt;1),"C",IF(AB183=MAX(AB183:AD183),"2B",IF(AD183=MAX(AB183:AD183),"SS",IF(OR(AC183=MAX(AA183:AD183),AND(AC183&lt;&gt;"-",AC183&gt;4,V183&gt;5)),"3B",IF(AF183=MAX(AE183:AG183),"CF",IF(AND(AG183=MAX(AE183,AG183),AND(W183&gt;5,AG183&lt;&gt;"-")),"RF",IF(AE183&lt;&gt;"-","LF",IF(AA183&lt;&gt;"-","1B","DH"))))))))</f>
        <v>LF</v>
      </c>
      <c r="AT183" s="47"/>
      <c r="AU183" s="47"/>
      <c r="AV183" s="47"/>
      <c r="AW183" s="47" t="str">
        <f>IF(AND($Q183&gt;=6,AVERAGE($S183:$T183)&gt;=6),"Likely",IF(OR($Q183&gt;6,AND($Q183=6,AVERAGE($S183:$T183)&gt;=3),AND($Q183&gt;=5,AVERAGE($S183:$T183)&gt;=5),AVERAGE($Q183,$S183:$T183)&gt;5),"Possible","Unlikely"))</f>
        <v>Unlikely</v>
      </c>
      <c r="AX183" s="47"/>
      <c r="AY183" s="47" t="str">
        <f>INDEX(Table5[[#All],[Ovr]],MATCH(Batters[[#This Row],[PID]],Table5[[#All],[PID]],0))</f>
        <v/>
      </c>
      <c r="AZ183" s="47" t="str">
        <f>INDEX(Table5[[#All],[Rnd]],MATCH(Batters[[#This Row],[PID]],Table5[[#All],[PID]],0))</f>
        <v/>
      </c>
      <c r="BA183" s="47" t="str">
        <f>INDEX(Table5[[#All],[Pick]],MATCH(Batters[[#This Row],[PID]],Table5[[#All],[PID]],0))</f>
        <v/>
      </c>
      <c r="BB183" s="47" t="str">
        <f>INDEX(Table5[[#All],[Team]],MATCH(Batters[[#This Row],[PID]],Table5[[#All],[PID]],0))</f>
        <v/>
      </c>
    </row>
    <row r="184" spans="1:54" ht="15" customHeight="1" x14ac:dyDescent="0.25">
      <c r="A184" s="42">
        <v>7573</v>
      </c>
      <c r="B184" s="42" t="s">
        <v>86</v>
      </c>
      <c r="C184" s="42" t="s">
        <v>160</v>
      </c>
      <c r="D184" s="42" t="s">
        <v>1154</v>
      </c>
      <c r="E184" s="42">
        <v>18</v>
      </c>
      <c r="F184" s="42" t="s">
        <v>42</v>
      </c>
      <c r="G184" s="42" t="s">
        <v>42</v>
      </c>
      <c r="H184" s="43" t="s">
        <v>709</v>
      </c>
      <c r="I184" s="44" t="s">
        <v>43</v>
      </c>
      <c r="J184" s="42" t="s">
        <v>43</v>
      </c>
      <c r="K184" s="43" t="s">
        <v>43</v>
      </c>
      <c r="L184" s="42">
        <v>1</v>
      </c>
      <c r="M184" s="42">
        <v>1</v>
      </c>
      <c r="N184" s="42">
        <v>3</v>
      </c>
      <c r="O184" s="42">
        <v>1</v>
      </c>
      <c r="P184" s="43">
        <v>1</v>
      </c>
      <c r="Q184" s="42">
        <v>3</v>
      </c>
      <c r="R184" s="42">
        <v>2</v>
      </c>
      <c r="S184" s="42">
        <v>4</v>
      </c>
      <c r="T184" s="42">
        <v>5</v>
      </c>
      <c r="U184" s="43">
        <v>3</v>
      </c>
      <c r="V184" s="42">
        <v>1</v>
      </c>
      <c r="W184" s="42">
        <v>1</v>
      </c>
      <c r="X184" s="42">
        <v>6</v>
      </c>
      <c r="Y184" s="43">
        <v>4</v>
      </c>
      <c r="Z184" s="42">
        <v>2</v>
      </c>
      <c r="AA184" s="42" t="s">
        <v>45</v>
      </c>
      <c r="AB184" s="42" t="s">
        <v>45</v>
      </c>
      <c r="AC184" s="42" t="s">
        <v>45</v>
      </c>
      <c r="AD184" s="42" t="s">
        <v>45</v>
      </c>
      <c r="AE184" s="42" t="s">
        <v>45</v>
      </c>
      <c r="AF184" s="42" t="s">
        <v>45</v>
      </c>
      <c r="AG184" s="43" t="s">
        <v>45</v>
      </c>
      <c r="AH184" s="42">
        <v>1</v>
      </c>
      <c r="AI184" s="42">
        <v>2</v>
      </c>
      <c r="AJ184" s="43">
        <v>3</v>
      </c>
      <c r="AK184" s="45" t="s">
        <v>599</v>
      </c>
      <c r="AL184" s="45" t="s">
        <v>47</v>
      </c>
      <c r="AM184" s="46">
        <f>($L$3*(L184-$Q$1)/$Q$2+$M$3*(M184-$R$1)/$R$2+$N$3*(N184-$S$1)/$S$2+$O$3*(O184-$T$1)/$T$2+$P$3*(P184-$U$1)/$U$2)/(SUM($L$3:$P$3))</f>
        <v>-1.9182203617797693</v>
      </c>
      <c r="AN184" s="46">
        <f>($L$3*(Q184-$Q$1)/$Q$2+$M$3*(R184-$R$1)/$R$2+$N$3*(S184-$S$1)/$S$2+$O$3*(T184-$T$1)/$T$2+$P$3*(U184-$U$1)/$U$2)/(SUM($L$3:$P$3))</f>
        <v>-0.70011643605932361</v>
      </c>
      <c r="AO184" s="47">
        <f>IF(AVERAGE(AH184:AI184)&gt;9,1,0)+IF(AVERAGE(AH184:AI184)&gt;7,1,0)+IF(AH184&gt;7,1,0)+IF(AI184&gt;7,1,0)+IF(AJ184&gt;8,1,0)+IF(AJ184&gt;6,1,0)</f>
        <v>0</v>
      </c>
      <c r="AP184" s="48">
        <f>MIN(2,IF(OR(Z184="-",X184&lt;5),0,1+IF(Y184&gt;7,0.35,IF(Y184&gt;5,0.1,0))+IF(Z184&gt;7,1+IF(X184&gt;7,0.25,0),IF(Z184&gt;4,0.5+IF(X184&gt;7,0.25,0),0+IF(X184&gt;7,0.25))))+IF(AA184="-",0,IF(AA184&gt;9,0.5,IF(AA184&gt;7,0.25,0)))+IF(AB184="-",0,IF(AB184&gt;7,1.1,IF(AB184&gt;4,0.6,0)))+IF(OR(AC184="-",V184&lt;5),0,IF(AC184&gt;7,1+IF(V184&gt;7,0.25,0),IF(AC184&gt;4,0.5+IF(V184&gt;7,0.25,0),0)))+IF(AD184="-",0,IF(AD184&gt;7,1.5,IF(AD184&gt;4,1,0)))+IF(AE184="-",0,IF(AE184&gt;9,0.5,IF(AE184&gt;7,0.25,0)))+IF(AF184="-",0,IF(AF184&gt;7,1.25,IF(AF184&gt;4,0.75,0)))+IF(OR(AG184="-",W184&lt;4),0,IF(AG184&gt;7,1+IF(W184&gt;7,0.15,0),IF(AG184&gt;4,0.5+IF(W184&gt;7,0.15,0),0))))</f>
        <v>1</v>
      </c>
      <c r="AQ184" s="46">
        <f>($AM$3*AM184+$AN$3*AN184+$AO$3*AO184+$AP$3*AP184)+$I$3*VLOOKUP(I184,COND!$A$2:$E$7,4,FALSE)+$J$3*VLOOKUP(J184,COND!$A$2:$C$7,2,FALSE)+$K$3*VLOOKUP(K184,COND!$A$2:$C$7,3,FALSE)+IF(AND($B$2&gt;0,$E184&lt;20),$B$2*25,0)</f>
        <v>42.406780731110139</v>
      </c>
      <c r="AR184" s="49">
        <f>STANDARDIZE(AQ184,AVERAGE($AQ$5:$AQ$537),STDEVP($AQ$5:$AQ$537))</f>
        <v>0.36218526533242706</v>
      </c>
      <c r="AS184" s="47" t="str">
        <f>IF(AND(Z184&lt;&gt;"-",Y184&gt;1),"C",IF(AB184=MAX(AB184:AD184),"2B",IF(AD184=MAX(AB184:AD184),"SS",IF(OR(AC184=MAX(AA184:AD184),AND(AC184&lt;&gt;"-",AC184&gt;4,V184&gt;5)),"3B",IF(AF184=MAX(AE184:AG184),"CF",IF(AND(AG184=MAX(AE184,AG184),AND(W184&gt;5,AG184&lt;&gt;"-")),"RF",IF(AE184&lt;&gt;"-","LF",IF(AA184&lt;&gt;"-","1B","DH"))))))))</f>
        <v>C</v>
      </c>
      <c r="AT184" s="47"/>
      <c r="AU184" s="47"/>
      <c r="AV184" s="47"/>
      <c r="AW184" s="47" t="str">
        <f>IF(AND($Q184&gt;=6,AVERAGE($S184:$T184)&gt;=6),"Likely",IF(OR($Q184&gt;6,AND($Q184=6,AVERAGE($S184:$T184)&gt;=3),AND($Q184&gt;=5,AVERAGE($S184:$T184)&gt;=5),AVERAGE($Q184,$S184:$T184)&gt;5),"Possible","Unlikely"))</f>
        <v>Unlikely</v>
      </c>
      <c r="AX184" s="47"/>
      <c r="AY184" s="47" t="str">
        <f>INDEX(Table5[[#All],[Ovr]],MATCH(Batters[[#This Row],[PID]],Table5[[#All],[PID]],0))</f>
        <v/>
      </c>
      <c r="AZ184" s="47" t="str">
        <f>INDEX(Table5[[#All],[Rnd]],MATCH(Batters[[#This Row],[PID]],Table5[[#All],[PID]],0))</f>
        <v/>
      </c>
      <c r="BA184" s="47" t="str">
        <f>INDEX(Table5[[#All],[Pick]],MATCH(Batters[[#This Row],[PID]],Table5[[#All],[PID]],0))</f>
        <v/>
      </c>
      <c r="BB184" s="47" t="str">
        <f>INDEX(Table5[[#All],[Team]],MATCH(Batters[[#This Row],[PID]],Table5[[#All],[PID]],0))</f>
        <v/>
      </c>
    </row>
    <row r="185" spans="1:54" ht="15" customHeight="1" x14ac:dyDescent="0.25">
      <c r="A185" s="42">
        <v>9288</v>
      </c>
      <c r="B185" s="42" t="s">
        <v>86</v>
      </c>
      <c r="C185" s="42" t="s">
        <v>915</v>
      </c>
      <c r="D185" s="42" t="s">
        <v>727</v>
      </c>
      <c r="E185" s="42">
        <v>21</v>
      </c>
      <c r="F185" s="42" t="s">
        <v>62</v>
      </c>
      <c r="G185" s="42" t="s">
        <v>42</v>
      </c>
      <c r="H185" s="43" t="s">
        <v>703</v>
      </c>
      <c r="I185" s="44" t="s">
        <v>44</v>
      </c>
      <c r="J185" s="42" t="s">
        <v>43</v>
      </c>
      <c r="K185" s="43" t="s">
        <v>44</v>
      </c>
      <c r="L185" s="42">
        <v>3</v>
      </c>
      <c r="M185" s="42">
        <v>2</v>
      </c>
      <c r="N185" s="42">
        <v>3</v>
      </c>
      <c r="O185" s="42">
        <v>3</v>
      </c>
      <c r="P185" s="43">
        <v>1</v>
      </c>
      <c r="Q185" s="42">
        <v>4</v>
      </c>
      <c r="R185" s="42">
        <v>5</v>
      </c>
      <c r="S185" s="42">
        <v>4</v>
      </c>
      <c r="T185" s="42">
        <v>5</v>
      </c>
      <c r="U185" s="43">
        <v>3</v>
      </c>
      <c r="V185" s="42">
        <v>4</v>
      </c>
      <c r="W185" s="42">
        <v>4</v>
      </c>
      <c r="X185" s="42">
        <v>5</v>
      </c>
      <c r="Y185" s="43">
        <v>8</v>
      </c>
      <c r="Z185" s="42">
        <v>3</v>
      </c>
      <c r="AA185" s="42" t="s">
        <v>45</v>
      </c>
      <c r="AB185" s="42" t="s">
        <v>45</v>
      </c>
      <c r="AC185" s="42" t="s">
        <v>45</v>
      </c>
      <c r="AD185" s="42" t="s">
        <v>45</v>
      </c>
      <c r="AE185" s="42" t="s">
        <v>45</v>
      </c>
      <c r="AF185" s="42" t="s">
        <v>45</v>
      </c>
      <c r="AG185" s="43" t="s">
        <v>45</v>
      </c>
      <c r="AH185" s="42">
        <v>2</v>
      </c>
      <c r="AI185" s="42">
        <v>3</v>
      </c>
      <c r="AJ185" s="43">
        <v>4</v>
      </c>
      <c r="AK185" s="45" t="s">
        <v>745</v>
      </c>
      <c r="AL185" s="45" t="s">
        <v>47</v>
      </c>
      <c r="AM185" s="46">
        <f>($L$3*(L185-$Q$1)/$Q$2+$M$3*(M185-$R$1)/$R$2+$N$3*(N185-$S$1)/$S$2+$O$3*(O185-$T$1)/$T$2+$P$3*(P185-$U$1)/$U$2)/(SUM($L$3:$P$3))</f>
        <v>-1.042629709736554</v>
      </c>
      <c r="AN185" s="46">
        <f>($L$3*(Q185-$Q$1)/$Q$2+$M$3*(R185-$R$1)/$R$2+$N$3*(S185-$S$1)/$S$2+$O$3*(T185-$T$1)/$T$2+$P$3*(U185-$U$1)/$U$2)/(SUM($L$3:$P$3))</f>
        <v>-0.22438096100053834</v>
      </c>
      <c r="AO185" s="47">
        <f>IF(AVERAGE(AH185:AI185)&gt;9,1,0)+IF(AVERAGE(AH185:AI185)&gt;7,1,0)+IF(AH185&gt;7,1,0)+IF(AI185&gt;7,1,0)+IF(AJ185&gt;8,1,0)+IF(AJ185&gt;6,1,0)</f>
        <v>0</v>
      </c>
      <c r="AP185" s="48">
        <f>MIN(2,IF(OR(Z185="-",X185&lt;5),0,1+IF(Y185&gt;7,0.35,IF(Y185&gt;5,0.1,0))+IF(Z185&gt;7,1+IF(X185&gt;7,0.25,0),IF(Z185&gt;4,0.5+IF(X185&gt;7,0.25,0),0+IF(X185&gt;7,0.25))))+IF(AA185="-",0,IF(AA185&gt;9,0.5,IF(AA185&gt;7,0.25,0)))+IF(AB185="-",0,IF(AB185&gt;7,1.1,IF(AB185&gt;4,0.6,0)))+IF(OR(AC185="-",V185&lt;5),0,IF(AC185&gt;7,1+IF(V185&gt;7,0.25,0),IF(AC185&gt;4,0.5+IF(V185&gt;7,0.25,0),0)))+IF(AD185="-",0,IF(AD185&gt;7,1.5,IF(AD185&gt;4,1,0)))+IF(AE185="-",0,IF(AE185&gt;9,0.5,IF(AE185&gt;7,0.25,0)))+IF(AF185="-",0,IF(AF185&gt;7,1.25,IF(AF185&gt;4,0.75,0)))+IF(OR(AG185="-",W185&lt;4),0,IF(AG185&gt;7,1+IF(W185&gt;7,0.15,0),IF(AG185&gt;4,0.5+IF(W185&gt;7,0.15,0),0))))</f>
        <v>1.35</v>
      </c>
      <c r="AQ185" s="46">
        <f>($AM$3*AM185+$AN$3*AN185+$AO$3*AO185+$AP$3*AP185)+$I$3*VLOOKUP(I185,COND!$A$2:$E$7,4,FALSE)+$J$3*VLOOKUP(J185,COND!$A$2:$C$7,2,FALSE)+$K$3*VLOOKUP(K185,COND!$A$2:$C$7,3,FALSE)+IF(AND($B$2&gt;0,$E185&lt;20),$B$2*25,0)</f>
        <v>43.103165497019887</v>
      </c>
      <c r="AR185" s="49">
        <f>STANDARDIZE(AQ185,AVERAGE($AQ$5:$AQ$537),STDEVP($AQ$5:$AQ$537))</f>
        <v>0.48470953650982551</v>
      </c>
      <c r="AS185" s="47" t="str">
        <f>IF(AND(Z185&lt;&gt;"-",Y185&gt;1),"C",IF(AB185=MAX(AB185:AD185),"2B",IF(AD185=MAX(AB185:AD185),"SS",IF(OR(AC185=MAX(AA185:AD185),AND(AC185&lt;&gt;"-",AC185&gt;4,V185&gt;5)),"3B",IF(AF185=MAX(AE185:AG185),"CF",IF(AND(AG185=MAX(AE185,AG185),AND(W185&gt;5,AG185&lt;&gt;"-")),"RF",IF(AE185&lt;&gt;"-","LF",IF(AA185&lt;&gt;"-","1B","DH"))))))))</f>
        <v>C</v>
      </c>
      <c r="AT185" s="47"/>
      <c r="AU185" s="47"/>
      <c r="AV185" s="47"/>
      <c r="AW185" s="47" t="str">
        <f>IF(AND($Q185&gt;=6,AVERAGE($S185:$T185)&gt;=6),"Likely",IF(OR($Q185&gt;6,AND($Q185=6,AVERAGE($S185:$T185)&gt;=3),AND($Q185&gt;=5,AVERAGE($S185:$T185)&gt;=5),AVERAGE($Q185,$S185:$T185)&gt;5),"Possible","Unlikely"))</f>
        <v>Unlikely</v>
      </c>
      <c r="AX185" s="47"/>
      <c r="AY185" s="47" t="str">
        <f>INDEX(Table5[[#All],[Ovr]],MATCH(Batters[[#This Row],[PID]],Table5[[#All],[PID]],0))</f>
        <v/>
      </c>
      <c r="AZ185" s="47" t="str">
        <f>INDEX(Table5[[#All],[Rnd]],MATCH(Batters[[#This Row],[PID]],Table5[[#All],[PID]],0))</f>
        <v/>
      </c>
      <c r="BA185" s="47" t="str">
        <f>INDEX(Table5[[#All],[Pick]],MATCH(Batters[[#This Row],[PID]],Table5[[#All],[PID]],0))</f>
        <v/>
      </c>
      <c r="BB185" s="47" t="str">
        <f>INDEX(Table5[[#All],[Team]],MATCH(Batters[[#This Row],[PID]],Table5[[#All],[PID]],0))</f>
        <v/>
      </c>
    </row>
    <row r="186" spans="1:54" ht="15" customHeight="1" x14ac:dyDescent="0.25">
      <c r="A186" s="42">
        <v>9615</v>
      </c>
      <c r="B186" s="42" t="s">
        <v>71</v>
      </c>
      <c r="C186" s="42" t="s">
        <v>349</v>
      </c>
      <c r="D186" s="42" t="s">
        <v>158</v>
      </c>
      <c r="E186" s="42">
        <v>21</v>
      </c>
      <c r="F186" s="42" t="s">
        <v>42</v>
      </c>
      <c r="G186" s="42" t="s">
        <v>42</v>
      </c>
      <c r="H186" s="43" t="s">
        <v>703</v>
      </c>
      <c r="I186" s="44" t="s">
        <v>43</v>
      </c>
      <c r="J186" s="42" t="s">
        <v>43</v>
      </c>
      <c r="K186" s="43" t="s">
        <v>43</v>
      </c>
      <c r="L186" s="42">
        <v>3</v>
      </c>
      <c r="M186" s="42">
        <v>4</v>
      </c>
      <c r="N186" s="42">
        <v>3</v>
      </c>
      <c r="O186" s="42">
        <v>4</v>
      </c>
      <c r="P186" s="43">
        <v>1</v>
      </c>
      <c r="Q186" s="42">
        <v>4</v>
      </c>
      <c r="R186" s="42">
        <v>5</v>
      </c>
      <c r="S186" s="42">
        <v>3</v>
      </c>
      <c r="T186" s="42">
        <v>5</v>
      </c>
      <c r="U186" s="43">
        <v>4</v>
      </c>
      <c r="V186" s="42">
        <v>6</v>
      </c>
      <c r="W186" s="42">
        <v>4</v>
      </c>
      <c r="X186" s="42">
        <v>1</v>
      </c>
      <c r="Y186" s="43">
        <v>1</v>
      </c>
      <c r="Z186" s="42" t="s">
        <v>45</v>
      </c>
      <c r="AA186" s="42" t="s">
        <v>45</v>
      </c>
      <c r="AB186" s="42">
        <v>6</v>
      </c>
      <c r="AC186" s="42" t="s">
        <v>45</v>
      </c>
      <c r="AD186" s="42">
        <v>2</v>
      </c>
      <c r="AE186" s="42" t="s">
        <v>45</v>
      </c>
      <c r="AF186" s="42" t="s">
        <v>45</v>
      </c>
      <c r="AG186" s="43" t="s">
        <v>45</v>
      </c>
      <c r="AH186" s="42">
        <v>6</v>
      </c>
      <c r="AI186" s="42">
        <v>4</v>
      </c>
      <c r="AJ186" s="43">
        <v>2</v>
      </c>
      <c r="AK186" s="45" t="s">
        <v>704</v>
      </c>
      <c r="AL186" s="45" t="s">
        <v>47</v>
      </c>
      <c r="AM186" s="46">
        <f>($L$3*(L186-$Q$1)/$Q$2+$M$3*(M186-$R$1)/$R$2+$N$3*(N186-$S$1)/$S$2+$O$3*(O186-$T$1)/$T$2+$P$3*(P186-$U$1)/$U$2)/(SUM($L$3:$P$3))</f>
        <v>-0.85080040048956596</v>
      </c>
      <c r="AN186" s="46">
        <f>($L$3*(Q186-$Q$1)/$Q$2+$M$3*(R186-$R$1)/$R$2+$N$3*(S186-$S$1)/$S$2+$O$3*(T186-$T$1)/$T$2+$P$3*(U186-$U$1)/$U$2)/(SUM($L$3:$P$3))</f>
        <v>-0.26742611520735632</v>
      </c>
      <c r="AO186" s="47">
        <f>IF(AVERAGE(AH186:AI186)&gt;9,1,0)+IF(AVERAGE(AH186:AI186)&gt;7,1,0)+IF(AH186&gt;7,1,0)+IF(AI186&gt;7,1,0)+IF(AJ186&gt;8,1,0)+IF(AJ186&gt;6,1,0)</f>
        <v>0</v>
      </c>
      <c r="AP186" s="48">
        <f>MIN(2,IF(OR(Z186="-",X186&lt;5),0,1+IF(Y186&gt;7,0.35,IF(Y186&gt;5,0.1,0))+IF(Z186&gt;7,1+IF(X186&gt;7,0.25,0),IF(Z186&gt;4,0.5+IF(X186&gt;7,0.25,0),0+IF(X186&gt;7,0.25))))+IF(AA186="-",0,IF(AA186&gt;9,0.5,IF(AA186&gt;7,0.25,0)))+IF(AB186="-",0,IF(AB186&gt;7,1.1,IF(AB186&gt;4,0.6,0)))+IF(OR(AC186="-",V186&lt;5),0,IF(AC186&gt;7,1+IF(V186&gt;7,0.25,0),IF(AC186&gt;4,0.5+IF(V186&gt;7,0.25,0),0)))+IF(AD186="-",0,IF(AD186&gt;7,1.5,IF(AD186&gt;4,1,0)))+IF(AE186="-",0,IF(AE186&gt;9,0.5,IF(AE186&gt;7,0.25,0)))+IF(AF186="-",0,IF(AF186&gt;7,1.25,IF(AF186&gt;4,0.75,0)))+IF(OR(AG186="-",W186&lt;4),0,IF(AG186&gt;7,1+IF(W186&gt;7,0.15,0),IF(AG186&gt;4,0.5+IF(W186&gt;7,0.15,0),0))))</f>
        <v>0.6</v>
      </c>
      <c r="AQ186" s="46">
        <f>($AM$3*AM186+$AN$3*AN186+$AO$3*AO186+$AP$3*AP186)+$I$3*VLOOKUP(I186,COND!$A$2:$E$7,4,FALSE)+$J$3*VLOOKUP(J186,COND!$A$2:$C$7,2,FALSE)+$K$3*VLOOKUP(K186,COND!$A$2:$C$7,3,FALSE)+IF(AND($B$2&gt;0,$E186&lt;20),$B$2*25,0)</f>
        <v>42.305806577462768</v>
      </c>
      <c r="AR186" s="49">
        <f>STANDARDIZE(AQ186,AVERAGE($AQ$5:$AQ$537),STDEVP($AQ$5:$AQ$537))</f>
        <v>0.34441953410303056</v>
      </c>
      <c r="AS186" s="47" t="str">
        <f>IF(AND(Z186&lt;&gt;"-",Y186&gt;1),"C",IF(AB186=MAX(AB186:AD186),"2B",IF(AD186=MAX(AB186:AD186),"SS",IF(OR(AC186=MAX(AA186:AD186),AND(AC186&lt;&gt;"-",AC186&gt;4,V186&gt;5)),"3B",IF(AF186=MAX(AE186:AG186),"CF",IF(AND(AG186=MAX(AE186,AG186),AND(W186&gt;5,AG186&lt;&gt;"-")),"RF",IF(AE186&lt;&gt;"-","LF",IF(AA186&lt;&gt;"-","1B","DH"))))))))</f>
        <v>2B</v>
      </c>
      <c r="AT186" s="47"/>
      <c r="AU186" s="47"/>
      <c r="AV186" s="47"/>
      <c r="AW186" s="47" t="str">
        <f>IF(AND($Q186&gt;=6,AVERAGE($S186:$T186)&gt;=6),"Likely",IF(OR($Q186&gt;6,AND($Q186=6,AVERAGE($S186:$T186)&gt;=3),AND($Q186&gt;=5,AVERAGE($S186:$T186)&gt;=5),AVERAGE($Q186,$S186:$T186)&gt;5),"Possible","Unlikely"))</f>
        <v>Unlikely</v>
      </c>
      <c r="AX186" s="47"/>
      <c r="AY186" s="47" t="str">
        <f>INDEX(Table5[[#All],[Ovr]],MATCH(Batters[[#This Row],[PID]],Table5[[#All],[PID]],0))</f>
        <v/>
      </c>
      <c r="AZ186" s="47" t="str">
        <f>INDEX(Table5[[#All],[Rnd]],MATCH(Batters[[#This Row],[PID]],Table5[[#All],[PID]],0))</f>
        <v/>
      </c>
      <c r="BA186" s="47" t="str">
        <f>INDEX(Table5[[#All],[Pick]],MATCH(Batters[[#This Row],[PID]],Table5[[#All],[PID]],0))</f>
        <v/>
      </c>
      <c r="BB186" s="47" t="str">
        <f>INDEX(Table5[[#All],[Team]],MATCH(Batters[[#This Row],[PID]],Table5[[#All],[PID]],0))</f>
        <v/>
      </c>
    </row>
    <row r="187" spans="1:54" ht="15" customHeight="1" x14ac:dyDescent="0.25">
      <c r="A187" s="42">
        <v>7232</v>
      </c>
      <c r="B187" s="42" t="s">
        <v>86</v>
      </c>
      <c r="C187" s="42" t="s">
        <v>1001</v>
      </c>
      <c r="D187" s="42" t="s">
        <v>393</v>
      </c>
      <c r="E187" s="42">
        <v>21</v>
      </c>
      <c r="F187" s="42" t="s">
        <v>53</v>
      </c>
      <c r="G187" s="42" t="s">
        <v>42</v>
      </c>
      <c r="H187" s="43" t="s">
        <v>703</v>
      </c>
      <c r="I187" s="44" t="s">
        <v>43</v>
      </c>
      <c r="J187" s="42" t="s">
        <v>44</v>
      </c>
      <c r="K187" s="43" t="s">
        <v>43</v>
      </c>
      <c r="L187" s="42">
        <v>3</v>
      </c>
      <c r="M187" s="42">
        <v>3</v>
      </c>
      <c r="N187" s="42">
        <v>4</v>
      </c>
      <c r="O187" s="42">
        <v>4</v>
      </c>
      <c r="P187" s="43">
        <v>1</v>
      </c>
      <c r="Q187" s="42">
        <v>4</v>
      </c>
      <c r="R187" s="42">
        <v>4</v>
      </c>
      <c r="S187" s="42">
        <v>4</v>
      </c>
      <c r="T187" s="42">
        <v>6</v>
      </c>
      <c r="U187" s="43">
        <v>4</v>
      </c>
      <c r="V187" s="42">
        <v>3</v>
      </c>
      <c r="W187" s="42">
        <v>4</v>
      </c>
      <c r="X187" s="42">
        <v>4</v>
      </c>
      <c r="Y187" s="43">
        <v>5</v>
      </c>
      <c r="Z187" s="42" t="s">
        <v>45</v>
      </c>
      <c r="AA187" s="42" t="s">
        <v>45</v>
      </c>
      <c r="AB187" s="42" t="s">
        <v>45</v>
      </c>
      <c r="AC187" s="42" t="s">
        <v>45</v>
      </c>
      <c r="AD187" s="42" t="s">
        <v>45</v>
      </c>
      <c r="AE187" s="42" t="s">
        <v>45</v>
      </c>
      <c r="AF187" s="42" t="s">
        <v>45</v>
      </c>
      <c r="AG187" s="43" t="s">
        <v>45</v>
      </c>
      <c r="AH187" s="42">
        <v>1</v>
      </c>
      <c r="AI187" s="42">
        <v>1</v>
      </c>
      <c r="AJ187" s="43">
        <v>3</v>
      </c>
      <c r="AK187" s="45" t="s">
        <v>45</v>
      </c>
      <c r="AL187" s="45" t="s">
        <v>47</v>
      </c>
      <c r="AM187" s="46">
        <f>($L$3*(L187-$Q$1)/$Q$2+$M$3*(M187-$R$1)/$R$2+$N$3*(N187-$S$1)/$S$2+$O$3*(O187-$T$1)/$T$2+$P$3*(P187-$U$1)/$U$2)/(SUM($L$3:$P$3))</f>
        <v>-0.81879878608436796</v>
      </c>
      <c r="AN187" s="46">
        <f>($L$3*(Q187-$Q$1)/$Q$2+$M$3*(R187-$R$1)/$R$2+$N$3*(S187-$S$1)/$S$2+$O$3*(T187-$T$1)/$T$2+$P$3*(U187-$U$1)/$U$2)/(SUM($L$3:$P$3))</f>
        <v>-0.14571495079257732</v>
      </c>
      <c r="AO187" s="47">
        <f>IF(AVERAGE(AH187:AI187)&gt;9,1,0)+IF(AVERAGE(AH187:AI187)&gt;7,1,0)+IF(AH187&gt;7,1,0)+IF(AI187&gt;7,1,0)+IF(AJ187&gt;8,1,0)+IF(AJ187&gt;6,1,0)</f>
        <v>0</v>
      </c>
      <c r="AP187" s="48">
        <f>MIN(2,IF(OR(Z187="-",X187&lt;5),0,1+IF(Y187&gt;7,0.35,IF(Y187&gt;5,0.1,0))+IF(Z187&gt;7,1+IF(X187&gt;7,0.25,0),IF(Z187&gt;4,0.5+IF(X187&gt;7,0.25,0),0+IF(X187&gt;7,0.25))))+IF(AA187="-",0,IF(AA187&gt;9,0.5,IF(AA187&gt;7,0.25,0)))+IF(AB187="-",0,IF(AB187&gt;7,1.1,IF(AB187&gt;4,0.6,0)))+IF(OR(AC187="-",V187&lt;5),0,IF(AC187&gt;7,1+IF(V187&gt;7,0.25,0),IF(AC187&gt;4,0.5+IF(V187&gt;7,0.25,0),0)))+IF(AD187="-",0,IF(AD187&gt;7,1.5,IF(AD187&gt;4,1,0)))+IF(AE187="-",0,IF(AE187&gt;9,0.5,IF(AE187&gt;7,0.25,0)))+IF(AF187="-",0,IF(AF187&gt;7,1.25,IF(AF187&gt;4,0.75,0)))+IF(OR(AG187="-",W187&lt;4),0,IF(AG187&gt;7,1+IF(W187&gt;7,0.15,0),IF(AG187&gt;4,0.5+IF(W187&gt;7,0.15,0),0))))</f>
        <v>0</v>
      </c>
      <c r="AQ187" s="46">
        <f>($AM$3*AM187+$AN$3*AN187+$AO$3*AO187+$AP$3*AP187)+$I$3*VLOOKUP(I187,COND!$A$2:$E$7,4,FALSE)+$J$3*VLOOKUP(J187,COND!$A$2:$C$7,2,FALSE)+$K$3*VLOOKUP(K187,COND!$A$2:$C$7,3,FALSE)+IF(AND($B$2&gt;0,$E187&lt;20),$B$2*25,0)</f>
        <v>42.869540711880632</v>
      </c>
      <c r="AR187" s="49">
        <f>STANDARDIZE(AQ187,AVERAGE($AQ$5:$AQ$537),STDEVP($AQ$5:$AQ$537))</f>
        <v>0.44360480830577204</v>
      </c>
      <c r="AS187" s="47" t="str">
        <f>IF(AND(Z187&lt;&gt;"-",Y187&gt;1),"C",IF(AB187=MAX(AB187:AD187),"2B",IF(AD187=MAX(AB187:AD187),"SS",IF(OR(AC187=MAX(AA187:AD187),AND(AC187&lt;&gt;"-",AC187&gt;4,V187&gt;5)),"3B",IF(AF187=MAX(AE187:AG187),"CF",IF(AND(AG187=MAX(AE187,AG187),AND(W187&gt;5,AG187&lt;&gt;"-")),"RF",IF(AE187&lt;&gt;"-","LF",IF(AA187&lt;&gt;"-","1B","DH"))))))))</f>
        <v>DH</v>
      </c>
      <c r="AT187" s="47"/>
      <c r="AU187" s="47"/>
      <c r="AV187" s="47"/>
      <c r="AW187" s="47" t="str">
        <f>IF(AND($Q187&gt;=6,AVERAGE($S187:$T187)&gt;=6),"Likely",IF(OR($Q187&gt;6,AND($Q187=6,AVERAGE($S187:$T187)&gt;=3),AND($Q187&gt;=5,AVERAGE($S187:$T187)&gt;=5),AVERAGE($Q187,$S187:$T187)&gt;5),"Possible","Unlikely"))</f>
        <v>Unlikely</v>
      </c>
      <c r="AX187" s="47"/>
      <c r="AY187" s="47" t="str">
        <f>INDEX(Table5[[#All],[Ovr]],MATCH(Batters[[#This Row],[PID]],Table5[[#All],[PID]],0))</f>
        <v/>
      </c>
      <c r="AZ187" s="47" t="str">
        <f>INDEX(Table5[[#All],[Rnd]],MATCH(Batters[[#This Row],[PID]],Table5[[#All],[PID]],0))</f>
        <v/>
      </c>
      <c r="BA187" s="47" t="str">
        <f>INDEX(Table5[[#All],[Pick]],MATCH(Batters[[#This Row],[PID]],Table5[[#All],[PID]],0))</f>
        <v/>
      </c>
      <c r="BB187" s="47" t="str">
        <f>INDEX(Table5[[#All],[Team]],MATCH(Batters[[#This Row],[PID]],Table5[[#All],[PID]],0))</f>
        <v/>
      </c>
    </row>
    <row r="188" spans="1:54" ht="15" customHeight="1" x14ac:dyDescent="0.25">
      <c r="A188" s="42">
        <v>7600</v>
      </c>
      <c r="B188" s="42" t="s">
        <v>87</v>
      </c>
      <c r="C188" s="42" t="s">
        <v>168</v>
      </c>
      <c r="D188" s="42" t="s">
        <v>1177</v>
      </c>
      <c r="E188" s="42">
        <v>18</v>
      </c>
      <c r="F188" s="42" t="s">
        <v>53</v>
      </c>
      <c r="G188" s="42" t="s">
        <v>42</v>
      </c>
      <c r="H188" s="43" t="s">
        <v>711</v>
      </c>
      <c r="I188" s="44" t="s">
        <v>44</v>
      </c>
      <c r="J188" s="42" t="s">
        <v>47</v>
      </c>
      <c r="K188" s="43" t="s">
        <v>43</v>
      </c>
      <c r="L188" s="42">
        <v>1</v>
      </c>
      <c r="M188" s="42">
        <v>1</v>
      </c>
      <c r="N188" s="42">
        <v>2</v>
      </c>
      <c r="O188" s="42">
        <v>1</v>
      </c>
      <c r="P188" s="43">
        <v>1</v>
      </c>
      <c r="Q188" s="42">
        <v>3</v>
      </c>
      <c r="R188" s="42">
        <v>2</v>
      </c>
      <c r="S188" s="42">
        <v>5</v>
      </c>
      <c r="T188" s="42">
        <v>4</v>
      </c>
      <c r="U188" s="43">
        <v>3</v>
      </c>
      <c r="V188" s="42">
        <v>3</v>
      </c>
      <c r="W188" s="42">
        <v>4</v>
      </c>
      <c r="X188" s="42">
        <v>1</v>
      </c>
      <c r="Y188" s="43">
        <v>1</v>
      </c>
      <c r="Z188" s="42" t="s">
        <v>45</v>
      </c>
      <c r="AA188" s="42">
        <v>4</v>
      </c>
      <c r="AB188" s="42" t="s">
        <v>45</v>
      </c>
      <c r="AC188" s="42" t="s">
        <v>45</v>
      </c>
      <c r="AD188" s="42" t="s">
        <v>45</v>
      </c>
      <c r="AE188" s="42" t="s">
        <v>45</v>
      </c>
      <c r="AF188" s="42" t="s">
        <v>45</v>
      </c>
      <c r="AG188" s="43" t="s">
        <v>45</v>
      </c>
      <c r="AH188" s="42">
        <v>2</v>
      </c>
      <c r="AI188" s="42">
        <v>3</v>
      </c>
      <c r="AJ188" s="43">
        <v>1</v>
      </c>
      <c r="AK188" s="45" t="s">
        <v>602</v>
      </c>
      <c r="AL188" s="45" t="s">
        <v>705</v>
      </c>
      <c r="AM188" s="46">
        <f>($L$3*(L188-$Q$1)/$Q$2+$M$3*(M188-$R$1)/$R$2+$N$3*(N188-$S$1)/$S$2+$O$3*(O188-$T$1)/$T$2+$P$3*(P188-$U$1)/$U$2)/(SUM($L$3:$P$3))</f>
        <v>-2.0012818558036707</v>
      </c>
      <c r="AN188" s="46">
        <f>($L$3*(Q188-$Q$1)/$Q$2+$M$3*(R188-$R$1)/$R$2+$N$3*(S188-$S$1)/$S$2+$O$3*(T188-$T$1)/$T$2+$P$3*(U188-$U$1)/$U$2)/(SUM($L$3:$P$3))</f>
        <v>-0.70676449204500313</v>
      </c>
      <c r="AO188" s="47">
        <f>IF(AVERAGE(AH188:AI188)&gt;9,1,0)+IF(AVERAGE(AH188:AI188)&gt;7,1,0)+IF(AH188&gt;7,1,0)+IF(AI188&gt;7,1,0)+IF(AJ188&gt;8,1,0)+IF(AJ188&gt;6,1,0)</f>
        <v>0</v>
      </c>
      <c r="AP188" s="48">
        <f>MIN(2,IF(OR(Z188="-",X188&lt;5),0,1+IF(Y188&gt;7,0.35,IF(Y188&gt;5,0.1,0))+IF(Z188&gt;7,1+IF(X188&gt;7,0.25,0),IF(Z188&gt;4,0.5+IF(X188&gt;7,0.25,0),0+IF(X188&gt;7,0.25))))+IF(AA188="-",0,IF(AA188&gt;9,0.5,IF(AA188&gt;7,0.25,0)))+IF(AB188="-",0,IF(AB188&gt;7,1.1,IF(AB188&gt;4,0.6,0)))+IF(OR(AC188="-",V188&lt;5),0,IF(AC188&gt;7,1+IF(V188&gt;7,0.25,0),IF(AC188&gt;4,0.5+IF(V188&gt;7,0.25,0),0)))+IF(AD188="-",0,IF(AD188&gt;7,1.5,IF(AD188&gt;4,1,0)))+IF(AE188="-",0,IF(AE188&gt;9,0.5,IF(AE188&gt;7,0.25,0)))+IF(AF188="-",0,IF(AF188&gt;7,1.25,IF(AF188&gt;4,0.75,0)))+IF(OR(AG188="-",W188&lt;4),0,IF(AG188&gt;7,1+IF(W188&gt;7,0.15,0),IF(AG188&gt;4,0.5+IF(W188&gt;7,0.15,0),0))))</f>
        <v>0</v>
      </c>
      <c r="AQ188" s="46">
        <f>($AM$3*AM188+$AN$3*AN188+$AO$3*AO188+$AP$3*AP188)+$I$3*VLOOKUP(I188,COND!$A$2:$E$7,4,FALSE)+$J$3*VLOOKUP(J188,COND!$A$2:$C$7,2,FALSE)+$K$3*VLOOKUP(K188,COND!$A$2:$C$7,3,FALSE)+IF(AND($B$2&gt;0,$E188&lt;20),$B$2*25,0)</f>
        <v>41.468697909879594</v>
      </c>
      <c r="AR188" s="49">
        <f>STANDARDIZE(AQ188,AVERAGE($AQ$5:$AQ$537),STDEVP($AQ$5:$AQ$537))</f>
        <v>0.19713582771993593</v>
      </c>
      <c r="AS188" s="47" t="str">
        <f>IF(AND(Z188&lt;&gt;"-",Y188&gt;1),"C",IF(AB188=MAX(AB188:AD188),"2B",IF(AD188=MAX(AB188:AD188),"SS",IF(OR(AC188=MAX(AA188:AD188),AND(AC188&lt;&gt;"-",AC188&gt;4,V188&gt;5)),"3B",IF(AF188=MAX(AE188:AG188),"CF",IF(AND(AG188=MAX(AE188,AG188),AND(W188&gt;5,AG188&lt;&gt;"-")),"RF",IF(AE188&lt;&gt;"-","LF",IF(AA188&lt;&gt;"-","1B","DH"))))))))</f>
        <v>1B</v>
      </c>
      <c r="AT188" s="47"/>
      <c r="AU188" s="47"/>
      <c r="AV188" s="47"/>
      <c r="AW188" s="47" t="str">
        <f>IF(AND($Q188&gt;=6,AVERAGE($S188:$T188)&gt;=6),"Likely",IF(OR($Q188&gt;6,AND($Q188=6,AVERAGE($S188:$T188)&gt;=3),AND($Q188&gt;=5,AVERAGE($S188:$T188)&gt;=5),AVERAGE($Q188,$S188:$T188)&gt;5),"Possible","Unlikely"))</f>
        <v>Unlikely</v>
      </c>
      <c r="AX188" s="47"/>
      <c r="AY188" s="47" t="str">
        <f>INDEX(Table5[[#All],[Ovr]],MATCH(Batters[[#This Row],[PID]],Table5[[#All],[PID]],0))</f>
        <v/>
      </c>
      <c r="AZ188" s="47" t="str">
        <f>INDEX(Table5[[#All],[Rnd]],MATCH(Batters[[#This Row],[PID]],Table5[[#All],[PID]],0))</f>
        <v/>
      </c>
      <c r="BA188" s="47" t="str">
        <f>INDEX(Table5[[#All],[Pick]],MATCH(Batters[[#This Row],[PID]],Table5[[#All],[PID]],0))</f>
        <v/>
      </c>
      <c r="BB188" s="47" t="str">
        <f>INDEX(Table5[[#All],[Team]],MATCH(Batters[[#This Row],[PID]],Table5[[#All],[PID]],0))</f>
        <v/>
      </c>
    </row>
    <row r="189" spans="1:54" ht="15" customHeight="1" x14ac:dyDescent="0.25">
      <c r="A189" s="42">
        <v>14105</v>
      </c>
      <c r="B189" s="42" t="s">
        <v>69</v>
      </c>
      <c r="C189" s="42" t="s">
        <v>724</v>
      </c>
      <c r="D189" s="42" t="s">
        <v>877</v>
      </c>
      <c r="E189" s="42">
        <v>18</v>
      </c>
      <c r="F189" s="42" t="s">
        <v>42</v>
      </c>
      <c r="G189" s="42" t="s">
        <v>42</v>
      </c>
      <c r="H189" s="43" t="s">
        <v>709</v>
      </c>
      <c r="I189" s="44" t="s">
        <v>43</v>
      </c>
      <c r="J189" s="42" t="s">
        <v>43</v>
      </c>
      <c r="K189" s="43" t="s">
        <v>43</v>
      </c>
      <c r="L189" s="42">
        <v>1</v>
      </c>
      <c r="M189" s="42">
        <v>2</v>
      </c>
      <c r="N189" s="42">
        <v>2</v>
      </c>
      <c r="O189" s="42">
        <v>2</v>
      </c>
      <c r="P189" s="43">
        <v>1</v>
      </c>
      <c r="Q189" s="42">
        <v>3</v>
      </c>
      <c r="R189" s="42">
        <v>4</v>
      </c>
      <c r="S189" s="42">
        <v>3</v>
      </c>
      <c r="T189" s="42">
        <v>5</v>
      </c>
      <c r="U189" s="43">
        <v>4</v>
      </c>
      <c r="V189" s="42">
        <v>6</v>
      </c>
      <c r="W189" s="42">
        <v>6</v>
      </c>
      <c r="X189" s="42">
        <v>1</v>
      </c>
      <c r="Y189" s="43">
        <v>1</v>
      </c>
      <c r="Z189" s="42" t="s">
        <v>45</v>
      </c>
      <c r="AA189" s="42" t="s">
        <v>45</v>
      </c>
      <c r="AB189" s="42" t="s">
        <v>45</v>
      </c>
      <c r="AC189" s="42">
        <v>2</v>
      </c>
      <c r="AD189" s="42" t="s">
        <v>45</v>
      </c>
      <c r="AE189" s="42" t="s">
        <v>45</v>
      </c>
      <c r="AF189" s="42" t="s">
        <v>45</v>
      </c>
      <c r="AG189" s="43" t="s">
        <v>45</v>
      </c>
      <c r="AH189" s="42">
        <v>6</v>
      </c>
      <c r="AI189" s="42">
        <v>1</v>
      </c>
      <c r="AJ189" s="43">
        <v>2</v>
      </c>
      <c r="AK189" s="45" t="s">
        <v>718</v>
      </c>
      <c r="AL189" s="45" t="s">
        <v>705</v>
      </c>
      <c r="AM189" s="46">
        <f>($L$3*(L189-$Q$1)/$Q$2+$M$3*(M189-$R$1)/$R$2+$N$3*(N189-$S$1)/$S$2+$O$3*(O189-$T$1)/$T$2+$P$3*(P189-$U$1)/$U$2)/(SUM($L$3:$P$3))</f>
        <v>-1.8605124261753858</v>
      </c>
      <c r="AN189" s="46">
        <f>($L$3*(Q189-$Q$1)/$Q$2+$M$3*(R189-$R$1)/$R$2+$N$3*(S189-$S$1)/$S$2+$O$3*(T189-$T$1)/$T$2+$P$3*(U189-$U$1)/$U$2)/(SUM($L$3:$P$3))</f>
        <v>-0.64104183102873458</v>
      </c>
      <c r="AO189" s="47">
        <f>IF(AVERAGE(AH189:AI189)&gt;9,1,0)+IF(AVERAGE(AH189:AI189)&gt;7,1,0)+IF(AH189&gt;7,1,0)+IF(AI189&gt;7,1,0)+IF(AJ189&gt;8,1,0)+IF(AJ189&gt;6,1,0)</f>
        <v>0</v>
      </c>
      <c r="AP189" s="48">
        <f>MIN(2,IF(OR(Z189="-",X189&lt;5),0,1+IF(Y189&gt;7,0.35,IF(Y189&gt;5,0.1,0))+IF(Z189&gt;7,1+IF(X189&gt;7,0.25,0),IF(Z189&gt;4,0.5+IF(X189&gt;7,0.25,0),0+IF(X189&gt;7,0.25))))+IF(AA189="-",0,IF(AA189&gt;9,0.5,IF(AA189&gt;7,0.25,0)))+IF(AB189="-",0,IF(AB189&gt;7,1.1,IF(AB189&gt;4,0.6,0)))+IF(OR(AC189="-",V189&lt;5),0,IF(AC189&gt;7,1+IF(V189&gt;7,0.25,0),IF(AC189&gt;4,0.5+IF(V189&gt;7,0.25,0),0)))+IF(AD189="-",0,IF(AD189&gt;7,1.5,IF(AD189&gt;4,1,0)))+IF(AE189="-",0,IF(AE189&gt;9,0.5,IF(AE189&gt;7,0.25,0)))+IF(AF189="-",0,IF(AF189&gt;7,1.25,IF(AF189&gt;4,0.75,0)))+IF(OR(AG189="-",W189&lt;4),0,IF(AG189&gt;7,1+IF(W189&gt;7,0.15,0),IF(AG189&gt;4,0.5+IF(W189&gt;7,0.15,0),0))))</f>
        <v>0</v>
      </c>
      <c r="AQ189" s="46">
        <f>($AM$3*AM189+$AN$3*AN189+$AO$3*AO189+$AP$3*AP189)+$I$3*VLOOKUP(I189,COND!$A$2:$E$7,4,FALSE)+$J$3*VLOOKUP(J189,COND!$A$2:$C$7,2,FALSE)+$K$3*VLOOKUP(K189,COND!$A$2:$C$7,3,FALSE)+IF(AND($B$2&gt;0,$E189&lt;20),$B$2*25,0)</f>
        <v>42.121446785037648</v>
      </c>
      <c r="AR189" s="49">
        <f>STANDARDIZE(AQ189,AVERAGE($AQ$5:$AQ$537),STDEVP($AQ$5:$AQ$537))</f>
        <v>0.3119826539369418</v>
      </c>
      <c r="AS189" s="47" t="str">
        <f>IF(AND(Z189&lt;&gt;"-",Y189&gt;1),"C",IF(AB189=MAX(AB189:AD189),"2B",IF(AD189=MAX(AB189:AD189),"SS",IF(OR(AC189=MAX(AA189:AD189),AND(AC189&lt;&gt;"-",AC189&gt;4,V189&gt;5)),"3B",IF(AF189=MAX(AE189:AG189),"CF",IF(AND(AG189=MAX(AE189,AG189),AND(W189&gt;5,AG189&lt;&gt;"-")),"RF",IF(AE189&lt;&gt;"-","LF",IF(AA189&lt;&gt;"-","1B","DH"))))))))</f>
        <v>3B</v>
      </c>
      <c r="AT189" s="47"/>
      <c r="AU189" s="47"/>
      <c r="AV189" s="47"/>
      <c r="AW189" s="47" t="str">
        <f>IF(AND($Q189&gt;=6,AVERAGE($S189:$T189)&gt;=6),"Likely",IF(OR($Q189&gt;6,AND($Q189=6,AVERAGE($S189:$T189)&gt;=3),AND($Q189&gt;=5,AVERAGE($S189:$T189)&gt;=5),AVERAGE($Q189,$S189:$T189)&gt;5),"Possible","Unlikely"))</f>
        <v>Unlikely</v>
      </c>
      <c r="AX189" s="47"/>
      <c r="AY189" s="47" t="str">
        <f>INDEX(Table5[[#All],[Ovr]],MATCH(Batters[[#This Row],[PID]],Table5[[#All],[PID]],0))</f>
        <v/>
      </c>
      <c r="AZ189" s="47" t="str">
        <f>INDEX(Table5[[#All],[Rnd]],MATCH(Batters[[#This Row],[PID]],Table5[[#All],[PID]],0))</f>
        <v/>
      </c>
      <c r="BA189" s="47" t="str">
        <f>INDEX(Table5[[#All],[Pick]],MATCH(Batters[[#This Row],[PID]],Table5[[#All],[PID]],0))</f>
        <v/>
      </c>
      <c r="BB189" s="47" t="str">
        <f>INDEX(Table5[[#All],[Team]],MATCH(Batters[[#This Row],[PID]],Table5[[#All],[PID]],0))</f>
        <v/>
      </c>
    </row>
    <row r="190" spans="1:54" ht="15" customHeight="1" x14ac:dyDescent="0.25">
      <c r="A190" s="42">
        <v>9475</v>
      </c>
      <c r="B190" s="42" t="s">
        <v>72</v>
      </c>
      <c r="C190" s="42" t="s">
        <v>168</v>
      </c>
      <c r="D190" s="42" t="s">
        <v>1120</v>
      </c>
      <c r="E190" s="42">
        <v>21</v>
      </c>
      <c r="F190" s="42" t="s">
        <v>42</v>
      </c>
      <c r="G190" s="42" t="s">
        <v>42</v>
      </c>
      <c r="H190" s="43" t="s">
        <v>703</v>
      </c>
      <c r="I190" s="44" t="s">
        <v>43</v>
      </c>
      <c r="J190" s="42" t="s">
        <v>43</v>
      </c>
      <c r="K190" s="43" t="s">
        <v>43</v>
      </c>
      <c r="L190" s="42">
        <v>2</v>
      </c>
      <c r="M190" s="42">
        <v>3</v>
      </c>
      <c r="N190" s="42">
        <v>2</v>
      </c>
      <c r="O190" s="42">
        <v>3</v>
      </c>
      <c r="P190" s="43">
        <v>4</v>
      </c>
      <c r="Q190" s="42">
        <v>4</v>
      </c>
      <c r="R190" s="42">
        <v>4</v>
      </c>
      <c r="S190" s="42">
        <v>3</v>
      </c>
      <c r="T190" s="42">
        <v>4</v>
      </c>
      <c r="U190" s="43">
        <v>5</v>
      </c>
      <c r="V190" s="42">
        <v>5</v>
      </c>
      <c r="W190" s="42">
        <v>5</v>
      </c>
      <c r="X190" s="42">
        <v>1</v>
      </c>
      <c r="Y190" s="43">
        <v>1</v>
      </c>
      <c r="Z190" s="42" t="s">
        <v>45</v>
      </c>
      <c r="AA190" s="42" t="s">
        <v>45</v>
      </c>
      <c r="AB190" s="42" t="s">
        <v>45</v>
      </c>
      <c r="AC190" s="42">
        <v>2</v>
      </c>
      <c r="AD190" s="42">
        <v>6</v>
      </c>
      <c r="AE190" s="42" t="s">
        <v>45</v>
      </c>
      <c r="AF190" s="42" t="s">
        <v>45</v>
      </c>
      <c r="AG190" s="43" t="s">
        <v>45</v>
      </c>
      <c r="AH190" s="42">
        <v>8</v>
      </c>
      <c r="AI190" s="42">
        <v>9</v>
      </c>
      <c r="AJ190" s="43">
        <v>7</v>
      </c>
      <c r="AK190" s="45" t="s">
        <v>733</v>
      </c>
      <c r="AL190" s="45" t="s">
        <v>47</v>
      </c>
      <c r="AM190" s="46">
        <f>($L$3*(L190-$Q$1)/$Q$2+$M$3*(M190-$R$1)/$R$2+$N$3*(N190-$S$1)/$S$2+$O$3*(O190-$T$1)/$T$2+$P$3*(P190-$U$1)/$U$2)/(SUM($L$3:$P$3))</f>
        <v>-1.2771381408931763</v>
      </c>
      <c r="AN190" s="46">
        <f>($L$3*(Q190-$Q$1)/$Q$2+$M$3*(R190-$R$1)/$R$2+$N$3*(S190-$S$1)/$S$2+$O$3*(T190-$T$1)/$T$2+$P$3*(U190-$U$1)/$U$2)/(SUM($L$3:$P$3))</f>
        <v>-0.36817920501855744</v>
      </c>
      <c r="AO190" s="47">
        <f>IF(AVERAGE(AH190:AI190)&gt;9,1,0)+IF(AVERAGE(AH190:AI190)&gt;7,1,0)+IF(AH190&gt;7,1,0)+IF(AI190&gt;7,1,0)+IF(AJ190&gt;8,1,0)+IF(AJ190&gt;6,1,0)</f>
        <v>4</v>
      </c>
      <c r="AP190" s="48">
        <f>MIN(2,IF(OR(Z190="-",X190&lt;5),0,1+IF(Y190&gt;7,0.35,IF(Y190&gt;5,0.1,0))+IF(Z190&gt;7,1+IF(X190&gt;7,0.25,0),IF(Z190&gt;4,0.5+IF(X190&gt;7,0.25,0),0+IF(X190&gt;7,0.25))))+IF(AA190="-",0,IF(AA190&gt;9,0.5,IF(AA190&gt;7,0.25,0)))+IF(AB190="-",0,IF(AB190&gt;7,1.1,IF(AB190&gt;4,0.6,0)))+IF(OR(AC190="-",V190&lt;5),0,IF(AC190&gt;7,1+IF(V190&gt;7,0.25,0),IF(AC190&gt;4,0.5+IF(V190&gt;7,0.25,0),0)))+IF(AD190="-",0,IF(AD190&gt;7,1.5,IF(AD190&gt;4,1,0)))+IF(AE190="-",0,IF(AE190&gt;9,0.5,IF(AE190&gt;7,0.25,0)))+IF(AF190="-",0,IF(AF190&gt;7,1.25,IF(AF190&gt;4,0.75,0)))+IF(OR(AG190="-",W190&lt;4),0,IF(AG190&gt;7,1+IF(W190&gt;7,0.15,0),IF(AG190&gt;4,0.5+IF(W190&gt;7,0.15,0),0))))</f>
        <v>1</v>
      </c>
      <c r="AQ190" s="46">
        <f>($AM$3*AM190+$AN$3*AN190+$AO$3*AO190+$AP$3*AP190)+$I$3*VLOOKUP(I190,COND!$A$2:$E$7,4,FALSE)+$J$3*VLOOKUP(J190,COND!$A$2:$C$7,2,FALSE)+$K$3*VLOOKUP(K190,COND!$A$2:$C$7,3,FALSE)+IF(AND($B$2&gt;0,$E190&lt;20),$B$2*25,0)</f>
        <v>42.120802392354662</v>
      </c>
      <c r="AR190" s="49">
        <f>STANDARDIZE(AQ190,AVERAGE($AQ$5:$AQ$537),STDEVP($AQ$5:$AQ$537))</f>
        <v>0.31186927732719966</v>
      </c>
      <c r="AS190" s="47" t="str">
        <f>IF(AND(Z190&lt;&gt;"-",Y190&gt;1),"C",IF(AB190=MAX(AB190:AD190),"2B",IF(AD190=MAX(AB190:AD190),"SS",IF(OR(AC190=MAX(AA190:AD190),AND(AC190&lt;&gt;"-",AC190&gt;4,V190&gt;5)),"3B",IF(AF190=MAX(AE190:AG190),"CF",IF(AND(AG190=MAX(AE190,AG190),AND(W190&gt;5,AG190&lt;&gt;"-")),"RF",IF(AE190&lt;&gt;"-","LF",IF(AA190&lt;&gt;"-","1B","DH"))))))))</f>
        <v>SS</v>
      </c>
      <c r="AT190" s="47"/>
      <c r="AU190" s="47"/>
      <c r="AV190" s="47"/>
      <c r="AW190" s="47" t="str">
        <f>IF(AND($Q190&gt;=6,AVERAGE($S190:$T190)&gt;=6),"Likely",IF(OR($Q190&gt;6,AND($Q190=6,AVERAGE($S190:$T190)&gt;=3),AND($Q190&gt;=5,AVERAGE($S190:$T190)&gt;=5),AVERAGE($Q190,$S190:$T190)&gt;5),"Possible","Unlikely"))</f>
        <v>Unlikely</v>
      </c>
      <c r="AX190" s="47"/>
      <c r="AY190" s="47" t="str">
        <f>INDEX(Table5[[#All],[Ovr]],MATCH(Batters[[#This Row],[PID]],Table5[[#All],[PID]],0))</f>
        <v/>
      </c>
      <c r="AZ190" s="47" t="str">
        <f>INDEX(Table5[[#All],[Rnd]],MATCH(Batters[[#This Row],[PID]],Table5[[#All],[PID]],0))</f>
        <v/>
      </c>
      <c r="BA190" s="47" t="str">
        <f>INDEX(Table5[[#All],[Pick]],MATCH(Batters[[#This Row],[PID]],Table5[[#All],[PID]],0))</f>
        <v/>
      </c>
      <c r="BB190" s="47" t="str">
        <f>INDEX(Table5[[#All],[Team]],MATCH(Batters[[#This Row],[PID]],Table5[[#All],[PID]],0))</f>
        <v/>
      </c>
    </row>
    <row r="191" spans="1:54" ht="15" customHeight="1" x14ac:dyDescent="0.25">
      <c r="A191" s="42">
        <v>6526</v>
      </c>
      <c r="B191" s="42" t="s">
        <v>72</v>
      </c>
      <c r="C191" s="42" t="s">
        <v>985</v>
      </c>
      <c r="D191" s="42" t="s">
        <v>385</v>
      </c>
      <c r="E191" s="42">
        <v>18</v>
      </c>
      <c r="F191" s="42" t="s">
        <v>42</v>
      </c>
      <c r="G191" s="42" t="s">
        <v>42</v>
      </c>
      <c r="H191" s="43" t="s">
        <v>703</v>
      </c>
      <c r="I191" s="44" t="s">
        <v>43</v>
      </c>
      <c r="J191" s="42" t="s">
        <v>43</v>
      </c>
      <c r="K191" s="43" t="s">
        <v>43</v>
      </c>
      <c r="L191" s="42">
        <v>1</v>
      </c>
      <c r="M191" s="42">
        <v>2</v>
      </c>
      <c r="N191" s="42">
        <v>2</v>
      </c>
      <c r="O191" s="42">
        <v>2</v>
      </c>
      <c r="P191" s="43">
        <v>3</v>
      </c>
      <c r="Q191" s="42">
        <v>3</v>
      </c>
      <c r="R191" s="42">
        <v>3</v>
      </c>
      <c r="S191" s="42">
        <v>3</v>
      </c>
      <c r="T191" s="42">
        <v>4</v>
      </c>
      <c r="U191" s="43">
        <v>5</v>
      </c>
      <c r="V191" s="42">
        <v>6</v>
      </c>
      <c r="W191" s="42">
        <v>5</v>
      </c>
      <c r="X191" s="42">
        <v>1</v>
      </c>
      <c r="Y191" s="43">
        <v>1</v>
      </c>
      <c r="Z191" s="42" t="s">
        <v>45</v>
      </c>
      <c r="AA191" s="42" t="s">
        <v>45</v>
      </c>
      <c r="AB191" s="42" t="s">
        <v>45</v>
      </c>
      <c r="AC191" s="42" t="s">
        <v>45</v>
      </c>
      <c r="AD191" s="42">
        <v>7</v>
      </c>
      <c r="AE191" s="42" t="s">
        <v>45</v>
      </c>
      <c r="AF191" s="42" t="s">
        <v>45</v>
      </c>
      <c r="AG191" s="43" t="s">
        <v>45</v>
      </c>
      <c r="AH191" s="42">
        <v>5</v>
      </c>
      <c r="AI191" s="42">
        <v>8</v>
      </c>
      <c r="AJ191" s="43">
        <v>5</v>
      </c>
      <c r="AK191" s="45" t="s">
        <v>658</v>
      </c>
      <c r="AL191" s="45" t="s">
        <v>705</v>
      </c>
      <c r="AM191" s="46">
        <f>($L$3*(L191-$Q$1)/$Q$2+$M$3*(M191-$R$1)/$R$2+$N$3*(N191-$S$1)/$S$2+$O$3*(O191-$T$1)/$T$2+$P$3*(P191-$U$1)/$U$2)/(SUM($L$3:$P$3))</f>
        <v>-1.780479746541219</v>
      </c>
      <c r="AN191" s="46">
        <f>($L$3*(Q191-$Q$1)/$Q$2+$M$3*(R191-$R$1)/$R$2+$N$3*(S191-$S$1)/$S$2+$O$3*(T191-$T$1)/$T$2+$P$3*(U191-$U$1)/$U$2)/(SUM($L$3:$P$3))</f>
        <v>-0.74179492083993548</v>
      </c>
      <c r="AO191" s="47">
        <f>IF(AVERAGE(AH191:AI191)&gt;9,1,0)+IF(AVERAGE(AH191:AI191)&gt;7,1,0)+IF(AH191&gt;7,1,0)+IF(AI191&gt;7,1,0)+IF(AJ191&gt;8,1,0)+IF(AJ191&gt;6,1,0)</f>
        <v>1</v>
      </c>
      <c r="AP191" s="48">
        <f>MIN(2,IF(OR(Z191="-",X191&lt;5),0,1+IF(Y191&gt;7,0.35,IF(Y191&gt;5,0.1,0))+IF(Z191&gt;7,1+IF(X191&gt;7,0.25,0),IF(Z191&gt;4,0.5+IF(X191&gt;7,0.25,0),0+IF(X191&gt;7,0.25))))+IF(AA191="-",0,IF(AA191&gt;9,0.5,IF(AA191&gt;7,0.25,0)))+IF(AB191="-",0,IF(AB191&gt;7,1.1,IF(AB191&gt;4,0.6,0)))+IF(OR(AC191="-",V191&lt;5),0,IF(AC191&gt;7,1+IF(V191&gt;7,0.25,0),IF(AC191&gt;4,0.5+IF(V191&gt;7,0.25,0),0)))+IF(AD191="-",0,IF(AD191&gt;7,1.5,IF(AD191&gt;4,1,0)))+IF(AE191="-",0,IF(AE191&gt;9,0.5,IF(AE191&gt;7,0.25,0)))+IF(AF191="-",0,IF(AF191&gt;7,1.25,IF(AF191&gt;4,0.75,0)))+IF(OR(AG191="-",W191&lt;4),0,IF(AG191&gt;7,1+IF(W191&gt;7,0.15,0),IF(AG191&gt;4,0.5+IF(W191&gt;7,0.15,0),0))))</f>
        <v>1</v>
      </c>
      <c r="AQ191" s="46">
        <f>($AM$3*AM191+$AN$3*AN191+$AO$3*AO191+$AP$3*AP191)+$I$3*VLOOKUP(I191,COND!$A$2:$E$7,4,FALSE)+$J$3*VLOOKUP(J191,COND!$A$2:$C$7,2,FALSE)+$K$3*VLOOKUP(K191,COND!$A$2:$C$7,3,FALSE)+IF(AND($B$2&gt;0,$E191&lt;20),$B$2*25,0)</f>
        <v>42.087079641933315</v>
      </c>
      <c r="AR191" s="49">
        <f>STANDARDIZE(AQ191,AVERAGE($AQ$5:$AQ$537),STDEVP($AQ$5:$AQ$537))</f>
        <v>0.30593598352219364</v>
      </c>
      <c r="AS191" s="47" t="str">
        <f>IF(AND(Z191&lt;&gt;"-",Y191&gt;1),"C",IF(AB191=MAX(AB191:AD191),"2B",IF(AD191=MAX(AB191:AD191),"SS",IF(OR(AC191=MAX(AA191:AD191),AND(AC191&lt;&gt;"-",AC191&gt;4,V191&gt;5)),"3B",IF(AF191=MAX(AE191:AG191),"CF",IF(AND(AG191=MAX(AE191,AG191),AND(W191&gt;5,AG191&lt;&gt;"-")),"RF",IF(AE191&lt;&gt;"-","LF",IF(AA191&lt;&gt;"-","1B","DH"))))))))</f>
        <v>SS</v>
      </c>
      <c r="AT191" s="47"/>
      <c r="AU191" s="47"/>
      <c r="AV191" s="47"/>
      <c r="AW191" s="47" t="str">
        <f>IF(AND($Q191&gt;=6,AVERAGE($S191:$T191)&gt;=6),"Likely",IF(OR($Q191&gt;6,AND($Q191=6,AVERAGE($S191:$T191)&gt;=3),AND($Q191&gt;=5,AVERAGE($S191:$T191)&gt;=5),AVERAGE($Q191,$S191:$T191)&gt;5),"Possible","Unlikely"))</f>
        <v>Unlikely</v>
      </c>
      <c r="AX191" s="47"/>
      <c r="AY191" s="47" t="str">
        <f>INDEX(Table5[[#All],[Ovr]],MATCH(Batters[[#This Row],[PID]],Table5[[#All],[PID]],0))</f>
        <v/>
      </c>
      <c r="AZ191" s="47" t="str">
        <f>INDEX(Table5[[#All],[Rnd]],MATCH(Batters[[#This Row],[PID]],Table5[[#All],[PID]],0))</f>
        <v/>
      </c>
      <c r="BA191" s="47" t="str">
        <f>INDEX(Table5[[#All],[Pick]],MATCH(Batters[[#This Row],[PID]],Table5[[#All],[PID]],0))</f>
        <v/>
      </c>
      <c r="BB191" s="47" t="str">
        <f>INDEX(Table5[[#All],[Team]],MATCH(Batters[[#This Row],[PID]],Table5[[#All],[PID]],0))</f>
        <v/>
      </c>
    </row>
    <row r="192" spans="1:54" ht="15" customHeight="1" x14ac:dyDescent="0.25">
      <c r="A192" s="42">
        <v>13117</v>
      </c>
      <c r="B192" s="42" t="s">
        <v>50</v>
      </c>
      <c r="C192" s="42" t="s">
        <v>1048</v>
      </c>
      <c r="D192" s="42" t="s">
        <v>182</v>
      </c>
      <c r="E192" s="42">
        <v>18</v>
      </c>
      <c r="F192" s="42" t="s">
        <v>53</v>
      </c>
      <c r="G192" s="42" t="s">
        <v>53</v>
      </c>
      <c r="H192" s="43" t="s">
        <v>711</v>
      </c>
      <c r="I192" s="44" t="s">
        <v>43</v>
      </c>
      <c r="J192" s="42" t="s">
        <v>43</v>
      </c>
      <c r="K192" s="43" t="s">
        <v>43</v>
      </c>
      <c r="L192" s="42">
        <v>1</v>
      </c>
      <c r="M192" s="42">
        <v>2</v>
      </c>
      <c r="N192" s="42">
        <v>2</v>
      </c>
      <c r="O192" s="42">
        <v>1</v>
      </c>
      <c r="P192" s="43">
        <v>1</v>
      </c>
      <c r="Q192" s="42">
        <v>3</v>
      </c>
      <c r="R192" s="42">
        <v>5</v>
      </c>
      <c r="S192" s="42">
        <v>5</v>
      </c>
      <c r="T192" s="42">
        <v>3</v>
      </c>
      <c r="U192" s="43">
        <v>3</v>
      </c>
      <c r="V192" s="42">
        <v>3</v>
      </c>
      <c r="W192" s="42">
        <v>4</v>
      </c>
      <c r="X192" s="42">
        <v>1</v>
      </c>
      <c r="Y192" s="43">
        <v>1</v>
      </c>
      <c r="Z192" s="42" t="s">
        <v>45</v>
      </c>
      <c r="AA192" s="42" t="s">
        <v>45</v>
      </c>
      <c r="AB192" s="42" t="s">
        <v>45</v>
      </c>
      <c r="AC192" s="42" t="s">
        <v>45</v>
      </c>
      <c r="AD192" s="42" t="s">
        <v>45</v>
      </c>
      <c r="AE192" s="42">
        <v>2</v>
      </c>
      <c r="AF192" s="42" t="s">
        <v>45</v>
      </c>
      <c r="AG192" s="43" t="s">
        <v>45</v>
      </c>
      <c r="AH192" s="42">
        <v>1</v>
      </c>
      <c r="AI192" s="42">
        <v>2</v>
      </c>
      <c r="AJ192" s="43">
        <v>4</v>
      </c>
      <c r="AK192" s="45" t="s">
        <v>591</v>
      </c>
      <c r="AL192" s="45" t="s">
        <v>47</v>
      </c>
      <c r="AM192" s="46">
        <f>($L$3*(L192-$Q$1)/$Q$2+$M$3*(M192-$R$1)/$R$2+$N$3*(N192-$S$1)/$S$2+$O$3*(O192-$T$1)/$T$2+$P$3*(P192-$U$1)/$U$2)/(SUM($L$3:$P$3))</f>
        <v>-1.9502219761849671</v>
      </c>
      <c r="AN192" s="46">
        <f>($L$3*(Q192-$Q$1)/$Q$2+$M$3*(R192-$R$1)/$R$2+$N$3*(S192-$S$1)/$S$2+$O$3*(T192-$T$1)/$T$2+$P$3*(U192-$U$1)/$U$2)/(SUM($L$3:$P$3))</f>
        <v>-0.64329440319847364</v>
      </c>
      <c r="AO192" s="47">
        <f>IF(AVERAGE(AH192:AI192)&gt;9,1,0)+IF(AVERAGE(AH192:AI192)&gt;7,1,0)+IF(AH192&gt;7,1,0)+IF(AI192&gt;7,1,0)+IF(AJ192&gt;8,1,0)+IF(AJ192&gt;6,1,0)</f>
        <v>0</v>
      </c>
      <c r="AP192" s="48">
        <f>MIN(2,IF(OR(Z192="-",X192&lt;5),0,1+IF(Y192&gt;7,0.35,IF(Y192&gt;5,0.1,0))+IF(Z192&gt;7,1+IF(X192&gt;7,0.25,0),IF(Z192&gt;4,0.5+IF(X192&gt;7,0.25,0),0+IF(X192&gt;7,0.25))))+IF(AA192="-",0,IF(AA192&gt;9,0.5,IF(AA192&gt;7,0.25,0)))+IF(AB192="-",0,IF(AB192&gt;7,1.1,IF(AB192&gt;4,0.6,0)))+IF(OR(AC192="-",V192&lt;5),0,IF(AC192&gt;7,1+IF(V192&gt;7,0.25,0),IF(AC192&gt;4,0.5+IF(V192&gt;7,0.25,0),0)))+IF(AD192="-",0,IF(AD192&gt;7,1.5,IF(AD192&gt;4,1,0)))+IF(AE192="-",0,IF(AE192&gt;9,0.5,IF(AE192&gt;7,0.25,0)))+IF(AF192="-",0,IF(AF192&gt;7,1.25,IF(AF192&gt;4,0.75,0)))+IF(OR(AG192="-",W192&lt;4),0,IF(AG192&gt;7,1+IF(W192&gt;7,0.15,0),IF(AG192&gt;4,0.5+IF(W192&gt;7,0.15,0),0))))</f>
        <v>0</v>
      </c>
      <c r="AQ192" s="46">
        <f>($AM$3*AM192+$AN$3*AN192+$AO$3*AO192+$AP$3*AP192)+$I$3*VLOOKUP(I192,COND!$A$2:$E$7,4,FALSE)+$J$3*VLOOKUP(J192,COND!$A$2:$C$7,2,FALSE)+$K$3*VLOOKUP(K192,COND!$A$2:$C$7,3,FALSE)+IF(AND($B$2&gt;0,$E192&lt;20),$B$2*25,0)</f>
        <v>42.085444963999819</v>
      </c>
      <c r="AR192" s="49">
        <f>STANDARDIZE(AQ192,AVERAGE($AQ$5:$AQ$537),STDEVP($AQ$5:$AQ$537))</f>
        <v>0.30564837280436064</v>
      </c>
      <c r="AS192" s="47" t="str">
        <f>IF(AND(Z192&lt;&gt;"-",Y192&gt;1),"C",IF(AB192=MAX(AB192:AD192),"2B",IF(AD192=MAX(AB192:AD192),"SS",IF(OR(AC192=MAX(AA192:AD192),AND(AC192&lt;&gt;"-",AC192&gt;4,V192&gt;5)),"3B",IF(AF192=MAX(AE192:AG192),"CF",IF(AND(AG192=MAX(AE192,AG192),AND(W192&gt;5,AG192&lt;&gt;"-")),"RF",IF(AE192&lt;&gt;"-","LF",IF(AA192&lt;&gt;"-","1B","DH"))))))))</f>
        <v>LF</v>
      </c>
      <c r="AT192" s="47"/>
      <c r="AU192" s="47"/>
      <c r="AV192" s="47"/>
      <c r="AW192" s="47" t="str">
        <f>IF(AND($Q192&gt;=6,AVERAGE($S192:$T192)&gt;=6),"Likely",IF(OR($Q192&gt;6,AND($Q192=6,AVERAGE($S192:$T192)&gt;=3),AND($Q192&gt;=5,AVERAGE($S192:$T192)&gt;=5),AVERAGE($Q192,$S192:$T192)&gt;5),"Possible","Unlikely"))</f>
        <v>Unlikely</v>
      </c>
      <c r="AX192" s="47"/>
      <c r="AY192" s="47" t="str">
        <f>INDEX(Table5[[#All],[Ovr]],MATCH(Batters[[#This Row],[PID]],Table5[[#All],[PID]],0))</f>
        <v/>
      </c>
      <c r="AZ192" s="47" t="str">
        <f>INDEX(Table5[[#All],[Rnd]],MATCH(Batters[[#This Row],[PID]],Table5[[#All],[PID]],0))</f>
        <v/>
      </c>
      <c r="BA192" s="47" t="str">
        <f>INDEX(Table5[[#All],[Pick]],MATCH(Batters[[#This Row],[PID]],Table5[[#All],[PID]],0))</f>
        <v/>
      </c>
      <c r="BB192" s="47" t="str">
        <f>INDEX(Table5[[#All],[Team]],MATCH(Batters[[#This Row],[PID]],Table5[[#All],[PID]],0))</f>
        <v/>
      </c>
    </row>
    <row r="193" spans="1:54" ht="15" customHeight="1" x14ac:dyDescent="0.25">
      <c r="A193" s="42">
        <v>7593</v>
      </c>
      <c r="B193" s="42" t="s">
        <v>71</v>
      </c>
      <c r="C193" s="42" t="s">
        <v>173</v>
      </c>
      <c r="D193" s="42" t="s">
        <v>402</v>
      </c>
      <c r="E193" s="42">
        <v>18</v>
      </c>
      <c r="F193" s="42" t="s">
        <v>42</v>
      </c>
      <c r="G193" s="42" t="s">
        <v>42</v>
      </c>
      <c r="H193" s="43" t="s">
        <v>711</v>
      </c>
      <c r="I193" s="44" t="s">
        <v>44</v>
      </c>
      <c r="J193" s="42" t="s">
        <v>43</v>
      </c>
      <c r="K193" s="43" t="s">
        <v>43</v>
      </c>
      <c r="L193" s="42">
        <v>1</v>
      </c>
      <c r="M193" s="42">
        <v>1</v>
      </c>
      <c r="N193" s="42">
        <v>2</v>
      </c>
      <c r="O193" s="42">
        <v>1</v>
      </c>
      <c r="P193" s="43">
        <v>1</v>
      </c>
      <c r="Q193" s="42">
        <v>3</v>
      </c>
      <c r="R193" s="42">
        <v>4</v>
      </c>
      <c r="S193" s="42">
        <v>4</v>
      </c>
      <c r="T193" s="42">
        <v>4</v>
      </c>
      <c r="U193" s="43">
        <v>3</v>
      </c>
      <c r="V193" s="42">
        <v>4</v>
      </c>
      <c r="W193" s="42">
        <v>3</v>
      </c>
      <c r="X193" s="42">
        <v>1</v>
      </c>
      <c r="Y193" s="43">
        <v>1</v>
      </c>
      <c r="Z193" s="42" t="s">
        <v>45</v>
      </c>
      <c r="AA193" s="42" t="s">
        <v>45</v>
      </c>
      <c r="AB193" s="42">
        <v>2</v>
      </c>
      <c r="AC193" s="42" t="s">
        <v>45</v>
      </c>
      <c r="AD193" s="42" t="s">
        <v>45</v>
      </c>
      <c r="AE193" s="42" t="s">
        <v>45</v>
      </c>
      <c r="AF193" s="42" t="s">
        <v>45</v>
      </c>
      <c r="AG193" s="43" t="s">
        <v>45</v>
      </c>
      <c r="AH193" s="42">
        <v>8</v>
      </c>
      <c r="AI193" s="42">
        <v>7</v>
      </c>
      <c r="AJ193" s="43">
        <v>9</v>
      </c>
      <c r="AK193" s="45" t="s">
        <v>546</v>
      </c>
      <c r="AL193" s="45" t="s">
        <v>47</v>
      </c>
      <c r="AM193" s="46">
        <f>($L$3*(L193-$Q$1)/$Q$2+$M$3*(M193-$R$1)/$R$2+$N$3*(N193-$S$1)/$S$2+$O$3*(O193-$T$1)/$T$2+$P$3*(P193-$U$1)/$U$2)/(SUM($L$3:$P$3))</f>
        <v>-2.0012818558036707</v>
      </c>
      <c r="AN193" s="46">
        <f>($L$3*(Q193-$Q$1)/$Q$2+$M$3*(R193-$R$1)/$R$2+$N$3*(S193-$S$1)/$S$2+$O$3*(T193-$T$1)/$T$2+$P$3*(U193-$U$1)/$U$2)/(SUM($L$3:$P$3))</f>
        <v>-0.68770622683149762</v>
      </c>
      <c r="AO193" s="47">
        <f>IF(AVERAGE(AH193:AI193)&gt;9,1,0)+IF(AVERAGE(AH193:AI193)&gt;7,1,0)+IF(AH193&gt;7,1,0)+IF(AI193&gt;7,1,0)+IF(AJ193&gt;8,1,0)+IF(AJ193&gt;6,1,0)</f>
        <v>4</v>
      </c>
      <c r="AP193" s="48">
        <f>MIN(2,IF(OR(Z193="-",X193&lt;5),0,1+IF(Y193&gt;7,0.35,IF(Y193&gt;5,0.1,0))+IF(Z193&gt;7,1+IF(X193&gt;7,0.25,0),IF(Z193&gt;4,0.5+IF(X193&gt;7,0.25,0),0+IF(X193&gt;7,0.25))))+IF(AA193="-",0,IF(AA193&gt;9,0.5,IF(AA193&gt;7,0.25,0)))+IF(AB193="-",0,IF(AB193&gt;7,1.1,IF(AB193&gt;4,0.6,0)))+IF(OR(AC193="-",V193&lt;5),0,IF(AC193&gt;7,1+IF(V193&gt;7,0.25,0),IF(AC193&gt;4,0.5+IF(V193&gt;7,0.25,0),0)))+IF(AD193="-",0,IF(AD193&gt;7,1.5,IF(AD193&gt;4,1,0)))+IF(AE193="-",0,IF(AE193&gt;9,0.5,IF(AE193&gt;7,0.25,0)))+IF(AF193="-",0,IF(AF193&gt;7,1.25,IF(AF193&gt;4,0.75,0)))+IF(OR(AG193="-",W193&lt;4),0,IF(AG193&gt;7,1+IF(W193&gt;7,0.15,0),IF(AG193&gt;4,0.5+IF(W193&gt;7,0.15,0),0))))</f>
        <v>0</v>
      </c>
      <c r="AQ193" s="46">
        <f>($AM$3*AM193+$AN$3*AN193+$AO$3*AO193+$AP$3*AP193)+$I$3*VLOOKUP(I193,COND!$A$2:$E$7,4,FALSE)+$J$3*VLOOKUP(J193,COND!$A$2:$C$7,2,FALSE)+$K$3*VLOOKUP(K193,COND!$A$2:$C$7,3,FALSE)+IF(AND($B$2&gt;0,$E193&lt;20),$B$2*25,0)</f>
        <v>42.064063759108329</v>
      </c>
      <c r="AR193" s="49">
        <f>STANDARDIZE(AQ193,AVERAGE($AQ$5:$AQ$537),STDEVP($AQ$5:$AQ$537))</f>
        <v>0.3018864919096772</v>
      </c>
      <c r="AS193" s="47" t="str">
        <f>IF(AND(Z193&lt;&gt;"-",Y193&gt;1),"C",IF(AB193=MAX(AB193:AD193),"2B",IF(AD193=MAX(AB193:AD193),"SS",IF(OR(AC193=MAX(AA193:AD193),AND(AC193&lt;&gt;"-",AC193&gt;4,V193&gt;5)),"3B",IF(AF193=MAX(AE193:AG193),"CF",IF(AND(AG193=MAX(AE193,AG193),AND(W193&gt;5,AG193&lt;&gt;"-")),"RF",IF(AE193&lt;&gt;"-","LF",IF(AA193&lt;&gt;"-","1B","DH"))))))))</f>
        <v>2B</v>
      </c>
      <c r="AT193" s="47"/>
      <c r="AU193" s="47"/>
      <c r="AV193" s="47"/>
      <c r="AW193" s="47" t="str">
        <f>IF(AND($Q193&gt;=6,AVERAGE($S193:$T193)&gt;=6),"Likely",IF(OR($Q193&gt;6,AND($Q193=6,AVERAGE($S193:$T193)&gt;=3),AND($Q193&gt;=5,AVERAGE($S193:$T193)&gt;=5),AVERAGE($Q193,$S193:$T193)&gt;5),"Possible","Unlikely"))</f>
        <v>Unlikely</v>
      </c>
      <c r="AX193" s="47"/>
      <c r="AY193" s="47" t="str">
        <f>INDEX(Table5[[#All],[Ovr]],MATCH(Batters[[#This Row],[PID]],Table5[[#All],[PID]],0))</f>
        <v/>
      </c>
      <c r="AZ193" s="47" t="str">
        <f>INDEX(Table5[[#All],[Rnd]],MATCH(Batters[[#This Row],[PID]],Table5[[#All],[PID]],0))</f>
        <v/>
      </c>
      <c r="BA193" s="47" t="str">
        <f>INDEX(Table5[[#All],[Pick]],MATCH(Batters[[#This Row],[PID]],Table5[[#All],[PID]],0))</f>
        <v/>
      </c>
      <c r="BB193" s="47" t="str">
        <f>INDEX(Table5[[#All],[Team]],MATCH(Batters[[#This Row],[PID]],Table5[[#All],[PID]],0))</f>
        <v/>
      </c>
    </row>
    <row r="194" spans="1:54" ht="15" customHeight="1" x14ac:dyDescent="0.25">
      <c r="A194" s="42">
        <v>7191</v>
      </c>
      <c r="B194" s="42" t="s">
        <v>69</v>
      </c>
      <c r="C194" s="42" t="s">
        <v>651</v>
      </c>
      <c r="D194" s="42" t="s">
        <v>1072</v>
      </c>
      <c r="E194" s="42">
        <v>21</v>
      </c>
      <c r="F194" s="42" t="s">
        <v>42</v>
      </c>
      <c r="G194" s="42" t="s">
        <v>42</v>
      </c>
      <c r="H194" s="43" t="s">
        <v>703</v>
      </c>
      <c r="I194" s="44" t="s">
        <v>43</v>
      </c>
      <c r="J194" s="42" t="s">
        <v>44</v>
      </c>
      <c r="K194" s="43" t="s">
        <v>43</v>
      </c>
      <c r="L194" s="42">
        <v>2</v>
      </c>
      <c r="M194" s="42">
        <v>3</v>
      </c>
      <c r="N194" s="42">
        <v>4</v>
      </c>
      <c r="O194" s="42">
        <v>3</v>
      </c>
      <c r="P194" s="43">
        <v>3</v>
      </c>
      <c r="Q194" s="42">
        <v>4</v>
      </c>
      <c r="R194" s="42">
        <v>4</v>
      </c>
      <c r="S194" s="42">
        <v>5</v>
      </c>
      <c r="T194" s="42">
        <v>4</v>
      </c>
      <c r="U194" s="43">
        <v>4</v>
      </c>
      <c r="V194" s="42">
        <v>10</v>
      </c>
      <c r="W194" s="42">
        <v>9</v>
      </c>
      <c r="X194" s="42">
        <v>1</v>
      </c>
      <c r="Y194" s="43">
        <v>1</v>
      </c>
      <c r="Z194" s="42" t="s">
        <v>45</v>
      </c>
      <c r="AA194" s="42" t="s">
        <v>45</v>
      </c>
      <c r="AB194" s="42" t="s">
        <v>45</v>
      </c>
      <c r="AC194" s="42">
        <v>6</v>
      </c>
      <c r="AD194" s="42" t="s">
        <v>45</v>
      </c>
      <c r="AE194" s="42" t="s">
        <v>45</v>
      </c>
      <c r="AF194" s="42" t="s">
        <v>45</v>
      </c>
      <c r="AG194" s="43" t="s">
        <v>45</v>
      </c>
      <c r="AH194" s="42">
        <v>8</v>
      </c>
      <c r="AI194" s="42">
        <v>7</v>
      </c>
      <c r="AJ194" s="43">
        <v>4</v>
      </c>
      <c r="AK194" s="45" t="s">
        <v>615</v>
      </c>
      <c r="AL194" s="45" t="s">
        <v>47</v>
      </c>
      <c r="AM194" s="46">
        <f>($L$3*(L194-$Q$1)/$Q$2+$M$3*(M194-$R$1)/$R$2+$N$3*(N194-$S$1)/$S$2+$O$3*(O194-$T$1)/$T$2+$P$3*(P194-$U$1)/$U$2)/(SUM($L$3:$P$3))</f>
        <v>-1.151031492662457</v>
      </c>
      <c r="AN194" s="46">
        <f>($L$3*(Q194-$Q$1)/$Q$2+$M$3*(R194-$R$1)/$R$2+$N$3*(S194-$S$1)/$S$2+$O$3*(T194-$T$1)/$T$2+$P$3*(U194-$U$1)/$U$2)/(SUM($L$3:$P$3))</f>
        <v>-0.2420725567878379</v>
      </c>
      <c r="AO194" s="47">
        <f>IF(AVERAGE(AH194:AI194)&gt;9,1,0)+IF(AVERAGE(AH194:AI194)&gt;7,1,0)+IF(AH194&gt;7,1,0)+IF(AI194&gt;7,1,0)+IF(AJ194&gt;8,1,0)+IF(AJ194&gt;6,1,0)</f>
        <v>2</v>
      </c>
      <c r="AP194" s="48">
        <f>MIN(2,IF(OR(Z194="-",X194&lt;5),0,1+IF(Y194&gt;7,0.35,IF(Y194&gt;5,0.1,0))+IF(Z194&gt;7,1+IF(X194&gt;7,0.25,0),IF(Z194&gt;4,0.5+IF(X194&gt;7,0.25,0),0+IF(X194&gt;7,0.25))))+IF(AA194="-",0,IF(AA194&gt;9,0.5,IF(AA194&gt;7,0.25,0)))+IF(AB194="-",0,IF(AB194&gt;7,1.1,IF(AB194&gt;4,0.6,0)))+IF(OR(AC194="-",V194&lt;5),0,IF(AC194&gt;7,1+IF(V194&gt;7,0.25,0),IF(AC194&gt;4,0.5+IF(V194&gt;7,0.25,0),0)))+IF(AD194="-",0,IF(AD194&gt;7,1.5,IF(AD194&gt;4,1,0)))+IF(AE194="-",0,IF(AE194&gt;9,0.5,IF(AE194&gt;7,0.25,0)))+IF(AF194="-",0,IF(AF194&gt;7,1.25,IF(AF194&gt;4,0.75,0)))+IF(OR(AG194="-",W194&lt;4),0,IF(AG194&gt;7,1+IF(W194&gt;7,0.15,0),IF(AG194&gt;4,0.5+IF(W194&gt;7,0.15,0),0))))</f>
        <v>0.75</v>
      </c>
      <c r="AQ194" s="46">
        <f>($AM$3*AM194+$AN$3*AN194+$AO$3*AO194+$AP$3*AP194)+$I$3*VLOOKUP(I194,COND!$A$2:$E$7,4,FALSE)+$J$3*VLOOKUP(J194,COND!$A$2:$C$7,2,FALSE)+$K$3*VLOOKUP(K194,COND!$A$2:$C$7,3,FALSE)+IF(AND($B$2&gt;0,$E194&lt;20),$B$2*25,0)</f>
        <v>42.763359502613028</v>
      </c>
      <c r="AR194" s="49">
        <f>STANDARDIZE(AQ194,AVERAGE($AQ$5:$AQ$537),STDEVP($AQ$5:$AQ$537))</f>
        <v>0.42492293024766697</v>
      </c>
      <c r="AS194" s="47" t="str">
        <f>IF(AND(Z194&lt;&gt;"-",Y194&gt;1),"C",IF(AB194=MAX(AB194:AD194),"2B",IF(AD194=MAX(AB194:AD194),"SS",IF(OR(AC194=MAX(AA194:AD194),AND(AC194&lt;&gt;"-",AC194&gt;4,V194&gt;5)),"3B",IF(AF194=MAX(AE194:AG194),"CF",IF(AND(AG194=MAX(AE194,AG194),AND(W194&gt;5,AG194&lt;&gt;"-")),"RF",IF(AE194&lt;&gt;"-","LF",IF(AA194&lt;&gt;"-","1B","DH"))))))))</f>
        <v>3B</v>
      </c>
      <c r="AT194" s="47"/>
      <c r="AU194" s="47"/>
      <c r="AV194" s="47"/>
      <c r="AW194" s="47" t="str">
        <f>IF(AND($Q194&gt;=6,AVERAGE($S194:$T194)&gt;=6),"Likely",IF(OR($Q194&gt;6,AND($Q194=6,AVERAGE($S194:$T194)&gt;=3),AND($Q194&gt;=5,AVERAGE($S194:$T194)&gt;=5),AVERAGE($Q194,$S194:$T194)&gt;5),"Possible","Unlikely"))</f>
        <v>Unlikely</v>
      </c>
      <c r="AX194" s="47"/>
      <c r="AY194" s="47" t="str">
        <f>INDEX(Table5[[#All],[Ovr]],MATCH(Batters[[#This Row],[PID]],Table5[[#All],[PID]],0))</f>
        <v/>
      </c>
      <c r="AZ194" s="47" t="str">
        <f>INDEX(Table5[[#All],[Rnd]],MATCH(Batters[[#This Row],[PID]],Table5[[#All],[PID]],0))</f>
        <v/>
      </c>
      <c r="BA194" s="47" t="str">
        <f>INDEX(Table5[[#All],[Pick]],MATCH(Batters[[#This Row],[PID]],Table5[[#All],[PID]],0))</f>
        <v/>
      </c>
      <c r="BB194" s="47" t="str">
        <f>INDEX(Table5[[#All],[Team]],MATCH(Batters[[#This Row],[PID]],Table5[[#All],[PID]],0))</f>
        <v/>
      </c>
    </row>
    <row r="195" spans="1:54" ht="15" customHeight="1" x14ac:dyDescent="0.25">
      <c r="A195" s="42">
        <v>6505</v>
      </c>
      <c r="B195" s="42" t="s">
        <v>66</v>
      </c>
      <c r="C195" s="42" t="s">
        <v>1152</v>
      </c>
      <c r="D195" s="42" t="s">
        <v>1153</v>
      </c>
      <c r="E195" s="42">
        <v>18</v>
      </c>
      <c r="F195" s="42" t="s">
        <v>42</v>
      </c>
      <c r="G195" s="42" t="s">
        <v>53</v>
      </c>
      <c r="H195" s="43" t="s">
        <v>711</v>
      </c>
      <c r="I195" s="44" t="s">
        <v>43</v>
      </c>
      <c r="J195" s="42" t="s">
        <v>44</v>
      </c>
      <c r="K195" s="43" t="s">
        <v>43</v>
      </c>
      <c r="L195" s="42">
        <v>2</v>
      </c>
      <c r="M195" s="42">
        <v>2</v>
      </c>
      <c r="N195" s="42">
        <v>3</v>
      </c>
      <c r="O195" s="42">
        <v>2</v>
      </c>
      <c r="P195" s="43">
        <v>1</v>
      </c>
      <c r="Q195" s="42">
        <v>3</v>
      </c>
      <c r="R195" s="42">
        <v>3</v>
      </c>
      <c r="S195" s="42">
        <v>5</v>
      </c>
      <c r="T195" s="42">
        <v>5</v>
      </c>
      <c r="U195" s="43">
        <v>3</v>
      </c>
      <c r="V195" s="42">
        <v>4</v>
      </c>
      <c r="W195" s="42">
        <v>7</v>
      </c>
      <c r="X195" s="42">
        <v>1</v>
      </c>
      <c r="Y195" s="43">
        <v>1</v>
      </c>
      <c r="Z195" s="42" t="s">
        <v>45</v>
      </c>
      <c r="AA195" s="42" t="s">
        <v>45</v>
      </c>
      <c r="AB195" s="42" t="s">
        <v>45</v>
      </c>
      <c r="AC195" s="42" t="s">
        <v>45</v>
      </c>
      <c r="AD195" s="42" t="s">
        <v>45</v>
      </c>
      <c r="AE195" s="42" t="s">
        <v>45</v>
      </c>
      <c r="AF195" s="42" t="s">
        <v>45</v>
      </c>
      <c r="AG195" s="43">
        <v>1</v>
      </c>
      <c r="AH195" s="42">
        <v>1</v>
      </c>
      <c r="AI195" s="42">
        <v>1</v>
      </c>
      <c r="AJ195" s="43">
        <v>1</v>
      </c>
      <c r="AK195" s="45" t="s">
        <v>593</v>
      </c>
      <c r="AL195" s="45" t="s">
        <v>47</v>
      </c>
      <c r="AM195" s="46">
        <f>($L$3*(L195-$Q$1)/$Q$2+$M$3*(M195-$R$1)/$R$2+$N$3*(N195-$S$1)/$S$2+$O$3*(O195-$T$1)/$T$2+$P$3*(P195-$U$1)/$U$2)/(SUM($L$3:$P$3))</f>
        <v>-1.4548950959488096</v>
      </c>
      <c r="AN195" s="46">
        <f>($L$3*(Q195-$Q$1)/$Q$2+$M$3*(R195-$R$1)/$R$2+$N$3*(S195-$S$1)/$S$2+$O$3*(T195-$T$1)/$T$2+$P$3*(U195-$U$1)/$U$2)/(SUM($L$3:$P$3))</f>
        <v>-0.56599506241671849</v>
      </c>
      <c r="AO195" s="47">
        <f>IF(AVERAGE(AH195:AI195)&gt;9,1,0)+IF(AVERAGE(AH195:AI195)&gt;7,1,0)+IF(AH195&gt;7,1,0)+IF(AI195&gt;7,1,0)+IF(AJ195&gt;8,1,0)+IF(AJ195&gt;6,1,0)</f>
        <v>0</v>
      </c>
      <c r="AP195" s="48">
        <f>MIN(2,IF(OR(Z195="-",X195&lt;5),0,1+IF(Y195&gt;7,0.35,IF(Y195&gt;5,0.1,0))+IF(Z195&gt;7,1+IF(X195&gt;7,0.25,0),IF(Z195&gt;4,0.5+IF(X195&gt;7,0.25,0),0+IF(X195&gt;7,0.25))))+IF(AA195="-",0,IF(AA195&gt;9,0.5,IF(AA195&gt;7,0.25,0)))+IF(AB195="-",0,IF(AB195&gt;7,1.1,IF(AB195&gt;4,0.6,0)))+IF(OR(AC195="-",V195&lt;5),0,IF(AC195&gt;7,1+IF(V195&gt;7,0.25,0),IF(AC195&gt;4,0.5+IF(V195&gt;7,0.25,0),0)))+IF(AD195="-",0,IF(AD195&gt;7,1.5,IF(AD195&gt;4,1,0)))+IF(AE195="-",0,IF(AE195&gt;9,0.5,IF(AE195&gt;7,0.25,0)))+IF(AF195="-",0,IF(AF195&gt;7,1.25,IF(AF195&gt;4,0.75,0)))+IF(OR(AG195="-",W195&lt;4),0,IF(AG195&gt;7,1+IF(W195&gt;7,0.15,0),IF(AG195&gt;4,0.5+IF(W195&gt;7,0.15,0),0))))</f>
        <v>0</v>
      </c>
      <c r="AQ195" s="46">
        <f>($AM$3*AM195+$AN$3*AN195+$AO$3*AO195+$AP$3*AP195)+$I$3*VLOOKUP(I195,COND!$A$2:$E$7,4,FALSE)+$J$3*VLOOKUP(J195,COND!$A$2:$C$7,2,FALSE)+$K$3*VLOOKUP(K195,COND!$A$2:$C$7,3,FALSE)+IF(AND($B$2&gt;0,$E195&lt;20),$B$2*25,0)</f>
        <v>42.762569741404498</v>
      </c>
      <c r="AR195" s="49">
        <f>STANDARDIZE(AQ195,AVERAGE($AQ$5:$AQ$537),STDEVP($AQ$5:$AQ$537))</f>
        <v>0.4247839770120187</v>
      </c>
      <c r="AS195" s="47" t="str">
        <f>IF(AND(Z195&lt;&gt;"-",Y195&gt;1),"C",IF(AB195=MAX(AB195:AD195),"2B",IF(AD195=MAX(AB195:AD195),"SS",IF(OR(AC195=MAX(AA195:AD195),AND(AC195&lt;&gt;"-",AC195&gt;4,V195&gt;5)),"3B",IF(AF195=MAX(AE195:AG195),"CF",IF(AND(AG195=MAX(AE195,AG195),AND(W195&gt;5,AG195&lt;&gt;"-")),"RF",IF(AE195&lt;&gt;"-","LF",IF(AA195&lt;&gt;"-","1B","DH"))))))))</f>
        <v>RF</v>
      </c>
      <c r="AT195" s="47"/>
      <c r="AU195" s="47"/>
      <c r="AV195" s="47"/>
      <c r="AW195" s="47" t="str">
        <f>IF(AND($Q195&gt;=6,AVERAGE($S195:$T195)&gt;=6),"Likely",IF(OR($Q195&gt;6,AND($Q195=6,AVERAGE($S195:$T195)&gt;=3),AND($Q195&gt;=5,AVERAGE($S195:$T195)&gt;=5),AVERAGE($Q195,$S195:$T195)&gt;5),"Possible","Unlikely"))</f>
        <v>Unlikely</v>
      </c>
      <c r="AX195" s="47"/>
      <c r="AY195" s="47" t="str">
        <f>INDEX(Table5[[#All],[Ovr]],MATCH(Batters[[#This Row],[PID]],Table5[[#All],[PID]],0))</f>
        <v/>
      </c>
      <c r="AZ195" s="47" t="str">
        <f>INDEX(Table5[[#All],[Rnd]],MATCH(Batters[[#This Row],[PID]],Table5[[#All],[PID]],0))</f>
        <v/>
      </c>
      <c r="BA195" s="47" t="str">
        <f>INDEX(Table5[[#All],[Pick]],MATCH(Batters[[#This Row],[PID]],Table5[[#All],[PID]],0))</f>
        <v/>
      </c>
      <c r="BB195" s="47" t="str">
        <f>INDEX(Table5[[#All],[Team]],MATCH(Batters[[#This Row],[PID]],Table5[[#All],[PID]],0))</f>
        <v/>
      </c>
    </row>
    <row r="196" spans="1:54" ht="15" customHeight="1" x14ac:dyDescent="0.25">
      <c r="A196" s="42">
        <v>9566</v>
      </c>
      <c r="B196" s="42" t="s">
        <v>71</v>
      </c>
      <c r="C196" s="42" t="s">
        <v>1075</v>
      </c>
      <c r="D196" s="42" t="s">
        <v>877</v>
      </c>
      <c r="E196" s="42">
        <v>21</v>
      </c>
      <c r="F196" s="42" t="s">
        <v>42</v>
      </c>
      <c r="G196" s="42" t="s">
        <v>42</v>
      </c>
      <c r="H196" s="43" t="s">
        <v>709</v>
      </c>
      <c r="I196" s="44" t="s">
        <v>43</v>
      </c>
      <c r="J196" s="42" t="s">
        <v>43</v>
      </c>
      <c r="K196" s="43" t="s">
        <v>43</v>
      </c>
      <c r="L196" s="42">
        <v>2</v>
      </c>
      <c r="M196" s="42">
        <v>2</v>
      </c>
      <c r="N196" s="42">
        <v>3</v>
      </c>
      <c r="O196" s="42">
        <v>3</v>
      </c>
      <c r="P196" s="43">
        <v>4</v>
      </c>
      <c r="Q196" s="42">
        <v>4</v>
      </c>
      <c r="R196" s="42">
        <v>5</v>
      </c>
      <c r="S196" s="42">
        <v>3</v>
      </c>
      <c r="T196" s="42">
        <v>4</v>
      </c>
      <c r="U196" s="43">
        <v>6</v>
      </c>
      <c r="V196" s="42">
        <v>5</v>
      </c>
      <c r="W196" s="42">
        <v>3</v>
      </c>
      <c r="X196" s="42">
        <v>1</v>
      </c>
      <c r="Y196" s="43">
        <v>1</v>
      </c>
      <c r="Z196" s="42" t="s">
        <v>45</v>
      </c>
      <c r="AA196" s="42" t="s">
        <v>45</v>
      </c>
      <c r="AB196" s="42">
        <v>2</v>
      </c>
      <c r="AC196" s="42" t="s">
        <v>45</v>
      </c>
      <c r="AD196" s="42" t="s">
        <v>45</v>
      </c>
      <c r="AE196" s="42" t="s">
        <v>45</v>
      </c>
      <c r="AF196" s="42" t="s">
        <v>45</v>
      </c>
      <c r="AG196" s="43" t="s">
        <v>45</v>
      </c>
      <c r="AH196" s="42">
        <v>9</v>
      </c>
      <c r="AI196" s="42">
        <v>8</v>
      </c>
      <c r="AJ196" s="43">
        <v>6</v>
      </c>
      <c r="AK196" s="45" t="s">
        <v>627</v>
      </c>
      <c r="AL196" s="45" t="s">
        <v>47</v>
      </c>
      <c r="AM196" s="46">
        <f>($L$3*(L196-$Q$1)/$Q$2+$M$3*(M196-$R$1)/$R$2+$N$3*(N196-$S$1)/$S$2+$O$3*(O196-$T$1)/$T$2+$P$3*(P196-$U$1)/$U$2)/(SUM($L$3:$P$3))</f>
        <v>-1.2451365264879783</v>
      </c>
      <c r="AN196" s="46">
        <f>($L$3*(Q196-$Q$1)/$Q$2+$M$3*(R196-$R$1)/$R$2+$N$3*(S196-$S$1)/$S$2+$O$3*(T196-$T$1)/$T$2+$P$3*(U196-$U$1)/$U$2)/(SUM($L$3:$P$3))</f>
        <v>-0.27710298558277047</v>
      </c>
      <c r="AO196" s="47">
        <f>IF(AVERAGE(AH196:AI196)&gt;9,1,0)+IF(AVERAGE(AH196:AI196)&gt;7,1,0)+IF(AH196&gt;7,1,0)+IF(AI196&gt;7,1,0)+IF(AJ196&gt;8,1,0)+IF(AJ196&gt;6,1,0)</f>
        <v>3</v>
      </c>
      <c r="AP196" s="48">
        <f>MIN(2,IF(OR(Z196="-",X196&lt;5),0,1+IF(Y196&gt;7,0.35,IF(Y196&gt;5,0.1,0))+IF(Z196&gt;7,1+IF(X196&gt;7,0.25,0),IF(Z196&gt;4,0.5+IF(X196&gt;7,0.25,0),0+IF(X196&gt;7,0.25))))+IF(AA196="-",0,IF(AA196&gt;9,0.5,IF(AA196&gt;7,0.25,0)))+IF(AB196="-",0,IF(AB196&gt;7,1.1,IF(AB196&gt;4,0.6,0)))+IF(OR(AC196="-",V196&lt;5),0,IF(AC196&gt;7,1+IF(V196&gt;7,0.25,0),IF(AC196&gt;4,0.5+IF(V196&gt;7,0.25,0),0)))+IF(AD196="-",0,IF(AD196&gt;7,1.5,IF(AD196&gt;4,1,0)))+IF(AE196="-",0,IF(AE196&gt;9,0.5,IF(AE196&gt;7,0.25,0)))+IF(AF196="-",0,IF(AF196&gt;7,1.25,IF(AF196&gt;4,0.75,0)))+IF(OR(AG196="-",W196&lt;4),0,IF(AG196&gt;7,1+IF(W196&gt;7,0.15,0),IF(AG196&gt;4,0.5+IF(W196&gt;7,0.15,0),0))))</f>
        <v>0</v>
      </c>
      <c r="AQ196" s="46">
        <f>($AM$3*AM196+$AN$3*AN196+$AO$3*AO196+$AP$3*AP196)+$I$3*VLOOKUP(I196,COND!$A$2:$E$7,4,FALSE)+$J$3*VLOOKUP(J196,COND!$A$2:$C$7,2,FALSE)+$K$3*VLOOKUP(K196,COND!$A$2:$C$7,3,FALSE)+IF(AND($B$2&gt;0,$E196&lt;20),$B$2*25,0)</f>
        <v>42.050250520357956</v>
      </c>
      <c r="AR196" s="49">
        <f>STANDARDIZE(AQ196,AVERAGE($AQ$5:$AQ$537),STDEVP($AQ$5:$AQ$537))</f>
        <v>0.29945614435852441</v>
      </c>
      <c r="AS196" s="47" t="str">
        <f>IF(AND(Z196&lt;&gt;"-",Y196&gt;1),"C",IF(AB196=MAX(AB196:AD196),"2B",IF(AD196=MAX(AB196:AD196),"SS",IF(OR(AC196=MAX(AA196:AD196),AND(AC196&lt;&gt;"-",AC196&gt;4,V196&gt;5)),"3B",IF(AF196=MAX(AE196:AG196),"CF",IF(AND(AG196=MAX(AE196,AG196),AND(W196&gt;5,AG196&lt;&gt;"-")),"RF",IF(AE196&lt;&gt;"-","LF",IF(AA196&lt;&gt;"-","1B","DH"))))))))</f>
        <v>2B</v>
      </c>
      <c r="AT196" s="47"/>
      <c r="AU196" s="47"/>
      <c r="AV196" s="47"/>
      <c r="AW196" s="47" t="str">
        <f>IF(AND($Q196&gt;=6,AVERAGE($S196:$T196)&gt;=6),"Likely",IF(OR($Q196&gt;6,AND($Q196=6,AVERAGE($S196:$T196)&gt;=3),AND($Q196&gt;=5,AVERAGE($S196:$T196)&gt;=5),AVERAGE($Q196,$S196:$T196)&gt;5),"Possible","Unlikely"))</f>
        <v>Unlikely</v>
      </c>
      <c r="AX196" s="47"/>
      <c r="AY196" s="47" t="str">
        <f>INDEX(Table5[[#All],[Ovr]],MATCH(Batters[[#This Row],[PID]],Table5[[#All],[PID]],0))</f>
        <v/>
      </c>
      <c r="AZ196" s="47" t="str">
        <f>INDEX(Table5[[#All],[Rnd]],MATCH(Batters[[#This Row],[PID]],Table5[[#All],[PID]],0))</f>
        <v/>
      </c>
      <c r="BA196" s="47" t="str">
        <f>INDEX(Table5[[#All],[Pick]],MATCH(Batters[[#This Row],[PID]],Table5[[#All],[PID]],0))</f>
        <v/>
      </c>
      <c r="BB196" s="47" t="str">
        <f>INDEX(Table5[[#All],[Team]],MATCH(Batters[[#This Row],[PID]],Table5[[#All],[PID]],0))</f>
        <v/>
      </c>
    </row>
    <row r="197" spans="1:54" ht="15" customHeight="1" x14ac:dyDescent="0.25">
      <c r="A197" s="42">
        <v>16487</v>
      </c>
      <c r="B197" s="42" t="s">
        <v>50</v>
      </c>
      <c r="C197" s="42" t="s">
        <v>1307</v>
      </c>
      <c r="D197" s="42" t="s">
        <v>1308</v>
      </c>
      <c r="E197" s="42">
        <v>18</v>
      </c>
      <c r="F197" s="42" t="s">
        <v>62</v>
      </c>
      <c r="G197" s="42" t="s">
        <v>42</v>
      </c>
      <c r="H197" s="43" t="s">
        <v>721</v>
      </c>
      <c r="I197" s="44" t="s">
        <v>43</v>
      </c>
      <c r="J197" s="42" t="s">
        <v>44</v>
      </c>
      <c r="K197" s="43" t="s">
        <v>47</v>
      </c>
      <c r="L197" s="42">
        <v>1</v>
      </c>
      <c r="M197" s="42">
        <v>2</v>
      </c>
      <c r="N197" s="42">
        <v>3</v>
      </c>
      <c r="O197" s="42">
        <v>2</v>
      </c>
      <c r="P197" s="43">
        <v>1</v>
      </c>
      <c r="Q197" s="42">
        <v>3</v>
      </c>
      <c r="R197" s="42">
        <v>3</v>
      </c>
      <c r="S197" s="42">
        <v>4</v>
      </c>
      <c r="T197" s="42">
        <v>5</v>
      </c>
      <c r="U197" s="43">
        <v>3</v>
      </c>
      <c r="V197" s="42">
        <v>3</v>
      </c>
      <c r="W197" s="42">
        <v>6</v>
      </c>
      <c r="X197" s="42">
        <v>1</v>
      </c>
      <c r="Y197" s="43">
        <v>1</v>
      </c>
      <c r="Z197" s="42" t="s">
        <v>45</v>
      </c>
      <c r="AA197" s="42" t="s">
        <v>45</v>
      </c>
      <c r="AB197" s="42" t="s">
        <v>45</v>
      </c>
      <c r="AC197" s="42" t="s">
        <v>45</v>
      </c>
      <c r="AD197" s="42" t="s">
        <v>45</v>
      </c>
      <c r="AE197" s="42" t="s">
        <v>45</v>
      </c>
      <c r="AF197" s="42" t="s">
        <v>45</v>
      </c>
      <c r="AG197" s="43" t="s">
        <v>45</v>
      </c>
      <c r="AH197" s="42">
        <v>1</v>
      </c>
      <c r="AI197" s="42">
        <v>2</v>
      </c>
      <c r="AJ197" s="43">
        <v>1</v>
      </c>
      <c r="AK197" s="45" t="s">
        <v>718</v>
      </c>
      <c r="AL197" s="45" t="s">
        <v>47</v>
      </c>
      <c r="AM197" s="46">
        <f>($L$3*(L197-$Q$1)/$Q$2+$M$3*(M197-$R$1)/$R$2+$N$3*(N197-$S$1)/$S$2+$O$3*(O197-$T$1)/$T$2+$P$3*(P197-$U$1)/$U$2)/(SUM($L$3:$P$3))</f>
        <v>-1.7774509321514844</v>
      </c>
      <c r="AN197" s="46">
        <f>($L$3*(Q197-$Q$1)/$Q$2+$M$3*(R197-$R$1)/$R$2+$N$3*(S197-$S$1)/$S$2+$O$3*(T197-$T$1)/$T$2+$P$3*(U197-$U$1)/$U$2)/(SUM($L$3:$P$3))</f>
        <v>-0.64905655644061999</v>
      </c>
      <c r="AO197" s="47">
        <f>IF(AVERAGE(AH197:AI197)&gt;9,1,0)+IF(AVERAGE(AH197:AI197)&gt;7,1,0)+IF(AH197&gt;7,1,0)+IF(AI197&gt;7,1,0)+IF(AJ197&gt;8,1,0)+IF(AJ197&gt;6,1,0)</f>
        <v>0</v>
      </c>
      <c r="AP197" s="48">
        <f>MIN(2,IF(OR(Z197="-",X197&lt;5),0,1+IF(Y197&gt;7,0.35,IF(Y197&gt;5,0.1,0))+IF(Z197&gt;7,1+IF(X197&gt;7,0.25,0),IF(Z197&gt;4,0.5+IF(X197&gt;7,0.25,0),0+IF(X197&gt;7,0.25))))+IF(AA197="-",0,IF(AA197&gt;9,0.5,IF(AA197&gt;7,0.25,0)))+IF(AB197="-",0,IF(AB197&gt;7,1.1,IF(AB197&gt;4,0.6,0)))+IF(OR(AC197="-",V197&lt;5),0,IF(AC197&gt;7,1+IF(V197&gt;7,0.25,0),IF(AC197&gt;4,0.5+IF(V197&gt;7,0.25,0),0)))+IF(AD197="-",0,IF(AD197&gt;7,1.5,IF(AD197&gt;4,1,0)))+IF(AE197="-",0,IF(AE197&gt;9,0.5,IF(AE197&gt;7,0.25,0)))+IF(AF197="-",0,IF(AF197&gt;7,1.25,IF(AF197&gt;4,0.75,0)))+IF(OR(AG197="-",W197&lt;4),0,IF(AG197&gt;7,1+IF(W197&gt;7,0.15,0),IF(AG197&gt;4,0.5+IF(W197&gt;7,0.15,0),0))))</f>
        <v>0</v>
      </c>
      <c r="AQ197" s="46">
        <f>($AM$3*AM197+$AN$3*AN197+$AO$3*AO197+$AP$3*AP197)+$I$3*VLOOKUP(I197,COND!$A$2:$E$7,4,FALSE)+$J$3*VLOOKUP(J197,COND!$A$2:$C$7,2,FALSE)+$K$3*VLOOKUP(K197,COND!$A$2:$C$7,3,FALSE)+IF(AND($B$2&gt;0,$E197&lt;20),$B$2*25,0)</f>
        <v>42.033576229497413</v>
      </c>
      <c r="AR197" s="49">
        <f>STANDARDIZE(AQ197,AVERAGE($AQ$5:$AQ$537),STDEVP($AQ$5:$AQ$537))</f>
        <v>0.29652241370400756</v>
      </c>
      <c r="AS197" s="47" t="str">
        <f>IF(AND(Z197&lt;&gt;"-",Y197&gt;1),"C",IF(AB197=MAX(AB197:AD197),"2B",IF(AD197=MAX(AB197:AD197),"SS",IF(OR(AC197=MAX(AA197:AD197),AND(AC197&lt;&gt;"-",AC197&gt;4,V197&gt;5)),"3B",IF(AF197=MAX(AE197:AG197),"CF",IF(AND(AG197=MAX(AE197,AG197),AND(W197&gt;5,AG197&lt;&gt;"-")),"RF",IF(AE197&lt;&gt;"-","LF",IF(AA197&lt;&gt;"-","1B","DH"))))))))</f>
        <v>DH</v>
      </c>
      <c r="AT197" s="47"/>
      <c r="AU197" s="47"/>
      <c r="AV197" s="47"/>
      <c r="AW197" s="47" t="str">
        <f>IF(AND($Q197&gt;=6,AVERAGE($S197:$T197)&gt;=6),"Likely",IF(OR($Q197&gt;6,AND($Q197=6,AVERAGE($S197:$T197)&gt;=3),AND($Q197&gt;=5,AVERAGE($S197:$T197)&gt;=5),AVERAGE($Q197,$S197:$T197)&gt;5),"Possible","Unlikely"))</f>
        <v>Unlikely</v>
      </c>
      <c r="AX197" s="47"/>
      <c r="AY197" s="47" t="str">
        <f>INDEX(Table5[[#All],[Ovr]],MATCH(Batters[[#This Row],[PID]],Table5[[#All],[PID]],0))</f>
        <v/>
      </c>
      <c r="AZ197" s="47" t="str">
        <f>INDEX(Table5[[#All],[Rnd]],MATCH(Batters[[#This Row],[PID]],Table5[[#All],[PID]],0))</f>
        <v/>
      </c>
      <c r="BA197" s="47" t="str">
        <f>INDEX(Table5[[#All],[Pick]],MATCH(Batters[[#This Row],[PID]],Table5[[#All],[PID]],0))</f>
        <v/>
      </c>
      <c r="BB197" s="47" t="str">
        <f>INDEX(Table5[[#All],[Team]],MATCH(Batters[[#This Row],[PID]],Table5[[#All],[PID]],0))</f>
        <v/>
      </c>
    </row>
    <row r="198" spans="1:54" ht="15" customHeight="1" x14ac:dyDescent="0.25">
      <c r="A198" s="42">
        <v>8992</v>
      </c>
      <c r="B198" s="42" t="s">
        <v>50</v>
      </c>
      <c r="C198" s="42" t="s">
        <v>881</v>
      </c>
      <c r="D198" s="42" t="s">
        <v>1315</v>
      </c>
      <c r="E198" s="42">
        <v>18</v>
      </c>
      <c r="F198" s="42" t="s">
        <v>42</v>
      </c>
      <c r="G198" s="42" t="s">
        <v>42</v>
      </c>
      <c r="H198" s="43" t="s">
        <v>709</v>
      </c>
      <c r="I198" s="44" t="s">
        <v>43</v>
      </c>
      <c r="J198" s="42" t="s">
        <v>43</v>
      </c>
      <c r="K198" s="43" t="s">
        <v>43</v>
      </c>
      <c r="L198" s="42">
        <v>1</v>
      </c>
      <c r="M198" s="42">
        <v>1</v>
      </c>
      <c r="N198" s="42">
        <v>2</v>
      </c>
      <c r="O198" s="42">
        <v>2</v>
      </c>
      <c r="P198" s="43">
        <v>1</v>
      </c>
      <c r="Q198" s="42">
        <v>3</v>
      </c>
      <c r="R198" s="42">
        <v>3</v>
      </c>
      <c r="S198" s="42">
        <v>3</v>
      </c>
      <c r="T198" s="42">
        <v>5</v>
      </c>
      <c r="U198" s="43">
        <v>3</v>
      </c>
      <c r="V198" s="42">
        <v>3</v>
      </c>
      <c r="W198" s="42">
        <v>5</v>
      </c>
      <c r="X198" s="42">
        <v>1</v>
      </c>
      <c r="Y198" s="43">
        <v>1</v>
      </c>
      <c r="Z198" s="42" t="s">
        <v>45</v>
      </c>
      <c r="AA198" s="42" t="s">
        <v>45</v>
      </c>
      <c r="AB198" s="42" t="s">
        <v>45</v>
      </c>
      <c r="AC198" s="42" t="s">
        <v>45</v>
      </c>
      <c r="AD198" s="42" t="s">
        <v>45</v>
      </c>
      <c r="AE198" s="42">
        <v>5</v>
      </c>
      <c r="AF198" s="42">
        <v>2</v>
      </c>
      <c r="AG198" s="43" t="s">
        <v>45</v>
      </c>
      <c r="AH198" s="42">
        <v>9</v>
      </c>
      <c r="AI198" s="42">
        <v>10</v>
      </c>
      <c r="AJ198" s="43">
        <v>10</v>
      </c>
      <c r="AK198" s="45" t="s">
        <v>718</v>
      </c>
      <c r="AL198" s="45" t="s">
        <v>705</v>
      </c>
      <c r="AM198" s="46">
        <f>($L$3*(L198-$Q$1)/$Q$2+$M$3*(M198-$R$1)/$R$2+$N$3*(N198-$S$1)/$S$2+$O$3*(O198-$T$1)/$T$2+$P$3*(P198-$U$1)/$U$2)/(SUM($L$3:$P$3))</f>
        <v>-1.9115723057940897</v>
      </c>
      <c r="AN198" s="46">
        <f>($L$3*(Q198-$Q$1)/$Q$2+$M$3*(R198-$R$1)/$R$2+$N$3*(S198-$S$1)/$S$2+$O$3*(T198-$T$1)/$T$2+$P$3*(U198-$U$1)/$U$2)/(SUM($L$3:$P$3))</f>
        <v>-0.73211805046452161</v>
      </c>
      <c r="AO198" s="47">
        <f>IF(AVERAGE(AH198:AI198)&gt;9,1,0)+IF(AVERAGE(AH198:AI198)&gt;7,1,0)+IF(AH198&gt;7,1,0)+IF(AI198&gt;7,1,0)+IF(AJ198&gt;8,1,0)+IF(AJ198&gt;6,1,0)</f>
        <v>6</v>
      </c>
      <c r="AP198" s="48">
        <f>MIN(2,IF(OR(Z198="-",X198&lt;5),0,1+IF(Y198&gt;7,0.35,IF(Y198&gt;5,0.1,0))+IF(Z198&gt;7,1+IF(X198&gt;7,0.25,0),IF(Z198&gt;4,0.5+IF(X198&gt;7,0.25,0),0+IF(X198&gt;7,0.25))))+IF(AA198="-",0,IF(AA198&gt;9,0.5,IF(AA198&gt;7,0.25,0)))+IF(AB198="-",0,IF(AB198&gt;7,1.1,IF(AB198&gt;4,0.6,0)))+IF(OR(AC198="-",V198&lt;5),0,IF(AC198&gt;7,1+IF(V198&gt;7,0.25,0),IF(AC198&gt;4,0.5+IF(V198&gt;7,0.25,0),0)))+IF(AD198="-",0,IF(AD198&gt;7,1.5,IF(AD198&gt;4,1,0)))+IF(AE198="-",0,IF(AE198&gt;9,0.5,IF(AE198&gt;7,0.25,0)))+IF(AF198="-",0,IF(AF198&gt;7,1.25,IF(AF198&gt;4,0.75,0)))+IF(OR(AG198="-",W198&lt;4),0,IF(AG198&gt;7,1+IF(W198&gt;7,0.15,0),IF(AG198&gt;4,0.5+IF(W198&gt;7,0.15,0),0))))</f>
        <v>0</v>
      </c>
      <c r="AQ198" s="46">
        <f>($AM$3*AM198+$AN$3*AN198+$AO$3*AO198+$AP$3*AP198)+$I$3*VLOOKUP(I198,COND!$A$2:$E$7,4,FALSE)+$J$3*VLOOKUP(J198,COND!$A$2:$C$7,2,FALSE)+$K$3*VLOOKUP(K198,COND!$A$2:$C$7,3,FALSE)+IF(AND($B$2&gt;0,$E198&lt;20),$B$2*25,0)</f>
        <v>42.023426163846331</v>
      </c>
      <c r="AR198" s="49">
        <f>STANDARDIZE(AQ198,AVERAGE($AQ$5:$AQ$537),STDEVP($AQ$5:$AQ$537))</f>
        <v>0.29473657711311524</v>
      </c>
      <c r="AS198" s="47" t="str">
        <f>IF(AND(Z198&lt;&gt;"-",Y198&gt;1),"C",IF(AB198=MAX(AB198:AD198),"2B",IF(AD198=MAX(AB198:AD198),"SS",IF(OR(AC198=MAX(AA198:AD198),AND(AC198&lt;&gt;"-",AC198&gt;4,V198&gt;5)),"3B",IF(AF198=MAX(AE198:AG198),"CF",IF(AND(AG198=MAX(AE198,AG198),AND(W198&gt;5,AG198&lt;&gt;"-")),"RF",IF(AE198&lt;&gt;"-","LF",IF(AA198&lt;&gt;"-","1B","DH"))))))))</f>
        <v>LF</v>
      </c>
      <c r="AT198" s="47"/>
      <c r="AU198" s="47"/>
      <c r="AV198" s="47"/>
      <c r="AW198" s="47" t="str">
        <f>IF(AND($Q198&gt;=6,AVERAGE($S198:$T198)&gt;=6),"Likely",IF(OR($Q198&gt;6,AND($Q198=6,AVERAGE($S198:$T198)&gt;=3),AND($Q198&gt;=5,AVERAGE($S198:$T198)&gt;=5),AVERAGE($Q198,$S198:$T198)&gt;5),"Possible","Unlikely"))</f>
        <v>Unlikely</v>
      </c>
      <c r="AX198" s="47"/>
      <c r="AY198" s="47" t="str">
        <f>INDEX(Table5[[#All],[Ovr]],MATCH(Batters[[#This Row],[PID]],Table5[[#All],[PID]],0))</f>
        <v/>
      </c>
      <c r="AZ198" s="47" t="str">
        <f>INDEX(Table5[[#All],[Rnd]],MATCH(Batters[[#This Row],[PID]],Table5[[#All],[PID]],0))</f>
        <v/>
      </c>
      <c r="BA198" s="47" t="str">
        <f>INDEX(Table5[[#All],[Pick]],MATCH(Batters[[#This Row],[PID]],Table5[[#All],[PID]],0))</f>
        <v/>
      </c>
      <c r="BB198" s="47" t="str">
        <f>INDEX(Table5[[#All],[Team]],MATCH(Batters[[#This Row],[PID]],Table5[[#All],[PID]],0))</f>
        <v/>
      </c>
    </row>
    <row r="199" spans="1:54" ht="15" customHeight="1" x14ac:dyDescent="0.25">
      <c r="A199" s="42">
        <v>6177</v>
      </c>
      <c r="B199" s="42" t="s">
        <v>87</v>
      </c>
      <c r="C199" s="42" t="s">
        <v>184</v>
      </c>
      <c r="D199" s="42" t="s">
        <v>1238</v>
      </c>
      <c r="E199" s="42">
        <v>18</v>
      </c>
      <c r="F199" s="42" t="s">
        <v>42</v>
      </c>
      <c r="G199" s="42" t="s">
        <v>53</v>
      </c>
      <c r="H199" s="43" t="s">
        <v>721</v>
      </c>
      <c r="I199" s="44" t="s">
        <v>43</v>
      </c>
      <c r="J199" s="42" t="s">
        <v>43</v>
      </c>
      <c r="K199" s="43" t="s">
        <v>43</v>
      </c>
      <c r="L199" s="42">
        <v>1</v>
      </c>
      <c r="M199" s="42">
        <v>1</v>
      </c>
      <c r="N199" s="42">
        <v>2</v>
      </c>
      <c r="O199" s="42">
        <v>1</v>
      </c>
      <c r="P199" s="43">
        <v>1</v>
      </c>
      <c r="Q199" s="42">
        <v>3</v>
      </c>
      <c r="R199" s="42">
        <v>3</v>
      </c>
      <c r="S199" s="42">
        <v>4</v>
      </c>
      <c r="T199" s="42">
        <v>5</v>
      </c>
      <c r="U199" s="43">
        <v>3</v>
      </c>
      <c r="V199" s="42">
        <v>4</v>
      </c>
      <c r="W199" s="42">
        <v>6</v>
      </c>
      <c r="X199" s="42">
        <v>1</v>
      </c>
      <c r="Y199" s="43">
        <v>1</v>
      </c>
      <c r="Z199" s="42" t="s">
        <v>45</v>
      </c>
      <c r="AA199" s="42">
        <v>1</v>
      </c>
      <c r="AB199" s="42" t="s">
        <v>45</v>
      </c>
      <c r="AC199" s="42" t="s">
        <v>45</v>
      </c>
      <c r="AD199" s="42" t="s">
        <v>45</v>
      </c>
      <c r="AE199" s="42" t="s">
        <v>45</v>
      </c>
      <c r="AF199" s="42" t="s">
        <v>45</v>
      </c>
      <c r="AG199" s="43" t="s">
        <v>45</v>
      </c>
      <c r="AH199" s="42">
        <v>2</v>
      </c>
      <c r="AI199" s="42">
        <v>4</v>
      </c>
      <c r="AJ199" s="43">
        <v>4</v>
      </c>
      <c r="AK199" s="45" t="s">
        <v>599</v>
      </c>
      <c r="AL199" s="45" t="s">
        <v>705</v>
      </c>
      <c r="AM199" s="46">
        <f>($L$3*(L199-$Q$1)/$Q$2+$M$3*(M199-$R$1)/$R$2+$N$3*(N199-$S$1)/$S$2+$O$3*(O199-$T$1)/$T$2+$P$3*(P199-$U$1)/$U$2)/(SUM($L$3:$P$3))</f>
        <v>-2.0012818558036707</v>
      </c>
      <c r="AN199" s="46">
        <f>($L$3*(Q199-$Q$1)/$Q$2+$M$3*(R199-$R$1)/$R$2+$N$3*(S199-$S$1)/$S$2+$O$3*(T199-$T$1)/$T$2+$P$3*(U199-$U$1)/$U$2)/(SUM($L$3:$P$3))</f>
        <v>-0.64905655644061999</v>
      </c>
      <c r="AO199" s="47">
        <f>IF(AVERAGE(AH199:AI199)&gt;9,1,0)+IF(AVERAGE(AH199:AI199)&gt;7,1,0)+IF(AH199&gt;7,1,0)+IF(AI199&gt;7,1,0)+IF(AJ199&gt;8,1,0)+IF(AJ199&gt;6,1,0)</f>
        <v>0</v>
      </c>
      <c r="AP199" s="48">
        <f>MIN(2,IF(OR(Z199="-",X199&lt;5),0,1+IF(Y199&gt;7,0.35,IF(Y199&gt;5,0.1,0))+IF(Z199&gt;7,1+IF(X199&gt;7,0.25,0),IF(Z199&gt;4,0.5+IF(X199&gt;7,0.25,0),0+IF(X199&gt;7,0.25))))+IF(AA199="-",0,IF(AA199&gt;9,0.5,IF(AA199&gt;7,0.25,0)))+IF(AB199="-",0,IF(AB199&gt;7,1.1,IF(AB199&gt;4,0.6,0)))+IF(OR(AC199="-",V199&lt;5),0,IF(AC199&gt;7,1+IF(V199&gt;7,0.25,0),IF(AC199&gt;4,0.5+IF(V199&gt;7,0.25,0),0)))+IF(AD199="-",0,IF(AD199&gt;7,1.5,IF(AD199&gt;4,1,0)))+IF(AE199="-",0,IF(AE199&gt;9,0.5,IF(AE199&gt;7,0.25,0)))+IF(AF199="-",0,IF(AF199&gt;7,1.25,IF(AF199&gt;4,0.75,0)))+IF(OR(AG199="-",W199&lt;4),0,IF(AG199&gt;7,1+IF(W199&gt;7,0.15,0),IF(AG199&gt;4,0.5+IF(W199&gt;7,0.15,0),0))))</f>
        <v>0</v>
      </c>
      <c r="AQ199" s="46">
        <f>($AM$3*AM199+$AN$3*AN199+$AO$3*AO199+$AP$3*AP199)+$I$3*VLOOKUP(I199,COND!$A$2:$E$7,4,FALSE)+$J$3*VLOOKUP(J199,COND!$A$2:$C$7,2,FALSE)+$K$3*VLOOKUP(K199,COND!$A$2:$C$7,3,FALSE)+IF(AND($B$2&gt;0,$E199&lt;20),$B$2*25,0)</f>
        <v>42.011193137132196</v>
      </c>
      <c r="AR199" s="49">
        <f>STANDARDIZE(AQ199,AVERAGE($AQ$5:$AQ$537),STDEVP($AQ$5:$AQ$537))</f>
        <v>0.29258425736716998</v>
      </c>
      <c r="AS199" s="47" t="str">
        <f>IF(AND(Z199&lt;&gt;"-",Y199&gt;1),"C",IF(AB199=MAX(AB199:AD199),"2B",IF(AD199=MAX(AB199:AD199),"SS",IF(OR(AC199=MAX(AA199:AD199),AND(AC199&lt;&gt;"-",AC199&gt;4,V199&gt;5)),"3B",IF(AF199=MAX(AE199:AG199),"CF",IF(AND(AG199=MAX(AE199,AG199),AND(W199&gt;5,AG199&lt;&gt;"-")),"RF",IF(AE199&lt;&gt;"-","LF",IF(AA199&lt;&gt;"-","1B","DH"))))))))</f>
        <v>1B</v>
      </c>
      <c r="AT199" s="47"/>
      <c r="AU199" s="47"/>
      <c r="AV199" s="47"/>
      <c r="AW199" s="47" t="str">
        <f>IF(AND($Q199&gt;=6,AVERAGE($S199:$T199)&gt;=6),"Likely",IF(OR($Q199&gt;6,AND($Q199=6,AVERAGE($S199:$T199)&gt;=3),AND($Q199&gt;=5,AVERAGE($S199:$T199)&gt;=5),AVERAGE($Q199,$S199:$T199)&gt;5),"Possible","Unlikely"))</f>
        <v>Unlikely</v>
      </c>
      <c r="AX199" s="47"/>
      <c r="AY199" s="47" t="str">
        <f>INDEX(Table5[[#All],[Ovr]],MATCH(Batters[[#This Row],[PID]],Table5[[#All],[PID]],0))</f>
        <v/>
      </c>
      <c r="AZ199" s="47" t="str">
        <f>INDEX(Table5[[#All],[Rnd]],MATCH(Batters[[#This Row],[PID]],Table5[[#All],[PID]],0))</f>
        <v/>
      </c>
      <c r="BA199" s="47" t="str">
        <f>INDEX(Table5[[#All],[Pick]],MATCH(Batters[[#This Row],[PID]],Table5[[#All],[PID]],0))</f>
        <v/>
      </c>
      <c r="BB199" s="47" t="str">
        <f>INDEX(Table5[[#All],[Team]],MATCH(Batters[[#This Row],[PID]],Table5[[#All],[PID]],0))</f>
        <v/>
      </c>
    </row>
    <row r="200" spans="1:54" ht="15" customHeight="1" x14ac:dyDescent="0.25">
      <c r="A200" s="42">
        <v>12782</v>
      </c>
      <c r="B200" s="42" t="s">
        <v>72</v>
      </c>
      <c r="C200" s="42" t="s">
        <v>149</v>
      </c>
      <c r="D200" s="42" t="s">
        <v>323</v>
      </c>
      <c r="E200" s="42">
        <v>21</v>
      </c>
      <c r="F200" s="42" t="s">
        <v>42</v>
      </c>
      <c r="G200" s="42" t="s">
        <v>42</v>
      </c>
      <c r="H200" s="43" t="s">
        <v>703</v>
      </c>
      <c r="I200" s="44" t="s">
        <v>43</v>
      </c>
      <c r="J200" s="42" t="s">
        <v>43</v>
      </c>
      <c r="K200" s="43" t="s">
        <v>43</v>
      </c>
      <c r="L200" s="42">
        <v>2</v>
      </c>
      <c r="M200" s="42">
        <v>4</v>
      </c>
      <c r="N200" s="42">
        <v>2</v>
      </c>
      <c r="O200" s="42">
        <v>2</v>
      </c>
      <c r="P200" s="43">
        <v>2</v>
      </c>
      <c r="Q200" s="42">
        <v>4</v>
      </c>
      <c r="R200" s="42">
        <v>5</v>
      </c>
      <c r="S200" s="42">
        <v>4</v>
      </c>
      <c r="T200" s="42">
        <v>3</v>
      </c>
      <c r="U200" s="43">
        <v>5</v>
      </c>
      <c r="V200" s="42">
        <v>8</v>
      </c>
      <c r="W200" s="42">
        <v>8</v>
      </c>
      <c r="X200" s="42">
        <v>1</v>
      </c>
      <c r="Y200" s="43">
        <v>1</v>
      </c>
      <c r="Z200" s="42" t="s">
        <v>45</v>
      </c>
      <c r="AA200" s="42" t="s">
        <v>45</v>
      </c>
      <c r="AB200" s="42" t="s">
        <v>45</v>
      </c>
      <c r="AC200" s="42" t="s">
        <v>45</v>
      </c>
      <c r="AD200" s="42">
        <v>6</v>
      </c>
      <c r="AE200" s="42" t="s">
        <v>45</v>
      </c>
      <c r="AF200" s="42" t="s">
        <v>45</v>
      </c>
      <c r="AG200" s="43" t="s">
        <v>45</v>
      </c>
      <c r="AH200" s="42">
        <v>7</v>
      </c>
      <c r="AI200" s="42">
        <v>3</v>
      </c>
      <c r="AJ200" s="43">
        <v>4</v>
      </c>
      <c r="AK200" s="45" t="s">
        <v>596</v>
      </c>
      <c r="AL200" s="45" t="s">
        <v>47</v>
      </c>
      <c r="AM200" s="46">
        <f>($L$3*(L200-$Q$1)/$Q$2+$M$3*(M200-$R$1)/$R$2+$N$3*(N200-$S$1)/$S$2+$O$3*(O200-$T$1)/$T$2+$P$3*(P200-$U$1)/$U$2)/(SUM($L$3:$P$3))</f>
        <v>-1.3958204909182206</v>
      </c>
      <c r="AN200" s="46">
        <f>($L$3*(Q200-$Q$1)/$Q$2+$M$3*(R200-$R$1)/$R$2+$N$3*(S200-$S$1)/$S$2+$O$3*(T200-$T$1)/$T$2+$P$3*(U200-$U$1)/$U$2)/(SUM($L$3:$P$3))</f>
        <v>-0.32376738138553351</v>
      </c>
      <c r="AO200" s="47">
        <f>IF(AVERAGE(AH200:AI200)&gt;9,1,0)+IF(AVERAGE(AH200:AI200)&gt;7,1,0)+IF(AH200&gt;7,1,0)+IF(AI200&gt;7,1,0)+IF(AJ200&gt;8,1,0)+IF(AJ200&gt;6,1,0)</f>
        <v>0</v>
      </c>
      <c r="AP200" s="48">
        <f>MIN(2,IF(OR(Z200="-",X200&lt;5),0,1+IF(Y200&gt;7,0.35,IF(Y200&gt;5,0.1,0))+IF(Z200&gt;7,1+IF(X200&gt;7,0.25,0),IF(Z200&gt;4,0.5+IF(X200&gt;7,0.25,0),0+IF(X200&gt;7,0.25))))+IF(AA200="-",0,IF(AA200&gt;9,0.5,IF(AA200&gt;7,0.25,0)))+IF(AB200="-",0,IF(AB200&gt;7,1.1,IF(AB200&gt;4,0.6,0)))+IF(OR(AC200="-",V200&lt;5),0,IF(AC200&gt;7,1+IF(V200&gt;7,0.25,0),IF(AC200&gt;4,0.5+IF(V200&gt;7,0.25,0),0)))+IF(AD200="-",0,IF(AD200&gt;7,1.5,IF(AD200&gt;4,1,0)))+IF(AE200="-",0,IF(AE200&gt;9,0.5,IF(AE200&gt;7,0.25,0)))+IF(AF200="-",0,IF(AF200&gt;7,1.25,IF(AF200&gt;4,0.75,0)))+IF(OR(AG200="-",W200&lt;4),0,IF(AG200&gt;7,1+IF(W200&gt;7,0.15,0),IF(AG200&gt;4,0.5+IF(W200&gt;7,0.15,0),0))))</f>
        <v>1</v>
      </c>
      <c r="AQ200" s="46">
        <f>($AM$3*AM200+$AN$3*AN200+$AO$3*AO200+$AP$3*AP200)+$I$3*VLOOKUP(I200,COND!$A$2:$E$7,4,FALSE)+$J$3*VLOOKUP(J200,COND!$A$2:$C$7,2,FALSE)+$K$3*VLOOKUP(K200,COND!$A$2:$C$7,3,FALSE)+IF(AND($B$2&gt;0,$E200&lt;20),$B$2*25,0)</f>
        <v>41.975209374281775</v>
      </c>
      <c r="AR200" s="49">
        <f>STANDARDIZE(AQ200,AVERAGE($AQ$5:$AQ$537),STDEVP($AQ$5:$AQ$537))</f>
        <v>0.28625315345264296</v>
      </c>
      <c r="AS200" s="47" t="str">
        <f>IF(AND(Z200&lt;&gt;"-",Y200&gt;1),"C",IF(AB200=MAX(AB200:AD200),"2B",IF(AD200=MAX(AB200:AD200),"SS",IF(OR(AC200=MAX(AA200:AD200),AND(AC200&lt;&gt;"-",AC200&gt;4,V200&gt;5)),"3B",IF(AF200=MAX(AE200:AG200),"CF",IF(AND(AG200=MAX(AE200,AG200),AND(W200&gt;5,AG200&lt;&gt;"-")),"RF",IF(AE200&lt;&gt;"-","LF",IF(AA200&lt;&gt;"-","1B","DH"))))))))</f>
        <v>SS</v>
      </c>
      <c r="AT200" s="47"/>
      <c r="AU200" s="47"/>
      <c r="AV200" s="47"/>
      <c r="AW200" s="47" t="str">
        <f>IF(AND($Q200&gt;=6,AVERAGE($S200:$T200)&gt;=6),"Likely",IF(OR($Q200&gt;6,AND($Q200=6,AVERAGE($S200:$T200)&gt;=3),AND($Q200&gt;=5,AVERAGE($S200:$T200)&gt;=5),AVERAGE($Q200,$S200:$T200)&gt;5),"Possible","Unlikely"))</f>
        <v>Unlikely</v>
      </c>
      <c r="AX200" s="47"/>
      <c r="AY200" s="47" t="str">
        <f>INDEX(Table5[[#All],[Ovr]],MATCH(Batters[[#This Row],[PID]],Table5[[#All],[PID]],0))</f>
        <v/>
      </c>
      <c r="AZ200" s="47" t="str">
        <f>INDEX(Table5[[#All],[Rnd]],MATCH(Batters[[#This Row],[PID]],Table5[[#All],[PID]],0))</f>
        <v/>
      </c>
      <c r="BA200" s="47" t="str">
        <f>INDEX(Table5[[#All],[Pick]],MATCH(Batters[[#This Row],[PID]],Table5[[#All],[PID]],0))</f>
        <v/>
      </c>
      <c r="BB200" s="47" t="str">
        <f>INDEX(Table5[[#All],[Team]],MATCH(Batters[[#This Row],[PID]],Table5[[#All],[PID]],0))</f>
        <v/>
      </c>
    </row>
    <row r="201" spans="1:54" ht="15" customHeight="1" x14ac:dyDescent="0.25">
      <c r="A201" s="42">
        <v>11231</v>
      </c>
      <c r="B201" s="42" t="s">
        <v>87</v>
      </c>
      <c r="C201" s="42" t="s">
        <v>674</v>
      </c>
      <c r="D201" s="42" t="s">
        <v>1295</v>
      </c>
      <c r="E201" s="42">
        <v>18</v>
      </c>
      <c r="F201" s="42" t="s">
        <v>42</v>
      </c>
      <c r="G201" s="42" t="s">
        <v>42</v>
      </c>
      <c r="H201" s="43" t="s">
        <v>711</v>
      </c>
      <c r="I201" s="44" t="s">
        <v>43</v>
      </c>
      <c r="J201" s="42" t="s">
        <v>47</v>
      </c>
      <c r="K201" s="43" t="s">
        <v>43</v>
      </c>
      <c r="L201" s="42">
        <v>1</v>
      </c>
      <c r="M201" s="42">
        <v>1</v>
      </c>
      <c r="N201" s="42">
        <v>2</v>
      </c>
      <c r="O201" s="42">
        <v>1</v>
      </c>
      <c r="P201" s="43">
        <v>1</v>
      </c>
      <c r="Q201" s="42">
        <v>3</v>
      </c>
      <c r="R201" s="42">
        <v>3</v>
      </c>
      <c r="S201" s="42">
        <v>4</v>
      </c>
      <c r="T201" s="42">
        <v>4</v>
      </c>
      <c r="U201" s="43">
        <v>3</v>
      </c>
      <c r="V201" s="42">
        <v>3</v>
      </c>
      <c r="W201" s="42">
        <v>2</v>
      </c>
      <c r="X201" s="42">
        <v>1</v>
      </c>
      <c r="Y201" s="43">
        <v>1</v>
      </c>
      <c r="Z201" s="42" t="s">
        <v>45</v>
      </c>
      <c r="AA201" s="42">
        <v>2</v>
      </c>
      <c r="AB201" s="42" t="s">
        <v>45</v>
      </c>
      <c r="AC201" s="42" t="s">
        <v>45</v>
      </c>
      <c r="AD201" s="42" t="s">
        <v>45</v>
      </c>
      <c r="AE201" s="42" t="s">
        <v>45</v>
      </c>
      <c r="AF201" s="42" t="s">
        <v>45</v>
      </c>
      <c r="AG201" s="43" t="s">
        <v>45</v>
      </c>
      <c r="AH201" s="42">
        <v>3</v>
      </c>
      <c r="AI201" s="42">
        <v>4</v>
      </c>
      <c r="AJ201" s="43">
        <v>5</v>
      </c>
      <c r="AK201" s="45" t="s">
        <v>428</v>
      </c>
      <c r="AL201" s="45" t="s">
        <v>705</v>
      </c>
      <c r="AM201" s="46">
        <f>($L$3*(L201-$Q$1)/$Q$2+$M$3*(M201-$R$1)/$R$2+$N$3*(N201-$S$1)/$S$2+$O$3*(O201-$T$1)/$T$2+$P$3*(P201-$U$1)/$U$2)/(SUM($L$3:$P$3))</f>
        <v>-2.0012818558036707</v>
      </c>
      <c r="AN201" s="46">
        <f>($L$3*(Q201-$Q$1)/$Q$2+$M$3*(R201-$R$1)/$R$2+$N$3*(S201-$S$1)/$S$2+$O$3*(T201-$T$1)/$T$2+$P$3*(U201-$U$1)/$U$2)/(SUM($L$3:$P$3))</f>
        <v>-0.73876610645020102</v>
      </c>
      <c r="AO201" s="47">
        <f>IF(AVERAGE(AH201:AI201)&gt;9,1,0)+IF(AVERAGE(AH201:AI201)&gt;7,1,0)+IF(AH201&gt;7,1,0)+IF(AI201&gt;7,1,0)+IF(AJ201&gt;8,1,0)+IF(AJ201&gt;6,1,0)</f>
        <v>0</v>
      </c>
      <c r="AP201" s="48">
        <f>MIN(2,IF(OR(Z201="-",X201&lt;5),0,1+IF(Y201&gt;7,0.35,IF(Y201&gt;5,0.1,0))+IF(Z201&gt;7,1+IF(X201&gt;7,0.25,0),IF(Z201&gt;4,0.5+IF(X201&gt;7,0.25,0),0+IF(X201&gt;7,0.25))))+IF(AA201="-",0,IF(AA201&gt;9,0.5,IF(AA201&gt;7,0.25,0)))+IF(AB201="-",0,IF(AB201&gt;7,1.1,IF(AB201&gt;4,0.6,0)))+IF(OR(AC201="-",V201&lt;5),0,IF(AC201&gt;7,1+IF(V201&gt;7,0.25,0),IF(AC201&gt;4,0.5+IF(V201&gt;7,0.25,0),0)))+IF(AD201="-",0,IF(AD201&gt;7,1.5,IF(AD201&gt;4,1,0)))+IF(AE201="-",0,IF(AE201&gt;9,0.5,IF(AE201&gt;7,0.25,0)))+IF(AF201="-",0,IF(AF201&gt;7,1.25,IF(AF201&gt;4,0.75,0)))+IF(OR(AG201="-",W201&lt;4),0,IF(AG201&gt;7,1+IF(W201&gt;7,0.15,0),IF(AG201&gt;4,0.5+IF(W201&gt;7,0.15,0),0))))</f>
        <v>0</v>
      </c>
      <c r="AQ201" s="46">
        <f>($AM$3*AM201+$AN$3*AN201+$AO$3*AO201+$AP$3*AP201)+$I$3*VLOOKUP(I201,COND!$A$2:$E$7,4,FALSE)+$J$3*VLOOKUP(J201,COND!$A$2:$C$7,2,FALSE)+$K$3*VLOOKUP(K201,COND!$A$2:$C$7,3,FALSE)+IF(AND($B$2&gt;0,$E201&lt;20),$B$2*25,0)</f>
        <v>41.234678537017224</v>
      </c>
      <c r="AR201" s="49">
        <f>STANDARDIZE(AQ201,AVERAGE($AQ$5:$AQ$537),STDEVP($AQ$5:$AQ$537))</f>
        <v>0.15596167442855016</v>
      </c>
      <c r="AS201" s="47" t="str">
        <f>IF(AND(Z201&lt;&gt;"-",Y201&gt;1),"C",IF(AB201=MAX(AB201:AD201),"2B",IF(AD201=MAX(AB201:AD201),"SS",IF(OR(AC201=MAX(AA201:AD201),AND(AC201&lt;&gt;"-",AC201&gt;4,V201&gt;5)),"3B",IF(AF201=MAX(AE201:AG201),"CF",IF(AND(AG201=MAX(AE201,AG201),AND(W201&gt;5,AG201&lt;&gt;"-")),"RF",IF(AE201&lt;&gt;"-","LF",IF(AA201&lt;&gt;"-","1B","DH"))))))))</f>
        <v>1B</v>
      </c>
      <c r="AT201" s="47"/>
      <c r="AU201" s="47"/>
      <c r="AV201" s="47"/>
      <c r="AW201" s="47" t="str">
        <f>IF(AND($Q201&gt;=6,AVERAGE($S201:$T201)&gt;=6),"Likely",IF(OR($Q201&gt;6,AND($Q201=6,AVERAGE($S201:$T201)&gt;=3),AND($Q201&gt;=5,AVERAGE($S201:$T201)&gt;=5),AVERAGE($Q201,$S201:$T201)&gt;5),"Possible","Unlikely"))</f>
        <v>Unlikely</v>
      </c>
      <c r="AX201" s="47"/>
      <c r="AY201" s="47" t="str">
        <f>INDEX(Table5[[#All],[Ovr]],MATCH(Batters[[#This Row],[PID]],Table5[[#All],[PID]],0))</f>
        <v/>
      </c>
      <c r="AZ201" s="47" t="str">
        <f>INDEX(Table5[[#All],[Rnd]],MATCH(Batters[[#This Row],[PID]],Table5[[#All],[PID]],0))</f>
        <v/>
      </c>
      <c r="BA201" s="47" t="str">
        <f>INDEX(Table5[[#All],[Pick]],MATCH(Batters[[#This Row],[PID]],Table5[[#All],[PID]],0))</f>
        <v/>
      </c>
      <c r="BB201" s="47" t="str">
        <f>INDEX(Table5[[#All],[Team]],MATCH(Batters[[#This Row],[PID]],Table5[[#All],[PID]],0))</f>
        <v/>
      </c>
    </row>
    <row r="202" spans="1:54" ht="15" customHeight="1" x14ac:dyDescent="0.25">
      <c r="A202" s="42">
        <v>6790</v>
      </c>
      <c r="B202" s="42" t="s">
        <v>50</v>
      </c>
      <c r="C202" s="42" t="s">
        <v>1095</v>
      </c>
      <c r="D202" s="42" t="s">
        <v>643</v>
      </c>
      <c r="E202" s="42">
        <v>20</v>
      </c>
      <c r="F202" s="42" t="s">
        <v>42</v>
      </c>
      <c r="G202" s="42" t="s">
        <v>53</v>
      </c>
      <c r="H202" s="43" t="s">
        <v>709</v>
      </c>
      <c r="I202" s="44" t="s">
        <v>44</v>
      </c>
      <c r="J202" s="42" t="s">
        <v>43</v>
      </c>
      <c r="K202" s="43" t="s">
        <v>44</v>
      </c>
      <c r="L202" s="42">
        <v>3</v>
      </c>
      <c r="M202" s="42">
        <v>4</v>
      </c>
      <c r="N202" s="42">
        <v>3</v>
      </c>
      <c r="O202" s="42">
        <v>3</v>
      </c>
      <c r="P202" s="43">
        <v>5</v>
      </c>
      <c r="Q202" s="42">
        <v>4</v>
      </c>
      <c r="R202" s="42">
        <v>4</v>
      </c>
      <c r="S202" s="42">
        <v>4</v>
      </c>
      <c r="T202" s="42">
        <v>5</v>
      </c>
      <c r="U202" s="43">
        <v>6</v>
      </c>
      <c r="V202" s="42">
        <v>6</v>
      </c>
      <c r="W202" s="42">
        <v>6</v>
      </c>
      <c r="X202" s="42">
        <v>1</v>
      </c>
      <c r="Y202" s="43">
        <v>1</v>
      </c>
      <c r="Z202" s="42" t="s">
        <v>45</v>
      </c>
      <c r="AA202" s="42">
        <v>2</v>
      </c>
      <c r="AB202" s="42" t="s">
        <v>45</v>
      </c>
      <c r="AC202" s="42" t="s">
        <v>45</v>
      </c>
      <c r="AD202" s="42" t="s">
        <v>45</v>
      </c>
      <c r="AE202" s="42">
        <v>1</v>
      </c>
      <c r="AF202" s="42" t="s">
        <v>45</v>
      </c>
      <c r="AG202" s="43" t="s">
        <v>45</v>
      </c>
      <c r="AH202" s="42">
        <v>3</v>
      </c>
      <c r="AI202" s="42">
        <v>5</v>
      </c>
      <c r="AJ202" s="43">
        <v>4</v>
      </c>
      <c r="AK202" s="45" t="s">
        <v>45</v>
      </c>
      <c r="AL202" s="45" t="s">
        <v>47</v>
      </c>
      <c r="AM202" s="46">
        <f>($L$3*(L202-$Q$1)/$Q$2+$M$3*(M202-$R$1)/$R$2+$N$3*(N202-$S$1)/$S$2+$O$3*(O202-$T$1)/$T$2+$P$3*(P202-$U$1)/$U$2)/(SUM($L$3:$P$3))</f>
        <v>-0.78044459123081322</v>
      </c>
      <c r="AN202" s="46">
        <f>($L$3*(Q202-$Q$1)/$Q$2+$M$3*(R202-$R$1)/$R$2+$N$3*(S202-$S$1)/$S$2+$O$3*(T202-$T$1)/$T$2+$P$3*(U202-$U$1)/$U$2)/(SUM($L$3:$P$3))</f>
        <v>-0.15539182116799147</v>
      </c>
      <c r="AO202" s="47">
        <f>IF(AVERAGE(AH202:AI202)&gt;9,1,0)+IF(AVERAGE(AH202:AI202)&gt;7,1,0)+IF(AH202&gt;7,1,0)+IF(AI202&gt;7,1,0)+IF(AJ202&gt;8,1,0)+IF(AJ202&gt;6,1,0)</f>
        <v>0</v>
      </c>
      <c r="AP202" s="48">
        <f>MIN(2,IF(OR(Z202="-",X202&lt;5),0,1+IF(Y202&gt;7,0.35,IF(Y202&gt;5,0.1,0))+IF(Z202&gt;7,1+IF(X202&gt;7,0.25,0),IF(Z202&gt;4,0.5+IF(X202&gt;7,0.25,0),0+IF(X202&gt;7,0.25))))+IF(AA202="-",0,IF(AA202&gt;9,0.5,IF(AA202&gt;7,0.25,0)))+IF(AB202="-",0,IF(AB202&gt;7,1.1,IF(AB202&gt;4,0.6,0)))+IF(OR(AC202="-",V202&lt;5),0,IF(AC202&gt;7,1+IF(V202&gt;7,0.25,0),IF(AC202&gt;4,0.5+IF(V202&gt;7,0.25,0),0)))+IF(AD202="-",0,IF(AD202&gt;7,1.5,IF(AD202&gt;4,1,0)))+IF(AE202="-",0,IF(AE202&gt;9,0.5,IF(AE202&gt;7,0.25,0)))+IF(AF202="-",0,IF(AF202&gt;7,1.25,IF(AF202&gt;4,0.75,0)))+IF(OR(AG202="-",W202&lt;4),0,IF(AG202&gt;7,1+IF(W202&gt;7,0.15,0),IF(AG202&gt;4,0.5+IF(W202&gt;7,0.15,0),0))))</f>
        <v>0</v>
      </c>
      <c r="AQ202" s="46">
        <f>($AM$3*AM202+$AN$3*AN202+$AO$3*AO202+$AP$3*AP202)+$I$3*VLOOKUP(I202,COND!$A$2:$E$7,4,FALSE)+$J$3*VLOOKUP(J202,COND!$A$2:$C$7,2,FALSE)+$K$3*VLOOKUP(K202,COND!$A$2:$C$7,3,FALSE)+IF(AND($B$2&gt;0,$E202&lt;20),$B$2*25,0)</f>
        <v>42.607253686861014</v>
      </c>
      <c r="AR202" s="49">
        <f>STANDARDIZE(AQ202,AVERAGE($AQ$5:$AQ$537),STDEVP($AQ$5:$AQ$537))</f>
        <v>0.39745714949271066</v>
      </c>
      <c r="AS202" s="47" t="str">
        <f>IF(AND(Z202&lt;&gt;"-",Y202&gt;1),"C",IF(AB202=MAX(AB202:AD202),"2B",IF(AD202=MAX(AB202:AD202),"SS",IF(OR(AC202=MAX(AA202:AD202),AND(AC202&lt;&gt;"-",AC202&gt;4,V202&gt;5)),"3B",IF(AF202=MAX(AE202:AG202),"CF",IF(AND(AG202=MAX(AE202,AG202),AND(W202&gt;5,AG202&lt;&gt;"-")),"RF",IF(AE202&lt;&gt;"-","LF",IF(AA202&lt;&gt;"-","1B","DH"))))))))</f>
        <v>LF</v>
      </c>
      <c r="AT202" s="47"/>
      <c r="AU202" s="47"/>
      <c r="AV202" s="47"/>
      <c r="AW202" s="47" t="str">
        <f>IF(AND($Q202&gt;=6,AVERAGE($S202:$T202)&gt;=6),"Likely",IF(OR($Q202&gt;6,AND($Q202=6,AVERAGE($S202:$T202)&gt;=3),AND($Q202&gt;=5,AVERAGE($S202:$T202)&gt;=5),AVERAGE($Q202,$S202:$T202)&gt;5),"Possible","Unlikely"))</f>
        <v>Unlikely</v>
      </c>
      <c r="AX202" s="47"/>
      <c r="AY202" s="47" t="str">
        <f>INDEX(Table5[[#All],[Ovr]],MATCH(Batters[[#This Row],[PID]],Table5[[#All],[PID]],0))</f>
        <v/>
      </c>
      <c r="AZ202" s="47" t="str">
        <f>INDEX(Table5[[#All],[Rnd]],MATCH(Batters[[#This Row],[PID]],Table5[[#All],[PID]],0))</f>
        <v/>
      </c>
      <c r="BA202" s="47" t="str">
        <f>INDEX(Table5[[#All],[Pick]],MATCH(Batters[[#This Row],[PID]],Table5[[#All],[PID]],0))</f>
        <v/>
      </c>
      <c r="BB202" s="47" t="str">
        <f>INDEX(Table5[[#All],[Team]],MATCH(Batters[[#This Row],[PID]],Table5[[#All],[PID]],0))</f>
        <v/>
      </c>
    </row>
    <row r="203" spans="1:54" ht="15" customHeight="1" x14ac:dyDescent="0.25">
      <c r="A203" s="42">
        <v>7403</v>
      </c>
      <c r="B203" s="42" t="s">
        <v>87</v>
      </c>
      <c r="C203" s="42" t="s">
        <v>679</v>
      </c>
      <c r="D203" s="42" t="s">
        <v>1084</v>
      </c>
      <c r="E203" s="42">
        <v>21</v>
      </c>
      <c r="F203" s="42" t="s">
        <v>42</v>
      </c>
      <c r="G203" s="42" t="s">
        <v>42</v>
      </c>
      <c r="H203" s="43" t="s">
        <v>709</v>
      </c>
      <c r="I203" s="44" t="s">
        <v>44</v>
      </c>
      <c r="J203" s="42" t="s">
        <v>43</v>
      </c>
      <c r="K203" s="43" t="s">
        <v>43</v>
      </c>
      <c r="L203" s="42">
        <v>2</v>
      </c>
      <c r="M203" s="42">
        <v>3</v>
      </c>
      <c r="N203" s="42">
        <v>3</v>
      </c>
      <c r="O203" s="42">
        <v>3</v>
      </c>
      <c r="P203" s="43">
        <v>2</v>
      </c>
      <c r="Q203" s="42">
        <v>4</v>
      </c>
      <c r="R203" s="42">
        <v>4</v>
      </c>
      <c r="S203" s="42">
        <v>4</v>
      </c>
      <c r="T203" s="42">
        <v>5</v>
      </c>
      <c r="U203" s="43">
        <v>4</v>
      </c>
      <c r="V203" s="42">
        <v>2</v>
      </c>
      <c r="W203" s="42">
        <v>2</v>
      </c>
      <c r="X203" s="42">
        <v>1</v>
      </c>
      <c r="Y203" s="43">
        <v>1</v>
      </c>
      <c r="Z203" s="42" t="s">
        <v>45</v>
      </c>
      <c r="AA203" s="42">
        <v>3</v>
      </c>
      <c r="AB203" s="42" t="s">
        <v>45</v>
      </c>
      <c r="AC203" s="42" t="s">
        <v>45</v>
      </c>
      <c r="AD203" s="42" t="s">
        <v>45</v>
      </c>
      <c r="AE203" s="42" t="s">
        <v>45</v>
      </c>
      <c r="AF203" s="42" t="s">
        <v>45</v>
      </c>
      <c r="AG203" s="43" t="s">
        <v>45</v>
      </c>
      <c r="AH203" s="42">
        <v>2</v>
      </c>
      <c r="AI203" s="42">
        <v>1</v>
      </c>
      <c r="AJ203" s="43">
        <v>1</v>
      </c>
      <c r="AK203" s="45" t="s">
        <v>45</v>
      </c>
      <c r="AL203" s="45" t="s">
        <v>705</v>
      </c>
      <c r="AM203" s="46">
        <f>($L$3*(L203-$Q$1)/$Q$2+$M$3*(M203-$R$1)/$R$2+$N$3*(N203-$S$1)/$S$2+$O$3*(O203-$T$1)/$T$2+$P$3*(P203-$U$1)/$U$2)/(SUM($L$3:$P$3))</f>
        <v>-1.2741093265034418</v>
      </c>
      <c r="AN203" s="46">
        <f>($L$3*(Q203-$Q$1)/$Q$2+$M$3*(R203-$R$1)/$R$2+$N$3*(S203-$S$1)/$S$2+$O$3*(T203-$T$1)/$T$2+$P$3*(U203-$U$1)/$U$2)/(SUM($L$3:$P$3))</f>
        <v>-0.23542450080215838</v>
      </c>
      <c r="AO203" s="47">
        <f>IF(AVERAGE(AH203:AI203)&gt;9,1,0)+IF(AVERAGE(AH203:AI203)&gt;7,1,0)+IF(AH203&gt;7,1,0)+IF(AI203&gt;7,1,0)+IF(AJ203&gt;8,1,0)+IF(AJ203&gt;6,1,0)</f>
        <v>0</v>
      </c>
      <c r="AP203" s="48">
        <f>MIN(2,IF(OR(Z203="-",X203&lt;5),0,1+IF(Y203&gt;7,0.35,IF(Y203&gt;5,0.1,0))+IF(Z203&gt;7,1+IF(X203&gt;7,0.25,0),IF(Z203&gt;4,0.5+IF(X203&gt;7,0.25,0),0+IF(X203&gt;7,0.25))))+IF(AA203="-",0,IF(AA203&gt;9,0.5,IF(AA203&gt;7,0.25,0)))+IF(AB203="-",0,IF(AB203&gt;7,1.1,IF(AB203&gt;4,0.6,0)))+IF(OR(AC203="-",V203&lt;5),0,IF(AC203&gt;7,1+IF(V203&gt;7,0.25,0),IF(AC203&gt;4,0.5+IF(V203&gt;7,0.25,0),0)))+IF(AD203="-",0,IF(AD203&gt;7,1.5,IF(AD203&gt;4,1,0)))+IF(AE203="-",0,IF(AE203&gt;9,0.5,IF(AE203&gt;7,0.25,0)))+IF(AF203="-",0,IF(AF203&gt;7,1.25,IF(AF203&gt;4,0.75,0)))+IF(OR(AG203="-",W203&lt;4),0,IF(AG203&gt;7,1+IF(W203&gt;7,0.15,0),IF(AG203&gt;4,0.5+IF(W203&gt;7,0.15,0),0))))</f>
        <v>0</v>
      </c>
      <c r="AQ203" s="46">
        <f>($AM$3*AM203+$AN$3*AN203+$AO$3*AO203+$AP$3*AP203)+$I$3*VLOOKUP(I203,COND!$A$2:$E$7,4,FALSE)+$J$3*VLOOKUP(J203,COND!$A$2:$C$7,2,FALSE)+$K$3*VLOOKUP(K203,COND!$A$2:$C$7,3,FALSE)+IF(AND($B$2&gt;0,$E203&lt;20),$B$2*25,0)</f>
        <v>41.897495057723759</v>
      </c>
      <c r="AR203" s="49">
        <f>STANDARDIZE(AQ203,AVERAGE($AQ$5:$AQ$537),STDEVP($AQ$5:$AQ$537))</f>
        <v>0.27257983596718471</v>
      </c>
      <c r="AS203" s="47" t="str">
        <f>IF(AND(Z203&lt;&gt;"-",Y203&gt;1),"C",IF(AB203=MAX(AB203:AD203),"2B",IF(AD203=MAX(AB203:AD203),"SS",IF(OR(AC203=MAX(AA203:AD203),AND(AC203&lt;&gt;"-",AC203&gt;4,V203&gt;5)),"3B",IF(AF203=MAX(AE203:AG203),"CF",IF(AND(AG203=MAX(AE203,AG203),AND(W203&gt;5,AG203&lt;&gt;"-")),"RF",IF(AE203&lt;&gt;"-","LF",IF(AA203&lt;&gt;"-","1B","DH"))))))))</f>
        <v>1B</v>
      </c>
      <c r="AT203" s="47"/>
      <c r="AU203" s="47"/>
      <c r="AV203" s="47"/>
      <c r="AW203" s="47" t="str">
        <f>IF(AND($Q203&gt;=6,AVERAGE($S203:$T203)&gt;=6),"Likely",IF(OR($Q203&gt;6,AND($Q203=6,AVERAGE($S203:$T203)&gt;=3),AND($Q203&gt;=5,AVERAGE($S203:$T203)&gt;=5),AVERAGE($Q203,$S203:$T203)&gt;5),"Possible","Unlikely"))</f>
        <v>Unlikely</v>
      </c>
      <c r="AX203" s="47"/>
      <c r="AY203" s="47" t="str">
        <f>INDEX(Table5[[#All],[Ovr]],MATCH(Batters[[#This Row],[PID]],Table5[[#All],[PID]],0))</f>
        <v/>
      </c>
      <c r="AZ203" s="47" t="str">
        <f>INDEX(Table5[[#All],[Rnd]],MATCH(Batters[[#This Row],[PID]],Table5[[#All],[PID]],0))</f>
        <v/>
      </c>
      <c r="BA203" s="47" t="str">
        <f>INDEX(Table5[[#All],[Pick]],MATCH(Batters[[#This Row],[PID]],Table5[[#All],[PID]],0))</f>
        <v/>
      </c>
      <c r="BB203" s="47" t="str">
        <f>INDEX(Table5[[#All],[Team]],MATCH(Batters[[#This Row],[PID]],Table5[[#All],[PID]],0))</f>
        <v/>
      </c>
    </row>
    <row r="204" spans="1:54" ht="15" customHeight="1" x14ac:dyDescent="0.25">
      <c r="A204" s="42">
        <v>6208</v>
      </c>
      <c r="B204" s="42" t="s">
        <v>86</v>
      </c>
      <c r="C204" s="42" t="s">
        <v>139</v>
      </c>
      <c r="D204" s="42" t="s">
        <v>1273</v>
      </c>
      <c r="E204" s="42">
        <v>18</v>
      </c>
      <c r="F204" s="42" t="s">
        <v>42</v>
      </c>
      <c r="G204" s="42" t="s">
        <v>42</v>
      </c>
      <c r="H204" s="43" t="s">
        <v>709</v>
      </c>
      <c r="I204" s="44" t="s">
        <v>44</v>
      </c>
      <c r="J204" s="42" t="s">
        <v>43</v>
      </c>
      <c r="K204" s="43" t="s">
        <v>43</v>
      </c>
      <c r="L204" s="42">
        <v>1</v>
      </c>
      <c r="M204" s="42">
        <v>2</v>
      </c>
      <c r="N204" s="42">
        <v>3</v>
      </c>
      <c r="O204" s="42">
        <v>2</v>
      </c>
      <c r="P204" s="43">
        <v>1</v>
      </c>
      <c r="Q204" s="42">
        <v>3</v>
      </c>
      <c r="R204" s="42">
        <v>3</v>
      </c>
      <c r="S204" s="42">
        <v>4</v>
      </c>
      <c r="T204" s="42">
        <v>5</v>
      </c>
      <c r="U204" s="43">
        <v>3</v>
      </c>
      <c r="V204" s="42">
        <v>2</v>
      </c>
      <c r="W204" s="42">
        <v>1</v>
      </c>
      <c r="X204" s="42">
        <v>7</v>
      </c>
      <c r="Y204" s="43">
        <v>5</v>
      </c>
      <c r="Z204" s="42" t="s">
        <v>45</v>
      </c>
      <c r="AA204" s="42" t="s">
        <v>45</v>
      </c>
      <c r="AB204" s="42" t="s">
        <v>45</v>
      </c>
      <c r="AC204" s="42" t="s">
        <v>45</v>
      </c>
      <c r="AD204" s="42" t="s">
        <v>45</v>
      </c>
      <c r="AE204" s="42" t="s">
        <v>45</v>
      </c>
      <c r="AF204" s="42" t="s">
        <v>45</v>
      </c>
      <c r="AG204" s="43" t="s">
        <v>45</v>
      </c>
      <c r="AH204" s="42">
        <v>1</v>
      </c>
      <c r="AI204" s="42">
        <v>2</v>
      </c>
      <c r="AJ204" s="43">
        <v>1</v>
      </c>
      <c r="AK204" s="45" t="s">
        <v>734</v>
      </c>
      <c r="AL204" s="45" t="s">
        <v>47</v>
      </c>
      <c r="AM204" s="46">
        <f>($L$3*(L204-$Q$1)/$Q$2+$M$3*(M204-$R$1)/$R$2+$N$3*(N204-$S$1)/$S$2+$O$3*(O204-$T$1)/$T$2+$P$3*(P204-$U$1)/$U$2)/(SUM($L$3:$P$3))</f>
        <v>-1.7774509321514844</v>
      </c>
      <c r="AN204" s="46">
        <f>($L$3*(Q204-$Q$1)/$Q$2+$M$3*(R204-$R$1)/$R$2+$N$3*(S204-$S$1)/$S$2+$O$3*(T204-$T$1)/$T$2+$P$3*(U204-$U$1)/$U$2)/(SUM($L$3:$P$3))</f>
        <v>-0.64905655644061999</v>
      </c>
      <c r="AO204" s="47">
        <f>IF(AVERAGE(AH204:AI204)&gt;9,1,0)+IF(AVERAGE(AH204:AI204)&gt;7,1,0)+IF(AH204&gt;7,1,0)+IF(AI204&gt;7,1,0)+IF(AJ204&gt;8,1,0)+IF(AJ204&gt;6,1,0)</f>
        <v>0</v>
      </c>
      <c r="AP204" s="48">
        <f>MIN(2,IF(OR(Z204="-",X204&lt;5),0,1+IF(Y204&gt;7,0.35,IF(Y204&gt;5,0.1,0))+IF(Z204&gt;7,1+IF(X204&gt;7,0.25,0),IF(Z204&gt;4,0.5+IF(X204&gt;7,0.25,0),0+IF(X204&gt;7,0.25))))+IF(AA204="-",0,IF(AA204&gt;9,0.5,IF(AA204&gt;7,0.25,0)))+IF(AB204="-",0,IF(AB204&gt;7,1.1,IF(AB204&gt;4,0.6,0)))+IF(OR(AC204="-",V204&lt;5),0,IF(AC204&gt;7,1+IF(V204&gt;7,0.25,0),IF(AC204&gt;4,0.5+IF(V204&gt;7,0.25,0),0)))+IF(AD204="-",0,IF(AD204&gt;7,1.5,IF(AD204&gt;4,1,0)))+IF(AE204="-",0,IF(AE204&gt;9,0.5,IF(AE204&gt;7,0.25,0)))+IF(AF204="-",0,IF(AF204&gt;7,1.25,IF(AF204&gt;4,0.75,0)))+IF(OR(AG204="-",W204&lt;4),0,IF(AG204&gt;7,1+IF(W204&gt;7,0.15,0),IF(AG204&gt;4,0.5+IF(W204&gt;7,0.15,0),0))))</f>
        <v>0</v>
      </c>
      <c r="AQ204" s="46">
        <f>($AM$3*AM204+$AN$3*AN204+$AO$3*AO204+$AP$3*AP204)+$I$3*VLOOKUP(I204,COND!$A$2:$E$7,4,FALSE)+$J$3*VLOOKUP(J204,COND!$A$2:$C$7,2,FALSE)+$K$3*VLOOKUP(K204,COND!$A$2:$C$7,3,FALSE)+IF(AND($B$2&gt;0,$E204&lt;20),$B$2*25,0)</f>
        <v>41.883576229497407</v>
      </c>
      <c r="AR204" s="49">
        <f>STANDARDIZE(AQ204,AVERAGE($AQ$5:$AQ$537),STDEVP($AQ$5:$AQ$537))</f>
        <v>0.27013091064951317</v>
      </c>
      <c r="AS204" s="47" t="str">
        <f>IF(AND(Z204&lt;&gt;"-",Y204&gt;1),"C",IF(AB204=MAX(AB204:AD204),"2B",IF(AD204=MAX(AB204:AD204),"SS",IF(OR(AC204=MAX(AA204:AD204),AND(AC204&lt;&gt;"-",AC204&gt;4,V204&gt;5)),"3B",IF(AF204=MAX(AE204:AG204),"CF",IF(AND(AG204=MAX(AE204,AG204),AND(W204&gt;5,AG204&lt;&gt;"-")),"RF",IF(AE204&lt;&gt;"-","LF",IF(AA204&lt;&gt;"-","1B","DH"))))))))</f>
        <v>DH</v>
      </c>
      <c r="AT204" s="47"/>
      <c r="AU204" s="47"/>
      <c r="AV204" s="47"/>
      <c r="AW204" s="47" t="str">
        <f>IF(AND($Q204&gt;=6,AVERAGE($S204:$T204)&gt;=6),"Likely",IF(OR($Q204&gt;6,AND($Q204=6,AVERAGE($S204:$T204)&gt;=3),AND($Q204&gt;=5,AVERAGE($S204:$T204)&gt;=5),AVERAGE($Q204,$S204:$T204)&gt;5),"Possible","Unlikely"))</f>
        <v>Unlikely</v>
      </c>
      <c r="AX204" s="47"/>
      <c r="AY204" s="47" t="str">
        <f>INDEX(Table5[[#All],[Ovr]],MATCH(Batters[[#This Row],[PID]],Table5[[#All],[PID]],0))</f>
        <v/>
      </c>
      <c r="AZ204" s="47" t="str">
        <f>INDEX(Table5[[#All],[Rnd]],MATCH(Batters[[#This Row],[PID]],Table5[[#All],[PID]],0))</f>
        <v/>
      </c>
      <c r="BA204" s="47" t="str">
        <f>INDEX(Table5[[#All],[Pick]],MATCH(Batters[[#This Row],[PID]],Table5[[#All],[PID]],0))</f>
        <v/>
      </c>
      <c r="BB204" s="47" t="str">
        <f>INDEX(Table5[[#All],[Team]],MATCH(Batters[[#This Row],[PID]],Table5[[#All],[PID]],0))</f>
        <v/>
      </c>
    </row>
    <row r="205" spans="1:54" ht="15" customHeight="1" x14ac:dyDescent="0.25">
      <c r="A205" s="42">
        <v>11049</v>
      </c>
      <c r="B205" s="42" t="s">
        <v>87</v>
      </c>
      <c r="C205" s="42" t="s">
        <v>1274</v>
      </c>
      <c r="D205" s="42" t="s">
        <v>998</v>
      </c>
      <c r="E205" s="42">
        <v>18</v>
      </c>
      <c r="F205" s="42" t="s">
        <v>42</v>
      </c>
      <c r="G205" s="42" t="s">
        <v>53</v>
      </c>
      <c r="H205" s="43" t="s">
        <v>711</v>
      </c>
      <c r="I205" s="44" t="s">
        <v>47</v>
      </c>
      <c r="J205" s="42" t="s">
        <v>43</v>
      </c>
      <c r="K205" s="43" t="s">
        <v>43</v>
      </c>
      <c r="L205" s="42">
        <v>1</v>
      </c>
      <c r="M205" s="42">
        <v>1</v>
      </c>
      <c r="N205" s="42">
        <v>2</v>
      </c>
      <c r="O205" s="42">
        <v>1</v>
      </c>
      <c r="P205" s="43">
        <v>2</v>
      </c>
      <c r="Q205" s="42">
        <v>3</v>
      </c>
      <c r="R205" s="42">
        <v>3</v>
      </c>
      <c r="S205" s="42">
        <v>4</v>
      </c>
      <c r="T205" s="42">
        <v>4</v>
      </c>
      <c r="U205" s="43">
        <v>4</v>
      </c>
      <c r="V205" s="42">
        <v>2</v>
      </c>
      <c r="W205" s="42">
        <v>1</v>
      </c>
      <c r="X205" s="42">
        <v>1</v>
      </c>
      <c r="Y205" s="43">
        <v>1</v>
      </c>
      <c r="Z205" s="42" t="s">
        <v>45</v>
      </c>
      <c r="AA205" s="42">
        <v>3</v>
      </c>
      <c r="AB205" s="42" t="s">
        <v>45</v>
      </c>
      <c r="AC205" s="42" t="s">
        <v>45</v>
      </c>
      <c r="AD205" s="42" t="s">
        <v>45</v>
      </c>
      <c r="AE205" s="42" t="s">
        <v>45</v>
      </c>
      <c r="AF205" s="42" t="s">
        <v>45</v>
      </c>
      <c r="AG205" s="43" t="s">
        <v>45</v>
      </c>
      <c r="AH205" s="42">
        <v>2</v>
      </c>
      <c r="AI205" s="42">
        <v>7</v>
      </c>
      <c r="AJ205" s="43">
        <v>8</v>
      </c>
      <c r="AK205" s="45" t="s">
        <v>745</v>
      </c>
      <c r="AL205" s="45" t="s">
        <v>705</v>
      </c>
      <c r="AM205" s="46">
        <f>($L$3*(L205-$Q$1)/$Q$2+$M$3*(M205-$R$1)/$R$2+$N$3*(N205-$S$1)/$S$2+$O$3*(O205-$T$1)/$T$2+$P$3*(P205-$U$1)/$U$2)/(SUM($L$3:$P$3))</f>
        <v>-1.961265515986587</v>
      </c>
      <c r="AN205" s="46">
        <f>($L$3*(Q205-$Q$1)/$Q$2+$M$3*(R205-$R$1)/$R$2+$N$3*(S205-$S$1)/$S$2+$O$3*(T205-$T$1)/$T$2+$P$3*(U205-$U$1)/$U$2)/(SUM($L$3:$P$3))</f>
        <v>-0.6987497666331175</v>
      </c>
      <c r="AO205" s="47">
        <f>IF(AVERAGE(AH205:AI205)&gt;9,1,0)+IF(AVERAGE(AH205:AI205)&gt;7,1,0)+IF(AH205&gt;7,1,0)+IF(AI205&gt;7,1,0)+IF(AJ205&gt;8,1,0)+IF(AJ205&gt;6,1,0)</f>
        <v>1</v>
      </c>
      <c r="AP205" s="48">
        <f>MIN(2,IF(OR(Z205="-",X205&lt;5),0,1+IF(Y205&gt;7,0.35,IF(Y205&gt;5,0.1,0))+IF(Z205&gt;7,1+IF(X205&gt;7,0.25,0),IF(Z205&gt;4,0.5+IF(X205&gt;7,0.25,0),0+IF(X205&gt;7,0.25))))+IF(AA205="-",0,IF(AA205&gt;9,0.5,IF(AA205&gt;7,0.25,0)))+IF(AB205="-",0,IF(AB205&gt;7,1.1,IF(AB205&gt;4,0.6,0)))+IF(OR(AC205="-",V205&lt;5),0,IF(AC205&gt;7,1+IF(V205&gt;7,0.25,0),IF(AC205&gt;4,0.5+IF(V205&gt;7,0.25,0),0)))+IF(AD205="-",0,IF(AD205&gt;7,1.5,IF(AD205&gt;4,1,0)))+IF(AE205="-",0,IF(AE205&gt;9,0.5,IF(AE205&gt;7,0.25,0)))+IF(AF205="-",0,IF(AF205&gt;7,1.25,IF(AF205&gt;4,0.75,0)))+IF(OR(AG205="-",W205&lt;4),0,IF(AG205&gt;7,1+IF(W205&gt;7,0.15,0),IF(AG205&gt;4,0.5+IF(W205&gt;7,0.15,0),0))))</f>
        <v>0</v>
      </c>
      <c r="AQ205" s="46">
        <f>($AM$3*AM205+$AN$3*AN205+$AO$3*AO205+$AP$3*AP205)+$I$3*VLOOKUP(I205,COND!$A$2:$E$7,4,FALSE)+$J$3*VLOOKUP(J205,COND!$A$2:$C$7,2,FALSE)+$K$3*VLOOKUP(K205,COND!$A$2:$C$7,3,FALSE)+IF(AND($B$2&gt;0,$E205&lt;20),$B$2*25,0)</f>
        <v>41.810542915470592</v>
      </c>
      <c r="AR205" s="49">
        <f>STANDARDIZE(AQ205,AVERAGE($AQ$5:$AQ$537),STDEVP($AQ$5:$AQ$537))</f>
        <v>0.25728118444805664</v>
      </c>
      <c r="AS205" s="47" t="str">
        <f>IF(AND(Z205&lt;&gt;"-",Y205&gt;1),"C",IF(AB205=MAX(AB205:AD205),"2B",IF(AD205=MAX(AB205:AD205),"SS",IF(OR(AC205=MAX(AA205:AD205),AND(AC205&lt;&gt;"-",AC205&gt;4,V205&gt;5)),"3B",IF(AF205=MAX(AE205:AG205),"CF",IF(AND(AG205=MAX(AE205,AG205),AND(W205&gt;5,AG205&lt;&gt;"-")),"RF",IF(AE205&lt;&gt;"-","LF",IF(AA205&lt;&gt;"-","1B","DH"))))))))</f>
        <v>1B</v>
      </c>
      <c r="AT205" s="47"/>
      <c r="AU205" s="47"/>
      <c r="AV205" s="47"/>
      <c r="AW205" s="47" t="str">
        <f>IF(AND($Q205&gt;=6,AVERAGE($S205:$T205)&gt;=6),"Likely",IF(OR($Q205&gt;6,AND($Q205=6,AVERAGE($S205:$T205)&gt;=3),AND($Q205&gt;=5,AVERAGE($S205:$T205)&gt;=5),AVERAGE($Q205,$S205:$T205)&gt;5),"Possible","Unlikely"))</f>
        <v>Unlikely</v>
      </c>
      <c r="AX205" s="47"/>
      <c r="AY205" s="47" t="str">
        <f>INDEX(Table5[[#All],[Ovr]],MATCH(Batters[[#This Row],[PID]],Table5[[#All],[PID]],0))</f>
        <v/>
      </c>
      <c r="AZ205" s="47" t="str">
        <f>INDEX(Table5[[#All],[Rnd]],MATCH(Batters[[#This Row],[PID]],Table5[[#All],[PID]],0))</f>
        <v/>
      </c>
      <c r="BA205" s="47" t="str">
        <f>INDEX(Table5[[#All],[Pick]],MATCH(Batters[[#This Row],[PID]],Table5[[#All],[PID]],0))</f>
        <v/>
      </c>
      <c r="BB205" s="47" t="str">
        <f>INDEX(Table5[[#All],[Team]],MATCH(Batters[[#This Row],[PID]],Table5[[#All],[PID]],0))</f>
        <v/>
      </c>
    </row>
    <row r="206" spans="1:54" ht="15" customHeight="1" x14ac:dyDescent="0.25">
      <c r="A206" s="42">
        <v>10292</v>
      </c>
      <c r="B206" s="42" t="s">
        <v>66</v>
      </c>
      <c r="C206" s="42" t="s">
        <v>846</v>
      </c>
      <c r="D206" s="42" t="s">
        <v>1092</v>
      </c>
      <c r="E206" s="42">
        <v>21</v>
      </c>
      <c r="F206" s="42" t="s">
        <v>53</v>
      </c>
      <c r="G206" s="42" t="s">
        <v>53</v>
      </c>
      <c r="H206" s="43" t="s">
        <v>709</v>
      </c>
      <c r="I206" s="44" t="s">
        <v>43</v>
      </c>
      <c r="J206" s="42" t="s">
        <v>44</v>
      </c>
      <c r="K206" s="43" t="s">
        <v>43</v>
      </c>
      <c r="L206" s="42">
        <v>2</v>
      </c>
      <c r="M206" s="42">
        <v>2</v>
      </c>
      <c r="N206" s="42">
        <v>3</v>
      </c>
      <c r="O206" s="42">
        <v>3</v>
      </c>
      <c r="P206" s="43">
        <v>2</v>
      </c>
      <c r="Q206" s="42">
        <v>4</v>
      </c>
      <c r="R206" s="42">
        <v>3</v>
      </c>
      <c r="S206" s="42">
        <v>4</v>
      </c>
      <c r="T206" s="42">
        <v>6</v>
      </c>
      <c r="U206" s="43">
        <v>3</v>
      </c>
      <c r="V206" s="42">
        <v>6</v>
      </c>
      <c r="W206" s="42">
        <v>9</v>
      </c>
      <c r="X206" s="42">
        <v>1</v>
      </c>
      <c r="Y206" s="43">
        <v>1</v>
      </c>
      <c r="Z206" s="42" t="s">
        <v>45</v>
      </c>
      <c r="AA206" s="42" t="s">
        <v>45</v>
      </c>
      <c r="AB206" s="42" t="s">
        <v>45</v>
      </c>
      <c r="AC206" s="42" t="s">
        <v>45</v>
      </c>
      <c r="AD206" s="42" t="s">
        <v>45</v>
      </c>
      <c r="AE206" s="42" t="s">
        <v>45</v>
      </c>
      <c r="AF206" s="42" t="s">
        <v>45</v>
      </c>
      <c r="AG206" s="43">
        <v>4</v>
      </c>
      <c r="AH206" s="42">
        <v>7</v>
      </c>
      <c r="AI206" s="42">
        <v>9</v>
      </c>
      <c r="AJ206" s="43">
        <v>10</v>
      </c>
      <c r="AK206" s="45" t="s">
        <v>45</v>
      </c>
      <c r="AL206" s="45" t="s">
        <v>705</v>
      </c>
      <c r="AM206" s="46">
        <f>($L$3*(L206-$Q$1)/$Q$2+$M$3*(M206-$R$1)/$R$2+$N$3*(N206-$S$1)/$S$2+$O$3*(O206-$T$1)/$T$2+$P$3*(P206-$U$1)/$U$2)/(SUM($L$3:$P$3))</f>
        <v>-1.3251692061221452</v>
      </c>
      <c r="AN206" s="46">
        <f>($L$3*(Q206-$Q$1)/$Q$2+$M$3*(R206-$R$1)/$R$2+$N$3*(S206-$S$1)/$S$2+$O$3*(T206-$T$1)/$T$2+$P$3*(U206-$U$1)/$U$2)/(SUM($L$3:$P$3))</f>
        <v>-0.23679117022836424</v>
      </c>
      <c r="AO206" s="47">
        <f>IF(AVERAGE(AH206:AI206)&gt;9,1,0)+IF(AVERAGE(AH206:AI206)&gt;7,1,0)+IF(AH206&gt;7,1,0)+IF(AI206&gt;7,1,0)+IF(AJ206&gt;8,1,0)+IF(AJ206&gt;6,1,0)</f>
        <v>4</v>
      </c>
      <c r="AP206" s="48">
        <f>MIN(2,IF(OR(Z206="-",X206&lt;5),0,1+IF(Y206&gt;7,0.35,IF(Y206&gt;5,0.1,0))+IF(Z206&gt;7,1+IF(X206&gt;7,0.25,0),IF(Z206&gt;4,0.5+IF(X206&gt;7,0.25,0),0+IF(X206&gt;7,0.25))))+IF(AA206="-",0,IF(AA206&gt;9,0.5,IF(AA206&gt;7,0.25,0)))+IF(AB206="-",0,IF(AB206&gt;7,1.1,IF(AB206&gt;4,0.6,0)))+IF(OR(AC206="-",V206&lt;5),0,IF(AC206&gt;7,1+IF(V206&gt;7,0.25,0),IF(AC206&gt;4,0.5+IF(V206&gt;7,0.25,0),0)))+IF(AD206="-",0,IF(AD206&gt;7,1.5,IF(AD206&gt;4,1,0)))+IF(AE206="-",0,IF(AE206&gt;9,0.5,IF(AE206&gt;7,0.25,0)))+IF(AF206="-",0,IF(AF206&gt;7,1.25,IF(AF206&gt;4,0.75,0)))+IF(OR(AG206="-",W206&lt;4),0,IF(AG206&gt;7,1+IF(W206&gt;7,0.15,0),IF(AG206&gt;4,0.5+IF(W206&gt;7,0.15,0),0))))</f>
        <v>0</v>
      </c>
      <c r="AQ206" s="46">
        <f>($AM$3*AM206+$AN$3*AN206+$AO$3*AO206+$AP$3*AP206)+$I$3*VLOOKUP(I206,COND!$A$2:$E$7,4,FALSE)+$J$3*VLOOKUP(J206,COND!$A$2:$C$7,2,FALSE)+$K$3*VLOOKUP(K206,COND!$A$2:$C$7,3,FALSE)+IF(AND($B$2&gt;0,$E206&lt;20),$B$2*25,0)</f>
        <v>42.392655703314077</v>
      </c>
      <c r="AR206" s="49">
        <f>STANDARDIZE(AQ206,AVERAGE($AQ$5:$AQ$537),STDEVP($AQ$5:$AQ$537))</f>
        <v>0.35970006057092985</v>
      </c>
      <c r="AS206" s="47" t="str">
        <f>IF(AND(Z206&lt;&gt;"-",Y206&gt;1),"C",IF(AB206=MAX(AB206:AD206),"2B",IF(AD206=MAX(AB206:AD206),"SS",IF(OR(AC206=MAX(AA206:AD206),AND(AC206&lt;&gt;"-",AC206&gt;4,V206&gt;5)),"3B",IF(AF206=MAX(AE206:AG206),"CF",IF(AND(AG206=MAX(AE206,AG206),AND(W206&gt;5,AG206&lt;&gt;"-")),"RF",IF(AE206&lt;&gt;"-","LF",IF(AA206&lt;&gt;"-","1B","DH"))))))))</f>
        <v>RF</v>
      </c>
      <c r="AT206" s="47"/>
      <c r="AU206" s="47"/>
      <c r="AV206" s="47"/>
      <c r="AW206" s="47" t="str">
        <f>IF(AND($Q206&gt;=6,AVERAGE($S206:$T206)&gt;=6),"Likely",IF(OR($Q206&gt;6,AND($Q206=6,AVERAGE($S206:$T206)&gt;=3),AND($Q206&gt;=5,AVERAGE($S206:$T206)&gt;=5),AVERAGE($Q206,$S206:$T206)&gt;5),"Possible","Unlikely"))</f>
        <v>Unlikely</v>
      </c>
      <c r="AX206" s="47"/>
      <c r="AY206" s="47" t="str">
        <f>INDEX(Table5[[#All],[Ovr]],MATCH(Batters[[#This Row],[PID]],Table5[[#All],[PID]],0))</f>
        <v/>
      </c>
      <c r="AZ206" s="47" t="str">
        <f>INDEX(Table5[[#All],[Rnd]],MATCH(Batters[[#This Row],[PID]],Table5[[#All],[PID]],0))</f>
        <v/>
      </c>
      <c r="BA206" s="47" t="str">
        <f>INDEX(Table5[[#All],[Pick]],MATCH(Batters[[#This Row],[PID]],Table5[[#All],[PID]],0))</f>
        <v/>
      </c>
      <c r="BB206" s="47" t="str">
        <f>INDEX(Table5[[#All],[Team]],MATCH(Batters[[#This Row],[PID]],Table5[[#All],[PID]],0))</f>
        <v/>
      </c>
    </row>
    <row r="207" spans="1:54" ht="15" customHeight="1" x14ac:dyDescent="0.25">
      <c r="A207" s="42">
        <v>6243</v>
      </c>
      <c r="B207" s="42" t="s">
        <v>71</v>
      </c>
      <c r="C207" s="42" t="s">
        <v>829</v>
      </c>
      <c r="D207" s="42" t="s">
        <v>616</v>
      </c>
      <c r="E207" s="42">
        <v>18</v>
      </c>
      <c r="F207" s="42" t="s">
        <v>42</v>
      </c>
      <c r="G207" s="42" t="s">
        <v>42</v>
      </c>
      <c r="H207" s="43" t="s">
        <v>709</v>
      </c>
      <c r="I207" s="44" t="s">
        <v>43</v>
      </c>
      <c r="J207" s="42" t="s">
        <v>43</v>
      </c>
      <c r="K207" s="43" t="s">
        <v>43</v>
      </c>
      <c r="L207" s="42">
        <v>1</v>
      </c>
      <c r="M207" s="42">
        <v>2</v>
      </c>
      <c r="N207" s="42">
        <v>2</v>
      </c>
      <c r="O207" s="42">
        <v>2</v>
      </c>
      <c r="P207" s="43">
        <v>2</v>
      </c>
      <c r="Q207" s="42">
        <v>3</v>
      </c>
      <c r="R207" s="42">
        <v>3</v>
      </c>
      <c r="S207" s="42">
        <v>3</v>
      </c>
      <c r="T207" s="42">
        <v>5</v>
      </c>
      <c r="U207" s="43">
        <v>4</v>
      </c>
      <c r="V207" s="42">
        <v>7</v>
      </c>
      <c r="W207" s="42">
        <v>6</v>
      </c>
      <c r="X207" s="42">
        <v>1</v>
      </c>
      <c r="Y207" s="43">
        <v>1</v>
      </c>
      <c r="Z207" s="42" t="s">
        <v>45</v>
      </c>
      <c r="AA207" s="42" t="s">
        <v>45</v>
      </c>
      <c r="AB207" s="42">
        <v>3</v>
      </c>
      <c r="AC207" s="42" t="s">
        <v>45</v>
      </c>
      <c r="AD207" s="42" t="s">
        <v>45</v>
      </c>
      <c r="AE207" s="42" t="s">
        <v>45</v>
      </c>
      <c r="AF207" s="42" t="s">
        <v>45</v>
      </c>
      <c r="AG207" s="43" t="s">
        <v>45</v>
      </c>
      <c r="AH207" s="42">
        <v>3</v>
      </c>
      <c r="AI207" s="42">
        <v>6</v>
      </c>
      <c r="AJ207" s="43">
        <v>7</v>
      </c>
      <c r="AK207" s="45" t="s">
        <v>602</v>
      </c>
      <c r="AL207" s="45" t="s">
        <v>705</v>
      </c>
      <c r="AM207" s="46">
        <f>($L$3*(L207-$Q$1)/$Q$2+$M$3*(M207-$R$1)/$R$2+$N$3*(N207-$S$1)/$S$2+$O$3*(O207-$T$1)/$T$2+$P$3*(P207-$U$1)/$U$2)/(SUM($L$3:$P$3))</f>
        <v>-1.8204960863583022</v>
      </c>
      <c r="AN207" s="46">
        <f>($L$3*(Q207-$Q$1)/$Q$2+$M$3*(R207-$R$1)/$R$2+$N$3*(S207-$S$1)/$S$2+$O$3*(T207-$T$1)/$T$2+$P$3*(U207-$U$1)/$U$2)/(SUM($L$3:$P$3))</f>
        <v>-0.69210171064743797</v>
      </c>
      <c r="AO207" s="47">
        <f>IF(AVERAGE(AH207:AI207)&gt;9,1,0)+IF(AVERAGE(AH207:AI207)&gt;7,1,0)+IF(AH207&gt;7,1,0)+IF(AI207&gt;7,1,0)+IF(AJ207&gt;8,1,0)+IF(AJ207&gt;6,1,0)</f>
        <v>1</v>
      </c>
      <c r="AP207" s="48">
        <f>MIN(2,IF(OR(Z207="-",X207&lt;5),0,1+IF(Y207&gt;7,0.35,IF(Y207&gt;5,0.1,0))+IF(Z207&gt;7,1+IF(X207&gt;7,0.25,0),IF(Z207&gt;4,0.5+IF(X207&gt;7,0.25,0),0+IF(X207&gt;7,0.25))))+IF(AA207="-",0,IF(AA207&gt;9,0.5,IF(AA207&gt;7,0.25,0)))+IF(AB207="-",0,IF(AB207&gt;7,1.1,IF(AB207&gt;4,0.6,0)))+IF(OR(AC207="-",V207&lt;5),0,IF(AC207&gt;7,1+IF(V207&gt;7,0.25,0),IF(AC207&gt;4,0.5+IF(V207&gt;7,0.25,0),0)))+IF(AD207="-",0,IF(AD207&gt;7,1.5,IF(AD207&gt;4,1,0)))+IF(AE207="-",0,IF(AE207&gt;9,0.5,IF(AE207&gt;7,0.25,0)))+IF(AF207="-",0,IF(AF207&gt;7,1.25,IF(AF207&gt;4,0.75,0)))+IF(OR(AG207="-",W207&lt;4),0,IF(AG207&gt;7,1+IF(W207&gt;7,0.15,0),IF(AG207&gt;4,0.5+IF(W207&gt;7,0.15,0),0))))</f>
        <v>0</v>
      </c>
      <c r="AQ207" s="46">
        <f>($AM$3*AM207+$AN$3*AN207+$AO$3*AO207+$AP$3*AP207)+$I$3*VLOOKUP(I207,COND!$A$2:$E$7,4,FALSE)+$J$3*VLOOKUP(J207,COND!$A$2:$C$7,2,FALSE)+$K$3*VLOOKUP(K207,COND!$A$2:$C$7,3,FALSE)+IF(AND($B$2&gt;0,$E207&lt;20),$B$2*25,0)</f>
        <v>41.679396530261577</v>
      </c>
      <c r="AR207" s="49">
        <f>STANDARDIZE(AQ207,AVERAGE($AQ$5:$AQ$537),STDEVP($AQ$5:$AQ$537))</f>
        <v>0.23420684960919355</v>
      </c>
      <c r="AS207" s="47" t="str">
        <f>IF(AND(Z207&lt;&gt;"-",Y207&gt;1),"C",IF(AB207=MAX(AB207:AD207),"2B",IF(AD207=MAX(AB207:AD207),"SS",IF(OR(AC207=MAX(AA207:AD207),AND(AC207&lt;&gt;"-",AC207&gt;4,V207&gt;5)),"3B",IF(AF207=MAX(AE207:AG207),"CF",IF(AND(AG207=MAX(AE207,AG207),AND(W207&gt;5,AG207&lt;&gt;"-")),"RF",IF(AE207&lt;&gt;"-","LF",IF(AA207&lt;&gt;"-","1B","DH"))))))))</f>
        <v>2B</v>
      </c>
      <c r="AT207" s="47"/>
      <c r="AU207" s="47"/>
      <c r="AV207" s="47"/>
      <c r="AW207" s="47" t="str">
        <f>IF(AND($Q207&gt;=6,AVERAGE($S207:$T207)&gt;=6),"Likely",IF(OR($Q207&gt;6,AND($Q207=6,AVERAGE($S207:$T207)&gt;=3),AND($Q207&gt;=5,AVERAGE($S207:$T207)&gt;=5),AVERAGE($Q207,$S207:$T207)&gt;5),"Possible","Unlikely"))</f>
        <v>Unlikely</v>
      </c>
      <c r="AX207" s="47"/>
      <c r="AY207" s="47" t="str">
        <f>INDEX(Table5[[#All],[Ovr]],MATCH(Batters[[#This Row],[PID]],Table5[[#All],[PID]],0))</f>
        <v/>
      </c>
      <c r="AZ207" s="47" t="str">
        <f>INDEX(Table5[[#All],[Rnd]],MATCH(Batters[[#This Row],[PID]],Table5[[#All],[PID]],0))</f>
        <v/>
      </c>
      <c r="BA207" s="47" t="str">
        <f>INDEX(Table5[[#All],[Pick]],MATCH(Batters[[#This Row],[PID]],Table5[[#All],[PID]],0))</f>
        <v/>
      </c>
      <c r="BB207" s="47" t="str">
        <f>INDEX(Table5[[#All],[Team]],MATCH(Batters[[#This Row],[PID]],Table5[[#All],[PID]],0))</f>
        <v/>
      </c>
    </row>
    <row r="208" spans="1:54" ht="15" customHeight="1" x14ac:dyDescent="0.25">
      <c r="A208" s="42">
        <v>8699</v>
      </c>
      <c r="B208" s="42" t="s">
        <v>50</v>
      </c>
      <c r="C208" s="42" t="s">
        <v>1196</v>
      </c>
      <c r="D208" s="42" t="s">
        <v>1197</v>
      </c>
      <c r="E208" s="42">
        <v>18</v>
      </c>
      <c r="F208" s="42" t="s">
        <v>53</v>
      </c>
      <c r="G208" s="42" t="s">
        <v>53</v>
      </c>
      <c r="H208" s="43" t="s">
        <v>711</v>
      </c>
      <c r="I208" s="44" t="s">
        <v>47</v>
      </c>
      <c r="J208" s="42" t="s">
        <v>47</v>
      </c>
      <c r="K208" s="43" t="s">
        <v>44</v>
      </c>
      <c r="L208" s="42">
        <v>1</v>
      </c>
      <c r="M208" s="42">
        <v>1</v>
      </c>
      <c r="N208" s="42">
        <v>2</v>
      </c>
      <c r="O208" s="42">
        <v>1</v>
      </c>
      <c r="P208" s="43">
        <v>1</v>
      </c>
      <c r="Q208" s="42">
        <v>3</v>
      </c>
      <c r="R208" s="42">
        <v>3</v>
      </c>
      <c r="S208" s="42">
        <v>5</v>
      </c>
      <c r="T208" s="42">
        <v>4</v>
      </c>
      <c r="U208" s="43">
        <v>2</v>
      </c>
      <c r="V208" s="42">
        <v>4</v>
      </c>
      <c r="W208" s="42">
        <v>7</v>
      </c>
      <c r="X208" s="42">
        <v>1</v>
      </c>
      <c r="Y208" s="43">
        <v>1</v>
      </c>
      <c r="Z208" s="42" t="s">
        <v>45</v>
      </c>
      <c r="AA208" s="42" t="s">
        <v>45</v>
      </c>
      <c r="AB208" s="42" t="s">
        <v>45</v>
      </c>
      <c r="AC208" s="42" t="s">
        <v>45</v>
      </c>
      <c r="AD208" s="42" t="s">
        <v>45</v>
      </c>
      <c r="AE208" s="42">
        <v>1</v>
      </c>
      <c r="AF208" s="42" t="s">
        <v>45</v>
      </c>
      <c r="AG208" s="43">
        <v>1</v>
      </c>
      <c r="AH208" s="42">
        <v>4</v>
      </c>
      <c r="AI208" s="42">
        <v>4</v>
      </c>
      <c r="AJ208" s="43">
        <v>5</v>
      </c>
      <c r="AK208" s="45" t="s">
        <v>718</v>
      </c>
      <c r="AL208" s="45" t="s">
        <v>705</v>
      </c>
      <c r="AM208" s="46">
        <f>($L$3*(L208-$Q$1)/$Q$2+$M$3*(M208-$R$1)/$R$2+$N$3*(N208-$S$1)/$S$2+$O$3*(O208-$T$1)/$T$2+$P$3*(P208-$U$1)/$U$2)/(SUM($L$3:$P$3))</f>
        <v>-2.0012818558036707</v>
      </c>
      <c r="AN208" s="46">
        <f>($L$3*(Q208-$Q$1)/$Q$2+$M$3*(R208-$R$1)/$R$2+$N$3*(S208-$S$1)/$S$2+$O$3*(T208-$T$1)/$T$2+$P$3*(U208-$U$1)/$U$2)/(SUM($L$3:$P$3))</f>
        <v>-0.69572095224338304</v>
      </c>
      <c r="AO208" s="47">
        <f>IF(AVERAGE(AH208:AI208)&gt;9,1,0)+IF(AVERAGE(AH208:AI208)&gt;7,1,0)+IF(AH208&gt;7,1,0)+IF(AI208&gt;7,1,0)+IF(AJ208&gt;8,1,0)+IF(AJ208&gt;6,1,0)</f>
        <v>0</v>
      </c>
      <c r="AP208" s="48">
        <f>MIN(2,IF(OR(Z208="-",X208&lt;5),0,1+IF(Y208&gt;7,0.35,IF(Y208&gt;5,0.1,0))+IF(Z208&gt;7,1+IF(X208&gt;7,0.25,0),IF(Z208&gt;4,0.5+IF(X208&gt;7,0.25,0),0+IF(X208&gt;7,0.25))))+IF(AA208="-",0,IF(AA208&gt;9,0.5,IF(AA208&gt;7,0.25,0)))+IF(AB208="-",0,IF(AB208&gt;7,1.1,IF(AB208&gt;4,0.6,0)))+IF(OR(AC208="-",V208&lt;5),0,IF(AC208&gt;7,1+IF(V208&gt;7,0.25,0),IF(AC208&gt;4,0.5+IF(V208&gt;7,0.25,0),0)))+IF(AD208="-",0,IF(AD208&gt;7,1.5,IF(AD208&gt;4,1,0)))+IF(AE208="-",0,IF(AE208&gt;9,0.5,IF(AE208&gt;7,0.25,0)))+IF(AF208="-",0,IF(AF208&gt;7,1.25,IF(AF208&gt;4,0.75,0)))+IF(OR(AG208="-",W208&lt;4),0,IF(AG208&gt;7,1+IF(W208&gt;7,0.15,0),IF(AG208&gt;4,0.5+IF(W208&gt;7,0.15,0),0))))</f>
        <v>0</v>
      </c>
      <c r="AQ208" s="46">
        <f>($AM$3*AM208+$AN$3*AN208+$AO$3*AO208+$AP$3*AP208)+$I$3*VLOOKUP(I208,COND!$A$2:$E$7,4,FALSE)+$J$3*VLOOKUP(J208,COND!$A$2:$C$7,2,FALSE)+$K$3*VLOOKUP(K208,COND!$A$2:$C$7,3,FALSE)+IF(AND($B$2&gt;0,$E208&lt;20),$B$2*25,0)</f>
        <v>41.676220387499029</v>
      </c>
      <c r="AR208" s="49">
        <f>STANDARDIZE(AQ208,AVERAGE($AQ$5:$AQ$537),STDEVP($AQ$5:$AQ$537))</f>
        <v>0.23364802839973156</v>
      </c>
      <c r="AS208" s="47" t="str">
        <f>IF(AND(Z208&lt;&gt;"-",Y208&gt;1),"C",IF(AB208=MAX(AB208:AD208),"2B",IF(AD208=MAX(AB208:AD208),"SS",IF(OR(AC208=MAX(AA208:AD208),AND(AC208&lt;&gt;"-",AC208&gt;4,V208&gt;5)),"3B",IF(AF208=MAX(AE208:AG208),"CF",IF(AND(AG208=MAX(AE208,AG208),AND(W208&gt;5,AG208&lt;&gt;"-")),"RF",IF(AE208&lt;&gt;"-","LF",IF(AA208&lt;&gt;"-","1B","DH"))))))))</f>
        <v>RF</v>
      </c>
      <c r="AT208" s="47"/>
      <c r="AU208" s="47"/>
      <c r="AV208" s="47"/>
      <c r="AW208" s="47" t="str">
        <f>IF(AND($Q208&gt;=6,AVERAGE($S208:$T208)&gt;=6),"Likely",IF(OR($Q208&gt;6,AND($Q208=6,AVERAGE($S208:$T208)&gt;=3),AND($Q208&gt;=5,AVERAGE($S208:$T208)&gt;=5),AVERAGE($Q208,$S208:$T208)&gt;5),"Possible","Unlikely"))</f>
        <v>Unlikely</v>
      </c>
      <c r="AX208" s="47"/>
      <c r="AY208" s="47" t="str">
        <f>INDEX(Table5[[#All],[Ovr]],MATCH(Batters[[#This Row],[PID]],Table5[[#All],[PID]],0))</f>
        <v/>
      </c>
      <c r="AZ208" s="47" t="str">
        <f>INDEX(Table5[[#All],[Rnd]],MATCH(Batters[[#This Row],[PID]],Table5[[#All],[PID]],0))</f>
        <v/>
      </c>
      <c r="BA208" s="47" t="str">
        <f>INDEX(Table5[[#All],[Pick]],MATCH(Batters[[#This Row],[PID]],Table5[[#All],[PID]],0))</f>
        <v/>
      </c>
      <c r="BB208" s="47" t="str">
        <f>INDEX(Table5[[#All],[Team]],MATCH(Batters[[#This Row],[PID]],Table5[[#All],[PID]],0))</f>
        <v/>
      </c>
    </row>
    <row r="209" spans="1:54" ht="15" customHeight="1" x14ac:dyDescent="0.25">
      <c r="A209" s="42">
        <v>8702</v>
      </c>
      <c r="B209" s="42" t="s">
        <v>86</v>
      </c>
      <c r="C209" s="42" t="s">
        <v>159</v>
      </c>
      <c r="D209" s="42" t="s">
        <v>1317</v>
      </c>
      <c r="E209" s="42">
        <v>18</v>
      </c>
      <c r="F209" s="42" t="s">
        <v>42</v>
      </c>
      <c r="G209" s="42" t="s">
        <v>42</v>
      </c>
      <c r="H209" s="43" t="s">
        <v>709</v>
      </c>
      <c r="I209" s="44" t="s">
        <v>43</v>
      </c>
      <c r="J209" s="42" t="s">
        <v>43</v>
      </c>
      <c r="K209" s="43" t="s">
        <v>43</v>
      </c>
      <c r="L209" s="42">
        <v>1</v>
      </c>
      <c r="M209" s="42">
        <v>1</v>
      </c>
      <c r="N209" s="42">
        <v>2</v>
      </c>
      <c r="O209" s="42">
        <v>1</v>
      </c>
      <c r="P209" s="43">
        <v>1</v>
      </c>
      <c r="Q209" s="42">
        <v>3</v>
      </c>
      <c r="R209" s="42">
        <v>2</v>
      </c>
      <c r="S209" s="42">
        <v>4</v>
      </c>
      <c r="T209" s="42">
        <v>4</v>
      </c>
      <c r="U209" s="43">
        <v>3</v>
      </c>
      <c r="V209" s="42">
        <v>4</v>
      </c>
      <c r="W209" s="42">
        <v>3</v>
      </c>
      <c r="X209" s="42">
        <v>5</v>
      </c>
      <c r="Y209" s="43">
        <v>8</v>
      </c>
      <c r="Z209" s="42">
        <v>2</v>
      </c>
      <c r="AA209" s="42" t="s">
        <v>45</v>
      </c>
      <c r="AB209" s="42" t="s">
        <v>45</v>
      </c>
      <c r="AC209" s="42" t="s">
        <v>45</v>
      </c>
      <c r="AD209" s="42" t="s">
        <v>45</v>
      </c>
      <c r="AE209" s="42" t="s">
        <v>45</v>
      </c>
      <c r="AF209" s="42" t="s">
        <v>45</v>
      </c>
      <c r="AG209" s="43" t="s">
        <v>45</v>
      </c>
      <c r="AH209" s="42">
        <v>1</v>
      </c>
      <c r="AI209" s="42">
        <v>1</v>
      </c>
      <c r="AJ209" s="43">
        <v>1</v>
      </c>
      <c r="AK209" s="45" t="s">
        <v>602</v>
      </c>
      <c r="AL209" s="45" t="s">
        <v>47</v>
      </c>
      <c r="AM209" s="46">
        <f>($L$3*(L209-$Q$1)/$Q$2+$M$3*(M209-$R$1)/$R$2+$N$3*(N209-$S$1)/$S$2+$O$3*(O209-$T$1)/$T$2+$P$3*(P209-$U$1)/$U$2)/(SUM($L$3:$P$3))</f>
        <v>-2.0012818558036707</v>
      </c>
      <c r="AN209" s="46">
        <f>($L$3*(Q209-$Q$1)/$Q$2+$M$3*(R209-$R$1)/$R$2+$N$3*(S209-$S$1)/$S$2+$O$3*(T209-$T$1)/$T$2+$P$3*(U209-$U$1)/$U$2)/(SUM($L$3:$P$3))</f>
        <v>-0.78982598606890464</v>
      </c>
      <c r="AO209" s="47">
        <f>IF(AVERAGE(AH209:AI209)&gt;9,1,0)+IF(AVERAGE(AH209:AI209)&gt;7,1,0)+IF(AH209&gt;7,1,0)+IF(AI209&gt;7,1,0)+IF(AJ209&gt;8,1,0)+IF(AJ209&gt;6,1,0)</f>
        <v>0</v>
      </c>
      <c r="AP209" s="48">
        <f>MIN(2,IF(OR(Z209="-",X209&lt;5),0,1+IF(Y209&gt;7,0.35,IF(Y209&gt;5,0.1,0))+IF(Z209&gt;7,1+IF(X209&gt;7,0.25,0),IF(Z209&gt;4,0.5+IF(X209&gt;7,0.25,0),0+IF(X209&gt;7,0.25))))+IF(AA209="-",0,IF(AA209&gt;9,0.5,IF(AA209&gt;7,0.25,0)))+IF(AB209="-",0,IF(AB209&gt;7,1.1,IF(AB209&gt;4,0.6,0)))+IF(OR(AC209="-",V209&lt;5),0,IF(AC209&gt;7,1+IF(V209&gt;7,0.25,0),IF(AC209&gt;4,0.5+IF(V209&gt;7,0.25,0),0)))+IF(AD209="-",0,IF(AD209&gt;7,1.5,IF(AD209&gt;4,1,0)))+IF(AE209="-",0,IF(AE209&gt;9,0.5,IF(AE209&gt;7,0.25,0)))+IF(AF209="-",0,IF(AF209&gt;7,1.25,IF(AF209&gt;4,0.75,0)))+IF(OR(AG209="-",W209&lt;4),0,IF(AG209&gt;7,1+IF(W209&gt;7,0.15,0),IF(AG209&gt;4,0.5+IF(W209&gt;7,0.15,0),0))))</f>
        <v>1.35</v>
      </c>
      <c r="AQ209" s="46">
        <f>($AM$3*AM209+$AN$3*AN209+$AO$3*AO209+$AP$3*AP209)+$I$3*VLOOKUP(I209,COND!$A$2:$E$7,4,FALSE)+$J$3*VLOOKUP(J209,COND!$A$2:$C$7,2,FALSE)+$K$3*VLOOKUP(K209,COND!$A$2:$C$7,3,FALSE)+IF(AND($B$2&gt;0,$E209&lt;20),$B$2*25,0)</f>
        <v>41.671959981592778</v>
      </c>
      <c r="AR209" s="49">
        <f>STANDARDIZE(AQ209,AVERAGE($AQ$5:$AQ$537),STDEVP($AQ$5:$AQ$537))</f>
        <v>0.2328984382964768</v>
      </c>
      <c r="AS209" s="47" t="str">
        <f>IF(AND(Z209&lt;&gt;"-",Y209&gt;1),"C",IF(AB209=MAX(AB209:AD209),"2B",IF(AD209=MAX(AB209:AD209),"SS",IF(OR(AC209=MAX(AA209:AD209),AND(AC209&lt;&gt;"-",AC209&gt;4,V209&gt;5)),"3B",IF(AF209=MAX(AE209:AG209),"CF",IF(AND(AG209=MAX(AE209,AG209),AND(W209&gt;5,AG209&lt;&gt;"-")),"RF",IF(AE209&lt;&gt;"-","LF",IF(AA209&lt;&gt;"-","1B","DH"))))))))</f>
        <v>C</v>
      </c>
      <c r="AT209" s="47"/>
      <c r="AU209" s="47"/>
      <c r="AV209" s="47"/>
      <c r="AW209" s="47" t="str">
        <f>IF(AND($Q209&gt;=6,AVERAGE($S209:$T209)&gt;=6),"Likely",IF(OR($Q209&gt;6,AND($Q209=6,AVERAGE($S209:$T209)&gt;=3),AND($Q209&gt;=5,AVERAGE($S209:$T209)&gt;=5),AVERAGE($Q209,$S209:$T209)&gt;5),"Possible","Unlikely"))</f>
        <v>Unlikely</v>
      </c>
      <c r="AX209" s="47"/>
      <c r="AY209" s="47" t="str">
        <f>INDEX(Table5[[#All],[Ovr]],MATCH(Batters[[#This Row],[PID]],Table5[[#All],[PID]],0))</f>
        <v/>
      </c>
      <c r="AZ209" s="47" t="str">
        <f>INDEX(Table5[[#All],[Rnd]],MATCH(Batters[[#This Row],[PID]],Table5[[#All],[PID]],0))</f>
        <v/>
      </c>
      <c r="BA209" s="47" t="str">
        <f>INDEX(Table5[[#All],[Pick]],MATCH(Batters[[#This Row],[PID]],Table5[[#All],[PID]],0))</f>
        <v/>
      </c>
      <c r="BB209" s="47" t="str">
        <f>INDEX(Table5[[#All],[Team]],MATCH(Batters[[#This Row],[PID]],Table5[[#All],[PID]],0))</f>
        <v/>
      </c>
    </row>
    <row r="210" spans="1:54" ht="15" customHeight="1" x14ac:dyDescent="0.25">
      <c r="A210" s="42">
        <v>17934</v>
      </c>
      <c r="B210" s="42" t="s">
        <v>86</v>
      </c>
      <c r="C210" s="42" t="s">
        <v>1219</v>
      </c>
      <c r="D210" s="42" t="s">
        <v>1220</v>
      </c>
      <c r="E210" s="42">
        <v>18</v>
      </c>
      <c r="F210" s="42" t="s">
        <v>42</v>
      </c>
      <c r="G210" s="42" t="s">
        <v>42</v>
      </c>
      <c r="H210" s="43" t="s">
        <v>709</v>
      </c>
      <c r="I210" s="44" t="s">
        <v>43</v>
      </c>
      <c r="J210" s="42" t="s">
        <v>44</v>
      </c>
      <c r="K210" s="43" t="s">
        <v>43</v>
      </c>
      <c r="L210" s="42">
        <v>1</v>
      </c>
      <c r="M210" s="42">
        <v>2</v>
      </c>
      <c r="N210" s="42">
        <v>3</v>
      </c>
      <c r="O210" s="42">
        <v>2</v>
      </c>
      <c r="P210" s="43">
        <v>1</v>
      </c>
      <c r="Q210" s="42">
        <v>3</v>
      </c>
      <c r="R210" s="42">
        <v>4</v>
      </c>
      <c r="S210" s="42">
        <v>4</v>
      </c>
      <c r="T210" s="42">
        <v>5</v>
      </c>
      <c r="U210" s="43">
        <v>3</v>
      </c>
      <c r="V210" s="42">
        <v>4</v>
      </c>
      <c r="W210" s="42">
        <v>4</v>
      </c>
      <c r="X210" s="42">
        <v>5</v>
      </c>
      <c r="Y210" s="43">
        <v>8</v>
      </c>
      <c r="Z210" s="42" t="s">
        <v>45</v>
      </c>
      <c r="AA210" s="42" t="s">
        <v>45</v>
      </c>
      <c r="AB210" s="42" t="s">
        <v>45</v>
      </c>
      <c r="AC210" s="42" t="s">
        <v>45</v>
      </c>
      <c r="AD210" s="42" t="s">
        <v>45</v>
      </c>
      <c r="AE210" s="42" t="s">
        <v>45</v>
      </c>
      <c r="AF210" s="42" t="s">
        <v>45</v>
      </c>
      <c r="AG210" s="43" t="s">
        <v>45</v>
      </c>
      <c r="AH210" s="42">
        <v>2</v>
      </c>
      <c r="AI210" s="42">
        <v>1</v>
      </c>
      <c r="AJ210" s="43">
        <v>2</v>
      </c>
      <c r="AK210" s="45" t="s">
        <v>718</v>
      </c>
      <c r="AL210" s="45" t="s">
        <v>47</v>
      </c>
      <c r="AM210" s="46">
        <f>($L$3*(L210-$Q$1)/$Q$2+$M$3*(M210-$R$1)/$R$2+$N$3*(N210-$S$1)/$S$2+$O$3*(O210-$T$1)/$T$2+$P$3*(P210-$U$1)/$U$2)/(SUM($L$3:$P$3))</f>
        <v>-1.7774509321514844</v>
      </c>
      <c r="AN210" s="46">
        <f>($L$3*(Q210-$Q$1)/$Q$2+$M$3*(R210-$R$1)/$R$2+$N$3*(S210-$S$1)/$S$2+$O$3*(T210-$T$1)/$T$2+$P$3*(U210-$U$1)/$U$2)/(SUM($L$3:$P$3))</f>
        <v>-0.59799667682191648</v>
      </c>
      <c r="AO210" s="47">
        <f>IF(AVERAGE(AH210:AI210)&gt;9,1,0)+IF(AVERAGE(AH210:AI210)&gt;7,1,0)+IF(AH210&gt;7,1,0)+IF(AI210&gt;7,1,0)+IF(AJ210&gt;8,1,0)+IF(AJ210&gt;6,1,0)</f>
        <v>0</v>
      </c>
      <c r="AP210" s="48">
        <f>MIN(2,IF(OR(Z210="-",X210&lt;5),0,1+IF(Y210&gt;7,0.35,IF(Y210&gt;5,0.1,0))+IF(Z210&gt;7,1+IF(X210&gt;7,0.25,0),IF(Z210&gt;4,0.5+IF(X210&gt;7,0.25,0),0+IF(X210&gt;7,0.25))))+IF(AA210="-",0,IF(AA210&gt;9,0.5,IF(AA210&gt;7,0.25,0)))+IF(AB210="-",0,IF(AB210&gt;7,1.1,IF(AB210&gt;4,0.6,0)))+IF(OR(AC210="-",V210&lt;5),0,IF(AC210&gt;7,1+IF(V210&gt;7,0.25,0),IF(AC210&gt;4,0.5+IF(V210&gt;7,0.25,0),0)))+IF(AD210="-",0,IF(AD210&gt;7,1.5,IF(AD210&gt;4,1,0)))+IF(AE210="-",0,IF(AE210&gt;9,0.5,IF(AE210&gt;7,0.25,0)))+IF(AF210="-",0,IF(AF210&gt;7,1.25,IF(AF210&gt;4,0.75,0)))+IF(OR(AG210="-",W210&lt;4),0,IF(AG210&gt;7,1+IF(W210&gt;7,0.15,0),IF(AG210&gt;4,0.5+IF(W210&gt;7,0.15,0),0))))</f>
        <v>0</v>
      </c>
      <c r="AQ210" s="46">
        <f>($AM$3*AM210+$AN$3*AN210+$AO$3*AO210+$AP$3*AP210)+$I$3*VLOOKUP(I210,COND!$A$2:$E$7,4,FALSE)+$J$3*VLOOKUP(J210,COND!$A$2:$C$7,2,FALSE)+$K$3*VLOOKUP(K210,COND!$A$2:$C$7,3,FALSE)+IF(AND($B$2&gt;0,$E210&lt;20),$B$2*25,0)</f>
        <v>42.346294784921852</v>
      </c>
      <c r="AR210" s="49">
        <f>STANDARDIZE(AQ210,AVERAGE($AQ$5:$AQ$537),STDEVP($AQ$5:$AQ$537))</f>
        <v>0.3515431651085465</v>
      </c>
      <c r="AS210" s="47" t="str">
        <f>IF(AND(Z210&lt;&gt;"-",Y210&gt;1),"C",IF(AB210=MAX(AB210:AD210),"2B",IF(AD210=MAX(AB210:AD210),"SS",IF(OR(AC210=MAX(AA210:AD210),AND(AC210&lt;&gt;"-",AC210&gt;4,V210&gt;5)),"3B",IF(AF210=MAX(AE210:AG210),"CF",IF(AND(AG210=MAX(AE210,AG210),AND(W210&gt;5,AG210&lt;&gt;"-")),"RF",IF(AE210&lt;&gt;"-","LF",IF(AA210&lt;&gt;"-","1B","DH"))))))))</f>
        <v>DH</v>
      </c>
      <c r="AT210" s="47"/>
      <c r="AU210" s="47"/>
      <c r="AV210" s="47"/>
      <c r="AW210" s="47" t="str">
        <f>IF(AND($Q210&gt;=6,AVERAGE($S210:$T210)&gt;=6),"Likely",IF(OR($Q210&gt;6,AND($Q210=6,AVERAGE($S210:$T210)&gt;=3),AND($Q210&gt;=5,AVERAGE($S210:$T210)&gt;=5),AVERAGE($Q210,$S210:$T210)&gt;5),"Possible","Unlikely"))</f>
        <v>Unlikely</v>
      </c>
      <c r="AX210" s="47"/>
      <c r="AY210" s="47" t="str">
        <f>INDEX(Table5[[#All],[Ovr]],MATCH(Batters[[#This Row],[PID]],Table5[[#All],[PID]],0))</f>
        <v/>
      </c>
      <c r="AZ210" s="47" t="str">
        <f>INDEX(Table5[[#All],[Rnd]],MATCH(Batters[[#This Row],[PID]],Table5[[#All],[PID]],0))</f>
        <v/>
      </c>
      <c r="BA210" s="47" t="str">
        <f>INDEX(Table5[[#All],[Pick]],MATCH(Batters[[#This Row],[PID]],Table5[[#All],[PID]],0))</f>
        <v/>
      </c>
      <c r="BB210" s="47" t="str">
        <f>INDEX(Table5[[#All],[Team]],MATCH(Batters[[#This Row],[PID]],Table5[[#All],[PID]],0))</f>
        <v/>
      </c>
    </row>
    <row r="211" spans="1:54" ht="15" customHeight="1" x14ac:dyDescent="0.25">
      <c r="A211" s="42">
        <v>15723</v>
      </c>
      <c r="B211" s="42" t="s">
        <v>50</v>
      </c>
      <c r="C211" s="42" t="s">
        <v>443</v>
      </c>
      <c r="D211" s="42" t="s">
        <v>1159</v>
      </c>
      <c r="E211" s="42">
        <v>18</v>
      </c>
      <c r="F211" s="42" t="s">
        <v>42</v>
      </c>
      <c r="G211" s="42" t="s">
        <v>42</v>
      </c>
      <c r="H211" s="43" t="s">
        <v>709</v>
      </c>
      <c r="I211" s="44" t="s">
        <v>43</v>
      </c>
      <c r="J211" s="42" t="s">
        <v>44</v>
      </c>
      <c r="K211" s="43" t="s">
        <v>44</v>
      </c>
      <c r="L211" s="42">
        <v>1</v>
      </c>
      <c r="M211" s="42">
        <v>1</v>
      </c>
      <c r="N211" s="42">
        <v>3</v>
      </c>
      <c r="O211" s="42">
        <v>1</v>
      </c>
      <c r="P211" s="43">
        <v>1</v>
      </c>
      <c r="Q211" s="42">
        <v>3</v>
      </c>
      <c r="R211" s="42">
        <v>4</v>
      </c>
      <c r="S211" s="42">
        <v>6</v>
      </c>
      <c r="T211" s="42">
        <v>4</v>
      </c>
      <c r="U211" s="43">
        <v>3</v>
      </c>
      <c r="V211" s="42">
        <v>2</v>
      </c>
      <c r="W211" s="42">
        <v>4</v>
      </c>
      <c r="X211" s="42">
        <v>1</v>
      </c>
      <c r="Y211" s="43">
        <v>1</v>
      </c>
      <c r="Z211" s="42" t="s">
        <v>45</v>
      </c>
      <c r="AA211" s="42" t="s">
        <v>45</v>
      </c>
      <c r="AB211" s="42" t="s">
        <v>45</v>
      </c>
      <c r="AC211" s="42" t="s">
        <v>45</v>
      </c>
      <c r="AD211" s="42" t="s">
        <v>45</v>
      </c>
      <c r="AE211" s="42">
        <v>1</v>
      </c>
      <c r="AF211" s="42" t="s">
        <v>45</v>
      </c>
      <c r="AG211" s="43" t="s">
        <v>45</v>
      </c>
      <c r="AH211" s="42">
        <v>1</v>
      </c>
      <c r="AI211" s="42">
        <v>3</v>
      </c>
      <c r="AJ211" s="43">
        <v>1</v>
      </c>
      <c r="AK211" s="45" t="s">
        <v>658</v>
      </c>
      <c r="AL211" s="45" t="s">
        <v>705</v>
      </c>
      <c r="AM211" s="46">
        <f>($L$3*(L211-$Q$1)/$Q$2+$M$3*(M211-$R$1)/$R$2+$N$3*(N211-$S$1)/$S$2+$O$3*(O211-$T$1)/$T$2+$P$3*(P211-$U$1)/$U$2)/(SUM($L$3:$P$3))</f>
        <v>-1.9182203617797693</v>
      </c>
      <c r="AN211" s="46">
        <f>($L$3*(Q211-$Q$1)/$Q$2+$M$3*(R211-$R$1)/$R$2+$N$3*(S211-$S$1)/$S$2+$O$3*(T211-$T$1)/$T$2+$P$3*(U211-$U$1)/$U$2)/(SUM($L$3:$P$3))</f>
        <v>-0.52158323878369461</v>
      </c>
      <c r="AO211" s="47">
        <f>IF(AVERAGE(AH211:AI211)&gt;9,1,0)+IF(AVERAGE(AH211:AI211)&gt;7,1,0)+IF(AH211&gt;7,1,0)+IF(AI211&gt;7,1,0)+IF(AJ211&gt;8,1,0)+IF(AJ211&gt;6,1,0)</f>
        <v>0</v>
      </c>
      <c r="AP211" s="48">
        <f>MIN(2,IF(OR(Z211="-",X211&lt;5),0,1+IF(Y211&gt;7,0.35,IF(Y211&gt;5,0.1,0))+IF(Z211&gt;7,1+IF(X211&gt;7,0.25,0),IF(Z211&gt;4,0.5+IF(X211&gt;7,0.25,0),0+IF(X211&gt;7,0.25))))+IF(AA211="-",0,IF(AA211&gt;9,0.5,IF(AA211&gt;7,0.25,0)))+IF(AB211="-",0,IF(AB211&gt;7,1.1,IF(AB211&gt;4,0.6,0)))+IF(OR(AC211="-",V211&lt;5),0,IF(AC211&gt;7,1+IF(V211&gt;7,0.25,0),IF(AC211&gt;4,0.5+IF(V211&gt;7,0.25,0),0)))+IF(AD211="-",0,IF(AD211&gt;7,1.5,IF(AD211&gt;4,1,0)))+IF(AE211="-",0,IF(AE211&gt;9,0.5,IF(AE211&gt;7,0.25,0)))+IF(AF211="-",0,IF(AF211&gt;7,1.25,IF(AF211&gt;4,0.75,0)))+IF(OR(AG211="-",W211&lt;4),0,IF(AG211&gt;7,1+IF(W211&gt;7,0.15,0),IF(AG211&gt;4,0.5+IF(W211&gt;7,0.15,0),0))))</f>
        <v>0</v>
      </c>
      <c r="AQ211" s="46">
        <f>($AM$3*AM211+$AN$3*AN211+$AO$3*AO211+$AP$3*AP211)+$I$3*VLOOKUP(I211,COND!$A$2:$E$7,4,FALSE)+$J$3*VLOOKUP(J211,COND!$A$2:$C$7,2,FALSE)+$K$3*VLOOKUP(K211,COND!$A$2:$C$7,3,FALSE)+IF(AND($B$2&gt;0,$E211&lt;20),$B$2*25,0)</f>
        <v>42.949179098417687</v>
      </c>
      <c r="AR211" s="49">
        <f>STANDARDIZE(AQ211,AVERAGE($AQ$5:$AQ$537),STDEVP($AQ$5:$AQ$537))</f>
        <v>0.45761665311608957</v>
      </c>
      <c r="AS211" s="47" t="str">
        <f>IF(AND(Z211&lt;&gt;"-",Y211&gt;1),"C",IF(AB211=MAX(AB211:AD211),"2B",IF(AD211=MAX(AB211:AD211),"SS",IF(OR(AC211=MAX(AA211:AD211),AND(AC211&lt;&gt;"-",AC211&gt;4,V211&gt;5)),"3B",IF(AF211=MAX(AE211:AG211),"CF",IF(AND(AG211=MAX(AE211,AG211),AND(W211&gt;5,AG211&lt;&gt;"-")),"RF",IF(AE211&lt;&gt;"-","LF",IF(AA211&lt;&gt;"-","1B","DH"))))))))</f>
        <v>LF</v>
      </c>
      <c r="AT211" s="47"/>
      <c r="AU211" s="47"/>
      <c r="AV211" s="47"/>
      <c r="AW211" s="47" t="str">
        <f>IF(AND($Q211&gt;=6,AVERAGE($S211:$T211)&gt;=6),"Likely",IF(OR($Q211&gt;6,AND($Q211=6,AVERAGE($S211:$T211)&gt;=3),AND($Q211&gt;=5,AVERAGE($S211:$T211)&gt;=5),AVERAGE($Q211,$S211:$T211)&gt;5),"Possible","Unlikely"))</f>
        <v>Unlikely</v>
      </c>
      <c r="AX211" s="47"/>
      <c r="AY211" s="47" t="str">
        <f>INDEX(Table5[[#All],[Ovr]],MATCH(Batters[[#This Row],[PID]],Table5[[#All],[PID]],0))</f>
        <v/>
      </c>
      <c r="AZ211" s="47" t="str">
        <f>INDEX(Table5[[#All],[Rnd]],MATCH(Batters[[#This Row],[PID]],Table5[[#All],[PID]],0))</f>
        <v/>
      </c>
      <c r="BA211" s="47" t="str">
        <f>INDEX(Table5[[#All],[Pick]],MATCH(Batters[[#This Row],[PID]],Table5[[#All],[PID]],0))</f>
        <v/>
      </c>
      <c r="BB211" s="47" t="str">
        <f>INDEX(Table5[[#All],[Team]],MATCH(Batters[[#This Row],[PID]],Table5[[#All],[PID]],0))</f>
        <v/>
      </c>
    </row>
    <row r="212" spans="1:54" ht="15" customHeight="1" x14ac:dyDescent="0.25">
      <c r="A212" s="42">
        <v>11773</v>
      </c>
      <c r="B212" s="42" t="s">
        <v>69</v>
      </c>
      <c r="C212" s="42" t="s">
        <v>293</v>
      </c>
      <c r="D212" s="42" t="s">
        <v>793</v>
      </c>
      <c r="E212" s="42">
        <v>21</v>
      </c>
      <c r="F212" s="42" t="s">
        <v>42</v>
      </c>
      <c r="G212" s="42" t="s">
        <v>42</v>
      </c>
      <c r="H212" s="43" t="s">
        <v>709</v>
      </c>
      <c r="I212" s="44" t="s">
        <v>43</v>
      </c>
      <c r="J212" s="42" t="s">
        <v>47</v>
      </c>
      <c r="K212" s="43" t="s">
        <v>44</v>
      </c>
      <c r="L212" s="42">
        <v>2</v>
      </c>
      <c r="M212" s="42">
        <v>2</v>
      </c>
      <c r="N212" s="42">
        <v>2</v>
      </c>
      <c r="O212" s="42">
        <v>1</v>
      </c>
      <c r="P212" s="43">
        <v>1</v>
      </c>
      <c r="Q212" s="42">
        <v>4</v>
      </c>
      <c r="R212" s="42">
        <v>4</v>
      </c>
      <c r="S212" s="42">
        <v>4</v>
      </c>
      <c r="T212" s="42">
        <v>4</v>
      </c>
      <c r="U212" s="43">
        <v>4</v>
      </c>
      <c r="V212" s="42">
        <v>7</v>
      </c>
      <c r="W212" s="42">
        <v>7</v>
      </c>
      <c r="X212" s="42">
        <v>1</v>
      </c>
      <c r="Y212" s="43">
        <v>1</v>
      </c>
      <c r="Z212" s="42" t="s">
        <v>45</v>
      </c>
      <c r="AA212" s="42" t="s">
        <v>45</v>
      </c>
      <c r="AB212" s="42" t="s">
        <v>45</v>
      </c>
      <c r="AC212" s="42">
        <v>5</v>
      </c>
      <c r="AD212" s="42" t="s">
        <v>45</v>
      </c>
      <c r="AE212" s="42" t="s">
        <v>45</v>
      </c>
      <c r="AF212" s="42" t="s">
        <v>45</v>
      </c>
      <c r="AG212" s="43" t="s">
        <v>45</v>
      </c>
      <c r="AH212" s="42">
        <v>3</v>
      </c>
      <c r="AI212" s="42">
        <v>5</v>
      </c>
      <c r="AJ212" s="43">
        <v>6</v>
      </c>
      <c r="AK212" s="45" t="s">
        <v>45</v>
      </c>
      <c r="AL212" s="45" t="s">
        <v>705</v>
      </c>
      <c r="AM212" s="46">
        <f>($L$3*(L212-$Q$1)/$Q$2+$M$3*(M212-$R$1)/$R$2+$N$3*(N212-$S$1)/$S$2+$O$3*(O212-$T$1)/$T$2+$P$3*(P212-$U$1)/$U$2)/(SUM($L$3:$P$3))</f>
        <v>-1.6276661399822923</v>
      </c>
      <c r="AN212" s="46">
        <f>($L$3*(Q212-$Q$1)/$Q$2+$M$3*(R212-$R$1)/$R$2+$N$3*(S212-$S$1)/$S$2+$O$3*(T212-$T$1)/$T$2+$P$3*(U212-$U$1)/$U$2)/(SUM($L$3:$P$3))</f>
        <v>-0.32513405081173941</v>
      </c>
      <c r="AO212" s="47">
        <f>IF(AVERAGE(AH212:AI212)&gt;9,1,0)+IF(AVERAGE(AH212:AI212)&gt;7,1,0)+IF(AH212&gt;7,1,0)+IF(AI212&gt;7,1,0)+IF(AJ212&gt;8,1,0)+IF(AJ212&gt;6,1,0)</f>
        <v>0</v>
      </c>
      <c r="AP212" s="48">
        <f>MIN(2,IF(OR(Z212="-",X212&lt;5),0,1+IF(Y212&gt;7,0.35,IF(Y212&gt;5,0.1,0))+IF(Z212&gt;7,1+IF(X212&gt;7,0.25,0),IF(Z212&gt;4,0.5+IF(X212&gt;7,0.25,0),0+IF(X212&gt;7,0.25))))+IF(AA212="-",0,IF(AA212&gt;9,0.5,IF(AA212&gt;7,0.25,0)))+IF(AB212="-",0,IF(AB212&gt;7,1.1,IF(AB212&gt;4,0.6,0)))+IF(OR(AC212="-",V212&lt;5),0,IF(AC212&gt;7,1+IF(V212&gt;7,0.25,0),IF(AC212&gt;4,0.5+IF(V212&gt;7,0.25,0),0)))+IF(AD212="-",0,IF(AD212&gt;7,1.5,IF(AD212&gt;4,1,0)))+IF(AE212="-",0,IF(AE212&gt;9,0.5,IF(AE212&gt;7,0.25,0)))+IF(AF212="-",0,IF(AF212&gt;7,1.25,IF(AF212&gt;4,0.75,0)))+IF(OR(AG212="-",W212&lt;4),0,IF(AG212&gt;7,1+IF(W212&gt;7,0.15,0),IF(AG212&gt;4,0.5+IF(W212&gt;7,0.15,0),0))))</f>
        <v>0.5</v>
      </c>
      <c r="AQ212" s="46">
        <f>($AM$3*AM212+$AN$3*AN212+$AO$3*AO212+$AP$3*AP212)+$I$3*VLOOKUP(I212,COND!$A$2:$E$7,4,FALSE)+$J$3*VLOOKUP(J212,COND!$A$2:$C$7,2,FALSE)+$K$3*VLOOKUP(K212,COND!$A$2:$C$7,3,FALSE)+IF(AND($B$2&gt;0,$E212&lt;20),$B$2*25,0)</f>
        <v>41.435624776260894</v>
      </c>
      <c r="AR212" s="49">
        <f>STANDARDIZE(AQ212,AVERAGE($AQ$5:$AQ$537),STDEVP($AQ$5:$AQ$537))</f>
        <v>0.19131682967380534</v>
      </c>
      <c r="AS212" s="47" t="str">
        <f>IF(AND(Z212&lt;&gt;"-",Y212&gt;1),"C",IF(AB212=MAX(AB212:AD212),"2B",IF(AD212=MAX(AB212:AD212),"SS",IF(OR(AC212=MAX(AA212:AD212),AND(AC212&lt;&gt;"-",AC212&gt;4,V212&gt;5)),"3B",IF(AF212=MAX(AE212:AG212),"CF",IF(AND(AG212=MAX(AE212,AG212),AND(W212&gt;5,AG212&lt;&gt;"-")),"RF",IF(AE212&lt;&gt;"-","LF",IF(AA212&lt;&gt;"-","1B","DH"))))))))</f>
        <v>3B</v>
      </c>
      <c r="AT212" s="47"/>
      <c r="AU212" s="47"/>
      <c r="AV212" s="47"/>
      <c r="AW212" s="47" t="str">
        <f>IF(AND($Q212&gt;=6,AVERAGE($S212:$T212)&gt;=6),"Likely",IF(OR($Q212&gt;6,AND($Q212=6,AVERAGE($S212:$T212)&gt;=3),AND($Q212&gt;=5,AVERAGE($S212:$T212)&gt;=5),AVERAGE($Q212,$S212:$T212)&gt;5),"Possible","Unlikely"))</f>
        <v>Unlikely</v>
      </c>
      <c r="AX212" s="47"/>
      <c r="AY212" s="47" t="str">
        <f>INDEX(Table5[[#All],[Ovr]],MATCH(Batters[[#This Row],[PID]],Table5[[#All],[PID]],0))</f>
        <v/>
      </c>
      <c r="AZ212" s="47" t="str">
        <f>INDEX(Table5[[#All],[Rnd]],MATCH(Batters[[#This Row],[PID]],Table5[[#All],[PID]],0))</f>
        <v/>
      </c>
      <c r="BA212" s="47" t="str">
        <f>INDEX(Table5[[#All],[Pick]],MATCH(Batters[[#This Row],[PID]],Table5[[#All],[PID]],0))</f>
        <v/>
      </c>
      <c r="BB212" s="47" t="str">
        <f>INDEX(Table5[[#All],[Team]],MATCH(Batters[[#This Row],[PID]],Table5[[#All],[PID]],0))</f>
        <v/>
      </c>
    </row>
    <row r="213" spans="1:54" ht="15" customHeight="1" x14ac:dyDescent="0.25">
      <c r="A213" s="42">
        <v>8834</v>
      </c>
      <c r="B213" s="42" t="s">
        <v>86</v>
      </c>
      <c r="C213" s="42" t="s">
        <v>160</v>
      </c>
      <c r="D213" s="42" t="s">
        <v>727</v>
      </c>
      <c r="E213" s="42">
        <v>17</v>
      </c>
      <c r="F213" s="42" t="s">
        <v>42</v>
      </c>
      <c r="G213" s="42" t="s">
        <v>42</v>
      </c>
      <c r="H213" s="43" t="s">
        <v>709</v>
      </c>
      <c r="I213" s="44" t="s">
        <v>44</v>
      </c>
      <c r="J213" s="42" t="s">
        <v>47</v>
      </c>
      <c r="K213" s="43" t="s">
        <v>43</v>
      </c>
      <c r="L213" s="42">
        <v>1</v>
      </c>
      <c r="M213" s="42">
        <v>2</v>
      </c>
      <c r="N213" s="42">
        <v>2</v>
      </c>
      <c r="O213" s="42">
        <v>1</v>
      </c>
      <c r="P213" s="43">
        <v>1</v>
      </c>
      <c r="Q213" s="42">
        <v>3</v>
      </c>
      <c r="R213" s="42">
        <v>4</v>
      </c>
      <c r="S213" s="42">
        <v>3</v>
      </c>
      <c r="T213" s="42">
        <v>4</v>
      </c>
      <c r="U213" s="43">
        <v>3</v>
      </c>
      <c r="V213" s="42">
        <v>2</v>
      </c>
      <c r="W213" s="42">
        <v>2</v>
      </c>
      <c r="X213" s="42">
        <v>4</v>
      </c>
      <c r="Y213" s="43">
        <v>6</v>
      </c>
      <c r="Z213" s="42" t="s">
        <v>45</v>
      </c>
      <c r="AA213" s="42" t="s">
        <v>45</v>
      </c>
      <c r="AB213" s="42" t="s">
        <v>45</v>
      </c>
      <c r="AC213" s="42" t="s">
        <v>45</v>
      </c>
      <c r="AD213" s="42" t="s">
        <v>45</v>
      </c>
      <c r="AE213" s="42" t="s">
        <v>45</v>
      </c>
      <c r="AF213" s="42" t="s">
        <v>45</v>
      </c>
      <c r="AG213" s="43" t="s">
        <v>45</v>
      </c>
      <c r="AH213" s="42">
        <v>2</v>
      </c>
      <c r="AI213" s="42">
        <v>4</v>
      </c>
      <c r="AJ213" s="43">
        <v>2</v>
      </c>
      <c r="AK213" s="45" t="s">
        <v>602</v>
      </c>
      <c r="AL213" s="45" t="s">
        <v>47</v>
      </c>
      <c r="AM213" s="46">
        <f>($L$3*(L213-$Q$1)/$Q$2+$M$3*(M213-$R$1)/$R$2+$N$3*(N213-$S$1)/$S$2+$O$3*(O213-$T$1)/$T$2+$P$3*(P213-$U$1)/$U$2)/(SUM($L$3:$P$3))</f>
        <v>-1.9502219761849671</v>
      </c>
      <c r="AN213" s="46">
        <f>($L$3*(Q213-$Q$1)/$Q$2+$M$3*(R213-$R$1)/$R$2+$N$3*(S213-$S$1)/$S$2+$O$3*(T213-$T$1)/$T$2+$P$3*(U213-$U$1)/$U$2)/(SUM($L$3:$P$3))</f>
        <v>-0.77076772085539913</v>
      </c>
      <c r="AO213" s="47">
        <f>IF(AVERAGE(AH213:AI213)&gt;9,1,0)+IF(AVERAGE(AH213:AI213)&gt;7,1,0)+IF(AH213&gt;7,1,0)+IF(AI213&gt;7,1,0)+IF(AJ213&gt;8,1,0)+IF(AJ213&gt;6,1,0)</f>
        <v>0</v>
      </c>
      <c r="AP213" s="48">
        <f>MIN(2,IF(OR(Z213="-",X213&lt;5),0,1+IF(Y213&gt;7,0.35,IF(Y213&gt;5,0.1,0))+IF(Z213&gt;7,1+IF(X213&gt;7,0.25,0),IF(Z213&gt;4,0.5+IF(X213&gt;7,0.25,0),0+IF(X213&gt;7,0.25))))+IF(AA213="-",0,IF(AA213&gt;9,0.5,IF(AA213&gt;7,0.25,0)))+IF(AB213="-",0,IF(AB213&gt;7,1.1,IF(AB213&gt;4,0.6,0)))+IF(OR(AC213="-",V213&lt;5),0,IF(AC213&gt;7,1+IF(V213&gt;7,0.25,0),IF(AC213&gt;4,0.5+IF(V213&gt;7,0.25,0),0)))+IF(AD213="-",0,IF(AD213&gt;7,1.5,IF(AD213&gt;4,1,0)))+IF(AE213="-",0,IF(AE213&gt;9,0.5,IF(AE213&gt;7,0.25,0)))+IF(AF213="-",0,IF(AF213&gt;7,1.25,IF(AF213&gt;4,0.75,0)))+IF(OR(AG213="-",W213&lt;4),0,IF(AG213&gt;7,1+IF(W213&gt;7,0.15,0),IF(AG213&gt;4,0.5+IF(W213&gt;7,0.15,0),0))))</f>
        <v>0</v>
      </c>
      <c r="AQ213" s="46">
        <f>($AM$3*AM213+$AN$3*AN213+$AO$3*AO213+$AP$3*AP213)+$I$3*VLOOKUP(I213,COND!$A$2:$E$7,4,FALSE)+$J$3*VLOOKUP(J213,COND!$A$2:$C$7,2,FALSE)+$K$3*VLOOKUP(K213,COND!$A$2:$C$7,3,FALSE)+IF(AND($B$2&gt;0,$E213&lt;20),$B$2*25,0)</f>
        <v>40.705765152116712</v>
      </c>
      <c r="AR213" s="49">
        <f>STANDARDIZE(AQ213,AVERAGE($AQ$5:$AQ$537),STDEVP($AQ$5:$AQ$537))</f>
        <v>6.2902879674121476E-2</v>
      </c>
      <c r="AS213" s="47" t="str">
        <f>IF(AND(Z213&lt;&gt;"-",Y213&gt;1),"C",IF(AB213=MAX(AB213:AD213),"2B",IF(AD213=MAX(AB213:AD213),"SS",IF(OR(AC213=MAX(AA213:AD213),AND(AC213&lt;&gt;"-",AC213&gt;4,V213&gt;5)),"3B",IF(AF213=MAX(AE213:AG213),"CF",IF(AND(AG213=MAX(AE213,AG213),AND(W213&gt;5,AG213&lt;&gt;"-")),"RF",IF(AE213&lt;&gt;"-","LF",IF(AA213&lt;&gt;"-","1B","DH"))))))))</f>
        <v>DH</v>
      </c>
      <c r="AT213" s="47"/>
      <c r="AU213" s="47"/>
      <c r="AV213" s="47"/>
      <c r="AW213" s="47" t="str">
        <f>IF(AND($Q213&gt;=6,AVERAGE($S213:$T213)&gt;=6),"Likely",IF(OR($Q213&gt;6,AND($Q213=6,AVERAGE($S213:$T213)&gt;=3),AND($Q213&gt;=5,AVERAGE($S213:$T213)&gt;=5),AVERAGE($Q213,$S213:$T213)&gt;5),"Possible","Unlikely"))</f>
        <v>Unlikely</v>
      </c>
      <c r="AX213" s="47"/>
      <c r="AY213" s="47" t="str">
        <f>INDEX(Table5[[#All],[Ovr]],MATCH(Batters[[#This Row],[PID]],Table5[[#All],[PID]],0))</f>
        <v/>
      </c>
      <c r="AZ213" s="47" t="str">
        <f>INDEX(Table5[[#All],[Rnd]],MATCH(Batters[[#This Row],[PID]],Table5[[#All],[PID]],0))</f>
        <v/>
      </c>
      <c r="BA213" s="47" t="str">
        <f>INDEX(Table5[[#All],[Pick]],MATCH(Batters[[#This Row],[PID]],Table5[[#All],[PID]],0))</f>
        <v/>
      </c>
      <c r="BB213" s="47" t="str">
        <f>INDEX(Table5[[#All],[Team]],MATCH(Batters[[#This Row],[PID]],Table5[[#All],[PID]],0))</f>
        <v/>
      </c>
    </row>
    <row r="214" spans="1:54" ht="15" customHeight="1" x14ac:dyDescent="0.25">
      <c r="A214" s="42">
        <v>8472</v>
      </c>
      <c r="B214" s="42" t="s">
        <v>71</v>
      </c>
      <c r="C214" s="42" t="s">
        <v>732</v>
      </c>
      <c r="D214" s="42" t="s">
        <v>716</v>
      </c>
      <c r="E214" s="42">
        <v>18</v>
      </c>
      <c r="F214" s="42" t="s">
        <v>42</v>
      </c>
      <c r="G214" s="42" t="s">
        <v>42</v>
      </c>
      <c r="H214" s="43" t="s">
        <v>709</v>
      </c>
      <c r="I214" s="44" t="s">
        <v>43</v>
      </c>
      <c r="J214" s="42" t="s">
        <v>47</v>
      </c>
      <c r="K214" s="43" t="s">
        <v>43</v>
      </c>
      <c r="L214" s="42">
        <v>1</v>
      </c>
      <c r="M214" s="42">
        <v>1</v>
      </c>
      <c r="N214" s="42">
        <v>2</v>
      </c>
      <c r="O214" s="42">
        <v>1</v>
      </c>
      <c r="P214" s="43">
        <v>2</v>
      </c>
      <c r="Q214" s="42">
        <v>3</v>
      </c>
      <c r="R214" s="42">
        <v>4</v>
      </c>
      <c r="S214" s="42">
        <v>2</v>
      </c>
      <c r="T214" s="42">
        <v>3</v>
      </c>
      <c r="U214" s="43">
        <v>4</v>
      </c>
      <c r="V214" s="42">
        <v>5</v>
      </c>
      <c r="W214" s="42">
        <v>3</v>
      </c>
      <c r="X214" s="42">
        <v>1</v>
      </c>
      <c r="Y214" s="43">
        <v>1</v>
      </c>
      <c r="Z214" s="42" t="s">
        <v>45</v>
      </c>
      <c r="AA214" s="42" t="s">
        <v>45</v>
      </c>
      <c r="AB214" s="42">
        <v>5</v>
      </c>
      <c r="AC214" s="42" t="s">
        <v>45</v>
      </c>
      <c r="AD214" s="42" t="s">
        <v>45</v>
      </c>
      <c r="AE214" s="42" t="s">
        <v>45</v>
      </c>
      <c r="AF214" s="42" t="s">
        <v>45</v>
      </c>
      <c r="AG214" s="43" t="s">
        <v>45</v>
      </c>
      <c r="AH214" s="42">
        <v>10</v>
      </c>
      <c r="AI214" s="42">
        <v>7</v>
      </c>
      <c r="AJ214" s="43">
        <v>9</v>
      </c>
      <c r="AK214" s="45" t="s">
        <v>718</v>
      </c>
      <c r="AL214" s="45" t="s">
        <v>47</v>
      </c>
      <c r="AM214" s="46">
        <f>($L$3*(L214-$Q$1)/$Q$2+$M$3*(M214-$R$1)/$R$2+$N$3*(N214-$S$1)/$S$2+$O$3*(O214-$T$1)/$T$2+$P$3*(P214-$U$1)/$U$2)/(SUM($L$3:$P$3))</f>
        <v>-1.961265515986587</v>
      </c>
      <c r="AN214" s="46">
        <f>($L$3*(Q214-$Q$1)/$Q$2+$M$3*(R214-$R$1)/$R$2+$N$3*(S214-$S$1)/$S$2+$O$3*(T214-$T$1)/$T$2+$P$3*(U214-$U$1)/$U$2)/(SUM($L$3:$P$3))</f>
        <v>-0.90352242507179814</v>
      </c>
      <c r="AO214" s="47">
        <f>IF(AVERAGE(AH214:AI214)&gt;9,1,0)+IF(AVERAGE(AH214:AI214)&gt;7,1,0)+IF(AH214&gt;7,1,0)+IF(AI214&gt;7,1,0)+IF(AJ214&gt;8,1,0)+IF(AJ214&gt;6,1,0)</f>
        <v>4</v>
      </c>
      <c r="AP214" s="48">
        <f>MIN(2,IF(OR(Z214="-",X214&lt;5),0,1+IF(Y214&gt;7,0.35,IF(Y214&gt;5,0.1,0))+IF(Z214&gt;7,1+IF(X214&gt;7,0.25,0),IF(Z214&gt;4,0.5+IF(X214&gt;7,0.25,0),0+IF(X214&gt;7,0.25))))+IF(AA214="-",0,IF(AA214&gt;9,0.5,IF(AA214&gt;7,0.25,0)))+IF(AB214="-",0,IF(AB214&gt;7,1.1,IF(AB214&gt;4,0.6,0)))+IF(OR(AC214="-",V214&lt;5),0,IF(AC214&gt;7,1+IF(V214&gt;7,0.25,0),IF(AC214&gt;4,0.5+IF(V214&gt;7,0.25,0),0)))+IF(AD214="-",0,IF(AD214&gt;7,1.5,IF(AD214&gt;4,1,0)))+IF(AE214="-",0,IF(AE214&gt;9,0.5,IF(AE214&gt;7,0.25,0)))+IF(AF214="-",0,IF(AF214&gt;7,1.25,IF(AF214&gt;4,0.75,0)))+IF(OR(AG214="-",W214&lt;4),0,IF(AG214&gt;7,1+IF(W214&gt;7,0.15,0),IF(AG214&gt;4,0.5+IF(W214&gt;7,0.15,0),0))))</f>
        <v>0.6</v>
      </c>
      <c r="AQ214" s="46">
        <f>($AM$3*AM214+$AN$3*AN214+$AO$3*AO214+$AP$3*AP214)+$I$3*VLOOKUP(I214,COND!$A$2:$E$7,4,FALSE)+$J$3*VLOOKUP(J214,COND!$A$2:$C$7,2,FALSE)+$K$3*VLOOKUP(K214,COND!$A$2:$C$7,3,FALSE)+IF(AND($B$2&gt;0,$E214&lt;20),$B$2*25,0)</f>
        <v>40.528271014206432</v>
      </c>
      <c r="AR214" s="49">
        <f>STANDARDIZE(AQ214,AVERAGE($AQ$5:$AQ$537),STDEVP($AQ$5:$AQ$537))</f>
        <v>3.1673965788696017E-2</v>
      </c>
      <c r="AS214" s="47" t="str">
        <f>IF(AND(Z214&lt;&gt;"-",Y214&gt;1),"C",IF(AB214=MAX(AB214:AD214),"2B",IF(AD214=MAX(AB214:AD214),"SS",IF(OR(AC214=MAX(AA214:AD214),AND(AC214&lt;&gt;"-",AC214&gt;4,V214&gt;5)),"3B",IF(AF214=MAX(AE214:AG214),"CF",IF(AND(AG214=MAX(AE214,AG214),AND(W214&gt;5,AG214&lt;&gt;"-")),"RF",IF(AE214&lt;&gt;"-","LF",IF(AA214&lt;&gt;"-","1B","DH"))))))))</f>
        <v>2B</v>
      </c>
      <c r="AT214" s="47"/>
      <c r="AU214" s="47"/>
      <c r="AV214" s="47"/>
      <c r="AW214" s="47" t="str">
        <f>IF(AND($Q214&gt;=6,AVERAGE($S214:$T214)&gt;=6),"Likely",IF(OR($Q214&gt;6,AND($Q214=6,AVERAGE($S214:$T214)&gt;=3),AND($Q214&gt;=5,AVERAGE($S214:$T214)&gt;=5),AVERAGE($Q214,$S214:$T214)&gt;5),"Possible","Unlikely"))</f>
        <v>Unlikely</v>
      </c>
      <c r="AX214" s="47"/>
      <c r="AY214" s="47" t="str">
        <f>INDEX(Table5[[#All],[Ovr]],MATCH(Batters[[#This Row],[PID]],Table5[[#All],[PID]],0))</f>
        <v/>
      </c>
      <c r="AZ214" s="47" t="str">
        <f>INDEX(Table5[[#All],[Rnd]],MATCH(Batters[[#This Row],[PID]],Table5[[#All],[PID]],0))</f>
        <v/>
      </c>
      <c r="BA214" s="47" t="str">
        <f>INDEX(Table5[[#All],[Pick]],MATCH(Batters[[#This Row],[PID]],Table5[[#All],[PID]],0))</f>
        <v/>
      </c>
      <c r="BB214" s="47" t="str">
        <f>INDEX(Table5[[#All],[Team]],MATCH(Batters[[#This Row],[PID]],Table5[[#All],[PID]],0))</f>
        <v/>
      </c>
    </row>
    <row r="215" spans="1:54" ht="15" customHeight="1" x14ac:dyDescent="0.25">
      <c r="A215" s="42">
        <v>6544</v>
      </c>
      <c r="B215" s="42" t="s">
        <v>66</v>
      </c>
      <c r="C215" s="42" t="s">
        <v>724</v>
      </c>
      <c r="D215" s="42" t="s">
        <v>171</v>
      </c>
      <c r="E215" s="42">
        <v>18</v>
      </c>
      <c r="F215" s="42" t="s">
        <v>53</v>
      </c>
      <c r="G215" s="42" t="s">
        <v>53</v>
      </c>
      <c r="H215" s="43" t="s">
        <v>711</v>
      </c>
      <c r="I215" s="44" t="s">
        <v>43</v>
      </c>
      <c r="J215" s="42" t="s">
        <v>44</v>
      </c>
      <c r="K215" s="43" t="s">
        <v>43</v>
      </c>
      <c r="L215" s="42">
        <v>1</v>
      </c>
      <c r="M215" s="42">
        <v>1</v>
      </c>
      <c r="N215" s="42">
        <v>2</v>
      </c>
      <c r="O215" s="42">
        <v>2</v>
      </c>
      <c r="P215" s="43">
        <v>2</v>
      </c>
      <c r="Q215" s="42">
        <v>3</v>
      </c>
      <c r="R215" s="42">
        <v>3</v>
      </c>
      <c r="S215" s="42">
        <v>4</v>
      </c>
      <c r="T215" s="42">
        <v>5</v>
      </c>
      <c r="U215" s="43">
        <v>3</v>
      </c>
      <c r="V215" s="42">
        <v>5</v>
      </c>
      <c r="W215" s="42">
        <v>7</v>
      </c>
      <c r="X215" s="42">
        <v>1</v>
      </c>
      <c r="Y215" s="43">
        <v>1</v>
      </c>
      <c r="Z215" s="42" t="s">
        <v>45</v>
      </c>
      <c r="AA215" s="42" t="s">
        <v>45</v>
      </c>
      <c r="AB215" s="42" t="s">
        <v>45</v>
      </c>
      <c r="AC215" s="42" t="s">
        <v>45</v>
      </c>
      <c r="AD215" s="42" t="s">
        <v>45</v>
      </c>
      <c r="AE215" s="42">
        <v>1</v>
      </c>
      <c r="AF215" s="42" t="s">
        <v>45</v>
      </c>
      <c r="AG215" s="43">
        <v>1</v>
      </c>
      <c r="AH215" s="42">
        <v>2</v>
      </c>
      <c r="AI215" s="42">
        <v>7</v>
      </c>
      <c r="AJ215" s="43">
        <v>8</v>
      </c>
      <c r="AK215" s="45" t="s">
        <v>758</v>
      </c>
      <c r="AL215" s="45" t="s">
        <v>47</v>
      </c>
      <c r="AM215" s="46">
        <f>($L$3*(L215-$Q$1)/$Q$2+$M$3*(M215-$R$1)/$R$2+$N$3*(N215-$S$1)/$S$2+$O$3*(O215-$T$1)/$T$2+$P$3*(P215-$U$1)/$U$2)/(SUM($L$3:$P$3))</f>
        <v>-1.871555965977006</v>
      </c>
      <c r="AN215" s="46">
        <f>($L$3*(Q215-$Q$1)/$Q$2+$M$3*(R215-$R$1)/$R$2+$N$3*(S215-$S$1)/$S$2+$O$3*(T215-$T$1)/$T$2+$P$3*(U215-$U$1)/$U$2)/(SUM($L$3:$P$3))</f>
        <v>-0.64905655644061999</v>
      </c>
      <c r="AO215" s="47">
        <f>IF(AVERAGE(AH215:AI215)&gt;9,1,0)+IF(AVERAGE(AH215:AI215)&gt;7,1,0)+IF(AH215&gt;7,1,0)+IF(AI215&gt;7,1,0)+IF(AJ215&gt;8,1,0)+IF(AJ215&gt;6,1,0)</f>
        <v>1</v>
      </c>
      <c r="AP215" s="48">
        <f>MIN(2,IF(OR(Z215="-",X215&lt;5),0,1+IF(Y215&gt;7,0.35,IF(Y215&gt;5,0.1,0))+IF(Z215&gt;7,1+IF(X215&gt;7,0.25,0),IF(Z215&gt;4,0.5+IF(X215&gt;7,0.25,0),0+IF(X215&gt;7,0.25))))+IF(AA215="-",0,IF(AA215&gt;9,0.5,IF(AA215&gt;7,0.25,0)))+IF(AB215="-",0,IF(AB215&gt;7,1.1,IF(AB215&gt;4,0.6,0)))+IF(OR(AC215="-",V215&lt;5),0,IF(AC215&gt;7,1+IF(V215&gt;7,0.25,0),IF(AC215&gt;4,0.5+IF(V215&gt;7,0.25,0),0)))+IF(AD215="-",0,IF(AD215&gt;7,1.5,IF(AD215&gt;4,1,0)))+IF(AE215="-",0,IF(AE215&gt;9,0.5,IF(AE215&gt;7,0.25,0)))+IF(AF215="-",0,IF(AF215&gt;7,1.25,IF(AF215&gt;4,0.75,0)))+IF(OR(AG215="-",W215&lt;4),0,IF(AG215&gt;7,1+IF(W215&gt;7,0.15,0),IF(AG215&gt;4,0.5+IF(W215&gt;7,0.15,0),0))))</f>
        <v>0</v>
      </c>
      <c r="AQ215" s="46">
        <f>($AM$3*AM215+$AN$3*AN215+$AO$3*AO215+$AP$3*AP215)+$I$3*VLOOKUP(I215,COND!$A$2:$E$7,4,FALSE)+$J$3*VLOOKUP(J215,COND!$A$2:$C$7,2,FALSE)+$K$3*VLOOKUP(K215,COND!$A$2:$C$7,3,FALSE)+IF(AND($B$2&gt;0,$E215&lt;20),$B$2*25,0)</f>
        <v>41.890832392781526</v>
      </c>
      <c r="AR215" s="49">
        <f>STANDARDIZE(AQ215,AVERAGE($AQ$5:$AQ$537),STDEVP($AQ$5:$AQ$537))</f>
        <v>0.2714075843526913</v>
      </c>
      <c r="AS215" s="47" t="str">
        <f>IF(AND(Z215&lt;&gt;"-",Y215&gt;1),"C",IF(AB215=MAX(AB215:AD215),"2B",IF(AD215=MAX(AB215:AD215),"SS",IF(OR(AC215=MAX(AA215:AD215),AND(AC215&lt;&gt;"-",AC215&gt;4,V215&gt;5)),"3B",IF(AF215=MAX(AE215:AG215),"CF",IF(AND(AG215=MAX(AE215,AG215),AND(W215&gt;5,AG215&lt;&gt;"-")),"RF",IF(AE215&lt;&gt;"-","LF",IF(AA215&lt;&gt;"-","1B","DH"))))))))</f>
        <v>RF</v>
      </c>
      <c r="AT215" s="47"/>
      <c r="AU215" s="47"/>
      <c r="AV215" s="47"/>
      <c r="AW215" s="47" t="str">
        <f>IF(AND($Q215&gt;=6,AVERAGE($S215:$T215)&gt;=6),"Likely",IF(OR($Q215&gt;6,AND($Q215=6,AVERAGE($S215:$T215)&gt;=3),AND($Q215&gt;=5,AVERAGE($S215:$T215)&gt;=5),AVERAGE($Q215,$S215:$T215)&gt;5),"Possible","Unlikely"))</f>
        <v>Unlikely</v>
      </c>
      <c r="AX215" s="47"/>
      <c r="AY215" s="47" t="str">
        <f>INDEX(Table5[[#All],[Ovr]],MATCH(Batters[[#This Row],[PID]],Table5[[#All],[PID]],0))</f>
        <v/>
      </c>
      <c r="AZ215" s="47" t="str">
        <f>INDEX(Table5[[#All],[Rnd]],MATCH(Batters[[#This Row],[PID]],Table5[[#All],[PID]],0))</f>
        <v/>
      </c>
      <c r="BA215" s="47" t="str">
        <f>INDEX(Table5[[#All],[Pick]],MATCH(Batters[[#This Row],[PID]],Table5[[#All],[PID]],0))</f>
        <v/>
      </c>
      <c r="BB215" s="47" t="str">
        <f>INDEX(Table5[[#All],[Team]],MATCH(Batters[[#This Row],[PID]],Table5[[#All],[PID]],0))</f>
        <v/>
      </c>
    </row>
    <row r="216" spans="1:54" ht="15" customHeight="1" x14ac:dyDescent="0.25">
      <c r="A216" s="42">
        <v>11750</v>
      </c>
      <c r="B216" s="42" t="s">
        <v>66</v>
      </c>
      <c r="C216" s="42" t="s">
        <v>1059</v>
      </c>
      <c r="D216" s="42" t="s">
        <v>1038</v>
      </c>
      <c r="E216" s="42">
        <v>21</v>
      </c>
      <c r="F216" s="42" t="s">
        <v>53</v>
      </c>
      <c r="G216" s="42" t="s">
        <v>42</v>
      </c>
      <c r="H216" s="43" t="s">
        <v>709</v>
      </c>
      <c r="I216" s="44" t="s">
        <v>44</v>
      </c>
      <c r="J216" s="42" t="s">
        <v>43</v>
      </c>
      <c r="K216" s="43" t="s">
        <v>43</v>
      </c>
      <c r="L216" s="42">
        <v>2</v>
      </c>
      <c r="M216" s="42">
        <v>3</v>
      </c>
      <c r="N216" s="42">
        <v>2</v>
      </c>
      <c r="O216" s="42">
        <v>2</v>
      </c>
      <c r="P216" s="43">
        <v>3</v>
      </c>
      <c r="Q216" s="42">
        <v>4</v>
      </c>
      <c r="R216" s="42">
        <v>4</v>
      </c>
      <c r="S216" s="42">
        <v>3</v>
      </c>
      <c r="T216" s="42">
        <v>4</v>
      </c>
      <c r="U216" s="43">
        <v>4</v>
      </c>
      <c r="V216" s="42">
        <v>5</v>
      </c>
      <c r="W216" s="42">
        <v>7</v>
      </c>
      <c r="X216" s="42">
        <v>1</v>
      </c>
      <c r="Y216" s="43">
        <v>1</v>
      </c>
      <c r="Z216" s="42" t="s">
        <v>45</v>
      </c>
      <c r="AA216" s="42" t="s">
        <v>45</v>
      </c>
      <c r="AB216" s="42" t="s">
        <v>45</v>
      </c>
      <c r="AC216" s="42" t="s">
        <v>45</v>
      </c>
      <c r="AD216" s="42" t="s">
        <v>45</v>
      </c>
      <c r="AE216" s="42" t="s">
        <v>45</v>
      </c>
      <c r="AF216" s="42" t="s">
        <v>45</v>
      </c>
      <c r="AG216" s="43">
        <v>7</v>
      </c>
      <c r="AH216" s="42">
        <v>9</v>
      </c>
      <c r="AI216" s="42">
        <v>9</v>
      </c>
      <c r="AJ216" s="43">
        <v>10</v>
      </c>
      <c r="AK216" s="45" t="s">
        <v>45</v>
      </c>
      <c r="AL216" s="45" t="s">
        <v>47</v>
      </c>
      <c r="AM216" s="46">
        <f>($L$3*(L216-$Q$1)/$Q$2+$M$3*(M216-$R$1)/$R$2+$N$3*(N216-$S$1)/$S$2+$O$3*(O216-$T$1)/$T$2+$P$3*(P216-$U$1)/$U$2)/(SUM($L$3:$P$3))</f>
        <v>-1.406864030719841</v>
      </c>
      <c r="AN216" s="46">
        <f>($L$3*(Q216-$Q$1)/$Q$2+$M$3*(R216-$R$1)/$R$2+$N$3*(S216-$S$1)/$S$2+$O$3*(T216-$T$1)/$T$2+$P$3*(U216-$U$1)/$U$2)/(SUM($L$3:$P$3))</f>
        <v>-0.40819554483564086</v>
      </c>
      <c r="AO216" s="47">
        <f>IF(AVERAGE(AH216:AI216)&gt;9,1,0)+IF(AVERAGE(AH216:AI216)&gt;7,1,0)+IF(AH216&gt;7,1,0)+IF(AI216&gt;7,1,0)+IF(AJ216&gt;8,1,0)+IF(AJ216&gt;6,1,0)</f>
        <v>5</v>
      </c>
      <c r="AP216" s="48">
        <f>MIN(2,IF(OR(Z216="-",X216&lt;5),0,1+IF(Y216&gt;7,0.35,IF(Y216&gt;5,0.1,0))+IF(Z216&gt;7,1+IF(X216&gt;7,0.25,0),IF(Z216&gt;4,0.5+IF(X216&gt;7,0.25,0),0+IF(X216&gt;7,0.25))))+IF(AA216="-",0,IF(AA216&gt;9,0.5,IF(AA216&gt;7,0.25,0)))+IF(AB216="-",0,IF(AB216&gt;7,1.1,IF(AB216&gt;4,0.6,0)))+IF(OR(AC216="-",V216&lt;5),0,IF(AC216&gt;7,1+IF(V216&gt;7,0.25,0),IF(AC216&gt;4,0.5+IF(V216&gt;7,0.25,0),0)))+IF(AD216="-",0,IF(AD216&gt;7,1.5,IF(AD216&gt;4,1,0)))+IF(AE216="-",0,IF(AE216&gt;9,0.5,IF(AE216&gt;7,0.25,0)))+IF(AF216="-",0,IF(AF216&gt;7,1.25,IF(AF216&gt;4,0.75,0)))+IF(OR(AG216="-",W216&lt;4),0,IF(AG216&gt;7,1+IF(W216&gt;7,0.15,0),IF(AG216&gt;4,0.5+IF(W216&gt;7,0.15,0),0))))</f>
        <v>0.5</v>
      </c>
      <c r="AQ216" s="46">
        <f>($AM$3*AM216+$AN$3*AN216+$AO$3*AO216+$AP$3*AP216)+$I$3*VLOOKUP(I216,COND!$A$2:$E$7,4,FALSE)+$J$3*VLOOKUP(J216,COND!$A$2:$C$7,2,FALSE)+$K$3*VLOOKUP(K216,COND!$A$2:$C$7,3,FALSE)+IF(AND($B$2&gt;0,$E216&lt;20),$B$2*25,0)</f>
        <v>41.14430039223366</v>
      </c>
      <c r="AR216" s="49">
        <f>STANDARDIZE(AQ216,AVERAGE($AQ$5:$AQ$537),STDEVP($AQ$5:$AQ$537))</f>
        <v>0.14006024053445099</v>
      </c>
      <c r="AS216" s="47" t="str">
        <f>IF(AND(Z216&lt;&gt;"-",Y216&gt;1),"C",IF(AB216=MAX(AB216:AD216),"2B",IF(AD216=MAX(AB216:AD216),"SS",IF(OR(AC216=MAX(AA216:AD216),AND(AC216&lt;&gt;"-",AC216&gt;4,V216&gt;5)),"3B",IF(AF216=MAX(AE216:AG216),"CF",IF(AND(AG216=MAX(AE216,AG216),AND(W216&gt;5,AG216&lt;&gt;"-")),"RF",IF(AE216&lt;&gt;"-","LF",IF(AA216&lt;&gt;"-","1B","DH"))))))))</f>
        <v>RF</v>
      </c>
      <c r="AT216" s="47"/>
      <c r="AU216" s="47"/>
      <c r="AV216" s="47"/>
      <c r="AW216" s="47" t="str">
        <f>IF(AND($Q216&gt;=6,AVERAGE($S216:$T216)&gt;=6),"Likely",IF(OR($Q216&gt;6,AND($Q216=6,AVERAGE($S216:$T216)&gt;=3),AND($Q216&gt;=5,AVERAGE($S216:$T216)&gt;=5),AVERAGE($Q216,$S216:$T216)&gt;5),"Possible","Unlikely"))</f>
        <v>Unlikely</v>
      </c>
      <c r="AX216" s="47"/>
      <c r="AY216" s="47" t="str">
        <f>INDEX(Table5[[#All],[Ovr]],MATCH(Batters[[#This Row],[PID]],Table5[[#All],[PID]],0))</f>
        <v/>
      </c>
      <c r="AZ216" s="47" t="str">
        <f>INDEX(Table5[[#All],[Rnd]],MATCH(Batters[[#This Row],[PID]],Table5[[#All],[PID]],0))</f>
        <v/>
      </c>
      <c r="BA216" s="47" t="str">
        <f>INDEX(Table5[[#All],[Pick]],MATCH(Batters[[#This Row],[PID]],Table5[[#All],[PID]],0))</f>
        <v/>
      </c>
      <c r="BB216" s="47" t="str">
        <f>INDEX(Table5[[#All],[Team]],MATCH(Batters[[#This Row],[PID]],Table5[[#All],[PID]],0))</f>
        <v/>
      </c>
    </row>
    <row r="217" spans="1:54" ht="15" customHeight="1" x14ac:dyDescent="0.25">
      <c r="A217" s="42">
        <v>9024</v>
      </c>
      <c r="B217" s="42" t="s">
        <v>87</v>
      </c>
      <c r="C217" s="42" t="s">
        <v>811</v>
      </c>
      <c r="D217" s="42" t="s">
        <v>1251</v>
      </c>
      <c r="E217" s="42">
        <v>18</v>
      </c>
      <c r="F217" s="42" t="s">
        <v>62</v>
      </c>
      <c r="G217" s="42" t="s">
        <v>42</v>
      </c>
      <c r="H217" s="43" t="s">
        <v>711</v>
      </c>
      <c r="I217" s="44" t="s">
        <v>47</v>
      </c>
      <c r="J217" s="42" t="s">
        <v>43</v>
      </c>
      <c r="K217" s="43" t="s">
        <v>43</v>
      </c>
      <c r="L217" s="42">
        <v>1</v>
      </c>
      <c r="M217" s="42">
        <v>1</v>
      </c>
      <c r="N217" s="42">
        <v>2</v>
      </c>
      <c r="O217" s="42">
        <v>1</v>
      </c>
      <c r="P217" s="43">
        <v>1</v>
      </c>
      <c r="Q217" s="42">
        <v>3</v>
      </c>
      <c r="R217" s="42">
        <v>2</v>
      </c>
      <c r="S217" s="42">
        <v>4</v>
      </c>
      <c r="T217" s="42">
        <v>5</v>
      </c>
      <c r="U217" s="43">
        <v>2</v>
      </c>
      <c r="V217" s="42">
        <v>10</v>
      </c>
      <c r="W217" s="42">
        <v>10</v>
      </c>
      <c r="X217" s="42">
        <v>1</v>
      </c>
      <c r="Y217" s="43">
        <v>1</v>
      </c>
      <c r="Z217" s="42" t="s">
        <v>45</v>
      </c>
      <c r="AA217" s="42">
        <v>2</v>
      </c>
      <c r="AB217" s="42" t="s">
        <v>45</v>
      </c>
      <c r="AC217" s="42" t="s">
        <v>45</v>
      </c>
      <c r="AD217" s="42" t="s">
        <v>45</v>
      </c>
      <c r="AE217" s="42" t="s">
        <v>45</v>
      </c>
      <c r="AF217" s="42" t="s">
        <v>45</v>
      </c>
      <c r="AG217" s="43" t="s">
        <v>45</v>
      </c>
      <c r="AH217" s="42">
        <v>1</v>
      </c>
      <c r="AI217" s="42">
        <v>2</v>
      </c>
      <c r="AJ217" s="43">
        <v>2</v>
      </c>
      <c r="AK217" s="45" t="s">
        <v>730</v>
      </c>
      <c r="AL217" s="45" t="s">
        <v>47</v>
      </c>
      <c r="AM217" s="46">
        <f>($L$3*(L217-$Q$1)/$Q$2+$M$3*(M217-$R$1)/$R$2+$N$3*(N217-$S$1)/$S$2+$O$3*(O217-$T$1)/$T$2+$P$3*(P217-$U$1)/$U$2)/(SUM($L$3:$P$3))</f>
        <v>-2.0012818558036707</v>
      </c>
      <c r="AN217" s="46">
        <f>($L$3*(Q217-$Q$1)/$Q$2+$M$3*(R217-$R$1)/$R$2+$N$3*(S217-$S$1)/$S$2+$O$3*(T217-$T$1)/$T$2+$P$3*(U217-$U$1)/$U$2)/(SUM($L$3:$P$3))</f>
        <v>-0.74013277587640713</v>
      </c>
      <c r="AO217" s="47">
        <f>IF(AVERAGE(AH217:AI217)&gt;9,1,0)+IF(AVERAGE(AH217:AI217)&gt;7,1,0)+IF(AH217&gt;7,1,0)+IF(AI217&gt;7,1,0)+IF(AJ217&gt;8,1,0)+IF(AJ217&gt;6,1,0)</f>
        <v>0</v>
      </c>
      <c r="AP217" s="48">
        <f>MIN(2,IF(OR(Z217="-",X217&lt;5),0,1+IF(Y217&gt;7,0.35,IF(Y217&gt;5,0.1,0))+IF(Z217&gt;7,1+IF(X217&gt;7,0.25,0),IF(Z217&gt;4,0.5+IF(X217&gt;7,0.25,0),0+IF(X217&gt;7,0.25))))+IF(AA217="-",0,IF(AA217&gt;9,0.5,IF(AA217&gt;7,0.25,0)))+IF(AB217="-",0,IF(AB217&gt;7,1.1,IF(AB217&gt;4,0.6,0)))+IF(OR(AC217="-",V217&lt;5),0,IF(AC217&gt;7,1+IF(V217&gt;7,0.25,0),IF(AC217&gt;4,0.5+IF(V217&gt;7,0.25,0),0)))+IF(AD217="-",0,IF(AD217&gt;7,1.5,IF(AD217&gt;4,1,0)))+IF(AE217="-",0,IF(AE217&gt;9,0.5,IF(AE217&gt;7,0.25,0)))+IF(AF217="-",0,IF(AF217&gt;7,1.25,IF(AF217&gt;4,0.75,0)))+IF(OR(AG217="-",W217&lt;4),0,IF(AG217&gt;7,1+IF(W217&gt;7,0.15,0),IF(AG217&gt;4,0.5+IF(W217&gt;7,0.15,0),0))))</f>
        <v>0</v>
      </c>
      <c r="AQ217" s="46">
        <f>($AM$3*AM217+$AN$3*AN217+$AO$3*AO217+$AP$3*AP217)+$I$3*VLOOKUP(I217,COND!$A$2:$E$7,4,FALSE)+$J$3*VLOOKUP(J217,COND!$A$2:$C$7,2,FALSE)+$K$3*VLOOKUP(K217,COND!$A$2:$C$7,3,FALSE)+IF(AND($B$2&gt;0,$E217&lt;20),$B$2*25,0)</f>
        <v>41.143278503902749</v>
      </c>
      <c r="AR217" s="49">
        <f>STANDARDIZE(AQ217,AVERAGE($AQ$5:$AQ$537),STDEVP($AQ$5:$AQ$537))</f>
        <v>0.13988044607440711</v>
      </c>
      <c r="AS217" s="47" t="str">
        <f>IF(AND(Z217&lt;&gt;"-",Y217&gt;1),"C",IF(AB217=MAX(AB217:AD217),"2B",IF(AD217=MAX(AB217:AD217),"SS",IF(OR(AC217=MAX(AA217:AD217),AND(AC217&lt;&gt;"-",AC217&gt;4,V217&gt;5)),"3B",IF(AF217=MAX(AE217:AG217),"CF",IF(AND(AG217=MAX(AE217,AG217),AND(W217&gt;5,AG217&lt;&gt;"-")),"RF",IF(AE217&lt;&gt;"-","LF",IF(AA217&lt;&gt;"-","1B","DH"))))))))</f>
        <v>1B</v>
      </c>
      <c r="AT217" s="47"/>
      <c r="AU217" s="47"/>
      <c r="AV217" s="47"/>
      <c r="AW217" s="47" t="str">
        <f>IF(AND($Q217&gt;=6,AVERAGE($S217:$T217)&gt;=6),"Likely",IF(OR($Q217&gt;6,AND($Q217=6,AVERAGE($S217:$T217)&gt;=3),AND($Q217&gt;=5,AVERAGE($S217:$T217)&gt;=5),AVERAGE($Q217,$S217:$T217)&gt;5),"Possible","Unlikely"))</f>
        <v>Unlikely</v>
      </c>
      <c r="AX217" s="47"/>
      <c r="AY217" s="47" t="str">
        <f>INDEX(Table5[[#All],[Ovr]],MATCH(Batters[[#This Row],[PID]],Table5[[#All],[PID]],0))</f>
        <v/>
      </c>
      <c r="AZ217" s="47" t="str">
        <f>INDEX(Table5[[#All],[Rnd]],MATCH(Batters[[#This Row],[PID]],Table5[[#All],[PID]],0))</f>
        <v/>
      </c>
      <c r="BA217" s="47" t="str">
        <f>INDEX(Table5[[#All],[Pick]],MATCH(Batters[[#This Row],[PID]],Table5[[#All],[PID]],0))</f>
        <v/>
      </c>
      <c r="BB217" s="47" t="str">
        <f>INDEX(Table5[[#All],[Team]],MATCH(Batters[[#This Row],[PID]],Table5[[#All],[PID]],0))</f>
        <v/>
      </c>
    </row>
    <row r="218" spans="1:54" ht="15" customHeight="1" x14ac:dyDescent="0.25">
      <c r="A218" s="42">
        <v>14069</v>
      </c>
      <c r="B218" s="42" t="s">
        <v>71</v>
      </c>
      <c r="C218" s="42" t="s">
        <v>1203</v>
      </c>
      <c r="D218" s="42" t="s">
        <v>885</v>
      </c>
      <c r="E218" s="42">
        <v>18</v>
      </c>
      <c r="F218" s="42" t="s">
        <v>42</v>
      </c>
      <c r="G218" s="42" t="s">
        <v>42</v>
      </c>
      <c r="H218" s="43" t="s">
        <v>709</v>
      </c>
      <c r="I218" s="44" t="s">
        <v>43</v>
      </c>
      <c r="J218" s="42" t="s">
        <v>44</v>
      </c>
      <c r="K218" s="43" t="s">
        <v>43</v>
      </c>
      <c r="L218" s="42">
        <v>1</v>
      </c>
      <c r="M218" s="42">
        <v>1</v>
      </c>
      <c r="N218" s="42">
        <v>2</v>
      </c>
      <c r="O218" s="42">
        <v>2</v>
      </c>
      <c r="P218" s="43">
        <v>1</v>
      </c>
      <c r="Q218" s="42">
        <v>3</v>
      </c>
      <c r="R218" s="42">
        <v>3</v>
      </c>
      <c r="S218" s="42">
        <v>3</v>
      </c>
      <c r="T218" s="42">
        <v>6</v>
      </c>
      <c r="U218" s="43">
        <v>3</v>
      </c>
      <c r="V218" s="42">
        <v>5</v>
      </c>
      <c r="W218" s="42">
        <v>2</v>
      </c>
      <c r="X218" s="42">
        <v>1</v>
      </c>
      <c r="Y218" s="43">
        <v>1</v>
      </c>
      <c r="Z218" s="42" t="s">
        <v>45</v>
      </c>
      <c r="AA218" s="42" t="s">
        <v>45</v>
      </c>
      <c r="AB218" s="42">
        <v>3</v>
      </c>
      <c r="AC218" s="42" t="s">
        <v>45</v>
      </c>
      <c r="AD218" s="42" t="s">
        <v>45</v>
      </c>
      <c r="AE218" s="42" t="s">
        <v>45</v>
      </c>
      <c r="AF218" s="42" t="s">
        <v>45</v>
      </c>
      <c r="AG218" s="43" t="s">
        <v>45</v>
      </c>
      <c r="AH218" s="42">
        <v>7</v>
      </c>
      <c r="AI218" s="42">
        <v>4</v>
      </c>
      <c r="AJ218" s="43">
        <v>5</v>
      </c>
      <c r="AK218" s="45" t="s">
        <v>739</v>
      </c>
      <c r="AL218" s="45" t="s">
        <v>47</v>
      </c>
      <c r="AM218" s="46">
        <f>($L$3*(L218-$Q$1)/$Q$2+$M$3*(M218-$R$1)/$R$2+$N$3*(N218-$S$1)/$S$2+$O$3*(O218-$T$1)/$T$2+$P$3*(P218-$U$1)/$U$2)/(SUM($L$3:$P$3))</f>
        <v>-1.9115723057940897</v>
      </c>
      <c r="AN218" s="46">
        <f>($L$3*(Q218-$Q$1)/$Q$2+$M$3*(R218-$R$1)/$R$2+$N$3*(S218-$S$1)/$S$2+$O$3*(T218-$T$1)/$T$2+$P$3*(U218-$U$1)/$U$2)/(SUM($L$3:$P$3))</f>
        <v>-0.64240850045494047</v>
      </c>
      <c r="AO218" s="47">
        <f>IF(AVERAGE(AH218:AI218)&gt;9,1,0)+IF(AVERAGE(AH218:AI218)&gt;7,1,0)+IF(AH218&gt;7,1,0)+IF(AI218&gt;7,1,0)+IF(AJ218&gt;8,1,0)+IF(AJ218&gt;6,1,0)</f>
        <v>0</v>
      </c>
      <c r="AP218" s="48">
        <f>MIN(2,IF(OR(Z218="-",X218&lt;5),0,1+IF(Y218&gt;7,0.35,IF(Y218&gt;5,0.1,0))+IF(Z218&gt;7,1+IF(X218&gt;7,0.25,0),IF(Z218&gt;4,0.5+IF(X218&gt;7,0.25,0),0+IF(X218&gt;7,0.25))))+IF(AA218="-",0,IF(AA218&gt;9,0.5,IF(AA218&gt;7,0.25,0)))+IF(AB218="-",0,IF(AB218&gt;7,1.1,IF(AB218&gt;4,0.6,0)))+IF(OR(AC218="-",V218&lt;5),0,IF(AC218&gt;7,1+IF(V218&gt;7,0.25,0),IF(AC218&gt;4,0.5+IF(V218&gt;7,0.25,0),0)))+IF(AD218="-",0,IF(AD218&gt;7,1.5,IF(AD218&gt;4,1,0)))+IF(AE218="-",0,IF(AE218&gt;9,0.5,IF(AE218&gt;7,0.25,0)))+IF(AF218="-",0,IF(AF218&gt;7,1.25,IF(AF218&gt;4,0.75,0)))+IF(OR(AG218="-",W218&lt;4),0,IF(AG218&gt;7,1+IF(W218&gt;7,0.15,0),IF(AG218&gt;4,0.5+IF(W218&gt;7,0.15,0),0))))</f>
        <v>0</v>
      </c>
      <c r="AQ218" s="46">
        <f>($AM$3*AM218+$AN$3*AN218+$AO$3*AO218+$AP$3*AP218)+$I$3*VLOOKUP(I218,COND!$A$2:$E$7,4,FALSE)+$J$3*VLOOKUP(J218,COND!$A$2:$C$7,2,FALSE)+$K$3*VLOOKUP(K218,COND!$A$2:$C$7,3,FALSE)+IF(AND($B$2&gt;0,$E218&lt;20),$B$2*25,0)</f>
        <v>41.799940763961303</v>
      </c>
      <c r="AR218" s="49">
        <f>STANDARDIZE(AQ218,AVERAGE($AQ$5:$AQ$537),STDEVP($AQ$5:$AQ$537))</f>
        <v>0.25541580635511263</v>
      </c>
      <c r="AS218" s="47" t="str">
        <f>IF(AND(Z218&lt;&gt;"-",Y218&gt;1),"C",IF(AB218=MAX(AB218:AD218),"2B",IF(AD218=MAX(AB218:AD218),"SS",IF(OR(AC218=MAX(AA218:AD218),AND(AC218&lt;&gt;"-",AC218&gt;4,V218&gt;5)),"3B",IF(AF218=MAX(AE218:AG218),"CF",IF(AND(AG218=MAX(AE218,AG218),AND(W218&gt;5,AG218&lt;&gt;"-")),"RF",IF(AE218&lt;&gt;"-","LF",IF(AA218&lt;&gt;"-","1B","DH"))))))))</f>
        <v>2B</v>
      </c>
      <c r="AT218" s="47"/>
      <c r="AU218" s="47"/>
      <c r="AV218" s="47"/>
      <c r="AW218" s="47" t="str">
        <f>IF(AND($Q218&gt;=6,AVERAGE($S218:$T218)&gt;=6),"Likely",IF(OR($Q218&gt;6,AND($Q218=6,AVERAGE($S218:$T218)&gt;=3),AND($Q218&gt;=5,AVERAGE($S218:$T218)&gt;=5),AVERAGE($Q218,$S218:$T218)&gt;5),"Possible","Unlikely"))</f>
        <v>Unlikely</v>
      </c>
      <c r="AX218" s="47"/>
      <c r="AY218" s="47" t="str">
        <f>INDEX(Table5[[#All],[Ovr]],MATCH(Batters[[#This Row],[PID]],Table5[[#All],[PID]],0))</f>
        <v/>
      </c>
      <c r="AZ218" s="47" t="str">
        <f>INDEX(Table5[[#All],[Rnd]],MATCH(Batters[[#This Row],[PID]],Table5[[#All],[PID]],0))</f>
        <v/>
      </c>
      <c r="BA218" s="47" t="str">
        <f>INDEX(Table5[[#All],[Pick]],MATCH(Batters[[#This Row],[PID]],Table5[[#All],[PID]],0))</f>
        <v/>
      </c>
      <c r="BB218" s="47" t="str">
        <f>INDEX(Table5[[#All],[Team]],MATCH(Batters[[#This Row],[PID]],Table5[[#All],[PID]],0))</f>
        <v/>
      </c>
    </row>
    <row r="219" spans="1:54" ht="15" customHeight="1" x14ac:dyDescent="0.25">
      <c r="A219" s="42">
        <v>9108</v>
      </c>
      <c r="B219" s="42" t="s">
        <v>86</v>
      </c>
      <c r="C219" s="42" t="s">
        <v>359</v>
      </c>
      <c r="D219" s="42" t="s">
        <v>440</v>
      </c>
      <c r="E219" s="42">
        <v>18</v>
      </c>
      <c r="F219" s="42" t="s">
        <v>53</v>
      </c>
      <c r="G219" s="42" t="s">
        <v>42</v>
      </c>
      <c r="H219" s="43" t="s">
        <v>709</v>
      </c>
      <c r="I219" s="44" t="s">
        <v>44</v>
      </c>
      <c r="J219" s="42" t="s">
        <v>47</v>
      </c>
      <c r="K219" s="43" t="s">
        <v>43</v>
      </c>
      <c r="L219" s="42">
        <v>1</v>
      </c>
      <c r="M219" s="42">
        <v>1</v>
      </c>
      <c r="N219" s="42">
        <v>2</v>
      </c>
      <c r="O219" s="42">
        <v>1</v>
      </c>
      <c r="P219" s="43">
        <v>1</v>
      </c>
      <c r="Q219" s="42">
        <v>3</v>
      </c>
      <c r="R219" s="42">
        <v>2</v>
      </c>
      <c r="S219" s="42">
        <v>3</v>
      </c>
      <c r="T219" s="42">
        <v>4</v>
      </c>
      <c r="U219" s="43">
        <v>2</v>
      </c>
      <c r="V219" s="42">
        <v>4</v>
      </c>
      <c r="W219" s="42">
        <v>3</v>
      </c>
      <c r="X219" s="42">
        <v>5</v>
      </c>
      <c r="Y219" s="43">
        <v>8</v>
      </c>
      <c r="Z219" s="42">
        <v>2</v>
      </c>
      <c r="AA219" s="42" t="s">
        <v>45</v>
      </c>
      <c r="AB219" s="42" t="s">
        <v>45</v>
      </c>
      <c r="AC219" s="42" t="s">
        <v>45</v>
      </c>
      <c r="AD219" s="42" t="s">
        <v>45</v>
      </c>
      <c r="AE219" s="42" t="s">
        <v>45</v>
      </c>
      <c r="AF219" s="42" t="s">
        <v>45</v>
      </c>
      <c r="AG219" s="43" t="s">
        <v>45</v>
      </c>
      <c r="AH219" s="42">
        <v>1</v>
      </c>
      <c r="AI219" s="42">
        <v>2</v>
      </c>
      <c r="AJ219" s="43">
        <v>2</v>
      </c>
      <c r="AK219" s="45" t="s">
        <v>599</v>
      </c>
      <c r="AL219" s="45" t="s">
        <v>705</v>
      </c>
      <c r="AM219" s="46">
        <f>($L$3*(L219-$Q$1)/$Q$2+$M$3*(M219-$R$1)/$R$2+$N$3*(N219-$S$1)/$S$2+$O$3*(O219-$T$1)/$T$2+$P$3*(P219-$U$1)/$U$2)/(SUM($L$3:$P$3))</f>
        <v>-2.0012818558036707</v>
      </c>
      <c r="AN219" s="46">
        <f>($L$3*(Q219-$Q$1)/$Q$2+$M$3*(R219-$R$1)/$R$2+$N$3*(S219-$S$1)/$S$2+$O$3*(T219-$T$1)/$T$2+$P$3*(U219-$U$1)/$U$2)/(SUM($L$3:$P$3))</f>
        <v>-0.91290381990988956</v>
      </c>
      <c r="AO219" s="47">
        <f>IF(AVERAGE(AH219:AI219)&gt;9,1,0)+IF(AVERAGE(AH219:AI219)&gt;7,1,0)+IF(AH219&gt;7,1,0)+IF(AI219&gt;7,1,0)+IF(AJ219&gt;8,1,0)+IF(AJ219&gt;6,1,0)</f>
        <v>0</v>
      </c>
      <c r="AP219" s="48">
        <f>MIN(2,IF(OR(Z219="-",X219&lt;5),0,1+IF(Y219&gt;7,0.35,IF(Y219&gt;5,0.1,0))+IF(Z219&gt;7,1+IF(X219&gt;7,0.25,0),IF(Z219&gt;4,0.5+IF(X219&gt;7,0.25,0),0+IF(X219&gt;7,0.25))))+IF(AA219="-",0,IF(AA219&gt;9,0.5,IF(AA219&gt;7,0.25,0)))+IF(AB219="-",0,IF(AB219&gt;7,1.1,IF(AB219&gt;4,0.6,0)))+IF(OR(AC219="-",V219&lt;5),0,IF(AC219&gt;7,1+IF(V219&gt;7,0.25,0),IF(AC219&gt;4,0.5+IF(V219&gt;7,0.25,0),0)))+IF(AD219="-",0,IF(AD219&gt;7,1.5,IF(AD219&gt;4,1,0)))+IF(AE219="-",0,IF(AE219&gt;9,0.5,IF(AE219&gt;7,0.25,0)))+IF(AF219="-",0,IF(AF219&gt;7,1.25,IF(AF219&gt;4,0.75,0)))+IF(OR(AG219="-",W219&lt;4),0,IF(AG219&gt;7,1+IF(W219&gt;7,0.15,0),IF(AG219&gt;4,0.5+IF(W219&gt;7,0.15,0),0))))</f>
        <v>1.35</v>
      </c>
      <c r="AQ219" s="46">
        <f>($AM$3*AM219+$AN$3*AN219+$AO$3*AO219+$AP$3*AP219)+$I$3*VLOOKUP(I219,COND!$A$2:$E$7,4,FALSE)+$J$3*VLOOKUP(J219,COND!$A$2:$C$7,2,FALSE)+$K$3*VLOOKUP(K219,COND!$A$2:$C$7,3,FALSE)+IF(AND($B$2&gt;0,$E219&lt;20),$B$2*25,0)</f>
        <v>40.34502597550096</v>
      </c>
      <c r="AR219" s="49">
        <f>STANDARDIZE(AQ219,AVERAGE($AQ$5:$AQ$537),STDEVP($AQ$5:$AQ$537))</f>
        <v>-5.6678086941212152E-4</v>
      </c>
      <c r="AS219" s="47" t="str">
        <f>IF(AND(Z219&lt;&gt;"-",Y219&gt;1),"C",IF(AB219=MAX(AB219:AD219),"2B",IF(AD219=MAX(AB219:AD219),"SS",IF(OR(AC219=MAX(AA219:AD219),AND(AC219&lt;&gt;"-",AC219&gt;4,V219&gt;5)),"3B",IF(AF219=MAX(AE219:AG219),"CF",IF(AND(AG219=MAX(AE219,AG219),AND(W219&gt;5,AG219&lt;&gt;"-")),"RF",IF(AE219&lt;&gt;"-","LF",IF(AA219&lt;&gt;"-","1B","DH"))))))))</f>
        <v>C</v>
      </c>
      <c r="AT219" s="47"/>
      <c r="AU219" s="47"/>
      <c r="AV219" s="47"/>
      <c r="AW219" s="47" t="str">
        <f>IF(AND($Q219&gt;=6,AVERAGE($S219:$T219)&gt;=6),"Likely",IF(OR($Q219&gt;6,AND($Q219=6,AVERAGE($S219:$T219)&gt;=3),AND($Q219&gt;=5,AVERAGE($S219:$T219)&gt;=5),AVERAGE($Q219,$S219:$T219)&gt;5),"Possible","Unlikely"))</f>
        <v>Unlikely</v>
      </c>
      <c r="AX219" s="47"/>
      <c r="AY219" s="47" t="str">
        <f>INDEX(Table5[[#All],[Ovr]],MATCH(Batters[[#This Row],[PID]],Table5[[#All],[PID]],0))</f>
        <v/>
      </c>
      <c r="AZ219" s="47" t="str">
        <f>INDEX(Table5[[#All],[Rnd]],MATCH(Batters[[#This Row],[PID]],Table5[[#All],[PID]],0))</f>
        <v/>
      </c>
      <c r="BA219" s="47" t="str">
        <f>INDEX(Table5[[#All],[Pick]],MATCH(Batters[[#This Row],[PID]],Table5[[#All],[PID]],0))</f>
        <v/>
      </c>
      <c r="BB219" s="47" t="str">
        <f>INDEX(Table5[[#All],[Team]],MATCH(Batters[[#This Row],[PID]],Table5[[#All],[PID]],0))</f>
        <v/>
      </c>
    </row>
    <row r="220" spans="1:54" ht="15" customHeight="1" x14ac:dyDescent="0.25">
      <c r="A220" s="42">
        <v>9578</v>
      </c>
      <c r="B220" s="42" t="s">
        <v>50</v>
      </c>
      <c r="C220" s="42" t="s">
        <v>840</v>
      </c>
      <c r="D220" s="42" t="s">
        <v>744</v>
      </c>
      <c r="E220" s="42">
        <v>21</v>
      </c>
      <c r="F220" s="42" t="s">
        <v>42</v>
      </c>
      <c r="G220" s="42" t="s">
        <v>42</v>
      </c>
      <c r="H220" s="43" t="s">
        <v>709</v>
      </c>
      <c r="I220" s="44" t="s">
        <v>43</v>
      </c>
      <c r="J220" s="42" t="s">
        <v>44</v>
      </c>
      <c r="K220" s="43" t="s">
        <v>43</v>
      </c>
      <c r="L220" s="42">
        <v>2</v>
      </c>
      <c r="M220" s="42">
        <v>2</v>
      </c>
      <c r="N220" s="42">
        <v>2</v>
      </c>
      <c r="O220" s="42">
        <v>2</v>
      </c>
      <c r="P220" s="43">
        <v>1</v>
      </c>
      <c r="Q220" s="42">
        <v>4</v>
      </c>
      <c r="R220" s="42">
        <v>4</v>
      </c>
      <c r="S220" s="42">
        <v>3</v>
      </c>
      <c r="T220" s="42">
        <v>5</v>
      </c>
      <c r="U220" s="43">
        <v>4</v>
      </c>
      <c r="V220" s="42">
        <v>5</v>
      </c>
      <c r="W220" s="42">
        <v>7</v>
      </c>
      <c r="X220" s="42">
        <v>1</v>
      </c>
      <c r="Y220" s="43">
        <v>1</v>
      </c>
      <c r="Z220" s="42" t="s">
        <v>45</v>
      </c>
      <c r="AA220" s="42" t="s">
        <v>45</v>
      </c>
      <c r="AB220" s="42" t="s">
        <v>45</v>
      </c>
      <c r="AC220" s="42" t="s">
        <v>45</v>
      </c>
      <c r="AD220" s="42" t="s">
        <v>45</v>
      </c>
      <c r="AE220" s="42">
        <v>7</v>
      </c>
      <c r="AF220" s="42" t="s">
        <v>45</v>
      </c>
      <c r="AG220" s="43" t="s">
        <v>45</v>
      </c>
      <c r="AH220" s="42">
        <v>9</v>
      </c>
      <c r="AI220" s="42">
        <v>10</v>
      </c>
      <c r="AJ220" s="43">
        <v>10</v>
      </c>
      <c r="AK220" s="45" t="s">
        <v>45</v>
      </c>
      <c r="AL220" s="45" t="s">
        <v>47</v>
      </c>
      <c r="AM220" s="46">
        <f>($L$3*(L220-$Q$1)/$Q$2+$M$3*(M220-$R$1)/$R$2+$N$3*(N220-$S$1)/$S$2+$O$3*(O220-$T$1)/$T$2+$P$3*(P220-$U$1)/$U$2)/(SUM($L$3:$P$3))</f>
        <v>-1.5379565899727115</v>
      </c>
      <c r="AN220" s="46">
        <f>($L$3*(Q220-$Q$1)/$Q$2+$M$3*(R220-$R$1)/$R$2+$N$3*(S220-$S$1)/$S$2+$O$3*(T220-$T$1)/$T$2+$P$3*(U220-$U$1)/$U$2)/(SUM($L$3:$P$3))</f>
        <v>-0.31848599482605983</v>
      </c>
      <c r="AO220" s="47">
        <f>IF(AVERAGE(AH220:AI220)&gt;9,1,0)+IF(AVERAGE(AH220:AI220)&gt;7,1,0)+IF(AH220&gt;7,1,0)+IF(AI220&gt;7,1,0)+IF(AJ220&gt;8,1,0)+IF(AJ220&gt;6,1,0)</f>
        <v>6</v>
      </c>
      <c r="AP220" s="48">
        <f>MIN(2,IF(OR(Z220="-",X220&lt;5),0,1+IF(Y220&gt;7,0.35,IF(Y220&gt;5,0.1,0))+IF(Z220&gt;7,1+IF(X220&gt;7,0.25,0),IF(Z220&gt;4,0.5+IF(X220&gt;7,0.25,0),0+IF(X220&gt;7,0.25))))+IF(AA220="-",0,IF(AA220&gt;9,0.5,IF(AA220&gt;7,0.25,0)))+IF(AB220="-",0,IF(AB220&gt;7,1.1,IF(AB220&gt;4,0.6,0)))+IF(OR(AC220="-",V220&lt;5),0,IF(AC220&gt;7,1+IF(V220&gt;7,0.25,0),IF(AC220&gt;4,0.5+IF(V220&gt;7,0.25,0),0)))+IF(AD220="-",0,IF(AD220&gt;7,1.5,IF(AD220&gt;4,1,0)))+IF(AE220="-",0,IF(AE220&gt;9,0.5,IF(AE220&gt;7,0.25,0)))+IF(AF220="-",0,IF(AF220&gt;7,1.25,IF(AF220&gt;4,0.75,0)))+IF(OR(AG220="-",W220&lt;4),0,IF(AG220&gt;7,1+IF(W220&gt;7,0.15,0),IF(AG220&gt;4,0.5+IF(W220&gt;7,0.15,0),0))))</f>
        <v>0</v>
      </c>
      <c r="AQ220" s="46">
        <f>($AM$3*AM220+$AN$3*AN220+$AO$3*AO220+$AP$3*AP220)+$I$3*VLOOKUP(I220,COND!$A$2:$E$7,4,FALSE)+$J$3*VLOOKUP(J220,COND!$A$2:$C$7,2,FALSE)+$K$3*VLOOKUP(K220,COND!$A$2:$C$7,3,FALSE)+IF(AND($B$2&gt;0,$E220&lt;20),$B$2*25,0)</f>
        <v>41.724372403090008</v>
      </c>
      <c r="AR220" s="49">
        <f>STANDARDIZE(AQ220,AVERAGE($AQ$5:$AQ$537),STDEVP($AQ$5:$AQ$537))</f>
        <v>0.24212005551006047</v>
      </c>
      <c r="AS220" s="47" t="str">
        <f>IF(AND(Z220&lt;&gt;"-",Y220&gt;1),"C",IF(AB220=MAX(AB220:AD220),"2B",IF(AD220=MAX(AB220:AD220),"SS",IF(OR(AC220=MAX(AA220:AD220),AND(AC220&lt;&gt;"-",AC220&gt;4,V220&gt;5)),"3B",IF(AF220=MAX(AE220:AG220),"CF",IF(AND(AG220=MAX(AE220,AG220),AND(W220&gt;5,AG220&lt;&gt;"-")),"RF",IF(AE220&lt;&gt;"-","LF",IF(AA220&lt;&gt;"-","1B","DH"))))))))</f>
        <v>LF</v>
      </c>
      <c r="AT220" s="47"/>
      <c r="AU220" s="47"/>
      <c r="AV220" s="47"/>
      <c r="AW220" s="47" t="str">
        <f>IF(AND($Q220&gt;=6,AVERAGE($S220:$T220)&gt;=6),"Likely",IF(OR($Q220&gt;6,AND($Q220=6,AVERAGE($S220:$T220)&gt;=3),AND($Q220&gt;=5,AVERAGE($S220:$T220)&gt;=5),AVERAGE($Q220,$S220:$T220)&gt;5),"Possible","Unlikely"))</f>
        <v>Unlikely</v>
      </c>
      <c r="AX220" s="47"/>
      <c r="AY220" s="47" t="str">
        <f>INDEX(Table5[[#All],[Ovr]],MATCH(Batters[[#This Row],[PID]],Table5[[#All],[PID]],0))</f>
        <v/>
      </c>
      <c r="AZ220" s="47" t="str">
        <f>INDEX(Table5[[#All],[Rnd]],MATCH(Batters[[#This Row],[PID]],Table5[[#All],[PID]],0))</f>
        <v/>
      </c>
      <c r="BA220" s="47" t="str">
        <f>INDEX(Table5[[#All],[Pick]],MATCH(Batters[[#This Row],[PID]],Table5[[#All],[PID]],0))</f>
        <v/>
      </c>
      <c r="BB220" s="47" t="str">
        <f>INDEX(Table5[[#All],[Team]],MATCH(Batters[[#This Row],[PID]],Table5[[#All],[PID]],0))</f>
        <v/>
      </c>
    </row>
    <row r="221" spans="1:54" ht="15" customHeight="1" x14ac:dyDescent="0.25">
      <c r="A221" s="42">
        <v>8735</v>
      </c>
      <c r="B221" s="42" t="s">
        <v>86</v>
      </c>
      <c r="C221" s="42" t="s">
        <v>146</v>
      </c>
      <c r="D221" s="42" t="s">
        <v>192</v>
      </c>
      <c r="E221" s="42">
        <v>18</v>
      </c>
      <c r="F221" s="42" t="s">
        <v>42</v>
      </c>
      <c r="G221" s="42" t="s">
        <v>42</v>
      </c>
      <c r="H221" s="43" t="s">
        <v>709</v>
      </c>
      <c r="I221" s="44" t="s">
        <v>43</v>
      </c>
      <c r="J221" s="42" t="s">
        <v>44</v>
      </c>
      <c r="K221" s="43" t="s">
        <v>43</v>
      </c>
      <c r="L221" s="42">
        <v>1</v>
      </c>
      <c r="M221" s="42">
        <v>1</v>
      </c>
      <c r="N221" s="42">
        <v>2</v>
      </c>
      <c r="O221" s="42">
        <v>2</v>
      </c>
      <c r="P221" s="43">
        <v>1</v>
      </c>
      <c r="Q221" s="42">
        <v>3</v>
      </c>
      <c r="R221" s="42">
        <v>3</v>
      </c>
      <c r="S221" s="42">
        <v>4</v>
      </c>
      <c r="T221" s="42">
        <v>5</v>
      </c>
      <c r="U221" s="43">
        <v>3</v>
      </c>
      <c r="V221" s="42">
        <v>2</v>
      </c>
      <c r="W221" s="42">
        <v>3</v>
      </c>
      <c r="X221" s="42">
        <v>4</v>
      </c>
      <c r="Y221" s="43">
        <v>7</v>
      </c>
      <c r="Z221" s="42" t="s">
        <v>45</v>
      </c>
      <c r="AA221" s="42" t="s">
        <v>45</v>
      </c>
      <c r="AB221" s="42" t="s">
        <v>45</v>
      </c>
      <c r="AC221" s="42" t="s">
        <v>45</v>
      </c>
      <c r="AD221" s="42" t="s">
        <v>45</v>
      </c>
      <c r="AE221" s="42" t="s">
        <v>45</v>
      </c>
      <c r="AF221" s="42" t="s">
        <v>45</v>
      </c>
      <c r="AG221" s="43" t="s">
        <v>45</v>
      </c>
      <c r="AH221" s="42">
        <v>1</v>
      </c>
      <c r="AI221" s="42">
        <v>1</v>
      </c>
      <c r="AJ221" s="43">
        <v>1</v>
      </c>
      <c r="AK221" s="45" t="s">
        <v>730</v>
      </c>
      <c r="AL221" s="45" t="s">
        <v>705</v>
      </c>
      <c r="AM221" s="46">
        <f>($L$3*(L221-$Q$1)/$Q$2+$M$3*(M221-$R$1)/$R$2+$N$3*(N221-$S$1)/$S$2+$O$3*(O221-$T$1)/$T$2+$P$3*(P221-$U$1)/$U$2)/(SUM($L$3:$P$3))</f>
        <v>-1.9115723057940897</v>
      </c>
      <c r="AN221" s="46">
        <f>($L$3*(Q221-$Q$1)/$Q$2+$M$3*(R221-$R$1)/$R$2+$N$3*(S221-$S$1)/$S$2+$O$3*(T221-$T$1)/$T$2+$P$3*(U221-$U$1)/$U$2)/(SUM($L$3:$P$3))</f>
        <v>-0.64905655644061999</v>
      </c>
      <c r="AO221" s="47">
        <f>IF(AVERAGE(AH221:AI221)&gt;9,1,0)+IF(AVERAGE(AH221:AI221)&gt;7,1,0)+IF(AH221&gt;7,1,0)+IF(AI221&gt;7,1,0)+IF(AJ221&gt;8,1,0)+IF(AJ221&gt;6,1,0)</f>
        <v>0</v>
      </c>
      <c r="AP221" s="48">
        <f>MIN(2,IF(OR(Z221="-",X221&lt;5),0,1+IF(Y221&gt;7,0.35,IF(Y221&gt;5,0.1,0))+IF(Z221&gt;7,1+IF(X221&gt;7,0.25,0),IF(Z221&gt;4,0.5+IF(X221&gt;7,0.25,0),0+IF(X221&gt;7,0.25))))+IF(AA221="-",0,IF(AA221&gt;9,0.5,IF(AA221&gt;7,0.25,0)))+IF(AB221="-",0,IF(AB221&gt;7,1.1,IF(AB221&gt;4,0.6,0)))+IF(OR(AC221="-",V221&lt;5),0,IF(AC221&gt;7,1+IF(V221&gt;7,0.25,0),IF(AC221&gt;4,0.5+IF(V221&gt;7,0.25,0),0)))+IF(AD221="-",0,IF(AD221&gt;7,1.5,IF(AD221&gt;4,1,0)))+IF(AE221="-",0,IF(AE221&gt;9,0.5,IF(AE221&gt;7,0.25,0)))+IF(AF221="-",0,IF(AF221&gt;7,1.25,IF(AF221&gt;4,0.75,0)))+IF(OR(AG221="-",W221&lt;4),0,IF(AG221&gt;7,1+IF(W221&gt;7,0.15,0),IF(AG221&gt;4,0.5+IF(W221&gt;7,0.15,0),0))))</f>
        <v>0</v>
      </c>
      <c r="AQ221" s="46">
        <f>($AM$3*AM221+$AN$3*AN221+$AO$3*AO221+$AP$3*AP221)+$I$3*VLOOKUP(I221,COND!$A$2:$E$7,4,FALSE)+$J$3*VLOOKUP(J221,COND!$A$2:$C$7,2,FALSE)+$K$3*VLOOKUP(K221,COND!$A$2:$C$7,3,FALSE)+IF(AND($B$2&gt;0,$E221&lt;20),$B$2*25,0)</f>
        <v>41.720164092133146</v>
      </c>
      <c r="AR221" s="49">
        <f>STANDARDIZE(AQ221,AVERAGE($AQ$5:$AQ$537),STDEVP($AQ$5:$AQ$537))</f>
        <v>0.24137963116691188</v>
      </c>
      <c r="AS221" s="47" t="str">
        <f>IF(AND(Z221&lt;&gt;"-",Y221&gt;1),"C",IF(AB221=MAX(AB221:AD221),"2B",IF(AD221=MAX(AB221:AD221),"SS",IF(OR(AC221=MAX(AA221:AD221),AND(AC221&lt;&gt;"-",AC221&gt;4,V221&gt;5)),"3B",IF(AF221=MAX(AE221:AG221),"CF",IF(AND(AG221=MAX(AE221,AG221),AND(W221&gt;5,AG221&lt;&gt;"-")),"RF",IF(AE221&lt;&gt;"-","LF",IF(AA221&lt;&gt;"-","1B","DH"))))))))</f>
        <v>DH</v>
      </c>
      <c r="AT221" s="47"/>
      <c r="AU221" s="47"/>
      <c r="AV221" s="47"/>
      <c r="AW221" s="47" t="str">
        <f>IF(AND($Q221&gt;=6,AVERAGE($S221:$T221)&gt;=6),"Likely",IF(OR($Q221&gt;6,AND($Q221=6,AVERAGE($S221:$T221)&gt;=3),AND($Q221&gt;=5,AVERAGE($S221:$T221)&gt;=5),AVERAGE($Q221,$S221:$T221)&gt;5),"Possible","Unlikely"))</f>
        <v>Unlikely</v>
      </c>
      <c r="AX221" s="47"/>
      <c r="AY221" s="47" t="str">
        <f>INDEX(Table5[[#All],[Ovr]],MATCH(Batters[[#This Row],[PID]],Table5[[#All],[PID]],0))</f>
        <v/>
      </c>
      <c r="AZ221" s="47" t="str">
        <f>INDEX(Table5[[#All],[Rnd]],MATCH(Batters[[#This Row],[PID]],Table5[[#All],[PID]],0))</f>
        <v/>
      </c>
      <c r="BA221" s="47" t="str">
        <f>INDEX(Table5[[#All],[Pick]],MATCH(Batters[[#This Row],[PID]],Table5[[#All],[PID]],0))</f>
        <v/>
      </c>
      <c r="BB221" s="47" t="str">
        <f>INDEX(Table5[[#All],[Team]],MATCH(Batters[[#This Row],[PID]],Table5[[#All],[PID]],0))</f>
        <v/>
      </c>
    </row>
    <row r="222" spans="1:54" ht="15" customHeight="1" x14ac:dyDescent="0.25">
      <c r="A222" s="42">
        <v>8103</v>
      </c>
      <c r="B222" s="42" t="s">
        <v>86</v>
      </c>
      <c r="C222" s="42" t="s">
        <v>372</v>
      </c>
      <c r="D222" s="42" t="s">
        <v>1156</v>
      </c>
      <c r="E222" s="42">
        <v>18</v>
      </c>
      <c r="F222" s="42" t="s">
        <v>42</v>
      </c>
      <c r="G222" s="42" t="s">
        <v>42</v>
      </c>
      <c r="H222" s="43" t="s">
        <v>709</v>
      </c>
      <c r="I222" s="44" t="s">
        <v>43</v>
      </c>
      <c r="J222" s="42" t="s">
        <v>44</v>
      </c>
      <c r="K222" s="43" t="s">
        <v>43</v>
      </c>
      <c r="L222" s="42">
        <v>1</v>
      </c>
      <c r="M222" s="42">
        <v>1</v>
      </c>
      <c r="N222" s="42">
        <v>2</v>
      </c>
      <c r="O222" s="42">
        <v>1</v>
      </c>
      <c r="P222" s="43">
        <v>1</v>
      </c>
      <c r="Q222" s="42">
        <v>3</v>
      </c>
      <c r="R222" s="42">
        <v>3</v>
      </c>
      <c r="S222" s="42">
        <v>4</v>
      </c>
      <c r="T222" s="42">
        <v>5</v>
      </c>
      <c r="U222" s="43">
        <v>3</v>
      </c>
      <c r="V222" s="42">
        <v>2</v>
      </c>
      <c r="W222" s="42">
        <v>2</v>
      </c>
      <c r="X222" s="42">
        <v>4</v>
      </c>
      <c r="Y222" s="43">
        <v>7</v>
      </c>
      <c r="Z222" s="42" t="s">
        <v>45</v>
      </c>
      <c r="AA222" s="42" t="s">
        <v>45</v>
      </c>
      <c r="AB222" s="42" t="s">
        <v>45</v>
      </c>
      <c r="AC222" s="42" t="s">
        <v>45</v>
      </c>
      <c r="AD222" s="42" t="s">
        <v>45</v>
      </c>
      <c r="AE222" s="42" t="s">
        <v>45</v>
      </c>
      <c r="AF222" s="42" t="s">
        <v>45</v>
      </c>
      <c r="AG222" s="43" t="s">
        <v>45</v>
      </c>
      <c r="AH222" s="42">
        <v>1</v>
      </c>
      <c r="AI222" s="42">
        <v>6</v>
      </c>
      <c r="AJ222" s="43">
        <v>3</v>
      </c>
      <c r="AK222" s="45" t="s">
        <v>718</v>
      </c>
      <c r="AL222" s="45" t="s">
        <v>47</v>
      </c>
      <c r="AM222" s="46">
        <f>($L$3*(L222-$Q$1)/$Q$2+$M$3*(M222-$R$1)/$R$2+$N$3*(N222-$S$1)/$S$2+$O$3*(O222-$T$1)/$T$2+$P$3*(P222-$U$1)/$U$2)/(SUM($L$3:$P$3))</f>
        <v>-2.0012818558036707</v>
      </c>
      <c r="AN222" s="46">
        <f>($L$3*(Q222-$Q$1)/$Q$2+$M$3*(R222-$R$1)/$R$2+$N$3*(S222-$S$1)/$S$2+$O$3*(T222-$T$1)/$T$2+$P$3*(U222-$U$1)/$U$2)/(SUM($L$3:$P$3))</f>
        <v>-0.64905655644061999</v>
      </c>
      <c r="AO222" s="47">
        <f>IF(AVERAGE(AH222:AI222)&gt;9,1,0)+IF(AVERAGE(AH222:AI222)&gt;7,1,0)+IF(AH222&gt;7,1,0)+IF(AI222&gt;7,1,0)+IF(AJ222&gt;8,1,0)+IF(AJ222&gt;6,1,0)</f>
        <v>0</v>
      </c>
      <c r="AP222" s="48">
        <f>MIN(2,IF(OR(Z222="-",X222&lt;5),0,1+IF(Y222&gt;7,0.35,IF(Y222&gt;5,0.1,0))+IF(Z222&gt;7,1+IF(X222&gt;7,0.25,0),IF(Z222&gt;4,0.5+IF(X222&gt;7,0.25,0),0+IF(X222&gt;7,0.25))))+IF(AA222="-",0,IF(AA222&gt;9,0.5,IF(AA222&gt;7,0.25,0)))+IF(AB222="-",0,IF(AB222&gt;7,1.1,IF(AB222&gt;4,0.6,0)))+IF(OR(AC222="-",V222&lt;5),0,IF(AC222&gt;7,1+IF(V222&gt;7,0.25,0),IF(AC222&gt;4,0.5+IF(V222&gt;7,0.25,0),0)))+IF(AD222="-",0,IF(AD222&gt;7,1.5,IF(AD222&gt;4,1,0)))+IF(AE222="-",0,IF(AE222&gt;9,0.5,IF(AE222&gt;7,0.25,0)))+IF(AF222="-",0,IF(AF222&gt;7,1.25,IF(AF222&gt;4,0.75,0)))+IF(OR(AG222="-",W222&lt;4),0,IF(AG222&gt;7,1+IF(W222&gt;7,0.15,0),IF(AG222&gt;4,0.5+IF(W222&gt;7,0.15,0),0))))</f>
        <v>0</v>
      </c>
      <c r="AQ222" s="46">
        <f>($AM$3*AM222+$AN$3*AN222+$AO$3*AO222+$AP$3*AP222)+$I$3*VLOOKUP(I222,COND!$A$2:$E$7,4,FALSE)+$J$3*VLOOKUP(J222,COND!$A$2:$C$7,2,FALSE)+$K$3*VLOOKUP(K222,COND!$A$2:$C$7,3,FALSE)+IF(AND($B$2&gt;0,$E222&lt;20),$B$2*25,0)</f>
        <v>41.711193137132192</v>
      </c>
      <c r="AR222" s="49">
        <f>STANDARDIZE(AQ222,AVERAGE($AQ$5:$AQ$537),STDEVP($AQ$5:$AQ$537))</f>
        <v>0.23980125125818247</v>
      </c>
      <c r="AS222" s="47" t="str">
        <f>IF(AND(Z222&lt;&gt;"-",Y222&gt;1),"C",IF(AB222=MAX(AB222:AD222),"2B",IF(AD222=MAX(AB222:AD222),"SS",IF(OR(AC222=MAX(AA222:AD222),AND(AC222&lt;&gt;"-",AC222&gt;4,V222&gt;5)),"3B",IF(AF222=MAX(AE222:AG222),"CF",IF(AND(AG222=MAX(AE222,AG222),AND(W222&gt;5,AG222&lt;&gt;"-")),"RF",IF(AE222&lt;&gt;"-","LF",IF(AA222&lt;&gt;"-","1B","DH"))))))))</f>
        <v>DH</v>
      </c>
      <c r="AT222" s="47"/>
      <c r="AU222" s="47"/>
      <c r="AV222" s="47"/>
      <c r="AW222" s="47" t="str">
        <f>IF(AND($Q222&gt;=6,AVERAGE($S222:$T222)&gt;=6),"Likely",IF(OR($Q222&gt;6,AND($Q222=6,AVERAGE($S222:$T222)&gt;=3),AND($Q222&gt;=5,AVERAGE($S222:$T222)&gt;=5),AVERAGE($Q222,$S222:$T222)&gt;5),"Possible","Unlikely"))</f>
        <v>Unlikely</v>
      </c>
      <c r="AX222" s="47"/>
      <c r="AY222" s="47" t="str">
        <f>INDEX(Table5[[#All],[Ovr]],MATCH(Batters[[#This Row],[PID]],Table5[[#All],[PID]],0))</f>
        <v/>
      </c>
      <c r="AZ222" s="47" t="str">
        <f>INDEX(Table5[[#All],[Rnd]],MATCH(Batters[[#This Row],[PID]],Table5[[#All],[PID]],0))</f>
        <v/>
      </c>
      <c r="BA222" s="47" t="str">
        <f>INDEX(Table5[[#All],[Pick]],MATCH(Batters[[#This Row],[PID]],Table5[[#All],[PID]],0))</f>
        <v/>
      </c>
      <c r="BB222" s="47" t="str">
        <f>INDEX(Table5[[#All],[Team]],MATCH(Batters[[#This Row],[PID]],Table5[[#All],[PID]],0))</f>
        <v/>
      </c>
    </row>
    <row r="223" spans="1:54" ht="15" customHeight="1" x14ac:dyDescent="0.25">
      <c r="A223" s="42">
        <v>7327</v>
      </c>
      <c r="B223" s="42" t="s">
        <v>66</v>
      </c>
      <c r="C223" s="42" t="s">
        <v>1099</v>
      </c>
      <c r="D223" s="42" t="s">
        <v>1100</v>
      </c>
      <c r="E223" s="42">
        <v>21</v>
      </c>
      <c r="F223" s="42" t="s">
        <v>53</v>
      </c>
      <c r="G223" s="42" t="s">
        <v>42</v>
      </c>
      <c r="H223" s="43" t="s">
        <v>709</v>
      </c>
      <c r="I223" s="44" t="s">
        <v>43</v>
      </c>
      <c r="J223" s="42" t="s">
        <v>44</v>
      </c>
      <c r="K223" s="43" t="s">
        <v>44</v>
      </c>
      <c r="L223" s="42">
        <v>2</v>
      </c>
      <c r="M223" s="42">
        <v>3</v>
      </c>
      <c r="N223" s="42">
        <v>3</v>
      </c>
      <c r="O223" s="42">
        <v>4</v>
      </c>
      <c r="P223" s="43">
        <v>4</v>
      </c>
      <c r="Q223" s="42">
        <v>4</v>
      </c>
      <c r="R223" s="42">
        <v>3</v>
      </c>
      <c r="S223" s="42">
        <v>4</v>
      </c>
      <c r="T223" s="42">
        <v>6</v>
      </c>
      <c r="U223" s="43">
        <v>5</v>
      </c>
      <c r="V223" s="42">
        <v>2</v>
      </c>
      <c r="W223" s="42">
        <v>6</v>
      </c>
      <c r="X223" s="42">
        <v>1</v>
      </c>
      <c r="Y223" s="43">
        <v>1</v>
      </c>
      <c r="Z223" s="42" t="s">
        <v>45</v>
      </c>
      <c r="AA223" s="42" t="s">
        <v>45</v>
      </c>
      <c r="AB223" s="42" t="s">
        <v>45</v>
      </c>
      <c r="AC223" s="42" t="s">
        <v>45</v>
      </c>
      <c r="AD223" s="42" t="s">
        <v>45</v>
      </c>
      <c r="AE223" s="42" t="s">
        <v>45</v>
      </c>
      <c r="AF223" s="42" t="s">
        <v>45</v>
      </c>
      <c r="AG223" s="43">
        <v>3</v>
      </c>
      <c r="AH223" s="42">
        <v>3</v>
      </c>
      <c r="AI223" s="42">
        <v>1</v>
      </c>
      <c r="AJ223" s="43">
        <v>1</v>
      </c>
      <c r="AK223" s="45" t="s">
        <v>717</v>
      </c>
      <c r="AL223" s="45" t="s">
        <v>705</v>
      </c>
      <c r="AM223" s="46">
        <f>($L$3*(L223-$Q$1)/$Q$2+$M$3*(M223-$R$1)/$R$2+$N$3*(N223-$S$1)/$S$2+$O$3*(O223-$T$1)/$T$2+$P$3*(P223-$U$1)/$U$2)/(SUM($L$3:$P$3))</f>
        <v>-1.1043670968596939</v>
      </c>
      <c r="AN223" s="46">
        <f>($L$3*(Q223-$Q$1)/$Q$2+$M$3*(R223-$R$1)/$R$2+$N$3*(S223-$S$1)/$S$2+$O$3*(T223-$T$1)/$T$2+$P$3*(U223-$U$1)/$U$2)/(SUM($L$3:$P$3))</f>
        <v>-0.15675849059419733</v>
      </c>
      <c r="AO223" s="47">
        <f>IF(AVERAGE(AH223:AI223)&gt;9,1,0)+IF(AVERAGE(AH223:AI223)&gt;7,1,0)+IF(AH223&gt;7,1,0)+IF(AI223&gt;7,1,0)+IF(AJ223&gt;8,1,0)+IF(AJ223&gt;6,1,0)</f>
        <v>0</v>
      </c>
      <c r="AP223" s="48">
        <f>MIN(2,IF(OR(Z223="-",X223&lt;5),0,1+IF(Y223&gt;7,0.35,IF(Y223&gt;5,0.1,0))+IF(Z223&gt;7,1+IF(X223&gt;7,0.25,0),IF(Z223&gt;4,0.5+IF(X223&gt;7,0.25,0),0+IF(X223&gt;7,0.25))))+IF(AA223="-",0,IF(AA223&gt;9,0.5,IF(AA223&gt;7,0.25,0)))+IF(AB223="-",0,IF(AB223&gt;7,1.1,IF(AB223&gt;4,0.6,0)))+IF(OR(AC223="-",V223&lt;5),0,IF(AC223&gt;7,1+IF(V223&gt;7,0.25,0),IF(AC223&gt;4,0.5+IF(V223&gt;7,0.25,0),0)))+IF(AD223="-",0,IF(AD223&gt;7,1.5,IF(AD223&gt;4,1,0)))+IF(AE223="-",0,IF(AE223&gt;9,0.5,IF(AE223&gt;7,0.25,0)))+IF(AF223="-",0,IF(AF223&gt;7,1.25,IF(AF223&gt;4,0.75,0)))+IF(OR(AG223="-",W223&lt;4),0,IF(AG223&gt;7,1+IF(W223&gt;7,0.15,0),IF(AG223&gt;4,0.5+IF(W223&gt;7,0.15,0),0))))</f>
        <v>0</v>
      </c>
      <c r="AQ223" s="46">
        <f>($AM$3*AM223+$AN$3*AN223+$AO$3*AO223+$AP$3*AP223)+$I$3*VLOOKUP(I223,COND!$A$2:$E$7,4,FALSE)+$J$3*VLOOKUP(J223,COND!$A$2:$C$7,2,FALSE)+$K$3*VLOOKUP(K223,COND!$A$2:$C$7,3,FALSE)+IF(AND($B$2&gt;0,$E223&lt;20),$B$2*25,0)</f>
        <v>42.408461403183665</v>
      </c>
      <c r="AR223" s="49">
        <f>STANDARDIZE(AQ223,AVERAGE($AQ$5:$AQ$537),STDEVP($AQ$5:$AQ$537))</f>
        <v>0.36248096841350752</v>
      </c>
      <c r="AS223" s="47" t="str">
        <f>IF(AND(Z223&lt;&gt;"-",Y223&gt;1),"C",IF(AB223=MAX(AB223:AD223),"2B",IF(AD223=MAX(AB223:AD223),"SS",IF(OR(AC223=MAX(AA223:AD223),AND(AC223&lt;&gt;"-",AC223&gt;4,V223&gt;5)),"3B",IF(AF223=MAX(AE223:AG223),"CF",IF(AND(AG223=MAX(AE223,AG223),AND(W223&gt;5,AG223&lt;&gt;"-")),"RF",IF(AE223&lt;&gt;"-","LF",IF(AA223&lt;&gt;"-","1B","DH"))))))))</f>
        <v>RF</v>
      </c>
      <c r="AT223" s="47"/>
      <c r="AU223" s="47"/>
      <c r="AV223" s="47"/>
      <c r="AW223" s="47" t="str">
        <f>IF(AND($Q223&gt;=6,AVERAGE($S223:$T223)&gt;=6),"Likely",IF(OR($Q223&gt;6,AND($Q223=6,AVERAGE($S223:$T223)&gt;=3),AND($Q223&gt;=5,AVERAGE($S223:$T223)&gt;=5),AVERAGE($Q223,$S223:$T223)&gt;5),"Possible","Unlikely"))</f>
        <v>Unlikely</v>
      </c>
      <c r="AX223" s="47"/>
      <c r="AY223" s="47" t="str">
        <f>INDEX(Table5[[#All],[Ovr]],MATCH(Batters[[#This Row],[PID]],Table5[[#All],[PID]],0))</f>
        <v/>
      </c>
      <c r="AZ223" s="47" t="str">
        <f>INDEX(Table5[[#All],[Rnd]],MATCH(Batters[[#This Row],[PID]],Table5[[#All],[PID]],0))</f>
        <v/>
      </c>
      <c r="BA223" s="47" t="str">
        <f>INDEX(Table5[[#All],[Pick]],MATCH(Batters[[#This Row],[PID]],Table5[[#All],[PID]],0))</f>
        <v/>
      </c>
      <c r="BB223" s="47" t="str">
        <f>INDEX(Table5[[#All],[Team]],MATCH(Batters[[#This Row],[PID]],Table5[[#All],[PID]],0))</f>
        <v/>
      </c>
    </row>
    <row r="224" spans="1:54" ht="15" customHeight="1" x14ac:dyDescent="0.25">
      <c r="A224" s="42">
        <v>8314</v>
      </c>
      <c r="B224" s="42" t="s">
        <v>71</v>
      </c>
      <c r="C224" s="42" t="s">
        <v>328</v>
      </c>
      <c r="D224" s="42" t="s">
        <v>763</v>
      </c>
      <c r="E224" s="42">
        <v>18</v>
      </c>
      <c r="F224" s="42" t="s">
        <v>53</v>
      </c>
      <c r="G224" s="42" t="s">
        <v>42</v>
      </c>
      <c r="H224" s="43" t="s">
        <v>709</v>
      </c>
      <c r="I224" s="44" t="s">
        <v>43</v>
      </c>
      <c r="J224" s="42" t="s">
        <v>44</v>
      </c>
      <c r="K224" s="43" t="s">
        <v>43</v>
      </c>
      <c r="L224" s="42">
        <v>1</v>
      </c>
      <c r="M224" s="42">
        <v>1</v>
      </c>
      <c r="N224" s="42">
        <v>2</v>
      </c>
      <c r="O224" s="42">
        <v>2</v>
      </c>
      <c r="P224" s="43">
        <v>1</v>
      </c>
      <c r="Q224" s="42">
        <v>3</v>
      </c>
      <c r="R224" s="42">
        <v>3</v>
      </c>
      <c r="S224" s="42">
        <v>3</v>
      </c>
      <c r="T224" s="42">
        <v>5</v>
      </c>
      <c r="U224" s="43">
        <v>4</v>
      </c>
      <c r="V224" s="42">
        <v>3</v>
      </c>
      <c r="W224" s="42">
        <v>2</v>
      </c>
      <c r="X224" s="42">
        <v>1</v>
      </c>
      <c r="Y224" s="43">
        <v>1</v>
      </c>
      <c r="Z224" s="42" t="s">
        <v>45</v>
      </c>
      <c r="AA224" s="42" t="s">
        <v>45</v>
      </c>
      <c r="AB224" s="42">
        <v>1</v>
      </c>
      <c r="AC224" s="42" t="s">
        <v>45</v>
      </c>
      <c r="AD224" s="42" t="s">
        <v>45</v>
      </c>
      <c r="AE224" s="42" t="s">
        <v>45</v>
      </c>
      <c r="AF224" s="42" t="s">
        <v>45</v>
      </c>
      <c r="AG224" s="43" t="s">
        <v>45</v>
      </c>
      <c r="AH224" s="42">
        <v>9</v>
      </c>
      <c r="AI224" s="42">
        <v>8</v>
      </c>
      <c r="AJ224" s="43">
        <v>5</v>
      </c>
      <c r="AK224" s="45" t="s">
        <v>718</v>
      </c>
      <c r="AL224" s="45" t="s">
        <v>705</v>
      </c>
      <c r="AM224" s="46">
        <f>($L$3*(L224-$Q$1)/$Q$2+$M$3*(M224-$R$1)/$R$2+$N$3*(N224-$S$1)/$S$2+$O$3*(O224-$T$1)/$T$2+$P$3*(P224-$U$1)/$U$2)/(SUM($L$3:$P$3))</f>
        <v>-1.9115723057940897</v>
      </c>
      <c r="AN224" s="46">
        <f>($L$3*(Q224-$Q$1)/$Q$2+$M$3*(R224-$R$1)/$R$2+$N$3*(S224-$S$1)/$S$2+$O$3*(T224-$T$1)/$T$2+$P$3*(U224-$U$1)/$U$2)/(SUM($L$3:$P$3))</f>
        <v>-0.69210171064743797</v>
      </c>
      <c r="AO224" s="47">
        <f>IF(AVERAGE(AH224:AI224)&gt;9,1,0)+IF(AVERAGE(AH224:AI224)&gt;7,1,0)+IF(AH224&gt;7,1,0)+IF(AI224&gt;7,1,0)+IF(AJ224&gt;8,1,0)+IF(AJ224&gt;6,1,0)</f>
        <v>3</v>
      </c>
      <c r="AP224" s="48">
        <f>MIN(2,IF(OR(Z224="-",X224&lt;5),0,1+IF(Y224&gt;7,0.35,IF(Y224&gt;5,0.1,0))+IF(Z224&gt;7,1+IF(X224&gt;7,0.25,0),IF(Z224&gt;4,0.5+IF(X224&gt;7,0.25,0),0+IF(X224&gt;7,0.25))))+IF(AA224="-",0,IF(AA224&gt;9,0.5,IF(AA224&gt;7,0.25,0)))+IF(AB224="-",0,IF(AB224&gt;7,1.1,IF(AB224&gt;4,0.6,0)))+IF(OR(AC224="-",V224&lt;5),0,IF(AC224&gt;7,1+IF(V224&gt;7,0.25,0),IF(AC224&gt;4,0.5+IF(V224&gt;7,0.25,0),0)))+IF(AD224="-",0,IF(AD224&gt;7,1.5,IF(AD224&gt;4,1,0)))+IF(AE224="-",0,IF(AE224&gt;9,0.5,IF(AE224&gt;7,0.25,0)))+IF(AF224="-",0,IF(AF224&gt;7,1.25,IF(AF224&gt;4,0.75,0)))+IF(OR(AG224="-",W224&lt;4),0,IF(AG224&gt;7,1+IF(W224&gt;7,0.15,0),IF(AG224&gt;4,0.5+IF(W224&gt;7,0.15,0),0))))</f>
        <v>0</v>
      </c>
      <c r="AQ224" s="46">
        <f>($AM$3*AM224+$AN$3*AN224+$AO$3*AO224+$AP$3*AP224)+$I$3*VLOOKUP(I224,COND!$A$2:$E$7,4,FALSE)+$J$3*VLOOKUP(J224,COND!$A$2:$C$7,2,FALSE)+$K$3*VLOOKUP(K224,COND!$A$2:$C$7,3,FALSE)+IF(AND($B$2&gt;0,$E224&lt;20),$B$2*25,0)</f>
        <v>41.703622241651331</v>
      </c>
      <c r="AR224" s="49">
        <f>STANDARDIZE(AQ224,AVERAGE($AQ$5:$AQ$537),STDEVP($AQ$5:$AQ$537))</f>
        <v>0.23846920251679329</v>
      </c>
      <c r="AS224" s="47" t="str">
        <f>IF(AND(Z224&lt;&gt;"-",Y224&gt;1),"C",IF(AB224=MAX(AB224:AD224),"2B",IF(AD224=MAX(AB224:AD224),"SS",IF(OR(AC224=MAX(AA224:AD224),AND(AC224&lt;&gt;"-",AC224&gt;4,V224&gt;5)),"3B",IF(AF224=MAX(AE224:AG224),"CF",IF(AND(AG224=MAX(AE224,AG224),AND(W224&gt;5,AG224&lt;&gt;"-")),"RF",IF(AE224&lt;&gt;"-","LF",IF(AA224&lt;&gt;"-","1B","DH"))))))))</f>
        <v>2B</v>
      </c>
      <c r="AT224" s="47"/>
      <c r="AU224" s="47"/>
      <c r="AV224" s="47"/>
      <c r="AW224" s="47" t="str">
        <f>IF(AND($Q224&gt;=6,AVERAGE($S224:$T224)&gt;=6),"Likely",IF(OR($Q224&gt;6,AND($Q224=6,AVERAGE($S224:$T224)&gt;=3),AND($Q224&gt;=5,AVERAGE($S224:$T224)&gt;=5),AVERAGE($Q224,$S224:$T224)&gt;5),"Possible","Unlikely"))</f>
        <v>Unlikely</v>
      </c>
      <c r="AX224" s="47"/>
      <c r="AY224" s="47" t="str">
        <f>INDEX(Table5[[#All],[Ovr]],MATCH(Batters[[#This Row],[PID]],Table5[[#All],[PID]],0))</f>
        <v/>
      </c>
      <c r="AZ224" s="47" t="str">
        <f>INDEX(Table5[[#All],[Rnd]],MATCH(Batters[[#This Row],[PID]],Table5[[#All],[PID]],0))</f>
        <v/>
      </c>
      <c r="BA224" s="47" t="str">
        <f>INDEX(Table5[[#All],[Pick]],MATCH(Batters[[#This Row],[PID]],Table5[[#All],[PID]],0))</f>
        <v/>
      </c>
      <c r="BB224" s="47" t="str">
        <f>INDEX(Table5[[#All],[Team]],MATCH(Batters[[#This Row],[PID]],Table5[[#All],[PID]],0))</f>
        <v/>
      </c>
    </row>
    <row r="225" spans="1:54" ht="15" customHeight="1" x14ac:dyDescent="0.25">
      <c r="A225" s="42">
        <v>5072</v>
      </c>
      <c r="B225" s="42" t="s">
        <v>72</v>
      </c>
      <c r="C225" s="42" t="s">
        <v>779</v>
      </c>
      <c r="D225" s="42" t="s">
        <v>727</v>
      </c>
      <c r="E225" s="42">
        <v>18</v>
      </c>
      <c r="F225" s="42" t="s">
        <v>42</v>
      </c>
      <c r="G225" s="42" t="s">
        <v>42</v>
      </c>
      <c r="H225" s="43" t="s">
        <v>709</v>
      </c>
      <c r="I225" s="44" t="s">
        <v>47</v>
      </c>
      <c r="J225" s="42" t="s">
        <v>43</v>
      </c>
      <c r="K225" s="43" t="s">
        <v>43</v>
      </c>
      <c r="L225" s="42">
        <v>1</v>
      </c>
      <c r="M225" s="42">
        <v>2</v>
      </c>
      <c r="N225" s="42">
        <v>2</v>
      </c>
      <c r="O225" s="42">
        <v>1</v>
      </c>
      <c r="P225" s="43">
        <v>2</v>
      </c>
      <c r="Q225" s="42">
        <v>3</v>
      </c>
      <c r="R225" s="42">
        <v>5</v>
      </c>
      <c r="S225" s="42">
        <v>2</v>
      </c>
      <c r="T225" s="42">
        <v>3</v>
      </c>
      <c r="U225" s="43">
        <v>4</v>
      </c>
      <c r="V225" s="42">
        <v>10</v>
      </c>
      <c r="W225" s="42">
        <v>10</v>
      </c>
      <c r="X225" s="42">
        <v>1</v>
      </c>
      <c r="Y225" s="43">
        <v>1</v>
      </c>
      <c r="Z225" s="42" t="s">
        <v>45</v>
      </c>
      <c r="AA225" s="42" t="s">
        <v>45</v>
      </c>
      <c r="AB225" s="42" t="s">
        <v>45</v>
      </c>
      <c r="AC225" s="42" t="s">
        <v>45</v>
      </c>
      <c r="AD225" s="42">
        <v>6</v>
      </c>
      <c r="AE225" s="42" t="s">
        <v>45</v>
      </c>
      <c r="AF225" s="42" t="s">
        <v>45</v>
      </c>
      <c r="AG225" s="43" t="s">
        <v>45</v>
      </c>
      <c r="AH225" s="42">
        <v>8</v>
      </c>
      <c r="AI225" s="42">
        <v>2</v>
      </c>
      <c r="AJ225" s="43">
        <v>2</v>
      </c>
      <c r="AK225" s="45" t="s">
        <v>658</v>
      </c>
      <c r="AL225" s="45" t="s">
        <v>705</v>
      </c>
      <c r="AM225" s="46">
        <f>($L$3*(L225-$Q$1)/$Q$2+$M$3*(M225-$R$1)/$R$2+$N$3*(N225-$S$1)/$S$2+$O$3*(O225-$T$1)/$T$2+$P$3*(P225-$U$1)/$U$2)/(SUM($L$3:$P$3))</f>
        <v>-1.9102056363678834</v>
      </c>
      <c r="AN225" s="46">
        <f>($L$3*(Q225-$Q$1)/$Q$2+$M$3*(R225-$R$1)/$R$2+$N$3*(S225-$S$1)/$S$2+$O$3*(T225-$T$1)/$T$2+$P$3*(U225-$U$1)/$U$2)/(SUM($L$3:$P$3))</f>
        <v>-0.85246254545309463</v>
      </c>
      <c r="AO225" s="47">
        <f>IF(AVERAGE(AH225:AI225)&gt;9,1,0)+IF(AVERAGE(AH225:AI225)&gt;7,1,0)+IF(AH225&gt;7,1,0)+IF(AI225&gt;7,1,0)+IF(AJ225&gt;8,1,0)+IF(AJ225&gt;6,1,0)</f>
        <v>1</v>
      </c>
      <c r="AP225" s="48">
        <f>MIN(2,IF(OR(Z225="-",X225&lt;5),0,1+IF(Y225&gt;7,0.35,IF(Y225&gt;5,0.1,0))+IF(Z225&gt;7,1+IF(X225&gt;7,0.25,0),IF(Z225&gt;4,0.5+IF(X225&gt;7,0.25,0),0+IF(X225&gt;7,0.25))))+IF(AA225="-",0,IF(AA225&gt;9,0.5,IF(AA225&gt;7,0.25,0)))+IF(AB225="-",0,IF(AB225&gt;7,1.1,IF(AB225&gt;4,0.6,0)))+IF(OR(AC225="-",V225&lt;5),0,IF(AC225&gt;7,1+IF(V225&gt;7,0.25,0),IF(AC225&gt;4,0.5+IF(V225&gt;7,0.25,0),0)))+IF(AD225="-",0,IF(AD225&gt;7,1.5,IF(AD225&gt;4,1,0)))+IF(AE225="-",0,IF(AE225&gt;9,0.5,IF(AE225&gt;7,0.25,0)))+IF(AF225="-",0,IF(AF225&gt;7,1.25,IF(AF225&gt;4,0.75,0)))+IF(OR(AG225="-",W225&lt;4),0,IF(AG225&gt;7,1+IF(W225&gt;7,0.15,0),IF(AG225&gt;4,0.5+IF(W225&gt;7,0.15,0),0))))</f>
        <v>1</v>
      </c>
      <c r="AQ225" s="46">
        <f>($AM$3*AM225+$AN$3*AN225+$AO$3*AO225+$AP$3*AP225)+$I$3*VLOOKUP(I225,COND!$A$2:$E$7,4,FALSE)+$J$3*VLOOKUP(J225,COND!$A$2:$C$7,2,FALSE)+$K$3*VLOOKUP(K225,COND!$A$2:$C$7,3,FALSE)+IF(AND($B$2&gt;0,$E225&lt;20),$B$2*25,0)</f>
        <v>40.97109555759274</v>
      </c>
      <c r="AR225" s="49">
        <f>STANDARDIZE(AQ225,AVERAGE($AQ$5:$AQ$537),STDEVP($AQ$5:$AQ$537))</f>
        <v>0.10958600105125858</v>
      </c>
      <c r="AS225" s="47" t="str">
        <f>IF(AND(Z225&lt;&gt;"-",Y225&gt;1),"C",IF(AB225=MAX(AB225:AD225),"2B",IF(AD225=MAX(AB225:AD225),"SS",IF(OR(AC225=MAX(AA225:AD225),AND(AC225&lt;&gt;"-",AC225&gt;4,V225&gt;5)),"3B",IF(AF225=MAX(AE225:AG225),"CF",IF(AND(AG225=MAX(AE225,AG225),AND(W225&gt;5,AG225&lt;&gt;"-")),"RF",IF(AE225&lt;&gt;"-","LF",IF(AA225&lt;&gt;"-","1B","DH"))))))))</f>
        <v>SS</v>
      </c>
      <c r="AT225" s="47"/>
      <c r="AU225" s="47"/>
      <c r="AV225" s="47"/>
      <c r="AW225" s="47" t="str">
        <f>IF(AND($Q225&gt;=6,AVERAGE($S225:$T225)&gt;=6),"Likely",IF(OR($Q225&gt;6,AND($Q225=6,AVERAGE($S225:$T225)&gt;=3),AND($Q225&gt;=5,AVERAGE($S225:$T225)&gt;=5),AVERAGE($Q225,$S225:$T225)&gt;5),"Possible","Unlikely"))</f>
        <v>Unlikely</v>
      </c>
      <c r="AX225" s="47"/>
      <c r="AY225" s="47" t="str">
        <f>INDEX(Table5[[#All],[Ovr]],MATCH(Batters[[#This Row],[PID]],Table5[[#All],[PID]],0))</f>
        <v/>
      </c>
      <c r="AZ225" s="47" t="str">
        <f>INDEX(Table5[[#All],[Rnd]],MATCH(Batters[[#This Row],[PID]],Table5[[#All],[PID]],0))</f>
        <v/>
      </c>
      <c r="BA225" s="47" t="str">
        <f>INDEX(Table5[[#All],[Pick]],MATCH(Batters[[#This Row],[PID]],Table5[[#All],[PID]],0))</f>
        <v/>
      </c>
      <c r="BB225" s="47" t="str">
        <f>INDEX(Table5[[#All],[Team]],MATCH(Batters[[#This Row],[PID]],Table5[[#All],[PID]],0))</f>
        <v/>
      </c>
    </row>
    <row r="226" spans="1:54" ht="15" customHeight="1" x14ac:dyDescent="0.25">
      <c r="A226" s="42">
        <v>13183</v>
      </c>
      <c r="B226" s="42" t="s">
        <v>66</v>
      </c>
      <c r="C226" s="42" t="s">
        <v>1292</v>
      </c>
      <c r="D226" s="42" t="s">
        <v>473</v>
      </c>
      <c r="E226" s="42">
        <v>18</v>
      </c>
      <c r="F226" s="42" t="s">
        <v>42</v>
      </c>
      <c r="G226" s="42" t="s">
        <v>42</v>
      </c>
      <c r="H226" s="43" t="s">
        <v>711</v>
      </c>
      <c r="I226" s="44" t="s">
        <v>44</v>
      </c>
      <c r="J226" s="42" t="s">
        <v>44</v>
      </c>
      <c r="K226" s="43" t="s">
        <v>44</v>
      </c>
      <c r="L226" s="42">
        <v>1</v>
      </c>
      <c r="M226" s="42">
        <v>1</v>
      </c>
      <c r="N226" s="42">
        <v>2</v>
      </c>
      <c r="O226" s="42">
        <v>1</v>
      </c>
      <c r="P226" s="43">
        <v>1</v>
      </c>
      <c r="Q226" s="42">
        <v>3</v>
      </c>
      <c r="R226" s="42">
        <v>4</v>
      </c>
      <c r="S226" s="42">
        <v>4</v>
      </c>
      <c r="T226" s="42">
        <v>5</v>
      </c>
      <c r="U226" s="43">
        <v>4</v>
      </c>
      <c r="V226" s="42">
        <v>6</v>
      </c>
      <c r="W226" s="42">
        <v>8</v>
      </c>
      <c r="X226" s="42">
        <v>1</v>
      </c>
      <c r="Y226" s="43">
        <v>1</v>
      </c>
      <c r="Z226" s="42" t="s">
        <v>45</v>
      </c>
      <c r="AA226" s="42" t="s">
        <v>45</v>
      </c>
      <c r="AB226" s="42" t="s">
        <v>45</v>
      </c>
      <c r="AC226" s="42" t="s">
        <v>45</v>
      </c>
      <c r="AD226" s="42" t="s">
        <v>45</v>
      </c>
      <c r="AE226" s="42">
        <v>1</v>
      </c>
      <c r="AF226" s="42" t="s">
        <v>45</v>
      </c>
      <c r="AG226" s="43">
        <v>1</v>
      </c>
      <c r="AH226" s="42">
        <v>3</v>
      </c>
      <c r="AI226" s="42">
        <v>1</v>
      </c>
      <c r="AJ226" s="43">
        <v>1</v>
      </c>
      <c r="AK226" s="45" t="s">
        <v>758</v>
      </c>
      <c r="AL226" s="45" t="s">
        <v>47</v>
      </c>
      <c r="AM226" s="46">
        <f>($L$3*(L226-$Q$1)/$Q$2+$M$3*(M226-$R$1)/$R$2+$N$3*(N226-$S$1)/$S$2+$O$3*(O226-$T$1)/$T$2+$P$3*(P226-$U$1)/$U$2)/(SUM($L$3:$P$3))</f>
        <v>-2.0012818558036707</v>
      </c>
      <c r="AN226" s="46">
        <f>($L$3*(Q226-$Q$1)/$Q$2+$M$3*(R226-$R$1)/$R$2+$N$3*(S226-$S$1)/$S$2+$O$3*(T226-$T$1)/$T$2+$P$3*(U226-$U$1)/$U$2)/(SUM($L$3:$P$3))</f>
        <v>-0.55798033700483307</v>
      </c>
      <c r="AO226" s="47">
        <f>IF(AVERAGE(AH226:AI226)&gt;9,1,0)+IF(AVERAGE(AH226:AI226)&gt;7,1,0)+IF(AH226&gt;7,1,0)+IF(AI226&gt;7,1,0)+IF(AJ226&gt;8,1,0)+IF(AJ226&gt;6,1,0)</f>
        <v>0</v>
      </c>
      <c r="AP226" s="48">
        <f>MIN(2,IF(OR(Z226="-",X226&lt;5),0,1+IF(Y226&gt;7,0.35,IF(Y226&gt;5,0.1,0))+IF(Z226&gt;7,1+IF(X226&gt;7,0.25,0),IF(Z226&gt;4,0.5+IF(X226&gt;7,0.25,0),0+IF(X226&gt;7,0.25))))+IF(AA226="-",0,IF(AA226&gt;9,0.5,IF(AA226&gt;7,0.25,0)))+IF(AB226="-",0,IF(AB226&gt;7,1.1,IF(AB226&gt;4,0.6,0)))+IF(OR(AC226="-",V226&lt;5),0,IF(AC226&gt;7,1+IF(V226&gt;7,0.25,0),IF(AC226&gt;4,0.5+IF(V226&gt;7,0.25,0),0)))+IF(AD226="-",0,IF(AD226&gt;7,1.5,IF(AD226&gt;4,1,0)))+IF(AE226="-",0,IF(AE226&gt;9,0.5,IF(AE226&gt;7,0.25,0)))+IF(AF226="-",0,IF(AF226&gt;7,1.25,IF(AF226&gt;4,0.75,0)))+IF(OR(AG226="-",W226&lt;4),0,IF(AG226&gt;7,1+IF(W226&gt;7,0.15,0),IF(AG226&gt;4,0.5+IF(W226&gt;7,0.15,0),0))))</f>
        <v>0</v>
      </c>
      <c r="AQ226" s="46">
        <f>($AM$3*AM226+$AN$3*AN226+$AO$3*AO226+$AP$3*AP226)+$I$3*VLOOKUP(I226,COND!$A$2:$E$7,4,FALSE)+$J$3*VLOOKUP(J226,COND!$A$2:$C$7,2,FALSE)+$K$3*VLOOKUP(K226,COND!$A$2:$C$7,3,FALSE)+IF(AND($B$2&gt;0,$E226&lt;20),$B$2*25,0)</f>
        <v>42.354107770361637</v>
      </c>
      <c r="AR226" s="49">
        <f>STANDARDIZE(AQ226,AVERAGE($AQ$5:$AQ$537),STDEVP($AQ$5:$AQ$537))</f>
        <v>0.35291780796920502</v>
      </c>
      <c r="AS226" s="47" t="str">
        <f>IF(AND(Z226&lt;&gt;"-",Y226&gt;1),"C",IF(AB226=MAX(AB226:AD226),"2B",IF(AD226=MAX(AB226:AD226),"SS",IF(OR(AC226=MAX(AA226:AD226),AND(AC226&lt;&gt;"-",AC226&gt;4,V226&gt;5)),"3B",IF(AF226=MAX(AE226:AG226),"CF",IF(AND(AG226=MAX(AE226,AG226),AND(W226&gt;5,AG226&lt;&gt;"-")),"RF",IF(AE226&lt;&gt;"-","LF",IF(AA226&lt;&gt;"-","1B","DH"))))))))</f>
        <v>RF</v>
      </c>
      <c r="AT226" s="47"/>
      <c r="AU226" s="47"/>
      <c r="AV226" s="47"/>
      <c r="AW226" s="47" t="str">
        <f>IF(AND($Q226&gt;=6,AVERAGE($S226:$T226)&gt;=6),"Likely",IF(OR($Q226&gt;6,AND($Q226=6,AVERAGE($S226:$T226)&gt;=3),AND($Q226&gt;=5,AVERAGE($S226:$T226)&gt;=5),AVERAGE($Q226,$S226:$T226)&gt;5),"Possible","Unlikely"))</f>
        <v>Unlikely</v>
      </c>
      <c r="AX226" s="47"/>
      <c r="AY226" s="47" t="str">
        <f>INDEX(Table5[[#All],[Ovr]],MATCH(Batters[[#This Row],[PID]],Table5[[#All],[PID]],0))</f>
        <v/>
      </c>
      <c r="AZ226" s="47" t="str">
        <f>INDEX(Table5[[#All],[Rnd]],MATCH(Batters[[#This Row],[PID]],Table5[[#All],[PID]],0))</f>
        <v/>
      </c>
      <c r="BA226" s="47" t="str">
        <f>INDEX(Table5[[#All],[Pick]],MATCH(Batters[[#This Row],[PID]],Table5[[#All],[PID]],0))</f>
        <v/>
      </c>
      <c r="BB226" s="47" t="str">
        <f>INDEX(Table5[[#All],[Team]],MATCH(Batters[[#This Row],[PID]],Table5[[#All],[PID]],0))</f>
        <v/>
      </c>
    </row>
    <row r="227" spans="1:54" ht="15" customHeight="1" x14ac:dyDescent="0.25">
      <c r="A227" s="42">
        <v>7082</v>
      </c>
      <c r="B227" s="42" t="s">
        <v>87</v>
      </c>
      <c r="C227" s="42" t="s">
        <v>398</v>
      </c>
      <c r="D227" s="42" t="s">
        <v>784</v>
      </c>
      <c r="E227" s="42">
        <v>21</v>
      </c>
      <c r="F227" s="42" t="s">
        <v>62</v>
      </c>
      <c r="G227" s="42" t="s">
        <v>42</v>
      </c>
      <c r="H227" s="43" t="s">
        <v>709</v>
      </c>
      <c r="I227" s="44" t="s">
        <v>43</v>
      </c>
      <c r="J227" s="42" t="s">
        <v>43</v>
      </c>
      <c r="K227" s="43" t="s">
        <v>43</v>
      </c>
      <c r="L227" s="42">
        <v>2</v>
      </c>
      <c r="M227" s="42">
        <v>4</v>
      </c>
      <c r="N227" s="42">
        <v>4</v>
      </c>
      <c r="O227" s="42">
        <v>4</v>
      </c>
      <c r="P227" s="43">
        <v>1</v>
      </c>
      <c r="Q227" s="42">
        <v>3</v>
      </c>
      <c r="R227" s="42">
        <v>5</v>
      </c>
      <c r="S227" s="42">
        <v>6</v>
      </c>
      <c r="T227" s="42">
        <v>6</v>
      </c>
      <c r="U227" s="43">
        <v>2</v>
      </c>
      <c r="V227" s="42">
        <v>2</v>
      </c>
      <c r="W227" s="42">
        <v>1</v>
      </c>
      <c r="X227" s="42">
        <v>1</v>
      </c>
      <c r="Y227" s="43">
        <v>1</v>
      </c>
      <c r="Z227" s="42" t="s">
        <v>45</v>
      </c>
      <c r="AA227" s="42">
        <v>5</v>
      </c>
      <c r="AB227" s="42" t="s">
        <v>45</v>
      </c>
      <c r="AC227" s="42" t="s">
        <v>45</v>
      </c>
      <c r="AD227" s="42" t="s">
        <v>45</v>
      </c>
      <c r="AE227" s="42" t="s">
        <v>45</v>
      </c>
      <c r="AF227" s="42" t="s">
        <v>45</v>
      </c>
      <c r="AG227" s="43" t="s">
        <v>45</v>
      </c>
      <c r="AH227" s="42">
        <v>3</v>
      </c>
      <c r="AI227" s="42">
        <v>1</v>
      </c>
      <c r="AJ227" s="43">
        <v>3</v>
      </c>
      <c r="AK227" s="45" t="s">
        <v>615</v>
      </c>
      <c r="AL227" s="45" t="s">
        <v>705</v>
      </c>
      <c r="AM227" s="46">
        <f>($L$3*(L227-$Q$1)/$Q$2+$M$3*(M227-$R$1)/$R$2+$N$3*(N227-$S$1)/$S$2+$O$3*(O227-$T$1)/$T$2+$P$3*(P227-$U$1)/$U$2)/(SUM($L$3:$P$3))</f>
        <v>-1.0902947426683391</v>
      </c>
      <c r="AN227" s="46">
        <f>($L$3*(Q227-$Q$1)/$Q$2+$M$3*(R227-$R$1)/$R$2+$N$3*(S227-$S$1)/$S$2+$O$3*(T227-$T$1)/$T$2+$P$3*(U227-$U$1)/$U$2)/(SUM($L$3:$P$3))</f>
        <v>-0.3311205989629124</v>
      </c>
      <c r="AO227" s="47">
        <f>IF(AVERAGE(AH227:AI227)&gt;9,1,0)+IF(AVERAGE(AH227:AI227)&gt;7,1,0)+IF(AH227&gt;7,1,0)+IF(AI227&gt;7,1,0)+IF(AJ227&gt;8,1,0)+IF(AJ227&gt;6,1,0)</f>
        <v>0</v>
      </c>
      <c r="AP227" s="48">
        <f>MIN(2,IF(OR(Z227="-",X227&lt;5),0,1+IF(Y227&gt;7,0.35,IF(Y227&gt;5,0.1,0))+IF(Z227&gt;7,1+IF(X227&gt;7,0.25,0),IF(Z227&gt;4,0.5+IF(X227&gt;7,0.25,0),0+IF(X227&gt;7,0.25))))+IF(AA227="-",0,IF(AA227&gt;9,0.5,IF(AA227&gt;7,0.25,0)))+IF(AB227="-",0,IF(AB227&gt;7,1.1,IF(AB227&gt;4,0.6,0)))+IF(OR(AC227="-",V227&lt;5),0,IF(AC227&gt;7,1+IF(V227&gt;7,0.25,0),IF(AC227&gt;4,0.5+IF(V227&gt;7,0.25,0),0)))+IF(AD227="-",0,IF(AD227&gt;7,1.5,IF(AD227&gt;4,1,0)))+IF(AE227="-",0,IF(AE227&gt;9,0.5,IF(AE227&gt;7,0.25,0)))+IF(AF227="-",0,IF(AF227&gt;7,1.25,IF(AF227&gt;4,0.75,0)))+IF(OR(AG227="-",W227&lt;4),0,IF(AG227&gt;7,1+IF(W227&gt;7,0.15,0),IF(AG227&gt;4,0.5+IF(W227&gt;7,0.15,0),0))))</f>
        <v>0</v>
      </c>
      <c r="AQ227" s="46">
        <f>($AM$3*AM227+$AN$3*AN227+$AO$3*AO227+$AP$3*AP227)+$I$3*VLOOKUP(I227,COND!$A$2:$E$7,4,FALSE)+$J$3*VLOOKUP(J227,COND!$A$2:$C$7,2,FALSE)+$K$3*VLOOKUP(K227,COND!$A$2:$C$7,3,FALSE)+IF(AND($B$2&gt;0,$E227&lt;20),$B$2*25,0)</f>
        <v>40.917523338178214</v>
      </c>
      <c r="AR227" s="49">
        <f>STANDARDIZE(AQ227,AVERAGE($AQ$5:$AQ$537),STDEVP($AQ$5:$AQ$537))</f>
        <v>0.10016032510249548</v>
      </c>
      <c r="AS227" s="47" t="str">
        <f>IF(AND(Z227&lt;&gt;"-",Y227&gt;1),"C",IF(AB227=MAX(AB227:AD227),"2B",IF(AD227=MAX(AB227:AD227),"SS",IF(OR(AC227=MAX(AA227:AD227),AND(AC227&lt;&gt;"-",AC227&gt;4,V227&gt;5)),"3B",IF(AF227=MAX(AE227:AG227),"CF",IF(AND(AG227=MAX(AE227,AG227),AND(W227&gt;5,AG227&lt;&gt;"-")),"RF",IF(AE227&lt;&gt;"-","LF",IF(AA227&lt;&gt;"-","1B","DH"))))))))</f>
        <v>1B</v>
      </c>
      <c r="AT227" s="47"/>
      <c r="AU227" s="47"/>
      <c r="AV227" s="47"/>
      <c r="AW227" s="47" t="str">
        <f>IF(AND($Q227&gt;=6,AVERAGE($S227:$T227)&gt;=6),"Likely",IF(OR($Q227&gt;6,AND($Q227=6,AVERAGE($S227:$T227)&gt;=3),AND($Q227&gt;=5,AVERAGE($S227:$T227)&gt;=5),AVERAGE($Q227,$S227:$T227)&gt;5),"Possible","Unlikely"))</f>
        <v>Unlikely</v>
      </c>
      <c r="AX227" s="47"/>
      <c r="AY227" s="47" t="str">
        <f>INDEX(Table5[[#All],[Ovr]],MATCH(Batters[[#This Row],[PID]],Table5[[#All],[PID]],0))</f>
        <v/>
      </c>
      <c r="AZ227" s="47" t="str">
        <f>INDEX(Table5[[#All],[Rnd]],MATCH(Batters[[#This Row],[PID]],Table5[[#All],[PID]],0))</f>
        <v/>
      </c>
      <c r="BA227" s="47" t="str">
        <f>INDEX(Table5[[#All],[Pick]],MATCH(Batters[[#This Row],[PID]],Table5[[#All],[PID]],0))</f>
        <v/>
      </c>
      <c r="BB227" s="47" t="str">
        <f>INDEX(Table5[[#All],[Team]],MATCH(Batters[[#This Row],[PID]],Table5[[#All],[PID]],0))</f>
        <v/>
      </c>
    </row>
    <row r="228" spans="1:54" ht="15" customHeight="1" x14ac:dyDescent="0.25">
      <c r="A228" s="42">
        <v>6439</v>
      </c>
      <c r="B228" s="42" t="s">
        <v>66</v>
      </c>
      <c r="C228" s="42" t="s">
        <v>623</v>
      </c>
      <c r="D228" s="42" t="s">
        <v>1327</v>
      </c>
      <c r="E228" s="42">
        <v>18</v>
      </c>
      <c r="F228" s="42" t="s">
        <v>53</v>
      </c>
      <c r="G228" s="42" t="s">
        <v>53</v>
      </c>
      <c r="H228" s="43" t="s">
        <v>709</v>
      </c>
      <c r="I228" s="44" t="s">
        <v>43</v>
      </c>
      <c r="J228" s="42" t="s">
        <v>43</v>
      </c>
      <c r="K228" s="43" t="s">
        <v>43</v>
      </c>
      <c r="L228" s="42">
        <v>1</v>
      </c>
      <c r="M228" s="42">
        <v>2</v>
      </c>
      <c r="N228" s="42">
        <v>3</v>
      </c>
      <c r="O228" s="42">
        <v>2</v>
      </c>
      <c r="P228" s="43">
        <v>1</v>
      </c>
      <c r="Q228" s="42">
        <v>2</v>
      </c>
      <c r="R228" s="42">
        <v>4</v>
      </c>
      <c r="S228" s="42">
        <v>6</v>
      </c>
      <c r="T228" s="42">
        <v>6</v>
      </c>
      <c r="U228" s="43">
        <v>1</v>
      </c>
      <c r="V228" s="42">
        <v>5</v>
      </c>
      <c r="W228" s="42">
        <v>7</v>
      </c>
      <c r="X228" s="42">
        <v>1</v>
      </c>
      <c r="Y228" s="43">
        <v>1</v>
      </c>
      <c r="Z228" s="42" t="s">
        <v>45</v>
      </c>
      <c r="AA228" s="42" t="s">
        <v>45</v>
      </c>
      <c r="AB228" s="42" t="s">
        <v>45</v>
      </c>
      <c r="AC228" s="42" t="s">
        <v>45</v>
      </c>
      <c r="AD228" s="42" t="s">
        <v>45</v>
      </c>
      <c r="AE228" s="42" t="s">
        <v>45</v>
      </c>
      <c r="AF228" s="42" t="s">
        <v>45</v>
      </c>
      <c r="AG228" s="43">
        <v>2</v>
      </c>
      <c r="AH228" s="42">
        <v>7</v>
      </c>
      <c r="AI228" s="42">
        <v>7</v>
      </c>
      <c r="AJ228" s="43">
        <v>6</v>
      </c>
      <c r="AK228" s="45" t="s">
        <v>718</v>
      </c>
      <c r="AL228" s="45" t="s">
        <v>47</v>
      </c>
      <c r="AM228" s="46">
        <f>($L$3*(L228-$Q$1)/$Q$2+$M$3*(M228-$R$1)/$R$2+$N$3*(N228-$S$1)/$S$2+$O$3*(O228-$T$1)/$T$2+$P$3*(P228-$U$1)/$U$2)/(SUM($L$3:$P$3))</f>
        <v>-1.7774509321514844</v>
      </c>
      <c r="AN228" s="46">
        <f>($L$3*(Q228-$Q$1)/$Q$2+$M$3*(R228-$R$1)/$R$2+$N$3*(S228-$S$1)/$S$2+$O$3*(T228-$T$1)/$T$2+$P$3*(U228-$U$1)/$U$2)/(SUM($L$3:$P$3))</f>
        <v>-0.74475265460137419</v>
      </c>
      <c r="AO228" s="47">
        <f>IF(AVERAGE(AH228:AI228)&gt;9,1,0)+IF(AVERAGE(AH228:AI228)&gt;7,1,0)+IF(AH228&gt;7,1,0)+IF(AI228&gt;7,1,0)+IF(AJ228&gt;8,1,0)+IF(AJ228&gt;6,1,0)</f>
        <v>0</v>
      </c>
      <c r="AP228" s="48">
        <f>MIN(2,IF(OR(Z228="-",X228&lt;5),0,1+IF(Y228&gt;7,0.35,IF(Y228&gt;5,0.1,0))+IF(Z228&gt;7,1+IF(X228&gt;7,0.25,0),IF(Z228&gt;4,0.5+IF(X228&gt;7,0.25,0),0+IF(X228&gt;7,0.25))))+IF(AA228="-",0,IF(AA228&gt;9,0.5,IF(AA228&gt;7,0.25,0)))+IF(AB228="-",0,IF(AB228&gt;7,1.1,IF(AB228&gt;4,0.6,0)))+IF(OR(AC228="-",V228&lt;5),0,IF(AC228&gt;7,1+IF(V228&gt;7,0.25,0),IF(AC228&gt;4,0.5+IF(V228&gt;7,0.25,0),0)))+IF(AD228="-",0,IF(AD228&gt;7,1.5,IF(AD228&gt;4,1,0)))+IF(AE228="-",0,IF(AE228&gt;9,0.5,IF(AE228&gt;7,0.25,0)))+IF(AF228="-",0,IF(AF228&gt;7,1.25,IF(AF228&gt;4,0.75,0)))+IF(OR(AG228="-",W228&lt;4),0,IF(AG228&gt;7,1+IF(W228&gt;7,0.15,0),IF(AG228&gt;4,0.5+IF(W228&gt;7,0.15,0),0))))</f>
        <v>0</v>
      </c>
      <c r="AQ228" s="46">
        <f>($AM$3*AM228+$AN$3*AN228+$AO$3*AO228+$AP$3*AP228)+$I$3*VLOOKUP(I228,COND!$A$2:$E$7,4,FALSE)+$J$3*VLOOKUP(J228,COND!$A$2:$C$7,2,FALSE)+$K$3*VLOOKUP(K228,COND!$A$2:$C$7,3,FALSE)+IF(AND($B$2&gt;0,$E228&lt;20),$B$2*25,0)</f>
        <v>40.88522305156836</v>
      </c>
      <c r="AR228" s="49">
        <f>STANDARDIZE(AQ228,AVERAGE($AQ$5:$AQ$537),STDEVP($AQ$5:$AQ$537))</f>
        <v>9.4477304350995772E-2</v>
      </c>
      <c r="AS228" s="47" t="str">
        <f>IF(AND(Z228&lt;&gt;"-",Y228&gt;1),"C",IF(AB228=MAX(AB228:AD228),"2B",IF(AD228=MAX(AB228:AD228),"SS",IF(OR(AC228=MAX(AA228:AD228),AND(AC228&lt;&gt;"-",AC228&gt;4,V228&gt;5)),"3B",IF(AF228=MAX(AE228:AG228),"CF",IF(AND(AG228=MAX(AE228,AG228),AND(W228&gt;5,AG228&lt;&gt;"-")),"RF",IF(AE228&lt;&gt;"-","LF",IF(AA228&lt;&gt;"-","1B","DH"))))))))</f>
        <v>RF</v>
      </c>
      <c r="AT228" s="47"/>
      <c r="AU228" s="47"/>
      <c r="AV228" s="47"/>
      <c r="AW228" s="47" t="str">
        <f>IF(AND($Q228&gt;=6,AVERAGE($S228:$T228)&gt;=6),"Likely",IF(OR($Q228&gt;6,AND($Q228=6,AVERAGE($S228:$T228)&gt;=3),AND($Q228&gt;=5,AVERAGE($S228:$T228)&gt;=5),AVERAGE($Q228,$S228:$T228)&gt;5),"Possible","Unlikely"))</f>
        <v>Unlikely</v>
      </c>
      <c r="AX228" s="47"/>
      <c r="AY228" s="47" t="str">
        <f>INDEX(Table5[[#All],[Ovr]],MATCH(Batters[[#This Row],[PID]],Table5[[#All],[PID]],0))</f>
        <v/>
      </c>
      <c r="AZ228" s="47" t="str">
        <f>INDEX(Table5[[#All],[Rnd]],MATCH(Batters[[#This Row],[PID]],Table5[[#All],[PID]],0))</f>
        <v/>
      </c>
      <c r="BA228" s="47" t="str">
        <f>INDEX(Table5[[#All],[Pick]],MATCH(Batters[[#This Row],[PID]],Table5[[#All],[PID]],0))</f>
        <v/>
      </c>
      <c r="BB228" s="47" t="str">
        <f>INDEX(Table5[[#All],[Team]],MATCH(Batters[[#This Row],[PID]],Table5[[#All],[PID]],0))</f>
        <v/>
      </c>
    </row>
    <row r="229" spans="1:54" ht="15" customHeight="1" x14ac:dyDescent="0.25">
      <c r="A229" s="42">
        <v>12495</v>
      </c>
      <c r="B229" s="42" t="s">
        <v>87</v>
      </c>
      <c r="C229" s="42" t="s">
        <v>1097</v>
      </c>
      <c r="D229" s="42" t="s">
        <v>1098</v>
      </c>
      <c r="E229" s="42">
        <v>21</v>
      </c>
      <c r="F229" s="42" t="s">
        <v>53</v>
      </c>
      <c r="G229" s="42" t="s">
        <v>53</v>
      </c>
      <c r="H229" s="43" t="s">
        <v>709</v>
      </c>
      <c r="I229" s="44" t="s">
        <v>43</v>
      </c>
      <c r="J229" s="42" t="s">
        <v>43</v>
      </c>
      <c r="K229" s="43" t="s">
        <v>43</v>
      </c>
      <c r="L229" s="42">
        <v>3</v>
      </c>
      <c r="M229" s="42">
        <v>2</v>
      </c>
      <c r="N229" s="42">
        <v>3</v>
      </c>
      <c r="O229" s="42">
        <v>2</v>
      </c>
      <c r="P229" s="43">
        <v>3</v>
      </c>
      <c r="Q229" s="42">
        <v>4</v>
      </c>
      <c r="R229" s="42">
        <v>3</v>
      </c>
      <c r="S229" s="42">
        <v>4</v>
      </c>
      <c r="T229" s="42">
        <v>4</v>
      </c>
      <c r="U229" s="43">
        <v>5</v>
      </c>
      <c r="V229" s="42">
        <v>3</v>
      </c>
      <c r="W229" s="42">
        <v>3</v>
      </c>
      <c r="X229" s="42">
        <v>1</v>
      </c>
      <c r="Y229" s="43">
        <v>1</v>
      </c>
      <c r="Z229" s="42" t="s">
        <v>45</v>
      </c>
      <c r="AA229" s="42">
        <v>4</v>
      </c>
      <c r="AB229" s="42" t="s">
        <v>45</v>
      </c>
      <c r="AC229" s="42" t="s">
        <v>45</v>
      </c>
      <c r="AD229" s="42" t="s">
        <v>45</v>
      </c>
      <c r="AE229" s="42" t="s">
        <v>45</v>
      </c>
      <c r="AF229" s="42" t="s">
        <v>45</v>
      </c>
      <c r="AG229" s="43" t="s">
        <v>45</v>
      </c>
      <c r="AH229" s="42">
        <v>2</v>
      </c>
      <c r="AI229" s="42">
        <v>1</v>
      </c>
      <c r="AJ229" s="43">
        <v>1</v>
      </c>
      <c r="AK229" s="45" t="s">
        <v>730</v>
      </c>
      <c r="AL229" s="45" t="s">
        <v>47</v>
      </c>
      <c r="AM229" s="46">
        <f>($L$3*(L229-$Q$1)/$Q$2+$M$3*(M229-$R$1)/$R$2+$N$3*(N229-$S$1)/$S$2+$O$3*(O229-$T$1)/$T$2+$P$3*(P229-$U$1)/$U$2)/(SUM($L$3:$P$3))</f>
        <v>-1.0523065801119682</v>
      </c>
      <c r="AN229" s="46">
        <f>($L$3*(Q229-$Q$1)/$Q$2+$M$3*(R229-$R$1)/$R$2+$N$3*(S229-$S$1)/$S$2+$O$3*(T229-$T$1)/$T$2+$P$3*(U229-$U$1)/$U$2)/(SUM($L$3:$P$3))</f>
        <v>-0.33617759061335939</v>
      </c>
      <c r="AO229" s="47">
        <f>IF(AVERAGE(AH229:AI229)&gt;9,1,0)+IF(AVERAGE(AH229:AI229)&gt;7,1,0)+IF(AH229&gt;7,1,0)+IF(AI229&gt;7,1,0)+IF(AJ229&gt;8,1,0)+IF(AJ229&gt;6,1,0)</f>
        <v>0</v>
      </c>
      <c r="AP229" s="48">
        <f>MIN(2,IF(OR(Z229="-",X229&lt;5),0,1+IF(Y229&gt;7,0.35,IF(Y229&gt;5,0.1,0))+IF(Z229&gt;7,1+IF(X229&gt;7,0.25,0),IF(Z229&gt;4,0.5+IF(X229&gt;7,0.25,0),0+IF(X229&gt;7,0.25))))+IF(AA229="-",0,IF(AA229&gt;9,0.5,IF(AA229&gt;7,0.25,0)))+IF(AB229="-",0,IF(AB229&gt;7,1.1,IF(AB229&gt;4,0.6,0)))+IF(OR(AC229="-",V229&lt;5),0,IF(AC229&gt;7,1+IF(V229&gt;7,0.25,0),IF(AC229&gt;4,0.5+IF(V229&gt;7,0.25,0),0)))+IF(AD229="-",0,IF(AD229&gt;7,1.5,IF(AD229&gt;4,1,0)))+IF(AE229="-",0,IF(AE229&gt;9,0.5,IF(AE229&gt;7,0.25,0)))+IF(AF229="-",0,IF(AF229&gt;7,1.25,IF(AF229&gt;4,0.75,0)))+IF(OR(AG229="-",W229&lt;4),0,IF(AG229&gt;7,1+IF(W229&gt;7,0.15,0),IF(AG229&gt;4,0.5+IF(W229&gt;7,0.15,0),0))))</f>
        <v>0</v>
      </c>
      <c r="AQ229" s="46">
        <f>($AM$3*AM229+$AN$3*AN229+$AO$3*AO229+$AP$3*AP229)+$I$3*VLOOKUP(I229,COND!$A$2:$E$7,4,FALSE)+$J$3*VLOOKUP(J229,COND!$A$2:$C$7,2,FALSE)+$K$3*VLOOKUP(K229,COND!$A$2:$C$7,3,FALSE)+IF(AND($B$2&gt;0,$E229&lt;20),$B$2*25,0)</f>
        <v>40.860638254628491</v>
      </c>
      <c r="AR229" s="49">
        <f>STANDARDIZE(AQ229,AVERAGE($AQ$5:$AQ$537),STDEVP($AQ$5:$AQ$537))</f>
        <v>9.0151772727444651E-2</v>
      </c>
      <c r="AS229" s="47" t="str">
        <f>IF(AND(Z229&lt;&gt;"-",Y229&gt;1),"C",IF(AB229=MAX(AB229:AD229),"2B",IF(AD229=MAX(AB229:AD229),"SS",IF(OR(AC229=MAX(AA229:AD229),AND(AC229&lt;&gt;"-",AC229&gt;4,V229&gt;5)),"3B",IF(AF229=MAX(AE229:AG229),"CF",IF(AND(AG229=MAX(AE229,AG229),AND(W229&gt;5,AG229&lt;&gt;"-")),"RF",IF(AE229&lt;&gt;"-","LF",IF(AA229&lt;&gt;"-","1B","DH"))))))))</f>
        <v>1B</v>
      </c>
      <c r="AT229" s="47"/>
      <c r="AU229" s="47"/>
      <c r="AV229" s="47"/>
      <c r="AW229" s="47" t="str">
        <f>IF(AND($Q229&gt;=6,AVERAGE($S229:$T229)&gt;=6),"Likely",IF(OR($Q229&gt;6,AND($Q229=6,AVERAGE($S229:$T229)&gt;=3),AND($Q229&gt;=5,AVERAGE($S229:$T229)&gt;=5),AVERAGE($Q229,$S229:$T229)&gt;5),"Possible","Unlikely"))</f>
        <v>Unlikely</v>
      </c>
      <c r="AX229" s="47"/>
      <c r="AY229" s="47" t="str">
        <f>INDEX(Table5[[#All],[Ovr]],MATCH(Batters[[#This Row],[PID]],Table5[[#All],[PID]],0))</f>
        <v/>
      </c>
      <c r="AZ229" s="47" t="str">
        <f>INDEX(Table5[[#All],[Rnd]],MATCH(Batters[[#This Row],[PID]],Table5[[#All],[PID]],0))</f>
        <v/>
      </c>
      <c r="BA229" s="47" t="str">
        <f>INDEX(Table5[[#All],[Pick]],MATCH(Batters[[#This Row],[PID]],Table5[[#All],[PID]],0))</f>
        <v/>
      </c>
      <c r="BB229" s="47" t="str">
        <f>INDEX(Table5[[#All],[Team]],MATCH(Batters[[#This Row],[PID]],Table5[[#All],[PID]],0))</f>
        <v/>
      </c>
    </row>
    <row r="230" spans="1:54" ht="15" customHeight="1" x14ac:dyDescent="0.25">
      <c r="A230" s="42">
        <v>7557</v>
      </c>
      <c r="B230" s="42" t="s">
        <v>87</v>
      </c>
      <c r="C230" s="42" t="s">
        <v>125</v>
      </c>
      <c r="D230" s="42" t="s">
        <v>131</v>
      </c>
      <c r="E230" s="42">
        <v>22</v>
      </c>
      <c r="F230" s="42" t="s">
        <v>42</v>
      </c>
      <c r="G230" s="42" t="s">
        <v>42</v>
      </c>
      <c r="H230" s="43" t="s">
        <v>709</v>
      </c>
      <c r="I230" s="44" t="s">
        <v>43</v>
      </c>
      <c r="J230" s="42" t="s">
        <v>44</v>
      </c>
      <c r="K230" s="43" t="s">
        <v>43</v>
      </c>
      <c r="L230" s="42">
        <v>3</v>
      </c>
      <c r="M230" s="42">
        <v>2</v>
      </c>
      <c r="N230" s="42">
        <v>3</v>
      </c>
      <c r="O230" s="42">
        <v>3</v>
      </c>
      <c r="P230" s="43">
        <v>3</v>
      </c>
      <c r="Q230" s="42">
        <v>4</v>
      </c>
      <c r="R230" s="42">
        <v>3</v>
      </c>
      <c r="S230" s="42">
        <v>4</v>
      </c>
      <c r="T230" s="42">
        <v>5</v>
      </c>
      <c r="U230" s="43">
        <v>4</v>
      </c>
      <c r="V230" s="42">
        <v>4</v>
      </c>
      <c r="W230" s="42">
        <v>1</v>
      </c>
      <c r="X230" s="42">
        <v>1</v>
      </c>
      <c r="Y230" s="43">
        <v>1</v>
      </c>
      <c r="Z230" s="42" t="s">
        <v>45</v>
      </c>
      <c r="AA230" s="42">
        <v>1</v>
      </c>
      <c r="AB230" s="42" t="s">
        <v>45</v>
      </c>
      <c r="AC230" s="42" t="s">
        <v>45</v>
      </c>
      <c r="AD230" s="42" t="s">
        <v>45</v>
      </c>
      <c r="AE230" s="42" t="s">
        <v>45</v>
      </c>
      <c r="AF230" s="42" t="s">
        <v>45</v>
      </c>
      <c r="AG230" s="43" t="s">
        <v>45</v>
      </c>
      <c r="AH230" s="42">
        <v>1</v>
      </c>
      <c r="AI230" s="42">
        <v>5</v>
      </c>
      <c r="AJ230" s="43">
        <v>10</v>
      </c>
      <c r="AK230" s="45" t="s">
        <v>45</v>
      </c>
      <c r="AL230" s="45" t="s">
        <v>47</v>
      </c>
      <c r="AM230" s="46">
        <f>($L$3*(L230-$Q$1)/$Q$2+$M$3*(M230-$R$1)/$R$2+$N$3*(N230-$S$1)/$S$2+$O$3*(O230-$T$1)/$T$2+$P$3*(P230-$U$1)/$U$2)/(SUM($L$3:$P$3))</f>
        <v>-0.96259703010238729</v>
      </c>
      <c r="AN230" s="46">
        <f>($L$3*(Q230-$Q$1)/$Q$2+$M$3*(R230-$R$1)/$R$2+$N$3*(S230-$S$1)/$S$2+$O$3*(T230-$T$1)/$T$2+$P$3*(U230-$U$1)/$U$2)/(SUM($L$3:$P$3))</f>
        <v>-0.28648438042086183</v>
      </c>
      <c r="AO230" s="47">
        <f>IF(AVERAGE(AH230:AI230)&gt;9,1,0)+IF(AVERAGE(AH230:AI230)&gt;7,1,0)+IF(AH230&gt;7,1,0)+IF(AI230&gt;7,1,0)+IF(AJ230&gt;8,1,0)+IF(AJ230&gt;6,1,0)</f>
        <v>2</v>
      </c>
      <c r="AP230" s="48">
        <f>MIN(2,IF(OR(Z230="-",X230&lt;5),0,1+IF(Y230&gt;7,0.35,IF(Y230&gt;5,0.1,0))+IF(Z230&gt;7,1+IF(X230&gt;7,0.25,0),IF(Z230&gt;4,0.5+IF(X230&gt;7,0.25,0),0+IF(X230&gt;7,0.25))))+IF(AA230="-",0,IF(AA230&gt;9,0.5,IF(AA230&gt;7,0.25,0)))+IF(AB230="-",0,IF(AB230&gt;7,1.1,IF(AB230&gt;4,0.6,0)))+IF(OR(AC230="-",V230&lt;5),0,IF(AC230&gt;7,1+IF(V230&gt;7,0.25,0),IF(AC230&gt;4,0.5+IF(V230&gt;7,0.25,0),0)))+IF(AD230="-",0,IF(AD230&gt;7,1.5,IF(AD230&gt;4,1,0)))+IF(AE230="-",0,IF(AE230&gt;9,0.5,IF(AE230&gt;7,0.25,0)))+IF(AF230="-",0,IF(AF230&gt;7,1.25,IF(AF230&gt;4,0.75,0)))+IF(OR(AG230="-",W230&lt;4),0,IF(AG230&gt;7,1+IF(W230&gt;7,0.15,0),IF(AG230&gt;4,0.5+IF(W230&gt;7,0.15,0),0))))</f>
        <v>0</v>
      </c>
      <c r="AQ230" s="46">
        <f>($AM$3*AM230+$AN$3*AN230+$AO$3*AO230+$AP$3*AP230)+$I$3*VLOOKUP(I230,COND!$A$2:$E$7,4,FALSE)+$J$3*VLOOKUP(J230,COND!$A$2:$C$7,2,FALSE)+$K$3*VLOOKUP(K230,COND!$A$2:$C$7,3,FALSE)+IF(AND($B$2&gt;0,$E230&lt;20),$B$2*25,0)</f>
        <v>41.499261065272748</v>
      </c>
      <c r="AR230" s="49">
        <f>STANDARDIZE(AQ230,AVERAGE($AQ$5:$AQ$537),STDEVP($AQ$5:$AQ$537))</f>
        <v>0.20251321177935835</v>
      </c>
      <c r="AS230" s="47" t="str">
        <f>IF(AND(Z230&lt;&gt;"-",Y230&gt;1),"C",IF(AB230=MAX(AB230:AD230),"2B",IF(AD230=MAX(AB230:AD230),"SS",IF(OR(AC230=MAX(AA230:AD230),AND(AC230&lt;&gt;"-",AC230&gt;4,V230&gt;5)),"3B",IF(AF230=MAX(AE230:AG230),"CF",IF(AND(AG230=MAX(AE230,AG230),AND(W230&gt;5,AG230&lt;&gt;"-")),"RF",IF(AE230&lt;&gt;"-","LF",IF(AA230&lt;&gt;"-","1B","DH"))))))))</f>
        <v>1B</v>
      </c>
      <c r="AT230" s="47"/>
      <c r="AU230" s="47"/>
      <c r="AV230" s="47"/>
      <c r="AW230" s="47" t="str">
        <f>IF(AND($Q230&gt;=6,AVERAGE($S230:$T230)&gt;=6),"Likely",IF(OR($Q230&gt;6,AND($Q230=6,AVERAGE($S230:$T230)&gt;=3),AND($Q230&gt;=5,AVERAGE($S230:$T230)&gt;=5),AVERAGE($Q230,$S230:$T230)&gt;5),"Possible","Unlikely"))</f>
        <v>Unlikely</v>
      </c>
      <c r="AX230" s="47"/>
      <c r="AY230" s="47" t="str">
        <f>INDEX(Table5[[#All],[Ovr]],MATCH(Batters[[#This Row],[PID]],Table5[[#All],[PID]],0))</f>
        <v/>
      </c>
      <c r="AZ230" s="47" t="str">
        <f>INDEX(Table5[[#All],[Rnd]],MATCH(Batters[[#This Row],[PID]],Table5[[#All],[PID]],0))</f>
        <v/>
      </c>
      <c r="BA230" s="47" t="str">
        <f>INDEX(Table5[[#All],[Pick]],MATCH(Batters[[#This Row],[PID]],Table5[[#All],[PID]],0))</f>
        <v/>
      </c>
      <c r="BB230" s="47" t="str">
        <f>INDEX(Table5[[#All],[Team]],MATCH(Batters[[#This Row],[PID]],Table5[[#All],[PID]],0))</f>
        <v/>
      </c>
    </row>
    <row r="231" spans="1:54" ht="15" customHeight="1" x14ac:dyDescent="0.25">
      <c r="A231" s="42">
        <v>8439</v>
      </c>
      <c r="B231" s="42" t="s">
        <v>50</v>
      </c>
      <c r="C231" s="42" t="s">
        <v>139</v>
      </c>
      <c r="D231" s="42" t="s">
        <v>1178</v>
      </c>
      <c r="E231" s="42">
        <v>18</v>
      </c>
      <c r="F231" s="42" t="s">
        <v>42</v>
      </c>
      <c r="G231" s="42" t="s">
        <v>42</v>
      </c>
      <c r="H231" s="43" t="s">
        <v>711</v>
      </c>
      <c r="I231" s="44" t="s">
        <v>43</v>
      </c>
      <c r="J231" s="42" t="s">
        <v>44</v>
      </c>
      <c r="K231" s="43" t="s">
        <v>44</v>
      </c>
      <c r="L231" s="42">
        <v>1</v>
      </c>
      <c r="M231" s="42">
        <v>1</v>
      </c>
      <c r="N231" s="42">
        <v>2</v>
      </c>
      <c r="O231" s="42">
        <v>2</v>
      </c>
      <c r="P231" s="43">
        <v>1</v>
      </c>
      <c r="Q231" s="42">
        <v>3</v>
      </c>
      <c r="R231" s="42">
        <v>5</v>
      </c>
      <c r="S231" s="42">
        <v>4</v>
      </c>
      <c r="T231" s="42">
        <v>5</v>
      </c>
      <c r="U231" s="43">
        <v>2</v>
      </c>
      <c r="V231" s="42">
        <v>4</v>
      </c>
      <c r="W231" s="42">
        <v>6</v>
      </c>
      <c r="X231" s="42">
        <v>1</v>
      </c>
      <c r="Y231" s="43">
        <v>1</v>
      </c>
      <c r="Z231" s="42" t="s">
        <v>45</v>
      </c>
      <c r="AA231" s="42" t="s">
        <v>45</v>
      </c>
      <c r="AB231" s="42" t="s">
        <v>45</v>
      </c>
      <c r="AC231" s="42" t="s">
        <v>45</v>
      </c>
      <c r="AD231" s="42" t="s">
        <v>45</v>
      </c>
      <c r="AE231" s="42" t="s">
        <v>45</v>
      </c>
      <c r="AF231" s="42" t="s">
        <v>45</v>
      </c>
      <c r="AG231" s="43" t="s">
        <v>45</v>
      </c>
      <c r="AH231" s="42">
        <v>7</v>
      </c>
      <c r="AI231" s="42">
        <v>6</v>
      </c>
      <c r="AJ231" s="43">
        <v>6</v>
      </c>
      <c r="AK231" s="45" t="s">
        <v>718</v>
      </c>
      <c r="AL231" s="45" t="s">
        <v>47</v>
      </c>
      <c r="AM231" s="46">
        <f>($L$3*(L231-$Q$1)/$Q$2+$M$3*(M231-$R$1)/$R$2+$N$3*(N231-$S$1)/$S$2+$O$3*(O231-$T$1)/$T$2+$P$3*(P231-$U$1)/$U$2)/(SUM($L$3:$P$3))</f>
        <v>-1.9115723057940897</v>
      </c>
      <c r="AN231" s="46">
        <f>($L$3*(Q231-$Q$1)/$Q$2+$M$3*(R231-$R$1)/$R$2+$N$3*(S231-$S$1)/$S$2+$O$3*(T231-$T$1)/$T$2+$P$3*(U231-$U$1)/$U$2)/(SUM($L$3:$P$3))</f>
        <v>-0.5869531370202965</v>
      </c>
      <c r="AO231" s="47">
        <f>IF(AVERAGE(AH231:AI231)&gt;9,1,0)+IF(AVERAGE(AH231:AI231)&gt;7,1,0)+IF(AH231&gt;7,1,0)+IF(AI231&gt;7,1,0)+IF(AJ231&gt;8,1,0)+IF(AJ231&gt;6,1,0)</f>
        <v>0</v>
      </c>
      <c r="AP231" s="48">
        <f>MIN(2,IF(OR(Z231="-",X231&lt;5),0,1+IF(Y231&gt;7,0.35,IF(Y231&gt;5,0.1,0))+IF(Z231&gt;7,1+IF(X231&gt;7,0.25,0),IF(Z231&gt;4,0.5+IF(X231&gt;7,0.25,0),0+IF(X231&gt;7,0.25))))+IF(AA231="-",0,IF(AA231&gt;9,0.5,IF(AA231&gt;7,0.25,0)))+IF(AB231="-",0,IF(AB231&gt;7,1.1,IF(AB231&gt;4,0.6,0)))+IF(OR(AC231="-",V231&lt;5),0,IF(AC231&gt;7,1+IF(V231&gt;7,0.25,0),IF(AC231&gt;4,0.5+IF(V231&gt;7,0.25,0),0)))+IF(AD231="-",0,IF(AD231&gt;7,1.5,IF(AD231&gt;4,1,0)))+IF(AE231="-",0,IF(AE231&gt;9,0.5,IF(AE231&gt;7,0.25,0)))+IF(AF231="-",0,IF(AF231&gt;7,1.25,IF(AF231&gt;4,0.75,0)))+IF(OR(AG231="-",W231&lt;4),0,IF(AG231&gt;7,1+IF(W231&gt;7,0.15,0),IF(AG231&gt;4,0.5+IF(W231&gt;7,0.15,0),0))))</f>
        <v>0</v>
      </c>
      <c r="AQ231" s="46">
        <f>($AM$3*AM231+$AN$3*AN231+$AO$3*AO231+$AP$3*AP231)+$I$3*VLOOKUP(I231,COND!$A$2:$E$7,4,FALSE)+$J$3*VLOOKUP(J231,COND!$A$2:$C$7,2,FALSE)+$K$3*VLOOKUP(K231,COND!$A$2:$C$7,3,FALSE)+IF(AND($B$2&gt;0,$E231&lt;20),$B$2*25,0)</f>
        <v>42.165405125177031</v>
      </c>
      <c r="AR231" s="49">
        <f>STANDARDIZE(AQ231,AVERAGE($AQ$5:$AQ$537),STDEVP($AQ$5:$AQ$537))</f>
        <v>0.31971683172400173</v>
      </c>
      <c r="AS231" s="47" t="str">
        <f>IF(AND(Z231&lt;&gt;"-",Y231&gt;1),"C",IF(AB231=MAX(AB231:AD231),"2B",IF(AD231=MAX(AB231:AD231),"SS",IF(OR(AC231=MAX(AA231:AD231),AND(AC231&lt;&gt;"-",AC231&gt;4,V231&gt;5)),"3B",IF(AF231=MAX(AE231:AG231),"CF",IF(AND(AG231=MAX(AE231,AG231),AND(W231&gt;5,AG231&lt;&gt;"-")),"RF",IF(AE231&lt;&gt;"-","LF",IF(AA231&lt;&gt;"-","1B","DH"))))))))</f>
        <v>DH</v>
      </c>
      <c r="AT231" s="47"/>
      <c r="AU231" s="47"/>
      <c r="AV231" s="47"/>
      <c r="AW231" s="47" t="str">
        <f>IF(AND($Q231&gt;=6,AVERAGE($S231:$T231)&gt;=6),"Likely",IF(OR($Q231&gt;6,AND($Q231=6,AVERAGE($S231:$T231)&gt;=3),AND($Q231&gt;=5,AVERAGE($S231:$T231)&gt;=5),AVERAGE($Q231,$S231:$T231)&gt;5),"Possible","Unlikely"))</f>
        <v>Unlikely</v>
      </c>
      <c r="AX231" s="47"/>
      <c r="AY231" s="47" t="str">
        <f>INDEX(Table5[[#All],[Ovr]],MATCH(Batters[[#This Row],[PID]],Table5[[#All],[PID]],0))</f>
        <v/>
      </c>
      <c r="AZ231" s="47" t="str">
        <f>INDEX(Table5[[#All],[Rnd]],MATCH(Batters[[#This Row],[PID]],Table5[[#All],[PID]],0))</f>
        <v/>
      </c>
      <c r="BA231" s="47" t="str">
        <f>INDEX(Table5[[#All],[Pick]],MATCH(Batters[[#This Row],[PID]],Table5[[#All],[PID]],0))</f>
        <v/>
      </c>
      <c r="BB231" s="47" t="str">
        <f>INDEX(Table5[[#All],[Team]],MATCH(Batters[[#This Row],[PID]],Table5[[#All],[PID]],0))</f>
        <v/>
      </c>
    </row>
    <row r="232" spans="1:54" ht="15" customHeight="1" x14ac:dyDescent="0.25">
      <c r="A232" s="42">
        <v>9695</v>
      </c>
      <c r="B232" s="42" t="s">
        <v>74</v>
      </c>
      <c r="C232" s="42" t="s">
        <v>360</v>
      </c>
      <c r="D232" s="42" t="s">
        <v>980</v>
      </c>
      <c r="E232" s="42">
        <v>21</v>
      </c>
      <c r="F232" s="42" t="s">
        <v>42</v>
      </c>
      <c r="G232" s="42" t="s">
        <v>42</v>
      </c>
      <c r="H232" s="43" t="s">
        <v>703</v>
      </c>
      <c r="I232" s="44" t="s">
        <v>43</v>
      </c>
      <c r="J232" s="42" t="s">
        <v>47</v>
      </c>
      <c r="K232" s="43" t="s">
        <v>43</v>
      </c>
      <c r="L232" s="42">
        <v>2</v>
      </c>
      <c r="M232" s="42">
        <v>3</v>
      </c>
      <c r="N232" s="42">
        <v>2</v>
      </c>
      <c r="O232" s="42">
        <v>2</v>
      </c>
      <c r="P232" s="43">
        <v>3</v>
      </c>
      <c r="Q232" s="42">
        <v>3</v>
      </c>
      <c r="R232" s="42">
        <v>4</v>
      </c>
      <c r="S232" s="42">
        <v>4</v>
      </c>
      <c r="T232" s="42">
        <v>4</v>
      </c>
      <c r="U232" s="43">
        <v>5</v>
      </c>
      <c r="V232" s="42">
        <v>4</v>
      </c>
      <c r="W232" s="42">
        <v>10</v>
      </c>
      <c r="X232" s="42">
        <v>1</v>
      </c>
      <c r="Y232" s="43">
        <v>1</v>
      </c>
      <c r="Z232" s="42" t="s">
        <v>45</v>
      </c>
      <c r="AA232" s="42" t="s">
        <v>45</v>
      </c>
      <c r="AB232" s="42" t="s">
        <v>45</v>
      </c>
      <c r="AC232" s="42" t="s">
        <v>45</v>
      </c>
      <c r="AD232" s="42" t="s">
        <v>45</v>
      </c>
      <c r="AE232" s="42" t="s">
        <v>45</v>
      </c>
      <c r="AF232" s="42">
        <v>8</v>
      </c>
      <c r="AG232" s="43" t="s">
        <v>45</v>
      </c>
      <c r="AH232" s="42">
        <v>10</v>
      </c>
      <c r="AI232" s="42">
        <v>8</v>
      </c>
      <c r="AJ232" s="43">
        <v>10</v>
      </c>
      <c r="AK232" s="45" t="s">
        <v>745</v>
      </c>
      <c r="AL232" s="45" t="s">
        <v>47</v>
      </c>
      <c r="AM232" s="46">
        <f>($L$3*(L232-$Q$1)/$Q$2+$M$3*(M232-$R$1)/$R$2+$N$3*(N232-$S$1)/$S$2+$O$3*(O232-$T$1)/$T$2+$P$3*(P232-$U$1)/$U$2)/(SUM($L$3:$P$3))</f>
        <v>-1.406864030719841</v>
      </c>
      <c r="AN232" s="46">
        <f>($L$3*(Q232-$Q$1)/$Q$2+$M$3*(R232-$R$1)/$R$2+$N$3*(S232-$S$1)/$S$2+$O$3*(T232-$T$1)/$T$2+$P$3*(U232-$U$1)/$U$2)/(SUM($L$3:$P$3))</f>
        <v>-0.60767354719733069</v>
      </c>
      <c r="AO232" s="47">
        <f>IF(AVERAGE(AH232:AI232)&gt;9,1,0)+IF(AVERAGE(AH232:AI232)&gt;7,1,0)+IF(AH232&gt;7,1,0)+IF(AI232&gt;7,1,0)+IF(AJ232&gt;8,1,0)+IF(AJ232&gt;6,1,0)</f>
        <v>5</v>
      </c>
      <c r="AP232" s="48">
        <f>MIN(2,IF(OR(Z232="-",X232&lt;5),0,1+IF(Y232&gt;7,0.35,IF(Y232&gt;5,0.1,0))+IF(Z232&gt;7,1+IF(X232&gt;7,0.25,0),IF(Z232&gt;4,0.5+IF(X232&gt;7,0.25,0),0+IF(X232&gt;7,0.25))))+IF(AA232="-",0,IF(AA232&gt;9,0.5,IF(AA232&gt;7,0.25,0)))+IF(AB232="-",0,IF(AB232&gt;7,1.1,IF(AB232&gt;4,0.6,0)))+IF(OR(AC232="-",V232&lt;5),0,IF(AC232&gt;7,1+IF(V232&gt;7,0.25,0),IF(AC232&gt;4,0.5+IF(V232&gt;7,0.25,0),0)))+IF(AD232="-",0,IF(AD232&gt;7,1.5,IF(AD232&gt;4,1,0)))+IF(AE232="-",0,IF(AE232&gt;9,0.5,IF(AE232&gt;7,0.25,0)))+IF(AF232="-",0,IF(AF232&gt;7,1.25,IF(AF232&gt;4,0.75,0)))+IF(OR(AG232="-",W232&lt;4),0,IF(AG232&gt;7,1+IF(W232&gt;7,0.15,0),IF(AG232&gt;4,0.5+IF(W232&gt;7,0.15,0),0))))</f>
        <v>1.25</v>
      </c>
      <c r="AQ232" s="46">
        <f>($AM$3*AM232+$AN$3*AN232+$AO$3*AO232+$AP$3*AP232)+$I$3*VLOOKUP(I232,COND!$A$2:$E$7,4,FALSE)+$J$3*VLOOKUP(J232,COND!$A$2:$C$7,2,FALSE)+$K$3*VLOOKUP(K232,COND!$A$2:$C$7,3,FALSE)+IF(AND($B$2&gt;0,$E232&lt;20),$B$2*25,0)</f>
        <v>39.950564363893378</v>
      </c>
      <c r="AR232" s="49">
        <f>STANDARDIZE(AQ232,AVERAGE($AQ$5:$AQ$537),STDEVP($AQ$5:$AQ$537))</f>
        <v>-6.9969679720224651E-2</v>
      </c>
      <c r="AS232" s="47" t="str">
        <f>IF(AND(Z232&lt;&gt;"-",Y232&gt;1),"C",IF(AB232=MAX(AB232:AD232),"2B",IF(AD232=MAX(AB232:AD232),"SS",IF(OR(AC232=MAX(AA232:AD232),AND(AC232&lt;&gt;"-",AC232&gt;4,V232&gt;5)),"3B",IF(AF232=MAX(AE232:AG232),"CF",IF(AND(AG232=MAX(AE232,AG232),AND(W232&gt;5,AG232&lt;&gt;"-")),"RF",IF(AE232&lt;&gt;"-","LF",IF(AA232&lt;&gt;"-","1B","DH"))))))))</f>
        <v>CF</v>
      </c>
      <c r="AT232" s="47"/>
      <c r="AU232" s="47"/>
      <c r="AV232" s="47"/>
      <c r="AW232" s="47" t="str">
        <f>IF(AND($Q232&gt;=6,AVERAGE($S232:$T232)&gt;=6),"Likely",IF(OR($Q232&gt;6,AND($Q232=6,AVERAGE($S232:$T232)&gt;=3),AND($Q232&gt;=5,AVERAGE($S232:$T232)&gt;=5),AVERAGE($Q232,$S232:$T232)&gt;5),"Possible","Unlikely"))</f>
        <v>Unlikely</v>
      </c>
      <c r="AX232" s="47"/>
      <c r="AY232" s="47" t="str">
        <f>INDEX(Table5[[#All],[Ovr]],MATCH(Batters[[#This Row],[PID]],Table5[[#All],[PID]],0))</f>
        <v/>
      </c>
      <c r="AZ232" s="47" t="str">
        <f>INDEX(Table5[[#All],[Rnd]],MATCH(Batters[[#This Row],[PID]],Table5[[#All],[PID]],0))</f>
        <v/>
      </c>
      <c r="BA232" s="47" t="str">
        <f>INDEX(Table5[[#All],[Pick]],MATCH(Batters[[#This Row],[PID]],Table5[[#All],[PID]],0))</f>
        <v/>
      </c>
      <c r="BB232" s="47" t="str">
        <f>INDEX(Table5[[#All],[Team]],MATCH(Batters[[#This Row],[PID]],Table5[[#All],[PID]],0))</f>
        <v/>
      </c>
    </row>
    <row r="233" spans="1:54" ht="15" customHeight="1" x14ac:dyDescent="0.25">
      <c r="A233" s="42">
        <v>5413</v>
      </c>
      <c r="B233" s="42" t="s">
        <v>74</v>
      </c>
      <c r="C233" s="42" t="s">
        <v>557</v>
      </c>
      <c r="D233" s="42" t="s">
        <v>800</v>
      </c>
      <c r="E233" s="42">
        <v>18</v>
      </c>
      <c r="F233" s="42" t="s">
        <v>53</v>
      </c>
      <c r="G233" s="42" t="s">
        <v>42</v>
      </c>
      <c r="H233" s="43" t="s">
        <v>721</v>
      </c>
      <c r="I233" s="44" t="s">
        <v>43</v>
      </c>
      <c r="J233" s="42" t="s">
        <v>43</v>
      </c>
      <c r="K233" s="43" t="s">
        <v>43</v>
      </c>
      <c r="L233" s="42">
        <v>1</v>
      </c>
      <c r="M233" s="42">
        <v>1</v>
      </c>
      <c r="N233" s="42">
        <v>2</v>
      </c>
      <c r="O233" s="42">
        <v>1</v>
      </c>
      <c r="P233" s="43">
        <v>1</v>
      </c>
      <c r="Q233" s="42">
        <v>3</v>
      </c>
      <c r="R233" s="42">
        <v>3</v>
      </c>
      <c r="S233" s="42">
        <v>3</v>
      </c>
      <c r="T233" s="42">
        <v>4</v>
      </c>
      <c r="U233" s="43">
        <v>4</v>
      </c>
      <c r="V233" s="42">
        <v>4</v>
      </c>
      <c r="W233" s="42">
        <v>7</v>
      </c>
      <c r="X233" s="42">
        <v>1</v>
      </c>
      <c r="Y233" s="43">
        <v>1</v>
      </c>
      <c r="Z233" s="42" t="s">
        <v>45</v>
      </c>
      <c r="AA233" s="42" t="s">
        <v>45</v>
      </c>
      <c r="AB233" s="42" t="s">
        <v>45</v>
      </c>
      <c r="AC233" s="42" t="s">
        <v>45</v>
      </c>
      <c r="AD233" s="42" t="s">
        <v>45</v>
      </c>
      <c r="AE233" s="42" t="s">
        <v>45</v>
      </c>
      <c r="AF233" s="42">
        <v>1</v>
      </c>
      <c r="AG233" s="43" t="s">
        <v>45</v>
      </c>
      <c r="AH233" s="42">
        <v>5</v>
      </c>
      <c r="AI233" s="42">
        <v>6</v>
      </c>
      <c r="AJ233" s="43">
        <v>8</v>
      </c>
      <c r="AK233" s="45" t="s">
        <v>758</v>
      </c>
      <c r="AL233" s="45" t="s">
        <v>47</v>
      </c>
      <c r="AM233" s="46">
        <f>($L$3*(L233-$Q$1)/$Q$2+$M$3*(M233-$R$1)/$R$2+$N$3*(N233-$S$1)/$S$2+$O$3*(O233-$T$1)/$T$2+$P$3*(P233-$U$1)/$U$2)/(SUM($L$3:$P$3))</f>
        <v>-2.0012818558036707</v>
      </c>
      <c r="AN233" s="46">
        <f>($L$3*(Q233-$Q$1)/$Q$2+$M$3*(R233-$R$1)/$R$2+$N$3*(S233-$S$1)/$S$2+$O$3*(T233-$T$1)/$T$2+$P$3*(U233-$U$1)/$U$2)/(SUM($L$3:$P$3))</f>
        <v>-0.781811260657019</v>
      </c>
      <c r="AO233" s="47">
        <f>IF(AVERAGE(AH233:AI233)&gt;9,1,0)+IF(AVERAGE(AH233:AI233)&gt;7,1,0)+IF(AH233&gt;7,1,0)+IF(AI233&gt;7,1,0)+IF(AJ233&gt;8,1,0)+IF(AJ233&gt;6,1,0)</f>
        <v>1</v>
      </c>
      <c r="AP233" s="48">
        <f>MIN(2,IF(OR(Z233="-",X233&lt;5),0,1+IF(Y233&gt;7,0.35,IF(Y233&gt;5,0.1,0))+IF(Z233&gt;7,1+IF(X233&gt;7,0.25,0),IF(Z233&gt;4,0.5+IF(X233&gt;7,0.25,0),0+IF(X233&gt;7,0.25))))+IF(AA233="-",0,IF(AA233&gt;9,0.5,IF(AA233&gt;7,0.25,0)))+IF(AB233="-",0,IF(AB233&gt;7,1.1,IF(AB233&gt;4,0.6,0)))+IF(OR(AC233="-",V233&lt;5),0,IF(AC233&gt;7,1+IF(V233&gt;7,0.25,0),IF(AC233&gt;4,0.5+IF(V233&gt;7,0.25,0),0)))+IF(AD233="-",0,IF(AD233&gt;7,1.5,IF(AD233&gt;4,1,0)))+IF(AE233="-",0,IF(AE233&gt;9,0.5,IF(AE233&gt;7,0.25,0)))+IF(AF233="-",0,IF(AF233&gt;7,1.25,IF(AF233&gt;4,0.75,0)))+IF(OR(AG233="-",W233&lt;4),0,IF(AG233&gt;7,1+IF(W233&gt;7,0.15,0),IF(AG233&gt;4,0.5+IF(W233&gt;7,0.15,0),0))))</f>
        <v>0</v>
      </c>
      <c r="AQ233" s="46">
        <f>($AM$3*AM233+$AN$3*AN233+$AO$3*AO233+$AP$3*AP233)+$I$3*VLOOKUP(I233,COND!$A$2:$E$7,4,FALSE)+$J$3*VLOOKUP(J233,COND!$A$2:$C$7,2,FALSE)+$K$3*VLOOKUP(K233,COND!$A$2:$C$7,3,FALSE)+IF(AND($B$2&gt;0,$E233&lt;20),$B$2*25,0)</f>
        <v>40.584803353202069</v>
      </c>
      <c r="AR233" s="49">
        <f>STANDARDIZE(AQ233,AVERAGE($AQ$5:$AQ$537),STDEVP($AQ$5:$AQ$537))</f>
        <v>4.1620455103902838E-2</v>
      </c>
      <c r="AS233" s="47" t="str">
        <f>IF(AND(Z233&lt;&gt;"-",Y233&gt;1),"C",IF(AB233=MAX(AB233:AD233),"2B",IF(AD233=MAX(AB233:AD233),"SS",IF(OR(AC233=MAX(AA233:AD233),AND(AC233&lt;&gt;"-",AC233&gt;4,V233&gt;5)),"3B",IF(AF233=MAX(AE233:AG233),"CF",IF(AND(AG233=MAX(AE233,AG233),AND(W233&gt;5,AG233&lt;&gt;"-")),"RF",IF(AE233&lt;&gt;"-","LF",IF(AA233&lt;&gt;"-","1B","DH"))))))))</f>
        <v>CF</v>
      </c>
      <c r="AT233" s="47"/>
      <c r="AU233" s="47"/>
      <c r="AV233" s="47"/>
      <c r="AW233" s="47" t="str">
        <f>IF(AND($Q233&gt;=6,AVERAGE($S233:$T233)&gt;=6),"Likely",IF(OR($Q233&gt;6,AND($Q233=6,AVERAGE($S233:$T233)&gt;=3),AND($Q233&gt;=5,AVERAGE($S233:$T233)&gt;=5),AVERAGE($Q233,$S233:$T233)&gt;5),"Possible","Unlikely"))</f>
        <v>Unlikely</v>
      </c>
      <c r="AX233" s="47"/>
      <c r="AY233" s="47" t="str">
        <f>INDEX(Table5[[#All],[Ovr]],MATCH(Batters[[#This Row],[PID]],Table5[[#All],[PID]],0))</f>
        <v/>
      </c>
      <c r="AZ233" s="47" t="str">
        <f>INDEX(Table5[[#All],[Rnd]],MATCH(Batters[[#This Row],[PID]],Table5[[#All],[PID]],0))</f>
        <v/>
      </c>
      <c r="BA233" s="47" t="str">
        <f>INDEX(Table5[[#All],[Pick]],MATCH(Batters[[#This Row],[PID]],Table5[[#All],[PID]],0))</f>
        <v/>
      </c>
      <c r="BB233" s="47" t="str">
        <f>INDEX(Table5[[#All],[Team]],MATCH(Batters[[#This Row],[PID]],Table5[[#All],[PID]],0))</f>
        <v/>
      </c>
    </row>
    <row r="234" spans="1:54" ht="15" customHeight="1" x14ac:dyDescent="0.25">
      <c r="A234" s="42">
        <v>12474</v>
      </c>
      <c r="B234" s="42" t="s">
        <v>71</v>
      </c>
      <c r="C234" s="42" t="s">
        <v>871</v>
      </c>
      <c r="D234" s="42" t="s">
        <v>1110</v>
      </c>
      <c r="E234" s="42">
        <v>21</v>
      </c>
      <c r="F234" s="42" t="s">
        <v>42</v>
      </c>
      <c r="G234" s="42" t="s">
        <v>42</v>
      </c>
      <c r="H234" s="43" t="s">
        <v>703</v>
      </c>
      <c r="I234" s="44" t="s">
        <v>43</v>
      </c>
      <c r="J234" s="42" t="s">
        <v>43</v>
      </c>
      <c r="K234" s="43" t="s">
        <v>44</v>
      </c>
      <c r="L234" s="42">
        <v>2</v>
      </c>
      <c r="M234" s="42">
        <v>5</v>
      </c>
      <c r="N234" s="42">
        <v>3</v>
      </c>
      <c r="O234" s="42">
        <v>1</v>
      </c>
      <c r="P234" s="43">
        <v>2</v>
      </c>
      <c r="Q234" s="42">
        <v>4</v>
      </c>
      <c r="R234" s="42">
        <v>7</v>
      </c>
      <c r="S234" s="42">
        <v>4</v>
      </c>
      <c r="T234" s="42">
        <v>1</v>
      </c>
      <c r="U234" s="43">
        <v>5</v>
      </c>
      <c r="V234" s="42">
        <v>5</v>
      </c>
      <c r="W234" s="42">
        <v>3</v>
      </c>
      <c r="X234" s="42">
        <v>1</v>
      </c>
      <c r="Y234" s="43">
        <v>1</v>
      </c>
      <c r="Z234" s="42" t="s">
        <v>45</v>
      </c>
      <c r="AA234" s="42" t="s">
        <v>45</v>
      </c>
      <c r="AB234" s="42">
        <v>6</v>
      </c>
      <c r="AC234" s="42" t="s">
        <v>45</v>
      </c>
      <c r="AD234" s="42" t="s">
        <v>45</v>
      </c>
      <c r="AE234" s="42" t="s">
        <v>45</v>
      </c>
      <c r="AF234" s="42" t="s">
        <v>45</v>
      </c>
      <c r="AG234" s="43" t="s">
        <v>45</v>
      </c>
      <c r="AH234" s="42">
        <v>9</v>
      </c>
      <c r="AI234" s="42">
        <v>8</v>
      </c>
      <c r="AJ234" s="43">
        <v>10</v>
      </c>
      <c r="AK234" s="45" t="s">
        <v>659</v>
      </c>
      <c r="AL234" s="45" t="s">
        <v>47</v>
      </c>
      <c r="AM234" s="46">
        <f>($L$3*(L234-$Q$1)/$Q$2+$M$3*(M234-$R$1)/$R$2+$N$3*(N234-$S$1)/$S$2+$O$3*(O234-$T$1)/$T$2+$P$3*(P234-$U$1)/$U$2)/(SUM($L$3:$P$3))</f>
        <v>-1.3514086672851968</v>
      </c>
      <c r="AN234" s="46">
        <f>($L$3*(Q234-$Q$1)/$Q$2+$M$3*(R234-$R$1)/$R$2+$N$3*(S234-$S$1)/$S$2+$O$3*(T234-$T$1)/$T$2+$P$3*(U234-$U$1)/$U$2)/(SUM($L$3:$P$3))</f>
        <v>-0.40106672216728856</v>
      </c>
      <c r="AO234" s="47">
        <f>IF(AVERAGE(AH234:AI234)&gt;9,1,0)+IF(AVERAGE(AH234:AI234)&gt;7,1,0)+IF(AH234&gt;7,1,0)+IF(AI234&gt;7,1,0)+IF(AJ234&gt;8,1,0)+IF(AJ234&gt;6,1,0)</f>
        <v>5</v>
      </c>
      <c r="AP234" s="48">
        <f>MIN(2,IF(OR(Z234="-",X234&lt;5),0,1+IF(Y234&gt;7,0.35,IF(Y234&gt;5,0.1,0))+IF(Z234&gt;7,1+IF(X234&gt;7,0.25,0),IF(Z234&gt;4,0.5+IF(X234&gt;7,0.25,0),0+IF(X234&gt;7,0.25))))+IF(AA234="-",0,IF(AA234&gt;9,0.5,IF(AA234&gt;7,0.25,0)))+IF(AB234="-",0,IF(AB234&gt;7,1.1,IF(AB234&gt;4,0.6,0)))+IF(OR(AC234="-",V234&lt;5),0,IF(AC234&gt;7,1+IF(V234&gt;7,0.25,0),IF(AC234&gt;4,0.5+IF(V234&gt;7,0.25,0),0)))+IF(AD234="-",0,IF(AD234&gt;7,1.5,IF(AD234&gt;4,1,0)))+IF(AE234="-",0,IF(AE234&gt;9,0.5,IF(AE234&gt;7,0.25,0)))+IF(AF234="-",0,IF(AF234&gt;7,1.25,IF(AF234&gt;4,0.75,0)))+IF(OR(AG234="-",W234&lt;4),0,IF(AG234&gt;7,1+IF(W234&gt;7,0.15,0),IF(AG234&gt;4,0.5+IF(W234&gt;7,0.15,0),0))))</f>
        <v>0.6</v>
      </c>
      <c r="AQ234" s="46">
        <f>($AM$3*AM234+$AN$3*AN234+$AO$3*AO234+$AP$3*AP234)+$I$3*VLOOKUP(I234,COND!$A$2:$E$7,4,FALSE)+$J$3*VLOOKUP(J234,COND!$A$2:$C$7,2,FALSE)+$K$3*VLOOKUP(K234,COND!$A$2:$C$7,3,FALSE)+IF(AND($B$2&gt;0,$E234&lt;20),$B$2*25,0)</f>
        <v>41.185391800597344</v>
      </c>
      <c r="AR234" s="49">
        <f>STANDARDIZE(AQ234,AVERAGE($AQ$5:$AQ$537),STDEVP($AQ$5:$AQ$537))</f>
        <v>0.14729000073007498</v>
      </c>
      <c r="AS234" s="47" t="str">
        <f>IF(AND(Z234&lt;&gt;"-",Y234&gt;1),"C",IF(AB234=MAX(AB234:AD234),"2B",IF(AD234=MAX(AB234:AD234),"SS",IF(OR(AC234=MAX(AA234:AD234),AND(AC234&lt;&gt;"-",AC234&gt;4,V234&gt;5)),"3B",IF(AF234=MAX(AE234:AG234),"CF",IF(AND(AG234=MAX(AE234,AG234),AND(W234&gt;5,AG234&lt;&gt;"-")),"RF",IF(AE234&lt;&gt;"-","LF",IF(AA234&lt;&gt;"-","1B","DH"))))))))</f>
        <v>2B</v>
      </c>
      <c r="AT234" s="47"/>
      <c r="AU234" s="47"/>
      <c r="AV234" s="47"/>
      <c r="AW234" s="47" t="str">
        <f>IF(AND($Q234&gt;=6,AVERAGE($S234:$T234)&gt;=6),"Likely",IF(OR($Q234&gt;6,AND($Q234=6,AVERAGE($S234:$T234)&gt;=3),AND($Q234&gt;=5,AVERAGE($S234:$T234)&gt;=5),AVERAGE($Q234,$S234:$T234)&gt;5),"Possible","Unlikely"))</f>
        <v>Unlikely</v>
      </c>
      <c r="AX234" s="47"/>
      <c r="AY234" s="47" t="str">
        <f>INDEX(Table5[[#All],[Ovr]],MATCH(Batters[[#This Row],[PID]],Table5[[#All],[PID]],0))</f>
        <v/>
      </c>
      <c r="AZ234" s="47" t="str">
        <f>INDEX(Table5[[#All],[Rnd]],MATCH(Batters[[#This Row],[PID]],Table5[[#All],[PID]],0))</f>
        <v/>
      </c>
      <c r="BA234" s="47" t="str">
        <f>INDEX(Table5[[#All],[Pick]],MATCH(Batters[[#This Row],[PID]],Table5[[#All],[PID]],0))</f>
        <v/>
      </c>
      <c r="BB234" s="47" t="str">
        <f>INDEX(Table5[[#All],[Team]],MATCH(Batters[[#This Row],[PID]],Table5[[#All],[PID]],0))</f>
        <v/>
      </c>
    </row>
    <row r="235" spans="1:54" ht="15" customHeight="1" x14ac:dyDescent="0.25">
      <c r="A235" s="42">
        <v>11332</v>
      </c>
      <c r="B235" s="42" t="s">
        <v>69</v>
      </c>
      <c r="C235" s="42" t="s">
        <v>1191</v>
      </c>
      <c r="D235" s="42" t="s">
        <v>796</v>
      </c>
      <c r="E235" s="42">
        <v>18</v>
      </c>
      <c r="F235" s="42" t="s">
        <v>42</v>
      </c>
      <c r="G235" s="42" t="s">
        <v>42</v>
      </c>
      <c r="H235" s="43" t="s">
        <v>709</v>
      </c>
      <c r="I235" s="44" t="s">
        <v>43</v>
      </c>
      <c r="J235" s="42" t="s">
        <v>43</v>
      </c>
      <c r="K235" s="43" t="s">
        <v>43</v>
      </c>
      <c r="L235" s="42">
        <v>1</v>
      </c>
      <c r="M235" s="42">
        <v>1</v>
      </c>
      <c r="N235" s="42">
        <v>2</v>
      </c>
      <c r="O235" s="42">
        <v>1</v>
      </c>
      <c r="P235" s="43">
        <v>2</v>
      </c>
      <c r="Q235" s="42">
        <v>3</v>
      </c>
      <c r="R235" s="42">
        <v>3</v>
      </c>
      <c r="S235" s="42">
        <v>3</v>
      </c>
      <c r="T235" s="42">
        <v>4</v>
      </c>
      <c r="U235" s="43">
        <v>4</v>
      </c>
      <c r="V235" s="42">
        <v>9</v>
      </c>
      <c r="W235" s="42">
        <v>8</v>
      </c>
      <c r="X235" s="42">
        <v>1</v>
      </c>
      <c r="Y235" s="43">
        <v>1</v>
      </c>
      <c r="Z235" s="42" t="s">
        <v>45</v>
      </c>
      <c r="AA235" s="42" t="s">
        <v>45</v>
      </c>
      <c r="AB235" s="42" t="s">
        <v>45</v>
      </c>
      <c r="AC235" s="42">
        <v>4</v>
      </c>
      <c r="AD235" s="42">
        <v>2</v>
      </c>
      <c r="AE235" s="42" t="s">
        <v>45</v>
      </c>
      <c r="AF235" s="42" t="s">
        <v>45</v>
      </c>
      <c r="AG235" s="43" t="s">
        <v>45</v>
      </c>
      <c r="AH235" s="42">
        <v>7</v>
      </c>
      <c r="AI235" s="42">
        <v>5</v>
      </c>
      <c r="AJ235" s="43">
        <v>2</v>
      </c>
      <c r="AK235" s="45" t="s">
        <v>718</v>
      </c>
      <c r="AL235" s="45" t="s">
        <v>705</v>
      </c>
      <c r="AM235" s="46">
        <f>($L$3*(L235-$Q$1)/$Q$2+$M$3*(M235-$R$1)/$R$2+$N$3*(N235-$S$1)/$S$2+$O$3*(O235-$T$1)/$T$2+$P$3*(P235-$U$1)/$U$2)/(SUM($L$3:$P$3))</f>
        <v>-1.961265515986587</v>
      </c>
      <c r="AN235" s="46">
        <f>($L$3*(Q235-$Q$1)/$Q$2+$M$3*(R235-$R$1)/$R$2+$N$3*(S235-$S$1)/$S$2+$O$3*(T235-$T$1)/$T$2+$P$3*(U235-$U$1)/$U$2)/(SUM($L$3:$P$3))</f>
        <v>-0.781811260657019</v>
      </c>
      <c r="AO235" s="47">
        <f>IF(AVERAGE(AH235:AI235)&gt;9,1,0)+IF(AVERAGE(AH235:AI235)&gt;7,1,0)+IF(AH235&gt;7,1,0)+IF(AI235&gt;7,1,0)+IF(AJ235&gt;8,1,0)+IF(AJ235&gt;6,1,0)</f>
        <v>0</v>
      </c>
      <c r="AP235" s="48">
        <f>MIN(2,IF(OR(Z235="-",X235&lt;5),0,1+IF(Y235&gt;7,0.35,IF(Y235&gt;5,0.1,0))+IF(Z235&gt;7,1+IF(X235&gt;7,0.25,0),IF(Z235&gt;4,0.5+IF(X235&gt;7,0.25,0),0+IF(X235&gt;7,0.25))))+IF(AA235="-",0,IF(AA235&gt;9,0.5,IF(AA235&gt;7,0.25,0)))+IF(AB235="-",0,IF(AB235&gt;7,1.1,IF(AB235&gt;4,0.6,0)))+IF(OR(AC235="-",V235&lt;5),0,IF(AC235&gt;7,1+IF(V235&gt;7,0.25,0),IF(AC235&gt;4,0.5+IF(V235&gt;7,0.25,0),0)))+IF(AD235="-",0,IF(AD235&gt;7,1.5,IF(AD235&gt;4,1,0)))+IF(AE235="-",0,IF(AE235&gt;9,0.5,IF(AE235&gt;7,0.25,0)))+IF(AF235="-",0,IF(AF235&gt;7,1.25,IF(AF235&gt;4,0.75,0)))+IF(OR(AG235="-",W235&lt;4),0,IF(AG235&gt;7,1+IF(W235&gt;7,0.15,0),IF(AG235&gt;4,0.5+IF(W235&gt;7,0.15,0),0))))</f>
        <v>0</v>
      </c>
      <c r="AQ235" s="46">
        <f>($AM$3*AM235+$AN$3*AN235+$AO$3*AO235+$AP$3*AP235)+$I$3*VLOOKUP(I235,COND!$A$2:$E$7,4,FALSE)+$J$3*VLOOKUP(J235,COND!$A$2:$C$7,2,FALSE)+$K$3*VLOOKUP(K235,COND!$A$2:$C$7,3,FALSE)+IF(AND($B$2&gt;0,$E235&lt;20),$B$2*25,0)</f>
        <v>40.422138320517114</v>
      </c>
      <c r="AR235" s="49">
        <f>STANDARDIZE(AQ235,AVERAGE($AQ$5:$AQ$537),STDEVP($AQ$5:$AQ$537))</f>
        <v>1.3000623724141031E-2</v>
      </c>
      <c r="AS235" s="47" t="str">
        <f>IF(AND(Z235&lt;&gt;"-",Y235&gt;1),"C",IF(AB235=MAX(AB235:AD235),"2B",IF(AD235=MAX(AB235:AD235),"SS",IF(OR(AC235=MAX(AA235:AD235),AND(AC235&lt;&gt;"-",AC235&gt;4,V235&gt;5)),"3B",IF(AF235=MAX(AE235:AG235),"CF",IF(AND(AG235=MAX(AE235,AG235),AND(W235&gt;5,AG235&lt;&gt;"-")),"RF",IF(AE235&lt;&gt;"-","LF",IF(AA235&lt;&gt;"-","1B","DH"))))))))</f>
        <v>3B</v>
      </c>
      <c r="AT235" s="47"/>
      <c r="AU235" s="47"/>
      <c r="AV235" s="47"/>
      <c r="AW235" s="47" t="str">
        <f>IF(AND($Q235&gt;=6,AVERAGE($S235:$T235)&gt;=6),"Likely",IF(OR($Q235&gt;6,AND($Q235=6,AVERAGE($S235:$T235)&gt;=3),AND($Q235&gt;=5,AVERAGE($S235:$T235)&gt;=5),AVERAGE($Q235,$S235:$T235)&gt;5),"Possible","Unlikely"))</f>
        <v>Unlikely</v>
      </c>
      <c r="AX235" s="47"/>
      <c r="AY235" s="47" t="str">
        <f>INDEX(Table5[[#All],[Ovr]],MATCH(Batters[[#This Row],[PID]],Table5[[#All],[PID]],0))</f>
        <v/>
      </c>
      <c r="AZ235" s="47" t="str">
        <f>INDEX(Table5[[#All],[Rnd]],MATCH(Batters[[#This Row],[PID]],Table5[[#All],[PID]],0))</f>
        <v/>
      </c>
      <c r="BA235" s="47" t="str">
        <f>INDEX(Table5[[#All],[Pick]],MATCH(Batters[[#This Row],[PID]],Table5[[#All],[PID]],0))</f>
        <v/>
      </c>
      <c r="BB235" s="47" t="str">
        <f>INDEX(Table5[[#All],[Team]],MATCH(Batters[[#This Row],[PID]],Table5[[#All],[PID]],0))</f>
        <v/>
      </c>
    </row>
    <row r="236" spans="1:54" ht="15" customHeight="1" x14ac:dyDescent="0.25">
      <c r="A236" s="42">
        <v>7558</v>
      </c>
      <c r="B236" s="42" t="s">
        <v>71</v>
      </c>
      <c r="C236" s="42" t="s">
        <v>132</v>
      </c>
      <c r="D236" s="42" t="s">
        <v>1164</v>
      </c>
      <c r="E236" s="42">
        <v>18</v>
      </c>
      <c r="F236" s="42" t="s">
        <v>42</v>
      </c>
      <c r="G236" s="42" t="s">
        <v>42</v>
      </c>
      <c r="H236" s="43" t="s">
        <v>721</v>
      </c>
      <c r="I236" s="44" t="s">
        <v>43</v>
      </c>
      <c r="J236" s="42" t="s">
        <v>43</v>
      </c>
      <c r="K236" s="43" t="s">
        <v>43</v>
      </c>
      <c r="L236" s="42">
        <v>1</v>
      </c>
      <c r="M236" s="42">
        <v>1</v>
      </c>
      <c r="N236" s="42">
        <v>2</v>
      </c>
      <c r="O236" s="42">
        <v>2</v>
      </c>
      <c r="P236" s="43">
        <v>1</v>
      </c>
      <c r="Q236" s="42">
        <v>3</v>
      </c>
      <c r="R236" s="42">
        <v>3</v>
      </c>
      <c r="S236" s="42">
        <v>2</v>
      </c>
      <c r="T236" s="42">
        <v>4</v>
      </c>
      <c r="U236" s="43">
        <v>5</v>
      </c>
      <c r="V236" s="42">
        <v>2</v>
      </c>
      <c r="W236" s="42">
        <v>1</v>
      </c>
      <c r="X236" s="42">
        <v>1</v>
      </c>
      <c r="Y236" s="43">
        <v>1</v>
      </c>
      <c r="Z236" s="42" t="s">
        <v>45</v>
      </c>
      <c r="AA236" s="42" t="s">
        <v>45</v>
      </c>
      <c r="AB236" s="42">
        <v>1</v>
      </c>
      <c r="AC236" s="42" t="s">
        <v>45</v>
      </c>
      <c r="AD236" s="42" t="s">
        <v>45</v>
      </c>
      <c r="AE236" s="42" t="s">
        <v>45</v>
      </c>
      <c r="AF236" s="42" t="s">
        <v>45</v>
      </c>
      <c r="AG236" s="43" t="s">
        <v>45</v>
      </c>
      <c r="AH236" s="42">
        <v>3</v>
      </c>
      <c r="AI236" s="42">
        <v>9</v>
      </c>
      <c r="AJ236" s="43">
        <v>10</v>
      </c>
      <c r="AK236" s="45" t="s">
        <v>718</v>
      </c>
      <c r="AL236" s="45" t="s">
        <v>47</v>
      </c>
      <c r="AM236" s="46">
        <f>($L$3*(L236-$Q$1)/$Q$2+$M$3*(M236-$R$1)/$R$2+$N$3*(N236-$S$1)/$S$2+$O$3*(O236-$T$1)/$T$2+$P$3*(P236-$U$1)/$U$2)/(SUM($L$3:$P$3))</f>
        <v>-1.9115723057940897</v>
      </c>
      <c r="AN236" s="46">
        <f>($L$3*(Q236-$Q$1)/$Q$2+$M$3*(R236-$R$1)/$R$2+$N$3*(S236-$S$1)/$S$2+$O$3*(T236-$T$1)/$T$2+$P$3*(U236-$U$1)/$U$2)/(SUM($L$3:$P$3))</f>
        <v>-0.82485641486383698</v>
      </c>
      <c r="AO236" s="47">
        <f>IF(AVERAGE(AH236:AI236)&gt;9,1,0)+IF(AVERAGE(AH236:AI236)&gt;7,1,0)+IF(AH236&gt;7,1,0)+IF(AI236&gt;7,1,0)+IF(AJ236&gt;8,1,0)+IF(AJ236&gt;6,1,0)</f>
        <v>3</v>
      </c>
      <c r="AP236" s="48">
        <f>MIN(2,IF(OR(Z236="-",X236&lt;5),0,1+IF(Y236&gt;7,0.35,IF(Y236&gt;5,0.1,0))+IF(Z236&gt;7,1+IF(X236&gt;7,0.25,0),IF(Z236&gt;4,0.5+IF(X236&gt;7,0.25,0),0+IF(X236&gt;7,0.25))))+IF(AA236="-",0,IF(AA236&gt;9,0.5,IF(AA236&gt;7,0.25,0)))+IF(AB236="-",0,IF(AB236&gt;7,1.1,IF(AB236&gt;4,0.6,0)))+IF(OR(AC236="-",V236&lt;5),0,IF(AC236&gt;7,1+IF(V236&gt;7,0.25,0),IF(AC236&gt;4,0.5+IF(V236&gt;7,0.25,0),0)))+IF(AD236="-",0,IF(AD236&gt;7,1.5,IF(AD236&gt;4,1,0)))+IF(AE236="-",0,IF(AE236&gt;9,0.5,IF(AE236&gt;7,0.25,0)))+IF(AF236="-",0,IF(AF236&gt;7,1.25,IF(AF236&gt;4,0.75,0)))+IF(OR(AG236="-",W236&lt;4),0,IF(AG236&gt;7,1+IF(W236&gt;7,0.15,0),IF(AG236&gt;4,0.5+IF(W236&gt;7,0.15,0),0))))</f>
        <v>0</v>
      </c>
      <c r="AQ236" s="46">
        <f>($AM$3*AM236+$AN$3*AN236+$AO$3*AO236+$AP$3*AP236)+$I$3*VLOOKUP(I236,COND!$A$2:$E$7,4,FALSE)+$J$3*VLOOKUP(J236,COND!$A$2:$C$7,2,FALSE)+$K$3*VLOOKUP(K236,COND!$A$2:$C$7,3,FALSE)+IF(AND($B$2&gt;0,$E236&lt;20),$B$2*25,0)</f>
        <v>40.410565791054552</v>
      </c>
      <c r="AR236" s="49">
        <f>STANDARDIZE(AQ236,AVERAGE($AQ$5:$AQ$537),STDEVP($AQ$5:$AQ$537))</f>
        <v>1.0964514079744914E-2</v>
      </c>
      <c r="AS236" s="47" t="str">
        <f>IF(AND(Z236&lt;&gt;"-",Y236&gt;1),"C",IF(AB236=MAX(AB236:AD236),"2B",IF(AD236=MAX(AB236:AD236),"SS",IF(OR(AC236=MAX(AA236:AD236),AND(AC236&lt;&gt;"-",AC236&gt;4,V236&gt;5)),"3B",IF(AF236=MAX(AE236:AG236),"CF",IF(AND(AG236=MAX(AE236,AG236),AND(W236&gt;5,AG236&lt;&gt;"-")),"RF",IF(AE236&lt;&gt;"-","LF",IF(AA236&lt;&gt;"-","1B","DH"))))))))</f>
        <v>2B</v>
      </c>
      <c r="AT236" s="47"/>
      <c r="AU236" s="47"/>
      <c r="AV236" s="47"/>
      <c r="AW236" s="47" t="str">
        <f>IF(AND($Q236&gt;=6,AVERAGE($S236:$T236)&gt;=6),"Likely",IF(OR($Q236&gt;6,AND($Q236=6,AVERAGE($S236:$T236)&gt;=3),AND($Q236&gt;=5,AVERAGE($S236:$T236)&gt;=5),AVERAGE($Q236,$S236:$T236)&gt;5),"Possible","Unlikely"))</f>
        <v>Unlikely</v>
      </c>
      <c r="AX236" s="47"/>
      <c r="AY236" s="47" t="str">
        <f>INDEX(Table5[[#All],[Ovr]],MATCH(Batters[[#This Row],[PID]],Table5[[#All],[PID]],0))</f>
        <v/>
      </c>
      <c r="AZ236" s="47" t="str">
        <f>INDEX(Table5[[#All],[Rnd]],MATCH(Batters[[#This Row],[PID]],Table5[[#All],[PID]],0))</f>
        <v/>
      </c>
      <c r="BA236" s="47" t="str">
        <f>INDEX(Table5[[#All],[Pick]],MATCH(Batters[[#This Row],[PID]],Table5[[#All],[PID]],0))</f>
        <v/>
      </c>
      <c r="BB236" s="47" t="str">
        <f>INDEX(Table5[[#All],[Team]],MATCH(Batters[[#This Row],[PID]],Table5[[#All],[PID]],0))</f>
        <v/>
      </c>
    </row>
    <row r="237" spans="1:54" ht="15" customHeight="1" x14ac:dyDescent="0.25">
      <c r="A237" s="42">
        <v>7046</v>
      </c>
      <c r="B237" s="42" t="s">
        <v>87</v>
      </c>
      <c r="C237" s="42" t="s">
        <v>1278</v>
      </c>
      <c r="D237" s="42" t="s">
        <v>648</v>
      </c>
      <c r="E237" s="42">
        <v>21</v>
      </c>
      <c r="F237" s="42" t="s">
        <v>42</v>
      </c>
      <c r="G237" s="42" t="s">
        <v>42</v>
      </c>
      <c r="H237" s="43" t="s">
        <v>709</v>
      </c>
      <c r="I237" s="44" t="s">
        <v>43</v>
      </c>
      <c r="J237" s="42" t="s">
        <v>43</v>
      </c>
      <c r="K237" s="43" t="s">
        <v>47</v>
      </c>
      <c r="L237" s="42">
        <v>2</v>
      </c>
      <c r="M237" s="42">
        <v>4</v>
      </c>
      <c r="N237" s="42">
        <v>3</v>
      </c>
      <c r="O237" s="42">
        <v>5</v>
      </c>
      <c r="P237" s="43">
        <v>1</v>
      </c>
      <c r="Q237" s="42">
        <v>3</v>
      </c>
      <c r="R237" s="42">
        <v>5</v>
      </c>
      <c r="S237" s="42">
        <v>4</v>
      </c>
      <c r="T237" s="42">
        <v>6</v>
      </c>
      <c r="U237" s="43">
        <v>3</v>
      </c>
      <c r="V237" s="42">
        <v>2</v>
      </c>
      <c r="W237" s="42">
        <v>2</v>
      </c>
      <c r="X237" s="42">
        <v>3</v>
      </c>
      <c r="Y237" s="43">
        <v>2</v>
      </c>
      <c r="Z237" s="42" t="s">
        <v>45</v>
      </c>
      <c r="AA237" s="42">
        <v>2</v>
      </c>
      <c r="AB237" s="42" t="s">
        <v>45</v>
      </c>
      <c r="AC237" s="42" t="s">
        <v>45</v>
      </c>
      <c r="AD237" s="42" t="s">
        <v>45</v>
      </c>
      <c r="AE237" s="42" t="s">
        <v>45</v>
      </c>
      <c r="AF237" s="42" t="s">
        <v>45</v>
      </c>
      <c r="AG237" s="43" t="s">
        <v>45</v>
      </c>
      <c r="AH237" s="42">
        <v>1</v>
      </c>
      <c r="AI237" s="42">
        <v>1</v>
      </c>
      <c r="AJ237" s="43">
        <v>1</v>
      </c>
      <c r="AK237" s="45" t="s">
        <v>45</v>
      </c>
      <c r="AL237" s="45" t="s">
        <v>47</v>
      </c>
      <c r="AM237" s="46">
        <f>($L$3*(L237-$Q$1)/$Q$2+$M$3*(M237-$R$1)/$R$2+$N$3*(N237-$S$1)/$S$2+$O$3*(O237-$T$1)/$T$2+$P$3*(P237-$U$1)/$U$2)/(SUM($L$3:$P$3))</f>
        <v>-1.0836466866826597</v>
      </c>
      <c r="AN237" s="46">
        <f>($L$3*(Q237-$Q$1)/$Q$2+$M$3*(R237-$R$1)/$R$2+$N$3*(S237-$S$1)/$S$2+$O$3*(T237-$T$1)/$T$2+$P$3*(U237-$U$1)/$U$2)/(SUM($L$3:$P$3))</f>
        <v>-0.457227247193632</v>
      </c>
      <c r="AO237" s="47">
        <f>IF(AVERAGE(AH237:AI237)&gt;9,1,0)+IF(AVERAGE(AH237:AI237)&gt;7,1,0)+IF(AH237&gt;7,1,0)+IF(AI237&gt;7,1,0)+IF(AJ237&gt;8,1,0)+IF(AJ237&gt;6,1,0)</f>
        <v>0</v>
      </c>
      <c r="AP237" s="48">
        <f>MIN(2,IF(OR(Z237="-",X237&lt;5),0,1+IF(Y237&gt;7,0.35,IF(Y237&gt;5,0.1,0))+IF(Z237&gt;7,1+IF(X237&gt;7,0.25,0),IF(Z237&gt;4,0.5+IF(X237&gt;7,0.25,0),0+IF(X237&gt;7,0.25))))+IF(AA237="-",0,IF(AA237&gt;9,0.5,IF(AA237&gt;7,0.25,0)))+IF(AB237="-",0,IF(AB237&gt;7,1.1,IF(AB237&gt;4,0.6,0)))+IF(OR(AC237="-",V237&lt;5),0,IF(AC237&gt;7,1+IF(V237&gt;7,0.25,0),IF(AC237&gt;4,0.5+IF(V237&gt;7,0.25,0),0)))+IF(AD237="-",0,IF(AD237&gt;7,1.5,IF(AD237&gt;4,1,0)))+IF(AE237="-",0,IF(AE237&gt;9,0.5,IF(AE237&gt;7,0.25,0)))+IF(AF237="-",0,IF(AF237&gt;7,1.25,IF(AF237&gt;4,0.75,0)))+IF(OR(AG237="-",W237&lt;4),0,IF(AG237&gt;7,1+IF(W237&gt;7,0.15,0),IF(AG237&gt;4,0.5+IF(W237&gt;7,0.15,0),0))))</f>
        <v>0</v>
      </c>
      <c r="AQ237" s="46">
        <f>($AM$3*AM237+$AN$3*AN237+$AO$3*AO237+$AP$3*AP237)+$I$3*VLOOKUP(I237,COND!$A$2:$E$7,4,FALSE)+$J$3*VLOOKUP(J237,COND!$A$2:$C$7,2,FALSE)+$K$3*VLOOKUP(K237,COND!$A$2:$C$7,3,FALSE)+IF(AND($B$2&gt;0,$E237&lt;20),$B$2*25,0)</f>
        <v>39.704908365008151</v>
      </c>
      <c r="AR237" s="49">
        <f>STANDARDIZE(AQ237,AVERAGE($AQ$5:$AQ$537),STDEVP($AQ$5:$AQ$537))</f>
        <v>-0.1131912200197851</v>
      </c>
      <c r="AS237" s="47" t="str">
        <f>IF(AND(Z237&lt;&gt;"-",Y237&gt;1),"C",IF(AB237=MAX(AB237:AD237),"2B",IF(AD237=MAX(AB237:AD237),"SS",IF(OR(AC237=MAX(AA237:AD237),AND(AC237&lt;&gt;"-",AC237&gt;4,V237&gt;5)),"3B",IF(AF237=MAX(AE237:AG237),"CF",IF(AND(AG237=MAX(AE237,AG237),AND(W237&gt;5,AG237&lt;&gt;"-")),"RF",IF(AE237&lt;&gt;"-","LF",IF(AA237&lt;&gt;"-","1B","DH"))))))))</f>
        <v>1B</v>
      </c>
      <c r="AT237" s="47"/>
      <c r="AU237" s="47"/>
      <c r="AV237" s="47"/>
      <c r="AW237" s="47" t="str">
        <f>IF(AND($Q237&gt;=6,AVERAGE($S237:$T237)&gt;=6),"Likely",IF(OR($Q237&gt;6,AND($Q237=6,AVERAGE($S237:$T237)&gt;=3),AND($Q237&gt;=5,AVERAGE($S237:$T237)&gt;=5),AVERAGE($Q237,$S237:$T237)&gt;5),"Possible","Unlikely"))</f>
        <v>Unlikely</v>
      </c>
      <c r="AX237" s="47"/>
      <c r="AY237" s="47" t="str">
        <f>INDEX(Table5[[#All],[Ovr]],MATCH(Batters[[#This Row],[PID]],Table5[[#All],[PID]],0))</f>
        <v/>
      </c>
      <c r="AZ237" s="47" t="str">
        <f>INDEX(Table5[[#All],[Rnd]],MATCH(Batters[[#This Row],[PID]],Table5[[#All],[PID]],0))</f>
        <v/>
      </c>
      <c r="BA237" s="47" t="str">
        <f>INDEX(Table5[[#All],[Pick]],MATCH(Batters[[#This Row],[PID]],Table5[[#All],[PID]],0))</f>
        <v/>
      </c>
      <c r="BB237" s="47" t="str">
        <f>INDEX(Table5[[#All],[Team]],MATCH(Batters[[#This Row],[PID]],Table5[[#All],[PID]],0))</f>
        <v/>
      </c>
    </row>
    <row r="238" spans="1:54" ht="15" customHeight="1" x14ac:dyDescent="0.25">
      <c r="A238" s="42">
        <v>10498</v>
      </c>
      <c r="B238" s="42" t="s">
        <v>74</v>
      </c>
      <c r="C238" s="42" t="s">
        <v>455</v>
      </c>
      <c r="D238" s="42" t="s">
        <v>839</v>
      </c>
      <c r="E238" s="42">
        <v>21</v>
      </c>
      <c r="F238" s="42" t="s">
        <v>53</v>
      </c>
      <c r="G238" s="42" t="s">
        <v>42</v>
      </c>
      <c r="H238" s="43" t="s">
        <v>709</v>
      </c>
      <c r="I238" s="44" t="s">
        <v>43</v>
      </c>
      <c r="J238" s="42" t="s">
        <v>43</v>
      </c>
      <c r="K238" s="43" t="s">
        <v>43</v>
      </c>
      <c r="L238" s="42">
        <v>2</v>
      </c>
      <c r="M238" s="42">
        <v>2</v>
      </c>
      <c r="N238" s="42">
        <v>2</v>
      </c>
      <c r="O238" s="42">
        <v>2</v>
      </c>
      <c r="P238" s="43">
        <v>1</v>
      </c>
      <c r="Q238" s="42">
        <v>4</v>
      </c>
      <c r="R238" s="42">
        <v>4</v>
      </c>
      <c r="S238" s="42">
        <v>3</v>
      </c>
      <c r="T238" s="42">
        <v>4</v>
      </c>
      <c r="U238" s="43">
        <v>3</v>
      </c>
      <c r="V238" s="42">
        <v>3</v>
      </c>
      <c r="W238" s="42">
        <v>6</v>
      </c>
      <c r="X238" s="42">
        <v>1</v>
      </c>
      <c r="Y238" s="43">
        <v>1</v>
      </c>
      <c r="Z238" s="42" t="s">
        <v>45</v>
      </c>
      <c r="AA238" s="42" t="s">
        <v>45</v>
      </c>
      <c r="AB238" s="42" t="s">
        <v>45</v>
      </c>
      <c r="AC238" s="42" t="s">
        <v>45</v>
      </c>
      <c r="AD238" s="42" t="s">
        <v>45</v>
      </c>
      <c r="AE238" s="42" t="s">
        <v>45</v>
      </c>
      <c r="AF238" s="42">
        <v>6</v>
      </c>
      <c r="AG238" s="43" t="s">
        <v>45</v>
      </c>
      <c r="AH238" s="42">
        <v>8</v>
      </c>
      <c r="AI238" s="42">
        <v>6</v>
      </c>
      <c r="AJ238" s="43">
        <v>2</v>
      </c>
      <c r="AK238" s="45" t="s">
        <v>45</v>
      </c>
      <c r="AL238" s="45" t="s">
        <v>47</v>
      </c>
      <c r="AM238" s="46">
        <f>($L$3*(L238-$Q$1)/$Q$2+$M$3*(M238-$R$1)/$R$2+$N$3*(N238-$S$1)/$S$2+$O$3*(O238-$T$1)/$T$2+$P$3*(P238-$U$1)/$U$2)/(SUM($L$3:$P$3))</f>
        <v>-1.5379565899727115</v>
      </c>
      <c r="AN238" s="46">
        <f>($L$3*(Q238-$Q$1)/$Q$2+$M$3*(R238-$R$1)/$R$2+$N$3*(S238-$S$1)/$S$2+$O$3*(T238-$T$1)/$T$2+$P$3*(U238-$U$1)/$U$2)/(SUM($L$3:$P$3))</f>
        <v>-0.44821188465272427</v>
      </c>
      <c r="AO238" s="47">
        <f>IF(AVERAGE(AH238:AI238)&gt;9,1,0)+IF(AVERAGE(AH238:AI238)&gt;7,1,0)+IF(AH238&gt;7,1,0)+IF(AI238&gt;7,1,0)+IF(AJ238&gt;8,1,0)+IF(AJ238&gt;6,1,0)</f>
        <v>1</v>
      </c>
      <c r="AP238" s="48">
        <f>MIN(2,IF(OR(Z238="-",X238&lt;5),0,1+IF(Y238&gt;7,0.35,IF(Y238&gt;5,0.1,0))+IF(Z238&gt;7,1+IF(X238&gt;7,0.25,0),IF(Z238&gt;4,0.5+IF(X238&gt;7,0.25,0),0+IF(X238&gt;7,0.25))))+IF(AA238="-",0,IF(AA238&gt;9,0.5,IF(AA238&gt;7,0.25,0)))+IF(AB238="-",0,IF(AB238&gt;7,1.1,IF(AB238&gt;4,0.6,0)))+IF(OR(AC238="-",V238&lt;5),0,IF(AC238&gt;7,1+IF(V238&gt;7,0.25,0),IF(AC238&gt;4,0.5+IF(V238&gt;7,0.25,0),0)))+IF(AD238="-",0,IF(AD238&gt;7,1.5,IF(AD238&gt;4,1,0)))+IF(AE238="-",0,IF(AE238&gt;9,0.5,IF(AE238&gt;7,0.25,0)))+IF(AF238="-",0,IF(AF238&gt;7,1.25,IF(AF238&gt;4,0.75,0)))+IF(OR(AG238="-",W238&lt;4),0,IF(AG238&gt;7,1+IF(W238&gt;7,0.15,0),IF(AG238&gt;4,0.5+IF(W238&gt;7,0.15,0),0))))</f>
        <v>0.75</v>
      </c>
      <c r="AQ238" s="46">
        <f>($AM$3*AM238+$AN$3*AN238+$AO$3*AO238+$AP$3*AP238)+$I$3*VLOOKUP(I238,COND!$A$2:$E$7,4,FALSE)+$J$3*VLOOKUP(J238,COND!$A$2:$C$7,2,FALSE)+$K$3*VLOOKUP(K238,COND!$A$2:$C$7,3,FALSE)+IF(AND($B$2&gt;0,$E238&lt;20),$B$2*25,0)</f>
        <v>40.384328391836704</v>
      </c>
      <c r="AR238" s="49">
        <f>STANDARDIZE(AQ238,AVERAGE($AQ$5:$AQ$537),STDEVP($AQ$5:$AQ$537))</f>
        <v>6.3482180690795668E-3</v>
      </c>
      <c r="AS238" s="47" t="str">
        <f>IF(AND(Z238&lt;&gt;"-",Y238&gt;1),"C",IF(AB238=MAX(AB238:AD238),"2B",IF(AD238=MAX(AB238:AD238),"SS",IF(OR(AC238=MAX(AA238:AD238),AND(AC238&lt;&gt;"-",AC238&gt;4,V238&gt;5)),"3B",IF(AF238=MAX(AE238:AG238),"CF",IF(AND(AG238=MAX(AE238,AG238),AND(W238&gt;5,AG238&lt;&gt;"-")),"RF",IF(AE238&lt;&gt;"-","LF",IF(AA238&lt;&gt;"-","1B","DH"))))))))</f>
        <v>CF</v>
      </c>
      <c r="AT238" s="47"/>
      <c r="AU238" s="47"/>
      <c r="AV238" s="47"/>
      <c r="AW238" s="47" t="str">
        <f>IF(AND($Q238&gt;=6,AVERAGE($S238:$T238)&gt;=6),"Likely",IF(OR($Q238&gt;6,AND($Q238=6,AVERAGE($S238:$T238)&gt;=3),AND($Q238&gt;=5,AVERAGE($S238:$T238)&gt;=5),AVERAGE($Q238,$S238:$T238)&gt;5),"Possible","Unlikely"))</f>
        <v>Unlikely</v>
      </c>
      <c r="AX238" s="47"/>
      <c r="AY238" s="47" t="str">
        <f>INDEX(Table5[[#All],[Ovr]],MATCH(Batters[[#This Row],[PID]],Table5[[#All],[PID]],0))</f>
        <v/>
      </c>
      <c r="AZ238" s="47" t="str">
        <f>INDEX(Table5[[#All],[Rnd]],MATCH(Batters[[#This Row],[PID]],Table5[[#All],[PID]],0))</f>
        <v/>
      </c>
      <c r="BA238" s="47" t="str">
        <f>INDEX(Table5[[#All],[Pick]],MATCH(Batters[[#This Row],[PID]],Table5[[#All],[PID]],0))</f>
        <v/>
      </c>
      <c r="BB238" s="47" t="str">
        <f>INDEX(Table5[[#All],[Team]],MATCH(Batters[[#This Row],[PID]],Table5[[#All],[PID]],0))</f>
        <v/>
      </c>
    </row>
    <row r="239" spans="1:54" ht="15" customHeight="1" x14ac:dyDescent="0.25">
      <c r="A239" s="42">
        <v>9532</v>
      </c>
      <c r="B239" s="42" t="s">
        <v>50</v>
      </c>
      <c r="C239" s="42" t="s">
        <v>1076</v>
      </c>
      <c r="D239" s="42" t="s">
        <v>1077</v>
      </c>
      <c r="E239" s="42">
        <v>21</v>
      </c>
      <c r="F239" s="42" t="s">
        <v>42</v>
      </c>
      <c r="G239" s="42" t="s">
        <v>53</v>
      </c>
      <c r="H239" s="43" t="s">
        <v>709</v>
      </c>
      <c r="I239" s="44" t="s">
        <v>43</v>
      </c>
      <c r="J239" s="42" t="s">
        <v>47</v>
      </c>
      <c r="K239" s="43" t="s">
        <v>43</v>
      </c>
      <c r="L239" s="42">
        <v>2</v>
      </c>
      <c r="M239" s="42">
        <v>2</v>
      </c>
      <c r="N239" s="42">
        <v>3</v>
      </c>
      <c r="O239" s="42">
        <v>2</v>
      </c>
      <c r="P239" s="43">
        <v>3</v>
      </c>
      <c r="Q239" s="42">
        <v>4</v>
      </c>
      <c r="R239" s="42">
        <v>3</v>
      </c>
      <c r="S239" s="42">
        <v>3</v>
      </c>
      <c r="T239" s="42">
        <v>3</v>
      </c>
      <c r="U239" s="43">
        <v>5</v>
      </c>
      <c r="V239" s="42">
        <v>2</v>
      </c>
      <c r="W239" s="42">
        <v>5</v>
      </c>
      <c r="X239" s="42">
        <v>1</v>
      </c>
      <c r="Y239" s="43">
        <v>1</v>
      </c>
      <c r="Z239" s="42" t="s">
        <v>45</v>
      </c>
      <c r="AA239" s="42" t="s">
        <v>45</v>
      </c>
      <c r="AB239" s="42" t="s">
        <v>45</v>
      </c>
      <c r="AC239" s="42" t="s">
        <v>45</v>
      </c>
      <c r="AD239" s="42" t="s">
        <v>45</v>
      </c>
      <c r="AE239" s="42">
        <v>8</v>
      </c>
      <c r="AF239" s="42" t="s">
        <v>45</v>
      </c>
      <c r="AG239" s="43" t="s">
        <v>45</v>
      </c>
      <c r="AH239" s="42">
        <v>8</v>
      </c>
      <c r="AI239" s="42">
        <v>7</v>
      </c>
      <c r="AJ239" s="43">
        <v>6</v>
      </c>
      <c r="AK239" s="45" t="s">
        <v>45</v>
      </c>
      <c r="AL239" s="45" t="s">
        <v>47</v>
      </c>
      <c r="AM239" s="46">
        <f>($L$3*(L239-$Q$1)/$Q$2+$M$3*(M239-$R$1)/$R$2+$N$3*(N239-$S$1)/$S$2+$O$3*(O239-$T$1)/$T$2+$P$3*(P239-$U$1)/$U$2)/(SUM($L$3:$P$3))</f>
        <v>-1.3748624163146428</v>
      </c>
      <c r="AN239" s="46">
        <f>($L$3*(Q239-$Q$1)/$Q$2+$M$3*(R239-$R$1)/$R$2+$N$3*(S239-$S$1)/$S$2+$O$3*(T239-$T$1)/$T$2+$P$3*(U239-$U$1)/$U$2)/(SUM($L$3:$P$3))</f>
        <v>-0.50894863464684192</v>
      </c>
      <c r="AO239" s="47">
        <f>IF(AVERAGE(AH239:AI239)&gt;9,1,0)+IF(AVERAGE(AH239:AI239)&gt;7,1,0)+IF(AH239&gt;7,1,0)+IF(AI239&gt;7,1,0)+IF(AJ239&gt;8,1,0)+IF(AJ239&gt;6,1,0)</f>
        <v>2</v>
      </c>
      <c r="AP239" s="48">
        <f>MIN(2,IF(OR(Z239="-",X239&lt;5),0,1+IF(Y239&gt;7,0.35,IF(Y239&gt;5,0.1,0))+IF(Z239&gt;7,1+IF(X239&gt;7,0.25,0),IF(Z239&gt;4,0.5+IF(X239&gt;7,0.25,0),0+IF(X239&gt;7,0.25))))+IF(AA239="-",0,IF(AA239&gt;9,0.5,IF(AA239&gt;7,0.25,0)))+IF(AB239="-",0,IF(AB239&gt;7,1.1,IF(AB239&gt;4,0.6,0)))+IF(OR(AC239="-",V239&lt;5),0,IF(AC239&gt;7,1+IF(V239&gt;7,0.25,0),IF(AC239&gt;4,0.5+IF(V239&gt;7,0.25,0),0)))+IF(AD239="-",0,IF(AD239&gt;7,1.5,IF(AD239&gt;4,1,0)))+IF(AE239="-",0,IF(AE239&gt;9,0.5,IF(AE239&gt;7,0.25,0)))+IF(AF239="-",0,IF(AF239&gt;7,1.25,IF(AF239&gt;4,0.75,0)))+IF(OR(AG239="-",W239&lt;4),0,IF(AG239&gt;7,1+IF(W239&gt;7,0.15,0),IF(AG239&gt;4,0.5+IF(W239&gt;7,0.15,0),0))))</f>
        <v>0.25</v>
      </c>
      <c r="AQ239" s="46">
        <f>($AM$3*AM239+$AN$3*AN239+$AO$3*AO239+$AP$3*AP239)+$I$3*VLOOKUP(I239,COND!$A$2:$E$7,4,FALSE)+$J$3*VLOOKUP(J239,COND!$A$2:$C$7,2,FALSE)+$K$3*VLOOKUP(K239,COND!$A$2:$C$7,3,FALSE)+IF(AND($B$2&gt;0,$E239&lt;20),$B$2*25,0)</f>
        <v>39.638463475939766</v>
      </c>
      <c r="AR239" s="49">
        <f>STANDARDIZE(AQ239,AVERAGE($AQ$5:$AQ$537),STDEVP($AQ$5:$AQ$537))</f>
        <v>-0.12488175663847693</v>
      </c>
      <c r="AS239" s="47" t="str">
        <f>IF(AND(Z239&lt;&gt;"-",Y239&gt;1),"C",IF(AB239=MAX(AB239:AD239),"2B",IF(AD239=MAX(AB239:AD239),"SS",IF(OR(AC239=MAX(AA239:AD239),AND(AC239&lt;&gt;"-",AC239&gt;4,V239&gt;5)),"3B",IF(AF239=MAX(AE239:AG239),"CF",IF(AND(AG239=MAX(AE239,AG239),AND(W239&gt;5,AG239&lt;&gt;"-")),"RF",IF(AE239&lt;&gt;"-","LF",IF(AA239&lt;&gt;"-","1B","DH"))))))))</f>
        <v>LF</v>
      </c>
      <c r="AT239" s="47"/>
      <c r="AU239" s="47"/>
      <c r="AV239" s="47"/>
      <c r="AW239" s="47" t="str">
        <f>IF(AND($Q239&gt;=6,AVERAGE($S239:$T239)&gt;=6),"Likely",IF(OR($Q239&gt;6,AND($Q239=6,AVERAGE($S239:$T239)&gt;=3),AND($Q239&gt;=5,AVERAGE($S239:$T239)&gt;=5),AVERAGE($Q239,$S239:$T239)&gt;5),"Possible","Unlikely"))</f>
        <v>Unlikely</v>
      </c>
      <c r="AX239" s="47"/>
      <c r="AY239" s="47" t="str">
        <f>INDEX(Table5[[#All],[Ovr]],MATCH(Batters[[#This Row],[PID]],Table5[[#All],[PID]],0))</f>
        <v/>
      </c>
      <c r="AZ239" s="47" t="str">
        <f>INDEX(Table5[[#All],[Rnd]],MATCH(Batters[[#This Row],[PID]],Table5[[#All],[PID]],0))</f>
        <v/>
      </c>
      <c r="BA239" s="47" t="str">
        <f>INDEX(Table5[[#All],[Pick]],MATCH(Batters[[#This Row],[PID]],Table5[[#All],[PID]],0))</f>
        <v/>
      </c>
      <c r="BB239" s="47" t="str">
        <f>INDEX(Table5[[#All],[Team]],MATCH(Batters[[#This Row],[PID]],Table5[[#All],[PID]],0))</f>
        <v/>
      </c>
    </row>
    <row r="240" spans="1:54" ht="15" customHeight="1" x14ac:dyDescent="0.25">
      <c r="A240" s="42">
        <v>8991</v>
      </c>
      <c r="B240" s="42" t="s">
        <v>50</v>
      </c>
      <c r="C240" s="42" t="s">
        <v>179</v>
      </c>
      <c r="D240" s="42" t="s">
        <v>334</v>
      </c>
      <c r="E240" s="42">
        <v>18</v>
      </c>
      <c r="F240" s="42" t="s">
        <v>53</v>
      </c>
      <c r="G240" s="42" t="s">
        <v>53</v>
      </c>
      <c r="H240" s="43" t="s">
        <v>721</v>
      </c>
      <c r="I240" s="44" t="s">
        <v>43</v>
      </c>
      <c r="J240" s="42" t="s">
        <v>43</v>
      </c>
      <c r="K240" s="43" t="s">
        <v>43</v>
      </c>
      <c r="L240" s="42">
        <v>1</v>
      </c>
      <c r="M240" s="42">
        <v>1</v>
      </c>
      <c r="N240" s="42">
        <v>2</v>
      </c>
      <c r="O240" s="42">
        <v>1</v>
      </c>
      <c r="P240" s="43">
        <v>1</v>
      </c>
      <c r="Q240" s="42">
        <v>3</v>
      </c>
      <c r="R240" s="42">
        <v>3</v>
      </c>
      <c r="S240" s="42">
        <v>4</v>
      </c>
      <c r="T240" s="42">
        <v>3</v>
      </c>
      <c r="U240" s="43">
        <v>4</v>
      </c>
      <c r="V240" s="42">
        <v>6</v>
      </c>
      <c r="W240" s="42">
        <v>8</v>
      </c>
      <c r="X240" s="42">
        <v>1</v>
      </c>
      <c r="Y240" s="43">
        <v>1</v>
      </c>
      <c r="Z240" s="42" t="s">
        <v>45</v>
      </c>
      <c r="AA240" s="42" t="s">
        <v>45</v>
      </c>
      <c r="AB240" s="42" t="s">
        <v>45</v>
      </c>
      <c r="AC240" s="42" t="s">
        <v>45</v>
      </c>
      <c r="AD240" s="42" t="s">
        <v>45</v>
      </c>
      <c r="AE240" s="42" t="s">
        <v>45</v>
      </c>
      <c r="AF240" s="42" t="s">
        <v>45</v>
      </c>
      <c r="AG240" s="43" t="s">
        <v>45</v>
      </c>
      <c r="AH240" s="42">
        <v>4</v>
      </c>
      <c r="AI240" s="42">
        <v>5</v>
      </c>
      <c r="AJ240" s="43">
        <v>5</v>
      </c>
      <c r="AK240" s="45" t="s">
        <v>730</v>
      </c>
      <c r="AL240" s="45" t="s">
        <v>47</v>
      </c>
      <c r="AM240" s="46">
        <f>($L$3*(L240-$Q$1)/$Q$2+$M$3*(M240-$R$1)/$R$2+$N$3*(N240-$S$1)/$S$2+$O$3*(O240-$T$1)/$T$2+$P$3*(P240-$U$1)/$U$2)/(SUM($L$3:$P$3))</f>
        <v>-2.0012818558036707</v>
      </c>
      <c r="AN240" s="46">
        <f>($L$3*(Q240-$Q$1)/$Q$2+$M$3*(R240-$R$1)/$R$2+$N$3*(S240-$S$1)/$S$2+$O$3*(T240-$T$1)/$T$2+$P$3*(U240-$U$1)/$U$2)/(SUM($L$3:$P$3))</f>
        <v>-0.78845931664269864</v>
      </c>
      <c r="AO240" s="47">
        <f>IF(AVERAGE(AH240:AI240)&gt;9,1,0)+IF(AVERAGE(AH240:AI240)&gt;7,1,0)+IF(AH240&gt;7,1,0)+IF(AI240&gt;7,1,0)+IF(AJ240&gt;8,1,0)+IF(AJ240&gt;6,1,0)</f>
        <v>0</v>
      </c>
      <c r="AP240" s="48">
        <f>MIN(2,IF(OR(Z240="-",X240&lt;5),0,1+IF(Y240&gt;7,0.35,IF(Y240&gt;5,0.1,0))+IF(Z240&gt;7,1+IF(X240&gt;7,0.25,0),IF(Z240&gt;4,0.5+IF(X240&gt;7,0.25,0),0+IF(X240&gt;7,0.25))))+IF(AA240="-",0,IF(AA240&gt;9,0.5,IF(AA240&gt;7,0.25,0)))+IF(AB240="-",0,IF(AB240&gt;7,1.1,IF(AB240&gt;4,0.6,0)))+IF(OR(AC240="-",V240&lt;5),0,IF(AC240&gt;7,1+IF(V240&gt;7,0.25,0),IF(AC240&gt;4,0.5+IF(V240&gt;7,0.25,0),0)))+IF(AD240="-",0,IF(AD240&gt;7,1.5,IF(AD240&gt;4,1,0)))+IF(AE240="-",0,IF(AE240&gt;9,0.5,IF(AE240&gt;7,0.25,0)))+IF(AF240="-",0,IF(AF240&gt;7,1.25,IF(AF240&gt;4,0.75,0)))+IF(OR(AG240="-",W240&lt;4),0,IF(AG240&gt;7,1+IF(W240&gt;7,0.15,0),IF(AG240&gt;4,0.5+IF(W240&gt;7,0.15,0),0))))</f>
        <v>0</v>
      </c>
      <c r="AQ240" s="46">
        <f>($AM$3*AM240+$AN$3*AN240+$AO$3*AO240+$AP$3*AP240)+$I$3*VLOOKUP(I240,COND!$A$2:$E$7,4,FALSE)+$J$3*VLOOKUP(J240,COND!$A$2:$C$7,2,FALSE)+$K$3*VLOOKUP(K240,COND!$A$2:$C$7,3,FALSE)+IF(AND($B$2&gt;0,$E240&lt;20),$B$2*25,0)</f>
        <v>40.338360014707249</v>
      </c>
      <c r="AR240" s="49">
        <f>STANDARDIZE(AQ240,AVERAGE($AQ$5:$AQ$537),STDEVP($AQ$5:$AQ$537))</f>
        <v>-1.7396123670678657E-3</v>
      </c>
      <c r="AS240" s="47" t="str">
        <f>IF(AND(Z240&lt;&gt;"-",Y240&gt;1),"C",IF(AB240=MAX(AB240:AD240),"2B",IF(AD240=MAX(AB240:AD240),"SS",IF(OR(AC240=MAX(AA240:AD240),AND(AC240&lt;&gt;"-",AC240&gt;4,V240&gt;5)),"3B",IF(AF240=MAX(AE240:AG240),"CF",IF(AND(AG240=MAX(AE240,AG240),AND(W240&gt;5,AG240&lt;&gt;"-")),"RF",IF(AE240&lt;&gt;"-","LF",IF(AA240&lt;&gt;"-","1B","DH"))))))))</f>
        <v>DH</v>
      </c>
      <c r="AT240" s="47"/>
      <c r="AU240" s="47"/>
      <c r="AV240" s="47"/>
      <c r="AW240" s="47" t="str">
        <f>IF(AND($Q240&gt;=6,AVERAGE($S240:$T240)&gt;=6),"Likely",IF(OR($Q240&gt;6,AND($Q240=6,AVERAGE($S240:$T240)&gt;=3),AND($Q240&gt;=5,AVERAGE($S240:$T240)&gt;=5),AVERAGE($Q240,$S240:$T240)&gt;5),"Possible","Unlikely"))</f>
        <v>Unlikely</v>
      </c>
      <c r="AX240" s="47"/>
      <c r="AY240" s="47" t="str">
        <f>INDEX(Table5[[#All],[Ovr]],MATCH(Batters[[#This Row],[PID]],Table5[[#All],[PID]],0))</f>
        <v/>
      </c>
      <c r="AZ240" s="47" t="str">
        <f>INDEX(Table5[[#All],[Rnd]],MATCH(Batters[[#This Row],[PID]],Table5[[#All],[PID]],0))</f>
        <v/>
      </c>
      <c r="BA240" s="47" t="str">
        <f>INDEX(Table5[[#All],[Pick]],MATCH(Batters[[#This Row],[PID]],Table5[[#All],[PID]],0))</f>
        <v/>
      </c>
      <c r="BB240" s="47" t="str">
        <f>INDEX(Table5[[#All],[Team]],MATCH(Batters[[#This Row],[PID]],Table5[[#All],[PID]],0))</f>
        <v/>
      </c>
    </row>
    <row r="241" spans="1:54" ht="15" customHeight="1" x14ac:dyDescent="0.25">
      <c r="A241" s="42">
        <v>8573</v>
      </c>
      <c r="B241" s="42" t="s">
        <v>69</v>
      </c>
      <c r="C241" s="42" t="s">
        <v>163</v>
      </c>
      <c r="D241" s="42" t="s">
        <v>1241</v>
      </c>
      <c r="E241" s="42">
        <v>18</v>
      </c>
      <c r="F241" s="42" t="s">
        <v>53</v>
      </c>
      <c r="G241" s="42" t="s">
        <v>42</v>
      </c>
      <c r="H241" s="43" t="s">
        <v>721</v>
      </c>
      <c r="I241" s="44" t="s">
        <v>47</v>
      </c>
      <c r="J241" s="42" t="s">
        <v>47</v>
      </c>
      <c r="K241" s="43" t="s">
        <v>43</v>
      </c>
      <c r="L241" s="42">
        <v>1</v>
      </c>
      <c r="M241" s="42">
        <v>1</v>
      </c>
      <c r="N241" s="42">
        <v>2</v>
      </c>
      <c r="O241" s="42">
        <v>1</v>
      </c>
      <c r="P241" s="43">
        <v>3</v>
      </c>
      <c r="Q241" s="42">
        <v>3</v>
      </c>
      <c r="R241" s="42">
        <v>4</v>
      </c>
      <c r="S241" s="42">
        <v>3</v>
      </c>
      <c r="T241" s="42">
        <v>1</v>
      </c>
      <c r="U241" s="43">
        <v>6</v>
      </c>
      <c r="V241" s="42">
        <v>7</v>
      </c>
      <c r="W241" s="42">
        <v>6</v>
      </c>
      <c r="X241" s="42">
        <v>1</v>
      </c>
      <c r="Y241" s="43">
        <v>1</v>
      </c>
      <c r="Z241" s="42" t="s">
        <v>45</v>
      </c>
      <c r="AA241" s="42" t="s">
        <v>45</v>
      </c>
      <c r="AB241" s="42" t="s">
        <v>45</v>
      </c>
      <c r="AC241" s="42">
        <v>2</v>
      </c>
      <c r="AD241" s="42" t="s">
        <v>45</v>
      </c>
      <c r="AE241" s="42" t="s">
        <v>45</v>
      </c>
      <c r="AF241" s="42" t="s">
        <v>45</v>
      </c>
      <c r="AG241" s="43" t="s">
        <v>45</v>
      </c>
      <c r="AH241" s="42">
        <v>5</v>
      </c>
      <c r="AI241" s="42">
        <v>7</v>
      </c>
      <c r="AJ241" s="43">
        <v>9</v>
      </c>
      <c r="AK241" s="45" t="s">
        <v>739</v>
      </c>
      <c r="AL241" s="45" t="s">
        <v>47</v>
      </c>
      <c r="AM241" s="46">
        <f>($L$3*(L241-$Q$1)/$Q$2+$M$3*(M241-$R$1)/$R$2+$N$3*(N241-$S$1)/$S$2+$O$3*(O241-$T$1)/$T$2+$P$3*(P241-$U$1)/$U$2)/(SUM($L$3:$P$3))</f>
        <v>-1.9212491761695039</v>
      </c>
      <c r="AN241" s="46">
        <f>($L$3*(Q241-$Q$1)/$Q$2+$M$3*(R241-$R$1)/$R$2+$N$3*(S241-$S$1)/$S$2+$O$3*(T241-$T$1)/$T$2+$P$3*(U241-$U$1)/$U$2)/(SUM($L$3:$P$3))</f>
        <v>-0.91984735143289187</v>
      </c>
      <c r="AO241" s="47">
        <f>IF(AVERAGE(AH241:AI241)&gt;9,1,0)+IF(AVERAGE(AH241:AI241)&gt;7,1,0)+IF(AH241&gt;7,1,0)+IF(AI241&gt;7,1,0)+IF(AJ241&gt;8,1,0)+IF(AJ241&gt;6,1,0)</f>
        <v>2</v>
      </c>
      <c r="AP241" s="48">
        <f>MIN(2,IF(OR(Z241="-",X241&lt;5),0,1+IF(Y241&gt;7,0.35,IF(Y241&gt;5,0.1,0))+IF(Z241&gt;7,1+IF(X241&gt;7,0.25,0),IF(Z241&gt;4,0.5+IF(X241&gt;7,0.25,0),0+IF(X241&gt;7,0.25))))+IF(AA241="-",0,IF(AA241&gt;9,0.5,IF(AA241&gt;7,0.25,0)))+IF(AB241="-",0,IF(AB241&gt;7,1.1,IF(AB241&gt;4,0.6,0)))+IF(OR(AC241="-",V241&lt;5),0,IF(AC241&gt;7,1+IF(V241&gt;7,0.25,0),IF(AC241&gt;4,0.5+IF(V241&gt;7,0.25,0),0)))+IF(AD241="-",0,IF(AD241&gt;7,1.5,IF(AD241&gt;4,1,0)))+IF(AE241="-",0,IF(AE241&gt;9,0.5,IF(AE241&gt;7,0.25,0)))+IF(AF241="-",0,IF(AF241&gt;7,1.25,IF(AF241&gt;4,0.75,0)))+IF(OR(AG241="-",W241&lt;4),0,IF(AG241&gt;7,1+IF(W241&gt;7,0.15,0),IF(AG241&gt;4,0.5+IF(W241&gt;7,0.15,0),0))))</f>
        <v>0</v>
      </c>
      <c r="AQ241" s="46">
        <f>($AM$3*AM241+$AN$3*AN241+$AO$3*AO241+$AP$3*AP241)+$I$3*VLOOKUP(I241,COND!$A$2:$E$7,4,FALSE)+$J$3*VLOOKUP(J241,COND!$A$2:$C$7,2,FALSE)+$K$3*VLOOKUP(K241,COND!$A$2:$C$7,3,FALSE)+IF(AND($B$2&gt;0,$E241&lt;20),$B$2*25,0)</f>
        <v>39.628040198521681</v>
      </c>
      <c r="AR241" s="49">
        <f>STANDARDIZE(AQ241,AVERAGE($AQ$5:$AQ$537),STDEVP($AQ$5:$AQ$537))</f>
        <v>-0.12671566302392498</v>
      </c>
      <c r="AS241" s="47" t="str">
        <f>IF(AND(Z241&lt;&gt;"-",Y241&gt;1),"C",IF(AB241=MAX(AB241:AD241),"2B",IF(AD241=MAX(AB241:AD241),"SS",IF(OR(AC241=MAX(AA241:AD241),AND(AC241&lt;&gt;"-",AC241&gt;4,V241&gt;5)),"3B",IF(AF241=MAX(AE241:AG241),"CF",IF(AND(AG241=MAX(AE241,AG241),AND(W241&gt;5,AG241&lt;&gt;"-")),"RF",IF(AE241&lt;&gt;"-","LF",IF(AA241&lt;&gt;"-","1B","DH"))))))))</f>
        <v>3B</v>
      </c>
      <c r="AT241" s="47"/>
      <c r="AU241" s="47"/>
      <c r="AV241" s="47"/>
      <c r="AW241" s="47" t="str">
        <f>IF(AND($Q241&gt;=6,AVERAGE($S241:$T241)&gt;=6),"Likely",IF(OR($Q241&gt;6,AND($Q241=6,AVERAGE($S241:$T241)&gt;=3),AND($Q241&gt;=5,AVERAGE($S241:$T241)&gt;=5),AVERAGE($Q241,$S241:$T241)&gt;5),"Possible","Unlikely"))</f>
        <v>Unlikely</v>
      </c>
      <c r="AX241" s="47"/>
      <c r="AY241" s="47" t="str">
        <f>INDEX(Table5[[#All],[Ovr]],MATCH(Batters[[#This Row],[PID]],Table5[[#All],[PID]],0))</f>
        <v/>
      </c>
      <c r="AZ241" s="47" t="str">
        <f>INDEX(Table5[[#All],[Rnd]],MATCH(Batters[[#This Row],[PID]],Table5[[#All],[PID]],0))</f>
        <v/>
      </c>
      <c r="BA241" s="47" t="str">
        <f>INDEX(Table5[[#All],[Pick]],MATCH(Batters[[#This Row],[PID]],Table5[[#All],[PID]],0))</f>
        <v/>
      </c>
      <c r="BB241" s="47" t="str">
        <f>INDEX(Table5[[#All],[Team]],MATCH(Batters[[#This Row],[PID]],Table5[[#All],[PID]],0))</f>
        <v/>
      </c>
    </row>
    <row r="242" spans="1:54" ht="15" customHeight="1" x14ac:dyDescent="0.25">
      <c r="A242" s="42">
        <v>6118</v>
      </c>
      <c r="B242" s="42" t="s">
        <v>69</v>
      </c>
      <c r="C242" s="42" t="s">
        <v>1066</v>
      </c>
      <c r="D242" s="42" t="s">
        <v>656</v>
      </c>
      <c r="E242" s="42">
        <v>18</v>
      </c>
      <c r="F242" s="42" t="s">
        <v>42</v>
      </c>
      <c r="G242" s="42" t="s">
        <v>42</v>
      </c>
      <c r="H242" s="43" t="s">
        <v>709</v>
      </c>
      <c r="I242" s="44" t="s">
        <v>43</v>
      </c>
      <c r="J242" s="42" t="s">
        <v>44</v>
      </c>
      <c r="K242" s="43" t="s">
        <v>43</v>
      </c>
      <c r="L242" s="42">
        <v>1</v>
      </c>
      <c r="M242" s="42">
        <v>1</v>
      </c>
      <c r="N242" s="42">
        <v>2</v>
      </c>
      <c r="O242" s="42">
        <v>1</v>
      </c>
      <c r="P242" s="43">
        <v>1</v>
      </c>
      <c r="Q242" s="42">
        <v>3</v>
      </c>
      <c r="R242" s="42">
        <v>2</v>
      </c>
      <c r="S242" s="42">
        <v>5</v>
      </c>
      <c r="T242" s="42">
        <v>4</v>
      </c>
      <c r="U242" s="43">
        <v>3</v>
      </c>
      <c r="V242" s="42">
        <v>9</v>
      </c>
      <c r="W242" s="42">
        <v>7</v>
      </c>
      <c r="X242" s="42">
        <v>1</v>
      </c>
      <c r="Y242" s="43">
        <v>1</v>
      </c>
      <c r="Z242" s="42" t="s">
        <v>45</v>
      </c>
      <c r="AA242" s="42" t="s">
        <v>45</v>
      </c>
      <c r="AB242" s="42" t="s">
        <v>45</v>
      </c>
      <c r="AC242" s="42">
        <v>4</v>
      </c>
      <c r="AD242" s="42" t="s">
        <v>45</v>
      </c>
      <c r="AE242" s="42" t="s">
        <v>45</v>
      </c>
      <c r="AF242" s="42" t="s">
        <v>45</v>
      </c>
      <c r="AG242" s="43" t="s">
        <v>45</v>
      </c>
      <c r="AH242" s="42">
        <v>3</v>
      </c>
      <c r="AI242" s="42">
        <v>6</v>
      </c>
      <c r="AJ242" s="43">
        <v>2</v>
      </c>
      <c r="AK242" s="45" t="s">
        <v>599</v>
      </c>
      <c r="AL242" s="45" t="s">
        <v>705</v>
      </c>
      <c r="AM242" s="46">
        <f>($L$3*(L242-$Q$1)/$Q$2+$M$3*(M242-$R$1)/$R$2+$N$3*(N242-$S$1)/$S$2+$O$3*(O242-$T$1)/$T$2+$P$3*(P242-$U$1)/$U$2)/(SUM($L$3:$P$3))</f>
        <v>-2.0012818558036707</v>
      </c>
      <c r="AN242" s="46">
        <f>($L$3*(Q242-$Q$1)/$Q$2+$M$3*(R242-$R$1)/$R$2+$N$3*(S242-$S$1)/$S$2+$O$3*(T242-$T$1)/$T$2+$P$3*(U242-$U$1)/$U$2)/(SUM($L$3:$P$3))</f>
        <v>-0.70676449204500313</v>
      </c>
      <c r="AO242" s="47">
        <f>IF(AVERAGE(AH242:AI242)&gt;9,1,0)+IF(AVERAGE(AH242:AI242)&gt;7,1,0)+IF(AH242&gt;7,1,0)+IF(AI242&gt;7,1,0)+IF(AJ242&gt;8,1,0)+IF(AJ242&gt;6,1,0)</f>
        <v>0</v>
      </c>
      <c r="AP242" s="48">
        <f>MIN(2,IF(OR(Z242="-",X242&lt;5),0,1+IF(Y242&gt;7,0.35,IF(Y242&gt;5,0.1,0))+IF(Z242&gt;7,1+IF(X242&gt;7,0.25,0),IF(Z242&gt;4,0.5+IF(X242&gt;7,0.25,0),0+IF(X242&gt;7,0.25))))+IF(AA242="-",0,IF(AA242&gt;9,0.5,IF(AA242&gt;7,0.25,0)))+IF(AB242="-",0,IF(AB242&gt;7,1.1,IF(AB242&gt;4,0.6,0)))+IF(OR(AC242="-",V242&lt;5),0,IF(AC242&gt;7,1+IF(V242&gt;7,0.25,0),IF(AC242&gt;4,0.5+IF(V242&gt;7,0.25,0),0)))+IF(AD242="-",0,IF(AD242&gt;7,1.5,IF(AD242&gt;4,1,0)))+IF(AE242="-",0,IF(AE242&gt;9,0.5,IF(AE242&gt;7,0.25,0)))+IF(AF242="-",0,IF(AF242&gt;7,1.25,IF(AF242&gt;4,0.75,0)))+IF(OR(AG242="-",W242&lt;4),0,IF(AG242&gt;7,1+IF(W242&gt;7,0.15,0),IF(AG242&gt;4,0.5+IF(W242&gt;7,0.15,0),0))))</f>
        <v>0</v>
      </c>
      <c r="AQ242" s="46">
        <f>($AM$3*AM242+$AN$3*AN242+$AO$3*AO242+$AP$3*AP242)+$I$3*VLOOKUP(I242,COND!$A$2:$E$7,4,FALSE)+$J$3*VLOOKUP(J242,COND!$A$2:$C$7,2,FALSE)+$K$3*VLOOKUP(K242,COND!$A$2:$C$7,3,FALSE)+IF(AND($B$2&gt;0,$E242&lt;20),$B$2*25,0)</f>
        <v>41.018697909879592</v>
      </c>
      <c r="AR242" s="49">
        <f>STANDARDIZE(AQ242,AVERAGE($AQ$5:$AQ$537),STDEVP($AQ$5:$AQ$537))</f>
        <v>0.11796131855645534</v>
      </c>
      <c r="AS242" s="47" t="str">
        <f>IF(AND(Z242&lt;&gt;"-",Y242&gt;1),"C",IF(AB242=MAX(AB242:AD242),"2B",IF(AD242=MAX(AB242:AD242),"SS",IF(OR(AC242=MAX(AA242:AD242),AND(AC242&lt;&gt;"-",AC242&gt;4,V242&gt;5)),"3B",IF(AF242=MAX(AE242:AG242),"CF",IF(AND(AG242=MAX(AE242,AG242),AND(W242&gt;5,AG242&lt;&gt;"-")),"RF",IF(AE242&lt;&gt;"-","LF",IF(AA242&lt;&gt;"-","1B","DH"))))))))</f>
        <v>3B</v>
      </c>
      <c r="AT242" s="47"/>
      <c r="AU242" s="47"/>
      <c r="AV242" s="47"/>
      <c r="AW242" s="47" t="str">
        <f>IF(AND($Q242&gt;=6,AVERAGE($S242:$T242)&gt;=6),"Likely",IF(OR($Q242&gt;6,AND($Q242=6,AVERAGE($S242:$T242)&gt;=3),AND($Q242&gt;=5,AVERAGE($S242:$T242)&gt;=5),AVERAGE($Q242,$S242:$T242)&gt;5),"Possible","Unlikely"))</f>
        <v>Unlikely</v>
      </c>
      <c r="AX242" s="47"/>
      <c r="AY242" s="47" t="str">
        <f>INDEX(Table5[[#All],[Ovr]],MATCH(Batters[[#This Row],[PID]],Table5[[#All],[PID]],0))</f>
        <v/>
      </c>
      <c r="AZ242" s="47" t="str">
        <f>INDEX(Table5[[#All],[Rnd]],MATCH(Batters[[#This Row],[PID]],Table5[[#All],[PID]],0))</f>
        <v/>
      </c>
      <c r="BA242" s="47" t="str">
        <f>INDEX(Table5[[#All],[Pick]],MATCH(Batters[[#This Row],[PID]],Table5[[#All],[PID]],0))</f>
        <v/>
      </c>
      <c r="BB242" s="47" t="str">
        <f>INDEX(Table5[[#All],[Team]],MATCH(Batters[[#This Row],[PID]],Table5[[#All],[PID]],0))</f>
        <v/>
      </c>
    </row>
    <row r="243" spans="1:54" ht="15" customHeight="1" x14ac:dyDescent="0.25">
      <c r="A243" s="42">
        <v>8993</v>
      </c>
      <c r="B243" s="42" t="s">
        <v>87</v>
      </c>
      <c r="C243" s="42" t="s">
        <v>1102</v>
      </c>
      <c r="D243" s="42" t="s">
        <v>575</v>
      </c>
      <c r="E243" s="42">
        <v>18</v>
      </c>
      <c r="F243" s="42" t="s">
        <v>53</v>
      </c>
      <c r="G243" s="42" t="s">
        <v>42</v>
      </c>
      <c r="H243" s="43" t="s">
        <v>721</v>
      </c>
      <c r="I243" s="44" t="s">
        <v>43</v>
      </c>
      <c r="J243" s="42" t="s">
        <v>43</v>
      </c>
      <c r="K243" s="43" t="s">
        <v>43</v>
      </c>
      <c r="L243" s="42">
        <v>1</v>
      </c>
      <c r="M243" s="42">
        <v>1</v>
      </c>
      <c r="N243" s="42">
        <v>2</v>
      </c>
      <c r="O243" s="42">
        <v>1</v>
      </c>
      <c r="P243" s="43">
        <v>1</v>
      </c>
      <c r="Q243" s="42">
        <v>3</v>
      </c>
      <c r="R243" s="42">
        <v>4</v>
      </c>
      <c r="S243" s="42">
        <v>3</v>
      </c>
      <c r="T243" s="42">
        <v>2</v>
      </c>
      <c r="U243" s="43">
        <v>7</v>
      </c>
      <c r="V243" s="42">
        <v>2</v>
      </c>
      <c r="W243" s="42">
        <v>2</v>
      </c>
      <c r="X243" s="42">
        <v>2</v>
      </c>
      <c r="Y243" s="43">
        <v>3</v>
      </c>
      <c r="Z243" s="42" t="s">
        <v>45</v>
      </c>
      <c r="AA243" s="42">
        <v>1</v>
      </c>
      <c r="AB243" s="42" t="s">
        <v>45</v>
      </c>
      <c r="AC243" s="42" t="s">
        <v>45</v>
      </c>
      <c r="AD243" s="42" t="s">
        <v>45</v>
      </c>
      <c r="AE243" s="42" t="s">
        <v>45</v>
      </c>
      <c r="AF243" s="42" t="s">
        <v>45</v>
      </c>
      <c r="AG243" s="43" t="s">
        <v>45</v>
      </c>
      <c r="AH243" s="42">
        <v>1</v>
      </c>
      <c r="AI243" s="42">
        <v>4</v>
      </c>
      <c r="AJ243" s="43">
        <v>4</v>
      </c>
      <c r="AK243" s="45" t="s">
        <v>758</v>
      </c>
      <c r="AL243" s="45" t="s">
        <v>47</v>
      </c>
      <c r="AM243" s="46">
        <f>($L$3*(L243-$Q$1)/$Q$2+$M$3*(M243-$R$1)/$R$2+$N$3*(N243-$S$1)/$S$2+$O$3*(O243-$T$1)/$T$2+$P$3*(P243-$U$1)/$U$2)/(SUM($L$3:$P$3))</f>
        <v>-2.0012818558036707</v>
      </c>
      <c r="AN243" s="46">
        <f>($L$3*(Q243-$Q$1)/$Q$2+$M$3*(R243-$R$1)/$R$2+$N$3*(S243-$S$1)/$S$2+$O$3*(T243-$T$1)/$T$2+$P$3*(U243-$U$1)/$U$2)/(SUM($L$3:$P$3))</f>
        <v>-0.79012146160622732</v>
      </c>
      <c r="AO243" s="47">
        <f>IF(AVERAGE(AH243:AI243)&gt;9,1,0)+IF(AVERAGE(AH243:AI243)&gt;7,1,0)+IF(AH243&gt;7,1,0)+IF(AI243&gt;7,1,0)+IF(AJ243&gt;8,1,0)+IF(AJ243&gt;6,1,0)</f>
        <v>0</v>
      </c>
      <c r="AP243" s="48">
        <f>MIN(2,IF(OR(Z243="-",X243&lt;5),0,1+IF(Y243&gt;7,0.35,IF(Y243&gt;5,0.1,0))+IF(Z243&gt;7,1+IF(X243&gt;7,0.25,0),IF(Z243&gt;4,0.5+IF(X243&gt;7,0.25,0),0+IF(X243&gt;7,0.25))))+IF(AA243="-",0,IF(AA243&gt;9,0.5,IF(AA243&gt;7,0.25,0)))+IF(AB243="-",0,IF(AB243&gt;7,1.1,IF(AB243&gt;4,0.6,0)))+IF(OR(AC243="-",V243&lt;5),0,IF(AC243&gt;7,1+IF(V243&gt;7,0.25,0),IF(AC243&gt;4,0.5+IF(V243&gt;7,0.25,0),0)))+IF(AD243="-",0,IF(AD243&gt;7,1.5,IF(AD243&gt;4,1,0)))+IF(AE243="-",0,IF(AE243&gt;9,0.5,IF(AE243&gt;7,0.25,0)))+IF(AF243="-",0,IF(AF243&gt;7,1.25,IF(AF243&gt;4,0.75,0)))+IF(OR(AG243="-",W243&lt;4),0,IF(AG243&gt;7,1+IF(W243&gt;7,0.15,0),IF(AG243&gt;4,0.5+IF(W243&gt;7,0.15,0),0))))</f>
        <v>0</v>
      </c>
      <c r="AQ243" s="46">
        <f>($AM$3*AM243+$AN$3*AN243+$AO$3*AO243+$AP$3*AP243)+$I$3*VLOOKUP(I243,COND!$A$2:$E$7,4,FALSE)+$J$3*VLOOKUP(J243,COND!$A$2:$C$7,2,FALSE)+$K$3*VLOOKUP(K243,COND!$A$2:$C$7,3,FALSE)+IF(AND($B$2&gt;0,$E243&lt;20),$B$2*25,0)</f>
        <v>40.318414275144903</v>
      </c>
      <c r="AR243" s="49">
        <f>STANDARDIZE(AQ243,AVERAGE($AQ$5:$AQ$537),STDEVP($AQ$5:$AQ$537))</f>
        <v>-5.2489326776263296E-3</v>
      </c>
      <c r="AS243" s="47" t="str">
        <f>IF(AND(Z243&lt;&gt;"-",Y243&gt;1),"C",IF(AB243=MAX(AB243:AD243),"2B",IF(AD243=MAX(AB243:AD243),"SS",IF(OR(AC243=MAX(AA243:AD243),AND(AC243&lt;&gt;"-",AC243&gt;4,V243&gt;5)),"3B",IF(AF243=MAX(AE243:AG243),"CF",IF(AND(AG243=MAX(AE243,AG243),AND(W243&gt;5,AG243&lt;&gt;"-")),"RF",IF(AE243&lt;&gt;"-","LF",IF(AA243&lt;&gt;"-","1B","DH"))))))))</f>
        <v>1B</v>
      </c>
      <c r="AT243" s="47"/>
      <c r="AU243" s="47"/>
      <c r="AV243" s="47"/>
      <c r="AW243" s="47" t="str">
        <f>IF(AND($Q243&gt;=6,AVERAGE($S243:$T243)&gt;=6),"Likely",IF(OR($Q243&gt;6,AND($Q243=6,AVERAGE($S243:$T243)&gt;=3),AND($Q243&gt;=5,AVERAGE($S243:$T243)&gt;=5),AVERAGE($Q243,$S243:$T243)&gt;5),"Possible","Unlikely"))</f>
        <v>Unlikely</v>
      </c>
      <c r="AX243" s="47"/>
      <c r="AY243" s="47" t="str">
        <f>INDEX(Table5[[#All],[Ovr]],MATCH(Batters[[#This Row],[PID]],Table5[[#All],[PID]],0))</f>
        <v/>
      </c>
      <c r="AZ243" s="47" t="str">
        <f>INDEX(Table5[[#All],[Rnd]],MATCH(Batters[[#This Row],[PID]],Table5[[#All],[PID]],0))</f>
        <v/>
      </c>
      <c r="BA243" s="47" t="str">
        <f>INDEX(Table5[[#All],[Pick]],MATCH(Batters[[#This Row],[PID]],Table5[[#All],[PID]],0))</f>
        <v/>
      </c>
      <c r="BB243" s="47" t="str">
        <f>INDEX(Table5[[#All],[Team]],MATCH(Batters[[#This Row],[PID]],Table5[[#All],[PID]],0))</f>
        <v/>
      </c>
    </row>
    <row r="244" spans="1:54" ht="15" customHeight="1" x14ac:dyDescent="0.25">
      <c r="A244" s="42">
        <v>6113</v>
      </c>
      <c r="B244" s="42" t="s">
        <v>72</v>
      </c>
      <c r="C244" s="42" t="s">
        <v>1270</v>
      </c>
      <c r="D244" s="42" t="s">
        <v>843</v>
      </c>
      <c r="E244" s="42">
        <v>18</v>
      </c>
      <c r="F244" s="42" t="s">
        <v>42</v>
      </c>
      <c r="G244" s="42" t="s">
        <v>42</v>
      </c>
      <c r="H244" s="43" t="s">
        <v>709</v>
      </c>
      <c r="I244" s="44" t="s">
        <v>47</v>
      </c>
      <c r="J244" s="42" t="s">
        <v>43</v>
      </c>
      <c r="K244" s="43" t="s">
        <v>43</v>
      </c>
      <c r="L244" s="42">
        <v>1</v>
      </c>
      <c r="M244" s="42">
        <v>1</v>
      </c>
      <c r="N244" s="42">
        <v>2</v>
      </c>
      <c r="O244" s="42">
        <v>1</v>
      </c>
      <c r="P244" s="43">
        <v>1</v>
      </c>
      <c r="Q244" s="42">
        <v>3</v>
      </c>
      <c r="R244" s="42">
        <v>3</v>
      </c>
      <c r="S244" s="42">
        <v>3</v>
      </c>
      <c r="T244" s="42">
        <v>3</v>
      </c>
      <c r="U244" s="43">
        <v>3</v>
      </c>
      <c r="V244" s="42">
        <v>7</v>
      </c>
      <c r="W244" s="42">
        <v>7</v>
      </c>
      <c r="X244" s="42">
        <v>1</v>
      </c>
      <c r="Y244" s="43">
        <v>1</v>
      </c>
      <c r="Z244" s="42" t="s">
        <v>45</v>
      </c>
      <c r="AA244" s="42" t="s">
        <v>45</v>
      </c>
      <c r="AB244" s="42" t="s">
        <v>45</v>
      </c>
      <c r="AC244" s="42" t="s">
        <v>45</v>
      </c>
      <c r="AD244" s="42">
        <v>6</v>
      </c>
      <c r="AE244" s="42" t="s">
        <v>45</v>
      </c>
      <c r="AF244" s="42" t="s">
        <v>45</v>
      </c>
      <c r="AG244" s="43" t="s">
        <v>45</v>
      </c>
      <c r="AH244" s="42">
        <v>10</v>
      </c>
      <c r="AI244" s="42">
        <v>4</v>
      </c>
      <c r="AJ244" s="43">
        <v>2</v>
      </c>
      <c r="AK244" s="45" t="s">
        <v>599</v>
      </c>
      <c r="AL244" s="45" t="s">
        <v>705</v>
      </c>
      <c r="AM244" s="46">
        <f>($L$3*(L244-$Q$1)/$Q$2+$M$3*(M244-$R$1)/$R$2+$N$3*(N244-$S$1)/$S$2+$O$3*(O244-$T$1)/$T$2+$P$3*(P244-$U$1)/$U$2)/(SUM($L$3:$P$3))</f>
        <v>-2.0012818558036707</v>
      </c>
      <c r="AN244" s="46">
        <f>($L$3*(Q244-$Q$1)/$Q$2+$M$3*(R244-$R$1)/$R$2+$N$3*(S244-$S$1)/$S$2+$O$3*(T244-$T$1)/$T$2+$P$3*(U244-$U$1)/$U$2)/(SUM($L$3:$P$3))</f>
        <v>-0.91153715048368367</v>
      </c>
      <c r="AO244" s="47">
        <f>IF(AVERAGE(AH244:AI244)&gt;9,1,0)+IF(AVERAGE(AH244:AI244)&gt;7,1,0)+IF(AH244&gt;7,1,0)+IF(AI244&gt;7,1,0)+IF(AJ244&gt;8,1,0)+IF(AJ244&gt;6,1,0)</f>
        <v>1</v>
      </c>
      <c r="AP244" s="48">
        <f>MIN(2,IF(OR(Z244="-",X244&lt;5),0,1+IF(Y244&gt;7,0.35,IF(Y244&gt;5,0.1,0))+IF(Z244&gt;7,1+IF(X244&gt;7,0.25,0),IF(Z244&gt;4,0.5+IF(X244&gt;7,0.25,0),0+IF(X244&gt;7,0.25))))+IF(AA244="-",0,IF(AA244&gt;9,0.5,IF(AA244&gt;7,0.25,0)))+IF(AB244="-",0,IF(AB244&gt;7,1.1,IF(AB244&gt;4,0.6,0)))+IF(OR(AC244="-",V244&lt;5),0,IF(AC244&gt;7,1+IF(V244&gt;7,0.25,0),IF(AC244&gt;4,0.5+IF(V244&gt;7,0.25,0),0)))+IF(AD244="-",0,IF(AD244&gt;7,1.5,IF(AD244&gt;4,1,0)))+IF(AE244="-",0,IF(AE244&gt;9,0.5,IF(AE244&gt;7,0.25,0)))+IF(AF244="-",0,IF(AF244&gt;7,1.25,IF(AF244&gt;4,0.75,0)))+IF(OR(AG244="-",W244&lt;4),0,IF(AG244&gt;7,1+IF(W244&gt;7,0.15,0),IF(AG244&gt;4,0.5+IF(W244&gt;7,0.15,0),0))))</f>
        <v>1</v>
      </c>
      <c r="AQ244" s="46">
        <f>($AM$3*AM244+$AN$3*AN244+$AO$3*AO244+$AP$3*AP244)+$I$3*VLOOKUP(I244,COND!$A$2:$E$7,4,FALSE)+$J$3*VLOOKUP(J244,COND!$A$2:$C$7,2,FALSE)+$K$3*VLOOKUP(K244,COND!$A$2:$C$7,3,FALSE)+IF(AND($B$2&gt;0,$E244&lt;20),$B$2*25,0)</f>
        <v>40.25309267528209</v>
      </c>
      <c r="AR244" s="49">
        <f>STANDARDIZE(AQ244,AVERAGE($AQ$5:$AQ$537),STDEVP($AQ$5:$AQ$537))</f>
        <v>-1.6741834026318431E-2</v>
      </c>
      <c r="AS244" s="47" t="str">
        <f>IF(AND(Z244&lt;&gt;"-",Y244&gt;1),"C",IF(AB244=MAX(AB244:AD244),"2B",IF(AD244=MAX(AB244:AD244),"SS",IF(OR(AC244=MAX(AA244:AD244),AND(AC244&lt;&gt;"-",AC244&gt;4,V244&gt;5)),"3B",IF(AF244=MAX(AE244:AG244),"CF",IF(AND(AG244=MAX(AE244,AG244),AND(W244&gt;5,AG244&lt;&gt;"-")),"RF",IF(AE244&lt;&gt;"-","LF",IF(AA244&lt;&gt;"-","1B","DH"))))))))</f>
        <v>SS</v>
      </c>
      <c r="AT244" s="47"/>
      <c r="AU244" s="47"/>
      <c r="AV244" s="47"/>
      <c r="AW244" s="47" t="str">
        <f>IF(AND($Q244&gt;=6,AVERAGE($S244:$T244)&gt;=6),"Likely",IF(OR($Q244&gt;6,AND($Q244=6,AVERAGE($S244:$T244)&gt;=3),AND($Q244&gt;=5,AVERAGE($S244:$T244)&gt;=5),AVERAGE($Q244,$S244:$T244)&gt;5),"Possible","Unlikely"))</f>
        <v>Unlikely</v>
      </c>
      <c r="AX244" s="47"/>
      <c r="AY244" s="47" t="str">
        <f>INDEX(Table5[[#All],[Ovr]],MATCH(Batters[[#This Row],[PID]],Table5[[#All],[PID]],0))</f>
        <v/>
      </c>
      <c r="AZ244" s="47" t="str">
        <f>INDEX(Table5[[#All],[Rnd]],MATCH(Batters[[#This Row],[PID]],Table5[[#All],[PID]],0))</f>
        <v/>
      </c>
      <c r="BA244" s="47" t="str">
        <f>INDEX(Table5[[#All],[Pick]],MATCH(Batters[[#This Row],[PID]],Table5[[#All],[PID]],0))</f>
        <v/>
      </c>
      <c r="BB244" s="47" t="str">
        <f>INDEX(Table5[[#All],[Team]],MATCH(Batters[[#This Row],[PID]],Table5[[#All],[PID]],0))</f>
        <v/>
      </c>
    </row>
    <row r="245" spans="1:54" ht="15" customHeight="1" x14ac:dyDescent="0.25">
      <c r="A245" s="42">
        <v>7550</v>
      </c>
      <c r="B245" s="42" t="s">
        <v>66</v>
      </c>
      <c r="C245" s="42" t="s">
        <v>134</v>
      </c>
      <c r="D245" s="42" t="s">
        <v>144</v>
      </c>
      <c r="E245" s="42">
        <v>18</v>
      </c>
      <c r="F245" s="42" t="s">
        <v>53</v>
      </c>
      <c r="G245" s="42" t="s">
        <v>53</v>
      </c>
      <c r="H245" s="43" t="s">
        <v>711</v>
      </c>
      <c r="I245" s="44" t="s">
        <v>43</v>
      </c>
      <c r="J245" s="42" t="s">
        <v>43</v>
      </c>
      <c r="K245" s="43" t="s">
        <v>44</v>
      </c>
      <c r="L245" s="42">
        <v>1</v>
      </c>
      <c r="M245" s="42">
        <v>1</v>
      </c>
      <c r="N245" s="42">
        <v>2</v>
      </c>
      <c r="O245" s="42">
        <v>2</v>
      </c>
      <c r="P245" s="43">
        <v>2</v>
      </c>
      <c r="Q245" s="42">
        <v>3</v>
      </c>
      <c r="R245" s="42">
        <v>5</v>
      </c>
      <c r="S245" s="42">
        <v>3</v>
      </c>
      <c r="T245" s="42">
        <v>3</v>
      </c>
      <c r="U245" s="43">
        <v>5</v>
      </c>
      <c r="V245" s="42">
        <v>3</v>
      </c>
      <c r="W245" s="42">
        <v>6</v>
      </c>
      <c r="X245" s="42">
        <v>1</v>
      </c>
      <c r="Y245" s="43">
        <v>1</v>
      </c>
      <c r="Z245" s="42" t="s">
        <v>45</v>
      </c>
      <c r="AA245" s="42" t="s">
        <v>45</v>
      </c>
      <c r="AB245" s="42" t="s">
        <v>45</v>
      </c>
      <c r="AC245" s="42" t="s">
        <v>45</v>
      </c>
      <c r="AD245" s="42" t="s">
        <v>45</v>
      </c>
      <c r="AE245" s="42" t="s">
        <v>45</v>
      </c>
      <c r="AF245" s="42" t="s">
        <v>45</v>
      </c>
      <c r="AG245" s="43">
        <v>1</v>
      </c>
      <c r="AH245" s="42">
        <v>2</v>
      </c>
      <c r="AI245" s="42">
        <v>6</v>
      </c>
      <c r="AJ245" s="43">
        <v>8</v>
      </c>
      <c r="AK245" s="45" t="s">
        <v>718</v>
      </c>
      <c r="AL245" s="45" t="s">
        <v>47</v>
      </c>
      <c r="AM245" s="46">
        <f>($L$3*(L245-$Q$1)/$Q$2+$M$3*(M245-$R$1)/$R$2+$N$3*(N245-$S$1)/$S$2+$O$3*(O245-$T$1)/$T$2+$P$3*(P245-$U$1)/$U$2)/(SUM($L$3:$P$3))</f>
        <v>-1.871555965977006</v>
      </c>
      <c r="AN245" s="46">
        <f>($L$3*(Q245-$Q$1)/$Q$2+$M$3*(R245-$R$1)/$R$2+$N$3*(S245-$S$1)/$S$2+$O$3*(T245-$T$1)/$T$2+$P$3*(U245-$U$1)/$U$2)/(SUM($L$3:$P$3))</f>
        <v>-0.72938471161210972</v>
      </c>
      <c r="AO245" s="47">
        <f>IF(AVERAGE(AH245:AI245)&gt;9,1,0)+IF(AVERAGE(AH245:AI245)&gt;7,1,0)+IF(AH245&gt;7,1,0)+IF(AI245&gt;7,1,0)+IF(AJ245&gt;8,1,0)+IF(AJ245&gt;6,1,0)</f>
        <v>1</v>
      </c>
      <c r="AP245" s="48">
        <f>MIN(2,IF(OR(Z245="-",X245&lt;5),0,1+IF(Y245&gt;7,0.35,IF(Y245&gt;5,0.1,0))+IF(Z245&gt;7,1+IF(X245&gt;7,0.25,0),IF(Z245&gt;4,0.5+IF(X245&gt;7,0.25,0),0+IF(X245&gt;7,0.25))))+IF(AA245="-",0,IF(AA245&gt;9,0.5,IF(AA245&gt;7,0.25,0)))+IF(AB245="-",0,IF(AB245&gt;7,1.1,IF(AB245&gt;4,0.6,0)))+IF(OR(AC245="-",V245&lt;5),0,IF(AC245&gt;7,1+IF(V245&gt;7,0.25,0),IF(AC245&gt;4,0.5+IF(V245&gt;7,0.25,0),0)))+IF(AD245="-",0,IF(AD245&gt;7,1.5,IF(AD245&gt;4,1,0)))+IF(AE245="-",0,IF(AE245&gt;9,0.5,IF(AE245&gt;7,0.25,0)))+IF(AF245="-",0,IF(AF245&gt;7,1.25,IF(AF245&gt;4,0.75,0)))+IF(OR(AG245="-",W245&lt;4),0,IF(AG245&gt;7,1+IF(W245&gt;7,0.15,0),IF(AG245&gt;4,0.5+IF(W245&gt;7,0.15,0),0))))</f>
        <v>0</v>
      </c>
      <c r="AQ245" s="46">
        <f>($AM$3*AM245+$AN$3*AN245+$AO$3*AO245+$AP$3*AP245)+$I$3*VLOOKUP(I245,COND!$A$2:$E$7,4,FALSE)+$J$3*VLOOKUP(J245,COND!$A$2:$C$7,2,FALSE)+$K$3*VLOOKUP(K245,COND!$A$2:$C$7,3,FALSE)+IF(AND($B$2&gt;0,$E245&lt;20),$B$2*25,0)</f>
        <v>40.926894530723644</v>
      </c>
      <c r="AR245" s="49">
        <f>STANDARDIZE(AQ245,AVERAGE($AQ$5:$AQ$537),STDEVP($AQ$5:$AQ$537))</f>
        <v>0.10180912414707524</v>
      </c>
      <c r="AS245" s="47" t="str">
        <f>IF(AND(Z245&lt;&gt;"-",Y245&gt;1),"C",IF(AB245=MAX(AB245:AD245),"2B",IF(AD245=MAX(AB245:AD245),"SS",IF(OR(AC245=MAX(AA245:AD245),AND(AC245&lt;&gt;"-",AC245&gt;4,V245&gt;5)),"3B",IF(AF245=MAX(AE245:AG245),"CF",IF(AND(AG245=MAX(AE245,AG245),AND(W245&gt;5,AG245&lt;&gt;"-")),"RF",IF(AE245&lt;&gt;"-","LF",IF(AA245&lt;&gt;"-","1B","DH"))))))))</f>
        <v>RF</v>
      </c>
      <c r="AT245" s="47"/>
      <c r="AU245" s="47"/>
      <c r="AV245" s="47"/>
      <c r="AW245" s="47" t="str">
        <f>IF(AND($Q245&gt;=6,AVERAGE($S245:$T245)&gt;=6),"Likely",IF(OR($Q245&gt;6,AND($Q245=6,AVERAGE($S245:$T245)&gt;=3),AND($Q245&gt;=5,AVERAGE($S245:$T245)&gt;=5),AVERAGE($Q245,$S245:$T245)&gt;5),"Possible","Unlikely"))</f>
        <v>Unlikely</v>
      </c>
      <c r="AX245" s="47"/>
      <c r="AY245" s="47" t="str">
        <f>INDEX(Table5[[#All],[Ovr]],MATCH(Batters[[#This Row],[PID]],Table5[[#All],[PID]],0))</f>
        <v/>
      </c>
      <c r="AZ245" s="47" t="str">
        <f>INDEX(Table5[[#All],[Rnd]],MATCH(Batters[[#This Row],[PID]],Table5[[#All],[PID]],0))</f>
        <v/>
      </c>
      <c r="BA245" s="47" t="str">
        <f>INDEX(Table5[[#All],[Pick]],MATCH(Batters[[#This Row],[PID]],Table5[[#All],[PID]],0))</f>
        <v/>
      </c>
      <c r="BB245" s="47" t="str">
        <f>INDEX(Table5[[#All],[Team]],MATCH(Batters[[#This Row],[PID]],Table5[[#All],[PID]],0))</f>
        <v/>
      </c>
    </row>
    <row r="246" spans="1:54" ht="15" customHeight="1" x14ac:dyDescent="0.25">
      <c r="A246" s="42">
        <v>9039</v>
      </c>
      <c r="B246" s="42" t="s">
        <v>50</v>
      </c>
      <c r="C246" s="42" t="s">
        <v>1283</v>
      </c>
      <c r="D246" s="42" t="s">
        <v>706</v>
      </c>
      <c r="E246" s="42">
        <v>17</v>
      </c>
      <c r="F246" s="42" t="s">
        <v>42</v>
      </c>
      <c r="G246" s="42" t="s">
        <v>53</v>
      </c>
      <c r="H246" s="43" t="s">
        <v>711</v>
      </c>
      <c r="I246" s="44" t="s">
        <v>43</v>
      </c>
      <c r="J246" s="42" t="s">
        <v>47</v>
      </c>
      <c r="K246" s="43" t="s">
        <v>43</v>
      </c>
      <c r="L246" s="42">
        <v>1</v>
      </c>
      <c r="M246" s="42">
        <v>2</v>
      </c>
      <c r="N246" s="42">
        <v>2</v>
      </c>
      <c r="O246" s="42">
        <v>2</v>
      </c>
      <c r="P246" s="43">
        <v>1</v>
      </c>
      <c r="Q246" s="42">
        <v>2</v>
      </c>
      <c r="R246" s="42">
        <v>3</v>
      </c>
      <c r="S246" s="42">
        <v>5</v>
      </c>
      <c r="T246" s="42">
        <v>5</v>
      </c>
      <c r="U246" s="43">
        <v>3</v>
      </c>
      <c r="V246" s="42">
        <v>2</v>
      </c>
      <c r="W246" s="42">
        <v>5</v>
      </c>
      <c r="X246" s="42">
        <v>1</v>
      </c>
      <c r="Y246" s="43">
        <v>1</v>
      </c>
      <c r="Z246" s="42" t="s">
        <v>45</v>
      </c>
      <c r="AA246" s="42" t="s">
        <v>45</v>
      </c>
      <c r="AB246" s="42" t="s">
        <v>45</v>
      </c>
      <c r="AC246" s="42" t="s">
        <v>45</v>
      </c>
      <c r="AD246" s="42" t="s">
        <v>45</v>
      </c>
      <c r="AE246" s="42">
        <v>1</v>
      </c>
      <c r="AF246" s="42" t="s">
        <v>45</v>
      </c>
      <c r="AG246" s="43">
        <v>1</v>
      </c>
      <c r="AH246" s="42">
        <v>1</v>
      </c>
      <c r="AI246" s="42">
        <v>3</v>
      </c>
      <c r="AJ246" s="43">
        <v>1</v>
      </c>
      <c r="AK246" s="45" t="s">
        <v>718</v>
      </c>
      <c r="AL246" s="45" t="s">
        <v>47</v>
      </c>
      <c r="AM246" s="46">
        <f>($L$3*(L246-$Q$1)/$Q$2+$M$3*(M246-$R$1)/$R$2+$N$3*(N246-$S$1)/$S$2+$O$3*(O246-$T$1)/$T$2+$P$3*(P246-$U$1)/$U$2)/(SUM($L$3:$P$3))</f>
        <v>-1.8605124261753858</v>
      </c>
      <c r="AN246" s="46">
        <f>($L$3*(Q246-$Q$1)/$Q$2+$M$3*(R246-$R$1)/$R$2+$N$3*(S246-$S$1)/$S$2+$O$3*(T246-$T$1)/$T$2+$P$3*(U246-$U$1)/$U$2)/(SUM($L$3:$P$3))</f>
        <v>-0.88855089861939351</v>
      </c>
      <c r="AO246" s="47">
        <f>IF(AVERAGE(AH246:AI246)&gt;9,1,0)+IF(AVERAGE(AH246:AI246)&gt;7,1,0)+IF(AH246&gt;7,1,0)+IF(AI246&gt;7,1,0)+IF(AJ246&gt;8,1,0)+IF(AJ246&gt;6,1,0)</f>
        <v>0</v>
      </c>
      <c r="AP246" s="48">
        <f>MIN(2,IF(OR(Z246="-",X246&lt;5),0,1+IF(Y246&gt;7,0.35,IF(Y246&gt;5,0.1,0))+IF(Z246&gt;7,1+IF(X246&gt;7,0.25,0),IF(Z246&gt;4,0.5+IF(X246&gt;7,0.25,0),0+IF(X246&gt;7,0.25))))+IF(AA246="-",0,IF(AA246&gt;9,0.5,IF(AA246&gt;7,0.25,0)))+IF(AB246="-",0,IF(AB246&gt;7,1.1,IF(AB246&gt;4,0.6,0)))+IF(OR(AC246="-",V246&lt;5),0,IF(AC246&gt;7,1+IF(V246&gt;7,0.25,0),IF(AC246&gt;4,0.5+IF(V246&gt;7,0.25,0),0)))+IF(AD246="-",0,IF(AD246&gt;7,1.5,IF(AD246&gt;4,1,0)))+IF(AE246="-",0,IF(AE246&gt;9,0.5,IF(AE246&gt;7,0.25,0)))+IF(AF246="-",0,IF(AF246&gt;7,1.25,IF(AF246&gt;4,0.75,0)))+IF(OR(AG246="-",W246&lt;4),0,IF(AG246&gt;7,1+IF(W246&gt;7,0.15,0),IF(AG246&gt;4,0.5+IF(W246&gt;7,0.15,0),0))))</f>
        <v>0</v>
      </c>
      <c r="AQ246" s="46">
        <f>($AM$3*AM246+$AN$3*AN246+$AO$3*AO246+$AP$3*AP246)+$I$3*VLOOKUP(I246,COND!$A$2:$E$7,4,FALSE)+$J$3*VLOOKUP(J246,COND!$A$2:$C$7,2,FALSE)+$K$3*VLOOKUP(K246,COND!$A$2:$C$7,3,FALSE)+IF(AND($B$2&gt;0,$E246&lt;20),$B$2*25,0)</f>
        <v>39.451337973949741</v>
      </c>
      <c r="AR246" s="49">
        <f>STANDARDIZE(AQ246,AVERAGE($AQ$5:$AQ$537),STDEVP($AQ$5:$AQ$537))</f>
        <v>-0.15780524502076587</v>
      </c>
      <c r="AS246" s="47" t="str">
        <f>IF(AND(Z246&lt;&gt;"-",Y246&gt;1),"C",IF(AB246=MAX(AB246:AD246),"2B",IF(AD246=MAX(AB246:AD246),"SS",IF(OR(AC246=MAX(AA246:AD246),AND(AC246&lt;&gt;"-",AC246&gt;4,V246&gt;5)),"3B",IF(AF246=MAX(AE246:AG246),"CF",IF(AND(AG246=MAX(AE246,AG246),AND(W246&gt;5,AG246&lt;&gt;"-")),"RF",IF(AE246&lt;&gt;"-","LF",IF(AA246&lt;&gt;"-","1B","DH"))))))))</f>
        <v>LF</v>
      </c>
      <c r="AT246" s="47"/>
      <c r="AU246" s="47"/>
      <c r="AV246" s="47"/>
      <c r="AW246" s="47" t="str">
        <f>IF(AND($Q246&gt;=6,AVERAGE($S246:$T246)&gt;=6),"Likely",IF(OR($Q246&gt;6,AND($Q246=6,AVERAGE($S246:$T246)&gt;=3),AND($Q246&gt;=5,AVERAGE($S246:$T246)&gt;=5),AVERAGE($Q246,$S246:$T246)&gt;5),"Possible","Unlikely"))</f>
        <v>Unlikely</v>
      </c>
      <c r="AX246" s="47"/>
      <c r="AY246" s="47" t="str">
        <f>INDEX(Table5[[#All],[Ovr]],MATCH(Batters[[#This Row],[PID]],Table5[[#All],[PID]],0))</f>
        <v/>
      </c>
      <c r="AZ246" s="47" t="str">
        <f>INDEX(Table5[[#All],[Rnd]],MATCH(Batters[[#This Row],[PID]],Table5[[#All],[PID]],0))</f>
        <v/>
      </c>
      <c r="BA246" s="47" t="str">
        <f>INDEX(Table5[[#All],[Pick]],MATCH(Batters[[#This Row],[PID]],Table5[[#All],[PID]],0))</f>
        <v/>
      </c>
      <c r="BB246" s="47" t="str">
        <f>INDEX(Table5[[#All],[Team]],MATCH(Batters[[#This Row],[PID]],Table5[[#All],[PID]],0))</f>
        <v/>
      </c>
    </row>
    <row r="247" spans="1:54" ht="15" customHeight="1" x14ac:dyDescent="0.25">
      <c r="A247" s="42">
        <v>17637</v>
      </c>
      <c r="B247" s="42" t="s">
        <v>72</v>
      </c>
      <c r="C247" s="42" t="s">
        <v>798</v>
      </c>
      <c r="D247" s="42" t="s">
        <v>1151</v>
      </c>
      <c r="E247" s="42">
        <v>18</v>
      </c>
      <c r="F247" s="42" t="s">
        <v>42</v>
      </c>
      <c r="G247" s="42" t="s">
        <v>42</v>
      </c>
      <c r="H247" s="43" t="s">
        <v>709</v>
      </c>
      <c r="I247" s="44" t="s">
        <v>44</v>
      </c>
      <c r="J247" s="42" t="s">
        <v>44</v>
      </c>
      <c r="K247" s="43" t="s">
        <v>44</v>
      </c>
      <c r="L247" s="42">
        <v>1</v>
      </c>
      <c r="M247" s="42">
        <v>1</v>
      </c>
      <c r="N247" s="42">
        <v>2</v>
      </c>
      <c r="O247" s="42">
        <v>1</v>
      </c>
      <c r="P247" s="43">
        <v>1</v>
      </c>
      <c r="Q247" s="42">
        <v>3</v>
      </c>
      <c r="R247" s="42">
        <v>3</v>
      </c>
      <c r="S247" s="42">
        <v>3</v>
      </c>
      <c r="T247" s="42">
        <v>4</v>
      </c>
      <c r="U247" s="43">
        <v>5</v>
      </c>
      <c r="V247" s="42">
        <v>8</v>
      </c>
      <c r="W247" s="42">
        <v>8</v>
      </c>
      <c r="X247" s="42">
        <v>1</v>
      </c>
      <c r="Y247" s="43">
        <v>1</v>
      </c>
      <c r="Z247" s="42" t="s">
        <v>45</v>
      </c>
      <c r="AA247" s="42" t="s">
        <v>45</v>
      </c>
      <c r="AB247" s="42" t="s">
        <v>45</v>
      </c>
      <c r="AC247" s="42" t="s">
        <v>45</v>
      </c>
      <c r="AD247" s="42">
        <v>5</v>
      </c>
      <c r="AE247" s="42" t="s">
        <v>45</v>
      </c>
      <c r="AF247" s="42" t="s">
        <v>45</v>
      </c>
      <c r="AG247" s="43" t="s">
        <v>45</v>
      </c>
      <c r="AH247" s="42">
        <v>8</v>
      </c>
      <c r="AI247" s="42">
        <v>7</v>
      </c>
      <c r="AJ247" s="43">
        <v>5</v>
      </c>
      <c r="AK247" s="45" t="s">
        <v>745</v>
      </c>
      <c r="AL247" s="45" t="s">
        <v>47</v>
      </c>
      <c r="AM247" s="46">
        <f>($L$3*(L247-$Q$1)/$Q$2+$M$3*(M247-$R$1)/$R$2+$N$3*(N247-$S$1)/$S$2+$O$3*(O247-$T$1)/$T$2+$P$3*(P247-$U$1)/$U$2)/(SUM($L$3:$P$3))</f>
        <v>-2.0012818558036707</v>
      </c>
      <c r="AN247" s="46">
        <f>($L$3*(Q247-$Q$1)/$Q$2+$M$3*(R247-$R$1)/$R$2+$N$3*(S247-$S$1)/$S$2+$O$3*(T247-$T$1)/$T$2+$P$3*(U247-$U$1)/$U$2)/(SUM($L$3:$P$3))</f>
        <v>-0.74179492083993548</v>
      </c>
      <c r="AO247" s="47">
        <f>IF(AVERAGE(AH247:AI247)&gt;9,1,0)+IF(AVERAGE(AH247:AI247)&gt;7,1,0)+IF(AH247&gt;7,1,0)+IF(AI247&gt;7,1,0)+IF(AJ247&gt;8,1,0)+IF(AJ247&gt;6,1,0)</f>
        <v>2</v>
      </c>
      <c r="AP247" s="48">
        <f>MIN(2,IF(OR(Z247="-",X247&lt;5),0,1+IF(Y247&gt;7,0.35,IF(Y247&gt;5,0.1,0))+IF(Z247&gt;7,1+IF(X247&gt;7,0.25,0),IF(Z247&gt;4,0.5+IF(X247&gt;7,0.25,0),0+IF(X247&gt;7,0.25))))+IF(AA247="-",0,IF(AA247&gt;9,0.5,IF(AA247&gt;7,0.25,0)))+IF(AB247="-",0,IF(AB247&gt;7,1.1,IF(AB247&gt;4,0.6,0)))+IF(OR(AC247="-",V247&lt;5),0,IF(AC247&gt;7,1+IF(V247&gt;7,0.25,0),IF(AC247&gt;4,0.5+IF(V247&gt;7,0.25,0),0)))+IF(AD247="-",0,IF(AD247&gt;7,1.5,IF(AD247&gt;4,1,0)))+IF(AE247="-",0,IF(AE247&gt;9,0.5,IF(AE247&gt;7,0.25,0)))+IF(AF247="-",0,IF(AF247&gt;7,1.25,IF(AF247&gt;4,0.75,0)))+IF(OR(AG247="-",W247&lt;4),0,IF(AG247&gt;7,1+IF(W247&gt;7,0.15,0),IF(AG247&gt;4,0.5+IF(W247&gt;7,0.15,0),0))))</f>
        <v>1</v>
      </c>
      <c r="AQ247" s="46">
        <f>($AM$3*AM247+$AN$3*AN247+$AO$3*AO247+$AP$3*AP247)+$I$3*VLOOKUP(I247,COND!$A$2:$E$7,4,FALSE)+$J$3*VLOOKUP(J247,COND!$A$2:$C$7,2,FALSE)+$K$3*VLOOKUP(K247,COND!$A$2:$C$7,3,FALSE)+IF(AND($B$2&gt;0,$E247&lt;20),$B$2*25,0)</f>
        <v>41.481666097673738</v>
      </c>
      <c r="AR247" s="49">
        <f>STANDARDIZE(AQ247,AVERAGE($AQ$5:$AQ$537),STDEVP($AQ$5:$AQ$537))</f>
        <v>0.19941749417180518</v>
      </c>
      <c r="AS247" s="47" t="str">
        <f>IF(AND(Z247&lt;&gt;"-",Y247&gt;1),"C",IF(AB247=MAX(AB247:AD247),"2B",IF(AD247=MAX(AB247:AD247),"SS",IF(OR(AC247=MAX(AA247:AD247),AND(AC247&lt;&gt;"-",AC247&gt;4,V247&gt;5)),"3B",IF(AF247=MAX(AE247:AG247),"CF",IF(AND(AG247=MAX(AE247,AG247),AND(W247&gt;5,AG247&lt;&gt;"-")),"RF",IF(AE247&lt;&gt;"-","LF",IF(AA247&lt;&gt;"-","1B","DH"))))))))</f>
        <v>SS</v>
      </c>
      <c r="AT247" s="47"/>
      <c r="AU247" s="47"/>
      <c r="AV247" s="47"/>
      <c r="AW247" s="47" t="str">
        <f>IF(AND($Q247&gt;=6,AVERAGE($S247:$T247)&gt;=6),"Likely",IF(OR($Q247&gt;6,AND($Q247=6,AVERAGE($S247:$T247)&gt;=3),AND($Q247&gt;=5,AVERAGE($S247:$T247)&gt;=5),AVERAGE($Q247,$S247:$T247)&gt;5),"Possible","Unlikely"))</f>
        <v>Unlikely</v>
      </c>
      <c r="AX247" s="47"/>
      <c r="AY247" s="47" t="str">
        <f>INDEX(Table5[[#All],[Ovr]],MATCH(Batters[[#This Row],[PID]],Table5[[#All],[PID]],0))</f>
        <v/>
      </c>
      <c r="AZ247" s="47" t="str">
        <f>INDEX(Table5[[#All],[Rnd]],MATCH(Batters[[#This Row],[PID]],Table5[[#All],[PID]],0))</f>
        <v/>
      </c>
      <c r="BA247" s="47" t="str">
        <f>INDEX(Table5[[#All],[Pick]],MATCH(Batters[[#This Row],[PID]],Table5[[#All],[PID]],0))</f>
        <v/>
      </c>
      <c r="BB247" s="47" t="str">
        <f>INDEX(Table5[[#All],[Team]],MATCH(Batters[[#This Row],[PID]],Table5[[#All],[PID]],0))</f>
        <v/>
      </c>
    </row>
    <row r="248" spans="1:54" ht="15" customHeight="1" x14ac:dyDescent="0.25">
      <c r="A248" s="42">
        <v>8013</v>
      </c>
      <c r="B248" s="42" t="s">
        <v>87</v>
      </c>
      <c r="C248" s="42" t="s">
        <v>184</v>
      </c>
      <c r="D248" s="42" t="s">
        <v>1229</v>
      </c>
      <c r="E248" s="42">
        <v>18</v>
      </c>
      <c r="F248" s="42" t="s">
        <v>42</v>
      </c>
      <c r="G248" s="42" t="s">
        <v>42</v>
      </c>
      <c r="H248" s="43" t="s">
        <v>721</v>
      </c>
      <c r="I248" s="44" t="s">
        <v>43</v>
      </c>
      <c r="J248" s="42" t="s">
        <v>43</v>
      </c>
      <c r="K248" s="43" t="s">
        <v>43</v>
      </c>
      <c r="L248" s="42">
        <v>1</v>
      </c>
      <c r="M248" s="42">
        <v>1</v>
      </c>
      <c r="N248" s="42">
        <v>2</v>
      </c>
      <c r="O248" s="42">
        <v>1</v>
      </c>
      <c r="P248" s="43">
        <v>1</v>
      </c>
      <c r="Q248" s="42">
        <v>3</v>
      </c>
      <c r="R248" s="42">
        <v>4</v>
      </c>
      <c r="S248" s="42">
        <v>3</v>
      </c>
      <c r="T248" s="42">
        <v>4</v>
      </c>
      <c r="U248" s="43">
        <v>2</v>
      </c>
      <c r="V248" s="42">
        <v>4</v>
      </c>
      <c r="W248" s="42">
        <v>4</v>
      </c>
      <c r="X248" s="42">
        <v>4</v>
      </c>
      <c r="Y248" s="43">
        <v>4</v>
      </c>
      <c r="Z248" s="42" t="s">
        <v>45</v>
      </c>
      <c r="AA248" s="42">
        <v>1</v>
      </c>
      <c r="AB248" s="42" t="s">
        <v>45</v>
      </c>
      <c r="AC248" s="42" t="s">
        <v>45</v>
      </c>
      <c r="AD248" s="42" t="s">
        <v>45</v>
      </c>
      <c r="AE248" s="42" t="s">
        <v>45</v>
      </c>
      <c r="AF248" s="42" t="s">
        <v>45</v>
      </c>
      <c r="AG248" s="43" t="s">
        <v>45</v>
      </c>
      <c r="AH248" s="42">
        <v>1</v>
      </c>
      <c r="AI248" s="42">
        <v>1</v>
      </c>
      <c r="AJ248" s="43">
        <v>1</v>
      </c>
      <c r="AK248" s="45" t="s">
        <v>733</v>
      </c>
      <c r="AL248" s="45" t="s">
        <v>47</v>
      </c>
      <c r="AM248" s="46">
        <f>($L$3*(L248-$Q$1)/$Q$2+$M$3*(M248-$R$1)/$R$2+$N$3*(N248-$S$1)/$S$2+$O$3*(O248-$T$1)/$T$2+$P$3*(P248-$U$1)/$U$2)/(SUM($L$3:$P$3))</f>
        <v>-2.0012818558036707</v>
      </c>
      <c r="AN248" s="46">
        <f>($L$3*(Q248-$Q$1)/$Q$2+$M$3*(R248-$R$1)/$R$2+$N$3*(S248-$S$1)/$S$2+$O$3*(T248-$T$1)/$T$2+$P$3*(U248-$U$1)/$U$2)/(SUM($L$3:$P$3))</f>
        <v>-0.81078406067248254</v>
      </c>
      <c r="AO248" s="47">
        <f>IF(AVERAGE(AH248:AI248)&gt;9,1,0)+IF(AVERAGE(AH248:AI248)&gt;7,1,0)+IF(AH248&gt;7,1,0)+IF(AI248&gt;7,1,0)+IF(AJ248&gt;8,1,0)+IF(AJ248&gt;6,1,0)</f>
        <v>0</v>
      </c>
      <c r="AP248" s="48">
        <f>MIN(2,IF(OR(Z248="-",X248&lt;5),0,1+IF(Y248&gt;7,0.35,IF(Y248&gt;5,0.1,0))+IF(Z248&gt;7,1+IF(X248&gt;7,0.25,0),IF(Z248&gt;4,0.5+IF(X248&gt;7,0.25,0),0+IF(X248&gt;7,0.25))))+IF(AA248="-",0,IF(AA248&gt;9,0.5,IF(AA248&gt;7,0.25,0)))+IF(AB248="-",0,IF(AB248&gt;7,1.1,IF(AB248&gt;4,0.6,0)))+IF(OR(AC248="-",V248&lt;5),0,IF(AC248&gt;7,1+IF(V248&gt;7,0.25,0),IF(AC248&gt;4,0.5+IF(V248&gt;7,0.25,0),0)))+IF(AD248="-",0,IF(AD248&gt;7,1.5,IF(AD248&gt;4,1,0)))+IF(AE248="-",0,IF(AE248&gt;9,0.5,IF(AE248&gt;7,0.25,0)))+IF(AF248="-",0,IF(AF248&gt;7,1.25,IF(AF248&gt;4,0.75,0)))+IF(OR(AG248="-",W248&lt;4),0,IF(AG248&gt;7,1+IF(W248&gt;7,0.15,0),IF(AG248&gt;4,0.5+IF(W248&gt;7,0.15,0),0))))</f>
        <v>0</v>
      </c>
      <c r="AQ248" s="46">
        <f>($AM$3*AM248+$AN$3*AN248+$AO$3*AO248+$AP$3*AP248)+$I$3*VLOOKUP(I248,COND!$A$2:$E$7,4,FALSE)+$J$3*VLOOKUP(J248,COND!$A$2:$C$7,2,FALSE)+$K$3*VLOOKUP(K248,COND!$A$2:$C$7,3,FALSE)+IF(AND($B$2&gt;0,$E248&lt;20),$B$2*25,0)</f>
        <v>40.070463086349847</v>
      </c>
      <c r="AR248" s="49">
        <f>STANDARDIZE(AQ248,AVERAGE($AQ$5:$AQ$537),STDEVP($AQ$5:$AQ$537))</f>
        <v>-4.8874296387292966E-2</v>
      </c>
      <c r="AS248" s="47" t="str">
        <f>IF(AND(Z248&lt;&gt;"-",Y248&gt;1),"C",IF(AB248=MAX(AB248:AD248),"2B",IF(AD248=MAX(AB248:AD248),"SS",IF(OR(AC248=MAX(AA248:AD248),AND(AC248&lt;&gt;"-",AC248&gt;4,V248&gt;5)),"3B",IF(AF248=MAX(AE248:AG248),"CF",IF(AND(AG248=MAX(AE248,AG248),AND(W248&gt;5,AG248&lt;&gt;"-")),"RF",IF(AE248&lt;&gt;"-","LF",IF(AA248&lt;&gt;"-","1B","DH"))))))))</f>
        <v>1B</v>
      </c>
      <c r="AT248" s="47"/>
      <c r="AU248" s="47"/>
      <c r="AV248" s="47"/>
      <c r="AW248" s="47" t="str">
        <f>IF(AND($Q248&gt;=6,AVERAGE($S248:$T248)&gt;=6),"Likely",IF(OR($Q248&gt;6,AND($Q248=6,AVERAGE($S248:$T248)&gt;=3),AND($Q248&gt;=5,AVERAGE($S248:$T248)&gt;=5),AVERAGE($Q248,$S248:$T248)&gt;5),"Possible","Unlikely"))</f>
        <v>Unlikely</v>
      </c>
      <c r="AX248" s="47"/>
      <c r="AY248" s="47" t="str">
        <f>INDEX(Table5[[#All],[Ovr]],MATCH(Batters[[#This Row],[PID]],Table5[[#All],[PID]],0))</f>
        <v/>
      </c>
      <c r="AZ248" s="47" t="str">
        <f>INDEX(Table5[[#All],[Rnd]],MATCH(Batters[[#This Row],[PID]],Table5[[#All],[PID]],0))</f>
        <v/>
      </c>
      <c r="BA248" s="47" t="str">
        <f>INDEX(Table5[[#All],[Pick]],MATCH(Batters[[#This Row],[PID]],Table5[[#All],[PID]],0))</f>
        <v/>
      </c>
      <c r="BB248" s="47" t="str">
        <f>INDEX(Table5[[#All],[Team]],MATCH(Batters[[#This Row],[PID]],Table5[[#All],[PID]],0))</f>
        <v/>
      </c>
    </row>
    <row r="249" spans="1:54" ht="15" customHeight="1" x14ac:dyDescent="0.25">
      <c r="A249" s="42">
        <v>6932</v>
      </c>
      <c r="B249" s="42" t="s">
        <v>72</v>
      </c>
      <c r="C249" s="42" t="s">
        <v>681</v>
      </c>
      <c r="D249" s="42" t="s">
        <v>657</v>
      </c>
      <c r="E249" s="42">
        <v>21</v>
      </c>
      <c r="F249" s="42" t="s">
        <v>42</v>
      </c>
      <c r="G249" s="42" t="s">
        <v>42</v>
      </c>
      <c r="H249" s="43" t="s">
        <v>703</v>
      </c>
      <c r="I249" s="44" t="s">
        <v>44</v>
      </c>
      <c r="J249" s="42" t="s">
        <v>44</v>
      </c>
      <c r="K249" s="43" t="s">
        <v>43</v>
      </c>
      <c r="L249" s="42">
        <v>2</v>
      </c>
      <c r="M249" s="42">
        <v>4</v>
      </c>
      <c r="N249" s="42">
        <v>3</v>
      </c>
      <c r="O249" s="42">
        <v>4</v>
      </c>
      <c r="P249" s="43">
        <v>2</v>
      </c>
      <c r="Q249" s="42">
        <v>3</v>
      </c>
      <c r="R249" s="42">
        <v>5</v>
      </c>
      <c r="S249" s="42">
        <v>4</v>
      </c>
      <c r="T249" s="42">
        <v>6</v>
      </c>
      <c r="U249" s="43">
        <v>4</v>
      </c>
      <c r="V249" s="42">
        <v>8</v>
      </c>
      <c r="W249" s="42">
        <v>6</v>
      </c>
      <c r="X249" s="42">
        <v>1</v>
      </c>
      <c r="Y249" s="43">
        <v>1</v>
      </c>
      <c r="Z249" s="42" t="s">
        <v>45</v>
      </c>
      <c r="AA249" s="42" t="s">
        <v>45</v>
      </c>
      <c r="AB249" s="42" t="s">
        <v>45</v>
      </c>
      <c r="AC249" s="42" t="s">
        <v>45</v>
      </c>
      <c r="AD249" s="42">
        <v>6</v>
      </c>
      <c r="AE249" s="42" t="s">
        <v>45</v>
      </c>
      <c r="AF249" s="42" t="s">
        <v>45</v>
      </c>
      <c r="AG249" s="43" t="s">
        <v>45</v>
      </c>
      <c r="AH249" s="42">
        <v>10</v>
      </c>
      <c r="AI249" s="42">
        <v>7</v>
      </c>
      <c r="AJ249" s="43">
        <v>5</v>
      </c>
      <c r="AK249" s="45" t="s">
        <v>704</v>
      </c>
      <c r="AL249" s="45" t="s">
        <v>47</v>
      </c>
      <c r="AM249" s="46">
        <f>($L$3*(L249-$Q$1)/$Q$2+$M$3*(M249-$R$1)/$R$2+$N$3*(N249-$S$1)/$S$2+$O$3*(O249-$T$1)/$T$2+$P$3*(P249-$U$1)/$U$2)/(SUM($L$3:$P$3))</f>
        <v>-1.1333398968751573</v>
      </c>
      <c r="AN249" s="46">
        <f>($L$3*(Q249-$Q$1)/$Q$2+$M$3*(R249-$R$1)/$R$2+$N$3*(S249-$S$1)/$S$2+$O$3*(T249-$T$1)/$T$2+$P$3*(U249-$U$1)/$U$2)/(SUM($L$3:$P$3))</f>
        <v>-0.41721090737654859</v>
      </c>
      <c r="AO249" s="47">
        <f>IF(AVERAGE(AH249:AI249)&gt;9,1,0)+IF(AVERAGE(AH249:AI249)&gt;7,1,0)+IF(AH249&gt;7,1,0)+IF(AI249&gt;7,1,0)+IF(AJ249&gt;8,1,0)+IF(AJ249&gt;6,1,0)</f>
        <v>2</v>
      </c>
      <c r="AP249" s="48">
        <f>MIN(2,IF(OR(Z249="-",X249&lt;5),0,1+IF(Y249&gt;7,0.35,IF(Y249&gt;5,0.1,0))+IF(Z249&gt;7,1+IF(X249&gt;7,0.25,0),IF(Z249&gt;4,0.5+IF(X249&gt;7,0.25,0),0+IF(X249&gt;7,0.25))))+IF(AA249="-",0,IF(AA249&gt;9,0.5,IF(AA249&gt;7,0.25,0)))+IF(AB249="-",0,IF(AB249&gt;7,1.1,IF(AB249&gt;4,0.6,0)))+IF(OR(AC249="-",V249&lt;5),0,IF(AC249&gt;7,1+IF(V249&gt;7,0.25,0),IF(AC249&gt;4,0.5+IF(V249&gt;7,0.25,0),0)))+IF(AD249="-",0,IF(AD249&gt;7,1.5,IF(AD249&gt;4,1,0)))+IF(AE249="-",0,IF(AE249&gt;9,0.5,IF(AE249&gt;7,0.25,0)))+IF(AF249="-",0,IF(AF249&gt;7,1.25,IF(AF249&gt;4,0.75,0)))+IF(OR(AG249="-",W249&lt;4),0,IF(AG249&gt;7,1+IF(W249&gt;7,0.15,0),IF(AG249&gt;4,0.5+IF(W249&gt;7,0.15,0),0))))</f>
        <v>1</v>
      </c>
      <c r="AQ249" s="46">
        <f>($AM$3*AM249+$AN$3*AN249+$AO$3*AO249+$AP$3*AP249)+$I$3*VLOOKUP(I249,COND!$A$2:$E$7,4,FALSE)+$J$3*VLOOKUP(J249,COND!$A$2:$C$7,2,FALSE)+$K$3*VLOOKUP(K249,COND!$A$2:$C$7,3,FALSE)+IF(AND($B$2&gt;0,$E249&lt;20),$B$2*25,0)</f>
        <v>40.763468455127231</v>
      </c>
      <c r="AR249" s="49">
        <f>STANDARDIZE(AQ249,AVERAGE($AQ$5:$AQ$537),STDEVP($AQ$5:$AQ$537))</f>
        <v>7.3055392325164753E-2</v>
      </c>
      <c r="AS249" s="47" t="str">
        <f>IF(AND(Z249&lt;&gt;"-",Y249&gt;1),"C",IF(AB249=MAX(AB249:AD249),"2B",IF(AD249=MAX(AB249:AD249),"SS",IF(OR(AC249=MAX(AA249:AD249),AND(AC249&lt;&gt;"-",AC249&gt;4,V249&gt;5)),"3B",IF(AF249=MAX(AE249:AG249),"CF",IF(AND(AG249=MAX(AE249,AG249),AND(W249&gt;5,AG249&lt;&gt;"-")),"RF",IF(AE249&lt;&gt;"-","LF",IF(AA249&lt;&gt;"-","1B","DH"))))))))</f>
        <v>SS</v>
      </c>
      <c r="AT249" s="47"/>
      <c r="AU249" s="47"/>
      <c r="AV249" s="47"/>
      <c r="AW249" s="47" t="str">
        <f>IF(AND($Q249&gt;=6,AVERAGE($S249:$T249)&gt;=6),"Likely",IF(OR($Q249&gt;6,AND($Q249=6,AVERAGE($S249:$T249)&gt;=3),AND($Q249&gt;=5,AVERAGE($S249:$T249)&gt;=5),AVERAGE($Q249,$S249:$T249)&gt;5),"Possible","Unlikely"))</f>
        <v>Unlikely</v>
      </c>
      <c r="AX249" s="47"/>
      <c r="AY249" s="47" t="str">
        <f>INDEX(Table5[[#All],[Ovr]],MATCH(Batters[[#This Row],[PID]],Table5[[#All],[PID]],0))</f>
        <v/>
      </c>
      <c r="AZ249" s="47" t="str">
        <f>INDEX(Table5[[#All],[Rnd]],MATCH(Batters[[#This Row],[PID]],Table5[[#All],[PID]],0))</f>
        <v/>
      </c>
      <c r="BA249" s="47" t="str">
        <f>INDEX(Table5[[#All],[Pick]],MATCH(Batters[[#This Row],[PID]],Table5[[#All],[PID]],0))</f>
        <v/>
      </c>
      <c r="BB249" s="47" t="str">
        <f>INDEX(Table5[[#All],[Team]],MATCH(Batters[[#This Row],[PID]],Table5[[#All],[PID]],0))</f>
        <v/>
      </c>
    </row>
    <row r="250" spans="1:54" ht="15" customHeight="1" x14ac:dyDescent="0.25">
      <c r="A250" s="42">
        <v>6061</v>
      </c>
      <c r="B250" s="42" t="s">
        <v>66</v>
      </c>
      <c r="C250" s="42" t="s">
        <v>391</v>
      </c>
      <c r="D250" s="42" t="s">
        <v>1169</v>
      </c>
      <c r="E250" s="42">
        <v>18</v>
      </c>
      <c r="F250" s="42" t="s">
        <v>42</v>
      </c>
      <c r="G250" s="42" t="s">
        <v>53</v>
      </c>
      <c r="H250" s="43" t="s">
        <v>711</v>
      </c>
      <c r="I250" s="44" t="s">
        <v>47</v>
      </c>
      <c r="J250" s="42" t="s">
        <v>43</v>
      </c>
      <c r="K250" s="43" t="s">
        <v>43</v>
      </c>
      <c r="L250" s="42">
        <v>1</v>
      </c>
      <c r="M250" s="42">
        <v>1</v>
      </c>
      <c r="N250" s="42">
        <v>2</v>
      </c>
      <c r="O250" s="42">
        <v>1</v>
      </c>
      <c r="P250" s="43">
        <v>1</v>
      </c>
      <c r="Q250" s="42">
        <v>3</v>
      </c>
      <c r="R250" s="42">
        <v>3</v>
      </c>
      <c r="S250" s="42">
        <v>2</v>
      </c>
      <c r="T250" s="42">
        <v>3</v>
      </c>
      <c r="U250" s="43">
        <v>4</v>
      </c>
      <c r="V250" s="42">
        <v>6</v>
      </c>
      <c r="W250" s="42">
        <v>9</v>
      </c>
      <c r="X250" s="42">
        <v>1</v>
      </c>
      <c r="Y250" s="43">
        <v>1</v>
      </c>
      <c r="Z250" s="42" t="s">
        <v>45</v>
      </c>
      <c r="AA250" s="42" t="s">
        <v>45</v>
      </c>
      <c r="AB250" s="42" t="s">
        <v>45</v>
      </c>
      <c r="AC250" s="42" t="s">
        <v>45</v>
      </c>
      <c r="AD250" s="42" t="s">
        <v>45</v>
      </c>
      <c r="AE250" s="42" t="s">
        <v>45</v>
      </c>
      <c r="AF250" s="42" t="s">
        <v>45</v>
      </c>
      <c r="AG250" s="43">
        <v>5</v>
      </c>
      <c r="AH250" s="42">
        <v>9</v>
      </c>
      <c r="AI250" s="42">
        <v>9</v>
      </c>
      <c r="AJ250" s="43">
        <v>10</v>
      </c>
      <c r="AK250" s="45" t="s">
        <v>718</v>
      </c>
      <c r="AL250" s="45" t="s">
        <v>47</v>
      </c>
      <c r="AM250" s="46">
        <f>($L$3*(L250-$Q$1)/$Q$2+$M$3*(M250-$R$1)/$R$2+$N$3*(N250-$S$1)/$S$2+$O$3*(O250-$T$1)/$T$2+$P$3*(P250-$U$1)/$U$2)/(SUM($L$3:$P$3))</f>
        <v>-2.0012818558036707</v>
      </c>
      <c r="AN250" s="46">
        <f>($L$3*(Q250-$Q$1)/$Q$2+$M$3*(R250-$R$1)/$R$2+$N$3*(S250-$S$1)/$S$2+$O$3*(T250-$T$1)/$T$2+$P$3*(U250-$U$1)/$U$2)/(SUM($L$3:$P$3))</f>
        <v>-0.95458230469050154</v>
      </c>
      <c r="AO250" s="47">
        <f>IF(AVERAGE(AH250:AI250)&gt;9,1,0)+IF(AVERAGE(AH250:AI250)&gt;7,1,0)+IF(AH250&gt;7,1,0)+IF(AI250&gt;7,1,0)+IF(AJ250&gt;8,1,0)+IF(AJ250&gt;6,1,0)</f>
        <v>5</v>
      </c>
      <c r="AP250" s="48">
        <f>MIN(2,IF(OR(Z250="-",X250&lt;5),0,1+IF(Y250&gt;7,0.35,IF(Y250&gt;5,0.1,0))+IF(Z250&gt;7,1+IF(X250&gt;7,0.25,0),IF(Z250&gt;4,0.5+IF(X250&gt;7,0.25,0),0+IF(X250&gt;7,0.25))))+IF(AA250="-",0,IF(AA250&gt;9,0.5,IF(AA250&gt;7,0.25,0)))+IF(AB250="-",0,IF(AB250&gt;7,1.1,IF(AB250&gt;4,0.6,0)))+IF(OR(AC250="-",V250&lt;5),0,IF(AC250&gt;7,1+IF(V250&gt;7,0.25,0),IF(AC250&gt;4,0.5+IF(V250&gt;7,0.25,0),0)))+IF(AD250="-",0,IF(AD250&gt;7,1.5,IF(AD250&gt;4,1,0)))+IF(AE250="-",0,IF(AE250&gt;9,0.5,IF(AE250&gt;7,0.25,0)))+IF(AF250="-",0,IF(AF250&gt;7,1.25,IF(AF250&gt;4,0.75,0)))+IF(OR(AG250="-",W250&lt;4),0,IF(AG250&gt;7,1+IF(W250&gt;7,0.15,0),IF(AG250&gt;4,0.5+IF(W250&gt;7,0.15,0),0))))</f>
        <v>0.65</v>
      </c>
      <c r="AQ250" s="46">
        <f>($AM$3*AM250+$AN$3*AN250+$AO$3*AO250+$AP$3*AP250)+$I$3*VLOOKUP(I250,COND!$A$2:$E$7,4,FALSE)+$J$3*VLOOKUP(J250,COND!$A$2:$C$7,2,FALSE)+$K$3*VLOOKUP(K250,COND!$A$2:$C$7,3,FALSE)+IF(AND($B$2&gt;0,$E250&lt;20),$B$2*25,0)</f>
        <v>40.053217491466945</v>
      </c>
      <c r="AR250" s="49">
        <f>STANDARDIZE(AQ250,AVERAGE($AQ$5:$AQ$537),STDEVP($AQ$5:$AQ$537))</f>
        <v>-5.1908544187483897E-2</v>
      </c>
      <c r="AS250" s="47" t="str">
        <f>IF(AND(Z250&lt;&gt;"-",Y250&gt;1),"C",IF(AB250=MAX(AB250:AD250),"2B",IF(AD250=MAX(AB250:AD250),"SS",IF(OR(AC250=MAX(AA250:AD250),AND(AC250&lt;&gt;"-",AC250&gt;4,V250&gt;5)),"3B",IF(AF250=MAX(AE250:AG250),"CF",IF(AND(AG250=MAX(AE250,AG250),AND(W250&gt;5,AG250&lt;&gt;"-")),"RF",IF(AE250&lt;&gt;"-","LF",IF(AA250&lt;&gt;"-","1B","DH"))))))))</f>
        <v>RF</v>
      </c>
      <c r="AT250" s="47"/>
      <c r="AU250" s="47"/>
      <c r="AV250" s="47"/>
      <c r="AW250" s="47" t="str">
        <f>IF(AND($Q250&gt;=6,AVERAGE($S250:$T250)&gt;=6),"Likely",IF(OR($Q250&gt;6,AND($Q250=6,AVERAGE($S250:$T250)&gt;=3),AND($Q250&gt;=5,AVERAGE($S250:$T250)&gt;=5),AVERAGE($Q250,$S250:$T250)&gt;5),"Possible","Unlikely"))</f>
        <v>Unlikely</v>
      </c>
      <c r="AX250" s="47"/>
      <c r="AY250" s="47" t="str">
        <f>INDEX(Table5[[#All],[Ovr]],MATCH(Batters[[#This Row],[PID]],Table5[[#All],[PID]],0))</f>
        <v/>
      </c>
      <c r="AZ250" s="47" t="str">
        <f>INDEX(Table5[[#All],[Rnd]],MATCH(Batters[[#This Row],[PID]],Table5[[#All],[PID]],0))</f>
        <v/>
      </c>
      <c r="BA250" s="47" t="str">
        <f>INDEX(Table5[[#All],[Pick]],MATCH(Batters[[#This Row],[PID]],Table5[[#All],[PID]],0))</f>
        <v/>
      </c>
      <c r="BB250" s="47" t="str">
        <f>INDEX(Table5[[#All],[Team]],MATCH(Batters[[#This Row],[PID]],Table5[[#All],[PID]],0))</f>
        <v/>
      </c>
    </row>
    <row r="251" spans="1:54" ht="15" customHeight="1" x14ac:dyDescent="0.25">
      <c r="A251" s="42">
        <v>8638</v>
      </c>
      <c r="B251" s="42" t="s">
        <v>71</v>
      </c>
      <c r="C251" s="42" t="s">
        <v>1167</v>
      </c>
      <c r="D251" s="42" t="s">
        <v>1168</v>
      </c>
      <c r="E251" s="42">
        <v>21</v>
      </c>
      <c r="F251" s="42" t="s">
        <v>42</v>
      </c>
      <c r="G251" s="42" t="s">
        <v>42</v>
      </c>
      <c r="H251" s="43" t="s">
        <v>709</v>
      </c>
      <c r="I251" s="44" t="s">
        <v>43</v>
      </c>
      <c r="J251" s="42" t="s">
        <v>47</v>
      </c>
      <c r="K251" s="43" t="s">
        <v>47</v>
      </c>
      <c r="L251" s="42">
        <v>2</v>
      </c>
      <c r="M251" s="42">
        <v>2</v>
      </c>
      <c r="N251" s="42">
        <v>2</v>
      </c>
      <c r="O251" s="42">
        <v>2</v>
      </c>
      <c r="P251" s="43">
        <v>2</v>
      </c>
      <c r="Q251" s="42">
        <v>3</v>
      </c>
      <c r="R251" s="42">
        <v>3</v>
      </c>
      <c r="S251" s="42">
        <v>4</v>
      </c>
      <c r="T251" s="42">
        <v>4</v>
      </c>
      <c r="U251" s="43">
        <v>3</v>
      </c>
      <c r="V251" s="42">
        <v>5</v>
      </c>
      <c r="W251" s="42">
        <v>8</v>
      </c>
      <c r="X251" s="42">
        <v>1</v>
      </c>
      <c r="Y251" s="43">
        <v>1</v>
      </c>
      <c r="Z251" s="42" t="s">
        <v>45</v>
      </c>
      <c r="AA251" s="42" t="s">
        <v>45</v>
      </c>
      <c r="AB251" s="42">
        <v>6</v>
      </c>
      <c r="AC251" s="42" t="s">
        <v>45</v>
      </c>
      <c r="AD251" s="42">
        <v>3</v>
      </c>
      <c r="AE251" s="42" t="s">
        <v>45</v>
      </c>
      <c r="AF251" s="42">
        <v>5</v>
      </c>
      <c r="AG251" s="43" t="s">
        <v>45</v>
      </c>
      <c r="AH251" s="42">
        <v>7</v>
      </c>
      <c r="AI251" s="42">
        <v>9</v>
      </c>
      <c r="AJ251" s="43">
        <v>10</v>
      </c>
      <c r="AK251" s="45" t="s">
        <v>45</v>
      </c>
      <c r="AL251" s="45" t="s">
        <v>705</v>
      </c>
      <c r="AM251" s="46">
        <f>($L$3*(L251-$Q$1)/$Q$2+$M$3*(M251-$R$1)/$R$2+$N$3*(N251-$S$1)/$S$2+$O$3*(O251-$T$1)/$T$2+$P$3*(P251-$U$1)/$U$2)/(SUM($L$3:$P$3))</f>
        <v>-1.4979402501556278</v>
      </c>
      <c r="AN251" s="46">
        <f>($L$3*(Q251-$Q$1)/$Q$2+$M$3*(R251-$R$1)/$R$2+$N$3*(S251-$S$1)/$S$2+$O$3*(T251-$T$1)/$T$2+$P$3*(U251-$U$1)/$U$2)/(SUM($L$3:$P$3))</f>
        <v>-0.73876610645020102</v>
      </c>
      <c r="AO251" s="47">
        <f>IF(AVERAGE(AH251:AI251)&gt;9,1,0)+IF(AVERAGE(AH251:AI251)&gt;7,1,0)+IF(AH251&gt;7,1,0)+IF(AI251&gt;7,1,0)+IF(AJ251&gt;8,1,0)+IF(AJ251&gt;6,1,0)</f>
        <v>4</v>
      </c>
      <c r="AP251" s="48">
        <f>MIN(2,IF(OR(Z251="-",X251&lt;5),0,1+IF(Y251&gt;7,0.35,IF(Y251&gt;5,0.1,0))+IF(Z251&gt;7,1+IF(X251&gt;7,0.25,0),IF(Z251&gt;4,0.5+IF(X251&gt;7,0.25,0),0+IF(X251&gt;7,0.25))))+IF(AA251="-",0,IF(AA251&gt;9,0.5,IF(AA251&gt;7,0.25,0)))+IF(AB251="-",0,IF(AB251&gt;7,1.1,IF(AB251&gt;4,0.6,0)))+IF(OR(AC251="-",V251&lt;5),0,IF(AC251&gt;7,1+IF(V251&gt;7,0.25,0),IF(AC251&gt;4,0.5+IF(V251&gt;7,0.25,0),0)))+IF(AD251="-",0,IF(AD251&gt;7,1.5,IF(AD251&gt;4,1,0)))+IF(AE251="-",0,IF(AE251&gt;9,0.5,IF(AE251&gt;7,0.25,0)))+IF(AF251="-",0,IF(AF251&gt;7,1.25,IF(AF251&gt;4,0.75,0)))+IF(OR(AG251="-",W251&lt;4),0,IF(AG251&gt;7,1+IF(W251&gt;7,0.15,0),IF(AG251&gt;4,0.5+IF(W251&gt;7,0.15,0),0))))</f>
        <v>1.35</v>
      </c>
      <c r="AQ251" s="46">
        <f>($AM$3*AM251+$AN$3*AN251+$AO$3*AO251+$AP$3*AP251)+$I$3*VLOOKUP(I251,COND!$A$2:$E$7,4,FALSE)+$J$3*VLOOKUP(J251,COND!$A$2:$C$7,2,FALSE)+$K$3*VLOOKUP(K251,COND!$A$2:$C$7,3,FALSE)+IF(AND($B$2&gt;0,$E251&lt;20),$B$2*25,0)</f>
        <v>38.601679364248696</v>
      </c>
      <c r="AR251" s="49">
        <f>STANDARDIZE(AQ251,AVERAGE($AQ$5:$AQ$537),STDEVP($AQ$5:$AQ$537))</f>
        <v>-0.30729703030877731</v>
      </c>
      <c r="AS251" s="47" t="str">
        <f>IF(AND(Z251&lt;&gt;"-",Y251&gt;1),"C",IF(AB251=MAX(AB251:AD251),"2B",IF(AD251=MAX(AB251:AD251),"SS",IF(OR(AC251=MAX(AA251:AD251),AND(AC251&lt;&gt;"-",AC251&gt;4,V251&gt;5)),"3B",IF(AF251=MAX(AE251:AG251),"CF",IF(AND(AG251=MAX(AE251,AG251),AND(W251&gt;5,AG251&lt;&gt;"-")),"RF",IF(AE251&lt;&gt;"-","LF",IF(AA251&lt;&gt;"-","1B","DH"))))))))</f>
        <v>2B</v>
      </c>
      <c r="AT251" s="47"/>
      <c r="AU251" s="47"/>
      <c r="AV251" s="47"/>
      <c r="AW251" s="47" t="str">
        <f>IF(AND($Q251&gt;=6,AVERAGE($S251:$T251)&gt;=6),"Likely",IF(OR($Q251&gt;6,AND($Q251=6,AVERAGE($S251:$T251)&gt;=3),AND($Q251&gt;=5,AVERAGE($S251:$T251)&gt;=5),AVERAGE($Q251,$S251:$T251)&gt;5),"Possible","Unlikely"))</f>
        <v>Unlikely</v>
      </c>
      <c r="AX251" s="47"/>
      <c r="AY251" s="47" t="str">
        <f>INDEX(Table5[[#All],[Ovr]],MATCH(Batters[[#This Row],[PID]],Table5[[#All],[PID]],0))</f>
        <v/>
      </c>
      <c r="AZ251" s="47" t="str">
        <f>INDEX(Table5[[#All],[Rnd]],MATCH(Batters[[#This Row],[PID]],Table5[[#All],[PID]],0))</f>
        <v/>
      </c>
      <c r="BA251" s="47" t="str">
        <f>INDEX(Table5[[#All],[Pick]],MATCH(Batters[[#This Row],[PID]],Table5[[#All],[PID]],0))</f>
        <v/>
      </c>
      <c r="BB251" s="47" t="str">
        <f>INDEX(Table5[[#All],[Team]],MATCH(Batters[[#This Row],[PID]],Table5[[#All],[PID]],0))</f>
        <v/>
      </c>
    </row>
    <row r="252" spans="1:54" ht="15" customHeight="1" x14ac:dyDescent="0.25">
      <c r="A252" s="42">
        <v>9705</v>
      </c>
      <c r="B252" s="42" t="s">
        <v>72</v>
      </c>
      <c r="C252" s="42" t="s">
        <v>168</v>
      </c>
      <c r="D252" s="42" t="s">
        <v>439</v>
      </c>
      <c r="E252" s="42">
        <v>21</v>
      </c>
      <c r="F252" s="42" t="s">
        <v>42</v>
      </c>
      <c r="G252" s="42" t="s">
        <v>42</v>
      </c>
      <c r="H252" s="43" t="s">
        <v>709</v>
      </c>
      <c r="I252" s="44" t="s">
        <v>44</v>
      </c>
      <c r="J252" s="42" t="s">
        <v>43</v>
      </c>
      <c r="K252" s="43" t="s">
        <v>43</v>
      </c>
      <c r="L252" s="42">
        <v>3</v>
      </c>
      <c r="M252" s="42">
        <v>2</v>
      </c>
      <c r="N252" s="42">
        <v>2</v>
      </c>
      <c r="O252" s="42">
        <v>3</v>
      </c>
      <c r="P252" s="43">
        <v>2</v>
      </c>
      <c r="Q252" s="42">
        <v>4</v>
      </c>
      <c r="R252" s="42">
        <v>4</v>
      </c>
      <c r="S252" s="42">
        <v>2</v>
      </c>
      <c r="T252" s="42">
        <v>5</v>
      </c>
      <c r="U252" s="43">
        <v>4</v>
      </c>
      <c r="V252" s="42">
        <v>4</v>
      </c>
      <c r="W252" s="42">
        <v>4</v>
      </c>
      <c r="X252" s="42">
        <v>1</v>
      </c>
      <c r="Y252" s="43">
        <v>1</v>
      </c>
      <c r="Z252" s="42" t="s">
        <v>45</v>
      </c>
      <c r="AA252" s="42" t="s">
        <v>45</v>
      </c>
      <c r="AB252" s="42" t="s">
        <v>45</v>
      </c>
      <c r="AC252" s="42" t="s">
        <v>45</v>
      </c>
      <c r="AD252" s="42">
        <v>4</v>
      </c>
      <c r="AE252" s="42" t="s">
        <v>45</v>
      </c>
      <c r="AF252" s="42" t="s">
        <v>45</v>
      </c>
      <c r="AG252" s="43" t="s">
        <v>45</v>
      </c>
      <c r="AH252" s="42">
        <v>4</v>
      </c>
      <c r="AI252" s="42">
        <v>4</v>
      </c>
      <c r="AJ252" s="43">
        <v>4</v>
      </c>
      <c r="AK252" s="45" t="s">
        <v>45</v>
      </c>
      <c r="AL252" s="45" t="s">
        <v>47</v>
      </c>
      <c r="AM252" s="46">
        <f>($L$3*(L252-$Q$1)/$Q$2+$M$3*(M252-$R$1)/$R$2+$N$3*(N252-$S$1)/$S$2+$O$3*(O252-$T$1)/$T$2+$P$3*(P252-$U$1)/$U$2)/(SUM($L$3:$P$3))</f>
        <v>-1.0856748639433722</v>
      </c>
      <c r="AN252" s="46">
        <f>($L$3*(Q252-$Q$1)/$Q$2+$M$3*(R252-$R$1)/$R$2+$N$3*(S252-$S$1)/$S$2+$O$3*(T252-$T$1)/$T$2+$P$3*(U252-$U$1)/$U$2)/(SUM($L$3:$P$3))</f>
        <v>-0.40154748884996139</v>
      </c>
      <c r="AO252" s="47">
        <f>IF(AVERAGE(AH252:AI252)&gt;9,1,0)+IF(AVERAGE(AH252:AI252)&gt;7,1,0)+IF(AH252&gt;7,1,0)+IF(AI252&gt;7,1,0)+IF(AJ252&gt;8,1,0)+IF(AJ252&gt;6,1,0)</f>
        <v>0</v>
      </c>
      <c r="AP252" s="48">
        <f>MIN(2,IF(OR(Z252="-",X252&lt;5),0,1+IF(Y252&gt;7,0.35,IF(Y252&gt;5,0.1,0))+IF(Z252&gt;7,1+IF(X252&gt;7,0.25,0),IF(Z252&gt;4,0.5+IF(X252&gt;7,0.25,0),0+IF(X252&gt;7,0.25))))+IF(AA252="-",0,IF(AA252&gt;9,0.5,IF(AA252&gt;7,0.25,0)))+IF(AB252="-",0,IF(AB252&gt;7,1.1,IF(AB252&gt;4,0.6,0)))+IF(OR(AC252="-",V252&lt;5),0,IF(AC252&gt;7,1+IF(V252&gt;7,0.25,0),IF(AC252&gt;4,0.5+IF(V252&gt;7,0.25,0),0)))+IF(AD252="-",0,IF(AD252&gt;7,1.5,IF(AD252&gt;4,1,0)))+IF(AE252="-",0,IF(AE252&gt;9,0.5,IF(AE252&gt;7,0.25,0)))+IF(AF252="-",0,IF(AF252&gt;7,1.25,IF(AF252&gt;4,0.75,0)))+IF(OR(AG252="-",W252&lt;4),0,IF(AG252&gt;7,1+IF(W252&gt;7,0.15,0),IF(AG252&gt;4,0.5+IF(W252&gt;7,0.15,0),0))))</f>
        <v>0</v>
      </c>
      <c r="AQ252" s="46">
        <f>($AM$3*AM252+$AN$3*AN252+$AO$3*AO252+$AP$3*AP252)+$I$3*VLOOKUP(I252,COND!$A$2:$E$7,4,FALSE)+$J$3*VLOOKUP(J252,COND!$A$2:$C$7,2,FALSE)+$K$3*VLOOKUP(K252,COND!$A$2:$C$7,3,FALSE)+IF(AND($B$2&gt;0,$E252&lt;20),$B$2*25,0)</f>
        <v>39.922862647406127</v>
      </c>
      <c r="AR252" s="49">
        <f>STANDARDIZE(AQ252,AVERAGE($AQ$5:$AQ$537),STDEVP($AQ$5:$AQ$537))</f>
        <v>-7.4843612622144506E-2</v>
      </c>
      <c r="AS252" s="47" t="str">
        <f>IF(AND(Z252&lt;&gt;"-",Y252&gt;1),"C",IF(AB252=MAX(AB252:AD252),"2B",IF(AD252=MAX(AB252:AD252),"SS",IF(OR(AC252=MAX(AA252:AD252),AND(AC252&lt;&gt;"-",AC252&gt;4,V252&gt;5)),"3B",IF(AF252=MAX(AE252:AG252),"CF",IF(AND(AG252=MAX(AE252,AG252),AND(W252&gt;5,AG252&lt;&gt;"-")),"RF",IF(AE252&lt;&gt;"-","LF",IF(AA252&lt;&gt;"-","1B","DH"))))))))</f>
        <v>SS</v>
      </c>
      <c r="AT252" s="47"/>
      <c r="AU252" s="47"/>
      <c r="AV252" s="47"/>
      <c r="AW252" s="47" t="str">
        <f>IF(AND($Q252&gt;=6,AVERAGE($S252:$T252)&gt;=6),"Likely",IF(OR($Q252&gt;6,AND($Q252=6,AVERAGE($S252:$T252)&gt;=3),AND($Q252&gt;=5,AVERAGE($S252:$T252)&gt;=5),AVERAGE($Q252,$S252:$T252)&gt;5),"Possible","Unlikely"))</f>
        <v>Unlikely</v>
      </c>
      <c r="AX252" s="47"/>
      <c r="AY252" s="47" t="str">
        <f>INDEX(Table5[[#All],[Ovr]],MATCH(Batters[[#This Row],[PID]],Table5[[#All],[PID]],0))</f>
        <v/>
      </c>
      <c r="AZ252" s="47" t="str">
        <f>INDEX(Table5[[#All],[Rnd]],MATCH(Batters[[#This Row],[PID]],Table5[[#All],[PID]],0))</f>
        <v/>
      </c>
      <c r="BA252" s="47" t="str">
        <f>INDEX(Table5[[#All],[Pick]],MATCH(Batters[[#This Row],[PID]],Table5[[#All],[PID]],0))</f>
        <v/>
      </c>
      <c r="BB252" s="47" t="str">
        <f>INDEX(Table5[[#All],[Team]],MATCH(Batters[[#This Row],[PID]],Table5[[#All],[PID]],0))</f>
        <v/>
      </c>
    </row>
    <row r="253" spans="1:54" ht="15" customHeight="1" x14ac:dyDescent="0.25">
      <c r="A253" s="42">
        <v>17906</v>
      </c>
      <c r="B253" s="42" t="s">
        <v>69</v>
      </c>
      <c r="C253" s="42" t="s">
        <v>1304</v>
      </c>
      <c r="D253" s="42" t="s">
        <v>1305</v>
      </c>
      <c r="E253" s="42">
        <v>18</v>
      </c>
      <c r="F253" s="42" t="s">
        <v>42</v>
      </c>
      <c r="G253" s="42" t="s">
        <v>42</v>
      </c>
      <c r="H253" s="43" t="s">
        <v>709</v>
      </c>
      <c r="I253" s="44" t="s">
        <v>44</v>
      </c>
      <c r="J253" s="42" t="s">
        <v>43</v>
      </c>
      <c r="K253" s="43" t="s">
        <v>43</v>
      </c>
      <c r="L253" s="42">
        <v>1</v>
      </c>
      <c r="M253" s="42">
        <v>2</v>
      </c>
      <c r="N253" s="42">
        <v>2</v>
      </c>
      <c r="O253" s="42">
        <v>1</v>
      </c>
      <c r="P253" s="43">
        <v>2</v>
      </c>
      <c r="Q253" s="42">
        <v>3</v>
      </c>
      <c r="R253" s="42">
        <v>4</v>
      </c>
      <c r="S253" s="42">
        <v>2</v>
      </c>
      <c r="T253" s="42">
        <v>4</v>
      </c>
      <c r="U253" s="43">
        <v>4</v>
      </c>
      <c r="V253" s="42">
        <v>7</v>
      </c>
      <c r="W253" s="42">
        <v>6</v>
      </c>
      <c r="X253" s="42">
        <v>1</v>
      </c>
      <c r="Y253" s="43">
        <v>1</v>
      </c>
      <c r="Z253" s="42" t="s">
        <v>45</v>
      </c>
      <c r="AA253" s="42" t="s">
        <v>45</v>
      </c>
      <c r="AB253" s="42" t="s">
        <v>45</v>
      </c>
      <c r="AC253" s="42">
        <v>3</v>
      </c>
      <c r="AD253" s="42" t="s">
        <v>45</v>
      </c>
      <c r="AE253" s="42">
        <v>1</v>
      </c>
      <c r="AF253" s="42" t="s">
        <v>45</v>
      </c>
      <c r="AG253" s="43" t="s">
        <v>45</v>
      </c>
      <c r="AH253" s="42">
        <v>7</v>
      </c>
      <c r="AI253" s="42">
        <v>5</v>
      </c>
      <c r="AJ253" s="43">
        <v>4</v>
      </c>
      <c r="AK253" s="45" t="s">
        <v>615</v>
      </c>
      <c r="AL253" s="45" t="s">
        <v>705</v>
      </c>
      <c r="AM253" s="46">
        <f>($L$3*(L253-$Q$1)/$Q$2+$M$3*(M253-$R$1)/$R$2+$N$3*(N253-$S$1)/$S$2+$O$3*(O253-$T$1)/$T$2+$P$3*(P253-$U$1)/$U$2)/(SUM($L$3:$P$3))</f>
        <v>-1.9102056363678834</v>
      </c>
      <c r="AN253" s="46">
        <f>($L$3*(Q253-$Q$1)/$Q$2+$M$3*(R253-$R$1)/$R$2+$N$3*(S253-$S$1)/$S$2+$O$3*(T253-$T$1)/$T$2+$P$3*(U253-$U$1)/$U$2)/(SUM($L$3:$P$3))</f>
        <v>-0.813812875062217</v>
      </c>
      <c r="AO253" s="47">
        <f>IF(AVERAGE(AH253:AI253)&gt;9,1,0)+IF(AVERAGE(AH253:AI253)&gt;7,1,0)+IF(AH253&gt;7,1,0)+IF(AI253&gt;7,1,0)+IF(AJ253&gt;8,1,0)+IF(AJ253&gt;6,1,0)</f>
        <v>0</v>
      </c>
      <c r="AP253" s="48">
        <f>MIN(2,IF(OR(Z253="-",X253&lt;5),0,1+IF(Y253&gt;7,0.35,IF(Y253&gt;5,0.1,0))+IF(Z253&gt;7,1+IF(X253&gt;7,0.25,0),IF(Z253&gt;4,0.5+IF(X253&gt;7,0.25,0),0+IF(X253&gt;7,0.25))))+IF(AA253="-",0,IF(AA253&gt;9,0.5,IF(AA253&gt;7,0.25,0)))+IF(AB253="-",0,IF(AB253&gt;7,1.1,IF(AB253&gt;4,0.6,0)))+IF(OR(AC253="-",V253&lt;5),0,IF(AC253&gt;7,1+IF(V253&gt;7,0.25,0),IF(AC253&gt;4,0.5+IF(V253&gt;7,0.25,0),0)))+IF(AD253="-",0,IF(AD253&gt;7,1.5,IF(AD253&gt;4,1,0)))+IF(AE253="-",0,IF(AE253&gt;9,0.5,IF(AE253&gt;7,0.25,0)))+IF(AF253="-",0,IF(AF253&gt;7,1.25,IF(AF253&gt;4,0.75,0)))+IF(OR(AG253="-",W253&lt;4),0,IF(AG253&gt;7,1+IF(W253&gt;7,0.15,0),IF(AG253&gt;4,0.5+IF(W253&gt;7,0.15,0),0))))</f>
        <v>0</v>
      </c>
      <c r="AQ253" s="46">
        <f>($AM$3*AM253+$AN$3*AN253+$AO$3*AO253+$AP$3*AP253)+$I$3*VLOOKUP(I253,COND!$A$2:$E$7,4,FALSE)+$J$3*VLOOKUP(J253,COND!$A$2:$C$7,2,FALSE)+$K$3*VLOOKUP(K253,COND!$A$2:$C$7,3,FALSE)+IF(AND($B$2&gt;0,$E253&lt;20),$B$2*25,0)</f>
        <v>39.893224935616608</v>
      </c>
      <c r="AR253" s="49">
        <f>STANDARDIZE(AQ253,AVERAGE($AQ$5:$AQ$537),STDEVP($AQ$5:$AQ$537))</f>
        <v>-8.0058171030286396E-2</v>
      </c>
      <c r="AS253" s="47" t="str">
        <f>IF(AND(Z253&lt;&gt;"-",Y253&gt;1),"C",IF(AB253=MAX(AB253:AD253),"2B",IF(AD253=MAX(AB253:AD253),"SS",IF(OR(AC253=MAX(AA253:AD253),AND(AC253&lt;&gt;"-",AC253&gt;4,V253&gt;5)),"3B",IF(AF253=MAX(AE253:AG253),"CF",IF(AND(AG253=MAX(AE253,AG253),AND(W253&gt;5,AG253&lt;&gt;"-")),"RF",IF(AE253&lt;&gt;"-","LF",IF(AA253&lt;&gt;"-","1B","DH"))))))))</f>
        <v>3B</v>
      </c>
      <c r="AT253" s="47"/>
      <c r="AU253" s="47"/>
      <c r="AV253" s="47"/>
      <c r="AW253" s="47" t="str">
        <f>IF(AND($Q253&gt;=6,AVERAGE($S253:$T253)&gt;=6),"Likely",IF(OR($Q253&gt;6,AND($Q253=6,AVERAGE($S253:$T253)&gt;=3),AND($Q253&gt;=5,AVERAGE($S253:$T253)&gt;=5),AVERAGE($Q253,$S253:$T253)&gt;5),"Possible","Unlikely"))</f>
        <v>Unlikely</v>
      </c>
      <c r="AX253" s="47"/>
      <c r="AY253" s="47" t="str">
        <f>INDEX(Table5[[#All],[Ovr]],MATCH(Batters[[#This Row],[PID]],Table5[[#All],[PID]],0))</f>
        <v/>
      </c>
      <c r="AZ253" s="47" t="str">
        <f>INDEX(Table5[[#All],[Rnd]],MATCH(Batters[[#This Row],[PID]],Table5[[#All],[PID]],0))</f>
        <v/>
      </c>
      <c r="BA253" s="47" t="str">
        <f>INDEX(Table5[[#All],[Pick]],MATCH(Batters[[#This Row],[PID]],Table5[[#All],[PID]],0))</f>
        <v/>
      </c>
      <c r="BB253" s="47" t="str">
        <f>INDEX(Table5[[#All],[Team]],MATCH(Batters[[#This Row],[PID]],Table5[[#All],[PID]],0))</f>
        <v/>
      </c>
    </row>
    <row r="254" spans="1:54" ht="15" customHeight="1" x14ac:dyDescent="0.25">
      <c r="A254" s="42">
        <v>5984</v>
      </c>
      <c r="B254" s="42" t="s">
        <v>87</v>
      </c>
      <c r="C254" s="42" t="s">
        <v>374</v>
      </c>
      <c r="D254" s="42" t="s">
        <v>436</v>
      </c>
      <c r="E254" s="42">
        <v>18</v>
      </c>
      <c r="F254" s="42" t="s">
        <v>53</v>
      </c>
      <c r="G254" s="42" t="s">
        <v>53</v>
      </c>
      <c r="H254" s="43" t="s">
        <v>721</v>
      </c>
      <c r="I254" s="44" t="s">
        <v>43</v>
      </c>
      <c r="J254" s="42" t="s">
        <v>44</v>
      </c>
      <c r="K254" s="43" t="s">
        <v>43</v>
      </c>
      <c r="L254" s="42">
        <v>1</v>
      </c>
      <c r="M254" s="42">
        <v>1</v>
      </c>
      <c r="N254" s="42">
        <v>2</v>
      </c>
      <c r="O254" s="42">
        <v>1</v>
      </c>
      <c r="P254" s="43">
        <v>2</v>
      </c>
      <c r="Q254" s="42">
        <v>3</v>
      </c>
      <c r="R254" s="42">
        <v>2</v>
      </c>
      <c r="S254" s="42">
        <v>3</v>
      </c>
      <c r="T254" s="42">
        <v>5</v>
      </c>
      <c r="U254" s="43">
        <v>4</v>
      </c>
      <c r="V254" s="42">
        <v>3</v>
      </c>
      <c r="W254" s="42">
        <v>4</v>
      </c>
      <c r="X254" s="42">
        <v>1</v>
      </c>
      <c r="Y254" s="43">
        <v>1</v>
      </c>
      <c r="Z254" s="42" t="s">
        <v>45</v>
      </c>
      <c r="AA254" s="42">
        <v>2</v>
      </c>
      <c r="AB254" s="42" t="s">
        <v>45</v>
      </c>
      <c r="AC254" s="42" t="s">
        <v>45</v>
      </c>
      <c r="AD254" s="42" t="s">
        <v>45</v>
      </c>
      <c r="AE254" s="42" t="s">
        <v>45</v>
      </c>
      <c r="AF254" s="42" t="s">
        <v>45</v>
      </c>
      <c r="AG254" s="43" t="s">
        <v>45</v>
      </c>
      <c r="AH254" s="42">
        <v>5</v>
      </c>
      <c r="AI254" s="42">
        <v>5</v>
      </c>
      <c r="AJ254" s="43">
        <v>6</v>
      </c>
      <c r="AK254" s="45" t="s">
        <v>730</v>
      </c>
      <c r="AL254" s="45" t="s">
        <v>705</v>
      </c>
      <c r="AM254" s="46">
        <f>($L$3*(L254-$Q$1)/$Q$2+$M$3*(M254-$R$1)/$R$2+$N$3*(N254-$S$1)/$S$2+$O$3*(O254-$T$1)/$T$2+$P$3*(P254-$U$1)/$U$2)/(SUM($L$3:$P$3))</f>
        <v>-1.961265515986587</v>
      </c>
      <c r="AN254" s="46">
        <f>($L$3*(Q254-$Q$1)/$Q$2+$M$3*(R254-$R$1)/$R$2+$N$3*(S254-$S$1)/$S$2+$O$3*(T254-$T$1)/$T$2+$P$3*(U254-$U$1)/$U$2)/(SUM($L$3:$P$3))</f>
        <v>-0.74316159026614159</v>
      </c>
      <c r="AO254" s="47">
        <f>IF(AVERAGE(AH254:AI254)&gt;9,1,0)+IF(AVERAGE(AH254:AI254)&gt;7,1,0)+IF(AH254&gt;7,1,0)+IF(AI254&gt;7,1,0)+IF(AJ254&gt;8,1,0)+IF(AJ254&gt;6,1,0)</f>
        <v>0</v>
      </c>
      <c r="AP254" s="48">
        <f>MIN(2,IF(OR(Z254="-",X254&lt;5),0,1+IF(Y254&gt;7,0.35,IF(Y254&gt;5,0.1,0))+IF(Z254&gt;7,1+IF(X254&gt;7,0.25,0),IF(Z254&gt;4,0.5+IF(X254&gt;7,0.25,0),0+IF(X254&gt;7,0.25))))+IF(AA254="-",0,IF(AA254&gt;9,0.5,IF(AA254&gt;7,0.25,0)))+IF(AB254="-",0,IF(AB254&gt;7,1.1,IF(AB254&gt;4,0.6,0)))+IF(OR(AC254="-",V254&lt;5),0,IF(AC254&gt;7,1+IF(V254&gt;7,0.25,0),IF(AC254&gt;4,0.5+IF(V254&gt;7,0.25,0),0)))+IF(AD254="-",0,IF(AD254&gt;7,1.5,IF(AD254&gt;4,1,0)))+IF(AE254="-",0,IF(AE254&gt;9,0.5,IF(AE254&gt;7,0.25,0)))+IF(AF254="-",0,IF(AF254&gt;7,1.25,IF(AF254&gt;4,0.75,0)))+IF(OR(AG254="-",W254&lt;4),0,IF(AG254&gt;7,1+IF(W254&gt;7,0.15,0),IF(AG254&gt;4,0.5+IF(W254&gt;7,0.15,0),0))))</f>
        <v>0</v>
      </c>
      <c r="AQ254" s="46">
        <f>($AM$3*AM254+$AN$3*AN254+$AO$3*AO254+$AP$3*AP254)+$I$3*VLOOKUP(I254,COND!$A$2:$E$7,4,FALSE)+$J$3*VLOOKUP(J254,COND!$A$2:$C$7,2,FALSE)+$K$3*VLOOKUP(K254,COND!$A$2:$C$7,3,FALSE)+IF(AND($B$2&gt;0,$E254&lt;20),$B$2*25,0)</f>
        <v>40.585934365207642</v>
      </c>
      <c r="AR254" s="49">
        <f>STANDARDIZE(AQ254,AVERAGE($AQ$5:$AQ$537),STDEVP($AQ$5:$AQ$537))</f>
        <v>4.1819449149234418E-2</v>
      </c>
      <c r="AS254" s="47" t="str">
        <f>IF(AND(Z254&lt;&gt;"-",Y254&gt;1),"C",IF(AB254=MAX(AB254:AD254),"2B",IF(AD254=MAX(AB254:AD254),"SS",IF(OR(AC254=MAX(AA254:AD254),AND(AC254&lt;&gt;"-",AC254&gt;4,V254&gt;5)),"3B",IF(AF254=MAX(AE254:AG254),"CF",IF(AND(AG254=MAX(AE254,AG254),AND(W254&gt;5,AG254&lt;&gt;"-")),"RF",IF(AE254&lt;&gt;"-","LF",IF(AA254&lt;&gt;"-","1B","DH"))))))))</f>
        <v>1B</v>
      </c>
      <c r="AT254" s="47"/>
      <c r="AU254" s="47"/>
      <c r="AV254" s="47"/>
      <c r="AW254" s="47" t="str">
        <f>IF(AND($Q254&gt;=6,AVERAGE($S254:$T254)&gt;=6),"Likely",IF(OR($Q254&gt;6,AND($Q254=6,AVERAGE($S254:$T254)&gt;=3),AND($Q254&gt;=5,AVERAGE($S254:$T254)&gt;=5),AVERAGE($Q254,$S254:$T254)&gt;5),"Possible","Unlikely"))</f>
        <v>Unlikely</v>
      </c>
      <c r="AX254" s="47"/>
      <c r="AY254" s="47" t="str">
        <f>INDEX(Table5[[#All],[Ovr]],MATCH(Batters[[#This Row],[PID]],Table5[[#All],[PID]],0))</f>
        <v/>
      </c>
      <c r="AZ254" s="47" t="str">
        <f>INDEX(Table5[[#All],[Rnd]],MATCH(Batters[[#This Row],[PID]],Table5[[#All],[PID]],0))</f>
        <v/>
      </c>
      <c r="BA254" s="47" t="str">
        <f>INDEX(Table5[[#All],[Pick]],MATCH(Batters[[#This Row],[PID]],Table5[[#All],[PID]],0))</f>
        <v/>
      </c>
      <c r="BB254" s="47" t="str">
        <f>INDEX(Table5[[#All],[Team]],MATCH(Batters[[#This Row],[PID]],Table5[[#All],[PID]],0))</f>
        <v/>
      </c>
    </row>
    <row r="255" spans="1:54" ht="15" customHeight="1" x14ac:dyDescent="0.25">
      <c r="A255" s="42">
        <v>8549</v>
      </c>
      <c r="B255" s="42" t="s">
        <v>87</v>
      </c>
      <c r="C255" s="42" t="s">
        <v>450</v>
      </c>
      <c r="D255" s="42" t="s">
        <v>575</v>
      </c>
      <c r="E255" s="42">
        <v>18</v>
      </c>
      <c r="F255" s="42" t="s">
        <v>42</v>
      </c>
      <c r="G255" s="42" t="s">
        <v>42</v>
      </c>
      <c r="H255" s="43" t="s">
        <v>721</v>
      </c>
      <c r="I255" s="44" t="s">
        <v>43</v>
      </c>
      <c r="J255" s="42" t="s">
        <v>44</v>
      </c>
      <c r="K255" s="43" t="s">
        <v>43</v>
      </c>
      <c r="L255" s="42">
        <v>1</v>
      </c>
      <c r="M255" s="42">
        <v>1</v>
      </c>
      <c r="N255" s="42">
        <v>2</v>
      </c>
      <c r="O255" s="42">
        <v>1</v>
      </c>
      <c r="P255" s="43">
        <v>2</v>
      </c>
      <c r="Q255" s="42">
        <v>3</v>
      </c>
      <c r="R255" s="42">
        <v>2</v>
      </c>
      <c r="S255" s="42">
        <v>4</v>
      </c>
      <c r="T255" s="42">
        <v>4</v>
      </c>
      <c r="U255" s="43">
        <v>4</v>
      </c>
      <c r="V255" s="42">
        <v>3</v>
      </c>
      <c r="W255" s="42">
        <v>2</v>
      </c>
      <c r="X255" s="42">
        <v>1</v>
      </c>
      <c r="Y255" s="43">
        <v>1</v>
      </c>
      <c r="Z255" s="42" t="s">
        <v>45</v>
      </c>
      <c r="AA255" s="42">
        <v>2</v>
      </c>
      <c r="AB255" s="42" t="s">
        <v>45</v>
      </c>
      <c r="AC255" s="42" t="s">
        <v>45</v>
      </c>
      <c r="AD255" s="42" t="s">
        <v>45</v>
      </c>
      <c r="AE255" s="42" t="s">
        <v>45</v>
      </c>
      <c r="AF255" s="42" t="s">
        <v>45</v>
      </c>
      <c r="AG255" s="43" t="s">
        <v>45</v>
      </c>
      <c r="AH255" s="42">
        <v>2</v>
      </c>
      <c r="AI255" s="42">
        <v>1</v>
      </c>
      <c r="AJ255" s="43">
        <v>1</v>
      </c>
      <c r="AK255" s="45" t="s">
        <v>718</v>
      </c>
      <c r="AL255" s="45" t="s">
        <v>47</v>
      </c>
      <c r="AM255" s="46">
        <f>($L$3*(L255-$Q$1)/$Q$2+$M$3*(M255-$R$1)/$R$2+$N$3*(N255-$S$1)/$S$2+$O$3*(O255-$T$1)/$T$2+$P$3*(P255-$U$1)/$U$2)/(SUM($L$3:$P$3))</f>
        <v>-1.961265515986587</v>
      </c>
      <c r="AN255" s="46">
        <f>($L$3*(Q255-$Q$1)/$Q$2+$M$3*(R255-$R$1)/$R$2+$N$3*(S255-$S$1)/$S$2+$O$3*(T255-$T$1)/$T$2+$P$3*(U255-$U$1)/$U$2)/(SUM($L$3:$P$3))</f>
        <v>-0.74980964625182112</v>
      </c>
      <c r="AO255" s="47">
        <f>IF(AVERAGE(AH255:AI255)&gt;9,1,0)+IF(AVERAGE(AH255:AI255)&gt;7,1,0)+IF(AH255&gt;7,1,0)+IF(AI255&gt;7,1,0)+IF(AJ255&gt;8,1,0)+IF(AJ255&gt;6,1,0)</f>
        <v>0</v>
      </c>
      <c r="AP255" s="48">
        <f>MIN(2,IF(OR(Z255="-",X255&lt;5),0,1+IF(Y255&gt;7,0.35,IF(Y255&gt;5,0.1,0))+IF(Z255&gt;7,1+IF(X255&gt;7,0.25,0),IF(Z255&gt;4,0.5+IF(X255&gt;7,0.25,0),0+IF(X255&gt;7,0.25))))+IF(AA255="-",0,IF(AA255&gt;9,0.5,IF(AA255&gt;7,0.25,0)))+IF(AB255="-",0,IF(AB255&gt;7,1.1,IF(AB255&gt;4,0.6,0)))+IF(OR(AC255="-",V255&lt;5),0,IF(AC255&gt;7,1+IF(V255&gt;7,0.25,0),IF(AC255&gt;4,0.5+IF(V255&gt;7,0.25,0),0)))+IF(AD255="-",0,IF(AD255&gt;7,1.5,IF(AD255&gt;4,1,0)))+IF(AE255="-",0,IF(AE255&gt;9,0.5,IF(AE255&gt;7,0.25,0)))+IF(AF255="-",0,IF(AF255&gt;7,1.25,IF(AF255&gt;4,0.75,0)))+IF(OR(AG255="-",W255&lt;4),0,IF(AG255&gt;7,1+IF(W255&gt;7,0.15,0),IF(AG255&gt;4,0.5+IF(W255&gt;7,0.15,0),0))))</f>
        <v>0</v>
      </c>
      <c r="AQ255" s="46">
        <f>($AM$3*AM255+$AN$3*AN255+$AO$3*AO255+$AP$3*AP255)+$I$3*VLOOKUP(I255,COND!$A$2:$E$7,4,FALSE)+$J$3*VLOOKUP(J255,COND!$A$2:$C$7,2,FALSE)+$K$3*VLOOKUP(K255,COND!$A$2:$C$7,3,FALSE)+IF(AND($B$2&gt;0,$E255&lt;20),$B$2*25,0)</f>
        <v>40.506157693379485</v>
      </c>
      <c r="AR255" s="49">
        <f>STANDARDIZE(AQ255,AVERAGE($AQ$5:$AQ$537),STDEVP($AQ$5:$AQ$537))</f>
        <v>2.7783273961033698E-2</v>
      </c>
      <c r="AS255" s="47" t="str">
        <f>IF(AND(Z255&lt;&gt;"-",Y255&gt;1),"C",IF(AB255=MAX(AB255:AD255),"2B",IF(AD255=MAX(AB255:AD255),"SS",IF(OR(AC255=MAX(AA255:AD255),AND(AC255&lt;&gt;"-",AC255&gt;4,V255&gt;5)),"3B",IF(AF255=MAX(AE255:AG255),"CF",IF(AND(AG255=MAX(AE255,AG255),AND(W255&gt;5,AG255&lt;&gt;"-")),"RF",IF(AE255&lt;&gt;"-","LF",IF(AA255&lt;&gt;"-","1B","DH"))))))))</f>
        <v>1B</v>
      </c>
      <c r="AT255" s="47"/>
      <c r="AU255" s="47"/>
      <c r="AV255" s="47"/>
      <c r="AW255" s="47" t="str">
        <f>IF(AND($Q255&gt;=6,AVERAGE($S255:$T255)&gt;=6),"Likely",IF(OR($Q255&gt;6,AND($Q255=6,AVERAGE($S255:$T255)&gt;=3),AND($Q255&gt;=5,AVERAGE($S255:$T255)&gt;=5),AVERAGE($Q255,$S255:$T255)&gt;5),"Possible","Unlikely"))</f>
        <v>Unlikely</v>
      </c>
      <c r="AX255" s="47"/>
      <c r="AY255" s="47" t="str">
        <f>INDEX(Table5[[#All],[Ovr]],MATCH(Batters[[#This Row],[PID]],Table5[[#All],[PID]],0))</f>
        <v/>
      </c>
      <c r="AZ255" s="47" t="str">
        <f>INDEX(Table5[[#All],[Rnd]],MATCH(Batters[[#This Row],[PID]],Table5[[#All],[PID]],0))</f>
        <v/>
      </c>
      <c r="BA255" s="47" t="str">
        <f>INDEX(Table5[[#All],[Pick]],MATCH(Batters[[#This Row],[PID]],Table5[[#All],[PID]],0))</f>
        <v/>
      </c>
      <c r="BB255" s="47" t="str">
        <f>INDEX(Table5[[#All],[Team]],MATCH(Batters[[#This Row],[PID]],Table5[[#All],[PID]],0))</f>
        <v/>
      </c>
    </row>
    <row r="256" spans="1:54" ht="15" customHeight="1" x14ac:dyDescent="0.25">
      <c r="A256" s="42">
        <v>8043</v>
      </c>
      <c r="B256" s="42" t="s">
        <v>87</v>
      </c>
      <c r="C256" s="42" t="s">
        <v>128</v>
      </c>
      <c r="D256" s="42" t="s">
        <v>297</v>
      </c>
      <c r="E256" s="42">
        <v>18</v>
      </c>
      <c r="F256" s="42" t="s">
        <v>42</v>
      </c>
      <c r="G256" s="42" t="s">
        <v>42</v>
      </c>
      <c r="H256" s="43" t="s">
        <v>721</v>
      </c>
      <c r="I256" s="44" t="s">
        <v>44</v>
      </c>
      <c r="J256" s="42" t="s">
        <v>43</v>
      </c>
      <c r="K256" s="43" t="s">
        <v>43</v>
      </c>
      <c r="L256" s="42">
        <v>1</v>
      </c>
      <c r="M256" s="42">
        <v>1</v>
      </c>
      <c r="N256" s="42">
        <v>2</v>
      </c>
      <c r="O256" s="42">
        <v>1</v>
      </c>
      <c r="P256" s="43">
        <v>1</v>
      </c>
      <c r="Q256" s="42">
        <v>3</v>
      </c>
      <c r="R256" s="42">
        <v>4</v>
      </c>
      <c r="S256" s="42">
        <v>3</v>
      </c>
      <c r="T256" s="42">
        <v>3</v>
      </c>
      <c r="U256" s="43">
        <v>4</v>
      </c>
      <c r="V256" s="42">
        <v>3</v>
      </c>
      <c r="W256" s="42">
        <v>2</v>
      </c>
      <c r="X256" s="42">
        <v>1</v>
      </c>
      <c r="Y256" s="43">
        <v>1</v>
      </c>
      <c r="Z256" s="42" t="s">
        <v>45</v>
      </c>
      <c r="AA256" s="42">
        <v>2</v>
      </c>
      <c r="AB256" s="42" t="s">
        <v>45</v>
      </c>
      <c r="AC256" s="42" t="s">
        <v>45</v>
      </c>
      <c r="AD256" s="42" t="s">
        <v>45</v>
      </c>
      <c r="AE256" s="42" t="s">
        <v>45</v>
      </c>
      <c r="AF256" s="42" t="s">
        <v>45</v>
      </c>
      <c r="AG256" s="43" t="s">
        <v>45</v>
      </c>
      <c r="AH256" s="42">
        <v>3</v>
      </c>
      <c r="AI256" s="42">
        <v>4</v>
      </c>
      <c r="AJ256" s="43">
        <v>4</v>
      </c>
      <c r="AK256" s="45" t="s">
        <v>615</v>
      </c>
      <c r="AL256" s="45" t="s">
        <v>47</v>
      </c>
      <c r="AM256" s="46">
        <f>($L$3*(L256-$Q$1)/$Q$2+$M$3*(M256-$R$1)/$R$2+$N$3*(N256-$S$1)/$S$2+$O$3*(O256-$T$1)/$T$2+$P$3*(P256-$U$1)/$U$2)/(SUM($L$3:$P$3))</f>
        <v>-2.0012818558036707</v>
      </c>
      <c r="AN256" s="46">
        <f>($L$3*(Q256-$Q$1)/$Q$2+$M$3*(R256-$R$1)/$R$2+$N$3*(S256-$S$1)/$S$2+$O$3*(T256-$T$1)/$T$2+$P$3*(U256-$U$1)/$U$2)/(SUM($L$3:$P$3))</f>
        <v>-0.82046093104789664</v>
      </c>
      <c r="AO256" s="47">
        <f>IF(AVERAGE(AH256:AI256)&gt;9,1,0)+IF(AVERAGE(AH256:AI256)&gt;7,1,0)+IF(AH256&gt;7,1,0)+IF(AI256&gt;7,1,0)+IF(AJ256&gt;8,1,0)+IF(AJ256&gt;6,1,0)</f>
        <v>0</v>
      </c>
      <c r="AP256" s="48">
        <f>MIN(2,IF(OR(Z256="-",X256&lt;5),0,1+IF(Y256&gt;7,0.35,IF(Y256&gt;5,0.1,0))+IF(Z256&gt;7,1+IF(X256&gt;7,0.25,0),IF(Z256&gt;4,0.5+IF(X256&gt;7,0.25,0),0+IF(X256&gt;7,0.25))))+IF(AA256="-",0,IF(AA256&gt;9,0.5,IF(AA256&gt;7,0.25,0)))+IF(AB256="-",0,IF(AB256&gt;7,1.1,IF(AB256&gt;4,0.6,0)))+IF(OR(AC256="-",V256&lt;5),0,IF(AC256&gt;7,1+IF(V256&gt;7,0.25,0),IF(AC256&gt;4,0.5+IF(V256&gt;7,0.25,0),0)))+IF(AD256="-",0,IF(AD256&gt;7,1.5,IF(AD256&gt;4,1,0)))+IF(AE256="-",0,IF(AE256&gt;9,0.5,IF(AE256&gt;7,0.25,0)))+IF(AF256="-",0,IF(AF256&gt;7,1.25,IF(AF256&gt;4,0.75,0)))+IF(OR(AG256="-",W256&lt;4),0,IF(AG256&gt;7,1+IF(W256&gt;7,0.15,0),IF(AG256&gt;4,0.5+IF(W256&gt;7,0.15,0),0))))</f>
        <v>0</v>
      </c>
      <c r="AQ256" s="46">
        <f>($AM$3*AM256+$AN$3*AN256+$AO$3*AO256+$AP$3*AP256)+$I$3*VLOOKUP(I256,COND!$A$2:$E$7,4,FALSE)+$J$3*VLOOKUP(J256,COND!$A$2:$C$7,2,FALSE)+$K$3*VLOOKUP(K256,COND!$A$2:$C$7,3,FALSE)+IF(AND($B$2&gt;0,$E256&lt;20),$B$2*25,0)</f>
        <v>39.804340641844874</v>
      </c>
      <c r="AR256" s="49">
        <f>STANDARDIZE(AQ256,AVERAGE($AQ$5:$AQ$537),STDEVP($AQ$5:$AQ$537))</f>
        <v>-9.5696771767441138E-2</v>
      </c>
      <c r="AS256" s="47" t="str">
        <f>IF(AND(Z256&lt;&gt;"-",Y256&gt;1),"C",IF(AB256=MAX(AB256:AD256),"2B",IF(AD256=MAX(AB256:AD256),"SS",IF(OR(AC256=MAX(AA256:AD256),AND(AC256&lt;&gt;"-",AC256&gt;4,V256&gt;5)),"3B",IF(AF256=MAX(AE256:AG256),"CF",IF(AND(AG256=MAX(AE256,AG256),AND(W256&gt;5,AG256&lt;&gt;"-")),"RF",IF(AE256&lt;&gt;"-","LF",IF(AA256&lt;&gt;"-","1B","DH"))))))))</f>
        <v>1B</v>
      </c>
      <c r="AT256" s="47"/>
      <c r="AU256" s="47"/>
      <c r="AV256" s="47"/>
      <c r="AW256" s="47" t="str">
        <f>IF(AND($Q256&gt;=6,AVERAGE($S256:$T256)&gt;=6),"Likely",IF(OR($Q256&gt;6,AND($Q256=6,AVERAGE($S256:$T256)&gt;=3),AND($Q256&gt;=5,AVERAGE($S256:$T256)&gt;=5),AVERAGE($Q256,$S256:$T256)&gt;5),"Possible","Unlikely"))</f>
        <v>Unlikely</v>
      </c>
      <c r="AX256" s="47"/>
      <c r="AY256" s="47" t="str">
        <f>INDEX(Table5[[#All],[Ovr]],MATCH(Batters[[#This Row],[PID]],Table5[[#All],[PID]],0))</f>
        <v/>
      </c>
      <c r="AZ256" s="47" t="str">
        <f>INDEX(Table5[[#All],[Rnd]],MATCH(Batters[[#This Row],[PID]],Table5[[#All],[PID]],0))</f>
        <v/>
      </c>
      <c r="BA256" s="47" t="str">
        <f>INDEX(Table5[[#All],[Pick]],MATCH(Batters[[#This Row],[PID]],Table5[[#All],[PID]],0))</f>
        <v/>
      </c>
      <c r="BB256" s="47" t="str">
        <f>INDEX(Table5[[#All],[Team]],MATCH(Batters[[#This Row],[PID]],Table5[[#All],[PID]],0))</f>
        <v/>
      </c>
    </row>
    <row r="257" spans="1:54" ht="15" customHeight="1" x14ac:dyDescent="0.25">
      <c r="A257" s="42">
        <v>12130</v>
      </c>
      <c r="B257" s="42" t="s">
        <v>69</v>
      </c>
      <c r="C257" s="42" t="s">
        <v>129</v>
      </c>
      <c r="D257" s="42" t="s">
        <v>196</v>
      </c>
      <c r="E257" s="42">
        <v>21</v>
      </c>
      <c r="F257" s="42" t="s">
        <v>42</v>
      </c>
      <c r="G257" s="42" t="s">
        <v>42</v>
      </c>
      <c r="H257" s="43" t="s">
        <v>709</v>
      </c>
      <c r="I257" s="44" t="s">
        <v>44</v>
      </c>
      <c r="J257" s="42" t="s">
        <v>44</v>
      </c>
      <c r="K257" s="43" t="s">
        <v>43</v>
      </c>
      <c r="L257" s="42">
        <v>2</v>
      </c>
      <c r="M257" s="42">
        <v>2</v>
      </c>
      <c r="N257" s="42">
        <v>2</v>
      </c>
      <c r="O257" s="42">
        <v>3</v>
      </c>
      <c r="P257" s="43">
        <v>2</v>
      </c>
      <c r="Q257" s="42">
        <v>4</v>
      </c>
      <c r="R257" s="42">
        <v>3</v>
      </c>
      <c r="S257" s="42">
        <v>3</v>
      </c>
      <c r="T257" s="42">
        <v>4</v>
      </c>
      <c r="U257" s="43">
        <v>4</v>
      </c>
      <c r="V257" s="42">
        <v>9</v>
      </c>
      <c r="W257" s="42">
        <v>8</v>
      </c>
      <c r="X257" s="42">
        <v>1</v>
      </c>
      <c r="Y257" s="43">
        <v>1</v>
      </c>
      <c r="Z257" s="42" t="s">
        <v>45</v>
      </c>
      <c r="AA257" s="42" t="s">
        <v>45</v>
      </c>
      <c r="AB257" s="42" t="s">
        <v>45</v>
      </c>
      <c r="AC257" s="42">
        <v>6</v>
      </c>
      <c r="AD257" s="42" t="s">
        <v>45</v>
      </c>
      <c r="AE257" s="42" t="s">
        <v>45</v>
      </c>
      <c r="AF257" s="42" t="s">
        <v>45</v>
      </c>
      <c r="AG257" s="43" t="s">
        <v>45</v>
      </c>
      <c r="AH257" s="42">
        <v>9</v>
      </c>
      <c r="AI257" s="42">
        <v>9</v>
      </c>
      <c r="AJ257" s="43">
        <v>10</v>
      </c>
      <c r="AK257" s="45" t="s">
        <v>593</v>
      </c>
      <c r="AL257" s="45" t="s">
        <v>47</v>
      </c>
      <c r="AM257" s="46">
        <f>($L$3*(L257-$Q$1)/$Q$2+$M$3*(M257-$R$1)/$R$2+$N$3*(N257-$S$1)/$S$2+$O$3*(O257-$T$1)/$T$2+$P$3*(P257-$U$1)/$U$2)/(SUM($L$3:$P$3))</f>
        <v>-1.4082307001460468</v>
      </c>
      <c r="AN257" s="46">
        <f>($L$3*(Q257-$Q$1)/$Q$2+$M$3*(R257-$R$1)/$R$2+$N$3*(S257-$S$1)/$S$2+$O$3*(T257-$T$1)/$T$2+$P$3*(U257-$U$1)/$U$2)/(SUM($L$3:$P$3))</f>
        <v>-0.45925542445434431</v>
      </c>
      <c r="AO257" s="47">
        <f>IF(AVERAGE(AH257:AI257)&gt;9,1,0)+IF(AVERAGE(AH257:AI257)&gt;7,1,0)+IF(AH257&gt;7,1,0)+IF(AI257&gt;7,1,0)+IF(AJ257&gt;8,1,0)+IF(AJ257&gt;6,1,0)</f>
        <v>5</v>
      </c>
      <c r="AP257" s="48">
        <f>MIN(2,IF(OR(Z257="-",X257&lt;5),0,1+IF(Y257&gt;7,0.35,IF(Y257&gt;5,0.1,0))+IF(Z257&gt;7,1+IF(X257&gt;7,0.25,0),IF(Z257&gt;4,0.5+IF(X257&gt;7,0.25,0),0+IF(X257&gt;7,0.25))))+IF(AA257="-",0,IF(AA257&gt;9,0.5,IF(AA257&gt;7,0.25,0)))+IF(AB257="-",0,IF(AB257&gt;7,1.1,IF(AB257&gt;4,0.6,0)))+IF(OR(AC257="-",V257&lt;5),0,IF(AC257&gt;7,1+IF(V257&gt;7,0.25,0),IF(AC257&gt;4,0.5+IF(V257&gt;7,0.25,0),0)))+IF(AD257="-",0,IF(AD257&gt;7,1.5,IF(AD257&gt;4,1,0)))+IF(AE257="-",0,IF(AE257&gt;9,0.5,IF(AE257&gt;7,0.25,0)))+IF(AF257="-",0,IF(AF257&gt;7,1.25,IF(AF257&gt;4,0.75,0)))+IF(OR(AG257="-",W257&lt;4),0,IF(AG257&gt;7,1+IF(W257&gt;7,0.15,0),IF(AG257&gt;4,0.5+IF(W257&gt;7,0.15,0),0))))</f>
        <v>0.75</v>
      </c>
      <c r="AQ257" s="46">
        <f>($AM$3*AM257+$AN$3*AN257+$AO$3*AO257+$AP$3*AP257)+$I$3*VLOOKUP(I257,COND!$A$2:$E$7,4,FALSE)+$J$3*VLOOKUP(J257,COND!$A$2:$C$7,2,FALSE)+$K$3*VLOOKUP(K257,COND!$A$2:$C$7,3,FALSE)+IF(AND($B$2&gt;0,$E257&lt;20),$B$2*25,0)</f>
        <v>40.481445169866596</v>
      </c>
      <c r="AR257" s="49">
        <f>STANDARDIZE(AQ257,AVERAGE($AQ$5:$AQ$537),STDEVP($AQ$5:$AQ$537))</f>
        <v>2.3435269695869353E-2</v>
      </c>
      <c r="AS257" s="47" t="str">
        <f>IF(AND(Z257&lt;&gt;"-",Y257&gt;1),"C",IF(AB257=MAX(AB257:AD257),"2B",IF(AD257=MAX(AB257:AD257),"SS",IF(OR(AC257=MAX(AA257:AD257),AND(AC257&lt;&gt;"-",AC257&gt;4,V257&gt;5)),"3B",IF(AF257=MAX(AE257:AG257),"CF",IF(AND(AG257=MAX(AE257,AG257),AND(W257&gt;5,AG257&lt;&gt;"-")),"RF",IF(AE257&lt;&gt;"-","LF",IF(AA257&lt;&gt;"-","1B","DH"))))))))</f>
        <v>3B</v>
      </c>
      <c r="AT257" s="47"/>
      <c r="AU257" s="47"/>
      <c r="AV257" s="47"/>
      <c r="AW257" s="47" t="str">
        <f>IF(AND($Q257&gt;=6,AVERAGE($S257:$T257)&gt;=6),"Likely",IF(OR($Q257&gt;6,AND($Q257=6,AVERAGE($S257:$T257)&gt;=3),AND($Q257&gt;=5,AVERAGE($S257:$T257)&gt;=5),AVERAGE($Q257,$S257:$T257)&gt;5),"Possible","Unlikely"))</f>
        <v>Unlikely</v>
      </c>
      <c r="AX257" s="47"/>
      <c r="AY257" s="47" t="str">
        <f>INDEX(Table5[[#All],[Ovr]],MATCH(Batters[[#This Row],[PID]],Table5[[#All],[PID]],0))</f>
        <v/>
      </c>
      <c r="AZ257" s="47" t="str">
        <f>INDEX(Table5[[#All],[Rnd]],MATCH(Batters[[#This Row],[PID]],Table5[[#All],[PID]],0))</f>
        <v/>
      </c>
      <c r="BA257" s="47" t="str">
        <f>INDEX(Table5[[#All],[Pick]],MATCH(Batters[[#This Row],[PID]],Table5[[#All],[PID]],0))</f>
        <v/>
      </c>
      <c r="BB257" s="47" t="str">
        <f>INDEX(Table5[[#All],[Team]],MATCH(Batters[[#This Row],[PID]],Table5[[#All],[PID]],0))</f>
        <v/>
      </c>
    </row>
    <row r="258" spans="1:54" ht="15" customHeight="1" x14ac:dyDescent="0.25">
      <c r="A258" s="42">
        <v>6276</v>
      </c>
      <c r="B258" s="42" t="s">
        <v>72</v>
      </c>
      <c r="C258" s="42" t="s">
        <v>467</v>
      </c>
      <c r="D258" s="42" t="s">
        <v>843</v>
      </c>
      <c r="E258" s="42">
        <v>18</v>
      </c>
      <c r="F258" s="42" t="s">
        <v>42</v>
      </c>
      <c r="G258" s="42" t="s">
        <v>42</v>
      </c>
      <c r="H258" s="43" t="s">
        <v>711</v>
      </c>
      <c r="I258" s="44" t="s">
        <v>44</v>
      </c>
      <c r="J258" s="42" t="s">
        <v>47</v>
      </c>
      <c r="K258" s="43" t="s">
        <v>43</v>
      </c>
      <c r="L258" s="42">
        <v>1</v>
      </c>
      <c r="M258" s="42">
        <v>2</v>
      </c>
      <c r="N258" s="42">
        <v>2</v>
      </c>
      <c r="O258" s="42">
        <v>1</v>
      </c>
      <c r="P258" s="43">
        <v>3</v>
      </c>
      <c r="Q258" s="42">
        <v>3</v>
      </c>
      <c r="R258" s="42">
        <v>3</v>
      </c>
      <c r="S258" s="42">
        <v>2</v>
      </c>
      <c r="T258" s="42">
        <v>3</v>
      </c>
      <c r="U258" s="43">
        <v>5</v>
      </c>
      <c r="V258" s="42">
        <v>4</v>
      </c>
      <c r="W258" s="42">
        <v>6</v>
      </c>
      <c r="X258" s="42">
        <v>1</v>
      </c>
      <c r="Y258" s="43">
        <v>1</v>
      </c>
      <c r="Z258" s="42" t="s">
        <v>45</v>
      </c>
      <c r="AA258" s="42" t="s">
        <v>45</v>
      </c>
      <c r="AB258" s="42" t="s">
        <v>45</v>
      </c>
      <c r="AC258" s="42" t="s">
        <v>45</v>
      </c>
      <c r="AD258" s="42">
        <v>2</v>
      </c>
      <c r="AE258" s="42">
        <v>1</v>
      </c>
      <c r="AF258" s="42" t="s">
        <v>45</v>
      </c>
      <c r="AG258" s="43" t="s">
        <v>45</v>
      </c>
      <c r="AH258" s="42">
        <v>1</v>
      </c>
      <c r="AI258" s="42">
        <v>6</v>
      </c>
      <c r="AJ258" s="43">
        <v>5</v>
      </c>
      <c r="AK258" s="45" t="s">
        <v>718</v>
      </c>
      <c r="AL258" s="45" t="s">
        <v>47</v>
      </c>
      <c r="AM258" s="46">
        <f>($L$3*(L258-$Q$1)/$Q$2+$M$3*(M258-$R$1)/$R$2+$N$3*(N258-$S$1)/$S$2+$O$3*(O258-$T$1)/$T$2+$P$3*(P258-$U$1)/$U$2)/(SUM($L$3:$P$3))</f>
        <v>-1.8701892965508</v>
      </c>
      <c r="AN258" s="46">
        <f>($L$3*(Q258-$Q$1)/$Q$2+$M$3*(R258-$R$1)/$R$2+$N$3*(S258-$S$1)/$S$2+$O$3*(T258-$T$1)/$T$2+$P$3*(U258-$U$1)/$U$2)/(SUM($L$3:$P$3))</f>
        <v>-0.91456596487341812</v>
      </c>
      <c r="AO258" s="47">
        <f>IF(AVERAGE(AH258:AI258)&gt;9,1,0)+IF(AVERAGE(AH258:AI258)&gt;7,1,0)+IF(AH258&gt;7,1,0)+IF(AI258&gt;7,1,0)+IF(AJ258&gt;8,1,0)+IF(AJ258&gt;6,1,0)</f>
        <v>0</v>
      </c>
      <c r="AP258" s="48">
        <f>MIN(2,IF(OR(Z258="-",X258&lt;5),0,1+IF(Y258&gt;7,0.35,IF(Y258&gt;5,0.1,0))+IF(Z258&gt;7,1+IF(X258&gt;7,0.25,0),IF(Z258&gt;4,0.5+IF(X258&gt;7,0.25,0),0+IF(X258&gt;7,0.25))))+IF(AA258="-",0,IF(AA258&gt;9,0.5,IF(AA258&gt;7,0.25,0)))+IF(AB258="-",0,IF(AB258&gt;7,1.1,IF(AB258&gt;4,0.6,0)))+IF(OR(AC258="-",V258&lt;5),0,IF(AC258&gt;7,1+IF(V258&gt;7,0.25,0),IF(AC258&gt;4,0.5+IF(V258&gt;7,0.25,0),0)))+IF(AD258="-",0,IF(AD258&gt;7,1.5,IF(AD258&gt;4,1,0)))+IF(AE258="-",0,IF(AE258&gt;9,0.5,IF(AE258&gt;7,0.25,0)))+IF(AF258="-",0,IF(AF258&gt;7,1.25,IF(AF258&gt;4,0.75,0)))+IF(OR(AG258="-",W258&lt;4),0,IF(AG258&gt;7,1+IF(W258&gt;7,0.15,0),IF(AG258&gt;4,0.5+IF(W258&gt;7,0.15,0),0))))</f>
        <v>0</v>
      </c>
      <c r="AQ258" s="46">
        <f>($AM$3*AM258+$AN$3*AN258+$AO$3*AO258+$AP$3*AP258)+$I$3*VLOOKUP(I258,COND!$A$2:$E$7,4,FALSE)+$J$3*VLOOKUP(J258,COND!$A$2:$C$7,2,FALSE)+$K$3*VLOOKUP(K258,COND!$A$2:$C$7,3,FALSE)+IF(AND($B$2&gt;0,$E258&lt;20),$B$2*25,0)</f>
        <v>38.988189491863906</v>
      </c>
      <c r="AR258" s="49">
        <f>STANDARDIZE(AQ258,AVERAGE($AQ$5:$AQ$537),STDEVP($AQ$5:$AQ$537))</f>
        <v>-0.23929314221844769</v>
      </c>
      <c r="AS258" s="47" t="str">
        <f>IF(AND(Z258&lt;&gt;"-",Y258&gt;1),"C",IF(AB258=MAX(AB258:AD258),"2B",IF(AD258=MAX(AB258:AD258),"SS",IF(OR(AC258=MAX(AA258:AD258),AND(AC258&lt;&gt;"-",AC258&gt;4,V258&gt;5)),"3B",IF(AF258=MAX(AE258:AG258),"CF",IF(AND(AG258=MAX(AE258,AG258),AND(W258&gt;5,AG258&lt;&gt;"-")),"RF",IF(AE258&lt;&gt;"-","LF",IF(AA258&lt;&gt;"-","1B","DH"))))))))</f>
        <v>SS</v>
      </c>
      <c r="AT258" s="47"/>
      <c r="AU258" s="47"/>
      <c r="AV258" s="47"/>
      <c r="AW258" s="47" t="str">
        <f>IF(AND($Q258&gt;=6,AVERAGE($S258:$T258)&gt;=6),"Likely",IF(OR($Q258&gt;6,AND($Q258=6,AVERAGE($S258:$T258)&gt;=3),AND($Q258&gt;=5,AVERAGE($S258:$T258)&gt;=5),AVERAGE($Q258,$S258:$T258)&gt;5),"Possible","Unlikely"))</f>
        <v>Unlikely</v>
      </c>
      <c r="AX258" s="47"/>
      <c r="AY258" s="47" t="str">
        <f>INDEX(Table5[[#All],[Ovr]],MATCH(Batters[[#This Row],[PID]],Table5[[#All],[PID]],0))</f>
        <v/>
      </c>
      <c r="AZ258" s="47" t="str">
        <f>INDEX(Table5[[#All],[Rnd]],MATCH(Batters[[#This Row],[PID]],Table5[[#All],[PID]],0))</f>
        <v/>
      </c>
      <c r="BA258" s="47" t="str">
        <f>INDEX(Table5[[#All],[Pick]],MATCH(Batters[[#This Row],[PID]],Table5[[#All],[PID]],0))</f>
        <v/>
      </c>
      <c r="BB258" s="47" t="str">
        <f>INDEX(Table5[[#All],[Team]],MATCH(Batters[[#This Row],[PID]],Table5[[#All],[PID]],0))</f>
        <v/>
      </c>
    </row>
    <row r="259" spans="1:54" ht="15" customHeight="1" x14ac:dyDescent="0.25">
      <c r="A259" s="42">
        <v>17632</v>
      </c>
      <c r="B259" s="42" t="s">
        <v>72</v>
      </c>
      <c r="C259" s="42" t="s">
        <v>343</v>
      </c>
      <c r="D259" s="42" t="s">
        <v>165</v>
      </c>
      <c r="E259" s="42">
        <v>18</v>
      </c>
      <c r="F259" s="42" t="s">
        <v>42</v>
      </c>
      <c r="G259" s="42" t="s">
        <v>42</v>
      </c>
      <c r="H259" s="43" t="s">
        <v>709</v>
      </c>
      <c r="I259" s="44" t="s">
        <v>43</v>
      </c>
      <c r="J259" s="42" t="s">
        <v>43</v>
      </c>
      <c r="K259" s="43" t="s">
        <v>44</v>
      </c>
      <c r="L259" s="42">
        <v>1</v>
      </c>
      <c r="M259" s="42">
        <v>1</v>
      </c>
      <c r="N259" s="42">
        <v>2</v>
      </c>
      <c r="O259" s="42">
        <v>1</v>
      </c>
      <c r="P259" s="43">
        <v>1</v>
      </c>
      <c r="Q259" s="42">
        <v>3</v>
      </c>
      <c r="R259" s="42">
        <v>4</v>
      </c>
      <c r="S259" s="42">
        <v>2</v>
      </c>
      <c r="T259" s="42">
        <v>5</v>
      </c>
      <c r="U259" s="43">
        <v>3</v>
      </c>
      <c r="V259" s="42">
        <v>8</v>
      </c>
      <c r="W259" s="42">
        <v>8</v>
      </c>
      <c r="X259" s="42">
        <v>1</v>
      </c>
      <c r="Y259" s="43">
        <v>1</v>
      </c>
      <c r="Z259" s="42" t="s">
        <v>45</v>
      </c>
      <c r="AA259" s="42" t="s">
        <v>45</v>
      </c>
      <c r="AB259" s="42" t="s">
        <v>45</v>
      </c>
      <c r="AC259" s="42" t="s">
        <v>45</v>
      </c>
      <c r="AD259" s="42">
        <v>2</v>
      </c>
      <c r="AE259" s="42" t="s">
        <v>45</v>
      </c>
      <c r="AF259" s="42" t="s">
        <v>45</v>
      </c>
      <c r="AG259" s="43" t="s">
        <v>45</v>
      </c>
      <c r="AH259" s="42">
        <v>4</v>
      </c>
      <c r="AI259" s="42">
        <v>6</v>
      </c>
      <c r="AJ259" s="43">
        <v>3</v>
      </c>
      <c r="AK259" s="45" t="s">
        <v>599</v>
      </c>
      <c r="AL259" s="45" t="s">
        <v>705</v>
      </c>
      <c r="AM259" s="46">
        <f>($L$3*(L259-$Q$1)/$Q$2+$M$3*(M259-$R$1)/$R$2+$N$3*(N259-$S$1)/$S$2+$O$3*(O259-$T$1)/$T$2+$P$3*(P259-$U$1)/$U$2)/(SUM($L$3:$P$3))</f>
        <v>-2.0012818558036707</v>
      </c>
      <c r="AN259" s="46">
        <f>($L$3*(Q259-$Q$1)/$Q$2+$M$3*(R259-$R$1)/$R$2+$N$3*(S259-$S$1)/$S$2+$O$3*(T259-$T$1)/$T$2+$P$3*(U259-$U$1)/$U$2)/(SUM($L$3:$P$3))</f>
        <v>-0.76411966486971961</v>
      </c>
      <c r="AO259" s="47">
        <f>IF(AVERAGE(AH259:AI259)&gt;9,1,0)+IF(AVERAGE(AH259:AI259)&gt;7,1,0)+IF(AH259&gt;7,1,0)+IF(AI259&gt;7,1,0)+IF(AJ259&gt;8,1,0)+IF(AJ259&gt;6,1,0)</f>
        <v>0</v>
      </c>
      <c r="AP259" s="48">
        <f>MIN(2,IF(OR(Z259="-",X259&lt;5),0,1+IF(Y259&gt;7,0.35,IF(Y259&gt;5,0.1,0))+IF(Z259&gt;7,1+IF(X259&gt;7,0.25,0),IF(Z259&gt;4,0.5+IF(X259&gt;7,0.25,0),0+IF(X259&gt;7,0.25))))+IF(AA259="-",0,IF(AA259&gt;9,0.5,IF(AA259&gt;7,0.25,0)))+IF(AB259="-",0,IF(AB259&gt;7,1.1,IF(AB259&gt;4,0.6,0)))+IF(OR(AC259="-",V259&lt;5),0,IF(AC259&gt;7,1+IF(V259&gt;7,0.25,0),IF(AC259&gt;4,0.5+IF(V259&gt;7,0.25,0),0)))+IF(AD259="-",0,IF(AD259&gt;7,1.5,IF(AD259&gt;4,1,0)))+IF(AE259="-",0,IF(AE259&gt;9,0.5,IF(AE259&gt;7,0.25,0)))+IF(AF259="-",0,IF(AF259&gt;7,1.25,IF(AF259&gt;4,0.75,0)))+IF(OR(AG259="-",W259&lt;4),0,IF(AG259&gt;7,1+IF(W259&gt;7,0.15,0),IF(AG259&gt;4,0.5+IF(W259&gt;7,0.15,0),0))))</f>
        <v>0</v>
      </c>
      <c r="AQ259" s="46">
        <f>($AM$3*AM259+$AN$3*AN259+$AO$3*AO259+$AP$3*AP259)+$I$3*VLOOKUP(I259,COND!$A$2:$E$7,4,FALSE)+$J$3*VLOOKUP(J259,COND!$A$2:$C$7,2,FALSE)+$K$3*VLOOKUP(K259,COND!$A$2:$C$7,3,FALSE)+IF(AND($B$2&gt;0,$E259&lt;20),$B$2*25,0)</f>
        <v>40.330435835982996</v>
      </c>
      <c r="AR259" s="49">
        <f>STANDARDIZE(AQ259,AVERAGE($AQ$5:$AQ$537),STDEVP($AQ$5:$AQ$537))</f>
        <v>-3.1338189471042436E-3</v>
      </c>
      <c r="AS259" s="47" t="str">
        <f>IF(AND(Z259&lt;&gt;"-",Y259&gt;1),"C",IF(AB259=MAX(AB259:AD259),"2B",IF(AD259=MAX(AB259:AD259),"SS",IF(OR(AC259=MAX(AA259:AD259),AND(AC259&lt;&gt;"-",AC259&gt;4,V259&gt;5)),"3B",IF(AF259=MAX(AE259:AG259),"CF",IF(AND(AG259=MAX(AE259,AG259),AND(W259&gt;5,AG259&lt;&gt;"-")),"RF",IF(AE259&lt;&gt;"-","LF",IF(AA259&lt;&gt;"-","1B","DH"))))))))</f>
        <v>SS</v>
      </c>
      <c r="AT259" s="47"/>
      <c r="AU259" s="47"/>
      <c r="AV259" s="47"/>
      <c r="AW259" s="47" t="str">
        <f>IF(AND($Q259&gt;=6,AVERAGE($S259:$T259)&gt;=6),"Likely",IF(OR($Q259&gt;6,AND($Q259=6,AVERAGE($S259:$T259)&gt;=3),AND($Q259&gt;=5,AVERAGE($S259:$T259)&gt;=5),AVERAGE($Q259,$S259:$T259)&gt;5),"Possible","Unlikely"))</f>
        <v>Unlikely</v>
      </c>
      <c r="AX259" s="47"/>
      <c r="AY259" s="47" t="str">
        <f>INDEX(Table5[[#All],[Ovr]],MATCH(Batters[[#This Row],[PID]],Table5[[#All],[PID]],0))</f>
        <v/>
      </c>
      <c r="AZ259" s="47" t="str">
        <f>INDEX(Table5[[#All],[Rnd]],MATCH(Batters[[#This Row],[PID]],Table5[[#All],[PID]],0))</f>
        <v/>
      </c>
      <c r="BA259" s="47" t="str">
        <f>INDEX(Table5[[#All],[Pick]],MATCH(Batters[[#This Row],[PID]],Table5[[#All],[PID]],0))</f>
        <v/>
      </c>
      <c r="BB259" s="47" t="str">
        <f>INDEX(Table5[[#All],[Team]],MATCH(Batters[[#This Row],[PID]],Table5[[#All],[PID]],0))</f>
        <v/>
      </c>
    </row>
    <row r="260" spans="1:54" ht="15" customHeight="1" x14ac:dyDescent="0.25">
      <c r="A260" s="42">
        <v>6576</v>
      </c>
      <c r="B260" s="42" t="s">
        <v>86</v>
      </c>
      <c r="C260" s="42" t="s">
        <v>1160</v>
      </c>
      <c r="D260" s="42" t="s">
        <v>1161</v>
      </c>
      <c r="E260" s="42">
        <v>18</v>
      </c>
      <c r="F260" s="42" t="s">
        <v>53</v>
      </c>
      <c r="G260" s="42" t="s">
        <v>42</v>
      </c>
      <c r="H260" s="43" t="s">
        <v>709</v>
      </c>
      <c r="I260" s="44" t="s">
        <v>43</v>
      </c>
      <c r="J260" s="42" t="s">
        <v>44</v>
      </c>
      <c r="K260" s="43" t="s">
        <v>43</v>
      </c>
      <c r="L260" s="42">
        <v>1</v>
      </c>
      <c r="M260" s="42">
        <v>2</v>
      </c>
      <c r="N260" s="42">
        <v>2</v>
      </c>
      <c r="O260" s="42">
        <v>2</v>
      </c>
      <c r="P260" s="43">
        <v>1</v>
      </c>
      <c r="Q260" s="42">
        <v>3</v>
      </c>
      <c r="R260" s="42">
        <v>3</v>
      </c>
      <c r="S260" s="42">
        <v>3</v>
      </c>
      <c r="T260" s="42">
        <v>5</v>
      </c>
      <c r="U260" s="43">
        <v>2</v>
      </c>
      <c r="V260" s="42">
        <v>4</v>
      </c>
      <c r="W260" s="42">
        <v>4</v>
      </c>
      <c r="X260" s="42">
        <v>5</v>
      </c>
      <c r="Y260" s="43">
        <v>6</v>
      </c>
      <c r="Z260" s="42" t="s">
        <v>45</v>
      </c>
      <c r="AA260" s="42" t="s">
        <v>45</v>
      </c>
      <c r="AB260" s="42" t="s">
        <v>45</v>
      </c>
      <c r="AC260" s="42" t="s">
        <v>45</v>
      </c>
      <c r="AD260" s="42" t="s">
        <v>45</v>
      </c>
      <c r="AE260" s="42" t="s">
        <v>45</v>
      </c>
      <c r="AF260" s="42" t="s">
        <v>45</v>
      </c>
      <c r="AG260" s="43" t="s">
        <v>45</v>
      </c>
      <c r="AH260" s="42">
        <v>1</v>
      </c>
      <c r="AI260" s="42">
        <v>3</v>
      </c>
      <c r="AJ260" s="43">
        <v>1</v>
      </c>
      <c r="AK260" s="45" t="s">
        <v>45</v>
      </c>
      <c r="AL260" s="45" t="s">
        <v>47</v>
      </c>
      <c r="AM260" s="46">
        <f>($L$3*(L260-$Q$1)/$Q$2+$M$3*(M260-$R$1)/$R$2+$N$3*(N260-$S$1)/$S$2+$O$3*(O260-$T$1)/$T$2+$P$3*(P260-$U$1)/$U$2)/(SUM($L$3:$P$3))</f>
        <v>-1.8605124261753858</v>
      </c>
      <c r="AN260" s="46">
        <f>($L$3*(Q260-$Q$1)/$Q$2+$M$3*(R260-$R$1)/$R$2+$N$3*(S260-$S$1)/$S$2+$O$3*(T260-$T$1)/$T$2+$P$3*(U260-$U$1)/$U$2)/(SUM($L$3:$P$3))</f>
        <v>-0.77213439028160502</v>
      </c>
      <c r="AO260" s="47">
        <f>IF(AVERAGE(AH260:AI260)&gt;9,1,0)+IF(AVERAGE(AH260:AI260)&gt;7,1,0)+IF(AH260&gt;7,1,0)+IF(AI260&gt;7,1,0)+IF(AJ260&gt;8,1,0)+IF(AJ260&gt;6,1,0)</f>
        <v>0</v>
      </c>
      <c r="AP260" s="48">
        <f>MIN(2,IF(OR(Z260="-",X260&lt;5),0,1+IF(Y260&gt;7,0.35,IF(Y260&gt;5,0.1,0))+IF(Z260&gt;7,1+IF(X260&gt;7,0.25,0),IF(Z260&gt;4,0.5+IF(X260&gt;7,0.25,0),0+IF(X260&gt;7,0.25))))+IF(AA260="-",0,IF(AA260&gt;9,0.5,IF(AA260&gt;7,0.25,0)))+IF(AB260="-",0,IF(AB260&gt;7,1.1,IF(AB260&gt;4,0.6,0)))+IF(OR(AC260="-",V260&lt;5),0,IF(AC260&gt;7,1+IF(V260&gt;7,0.25,0),IF(AC260&gt;4,0.5+IF(V260&gt;7,0.25,0),0)))+IF(AD260="-",0,IF(AD260&gt;7,1.5,IF(AD260&gt;4,1,0)))+IF(AE260="-",0,IF(AE260&gt;9,0.5,IF(AE260&gt;7,0.25,0)))+IF(AF260="-",0,IF(AF260&gt;7,1.25,IF(AF260&gt;4,0.75,0)))+IF(OR(AG260="-",W260&lt;4),0,IF(AG260&gt;7,1+IF(W260&gt;7,0.15,0),IF(AG260&gt;4,0.5+IF(W260&gt;7,0.15,0),0))))</f>
        <v>0</v>
      </c>
      <c r="AQ260" s="46">
        <f>($AM$3*AM260+$AN$3*AN260+$AO$3*AO260+$AP$3*AP260)+$I$3*VLOOKUP(I260,COND!$A$2:$E$7,4,FALSE)+$J$3*VLOOKUP(J260,COND!$A$2:$C$7,2,FALSE)+$K$3*VLOOKUP(K260,COND!$A$2:$C$7,3,FALSE)+IF(AND($B$2&gt;0,$E260&lt;20),$B$2*25,0)</f>
        <v>40.248336074003198</v>
      </c>
      <c r="AR260" s="49">
        <f>STANDARDIZE(AQ260,AVERAGE($AQ$5:$AQ$537),STDEVP($AQ$5:$AQ$537))</f>
        <v>-1.7578726407524333E-2</v>
      </c>
      <c r="AS260" s="47" t="str">
        <f>IF(AND(Z260&lt;&gt;"-",Y260&gt;1),"C",IF(AB260=MAX(AB260:AD260),"2B",IF(AD260=MAX(AB260:AD260),"SS",IF(OR(AC260=MAX(AA260:AD260),AND(AC260&lt;&gt;"-",AC260&gt;4,V260&gt;5)),"3B",IF(AF260=MAX(AE260:AG260),"CF",IF(AND(AG260=MAX(AE260,AG260),AND(W260&gt;5,AG260&lt;&gt;"-")),"RF",IF(AE260&lt;&gt;"-","LF",IF(AA260&lt;&gt;"-","1B","DH"))))))))</f>
        <v>DH</v>
      </c>
      <c r="AT260" s="47"/>
      <c r="AU260" s="47"/>
      <c r="AV260" s="47"/>
      <c r="AW260" s="47" t="str">
        <f>IF(AND($Q260&gt;=6,AVERAGE($S260:$T260)&gt;=6),"Likely",IF(OR($Q260&gt;6,AND($Q260=6,AVERAGE($S260:$T260)&gt;=3),AND($Q260&gt;=5,AVERAGE($S260:$T260)&gt;=5),AVERAGE($Q260,$S260:$T260)&gt;5),"Possible","Unlikely"))</f>
        <v>Unlikely</v>
      </c>
      <c r="AX260" s="47"/>
      <c r="AY260" s="47" t="str">
        <f>INDEX(Table5[[#All],[Ovr]],MATCH(Batters[[#This Row],[PID]],Table5[[#All],[PID]],0))</f>
        <v/>
      </c>
      <c r="AZ260" s="47" t="str">
        <f>INDEX(Table5[[#All],[Rnd]],MATCH(Batters[[#This Row],[PID]],Table5[[#All],[PID]],0))</f>
        <v/>
      </c>
      <c r="BA260" s="47" t="str">
        <f>INDEX(Table5[[#All],[Pick]],MATCH(Batters[[#This Row],[PID]],Table5[[#All],[PID]],0))</f>
        <v/>
      </c>
      <c r="BB260" s="47" t="str">
        <f>INDEX(Table5[[#All],[Team]],MATCH(Batters[[#This Row],[PID]],Table5[[#All],[PID]],0))</f>
        <v/>
      </c>
    </row>
    <row r="261" spans="1:54" ht="15" customHeight="1" x14ac:dyDescent="0.25">
      <c r="A261" s="42">
        <v>5310</v>
      </c>
      <c r="B261" s="42" t="s">
        <v>66</v>
      </c>
      <c r="C261" s="42" t="s">
        <v>1148</v>
      </c>
      <c r="D261" s="42" t="s">
        <v>1149</v>
      </c>
      <c r="E261" s="42">
        <v>21</v>
      </c>
      <c r="F261" s="42" t="s">
        <v>42</v>
      </c>
      <c r="G261" s="42" t="s">
        <v>42</v>
      </c>
      <c r="H261" s="43" t="s">
        <v>709</v>
      </c>
      <c r="I261" s="44" t="s">
        <v>43</v>
      </c>
      <c r="J261" s="42" t="s">
        <v>47</v>
      </c>
      <c r="K261" s="43" t="s">
        <v>47</v>
      </c>
      <c r="L261" s="42">
        <v>1</v>
      </c>
      <c r="M261" s="42">
        <v>2</v>
      </c>
      <c r="N261" s="42">
        <v>2</v>
      </c>
      <c r="O261" s="42">
        <v>2</v>
      </c>
      <c r="P261" s="43">
        <v>1</v>
      </c>
      <c r="Q261" s="42">
        <v>3</v>
      </c>
      <c r="R261" s="42">
        <v>4</v>
      </c>
      <c r="S261" s="42">
        <v>4</v>
      </c>
      <c r="T261" s="42">
        <v>4</v>
      </c>
      <c r="U261" s="43">
        <v>3</v>
      </c>
      <c r="V261" s="42">
        <v>6</v>
      </c>
      <c r="W261" s="42">
        <v>9</v>
      </c>
      <c r="X261" s="42">
        <v>1</v>
      </c>
      <c r="Y261" s="43">
        <v>1</v>
      </c>
      <c r="Z261" s="42" t="s">
        <v>45</v>
      </c>
      <c r="AA261" s="42" t="s">
        <v>45</v>
      </c>
      <c r="AB261" s="42" t="s">
        <v>45</v>
      </c>
      <c r="AC261" s="42" t="s">
        <v>45</v>
      </c>
      <c r="AD261" s="42" t="s">
        <v>45</v>
      </c>
      <c r="AE261" s="42">
        <v>2</v>
      </c>
      <c r="AF261" s="42">
        <v>1</v>
      </c>
      <c r="AG261" s="43">
        <v>6</v>
      </c>
      <c r="AH261" s="42">
        <v>9</v>
      </c>
      <c r="AI261" s="42">
        <v>6</v>
      </c>
      <c r="AJ261" s="43">
        <v>6</v>
      </c>
      <c r="AK261" s="45" t="s">
        <v>45</v>
      </c>
      <c r="AL261" s="45" t="s">
        <v>47</v>
      </c>
      <c r="AM261" s="46">
        <f>($L$3*(L261-$Q$1)/$Q$2+$M$3*(M261-$R$1)/$R$2+$N$3*(N261-$S$1)/$S$2+$O$3*(O261-$T$1)/$T$2+$P$3*(P261-$U$1)/$U$2)/(SUM($L$3:$P$3))</f>
        <v>-1.8605124261753858</v>
      </c>
      <c r="AN261" s="46">
        <f>($L$3*(Q261-$Q$1)/$Q$2+$M$3*(R261-$R$1)/$R$2+$N$3*(S261-$S$1)/$S$2+$O$3*(T261-$T$1)/$T$2+$P$3*(U261-$U$1)/$U$2)/(SUM($L$3:$P$3))</f>
        <v>-0.68770622683149762</v>
      </c>
      <c r="AO261" s="47">
        <f>IF(AVERAGE(AH261:AI261)&gt;9,1,0)+IF(AVERAGE(AH261:AI261)&gt;7,1,0)+IF(AH261&gt;7,1,0)+IF(AI261&gt;7,1,0)+IF(AJ261&gt;8,1,0)+IF(AJ261&gt;6,1,0)</f>
        <v>2</v>
      </c>
      <c r="AP261" s="48">
        <f>MIN(2,IF(OR(Z261="-",X261&lt;5),0,1+IF(Y261&gt;7,0.35,IF(Y261&gt;5,0.1,0))+IF(Z261&gt;7,1+IF(X261&gt;7,0.25,0),IF(Z261&gt;4,0.5+IF(X261&gt;7,0.25,0),0+IF(X261&gt;7,0.25))))+IF(AA261="-",0,IF(AA261&gt;9,0.5,IF(AA261&gt;7,0.25,0)))+IF(AB261="-",0,IF(AB261&gt;7,1.1,IF(AB261&gt;4,0.6,0)))+IF(OR(AC261="-",V261&lt;5),0,IF(AC261&gt;7,1+IF(V261&gt;7,0.25,0),IF(AC261&gt;4,0.5+IF(V261&gt;7,0.25,0),0)))+IF(AD261="-",0,IF(AD261&gt;7,1.5,IF(AD261&gt;4,1,0)))+IF(AE261="-",0,IF(AE261&gt;9,0.5,IF(AE261&gt;7,0.25,0)))+IF(AF261="-",0,IF(AF261&gt;7,1.25,IF(AF261&gt;4,0.75,0)))+IF(OR(AG261="-",W261&lt;4),0,IF(AG261&gt;7,1+IF(W261&gt;7,0.15,0),IF(AG261&gt;4,0.5+IF(W261&gt;7,0.15,0),0))))</f>
        <v>0.65</v>
      </c>
      <c r="AQ261" s="46">
        <f>($AM$3*AM261+$AN$3*AN261+$AO$3*AO261+$AP$3*AP261)+$I$3*VLOOKUP(I261,COND!$A$2:$E$7,4,FALSE)+$J$3*VLOOKUP(J261,COND!$A$2:$C$7,2,FALSE)+$K$3*VLOOKUP(K261,COND!$A$2:$C$7,3,FALSE)+IF(AND($B$2&gt;0,$E261&lt;20),$B$2*25,0)</f>
        <v>38.14480736873783</v>
      </c>
      <c r="AR261" s="49">
        <f>STANDARDIZE(AQ261,AVERAGE($AQ$5:$AQ$537),STDEVP($AQ$5:$AQ$537))</f>
        <v>-0.38768062140902737</v>
      </c>
      <c r="AS261" s="47" t="str">
        <f>IF(AND(Z261&lt;&gt;"-",Y261&gt;1),"C",IF(AB261=MAX(AB261:AD261),"2B",IF(AD261=MAX(AB261:AD261),"SS",IF(OR(AC261=MAX(AA261:AD261),AND(AC261&lt;&gt;"-",AC261&gt;4,V261&gt;5)),"3B",IF(AF261=MAX(AE261:AG261),"CF",IF(AND(AG261=MAX(AE261,AG261),AND(W261&gt;5,AG261&lt;&gt;"-")),"RF",IF(AE261&lt;&gt;"-","LF",IF(AA261&lt;&gt;"-","1B","DH"))))))))</f>
        <v>RF</v>
      </c>
      <c r="AT261" s="47"/>
      <c r="AU261" s="47"/>
      <c r="AV261" s="47"/>
      <c r="AW261" s="47" t="str">
        <f>IF(AND($Q261&gt;=6,AVERAGE($S261:$T261)&gt;=6),"Likely",IF(OR($Q261&gt;6,AND($Q261=6,AVERAGE($S261:$T261)&gt;=3),AND($Q261&gt;=5,AVERAGE($S261:$T261)&gt;=5),AVERAGE($Q261,$S261:$T261)&gt;5),"Possible","Unlikely"))</f>
        <v>Unlikely</v>
      </c>
      <c r="AX261" s="47"/>
      <c r="AY261" s="47" t="str">
        <f>INDEX(Table5[[#All],[Ovr]],MATCH(Batters[[#This Row],[PID]],Table5[[#All],[PID]],0))</f>
        <v/>
      </c>
      <c r="AZ261" s="47" t="str">
        <f>INDEX(Table5[[#All],[Rnd]],MATCH(Batters[[#This Row],[PID]],Table5[[#All],[PID]],0))</f>
        <v/>
      </c>
      <c r="BA261" s="47" t="str">
        <f>INDEX(Table5[[#All],[Pick]],MATCH(Batters[[#This Row],[PID]],Table5[[#All],[PID]],0))</f>
        <v/>
      </c>
      <c r="BB261" s="47" t="str">
        <f>INDEX(Table5[[#All],[Team]],MATCH(Batters[[#This Row],[PID]],Table5[[#All],[PID]],0))</f>
        <v/>
      </c>
    </row>
    <row r="262" spans="1:54" ht="15" customHeight="1" x14ac:dyDescent="0.25">
      <c r="A262" s="42">
        <v>12045</v>
      </c>
      <c r="B262" s="42" t="s">
        <v>66</v>
      </c>
      <c r="C262" s="42" t="s">
        <v>143</v>
      </c>
      <c r="D262" s="42" t="s">
        <v>1058</v>
      </c>
      <c r="E262" s="42">
        <v>20</v>
      </c>
      <c r="F262" s="42" t="s">
        <v>53</v>
      </c>
      <c r="G262" s="42" t="s">
        <v>53</v>
      </c>
      <c r="H262" s="43" t="s">
        <v>709</v>
      </c>
      <c r="I262" s="44" t="s">
        <v>43</v>
      </c>
      <c r="J262" s="42" t="s">
        <v>43</v>
      </c>
      <c r="K262" s="43" t="s">
        <v>44</v>
      </c>
      <c r="L262" s="42">
        <v>2</v>
      </c>
      <c r="M262" s="42">
        <v>1</v>
      </c>
      <c r="N262" s="42">
        <v>3</v>
      </c>
      <c r="O262" s="42">
        <v>2</v>
      </c>
      <c r="P262" s="43">
        <v>2</v>
      </c>
      <c r="Q262" s="42">
        <v>4</v>
      </c>
      <c r="R262" s="42">
        <v>3</v>
      </c>
      <c r="S262" s="42">
        <v>4</v>
      </c>
      <c r="T262" s="42">
        <v>4</v>
      </c>
      <c r="U262" s="43">
        <v>3</v>
      </c>
      <c r="V262" s="42">
        <v>9</v>
      </c>
      <c r="W262" s="42">
        <v>9</v>
      </c>
      <c r="X262" s="42">
        <v>1</v>
      </c>
      <c r="Y262" s="43">
        <v>1</v>
      </c>
      <c r="Z262" s="42" t="s">
        <v>45</v>
      </c>
      <c r="AA262" s="42" t="s">
        <v>45</v>
      </c>
      <c r="AB262" s="42" t="s">
        <v>45</v>
      </c>
      <c r="AC262" s="42" t="s">
        <v>45</v>
      </c>
      <c r="AD262" s="42" t="s">
        <v>45</v>
      </c>
      <c r="AE262" s="42" t="s">
        <v>45</v>
      </c>
      <c r="AF262" s="42" t="s">
        <v>45</v>
      </c>
      <c r="AG262" s="43">
        <v>5</v>
      </c>
      <c r="AH262" s="42">
        <v>3</v>
      </c>
      <c r="AI262" s="42">
        <v>1</v>
      </c>
      <c r="AJ262" s="43">
        <v>1</v>
      </c>
      <c r="AK262" s="45" t="s">
        <v>615</v>
      </c>
      <c r="AL262" s="45" t="s">
        <v>705</v>
      </c>
      <c r="AM262" s="46">
        <f>($L$3*(L262-$Q$1)/$Q$2+$M$3*(M262-$R$1)/$R$2+$N$3*(N262-$S$1)/$S$2+$O$3*(O262-$T$1)/$T$2+$P$3*(P262-$U$1)/$U$2)/(SUM($L$3:$P$3))</f>
        <v>-1.4659386357504296</v>
      </c>
      <c r="AN262" s="46">
        <f>($L$3*(Q262-$Q$1)/$Q$2+$M$3*(R262-$R$1)/$R$2+$N$3*(S262-$S$1)/$S$2+$O$3*(T262-$T$1)/$T$2+$P$3*(U262-$U$1)/$U$2)/(SUM($L$3:$P$3))</f>
        <v>-0.41621027024752627</v>
      </c>
      <c r="AO262" s="47">
        <f>IF(AVERAGE(AH262:AI262)&gt;9,1,0)+IF(AVERAGE(AH262:AI262)&gt;7,1,0)+IF(AH262&gt;7,1,0)+IF(AI262&gt;7,1,0)+IF(AJ262&gt;8,1,0)+IF(AJ262&gt;6,1,0)</f>
        <v>0</v>
      </c>
      <c r="AP262" s="48">
        <f>MIN(2,IF(OR(Z262="-",X262&lt;5),0,1+IF(Y262&gt;7,0.35,IF(Y262&gt;5,0.1,0))+IF(Z262&gt;7,1+IF(X262&gt;7,0.25,0),IF(Z262&gt;4,0.5+IF(X262&gt;7,0.25,0),0+IF(X262&gt;7,0.25))))+IF(AA262="-",0,IF(AA262&gt;9,0.5,IF(AA262&gt;7,0.25,0)))+IF(AB262="-",0,IF(AB262&gt;7,1.1,IF(AB262&gt;4,0.6,0)))+IF(OR(AC262="-",V262&lt;5),0,IF(AC262&gt;7,1+IF(V262&gt;7,0.25,0),IF(AC262&gt;4,0.5+IF(V262&gt;7,0.25,0),0)))+IF(AD262="-",0,IF(AD262&gt;7,1.5,IF(AD262&gt;4,1,0)))+IF(AE262="-",0,IF(AE262&gt;9,0.5,IF(AE262&gt;7,0.25,0)))+IF(AF262="-",0,IF(AF262&gt;7,1.25,IF(AF262&gt;4,0.75,0)))+IF(OR(AG262="-",W262&lt;4),0,IF(AG262&gt;7,1+IF(W262&gt;7,0.15,0),IF(AG262&gt;4,0.5+IF(W262&gt;7,0.15,0),0))))</f>
        <v>0.65</v>
      </c>
      <c r="AQ262" s="46">
        <f>($AM$3*AM262+$AN$3*AN262+$AO$3*AO262+$AP$3*AP262)+$I$3*VLOOKUP(I262,COND!$A$2:$E$7,4,FALSE)+$J$3*VLOOKUP(J262,COND!$A$2:$C$7,2,FALSE)+$K$3*VLOOKUP(K262,COND!$A$2:$C$7,3,FALSE)+IF(AND($B$2&gt;0,$E262&lt;20),$B$2*25,0)</f>
        <v>40.208882893454643</v>
      </c>
      <c r="AR262" s="49">
        <f>STANDARDIZE(AQ262,AVERAGE($AQ$5:$AQ$537),STDEVP($AQ$5:$AQ$537))</f>
        <v>-2.452025130723556E-2</v>
      </c>
      <c r="AS262" s="47" t="str">
        <f>IF(AND(Z262&lt;&gt;"-",Y262&gt;1),"C",IF(AB262=MAX(AB262:AD262),"2B",IF(AD262=MAX(AB262:AD262),"SS",IF(OR(AC262=MAX(AA262:AD262),AND(AC262&lt;&gt;"-",AC262&gt;4,V262&gt;5)),"3B",IF(AF262=MAX(AE262:AG262),"CF",IF(AND(AG262=MAX(AE262,AG262),AND(W262&gt;5,AG262&lt;&gt;"-")),"RF",IF(AE262&lt;&gt;"-","LF",IF(AA262&lt;&gt;"-","1B","DH"))))))))</f>
        <v>RF</v>
      </c>
      <c r="AT262" s="47"/>
      <c r="AU262" s="47"/>
      <c r="AV262" s="47"/>
      <c r="AW262" s="47" t="str">
        <f>IF(AND($Q262&gt;=6,AVERAGE($S262:$T262)&gt;=6),"Likely",IF(OR($Q262&gt;6,AND($Q262=6,AVERAGE($S262:$T262)&gt;=3),AND($Q262&gt;=5,AVERAGE($S262:$T262)&gt;=5),AVERAGE($Q262,$S262:$T262)&gt;5),"Possible","Unlikely"))</f>
        <v>Unlikely</v>
      </c>
      <c r="AX262" s="47"/>
      <c r="AY262" s="47" t="str">
        <f>INDEX(Table5[[#All],[Ovr]],MATCH(Batters[[#This Row],[PID]],Table5[[#All],[PID]],0))</f>
        <v/>
      </c>
      <c r="AZ262" s="47" t="str">
        <f>INDEX(Table5[[#All],[Rnd]],MATCH(Batters[[#This Row],[PID]],Table5[[#All],[PID]],0))</f>
        <v/>
      </c>
      <c r="BA262" s="47" t="str">
        <f>INDEX(Table5[[#All],[Pick]],MATCH(Batters[[#This Row],[PID]],Table5[[#All],[PID]],0))</f>
        <v/>
      </c>
      <c r="BB262" s="47" t="str">
        <f>INDEX(Table5[[#All],[Team]],MATCH(Batters[[#This Row],[PID]],Table5[[#All],[PID]],0))</f>
        <v/>
      </c>
    </row>
    <row r="263" spans="1:54" ht="15" customHeight="1" x14ac:dyDescent="0.25">
      <c r="A263" s="42">
        <v>17642</v>
      </c>
      <c r="B263" s="42" t="s">
        <v>74</v>
      </c>
      <c r="C263" s="42" t="s">
        <v>891</v>
      </c>
      <c r="D263" s="42" t="s">
        <v>1358</v>
      </c>
      <c r="E263" s="42">
        <v>18</v>
      </c>
      <c r="F263" s="42" t="s">
        <v>62</v>
      </c>
      <c r="G263" s="42" t="s">
        <v>53</v>
      </c>
      <c r="H263" s="43" t="s">
        <v>709</v>
      </c>
      <c r="I263" s="44" t="s">
        <v>43</v>
      </c>
      <c r="J263" s="42" t="s">
        <v>43</v>
      </c>
      <c r="K263" s="43" t="s">
        <v>43</v>
      </c>
      <c r="L263" s="42">
        <v>1</v>
      </c>
      <c r="M263" s="42">
        <v>1</v>
      </c>
      <c r="N263" s="42">
        <v>2</v>
      </c>
      <c r="O263" s="42">
        <v>1</v>
      </c>
      <c r="P263" s="43">
        <v>1</v>
      </c>
      <c r="Q263" s="42">
        <v>2</v>
      </c>
      <c r="R263" s="42">
        <v>4</v>
      </c>
      <c r="S263" s="42">
        <v>3</v>
      </c>
      <c r="T263" s="42">
        <v>5</v>
      </c>
      <c r="U263" s="43">
        <v>3</v>
      </c>
      <c r="V263" s="42">
        <v>3</v>
      </c>
      <c r="W263" s="42">
        <v>5</v>
      </c>
      <c r="X263" s="42">
        <v>1</v>
      </c>
      <c r="Y263" s="43">
        <v>1</v>
      </c>
      <c r="Z263" s="42" t="s">
        <v>45</v>
      </c>
      <c r="AA263" s="42" t="s">
        <v>45</v>
      </c>
      <c r="AB263" s="42" t="s">
        <v>45</v>
      </c>
      <c r="AC263" s="42" t="s">
        <v>45</v>
      </c>
      <c r="AD263" s="42" t="s">
        <v>45</v>
      </c>
      <c r="AE263" s="42" t="s">
        <v>45</v>
      </c>
      <c r="AF263" s="42">
        <v>6</v>
      </c>
      <c r="AG263" s="43" t="s">
        <v>45</v>
      </c>
      <c r="AH263" s="42">
        <v>10</v>
      </c>
      <c r="AI263" s="42">
        <v>9</v>
      </c>
      <c r="AJ263" s="43">
        <v>9</v>
      </c>
      <c r="AK263" s="45" t="s">
        <v>599</v>
      </c>
      <c r="AL263" s="45" t="s">
        <v>47</v>
      </c>
      <c r="AM263" s="46">
        <f>($L$3*(L263-$Q$1)/$Q$2+$M$3*(M263-$R$1)/$R$2+$N$3*(N263-$S$1)/$S$2+$O$3*(O263-$T$1)/$T$2+$P$3*(P263-$U$1)/$U$2)/(SUM($L$3:$P$3))</f>
        <v>-2.0012818558036707</v>
      </c>
      <c r="AN263" s="46">
        <f>($L$3*(Q263-$Q$1)/$Q$2+$M$3*(R263-$R$1)/$R$2+$N$3*(S263-$S$1)/$S$2+$O$3*(T263-$T$1)/$T$2+$P$3*(U263-$U$1)/$U$2)/(SUM($L$3:$P$3))</f>
        <v>-1.0036140070484929</v>
      </c>
      <c r="AO263" s="47">
        <f>IF(AVERAGE(AH263:AI263)&gt;9,1,0)+IF(AVERAGE(AH263:AI263)&gt;7,1,0)+IF(AH263&gt;7,1,0)+IF(AI263&gt;7,1,0)+IF(AJ263&gt;8,1,0)+IF(AJ263&gt;6,1,0)</f>
        <v>6</v>
      </c>
      <c r="AP263" s="48">
        <f>MIN(2,IF(OR(Z263="-",X263&lt;5),0,1+IF(Y263&gt;7,0.35,IF(Y263&gt;5,0.1,0))+IF(Z263&gt;7,1+IF(X263&gt;7,0.25,0),IF(Z263&gt;4,0.5+IF(X263&gt;7,0.25,0),0+IF(X263&gt;7,0.25))))+IF(AA263="-",0,IF(AA263&gt;9,0.5,IF(AA263&gt;7,0.25,0)))+IF(AB263="-",0,IF(AB263&gt;7,1.1,IF(AB263&gt;4,0.6,0)))+IF(OR(AC263="-",V263&lt;5),0,IF(AC263&gt;7,1+IF(V263&gt;7,0.25,0),IF(AC263&gt;4,0.5+IF(V263&gt;7,0.25,0),0)))+IF(AD263="-",0,IF(AD263&gt;7,1.5,IF(AD263&gt;4,1,0)))+IF(AE263="-",0,IF(AE263&gt;9,0.5,IF(AE263&gt;7,0.25,0)))+IF(AF263="-",0,IF(AF263&gt;7,1.25,IF(AF263&gt;4,0.75,0)))+IF(OR(AG263="-",W263&lt;4),0,IF(AG263&gt;7,1+IF(W263&gt;7,0.15,0),IF(AG263&gt;4,0.5+IF(W263&gt;7,0.15,0),0))))</f>
        <v>0.75</v>
      </c>
      <c r="AQ263" s="46">
        <f>($AM$3*AM263+$AN$3*AN263+$AO$3*AO263+$AP$3*AP263)+$I$3*VLOOKUP(I263,COND!$A$2:$E$7,4,FALSE)+$J$3*VLOOKUP(J263,COND!$A$2:$C$7,2,FALSE)+$K$3*VLOOKUP(K263,COND!$A$2:$C$7,3,FALSE)+IF(AND($B$2&gt;0,$E263&lt;20),$B$2*25,0)</f>
        <v>39.506503729837718</v>
      </c>
      <c r="AR263" s="49">
        <f>STANDARDIZE(AQ263,AVERAGE($AQ$5:$AQ$537),STDEVP($AQ$5:$AQ$537))</f>
        <v>-0.14809919692062604</v>
      </c>
      <c r="AS263" s="47" t="str">
        <f>IF(AND(Z263&lt;&gt;"-",Y263&gt;1),"C",IF(AB263=MAX(AB263:AD263),"2B",IF(AD263=MAX(AB263:AD263),"SS",IF(OR(AC263=MAX(AA263:AD263),AND(AC263&lt;&gt;"-",AC263&gt;4,V263&gt;5)),"3B",IF(AF263=MAX(AE263:AG263),"CF",IF(AND(AG263=MAX(AE263,AG263),AND(W263&gt;5,AG263&lt;&gt;"-")),"RF",IF(AE263&lt;&gt;"-","LF",IF(AA263&lt;&gt;"-","1B","DH"))))))))</f>
        <v>CF</v>
      </c>
      <c r="AT263" s="47"/>
      <c r="AU263" s="47"/>
      <c r="AV263" s="47"/>
      <c r="AW263" s="47" t="str">
        <f>IF(AND($Q263&gt;=6,AVERAGE($S263:$T263)&gt;=6),"Likely",IF(OR($Q263&gt;6,AND($Q263=6,AVERAGE($S263:$T263)&gt;=3),AND($Q263&gt;=5,AVERAGE($S263:$T263)&gt;=5),AVERAGE($Q263,$S263:$T263)&gt;5),"Possible","Unlikely"))</f>
        <v>Unlikely</v>
      </c>
      <c r="AX263" s="47"/>
      <c r="AY263" s="47" t="str">
        <f>INDEX(Table5[[#All],[Ovr]],MATCH(Batters[[#This Row],[PID]],Table5[[#All],[PID]],0))</f>
        <v/>
      </c>
      <c r="AZ263" s="47" t="str">
        <f>INDEX(Table5[[#All],[Rnd]],MATCH(Batters[[#This Row],[PID]],Table5[[#All],[PID]],0))</f>
        <v/>
      </c>
      <c r="BA263" s="47" t="str">
        <f>INDEX(Table5[[#All],[Pick]],MATCH(Batters[[#This Row],[PID]],Table5[[#All],[PID]],0))</f>
        <v/>
      </c>
      <c r="BB263" s="47" t="str">
        <f>INDEX(Table5[[#All],[Team]],MATCH(Batters[[#This Row],[PID]],Table5[[#All],[PID]],0))</f>
        <v/>
      </c>
    </row>
    <row r="264" spans="1:54" ht="15" customHeight="1" x14ac:dyDescent="0.25">
      <c r="A264" s="42">
        <v>13545</v>
      </c>
      <c r="B264" s="42" t="s">
        <v>87</v>
      </c>
      <c r="C264" s="42" t="s">
        <v>128</v>
      </c>
      <c r="D264" s="42" t="s">
        <v>1179</v>
      </c>
      <c r="E264" s="42">
        <v>18</v>
      </c>
      <c r="F264" s="42" t="s">
        <v>42</v>
      </c>
      <c r="G264" s="42" t="s">
        <v>42</v>
      </c>
      <c r="H264" s="43" t="s">
        <v>721</v>
      </c>
      <c r="I264" s="44" t="s">
        <v>43</v>
      </c>
      <c r="J264" s="42" t="s">
        <v>44</v>
      </c>
      <c r="K264" s="43" t="s">
        <v>44</v>
      </c>
      <c r="L264" s="42">
        <v>1</v>
      </c>
      <c r="M264" s="42">
        <v>1</v>
      </c>
      <c r="N264" s="42">
        <v>2</v>
      </c>
      <c r="O264" s="42">
        <v>1</v>
      </c>
      <c r="P264" s="43">
        <v>1</v>
      </c>
      <c r="Q264" s="42">
        <v>3</v>
      </c>
      <c r="R264" s="42">
        <v>3</v>
      </c>
      <c r="S264" s="42">
        <v>5</v>
      </c>
      <c r="T264" s="42">
        <v>4</v>
      </c>
      <c r="U264" s="43">
        <v>2</v>
      </c>
      <c r="V264" s="42">
        <v>1</v>
      </c>
      <c r="W264" s="42">
        <v>1</v>
      </c>
      <c r="X264" s="42">
        <v>1</v>
      </c>
      <c r="Y264" s="43">
        <v>1</v>
      </c>
      <c r="Z264" s="42" t="s">
        <v>45</v>
      </c>
      <c r="AA264" s="42">
        <v>1</v>
      </c>
      <c r="AB264" s="42" t="s">
        <v>45</v>
      </c>
      <c r="AC264" s="42" t="s">
        <v>45</v>
      </c>
      <c r="AD264" s="42" t="s">
        <v>45</v>
      </c>
      <c r="AE264" s="42" t="s">
        <v>45</v>
      </c>
      <c r="AF264" s="42" t="s">
        <v>45</v>
      </c>
      <c r="AG264" s="43" t="s">
        <v>45</v>
      </c>
      <c r="AH264" s="42">
        <v>1</v>
      </c>
      <c r="AI264" s="42">
        <v>1</v>
      </c>
      <c r="AJ264" s="43">
        <v>1</v>
      </c>
      <c r="AK264" s="45" t="s">
        <v>730</v>
      </c>
      <c r="AL264" s="45" t="s">
        <v>705</v>
      </c>
      <c r="AM264" s="46">
        <f>($L$3*(L264-$Q$1)/$Q$2+$M$3*(M264-$R$1)/$R$2+$N$3*(N264-$S$1)/$S$2+$O$3*(O264-$T$1)/$T$2+$P$3*(P264-$U$1)/$U$2)/(SUM($L$3:$P$3))</f>
        <v>-2.0012818558036707</v>
      </c>
      <c r="AN264" s="46">
        <f>($L$3*(Q264-$Q$1)/$Q$2+$M$3*(R264-$R$1)/$R$2+$N$3*(S264-$S$1)/$S$2+$O$3*(T264-$T$1)/$T$2+$P$3*(U264-$U$1)/$U$2)/(SUM($L$3:$P$3))</f>
        <v>-0.69572095224338304</v>
      </c>
      <c r="AO264" s="47">
        <f>IF(AVERAGE(AH264:AI264)&gt;9,1,0)+IF(AVERAGE(AH264:AI264)&gt;7,1,0)+IF(AH264&gt;7,1,0)+IF(AI264&gt;7,1,0)+IF(AJ264&gt;8,1,0)+IF(AJ264&gt;6,1,0)</f>
        <v>0</v>
      </c>
      <c r="AP264" s="48">
        <f>MIN(2,IF(OR(Z264="-",X264&lt;5),0,1+IF(Y264&gt;7,0.35,IF(Y264&gt;5,0.1,0))+IF(Z264&gt;7,1+IF(X264&gt;7,0.25,0),IF(Z264&gt;4,0.5+IF(X264&gt;7,0.25,0),0+IF(X264&gt;7,0.25))))+IF(AA264="-",0,IF(AA264&gt;9,0.5,IF(AA264&gt;7,0.25,0)))+IF(AB264="-",0,IF(AB264&gt;7,1.1,IF(AB264&gt;4,0.6,0)))+IF(OR(AC264="-",V264&lt;5),0,IF(AC264&gt;7,1+IF(V264&gt;7,0.25,0),IF(AC264&gt;4,0.5+IF(V264&gt;7,0.25,0),0)))+IF(AD264="-",0,IF(AD264&gt;7,1.5,IF(AD264&gt;4,1,0)))+IF(AE264="-",0,IF(AE264&gt;9,0.5,IF(AE264&gt;7,0.25,0)))+IF(AF264="-",0,IF(AF264&gt;7,1.25,IF(AF264&gt;4,0.75,0)))+IF(OR(AG264="-",W264&lt;4),0,IF(AG264&gt;7,1+IF(W264&gt;7,0.15,0),IF(AG264&gt;4,0.5+IF(W264&gt;7,0.15,0),0))))</f>
        <v>0</v>
      </c>
      <c r="AQ264" s="46">
        <f>($AM$3*AM264+$AN$3*AN264+$AO$3*AO264+$AP$3*AP264)+$I$3*VLOOKUP(I264,COND!$A$2:$E$7,4,FALSE)+$J$3*VLOOKUP(J264,COND!$A$2:$C$7,2,FALSE)+$K$3*VLOOKUP(K264,COND!$A$2:$C$7,3,FALSE)+IF(AND($B$2&gt;0,$E264&lt;20),$B$2*25,0)</f>
        <v>40.85122038749904</v>
      </c>
      <c r="AR264" s="49">
        <f>STANDARDIZE(AQ264,AVERAGE($AQ$5:$AQ$537),STDEVP($AQ$5:$AQ$537))</f>
        <v>8.8494761600020039E-2</v>
      </c>
      <c r="AS264" s="47" t="str">
        <f>IF(AND(Z264&lt;&gt;"-",Y264&gt;1),"C",IF(AB264=MAX(AB264:AD264),"2B",IF(AD264=MAX(AB264:AD264),"SS",IF(OR(AC264=MAX(AA264:AD264),AND(AC264&lt;&gt;"-",AC264&gt;4,V264&gt;5)),"3B",IF(AF264=MAX(AE264:AG264),"CF",IF(AND(AG264=MAX(AE264,AG264),AND(W264&gt;5,AG264&lt;&gt;"-")),"RF",IF(AE264&lt;&gt;"-","LF",IF(AA264&lt;&gt;"-","1B","DH"))))))))</f>
        <v>1B</v>
      </c>
      <c r="AT264" s="47"/>
      <c r="AU264" s="47"/>
      <c r="AV264" s="47"/>
      <c r="AW264" s="47" t="str">
        <f>IF(AND($Q264&gt;=6,AVERAGE($S264:$T264)&gt;=6),"Likely",IF(OR($Q264&gt;6,AND($Q264=6,AVERAGE($S264:$T264)&gt;=3),AND($Q264&gt;=5,AVERAGE($S264:$T264)&gt;=5),AVERAGE($Q264,$S264:$T264)&gt;5),"Possible","Unlikely"))</f>
        <v>Unlikely</v>
      </c>
      <c r="AX264" s="47"/>
      <c r="AY264" s="47" t="str">
        <f>INDEX(Table5[[#All],[Ovr]],MATCH(Batters[[#This Row],[PID]],Table5[[#All],[PID]],0))</f>
        <v/>
      </c>
      <c r="AZ264" s="47" t="str">
        <f>INDEX(Table5[[#All],[Rnd]],MATCH(Batters[[#This Row],[PID]],Table5[[#All],[PID]],0))</f>
        <v/>
      </c>
      <c r="BA264" s="47" t="str">
        <f>INDEX(Table5[[#All],[Pick]],MATCH(Batters[[#This Row],[PID]],Table5[[#All],[PID]],0))</f>
        <v/>
      </c>
      <c r="BB264" s="47" t="str">
        <f>INDEX(Table5[[#All],[Team]],MATCH(Batters[[#This Row],[PID]],Table5[[#All],[PID]],0))</f>
        <v/>
      </c>
    </row>
    <row r="265" spans="1:54" ht="15" customHeight="1" x14ac:dyDescent="0.25">
      <c r="A265" s="42">
        <v>9352</v>
      </c>
      <c r="B265" s="42" t="s">
        <v>50</v>
      </c>
      <c r="C265" s="42" t="s">
        <v>690</v>
      </c>
      <c r="D265" s="42" t="s">
        <v>1060</v>
      </c>
      <c r="E265" s="42">
        <v>21</v>
      </c>
      <c r="F265" s="42" t="s">
        <v>42</v>
      </c>
      <c r="G265" s="42" t="s">
        <v>42</v>
      </c>
      <c r="H265" s="43" t="s">
        <v>709</v>
      </c>
      <c r="I265" s="44" t="s">
        <v>44</v>
      </c>
      <c r="J265" s="42" t="s">
        <v>44</v>
      </c>
      <c r="K265" s="43" t="s">
        <v>43</v>
      </c>
      <c r="L265" s="42">
        <v>2</v>
      </c>
      <c r="M265" s="42">
        <v>1</v>
      </c>
      <c r="N265" s="42">
        <v>2</v>
      </c>
      <c r="O265" s="42">
        <v>3</v>
      </c>
      <c r="P265" s="43">
        <v>1</v>
      </c>
      <c r="Q265" s="42">
        <v>4</v>
      </c>
      <c r="R265" s="42">
        <v>3</v>
      </c>
      <c r="S265" s="42">
        <v>3</v>
      </c>
      <c r="T265" s="42">
        <v>5</v>
      </c>
      <c r="U265" s="43">
        <v>4</v>
      </c>
      <c r="V265" s="42">
        <v>6</v>
      </c>
      <c r="W265" s="42">
        <v>7</v>
      </c>
      <c r="X265" s="42">
        <v>1</v>
      </c>
      <c r="Y265" s="43">
        <v>1</v>
      </c>
      <c r="Z265" s="42" t="s">
        <v>45</v>
      </c>
      <c r="AA265" s="42" t="s">
        <v>45</v>
      </c>
      <c r="AB265" s="42" t="s">
        <v>45</v>
      </c>
      <c r="AC265" s="42" t="s">
        <v>45</v>
      </c>
      <c r="AD265" s="42" t="s">
        <v>45</v>
      </c>
      <c r="AE265" s="42">
        <v>6</v>
      </c>
      <c r="AF265" s="42" t="s">
        <v>45</v>
      </c>
      <c r="AG265" s="43" t="s">
        <v>45</v>
      </c>
      <c r="AH265" s="42">
        <v>4</v>
      </c>
      <c r="AI265" s="42">
        <v>6</v>
      </c>
      <c r="AJ265" s="43">
        <v>7</v>
      </c>
      <c r="AK265" s="45" t="s">
        <v>45</v>
      </c>
      <c r="AL265" s="45" t="s">
        <v>47</v>
      </c>
      <c r="AM265" s="46">
        <f>($L$3*(L265-$Q$1)/$Q$2+$M$3*(M265-$R$1)/$R$2+$N$3*(N265-$S$1)/$S$2+$O$3*(O265-$T$1)/$T$2+$P$3*(P265-$U$1)/$U$2)/(SUM($L$3:$P$3))</f>
        <v>-1.4993069195818338</v>
      </c>
      <c r="AN265" s="46">
        <f>($L$3*(Q265-$Q$1)/$Q$2+$M$3*(R265-$R$1)/$R$2+$N$3*(S265-$S$1)/$S$2+$O$3*(T265-$T$1)/$T$2+$P$3*(U265-$U$1)/$U$2)/(SUM($L$3:$P$3))</f>
        <v>-0.36954587444476328</v>
      </c>
      <c r="AO265" s="47">
        <f>IF(AVERAGE(AH265:AI265)&gt;9,1,0)+IF(AVERAGE(AH265:AI265)&gt;7,1,0)+IF(AH265&gt;7,1,0)+IF(AI265&gt;7,1,0)+IF(AJ265&gt;8,1,0)+IF(AJ265&gt;6,1,0)</f>
        <v>1</v>
      </c>
      <c r="AP265" s="48">
        <f>MIN(2,IF(OR(Z265="-",X265&lt;5),0,1+IF(Y265&gt;7,0.35,IF(Y265&gt;5,0.1,0))+IF(Z265&gt;7,1+IF(X265&gt;7,0.25,0),IF(Z265&gt;4,0.5+IF(X265&gt;7,0.25,0),0+IF(X265&gt;7,0.25))))+IF(AA265="-",0,IF(AA265&gt;9,0.5,IF(AA265&gt;7,0.25,0)))+IF(AB265="-",0,IF(AB265&gt;7,1.1,IF(AB265&gt;4,0.6,0)))+IF(OR(AC265="-",V265&lt;5),0,IF(AC265&gt;7,1+IF(V265&gt;7,0.25,0),IF(AC265&gt;4,0.5+IF(V265&gt;7,0.25,0),0)))+IF(AD265="-",0,IF(AD265&gt;7,1.5,IF(AD265&gt;4,1,0)))+IF(AE265="-",0,IF(AE265&gt;9,0.5,IF(AE265&gt;7,0.25,0)))+IF(AF265="-",0,IF(AF265&gt;7,1.25,IF(AF265&gt;4,0.75,0)))+IF(OR(AG265="-",W265&lt;4),0,IF(AG265&gt;7,1+IF(W265&gt;7,0.15,0),IF(AG265&gt;4,0.5+IF(W265&gt;7,0.15,0),0))))</f>
        <v>0</v>
      </c>
      <c r="AQ265" s="46">
        <f>($AM$3*AM265+$AN$3*AN265+$AO$3*AO265+$AP$3*AP265)+$I$3*VLOOKUP(I265,COND!$A$2:$E$7,4,FALSE)+$J$3*VLOOKUP(J265,COND!$A$2:$C$7,2,FALSE)+$K$3*VLOOKUP(K265,COND!$A$2:$C$7,3,FALSE)+IF(AND($B$2&gt;0,$E265&lt;20),$B$2*25,0)</f>
        <v>40.132185481371323</v>
      </c>
      <c r="AR265" s="49">
        <f>STANDARDIZE(AQ265,AVERAGE($AQ$5:$AQ$537),STDEVP($AQ$5:$AQ$537))</f>
        <v>-3.8014651209026681E-2</v>
      </c>
      <c r="AS265" s="47" t="str">
        <f>IF(AND(Z265&lt;&gt;"-",Y265&gt;1),"C",IF(AB265=MAX(AB265:AD265),"2B",IF(AD265=MAX(AB265:AD265),"SS",IF(OR(AC265=MAX(AA265:AD265),AND(AC265&lt;&gt;"-",AC265&gt;4,V265&gt;5)),"3B",IF(AF265=MAX(AE265:AG265),"CF",IF(AND(AG265=MAX(AE265,AG265),AND(W265&gt;5,AG265&lt;&gt;"-")),"RF",IF(AE265&lt;&gt;"-","LF",IF(AA265&lt;&gt;"-","1B","DH"))))))))</f>
        <v>LF</v>
      </c>
      <c r="AT265" s="47"/>
      <c r="AU265" s="47"/>
      <c r="AV265" s="47"/>
      <c r="AW265" s="47" t="str">
        <f>IF(AND($Q265&gt;=6,AVERAGE($S265:$T265)&gt;=6),"Likely",IF(OR($Q265&gt;6,AND($Q265=6,AVERAGE($S265:$T265)&gt;=3),AND($Q265&gt;=5,AVERAGE($S265:$T265)&gt;=5),AVERAGE($Q265,$S265:$T265)&gt;5),"Possible","Unlikely"))</f>
        <v>Unlikely</v>
      </c>
      <c r="AX265" s="47"/>
      <c r="AY265" s="47" t="str">
        <f>INDEX(Table5[[#All],[Ovr]],MATCH(Batters[[#This Row],[PID]],Table5[[#All],[PID]],0))</f>
        <v/>
      </c>
      <c r="AZ265" s="47" t="str">
        <f>INDEX(Table5[[#All],[Rnd]],MATCH(Batters[[#This Row],[PID]],Table5[[#All],[PID]],0))</f>
        <v/>
      </c>
      <c r="BA265" s="47" t="str">
        <f>INDEX(Table5[[#All],[Pick]],MATCH(Batters[[#This Row],[PID]],Table5[[#All],[PID]],0))</f>
        <v/>
      </c>
      <c r="BB265" s="47" t="str">
        <f>INDEX(Table5[[#All],[Team]],MATCH(Batters[[#This Row],[PID]],Table5[[#All],[PID]],0))</f>
        <v/>
      </c>
    </row>
    <row r="266" spans="1:54" ht="15" customHeight="1" x14ac:dyDescent="0.25">
      <c r="A266" s="42">
        <v>6740</v>
      </c>
      <c r="B266" s="42" t="s">
        <v>86</v>
      </c>
      <c r="C266" s="42" t="s">
        <v>1301</v>
      </c>
      <c r="D266" s="42" t="s">
        <v>404</v>
      </c>
      <c r="E266" s="42">
        <v>21</v>
      </c>
      <c r="F266" s="42" t="s">
        <v>42</v>
      </c>
      <c r="G266" s="42" t="s">
        <v>42</v>
      </c>
      <c r="H266" s="43" t="s">
        <v>709</v>
      </c>
      <c r="I266" s="44" t="s">
        <v>43</v>
      </c>
      <c r="J266" s="42" t="s">
        <v>43</v>
      </c>
      <c r="K266" s="43" t="s">
        <v>43</v>
      </c>
      <c r="L266" s="42">
        <v>2</v>
      </c>
      <c r="M266" s="42">
        <v>4</v>
      </c>
      <c r="N266" s="42">
        <v>3</v>
      </c>
      <c r="O266" s="42">
        <v>5</v>
      </c>
      <c r="P266" s="43">
        <v>1</v>
      </c>
      <c r="Q266" s="42">
        <v>3</v>
      </c>
      <c r="R266" s="42">
        <v>5</v>
      </c>
      <c r="S266" s="42">
        <v>3</v>
      </c>
      <c r="T266" s="42">
        <v>6</v>
      </c>
      <c r="U266" s="43">
        <v>3</v>
      </c>
      <c r="V266" s="42">
        <v>4</v>
      </c>
      <c r="W266" s="42">
        <v>3</v>
      </c>
      <c r="X266" s="42">
        <v>6</v>
      </c>
      <c r="Y266" s="43">
        <v>5</v>
      </c>
      <c r="Z266" s="42">
        <v>2</v>
      </c>
      <c r="AA266" s="42" t="s">
        <v>45</v>
      </c>
      <c r="AB266" s="42" t="s">
        <v>45</v>
      </c>
      <c r="AC266" s="42" t="s">
        <v>45</v>
      </c>
      <c r="AD266" s="42" t="s">
        <v>45</v>
      </c>
      <c r="AE266" s="42" t="s">
        <v>45</v>
      </c>
      <c r="AF266" s="42" t="s">
        <v>45</v>
      </c>
      <c r="AG266" s="43" t="s">
        <v>45</v>
      </c>
      <c r="AH266" s="42">
        <v>2</v>
      </c>
      <c r="AI266" s="42">
        <v>3</v>
      </c>
      <c r="AJ266" s="43">
        <v>4</v>
      </c>
      <c r="AK266" s="45" t="s">
        <v>45</v>
      </c>
      <c r="AL266" s="45" t="s">
        <v>47</v>
      </c>
      <c r="AM266" s="46">
        <f>($L$3*(L266-$Q$1)/$Q$2+$M$3*(M266-$R$1)/$R$2+$N$3*(N266-$S$1)/$S$2+$O$3*(O266-$T$1)/$T$2+$P$3*(P266-$U$1)/$U$2)/(SUM($L$3:$P$3))</f>
        <v>-1.0836466866826597</v>
      </c>
      <c r="AN266" s="46">
        <f>($L$3*(Q266-$Q$1)/$Q$2+$M$3*(R266-$R$1)/$R$2+$N$3*(S266-$S$1)/$S$2+$O$3*(T266-$T$1)/$T$2+$P$3*(U266-$U$1)/$U$2)/(SUM($L$3:$P$3))</f>
        <v>-0.54028874121753345</v>
      </c>
      <c r="AO266" s="47">
        <f>IF(AVERAGE(AH266:AI266)&gt;9,1,0)+IF(AVERAGE(AH266:AI266)&gt;7,1,0)+IF(AH266&gt;7,1,0)+IF(AI266&gt;7,1,0)+IF(AJ266&gt;8,1,0)+IF(AJ266&gt;6,1,0)</f>
        <v>0</v>
      </c>
      <c r="AP266" s="48">
        <f>MIN(2,IF(OR(Z266="-",X266&lt;5),0,1+IF(Y266&gt;7,0.35,IF(Y266&gt;5,0.1,0))+IF(Z266&gt;7,1+IF(X266&gt;7,0.25,0),IF(Z266&gt;4,0.5+IF(X266&gt;7,0.25,0),0+IF(X266&gt;7,0.25))))+IF(AA266="-",0,IF(AA266&gt;9,0.5,IF(AA266&gt;7,0.25,0)))+IF(AB266="-",0,IF(AB266&gt;7,1.1,IF(AB266&gt;4,0.6,0)))+IF(OR(AC266="-",V266&lt;5),0,IF(AC266&gt;7,1+IF(V266&gt;7,0.25,0),IF(AC266&gt;4,0.5+IF(V266&gt;7,0.25,0),0)))+IF(AD266="-",0,IF(AD266&gt;7,1.5,IF(AD266&gt;4,1,0)))+IF(AE266="-",0,IF(AE266&gt;9,0.5,IF(AE266&gt;7,0.25,0)))+IF(AF266="-",0,IF(AF266&gt;7,1.25,IF(AF266&gt;4,0.75,0)))+IF(OR(AG266="-",W266&lt;4),0,IF(AG266&gt;7,1+IF(W266&gt;7,0.15,0),IF(AG266&gt;4,0.5+IF(W266&gt;7,0.15,0),0))))</f>
        <v>1</v>
      </c>
      <c r="AQ266" s="46">
        <f>($AM$3*AM266+$AN$3*AN266+$AO$3*AO266+$AP$3*AP266)+$I$3*VLOOKUP(I266,COND!$A$2:$E$7,4,FALSE)+$J$3*VLOOKUP(J266,COND!$A$2:$C$7,2,FALSE)+$K$3*VLOOKUP(K266,COND!$A$2:$C$7,3,FALSE)+IF(AND($B$2&gt;0,$E266&lt;20),$B$2*25,0)</f>
        <v>39.408170436721335</v>
      </c>
      <c r="AR266" s="49">
        <f>STANDARDIZE(AQ266,AVERAGE($AQ$5:$AQ$537),STDEVP($AQ$5:$AQ$537))</f>
        <v>-0.16540028629155545</v>
      </c>
      <c r="AS266" s="47" t="str">
        <f>IF(AND(Z266&lt;&gt;"-",Y266&gt;1),"C",IF(AB266=MAX(AB266:AD266),"2B",IF(AD266=MAX(AB266:AD266),"SS",IF(OR(AC266=MAX(AA266:AD266),AND(AC266&lt;&gt;"-",AC266&gt;4,V266&gt;5)),"3B",IF(AF266=MAX(AE266:AG266),"CF",IF(AND(AG266=MAX(AE266,AG266),AND(W266&gt;5,AG266&lt;&gt;"-")),"RF",IF(AE266&lt;&gt;"-","LF",IF(AA266&lt;&gt;"-","1B","DH"))))))))</f>
        <v>C</v>
      </c>
      <c r="AT266" s="47"/>
      <c r="AU266" s="47"/>
      <c r="AV266" s="47"/>
      <c r="AW266" s="47" t="str">
        <f>IF(AND($Q266&gt;=6,AVERAGE($S266:$T266)&gt;=6),"Likely",IF(OR($Q266&gt;6,AND($Q266=6,AVERAGE($S266:$T266)&gt;=3),AND($Q266&gt;=5,AVERAGE($S266:$T266)&gt;=5),AVERAGE($Q266,$S266:$T266)&gt;5),"Possible","Unlikely"))</f>
        <v>Unlikely</v>
      </c>
      <c r="AX266" s="47"/>
      <c r="AY266" s="47" t="str">
        <f>INDEX(Table5[[#All],[Ovr]],MATCH(Batters[[#This Row],[PID]],Table5[[#All],[PID]],0))</f>
        <v/>
      </c>
      <c r="AZ266" s="47" t="str">
        <f>INDEX(Table5[[#All],[Rnd]],MATCH(Batters[[#This Row],[PID]],Table5[[#All],[PID]],0))</f>
        <v/>
      </c>
      <c r="BA266" s="47" t="str">
        <f>INDEX(Table5[[#All],[Pick]],MATCH(Batters[[#This Row],[PID]],Table5[[#All],[PID]],0))</f>
        <v/>
      </c>
      <c r="BB266" s="47" t="str">
        <f>INDEX(Table5[[#All],[Team]],MATCH(Batters[[#This Row],[PID]],Table5[[#All],[PID]],0))</f>
        <v/>
      </c>
    </row>
    <row r="267" spans="1:54" ht="15" customHeight="1" x14ac:dyDescent="0.25">
      <c r="A267" s="42">
        <v>12447</v>
      </c>
      <c r="B267" s="42" t="s">
        <v>74</v>
      </c>
      <c r="C267" s="42" t="s">
        <v>1113</v>
      </c>
      <c r="D267" s="42" t="s">
        <v>843</v>
      </c>
      <c r="E267" s="42">
        <v>21</v>
      </c>
      <c r="F267" s="42" t="s">
        <v>62</v>
      </c>
      <c r="G267" s="42" t="s">
        <v>42</v>
      </c>
      <c r="H267" s="43" t="s">
        <v>709</v>
      </c>
      <c r="I267" s="44" t="s">
        <v>43</v>
      </c>
      <c r="J267" s="42" t="s">
        <v>44</v>
      </c>
      <c r="K267" s="43" t="s">
        <v>43</v>
      </c>
      <c r="L267" s="42">
        <v>3</v>
      </c>
      <c r="M267" s="42">
        <v>3</v>
      </c>
      <c r="N267" s="42">
        <v>2</v>
      </c>
      <c r="O267" s="42">
        <v>4</v>
      </c>
      <c r="P267" s="43">
        <v>3</v>
      </c>
      <c r="Q267" s="42">
        <v>4</v>
      </c>
      <c r="R267" s="42">
        <v>3</v>
      </c>
      <c r="S267" s="42">
        <v>2</v>
      </c>
      <c r="T267" s="42">
        <v>5</v>
      </c>
      <c r="U267" s="43">
        <v>4</v>
      </c>
      <c r="V267" s="42">
        <v>5</v>
      </c>
      <c r="W267" s="42">
        <v>7</v>
      </c>
      <c r="X267" s="42">
        <v>1</v>
      </c>
      <c r="Y267" s="43">
        <v>1</v>
      </c>
      <c r="Z267" s="42" t="s">
        <v>45</v>
      </c>
      <c r="AA267" s="42" t="s">
        <v>45</v>
      </c>
      <c r="AB267" s="42" t="s">
        <v>45</v>
      </c>
      <c r="AC267" s="42" t="s">
        <v>45</v>
      </c>
      <c r="AD267" s="42" t="s">
        <v>45</v>
      </c>
      <c r="AE267" s="42" t="s">
        <v>45</v>
      </c>
      <c r="AF267" s="42">
        <v>5</v>
      </c>
      <c r="AG267" s="43">
        <v>1</v>
      </c>
      <c r="AH267" s="42">
        <v>8</v>
      </c>
      <c r="AI267" s="42">
        <v>3</v>
      </c>
      <c r="AJ267" s="43">
        <v>2</v>
      </c>
      <c r="AK267" s="45" t="s">
        <v>45</v>
      </c>
      <c r="AL267" s="45" t="s">
        <v>705</v>
      </c>
      <c r="AM267" s="46">
        <f>($L$3*(L267-$Q$1)/$Q$2+$M$3*(M267-$R$1)/$R$2+$N$3*(N267-$S$1)/$S$2+$O$3*(O267-$T$1)/$T$2+$P$3*(P267-$U$1)/$U$2)/(SUM($L$3:$P$3))</f>
        <v>-0.90488909449800403</v>
      </c>
      <c r="AN267" s="46">
        <f>($L$3*(Q267-$Q$1)/$Q$2+$M$3*(R267-$R$1)/$R$2+$N$3*(S267-$S$1)/$S$2+$O$3*(T267-$T$1)/$T$2+$P$3*(U267-$U$1)/$U$2)/(SUM($L$3:$P$3))</f>
        <v>-0.45260736846866478</v>
      </c>
      <c r="AO267" s="47">
        <f>IF(AVERAGE(AH267:AI267)&gt;9,1,0)+IF(AVERAGE(AH267:AI267)&gt;7,1,0)+IF(AH267&gt;7,1,0)+IF(AI267&gt;7,1,0)+IF(AJ267&gt;8,1,0)+IF(AJ267&gt;6,1,0)</f>
        <v>1</v>
      </c>
      <c r="AP267" s="48">
        <f>MIN(2,IF(OR(Z267="-",X267&lt;5),0,1+IF(Y267&gt;7,0.35,IF(Y267&gt;5,0.1,0))+IF(Z267&gt;7,1+IF(X267&gt;7,0.25,0),IF(Z267&gt;4,0.5+IF(X267&gt;7,0.25,0),0+IF(X267&gt;7,0.25))))+IF(AA267="-",0,IF(AA267&gt;9,0.5,IF(AA267&gt;7,0.25,0)))+IF(AB267="-",0,IF(AB267&gt;7,1.1,IF(AB267&gt;4,0.6,0)))+IF(OR(AC267="-",V267&lt;5),0,IF(AC267&gt;7,1+IF(V267&gt;7,0.25,0),IF(AC267&gt;4,0.5+IF(V267&gt;7,0.25,0),0)))+IF(AD267="-",0,IF(AD267&gt;7,1.5,IF(AD267&gt;4,1,0)))+IF(AE267="-",0,IF(AE267&gt;9,0.5,IF(AE267&gt;7,0.25,0)))+IF(AF267="-",0,IF(AF267&gt;7,1.25,IF(AF267&gt;4,0.75,0)))+IF(OR(AG267="-",W267&lt;4),0,IF(AG267&gt;7,1+IF(W267&gt;7,0.15,0),IF(AG267&gt;4,0.5+IF(W267&gt;7,0.15,0),0))))</f>
        <v>0.75</v>
      </c>
      <c r="AQ267" s="46">
        <f>($AM$3*AM267+$AN$3*AN267+$AO$3*AO267+$AP$3*AP267)+$I$3*VLOOKUP(I267,COND!$A$2:$E$7,4,FALSE)+$J$3*VLOOKUP(J267,COND!$A$2:$C$7,2,FALSE)+$K$3*VLOOKUP(K267,COND!$A$2:$C$7,3,FALSE)+IF(AND($B$2&gt;0,$E267&lt;20),$B$2*25,0)</f>
        <v>40.094889335592889</v>
      </c>
      <c r="AR267" s="49">
        <f>STANDARDIZE(AQ267,AVERAGE($AQ$5:$AQ$537),STDEVP($AQ$5:$AQ$537))</f>
        <v>-4.4576660177242523E-2</v>
      </c>
      <c r="AS267" s="47" t="str">
        <f>IF(AND(Z267&lt;&gt;"-",Y267&gt;1),"C",IF(AB267=MAX(AB267:AD267),"2B",IF(AD267=MAX(AB267:AD267),"SS",IF(OR(AC267=MAX(AA267:AD267),AND(AC267&lt;&gt;"-",AC267&gt;4,V267&gt;5)),"3B",IF(AF267=MAX(AE267:AG267),"CF",IF(AND(AG267=MAX(AE267,AG267),AND(W267&gt;5,AG267&lt;&gt;"-")),"RF",IF(AE267&lt;&gt;"-","LF",IF(AA267&lt;&gt;"-","1B","DH"))))))))</f>
        <v>CF</v>
      </c>
      <c r="AT267" s="47"/>
      <c r="AU267" s="47"/>
      <c r="AV267" s="47"/>
      <c r="AW267" s="47" t="str">
        <f>IF(AND($Q267&gt;=6,AVERAGE($S267:$T267)&gt;=6),"Likely",IF(OR($Q267&gt;6,AND($Q267=6,AVERAGE($S267:$T267)&gt;=3),AND($Q267&gt;=5,AVERAGE($S267:$T267)&gt;=5),AVERAGE($Q267,$S267:$T267)&gt;5),"Possible","Unlikely"))</f>
        <v>Unlikely</v>
      </c>
      <c r="AX267" s="47"/>
      <c r="AY267" s="47" t="str">
        <f>INDEX(Table5[[#All],[Ovr]],MATCH(Batters[[#This Row],[PID]],Table5[[#All],[PID]],0))</f>
        <v/>
      </c>
      <c r="AZ267" s="47" t="str">
        <f>INDEX(Table5[[#All],[Rnd]],MATCH(Batters[[#This Row],[PID]],Table5[[#All],[PID]],0))</f>
        <v/>
      </c>
      <c r="BA267" s="47" t="str">
        <f>INDEX(Table5[[#All],[Pick]],MATCH(Batters[[#This Row],[PID]],Table5[[#All],[PID]],0))</f>
        <v/>
      </c>
      <c r="BB267" s="47" t="str">
        <f>INDEX(Table5[[#All],[Team]],MATCH(Batters[[#This Row],[PID]],Table5[[#All],[PID]],0))</f>
        <v/>
      </c>
    </row>
    <row r="268" spans="1:54" ht="15" customHeight="1" x14ac:dyDescent="0.25">
      <c r="A268" s="42">
        <v>8575</v>
      </c>
      <c r="B268" s="42" t="s">
        <v>87</v>
      </c>
      <c r="C268" s="42" t="s">
        <v>1075</v>
      </c>
      <c r="D268" s="42" t="s">
        <v>1137</v>
      </c>
      <c r="E268" s="42">
        <v>18</v>
      </c>
      <c r="F268" s="42" t="s">
        <v>42</v>
      </c>
      <c r="G268" s="42" t="s">
        <v>42</v>
      </c>
      <c r="H268" s="43" t="s">
        <v>721</v>
      </c>
      <c r="I268" s="44" t="s">
        <v>44</v>
      </c>
      <c r="J268" s="42" t="s">
        <v>43</v>
      </c>
      <c r="K268" s="43" t="s">
        <v>43</v>
      </c>
      <c r="L268" s="42">
        <v>1</v>
      </c>
      <c r="M268" s="42">
        <v>1</v>
      </c>
      <c r="N268" s="42">
        <v>2</v>
      </c>
      <c r="O268" s="42">
        <v>1</v>
      </c>
      <c r="P268" s="43">
        <v>1</v>
      </c>
      <c r="Q268" s="42">
        <v>3</v>
      </c>
      <c r="R268" s="42">
        <v>3</v>
      </c>
      <c r="S268" s="42">
        <v>5</v>
      </c>
      <c r="T268" s="42">
        <v>1</v>
      </c>
      <c r="U268" s="43">
        <v>3</v>
      </c>
      <c r="V268" s="42">
        <v>1</v>
      </c>
      <c r="W268" s="42">
        <v>3</v>
      </c>
      <c r="X268" s="42">
        <v>1</v>
      </c>
      <c r="Y268" s="43">
        <v>1</v>
      </c>
      <c r="Z268" s="42" t="s">
        <v>45</v>
      </c>
      <c r="AA268" s="42">
        <v>1</v>
      </c>
      <c r="AB268" s="42" t="s">
        <v>45</v>
      </c>
      <c r="AC268" s="42" t="s">
        <v>45</v>
      </c>
      <c r="AD268" s="42" t="s">
        <v>45</v>
      </c>
      <c r="AE268" s="42" t="s">
        <v>45</v>
      </c>
      <c r="AF268" s="42" t="s">
        <v>45</v>
      </c>
      <c r="AG268" s="43" t="s">
        <v>45</v>
      </c>
      <c r="AH268" s="42">
        <v>9</v>
      </c>
      <c r="AI268" s="42">
        <v>8</v>
      </c>
      <c r="AJ268" s="43">
        <v>9</v>
      </c>
      <c r="AK268" s="45" t="s">
        <v>593</v>
      </c>
      <c r="AL268" s="45" t="s">
        <v>47</v>
      </c>
      <c r="AM268" s="46">
        <f>($L$3*(L268-$Q$1)/$Q$2+$M$3*(M268-$R$1)/$R$2+$N$3*(N268-$S$1)/$S$2+$O$3*(O268-$T$1)/$T$2+$P$3*(P268-$U$1)/$U$2)/(SUM($L$3:$P$3))</f>
        <v>-2.0012818558036707</v>
      </c>
      <c r="AN268" s="46">
        <f>($L$3*(Q268-$Q$1)/$Q$2+$M$3*(R268-$R$1)/$R$2+$N$3*(S268-$S$1)/$S$2+$O$3*(T268-$T$1)/$T$2+$P$3*(U268-$U$1)/$U$2)/(SUM($L$3:$P$3))</f>
        <v>-0.92483326245504283</v>
      </c>
      <c r="AO268" s="47">
        <f>IF(AVERAGE(AH268:AI268)&gt;9,1,0)+IF(AVERAGE(AH268:AI268)&gt;7,1,0)+IF(AH268&gt;7,1,0)+IF(AI268&gt;7,1,0)+IF(AJ268&gt;8,1,0)+IF(AJ268&gt;6,1,0)</f>
        <v>5</v>
      </c>
      <c r="AP268" s="48">
        <f>MIN(2,IF(OR(Z268="-",X268&lt;5),0,1+IF(Y268&gt;7,0.35,IF(Y268&gt;5,0.1,0))+IF(Z268&gt;7,1+IF(X268&gt;7,0.25,0),IF(Z268&gt;4,0.5+IF(X268&gt;7,0.25,0),0+IF(X268&gt;7,0.25))))+IF(AA268="-",0,IF(AA268&gt;9,0.5,IF(AA268&gt;7,0.25,0)))+IF(AB268="-",0,IF(AB268&gt;7,1.1,IF(AB268&gt;4,0.6,0)))+IF(OR(AC268="-",V268&lt;5),0,IF(AC268&gt;7,1+IF(V268&gt;7,0.25,0),IF(AC268&gt;4,0.5+IF(V268&gt;7,0.25,0),0)))+IF(AD268="-",0,IF(AD268&gt;7,1.5,IF(AD268&gt;4,1,0)))+IF(AE268="-",0,IF(AE268&gt;9,0.5,IF(AE268&gt;7,0.25,0)))+IF(AF268="-",0,IF(AF268&gt;7,1.25,IF(AF268&gt;4,0.75,0)))+IF(OR(AG268="-",W268&lt;4),0,IF(AG268&gt;7,1+IF(W268&gt;7,0.15,0),IF(AG268&gt;4,0.5+IF(W268&gt;7,0.15,0),0))))</f>
        <v>0</v>
      </c>
      <c r="AQ268" s="46">
        <f>($AM$3*AM268+$AN$3*AN268+$AO$3*AO268+$AP$3*AP268)+$I$3*VLOOKUP(I268,COND!$A$2:$E$7,4,FALSE)+$J$3*VLOOKUP(J268,COND!$A$2:$C$7,2,FALSE)+$K$3*VLOOKUP(K268,COND!$A$2:$C$7,3,FALSE)+IF(AND($B$2&gt;0,$E268&lt;20),$B$2*25,0)</f>
        <v>39.385205998292456</v>
      </c>
      <c r="AR268" s="49">
        <f>STANDARDIZE(AQ268,AVERAGE($AQ$5:$AQ$537),STDEVP($AQ$5:$AQ$537))</f>
        <v>-0.16944072660449203</v>
      </c>
      <c r="AS268" s="47" t="str">
        <f>IF(AND(Z268&lt;&gt;"-",Y268&gt;1),"C",IF(AB268=MAX(AB268:AD268),"2B",IF(AD268=MAX(AB268:AD268),"SS",IF(OR(AC268=MAX(AA268:AD268),AND(AC268&lt;&gt;"-",AC268&gt;4,V268&gt;5)),"3B",IF(AF268=MAX(AE268:AG268),"CF",IF(AND(AG268=MAX(AE268,AG268),AND(W268&gt;5,AG268&lt;&gt;"-")),"RF",IF(AE268&lt;&gt;"-","LF",IF(AA268&lt;&gt;"-","1B","DH"))))))))</f>
        <v>1B</v>
      </c>
      <c r="AT268" s="47"/>
      <c r="AU268" s="47"/>
      <c r="AV268" s="47"/>
      <c r="AW268" s="47" t="str">
        <f>IF(AND($Q268&gt;=6,AVERAGE($S268:$T268)&gt;=6),"Likely",IF(OR($Q268&gt;6,AND($Q268=6,AVERAGE($S268:$T268)&gt;=3),AND($Q268&gt;=5,AVERAGE($S268:$T268)&gt;=5),AVERAGE($Q268,$S268:$T268)&gt;5),"Possible","Unlikely"))</f>
        <v>Unlikely</v>
      </c>
      <c r="AX268" s="47"/>
      <c r="AY268" s="47" t="str">
        <f>INDEX(Table5[[#All],[Ovr]],MATCH(Batters[[#This Row],[PID]],Table5[[#All],[PID]],0))</f>
        <v/>
      </c>
      <c r="AZ268" s="47" t="str">
        <f>INDEX(Table5[[#All],[Rnd]],MATCH(Batters[[#This Row],[PID]],Table5[[#All],[PID]],0))</f>
        <v/>
      </c>
      <c r="BA268" s="47" t="str">
        <f>INDEX(Table5[[#All],[Pick]],MATCH(Batters[[#This Row],[PID]],Table5[[#All],[PID]],0))</f>
        <v/>
      </c>
      <c r="BB268" s="47" t="str">
        <f>INDEX(Table5[[#All],[Team]],MATCH(Batters[[#This Row],[PID]],Table5[[#All],[PID]],0))</f>
        <v/>
      </c>
    </row>
    <row r="269" spans="1:54" ht="15" customHeight="1" x14ac:dyDescent="0.25">
      <c r="A269" s="42">
        <v>17806</v>
      </c>
      <c r="B269" s="42" t="s">
        <v>50</v>
      </c>
      <c r="C269" s="42" t="s">
        <v>1287</v>
      </c>
      <c r="D269" s="42" t="s">
        <v>896</v>
      </c>
      <c r="E269" s="42">
        <v>21</v>
      </c>
      <c r="F269" s="42" t="s">
        <v>53</v>
      </c>
      <c r="G269" s="42" t="s">
        <v>53</v>
      </c>
      <c r="H269" s="43" t="s">
        <v>709</v>
      </c>
      <c r="I269" s="44" t="s">
        <v>43</v>
      </c>
      <c r="J269" s="42" t="s">
        <v>44</v>
      </c>
      <c r="K269" s="43" t="s">
        <v>47</v>
      </c>
      <c r="L269" s="42">
        <v>1</v>
      </c>
      <c r="M269" s="42">
        <v>3</v>
      </c>
      <c r="N269" s="42">
        <v>4</v>
      </c>
      <c r="O269" s="42">
        <v>3</v>
      </c>
      <c r="P269" s="43">
        <v>1</v>
      </c>
      <c r="Q269" s="42">
        <v>3</v>
      </c>
      <c r="R269" s="42">
        <v>4</v>
      </c>
      <c r="S269" s="42">
        <v>6</v>
      </c>
      <c r="T269" s="42">
        <v>5</v>
      </c>
      <c r="U269" s="43">
        <v>2</v>
      </c>
      <c r="V269" s="42">
        <v>3</v>
      </c>
      <c r="W269" s="42">
        <v>6</v>
      </c>
      <c r="X269" s="42">
        <v>1</v>
      </c>
      <c r="Y269" s="43">
        <v>1</v>
      </c>
      <c r="Z269" s="42" t="s">
        <v>45</v>
      </c>
      <c r="AA269" s="42" t="s">
        <v>45</v>
      </c>
      <c r="AB269" s="42" t="s">
        <v>45</v>
      </c>
      <c r="AC269" s="42" t="s">
        <v>45</v>
      </c>
      <c r="AD269" s="42" t="s">
        <v>45</v>
      </c>
      <c r="AE269" s="42">
        <v>6</v>
      </c>
      <c r="AF269" s="42" t="s">
        <v>45</v>
      </c>
      <c r="AG269" s="43">
        <v>2</v>
      </c>
      <c r="AH269" s="42">
        <v>9</v>
      </c>
      <c r="AI269" s="42">
        <v>5</v>
      </c>
      <c r="AJ269" s="43">
        <v>3</v>
      </c>
      <c r="AK269" s="45" t="s">
        <v>45</v>
      </c>
      <c r="AL269" s="45" t="s">
        <v>47</v>
      </c>
      <c r="AM269" s="46">
        <f>($L$3*(L269-$Q$1)/$Q$2+$M$3*(M269-$R$1)/$R$2+$N$3*(N269-$S$1)/$S$2+$O$3*(O269-$T$1)/$T$2+$P$3*(P269-$U$1)/$U$2)/(SUM($L$3:$P$3))</f>
        <v>-1.5536200084992982</v>
      </c>
      <c r="AN269" s="46">
        <f>($L$3*(Q269-$Q$1)/$Q$2+$M$3*(R269-$R$1)/$R$2+$N$3*(S269-$S$1)/$S$2+$O$3*(T269-$T$1)/$T$2+$P$3*(U269-$U$1)/$U$2)/(SUM($L$3:$P$3))</f>
        <v>-0.47189002859119694</v>
      </c>
      <c r="AO269" s="47">
        <f>IF(AVERAGE(AH269:AI269)&gt;9,1,0)+IF(AVERAGE(AH269:AI269)&gt;7,1,0)+IF(AH269&gt;7,1,0)+IF(AI269&gt;7,1,0)+IF(AJ269&gt;8,1,0)+IF(AJ269&gt;6,1,0)</f>
        <v>1</v>
      </c>
      <c r="AP269" s="48">
        <f>MIN(2,IF(OR(Z269="-",X269&lt;5),0,1+IF(Y269&gt;7,0.35,IF(Y269&gt;5,0.1,0))+IF(Z269&gt;7,1+IF(X269&gt;7,0.25,0),IF(Z269&gt;4,0.5+IF(X269&gt;7,0.25,0),0+IF(X269&gt;7,0.25))))+IF(AA269="-",0,IF(AA269&gt;9,0.5,IF(AA269&gt;7,0.25,0)))+IF(AB269="-",0,IF(AB269&gt;7,1.1,IF(AB269&gt;4,0.6,0)))+IF(OR(AC269="-",V269&lt;5),0,IF(AC269&gt;7,1+IF(V269&gt;7,0.25,0),IF(AC269&gt;4,0.5+IF(V269&gt;7,0.25,0),0)))+IF(AD269="-",0,IF(AD269&gt;7,1.5,IF(AD269&gt;4,1,0)))+IF(AE269="-",0,IF(AE269&gt;9,0.5,IF(AE269&gt;7,0.25,0)))+IF(AF269="-",0,IF(AF269&gt;7,1.25,IF(AF269&gt;4,0.75,0)))+IF(OR(AG269="-",W269&lt;4),0,IF(AG269&gt;7,1+IF(W269&gt;7,0.15,0),IF(AG269&gt;4,0.5+IF(W269&gt;7,0.15,0),0))))</f>
        <v>0</v>
      </c>
      <c r="AQ269" s="46">
        <f>($AM$3*AM269+$AN$3*AN269+$AO$3*AO269+$AP$3*AP269)+$I$3*VLOOKUP(I269,COND!$A$2:$E$7,4,FALSE)+$J$3*VLOOKUP(J269,COND!$A$2:$C$7,2,FALSE)+$K$3*VLOOKUP(K269,COND!$A$2:$C$7,3,FALSE)+IF(AND($B$2&gt;0,$E269&lt;20),$B$2*25,0)</f>
        <v>39.348624322722372</v>
      </c>
      <c r="AR269" s="49">
        <f>STANDARDIZE(AQ269,AVERAGE($AQ$5:$AQ$537),STDEVP($AQ$5:$AQ$537))</f>
        <v>-0.17587702928813428</v>
      </c>
      <c r="AS269" s="47" t="str">
        <f>IF(AND(Z269&lt;&gt;"-",Y269&gt;1),"C",IF(AB269=MAX(AB269:AD269),"2B",IF(AD269=MAX(AB269:AD269),"SS",IF(OR(AC269=MAX(AA269:AD269),AND(AC269&lt;&gt;"-",AC269&gt;4,V269&gt;5)),"3B",IF(AF269=MAX(AE269:AG269),"CF",IF(AND(AG269=MAX(AE269,AG269),AND(W269&gt;5,AG269&lt;&gt;"-")),"RF",IF(AE269&lt;&gt;"-","LF",IF(AA269&lt;&gt;"-","1B","DH"))))))))</f>
        <v>LF</v>
      </c>
      <c r="AT269" s="47"/>
      <c r="AU269" s="47"/>
      <c r="AV269" s="47"/>
      <c r="AW269" s="47" t="str">
        <f>IF(AND($Q269&gt;=6,AVERAGE($S269:$T269)&gt;=6),"Likely",IF(OR($Q269&gt;6,AND($Q269=6,AVERAGE($S269:$T269)&gt;=3),AND($Q269&gt;=5,AVERAGE($S269:$T269)&gt;=5),AVERAGE($Q269,$S269:$T269)&gt;5),"Possible","Unlikely"))</f>
        <v>Unlikely</v>
      </c>
      <c r="AX269" s="47"/>
      <c r="AY269" s="47" t="str">
        <f>INDEX(Table5[[#All],[Ovr]],MATCH(Batters[[#This Row],[PID]],Table5[[#All],[PID]],0))</f>
        <v/>
      </c>
      <c r="AZ269" s="47" t="str">
        <f>INDEX(Table5[[#All],[Rnd]],MATCH(Batters[[#This Row],[PID]],Table5[[#All],[PID]],0))</f>
        <v/>
      </c>
      <c r="BA269" s="47" t="str">
        <f>INDEX(Table5[[#All],[Pick]],MATCH(Batters[[#This Row],[PID]],Table5[[#All],[PID]],0))</f>
        <v/>
      </c>
      <c r="BB269" s="47" t="str">
        <f>INDEX(Table5[[#All],[Team]],MATCH(Batters[[#This Row],[PID]],Table5[[#All],[PID]],0))</f>
        <v/>
      </c>
    </row>
    <row r="270" spans="1:54" ht="15" customHeight="1" x14ac:dyDescent="0.25">
      <c r="A270" s="42">
        <v>5969</v>
      </c>
      <c r="B270" s="42" t="s">
        <v>66</v>
      </c>
      <c r="C270" s="42" t="s">
        <v>343</v>
      </c>
      <c r="D270" s="42" t="s">
        <v>391</v>
      </c>
      <c r="E270" s="42">
        <v>18</v>
      </c>
      <c r="F270" s="42" t="s">
        <v>42</v>
      </c>
      <c r="G270" s="42" t="s">
        <v>42</v>
      </c>
      <c r="H270" s="43" t="s">
        <v>721</v>
      </c>
      <c r="I270" s="44" t="s">
        <v>43</v>
      </c>
      <c r="J270" s="42" t="s">
        <v>47</v>
      </c>
      <c r="K270" s="43" t="s">
        <v>43</v>
      </c>
      <c r="L270" s="42">
        <v>1</v>
      </c>
      <c r="M270" s="42">
        <v>1</v>
      </c>
      <c r="N270" s="42">
        <v>2</v>
      </c>
      <c r="O270" s="42">
        <v>1</v>
      </c>
      <c r="P270" s="43">
        <v>1</v>
      </c>
      <c r="Q270" s="42">
        <v>3</v>
      </c>
      <c r="R270" s="42">
        <v>3</v>
      </c>
      <c r="S270" s="42">
        <v>2</v>
      </c>
      <c r="T270" s="42">
        <v>3</v>
      </c>
      <c r="U270" s="43">
        <v>4</v>
      </c>
      <c r="V270" s="42">
        <v>4</v>
      </c>
      <c r="W270" s="42">
        <v>10</v>
      </c>
      <c r="X270" s="42">
        <v>1</v>
      </c>
      <c r="Y270" s="43">
        <v>1</v>
      </c>
      <c r="Z270" s="42" t="s">
        <v>45</v>
      </c>
      <c r="AA270" s="42" t="s">
        <v>45</v>
      </c>
      <c r="AB270" s="42" t="s">
        <v>45</v>
      </c>
      <c r="AC270" s="42" t="s">
        <v>45</v>
      </c>
      <c r="AD270" s="42" t="s">
        <v>45</v>
      </c>
      <c r="AE270" s="42">
        <v>3</v>
      </c>
      <c r="AF270" s="42" t="s">
        <v>45</v>
      </c>
      <c r="AG270" s="43">
        <v>4</v>
      </c>
      <c r="AH270" s="42">
        <v>4</v>
      </c>
      <c r="AI270" s="42">
        <v>6</v>
      </c>
      <c r="AJ270" s="43">
        <v>2</v>
      </c>
      <c r="AK270" s="45" t="s">
        <v>718</v>
      </c>
      <c r="AL270" s="45" t="s">
        <v>705</v>
      </c>
      <c r="AM270" s="46">
        <f>($L$3*(L270-$Q$1)/$Q$2+$M$3*(M270-$R$1)/$R$2+$N$3*(N270-$S$1)/$S$2+$O$3*(O270-$T$1)/$T$2+$P$3*(P270-$U$1)/$U$2)/(SUM($L$3:$P$3))</f>
        <v>-2.0012818558036707</v>
      </c>
      <c r="AN270" s="46">
        <f>($L$3*(Q270-$Q$1)/$Q$2+$M$3*(R270-$R$1)/$R$2+$N$3*(S270-$S$1)/$S$2+$O$3*(T270-$T$1)/$T$2+$P$3*(U270-$U$1)/$U$2)/(SUM($L$3:$P$3))</f>
        <v>-0.95458230469050154</v>
      </c>
      <c r="AO270" s="47">
        <f>IF(AVERAGE(AH270:AI270)&gt;9,1,0)+IF(AVERAGE(AH270:AI270)&gt;7,1,0)+IF(AH270&gt;7,1,0)+IF(AI270&gt;7,1,0)+IF(AJ270&gt;8,1,0)+IF(AJ270&gt;6,1,0)</f>
        <v>0</v>
      </c>
      <c r="AP270" s="48">
        <f>MIN(2,IF(OR(Z270="-",X270&lt;5),0,1+IF(Y270&gt;7,0.35,IF(Y270&gt;5,0.1,0))+IF(Z270&gt;7,1+IF(X270&gt;7,0.25,0),IF(Z270&gt;4,0.5+IF(X270&gt;7,0.25,0),0+IF(X270&gt;7,0.25))))+IF(AA270="-",0,IF(AA270&gt;9,0.5,IF(AA270&gt;7,0.25,0)))+IF(AB270="-",0,IF(AB270&gt;7,1.1,IF(AB270&gt;4,0.6,0)))+IF(OR(AC270="-",V270&lt;5),0,IF(AC270&gt;7,1+IF(V270&gt;7,0.25,0),IF(AC270&gt;4,0.5+IF(V270&gt;7,0.25,0),0)))+IF(AD270="-",0,IF(AD270&gt;7,1.5,IF(AD270&gt;4,1,0)))+IF(AE270="-",0,IF(AE270&gt;9,0.5,IF(AE270&gt;7,0.25,0)))+IF(AF270="-",0,IF(AF270&gt;7,1.25,IF(AF270&gt;4,0.75,0)))+IF(OR(AG270="-",W270&lt;4),0,IF(AG270&gt;7,1+IF(W270&gt;7,0.15,0),IF(AG270&gt;4,0.5+IF(W270&gt;7,0.15,0),0))))</f>
        <v>0</v>
      </c>
      <c r="AQ270" s="46">
        <f>($AM$3*AM270+$AN$3*AN270+$AO$3*AO270+$AP$3*AP270)+$I$3*VLOOKUP(I270,COND!$A$2:$E$7,4,FALSE)+$J$3*VLOOKUP(J270,COND!$A$2:$C$7,2,FALSE)+$K$3*VLOOKUP(K270,COND!$A$2:$C$7,3,FALSE)+IF(AND($B$2&gt;0,$E270&lt;20),$B$2*25,0)</f>
        <v>38.644884158133614</v>
      </c>
      <c r="AR270" s="49">
        <f>STANDARDIZE(AQ270,AVERAGE($AQ$5:$AQ$537),STDEVP($AQ$5:$AQ$537))</f>
        <v>-0.29969543397689352</v>
      </c>
      <c r="AS270" s="47" t="str">
        <f>IF(AND(Z270&lt;&gt;"-",Y270&gt;1),"C",IF(AB270=MAX(AB270:AD270),"2B",IF(AD270=MAX(AB270:AD270),"SS",IF(OR(AC270=MAX(AA270:AD270),AND(AC270&lt;&gt;"-",AC270&gt;4,V270&gt;5)),"3B",IF(AF270=MAX(AE270:AG270),"CF",IF(AND(AG270=MAX(AE270,AG270),AND(W270&gt;5,AG270&lt;&gt;"-")),"RF",IF(AE270&lt;&gt;"-","LF",IF(AA270&lt;&gt;"-","1B","DH"))))))))</f>
        <v>RF</v>
      </c>
      <c r="AT270" s="47"/>
      <c r="AU270" s="47"/>
      <c r="AV270" s="47"/>
      <c r="AW270" s="47" t="str">
        <f>IF(AND($Q270&gt;=6,AVERAGE($S270:$T270)&gt;=6),"Likely",IF(OR($Q270&gt;6,AND($Q270=6,AVERAGE($S270:$T270)&gt;=3),AND($Q270&gt;=5,AVERAGE($S270:$T270)&gt;=5),AVERAGE($Q270,$S270:$T270)&gt;5),"Possible","Unlikely"))</f>
        <v>Unlikely</v>
      </c>
      <c r="AX270" s="47"/>
      <c r="AY270" s="47" t="str">
        <f>INDEX(Table5[[#All],[Ovr]],MATCH(Batters[[#This Row],[PID]],Table5[[#All],[PID]],0))</f>
        <v/>
      </c>
      <c r="AZ270" s="47" t="str">
        <f>INDEX(Table5[[#All],[Rnd]],MATCH(Batters[[#This Row],[PID]],Table5[[#All],[PID]],0))</f>
        <v/>
      </c>
      <c r="BA270" s="47" t="str">
        <f>INDEX(Table5[[#All],[Pick]],MATCH(Batters[[#This Row],[PID]],Table5[[#All],[PID]],0))</f>
        <v/>
      </c>
      <c r="BB270" s="47" t="str">
        <f>INDEX(Table5[[#All],[Team]],MATCH(Batters[[#This Row],[PID]],Table5[[#All],[PID]],0))</f>
        <v/>
      </c>
    </row>
    <row r="271" spans="1:54" ht="15" customHeight="1" x14ac:dyDescent="0.25">
      <c r="A271" s="42">
        <v>10241</v>
      </c>
      <c r="B271" s="42" t="s">
        <v>69</v>
      </c>
      <c r="C271" s="42" t="s">
        <v>1260</v>
      </c>
      <c r="D271" s="42" t="s">
        <v>1261</v>
      </c>
      <c r="E271" s="42">
        <v>21</v>
      </c>
      <c r="F271" s="42" t="s">
        <v>42</v>
      </c>
      <c r="G271" s="42" t="s">
        <v>42</v>
      </c>
      <c r="H271" s="43" t="s">
        <v>709</v>
      </c>
      <c r="I271" s="44" t="s">
        <v>43</v>
      </c>
      <c r="J271" s="42" t="s">
        <v>43</v>
      </c>
      <c r="K271" s="43" t="s">
        <v>47</v>
      </c>
      <c r="L271" s="42">
        <v>2</v>
      </c>
      <c r="M271" s="42">
        <v>2</v>
      </c>
      <c r="N271" s="42">
        <v>3</v>
      </c>
      <c r="O271" s="42">
        <v>3</v>
      </c>
      <c r="P271" s="43">
        <v>2</v>
      </c>
      <c r="Q271" s="42">
        <v>3</v>
      </c>
      <c r="R271" s="42">
        <v>4</v>
      </c>
      <c r="S271" s="42">
        <v>4</v>
      </c>
      <c r="T271" s="42">
        <v>5</v>
      </c>
      <c r="U271" s="43">
        <v>4</v>
      </c>
      <c r="V271" s="42">
        <v>8</v>
      </c>
      <c r="W271" s="42">
        <v>8</v>
      </c>
      <c r="X271" s="42">
        <v>2</v>
      </c>
      <c r="Y271" s="43">
        <v>2</v>
      </c>
      <c r="Z271" s="42" t="s">
        <v>45</v>
      </c>
      <c r="AA271" s="42" t="s">
        <v>45</v>
      </c>
      <c r="AB271" s="42" t="s">
        <v>45</v>
      </c>
      <c r="AC271" s="42">
        <v>1</v>
      </c>
      <c r="AD271" s="42" t="s">
        <v>45</v>
      </c>
      <c r="AE271" s="42" t="s">
        <v>45</v>
      </c>
      <c r="AF271" s="42" t="s">
        <v>45</v>
      </c>
      <c r="AG271" s="43" t="s">
        <v>45</v>
      </c>
      <c r="AH271" s="42">
        <v>8</v>
      </c>
      <c r="AI271" s="42">
        <v>5</v>
      </c>
      <c r="AJ271" s="43">
        <v>2</v>
      </c>
      <c r="AK271" s="45" t="s">
        <v>615</v>
      </c>
      <c r="AL271" s="45" t="s">
        <v>705</v>
      </c>
      <c r="AM271" s="46">
        <f>($L$3*(L271-$Q$1)/$Q$2+$M$3*(M271-$R$1)/$R$2+$N$3*(N271-$S$1)/$S$2+$O$3*(O271-$T$1)/$T$2+$P$3*(P271-$U$1)/$U$2)/(SUM($L$3:$P$3))</f>
        <v>-1.3251692061221452</v>
      </c>
      <c r="AN271" s="46">
        <f>($L$3*(Q271-$Q$1)/$Q$2+$M$3*(R271-$R$1)/$R$2+$N$3*(S271-$S$1)/$S$2+$O$3*(T271-$T$1)/$T$2+$P$3*(U271-$U$1)/$U$2)/(SUM($L$3:$P$3))</f>
        <v>-0.55798033700483307</v>
      </c>
      <c r="AO271" s="47">
        <f>IF(AVERAGE(AH271:AI271)&gt;9,1,0)+IF(AVERAGE(AH271:AI271)&gt;7,1,0)+IF(AH271&gt;7,1,0)+IF(AI271&gt;7,1,0)+IF(AJ271&gt;8,1,0)+IF(AJ271&gt;6,1,0)</f>
        <v>1</v>
      </c>
      <c r="AP271" s="48">
        <f>MIN(2,IF(OR(Z271="-",X271&lt;5),0,1+IF(Y271&gt;7,0.35,IF(Y271&gt;5,0.1,0))+IF(Z271&gt;7,1+IF(X271&gt;7,0.25,0),IF(Z271&gt;4,0.5+IF(X271&gt;7,0.25,0),0+IF(X271&gt;7,0.25))))+IF(AA271="-",0,IF(AA271&gt;9,0.5,IF(AA271&gt;7,0.25,0)))+IF(AB271="-",0,IF(AB271&gt;7,1.1,IF(AB271&gt;4,0.6,0)))+IF(OR(AC271="-",V271&lt;5),0,IF(AC271&gt;7,1+IF(V271&gt;7,0.25,0),IF(AC271&gt;4,0.5+IF(V271&gt;7,0.25,0),0)))+IF(AD271="-",0,IF(AD271&gt;7,1.5,IF(AD271&gt;4,1,0)))+IF(AE271="-",0,IF(AE271&gt;9,0.5,IF(AE271&gt;7,0.25,0)))+IF(AF271="-",0,IF(AF271&gt;7,1.25,IF(AF271&gt;4,0.75,0)))+IF(OR(AG271="-",W271&lt;4),0,IF(AG271&gt;7,1+IF(W271&gt;7,0.15,0),IF(AG271&gt;4,0.5+IF(W271&gt;7,0.15,0),0))))</f>
        <v>0</v>
      </c>
      <c r="AQ271" s="46">
        <f>($AM$3*AM271+$AN$3*AN271+$AO$3*AO271+$AP$3*AP271)+$I$3*VLOOKUP(I271,COND!$A$2:$E$7,4,FALSE)+$J$3*VLOOKUP(J271,COND!$A$2:$C$7,2,FALSE)+$K$3*VLOOKUP(K271,COND!$A$2:$C$7,3,FALSE)+IF(AND($B$2&gt;0,$E271&lt;20),$B$2*25,0)</f>
        <v>38.638385701996455</v>
      </c>
      <c r="AR271" s="49">
        <f>STANDARDIZE(AQ271,AVERAGE($AQ$5:$AQ$537),STDEVP($AQ$5:$AQ$537))</f>
        <v>-0.30083879414351561</v>
      </c>
      <c r="AS271" s="47" t="str">
        <f>IF(AND(Z271&lt;&gt;"-",Y271&gt;1),"C",IF(AB271=MAX(AB271:AD271),"2B",IF(AD271=MAX(AB271:AD271),"SS",IF(OR(AC271=MAX(AA271:AD271),AND(AC271&lt;&gt;"-",AC271&gt;4,V271&gt;5)),"3B",IF(AF271=MAX(AE271:AG271),"CF",IF(AND(AG271=MAX(AE271,AG271),AND(W271&gt;5,AG271&lt;&gt;"-")),"RF",IF(AE271&lt;&gt;"-","LF",IF(AA271&lt;&gt;"-","1B","DH"))))))))</f>
        <v>3B</v>
      </c>
      <c r="AT271" s="47"/>
      <c r="AU271" s="47"/>
      <c r="AV271" s="47"/>
      <c r="AW271" s="47" t="str">
        <f>IF(AND($Q271&gt;=6,AVERAGE($S271:$T271)&gt;=6),"Likely",IF(OR($Q271&gt;6,AND($Q271=6,AVERAGE($S271:$T271)&gt;=3),AND($Q271&gt;=5,AVERAGE($S271:$T271)&gt;=5),AVERAGE($Q271,$S271:$T271)&gt;5),"Possible","Unlikely"))</f>
        <v>Unlikely</v>
      </c>
      <c r="AX271" s="47"/>
      <c r="AY271" s="47" t="str">
        <f>INDEX(Table5[[#All],[Ovr]],MATCH(Batters[[#This Row],[PID]],Table5[[#All],[PID]],0))</f>
        <v/>
      </c>
      <c r="AZ271" s="47" t="str">
        <f>INDEX(Table5[[#All],[Rnd]],MATCH(Batters[[#This Row],[PID]],Table5[[#All],[PID]],0))</f>
        <v/>
      </c>
      <c r="BA271" s="47" t="str">
        <f>INDEX(Table5[[#All],[Pick]],MATCH(Batters[[#This Row],[PID]],Table5[[#All],[PID]],0))</f>
        <v/>
      </c>
      <c r="BB271" s="47" t="str">
        <f>INDEX(Table5[[#All],[Team]],MATCH(Batters[[#This Row],[PID]],Table5[[#All],[PID]],0))</f>
        <v/>
      </c>
    </row>
    <row r="272" spans="1:54" ht="15" customHeight="1" x14ac:dyDescent="0.25">
      <c r="A272" s="42">
        <v>7408</v>
      </c>
      <c r="B272" s="42" t="s">
        <v>86</v>
      </c>
      <c r="C272" s="42" t="s">
        <v>655</v>
      </c>
      <c r="D272" s="42" t="s">
        <v>921</v>
      </c>
      <c r="E272" s="42">
        <v>21</v>
      </c>
      <c r="F272" s="42" t="s">
        <v>53</v>
      </c>
      <c r="G272" s="42" t="s">
        <v>42</v>
      </c>
      <c r="H272" s="43" t="s">
        <v>703</v>
      </c>
      <c r="I272" s="44" t="s">
        <v>43</v>
      </c>
      <c r="J272" s="42" t="s">
        <v>44</v>
      </c>
      <c r="K272" s="43" t="s">
        <v>43</v>
      </c>
      <c r="L272" s="42">
        <v>2</v>
      </c>
      <c r="M272" s="42">
        <v>4</v>
      </c>
      <c r="N272" s="42">
        <v>2</v>
      </c>
      <c r="O272" s="42">
        <v>4</v>
      </c>
      <c r="P272" s="43">
        <v>1</v>
      </c>
      <c r="Q272" s="42">
        <v>3</v>
      </c>
      <c r="R272" s="42">
        <v>5</v>
      </c>
      <c r="S272" s="42">
        <v>3</v>
      </c>
      <c r="T272" s="42">
        <v>7</v>
      </c>
      <c r="U272" s="43">
        <v>2</v>
      </c>
      <c r="V272" s="42">
        <v>5</v>
      </c>
      <c r="W272" s="42">
        <v>4</v>
      </c>
      <c r="X272" s="42">
        <v>5</v>
      </c>
      <c r="Y272" s="43">
        <v>8</v>
      </c>
      <c r="Z272" s="42">
        <v>2</v>
      </c>
      <c r="AA272" s="42" t="s">
        <v>45</v>
      </c>
      <c r="AB272" s="42" t="s">
        <v>45</v>
      </c>
      <c r="AC272" s="42" t="s">
        <v>45</v>
      </c>
      <c r="AD272" s="42" t="s">
        <v>45</v>
      </c>
      <c r="AE272" s="42" t="s">
        <v>45</v>
      </c>
      <c r="AF272" s="42" t="s">
        <v>45</v>
      </c>
      <c r="AG272" s="43" t="s">
        <v>45</v>
      </c>
      <c r="AH272" s="42">
        <v>3</v>
      </c>
      <c r="AI272" s="42">
        <v>2</v>
      </c>
      <c r="AJ272" s="43">
        <v>1</v>
      </c>
      <c r="AK272" s="45" t="s">
        <v>45</v>
      </c>
      <c r="AL272" s="45" t="s">
        <v>705</v>
      </c>
      <c r="AM272" s="46">
        <f>($L$3*(L272-$Q$1)/$Q$2+$M$3*(M272-$R$1)/$R$2+$N$3*(N272-$S$1)/$S$2+$O$3*(O272-$T$1)/$T$2+$P$3*(P272-$U$1)/$U$2)/(SUM($L$3:$P$3))</f>
        <v>-1.2564177307161419</v>
      </c>
      <c r="AN272" s="46">
        <f>($L$3*(Q272-$Q$1)/$Q$2+$M$3*(R272-$R$1)/$R$2+$N$3*(S272-$S$1)/$S$2+$O$3*(T272-$T$1)/$T$2+$P$3*(U272-$U$1)/$U$2)/(SUM($L$3:$P$3))</f>
        <v>-0.490595531025036</v>
      </c>
      <c r="AO272" s="47">
        <f>IF(AVERAGE(AH272:AI272)&gt;9,1,0)+IF(AVERAGE(AH272:AI272)&gt;7,1,0)+IF(AH272&gt;7,1,0)+IF(AI272&gt;7,1,0)+IF(AJ272&gt;8,1,0)+IF(AJ272&gt;6,1,0)</f>
        <v>0</v>
      </c>
      <c r="AP272" s="48">
        <f>MIN(2,IF(OR(Z272="-",X272&lt;5),0,1+IF(Y272&gt;7,0.35,IF(Y272&gt;5,0.1,0))+IF(Z272&gt;7,1+IF(X272&gt;7,0.25,0),IF(Z272&gt;4,0.5+IF(X272&gt;7,0.25,0),0+IF(X272&gt;7,0.25))))+IF(AA272="-",0,IF(AA272&gt;9,0.5,IF(AA272&gt;7,0.25,0)))+IF(AB272="-",0,IF(AB272&gt;7,1.1,IF(AB272&gt;4,0.6,0)))+IF(OR(AC272="-",V272&lt;5),0,IF(AC272&gt;7,1+IF(V272&gt;7,0.25,0),IF(AC272&gt;4,0.5+IF(V272&gt;7,0.25,0),0)))+IF(AD272="-",0,IF(AD272&gt;7,1.5,IF(AD272&gt;4,1,0)))+IF(AE272="-",0,IF(AE272&gt;9,0.5,IF(AE272&gt;7,0.25,0)))+IF(AF272="-",0,IF(AF272&gt;7,1.25,IF(AF272&gt;4,0.75,0)))+IF(OR(AG272="-",W272&lt;4),0,IF(AG272&gt;7,1+IF(W272&gt;7,0.15,0),IF(AG272&gt;4,0.5+IF(W272&gt;7,0.15,0),0))))</f>
        <v>1.35</v>
      </c>
      <c r="AQ272" s="46">
        <f>($AM$3*AM272+$AN$3*AN272+$AO$3*AO272+$AP$3*AP272)+$I$3*VLOOKUP(I272,COND!$A$2:$E$7,4,FALSE)+$J$3*VLOOKUP(J272,COND!$A$2:$C$7,2,FALSE)+$K$3*VLOOKUP(K272,COND!$A$2:$C$7,3,FALSE)+IF(AND($B$2&gt;0,$E272&lt;20),$B$2*25,0)</f>
        <v>40.037211854627955</v>
      </c>
      <c r="AR272" s="49">
        <f>STANDARDIZE(AQ272,AVERAGE($AQ$5:$AQ$537),STDEVP($AQ$5:$AQ$537))</f>
        <v>-5.472462961098605E-2</v>
      </c>
      <c r="AS272" s="47" t="str">
        <f>IF(AND(Z272&lt;&gt;"-",Y272&gt;1),"C",IF(AB272=MAX(AB272:AD272),"2B",IF(AD272=MAX(AB272:AD272),"SS",IF(OR(AC272=MAX(AA272:AD272),AND(AC272&lt;&gt;"-",AC272&gt;4,V272&gt;5)),"3B",IF(AF272=MAX(AE272:AG272),"CF",IF(AND(AG272=MAX(AE272,AG272),AND(W272&gt;5,AG272&lt;&gt;"-")),"RF",IF(AE272&lt;&gt;"-","LF",IF(AA272&lt;&gt;"-","1B","DH"))))))))</f>
        <v>C</v>
      </c>
      <c r="AT272" s="47"/>
      <c r="AU272" s="47"/>
      <c r="AV272" s="47"/>
      <c r="AW272" s="47" t="str">
        <f>IF(AND($Q272&gt;=6,AVERAGE($S272:$T272)&gt;=6),"Likely",IF(OR($Q272&gt;6,AND($Q272=6,AVERAGE($S272:$T272)&gt;=3),AND($Q272&gt;=5,AVERAGE($S272:$T272)&gt;=5),AVERAGE($Q272,$S272:$T272)&gt;5),"Possible","Unlikely"))</f>
        <v>Unlikely</v>
      </c>
      <c r="AX272" s="47"/>
      <c r="AY272" s="47" t="str">
        <f>INDEX(Table5[[#All],[Ovr]],MATCH(Batters[[#This Row],[PID]],Table5[[#All],[PID]],0))</f>
        <v/>
      </c>
      <c r="AZ272" s="47" t="str">
        <f>INDEX(Table5[[#All],[Rnd]],MATCH(Batters[[#This Row],[PID]],Table5[[#All],[PID]],0))</f>
        <v/>
      </c>
      <c r="BA272" s="47" t="str">
        <f>INDEX(Table5[[#All],[Pick]],MATCH(Batters[[#This Row],[PID]],Table5[[#All],[PID]],0))</f>
        <v/>
      </c>
      <c r="BB272" s="47" t="str">
        <f>INDEX(Table5[[#All],[Team]],MATCH(Batters[[#This Row],[PID]],Table5[[#All],[PID]],0))</f>
        <v/>
      </c>
    </row>
    <row r="273" spans="1:54" ht="15" customHeight="1" x14ac:dyDescent="0.25">
      <c r="A273" s="42">
        <v>7019</v>
      </c>
      <c r="B273" s="42" t="s">
        <v>66</v>
      </c>
      <c r="C273" s="42" t="s">
        <v>779</v>
      </c>
      <c r="D273" s="42" t="s">
        <v>877</v>
      </c>
      <c r="E273" s="42">
        <v>21</v>
      </c>
      <c r="F273" s="42" t="s">
        <v>42</v>
      </c>
      <c r="G273" s="42" t="s">
        <v>42</v>
      </c>
      <c r="H273" s="43" t="s">
        <v>709</v>
      </c>
      <c r="I273" s="44" t="s">
        <v>43</v>
      </c>
      <c r="J273" s="42" t="s">
        <v>47</v>
      </c>
      <c r="K273" s="43" t="s">
        <v>43</v>
      </c>
      <c r="L273" s="42">
        <v>1</v>
      </c>
      <c r="M273" s="42">
        <v>2</v>
      </c>
      <c r="N273" s="42">
        <v>3</v>
      </c>
      <c r="O273" s="42">
        <v>2</v>
      </c>
      <c r="P273" s="43">
        <v>1</v>
      </c>
      <c r="Q273" s="42">
        <v>3</v>
      </c>
      <c r="R273" s="42">
        <v>4</v>
      </c>
      <c r="S273" s="42">
        <v>5</v>
      </c>
      <c r="T273" s="42">
        <v>5</v>
      </c>
      <c r="U273" s="43">
        <v>2</v>
      </c>
      <c r="V273" s="42">
        <v>3</v>
      </c>
      <c r="W273" s="42">
        <v>6</v>
      </c>
      <c r="X273" s="42">
        <v>1</v>
      </c>
      <c r="Y273" s="43">
        <v>1</v>
      </c>
      <c r="Z273" s="42" t="s">
        <v>45</v>
      </c>
      <c r="AA273" s="42" t="s">
        <v>45</v>
      </c>
      <c r="AB273" s="42" t="s">
        <v>45</v>
      </c>
      <c r="AC273" s="42" t="s">
        <v>45</v>
      </c>
      <c r="AD273" s="42" t="s">
        <v>45</v>
      </c>
      <c r="AE273" s="42" t="s">
        <v>45</v>
      </c>
      <c r="AF273" s="42">
        <v>1</v>
      </c>
      <c r="AG273" s="43">
        <v>4</v>
      </c>
      <c r="AH273" s="42">
        <v>9</v>
      </c>
      <c r="AI273" s="42">
        <v>4</v>
      </c>
      <c r="AJ273" s="43">
        <v>6</v>
      </c>
      <c r="AK273" s="45" t="s">
        <v>45</v>
      </c>
      <c r="AL273" s="45" t="s">
        <v>705</v>
      </c>
      <c r="AM273" s="46">
        <f>($L$3*(L273-$Q$1)/$Q$2+$M$3*(M273-$R$1)/$R$2+$N$3*(N273-$S$1)/$S$2+$O$3*(O273-$T$1)/$T$2+$P$3*(P273-$U$1)/$U$2)/(SUM($L$3:$P$3))</f>
        <v>-1.7774509321514844</v>
      </c>
      <c r="AN273" s="46">
        <f>($L$3*(Q273-$Q$1)/$Q$2+$M$3*(R273-$R$1)/$R$2+$N$3*(S273-$S$1)/$S$2+$O$3*(T273-$T$1)/$T$2+$P$3*(U273-$U$1)/$U$2)/(SUM($L$3:$P$3))</f>
        <v>-0.55495152261509839</v>
      </c>
      <c r="AO273" s="47">
        <f>IF(AVERAGE(AH273:AI273)&gt;9,1,0)+IF(AVERAGE(AH273:AI273)&gt;7,1,0)+IF(AH273&gt;7,1,0)+IF(AI273&gt;7,1,0)+IF(AJ273&gt;8,1,0)+IF(AJ273&gt;6,1,0)</f>
        <v>1</v>
      </c>
      <c r="AP273" s="48">
        <f>MIN(2,IF(OR(Z273="-",X273&lt;5),0,1+IF(Y273&gt;7,0.35,IF(Y273&gt;5,0.1,0))+IF(Z273&gt;7,1+IF(X273&gt;7,0.25,0),IF(Z273&gt;4,0.5+IF(X273&gt;7,0.25,0),0+IF(X273&gt;7,0.25))))+IF(AA273="-",0,IF(AA273&gt;9,0.5,IF(AA273&gt;7,0.25,0)))+IF(AB273="-",0,IF(AB273&gt;7,1.1,IF(AB273&gt;4,0.6,0)))+IF(OR(AC273="-",V273&lt;5),0,IF(AC273&gt;7,1+IF(V273&gt;7,0.25,0),IF(AC273&gt;4,0.5+IF(V273&gt;7,0.25,0),0)))+IF(AD273="-",0,IF(AD273&gt;7,1.5,IF(AD273&gt;4,1,0)))+IF(AE273="-",0,IF(AE273&gt;9,0.5,IF(AE273&gt;7,0.25,0)))+IF(AF273="-",0,IF(AF273&gt;7,1.25,IF(AF273&gt;4,0.75,0)))+IF(OR(AG273="-",W273&lt;4),0,IF(AG273&gt;7,1+IF(W273&gt;7,0.15,0),IF(AG273&gt;4,0.5+IF(W273&gt;7,0.15,0),0))))</f>
        <v>0</v>
      </c>
      <c r="AQ273" s="46">
        <f>($AM$3*AM273+$AN$3*AN273+$AO$3*AO273+$AP$3*AP273)+$I$3*VLOOKUP(I273,COND!$A$2:$E$7,4,FALSE)+$J$3*VLOOKUP(J273,COND!$A$2:$C$7,2,FALSE)+$K$3*VLOOKUP(K273,COND!$A$2:$C$7,3,FALSE)+IF(AND($B$2&gt;0,$E273&lt;20),$B$2*25,0)</f>
        <v>38.62950330207034</v>
      </c>
      <c r="AR273" s="49">
        <f>STANDARDIZE(AQ273,AVERAGE($AQ$5:$AQ$537),STDEVP($AQ$5:$AQ$537))</f>
        <v>-0.30240159337539096</v>
      </c>
      <c r="AS273" s="47" t="str">
        <f>IF(AND(Z273&lt;&gt;"-",Y273&gt;1),"C",IF(AB273=MAX(AB273:AD273),"2B",IF(AD273=MAX(AB273:AD273),"SS",IF(OR(AC273=MAX(AA273:AD273),AND(AC273&lt;&gt;"-",AC273&gt;4,V273&gt;5)),"3B",IF(AF273=MAX(AE273:AG273),"CF",IF(AND(AG273=MAX(AE273,AG273),AND(W273&gt;5,AG273&lt;&gt;"-")),"RF",IF(AE273&lt;&gt;"-","LF",IF(AA273&lt;&gt;"-","1B","DH"))))))))</f>
        <v>RF</v>
      </c>
      <c r="AT273" s="47"/>
      <c r="AU273" s="47"/>
      <c r="AV273" s="47"/>
      <c r="AW273" s="47" t="str">
        <f>IF(AND($Q273&gt;=6,AVERAGE($S273:$T273)&gt;=6),"Likely",IF(OR($Q273&gt;6,AND($Q273=6,AVERAGE($S273:$T273)&gt;=3),AND($Q273&gt;=5,AVERAGE($S273:$T273)&gt;=5),AVERAGE($Q273,$S273:$T273)&gt;5),"Possible","Unlikely"))</f>
        <v>Unlikely</v>
      </c>
      <c r="AX273" s="47"/>
      <c r="AY273" s="47" t="str">
        <f>INDEX(Table5[[#All],[Ovr]],MATCH(Batters[[#This Row],[PID]],Table5[[#All],[PID]],0))</f>
        <v/>
      </c>
      <c r="AZ273" s="47" t="str">
        <f>INDEX(Table5[[#All],[Rnd]],MATCH(Batters[[#This Row],[PID]],Table5[[#All],[PID]],0))</f>
        <v/>
      </c>
      <c r="BA273" s="47" t="str">
        <f>INDEX(Table5[[#All],[Pick]],MATCH(Batters[[#This Row],[PID]],Table5[[#All],[PID]],0))</f>
        <v/>
      </c>
      <c r="BB273" s="47" t="str">
        <f>INDEX(Table5[[#All],[Team]],MATCH(Batters[[#This Row],[PID]],Table5[[#All],[PID]],0))</f>
        <v/>
      </c>
    </row>
    <row r="274" spans="1:54" ht="15" customHeight="1" x14ac:dyDescent="0.25">
      <c r="A274" s="42">
        <v>2988</v>
      </c>
      <c r="B274" s="42" t="s">
        <v>87</v>
      </c>
      <c r="C274" s="42" t="s">
        <v>1036</v>
      </c>
      <c r="D274" s="42" t="s">
        <v>1250</v>
      </c>
      <c r="E274" s="42">
        <v>21</v>
      </c>
      <c r="F274" s="42" t="s">
        <v>53</v>
      </c>
      <c r="G274" s="42" t="s">
        <v>42</v>
      </c>
      <c r="H274" s="43" t="s">
        <v>711</v>
      </c>
      <c r="I274" s="44" t="s">
        <v>43</v>
      </c>
      <c r="J274" s="42" t="s">
        <v>47</v>
      </c>
      <c r="K274" s="43" t="s">
        <v>47</v>
      </c>
      <c r="L274" s="42">
        <v>2</v>
      </c>
      <c r="M274" s="42">
        <v>3</v>
      </c>
      <c r="N274" s="42">
        <v>3</v>
      </c>
      <c r="O274" s="42">
        <v>3</v>
      </c>
      <c r="P274" s="43">
        <v>2</v>
      </c>
      <c r="Q274" s="42">
        <v>3</v>
      </c>
      <c r="R274" s="42">
        <v>5</v>
      </c>
      <c r="S274" s="42">
        <v>3</v>
      </c>
      <c r="T274" s="42">
        <v>5</v>
      </c>
      <c r="U274" s="43">
        <v>3</v>
      </c>
      <c r="V274" s="42">
        <v>4</v>
      </c>
      <c r="W274" s="42">
        <v>5</v>
      </c>
      <c r="X274" s="42">
        <v>4</v>
      </c>
      <c r="Y274" s="43">
        <v>3</v>
      </c>
      <c r="Z274" s="42" t="s">
        <v>45</v>
      </c>
      <c r="AA274" s="42">
        <v>2</v>
      </c>
      <c r="AB274" s="42" t="s">
        <v>45</v>
      </c>
      <c r="AC274" s="42" t="s">
        <v>45</v>
      </c>
      <c r="AD274" s="42" t="s">
        <v>45</v>
      </c>
      <c r="AE274" s="42" t="s">
        <v>45</v>
      </c>
      <c r="AF274" s="42" t="s">
        <v>45</v>
      </c>
      <c r="AG274" s="43" t="s">
        <v>45</v>
      </c>
      <c r="AH274" s="42">
        <v>5</v>
      </c>
      <c r="AI274" s="42">
        <v>5</v>
      </c>
      <c r="AJ274" s="43">
        <v>3</v>
      </c>
      <c r="AK274" s="45" t="s">
        <v>45</v>
      </c>
      <c r="AL274" s="45" t="s">
        <v>705</v>
      </c>
      <c r="AM274" s="46">
        <f>($L$3*(L274-$Q$1)/$Q$2+$M$3*(M274-$R$1)/$R$2+$N$3*(N274-$S$1)/$S$2+$O$3*(O274-$T$1)/$T$2+$P$3*(P274-$U$1)/$U$2)/(SUM($L$3:$P$3))</f>
        <v>-1.2741093265034418</v>
      </c>
      <c r="AN274" s="46">
        <f>($L$3*(Q274-$Q$1)/$Q$2+$M$3*(R274-$R$1)/$R$2+$N$3*(S274-$S$1)/$S$2+$O$3*(T274-$T$1)/$T$2+$P$3*(U274-$U$1)/$U$2)/(SUM($L$3:$P$3))</f>
        <v>-0.62999829122711448</v>
      </c>
      <c r="AO274" s="47">
        <f>IF(AVERAGE(AH274:AI274)&gt;9,1,0)+IF(AVERAGE(AH274:AI274)&gt;7,1,0)+IF(AH274&gt;7,1,0)+IF(AI274&gt;7,1,0)+IF(AJ274&gt;8,1,0)+IF(AJ274&gt;6,1,0)</f>
        <v>0</v>
      </c>
      <c r="AP274" s="48">
        <f>MIN(2,IF(OR(Z274="-",X274&lt;5),0,1+IF(Y274&gt;7,0.35,IF(Y274&gt;5,0.1,0))+IF(Z274&gt;7,1+IF(X274&gt;7,0.25,0),IF(Z274&gt;4,0.5+IF(X274&gt;7,0.25,0),0+IF(X274&gt;7,0.25))))+IF(AA274="-",0,IF(AA274&gt;9,0.5,IF(AA274&gt;7,0.25,0)))+IF(AB274="-",0,IF(AB274&gt;7,1.1,IF(AB274&gt;4,0.6,0)))+IF(OR(AC274="-",V274&lt;5),0,IF(AC274&gt;7,1+IF(V274&gt;7,0.25,0),IF(AC274&gt;4,0.5+IF(V274&gt;7,0.25,0),0)))+IF(AD274="-",0,IF(AD274&gt;7,1.5,IF(AD274&gt;4,1,0)))+IF(AE274="-",0,IF(AE274&gt;9,0.5,IF(AE274&gt;7,0.25,0)))+IF(AF274="-",0,IF(AF274&gt;7,1.25,IF(AF274&gt;4,0.75,0)))+IF(OR(AG274="-",W274&lt;4),0,IF(AG274&gt;7,1+IF(W274&gt;7,0.15,0),IF(AG274&gt;4,0.5+IF(W274&gt;7,0.15,0),0))))</f>
        <v>0</v>
      </c>
      <c r="AQ274" s="46">
        <f>($AM$3*AM274+$AN$3*AN274+$AO$3*AO274+$AP$3*AP274)+$I$3*VLOOKUP(I274,COND!$A$2:$E$7,4,FALSE)+$J$3*VLOOKUP(J274,COND!$A$2:$C$7,2,FALSE)+$K$3*VLOOKUP(K274,COND!$A$2:$C$7,3,FALSE)+IF(AND($B$2&gt;0,$E274&lt;20),$B$2*25,0)</f>
        <v>37.912609572624284</v>
      </c>
      <c r="AR274" s="49">
        <f>STANDARDIZE(AQ274,AVERAGE($AQ$5:$AQ$537),STDEVP($AQ$5:$AQ$537))</f>
        <v>-0.42853428037820918</v>
      </c>
      <c r="AS274" s="47" t="str">
        <f>IF(AND(Z274&lt;&gt;"-",Y274&gt;1),"C",IF(AB274=MAX(AB274:AD274),"2B",IF(AD274=MAX(AB274:AD274),"SS",IF(OR(AC274=MAX(AA274:AD274),AND(AC274&lt;&gt;"-",AC274&gt;4,V274&gt;5)),"3B",IF(AF274=MAX(AE274:AG274),"CF",IF(AND(AG274=MAX(AE274,AG274),AND(W274&gt;5,AG274&lt;&gt;"-")),"RF",IF(AE274&lt;&gt;"-","LF",IF(AA274&lt;&gt;"-","1B","DH"))))))))</f>
        <v>1B</v>
      </c>
      <c r="AT274" s="47"/>
      <c r="AU274" s="47"/>
      <c r="AV274" s="47"/>
      <c r="AW274" s="47" t="str">
        <f>IF(AND($Q274&gt;=6,AVERAGE($S274:$T274)&gt;=6),"Likely",IF(OR($Q274&gt;6,AND($Q274=6,AVERAGE($S274:$T274)&gt;=3),AND($Q274&gt;=5,AVERAGE($S274:$T274)&gt;=5),AVERAGE($Q274,$S274:$T274)&gt;5),"Possible","Unlikely"))</f>
        <v>Unlikely</v>
      </c>
      <c r="AX274" s="47"/>
      <c r="AY274" s="47" t="str">
        <f>INDEX(Table5[[#All],[Ovr]],MATCH(Batters[[#This Row],[PID]],Table5[[#All],[PID]],0))</f>
        <v/>
      </c>
      <c r="AZ274" s="47" t="str">
        <f>INDEX(Table5[[#All],[Rnd]],MATCH(Batters[[#This Row],[PID]],Table5[[#All],[PID]],0))</f>
        <v/>
      </c>
      <c r="BA274" s="47" t="str">
        <f>INDEX(Table5[[#All],[Pick]],MATCH(Batters[[#This Row],[PID]],Table5[[#All],[PID]],0))</f>
        <v/>
      </c>
      <c r="BB274" s="47" t="str">
        <f>INDEX(Table5[[#All],[Team]],MATCH(Batters[[#This Row],[PID]],Table5[[#All],[PID]],0))</f>
        <v/>
      </c>
    </row>
    <row r="275" spans="1:54" ht="15" customHeight="1" x14ac:dyDescent="0.25">
      <c r="A275" s="42">
        <v>7735</v>
      </c>
      <c r="B275" s="42" t="s">
        <v>71</v>
      </c>
      <c r="C275" s="42" t="s">
        <v>148</v>
      </c>
      <c r="D275" s="42" t="s">
        <v>793</v>
      </c>
      <c r="E275" s="42">
        <v>18</v>
      </c>
      <c r="F275" s="42" t="s">
        <v>42</v>
      </c>
      <c r="G275" s="42" t="s">
        <v>42</v>
      </c>
      <c r="H275" s="43" t="s">
        <v>721</v>
      </c>
      <c r="I275" s="44" t="s">
        <v>44</v>
      </c>
      <c r="J275" s="42" t="s">
        <v>44</v>
      </c>
      <c r="K275" s="43" t="s">
        <v>43</v>
      </c>
      <c r="L275" s="42">
        <v>1</v>
      </c>
      <c r="M275" s="42">
        <v>1</v>
      </c>
      <c r="N275" s="42">
        <v>2</v>
      </c>
      <c r="O275" s="42">
        <v>2</v>
      </c>
      <c r="P275" s="43">
        <v>1</v>
      </c>
      <c r="Q275" s="42">
        <v>3</v>
      </c>
      <c r="R275" s="42">
        <v>3</v>
      </c>
      <c r="S275" s="42">
        <v>3</v>
      </c>
      <c r="T275" s="42">
        <v>4</v>
      </c>
      <c r="U275" s="43">
        <v>3</v>
      </c>
      <c r="V275" s="42">
        <v>4</v>
      </c>
      <c r="W275" s="42">
        <v>3</v>
      </c>
      <c r="X275" s="42">
        <v>1</v>
      </c>
      <c r="Y275" s="43">
        <v>1</v>
      </c>
      <c r="Z275" s="42" t="s">
        <v>45</v>
      </c>
      <c r="AA275" s="42" t="s">
        <v>45</v>
      </c>
      <c r="AB275" s="42">
        <v>1</v>
      </c>
      <c r="AC275" s="42" t="s">
        <v>45</v>
      </c>
      <c r="AD275" s="42" t="s">
        <v>45</v>
      </c>
      <c r="AE275" s="42" t="s">
        <v>45</v>
      </c>
      <c r="AF275" s="42" t="s">
        <v>45</v>
      </c>
      <c r="AG275" s="43" t="s">
        <v>45</v>
      </c>
      <c r="AH275" s="42">
        <v>8</v>
      </c>
      <c r="AI275" s="42">
        <v>9</v>
      </c>
      <c r="AJ275" s="43">
        <v>6</v>
      </c>
      <c r="AK275" s="45" t="s">
        <v>546</v>
      </c>
      <c r="AL275" s="45" t="s">
        <v>705</v>
      </c>
      <c r="AM275" s="46">
        <f>($L$3*(L275-$Q$1)/$Q$2+$M$3*(M275-$R$1)/$R$2+$N$3*(N275-$S$1)/$S$2+$O$3*(O275-$T$1)/$T$2+$P$3*(P275-$U$1)/$U$2)/(SUM($L$3:$P$3))</f>
        <v>-1.9115723057940897</v>
      </c>
      <c r="AN275" s="46">
        <f>($L$3*(Q275-$Q$1)/$Q$2+$M$3*(R275-$R$1)/$R$2+$N$3*(S275-$S$1)/$S$2+$O$3*(T275-$T$1)/$T$2+$P$3*(U275-$U$1)/$U$2)/(SUM($L$3:$P$3))</f>
        <v>-0.82182760047410253</v>
      </c>
      <c r="AO275" s="47">
        <f>IF(AVERAGE(AH275:AI275)&gt;9,1,0)+IF(AVERAGE(AH275:AI275)&gt;7,1,0)+IF(AH275&gt;7,1,0)+IF(AI275&gt;7,1,0)+IF(AJ275&gt;8,1,0)+IF(AJ275&gt;6,1,0)</f>
        <v>3</v>
      </c>
      <c r="AP275" s="48">
        <f>MIN(2,IF(OR(Z275="-",X275&lt;5),0,1+IF(Y275&gt;7,0.35,IF(Y275&gt;5,0.1,0))+IF(Z275&gt;7,1+IF(X275&gt;7,0.25,0),IF(Z275&gt;4,0.5+IF(X275&gt;7,0.25,0),0+IF(X275&gt;7,0.25))))+IF(AA275="-",0,IF(AA275&gt;9,0.5,IF(AA275&gt;7,0.25,0)))+IF(AB275="-",0,IF(AB275&gt;7,1.1,IF(AB275&gt;4,0.6,0)))+IF(OR(AC275="-",V275&lt;5),0,IF(AC275&gt;7,1+IF(V275&gt;7,0.25,0),IF(AC275&gt;4,0.5+IF(V275&gt;7,0.25,0),0)))+IF(AD275="-",0,IF(AD275&gt;7,1.5,IF(AD275&gt;4,1,0)))+IF(AE275="-",0,IF(AE275&gt;9,0.5,IF(AE275&gt;7,0.25,0)))+IF(AF275="-",0,IF(AF275&gt;7,1.25,IF(AF275&gt;4,0.75,0)))+IF(OR(AG275="-",W275&lt;4),0,IF(AG275&gt;7,1+IF(W275&gt;7,0.15,0),IF(AG275&gt;4,0.5+IF(W275&gt;7,0.15,0),0))))</f>
        <v>0</v>
      </c>
      <c r="AQ275" s="46">
        <f>($AM$3*AM275+$AN$3*AN275+$AO$3*AO275+$AP$3*AP275)+$I$3*VLOOKUP(I275,COND!$A$2:$E$7,4,FALSE)+$J$3*VLOOKUP(J275,COND!$A$2:$C$7,2,FALSE)+$K$3*VLOOKUP(K275,COND!$A$2:$C$7,3,FALSE)+IF(AND($B$2&gt;0,$E275&lt;20),$B$2*25,0)</f>
        <v>39.996911563731359</v>
      </c>
      <c r="AR275" s="49">
        <f>STANDARDIZE(AQ275,AVERAGE($AQ$5:$AQ$537),STDEVP($AQ$5:$AQ$537))</f>
        <v>-6.1815197946282603E-2</v>
      </c>
      <c r="AS275" s="47" t="str">
        <f>IF(AND(Z275&lt;&gt;"-",Y275&gt;1),"C",IF(AB275=MAX(AB275:AD275),"2B",IF(AD275=MAX(AB275:AD275),"SS",IF(OR(AC275=MAX(AA275:AD275),AND(AC275&lt;&gt;"-",AC275&gt;4,V275&gt;5)),"3B",IF(AF275=MAX(AE275:AG275),"CF",IF(AND(AG275=MAX(AE275,AG275),AND(W275&gt;5,AG275&lt;&gt;"-")),"RF",IF(AE275&lt;&gt;"-","LF",IF(AA275&lt;&gt;"-","1B","DH"))))))))</f>
        <v>2B</v>
      </c>
      <c r="AT275" s="47"/>
      <c r="AU275" s="47"/>
      <c r="AV275" s="47"/>
      <c r="AW275" s="47" t="str">
        <f>IF(AND($Q275&gt;=6,AVERAGE($S275:$T275)&gt;=6),"Likely",IF(OR($Q275&gt;6,AND($Q275=6,AVERAGE($S275:$T275)&gt;=3),AND($Q275&gt;=5,AVERAGE($S275:$T275)&gt;=5),AVERAGE($Q275,$S275:$T275)&gt;5),"Possible","Unlikely"))</f>
        <v>Unlikely</v>
      </c>
      <c r="AX275" s="47"/>
      <c r="AY275" s="47" t="str">
        <f>INDEX(Table5[[#All],[Ovr]],MATCH(Batters[[#This Row],[PID]],Table5[[#All],[PID]],0))</f>
        <v/>
      </c>
      <c r="AZ275" s="47" t="str">
        <f>INDEX(Table5[[#All],[Rnd]],MATCH(Batters[[#This Row],[PID]],Table5[[#All],[PID]],0))</f>
        <v/>
      </c>
      <c r="BA275" s="47" t="str">
        <f>INDEX(Table5[[#All],[Pick]],MATCH(Batters[[#This Row],[PID]],Table5[[#All],[PID]],0))</f>
        <v/>
      </c>
      <c r="BB275" s="47" t="str">
        <f>INDEX(Table5[[#All],[Team]],MATCH(Batters[[#This Row],[PID]],Table5[[#All],[PID]],0))</f>
        <v/>
      </c>
    </row>
    <row r="276" spans="1:54" ht="15" customHeight="1" x14ac:dyDescent="0.25">
      <c r="A276" s="42">
        <v>7252</v>
      </c>
      <c r="B276" s="42" t="s">
        <v>71</v>
      </c>
      <c r="C276" s="42" t="s">
        <v>821</v>
      </c>
      <c r="D276" s="42" t="s">
        <v>770</v>
      </c>
      <c r="E276" s="42">
        <v>18</v>
      </c>
      <c r="F276" s="42" t="s">
        <v>42</v>
      </c>
      <c r="G276" s="42" t="s">
        <v>42</v>
      </c>
      <c r="H276" s="43" t="s">
        <v>711</v>
      </c>
      <c r="I276" s="44" t="s">
        <v>43</v>
      </c>
      <c r="J276" s="42" t="s">
        <v>43</v>
      </c>
      <c r="K276" s="43" t="s">
        <v>44</v>
      </c>
      <c r="L276" s="42">
        <v>1</v>
      </c>
      <c r="M276" s="42">
        <v>1</v>
      </c>
      <c r="N276" s="42">
        <v>2</v>
      </c>
      <c r="O276" s="42">
        <v>1</v>
      </c>
      <c r="P276" s="43">
        <v>3</v>
      </c>
      <c r="Q276" s="42">
        <v>3</v>
      </c>
      <c r="R276" s="42">
        <v>2</v>
      </c>
      <c r="S276" s="42">
        <v>2</v>
      </c>
      <c r="T276" s="42">
        <v>4</v>
      </c>
      <c r="U276" s="43">
        <v>6</v>
      </c>
      <c r="V276" s="42">
        <v>3</v>
      </c>
      <c r="W276" s="42">
        <v>2</v>
      </c>
      <c r="X276" s="42">
        <v>1</v>
      </c>
      <c r="Y276" s="43">
        <v>1</v>
      </c>
      <c r="Z276" s="42" t="s">
        <v>45</v>
      </c>
      <c r="AA276" s="42" t="s">
        <v>45</v>
      </c>
      <c r="AB276" s="42">
        <v>4</v>
      </c>
      <c r="AC276" s="42" t="s">
        <v>45</v>
      </c>
      <c r="AD276" s="42" t="s">
        <v>45</v>
      </c>
      <c r="AE276" s="42" t="s">
        <v>45</v>
      </c>
      <c r="AF276" s="42" t="s">
        <v>45</v>
      </c>
      <c r="AG276" s="43" t="s">
        <v>45</v>
      </c>
      <c r="AH276" s="42">
        <v>9</v>
      </c>
      <c r="AI276" s="42">
        <v>9</v>
      </c>
      <c r="AJ276" s="43">
        <v>6</v>
      </c>
      <c r="AK276" s="45" t="s">
        <v>718</v>
      </c>
      <c r="AL276" s="45" t="s">
        <v>705</v>
      </c>
      <c r="AM276" s="46">
        <f>($L$3*(L276-$Q$1)/$Q$2+$M$3*(M276-$R$1)/$R$2+$N$3*(N276-$S$1)/$S$2+$O$3*(O276-$T$1)/$T$2+$P$3*(P276-$U$1)/$U$2)/(SUM($L$3:$P$3))</f>
        <v>-1.9212491761695039</v>
      </c>
      <c r="AN276" s="46">
        <f>($L$3*(Q276-$Q$1)/$Q$2+$M$3*(R276-$R$1)/$R$2+$N$3*(S276-$S$1)/$S$2+$O$3*(T276-$T$1)/$T$2+$P$3*(U276-$U$1)/$U$2)/(SUM($L$3:$P$3))</f>
        <v>-0.83589995466545719</v>
      </c>
      <c r="AO276" s="47">
        <f>IF(AVERAGE(AH276:AI276)&gt;9,1,0)+IF(AVERAGE(AH276:AI276)&gt;7,1,0)+IF(AH276&gt;7,1,0)+IF(AI276&gt;7,1,0)+IF(AJ276&gt;8,1,0)+IF(AJ276&gt;6,1,0)</f>
        <v>3</v>
      </c>
      <c r="AP276" s="48">
        <f>MIN(2,IF(OR(Z276="-",X276&lt;5),0,1+IF(Y276&gt;7,0.35,IF(Y276&gt;5,0.1,0))+IF(Z276&gt;7,1+IF(X276&gt;7,0.25,0),IF(Z276&gt;4,0.5+IF(X276&gt;7,0.25,0),0+IF(X276&gt;7,0.25))))+IF(AA276="-",0,IF(AA276&gt;9,0.5,IF(AA276&gt;7,0.25,0)))+IF(AB276="-",0,IF(AB276&gt;7,1.1,IF(AB276&gt;4,0.6,0)))+IF(OR(AC276="-",V276&lt;5),0,IF(AC276&gt;7,1+IF(V276&gt;7,0.25,0),IF(AC276&gt;4,0.5+IF(V276&gt;7,0.25,0),0)))+IF(AD276="-",0,IF(AD276&gt;7,1.5,IF(AD276&gt;4,1,0)))+IF(AE276="-",0,IF(AE276&gt;9,0.5,IF(AE276&gt;7,0.25,0)))+IF(AF276="-",0,IF(AF276&gt;7,1.25,IF(AF276&gt;4,0.75,0)))+IF(OR(AG276="-",W276&lt;4),0,IF(AG276&gt;7,1+IF(W276&gt;7,0.15,0),IF(AG276&gt;4,0.5+IF(W276&gt;7,0.15,0),0))))</f>
        <v>0</v>
      </c>
      <c r="AQ276" s="46">
        <f>($AM$3*AM276+$AN$3*AN276+$AO$3*AO276+$AP$3*AP276)+$I$3*VLOOKUP(I276,COND!$A$2:$E$7,4,FALSE)+$J$3*VLOOKUP(J276,COND!$A$2:$C$7,2,FALSE)+$K$3*VLOOKUP(K276,COND!$A$2:$C$7,3,FALSE)+IF(AND($B$2&gt;0,$E276&lt;20),$B$2*25,0)</f>
        <v>39.977075626397564</v>
      </c>
      <c r="AR276" s="49">
        <f>STANDARDIZE(AQ276,AVERAGE($AQ$5:$AQ$537),STDEVP($AQ$5:$AQ$537))</f>
        <v>-6.5305199284506552E-2</v>
      </c>
      <c r="AS276" s="47" t="str">
        <f>IF(AND(Z276&lt;&gt;"-",Y276&gt;1),"C",IF(AB276=MAX(AB276:AD276),"2B",IF(AD276=MAX(AB276:AD276),"SS",IF(OR(AC276=MAX(AA276:AD276),AND(AC276&lt;&gt;"-",AC276&gt;4,V276&gt;5)),"3B",IF(AF276=MAX(AE276:AG276),"CF",IF(AND(AG276=MAX(AE276,AG276),AND(W276&gt;5,AG276&lt;&gt;"-")),"RF",IF(AE276&lt;&gt;"-","LF",IF(AA276&lt;&gt;"-","1B","DH"))))))))</f>
        <v>2B</v>
      </c>
      <c r="AT276" s="47"/>
      <c r="AU276" s="47"/>
      <c r="AV276" s="47"/>
      <c r="AW276" s="47" t="str">
        <f>IF(AND($Q276&gt;=6,AVERAGE($S276:$T276)&gt;=6),"Likely",IF(OR($Q276&gt;6,AND($Q276=6,AVERAGE($S276:$T276)&gt;=3),AND($Q276&gt;=5,AVERAGE($S276:$T276)&gt;=5),AVERAGE($Q276,$S276:$T276)&gt;5),"Possible","Unlikely"))</f>
        <v>Unlikely</v>
      </c>
      <c r="AX276" s="47"/>
      <c r="AY276" s="47" t="str">
        <f>INDEX(Table5[[#All],[Ovr]],MATCH(Batters[[#This Row],[PID]],Table5[[#All],[PID]],0))</f>
        <v/>
      </c>
      <c r="AZ276" s="47" t="str">
        <f>INDEX(Table5[[#All],[Rnd]],MATCH(Batters[[#This Row],[PID]],Table5[[#All],[PID]],0))</f>
        <v/>
      </c>
      <c r="BA276" s="47" t="str">
        <f>INDEX(Table5[[#All],[Pick]],MATCH(Batters[[#This Row],[PID]],Table5[[#All],[PID]],0))</f>
        <v/>
      </c>
      <c r="BB276" s="47" t="str">
        <f>INDEX(Table5[[#All],[Team]],MATCH(Batters[[#This Row],[PID]],Table5[[#All],[PID]],0))</f>
        <v/>
      </c>
    </row>
    <row r="277" spans="1:54" ht="15" customHeight="1" x14ac:dyDescent="0.25">
      <c r="A277" s="42">
        <v>17633</v>
      </c>
      <c r="B277" s="42" t="s">
        <v>86</v>
      </c>
      <c r="C277" s="42" t="s">
        <v>143</v>
      </c>
      <c r="D277" s="42" t="s">
        <v>1188</v>
      </c>
      <c r="E277" s="42">
        <v>18</v>
      </c>
      <c r="F277" s="42" t="s">
        <v>42</v>
      </c>
      <c r="G277" s="42" t="s">
        <v>42</v>
      </c>
      <c r="H277" s="43" t="s">
        <v>709</v>
      </c>
      <c r="I277" s="44" t="s">
        <v>44</v>
      </c>
      <c r="J277" s="42" t="s">
        <v>44</v>
      </c>
      <c r="K277" s="43" t="s">
        <v>43</v>
      </c>
      <c r="L277" s="42">
        <v>1</v>
      </c>
      <c r="M277" s="42">
        <v>1</v>
      </c>
      <c r="N277" s="42">
        <v>2</v>
      </c>
      <c r="O277" s="42">
        <v>1</v>
      </c>
      <c r="P277" s="43">
        <v>1</v>
      </c>
      <c r="Q277" s="42">
        <v>3</v>
      </c>
      <c r="R277" s="42">
        <v>3</v>
      </c>
      <c r="S277" s="42">
        <v>3</v>
      </c>
      <c r="T277" s="42">
        <v>4</v>
      </c>
      <c r="U277" s="43">
        <v>4</v>
      </c>
      <c r="V277" s="42">
        <v>5</v>
      </c>
      <c r="W277" s="42">
        <v>5</v>
      </c>
      <c r="X277" s="42">
        <v>6</v>
      </c>
      <c r="Y277" s="43">
        <v>3</v>
      </c>
      <c r="Z277" s="42" t="s">
        <v>45</v>
      </c>
      <c r="AA277" s="42" t="s">
        <v>45</v>
      </c>
      <c r="AB277" s="42" t="s">
        <v>45</v>
      </c>
      <c r="AC277" s="42" t="s">
        <v>45</v>
      </c>
      <c r="AD277" s="42" t="s">
        <v>45</v>
      </c>
      <c r="AE277" s="42" t="s">
        <v>45</v>
      </c>
      <c r="AF277" s="42" t="s">
        <v>45</v>
      </c>
      <c r="AG277" s="43" t="s">
        <v>45</v>
      </c>
      <c r="AH277" s="42">
        <v>1</v>
      </c>
      <c r="AI277" s="42">
        <v>2</v>
      </c>
      <c r="AJ277" s="43">
        <v>1</v>
      </c>
      <c r="AK277" s="45" t="s">
        <v>427</v>
      </c>
      <c r="AL277" s="45" t="s">
        <v>705</v>
      </c>
      <c r="AM277" s="46">
        <f>($L$3*(L277-$Q$1)/$Q$2+$M$3*(M277-$R$1)/$R$2+$N$3*(N277-$S$1)/$S$2+$O$3*(O277-$T$1)/$T$2+$P$3*(P277-$U$1)/$U$2)/(SUM($L$3:$P$3))</f>
        <v>-2.0012818558036707</v>
      </c>
      <c r="AN277" s="46">
        <f>($L$3*(Q277-$Q$1)/$Q$2+$M$3*(R277-$R$1)/$R$2+$N$3*(S277-$S$1)/$S$2+$O$3*(T277-$T$1)/$T$2+$P$3*(U277-$U$1)/$U$2)/(SUM($L$3:$P$3))</f>
        <v>-0.781811260657019</v>
      </c>
      <c r="AO277" s="47">
        <f>IF(AVERAGE(AH277:AI277)&gt;9,1,0)+IF(AVERAGE(AH277:AI277)&gt;7,1,0)+IF(AH277&gt;7,1,0)+IF(AI277&gt;7,1,0)+IF(AJ277&gt;8,1,0)+IF(AJ277&gt;6,1,0)</f>
        <v>0</v>
      </c>
      <c r="AP277" s="48">
        <f>MIN(2,IF(OR(Z277="-",X277&lt;5),0,1+IF(Y277&gt;7,0.35,IF(Y277&gt;5,0.1,0))+IF(Z277&gt;7,1+IF(X277&gt;7,0.25,0),IF(Z277&gt;4,0.5+IF(X277&gt;7,0.25,0),0+IF(X277&gt;7,0.25))))+IF(AA277="-",0,IF(AA277&gt;9,0.5,IF(AA277&gt;7,0.25,0)))+IF(AB277="-",0,IF(AB277&gt;7,1.1,IF(AB277&gt;4,0.6,0)))+IF(OR(AC277="-",V277&lt;5),0,IF(AC277&gt;7,1+IF(V277&gt;7,0.25,0),IF(AC277&gt;4,0.5+IF(V277&gt;7,0.25,0),0)))+IF(AD277="-",0,IF(AD277&gt;7,1.5,IF(AD277&gt;4,1,0)))+IF(AE277="-",0,IF(AE277&gt;9,0.5,IF(AE277&gt;7,0.25,0)))+IF(AF277="-",0,IF(AF277&gt;7,1.25,IF(AF277&gt;4,0.75,0)))+IF(OR(AG277="-",W277&lt;4),0,IF(AG277&gt;7,1+IF(W277&gt;7,0.15,0),IF(AG277&gt;4,0.5+IF(W277&gt;7,0.15,0),0))))</f>
        <v>0</v>
      </c>
      <c r="AQ277" s="46">
        <f>($AM$3*AM277+$AN$3*AN277+$AO$3*AO277+$AP$3*AP277)+$I$3*VLOOKUP(I277,COND!$A$2:$E$7,4,FALSE)+$J$3*VLOOKUP(J277,COND!$A$2:$C$7,2,FALSE)+$K$3*VLOOKUP(K277,COND!$A$2:$C$7,3,FALSE)+IF(AND($B$2&gt;0,$E277&lt;20),$B$2*25,0)</f>
        <v>39.968136686535402</v>
      </c>
      <c r="AR277" s="49">
        <f>STANDARDIZE(AQ277,AVERAGE($AQ$5:$AQ$537),STDEVP($AQ$5:$AQ$537))</f>
        <v>-6.6877946342347755E-2</v>
      </c>
      <c r="AS277" s="47" t="str">
        <f>IF(AND(Z277&lt;&gt;"-",Y277&gt;1),"C",IF(AB277=MAX(AB277:AD277),"2B",IF(AD277=MAX(AB277:AD277),"SS",IF(OR(AC277=MAX(AA277:AD277),AND(AC277&lt;&gt;"-",AC277&gt;4,V277&gt;5)),"3B",IF(AF277=MAX(AE277:AG277),"CF",IF(AND(AG277=MAX(AE277,AG277),AND(W277&gt;5,AG277&lt;&gt;"-")),"RF",IF(AE277&lt;&gt;"-","LF",IF(AA277&lt;&gt;"-","1B","DH"))))))))</f>
        <v>DH</v>
      </c>
      <c r="AT277" s="47"/>
      <c r="AU277" s="47"/>
      <c r="AV277" s="47"/>
      <c r="AW277" s="47" t="str">
        <f>IF(AND($Q277&gt;=6,AVERAGE($S277:$T277)&gt;=6),"Likely",IF(OR($Q277&gt;6,AND($Q277=6,AVERAGE($S277:$T277)&gt;=3),AND($Q277&gt;=5,AVERAGE($S277:$T277)&gt;=5),AVERAGE($Q277,$S277:$T277)&gt;5),"Possible","Unlikely"))</f>
        <v>Unlikely</v>
      </c>
      <c r="AX277" s="47"/>
      <c r="AY277" s="47" t="str">
        <f>INDEX(Table5[[#All],[Ovr]],MATCH(Batters[[#This Row],[PID]],Table5[[#All],[PID]],0))</f>
        <v/>
      </c>
      <c r="AZ277" s="47" t="str">
        <f>INDEX(Table5[[#All],[Rnd]],MATCH(Batters[[#This Row],[PID]],Table5[[#All],[PID]],0))</f>
        <v/>
      </c>
      <c r="BA277" s="47" t="str">
        <f>INDEX(Table5[[#All],[Pick]],MATCH(Batters[[#This Row],[PID]],Table5[[#All],[PID]],0))</f>
        <v/>
      </c>
      <c r="BB277" s="47" t="str">
        <f>INDEX(Table5[[#All],[Team]],MATCH(Batters[[#This Row],[PID]],Table5[[#All],[PID]],0))</f>
        <v/>
      </c>
    </row>
    <row r="278" spans="1:54" ht="15" customHeight="1" x14ac:dyDescent="0.25">
      <c r="A278" s="42">
        <v>9241</v>
      </c>
      <c r="B278" s="42" t="s">
        <v>50</v>
      </c>
      <c r="C278" s="42" t="s">
        <v>343</v>
      </c>
      <c r="D278" s="42" t="s">
        <v>458</v>
      </c>
      <c r="E278" s="42">
        <v>21</v>
      </c>
      <c r="F278" s="42" t="s">
        <v>42</v>
      </c>
      <c r="G278" s="42" t="s">
        <v>42</v>
      </c>
      <c r="H278" s="43" t="s">
        <v>709</v>
      </c>
      <c r="I278" s="44" t="s">
        <v>43</v>
      </c>
      <c r="J278" s="42" t="s">
        <v>43</v>
      </c>
      <c r="K278" s="43" t="s">
        <v>44</v>
      </c>
      <c r="L278" s="42">
        <v>2</v>
      </c>
      <c r="M278" s="42">
        <v>2</v>
      </c>
      <c r="N278" s="42">
        <v>2</v>
      </c>
      <c r="O278" s="42">
        <v>2</v>
      </c>
      <c r="P278" s="43">
        <v>3</v>
      </c>
      <c r="Q278" s="42">
        <v>4</v>
      </c>
      <c r="R278" s="42">
        <v>3</v>
      </c>
      <c r="S278" s="42">
        <v>3</v>
      </c>
      <c r="T278" s="42">
        <v>4</v>
      </c>
      <c r="U278" s="43">
        <v>4</v>
      </c>
      <c r="V278" s="42">
        <v>5</v>
      </c>
      <c r="W278" s="42">
        <v>6</v>
      </c>
      <c r="X278" s="42">
        <v>1</v>
      </c>
      <c r="Y278" s="43">
        <v>1</v>
      </c>
      <c r="Z278" s="42" t="s">
        <v>45</v>
      </c>
      <c r="AA278" s="42" t="s">
        <v>45</v>
      </c>
      <c r="AB278" s="42" t="s">
        <v>45</v>
      </c>
      <c r="AC278" s="42" t="s">
        <v>45</v>
      </c>
      <c r="AD278" s="42" t="s">
        <v>45</v>
      </c>
      <c r="AE278" s="42">
        <v>6</v>
      </c>
      <c r="AF278" s="42" t="s">
        <v>45</v>
      </c>
      <c r="AG278" s="43">
        <v>3</v>
      </c>
      <c r="AH278" s="42">
        <v>10</v>
      </c>
      <c r="AI278" s="42">
        <v>9</v>
      </c>
      <c r="AJ278" s="43">
        <v>8</v>
      </c>
      <c r="AK278" s="45" t="s">
        <v>45</v>
      </c>
      <c r="AL278" s="45" t="s">
        <v>47</v>
      </c>
      <c r="AM278" s="46">
        <f>($L$3*(L278-$Q$1)/$Q$2+$M$3*(M278-$R$1)/$R$2+$N$3*(N278-$S$1)/$S$2+$O$3*(O278-$T$1)/$T$2+$P$3*(P278-$U$1)/$U$2)/(SUM($L$3:$P$3))</f>
        <v>-1.4579239103385446</v>
      </c>
      <c r="AN278" s="46">
        <f>($L$3*(Q278-$Q$1)/$Q$2+$M$3*(R278-$R$1)/$R$2+$N$3*(S278-$S$1)/$S$2+$O$3*(T278-$T$1)/$T$2+$P$3*(U278-$U$1)/$U$2)/(SUM($L$3:$P$3))</f>
        <v>-0.45925542445434431</v>
      </c>
      <c r="AO278" s="47">
        <f>IF(AVERAGE(AH278:AI278)&gt;9,1,0)+IF(AVERAGE(AH278:AI278)&gt;7,1,0)+IF(AH278&gt;7,1,0)+IF(AI278&gt;7,1,0)+IF(AJ278&gt;8,1,0)+IF(AJ278&gt;6,1,0)</f>
        <v>5</v>
      </c>
      <c r="AP278" s="48">
        <f>MIN(2,IF(OR(Z278="-",X278&lt;5),0,1+IF(Y278&gt;7,0.35,IF(Y278&gt;5,0.1,0))+IF(Z278&gt;7,1+IF(X278&gt;7,0.25,0),IF(Z278&gt;4,0.5+IF(X278&gt;7,0.25,0),0+IF(X278&gt;7,0.25))))+IF(AA278="-",0,IF(AA278&gt;9,0.5,IF(AA278&gt;7,0.25,0)))+IF(AB278="-",0,IF(AB278&gt;7,1.1,IF(AB278&gt;4,0.6,0)))+IF(OR(AC278="-",V278&lt;5),0,IF(AC278&gt;7,1+IF(V278&gt;7,0.25,0),IF(AC278&gt;4,0.5+IF(V278&gt;7,0.25,0),0)))+IF(AD278="-",0,IF(AD278&gt;7,1.5,IF(AD278&gt;4,1,0)))+IF(AE278="-",0,IF(AE278&gt;9,0.5,IF(AE278&gt;7,0.25,0)))+IF(AF278="-",0,IF(AF278&gt;7,1.25,IF(AF278&gt;4,0.75,0)))+IF(OR(AG278="-",W278&lt;4),0,IF(AG278&gt;7,1+IF(W278&gt;7,0.15,0),IF(AG278&gt;4,0.5+IF(W278&gt;7,0.15,0),0))))</f>
        <v>0</v>
      </c>
      <c r="AQ278" s="46">
        <f>($AM$3*AM278+$AN$3*AN278+$AO$3*AO278+$AP$3*AP278)+$I$3*VLOOKUP(I278,COND!$A$2:$E$7,4,FALSE)+$J$3*VLOOKUP(J278,COND!$A$2:$C$7,2,FALSE)+$K$3*VLOOKUP(K278,COND!$A$2:$C$7,3,FALSE)+IF(AND($B$2&gt;0,$E278&lt;20),$B$2*25,0)</f>
        <v>39.876475848847349</v>
      </c>
      <c r="AR278" s="49">
        <f>STANDARDIZE(AQ278,AVERAGE($AQ$5:$AQ$537),STDEVP($AQ$5:$AQ$537))</f>
        <v>-8.3005061527825594E-2</v>
      </c>
      <c r="AS278" s="47" t="str">
        <f>IF(AND(Z278&lt;&gt;"-",Y278&gt;1),"C",IF(AB278=MAX(AB278:AD278),"2B",IF(AD278=MAX(AB278:AD278),"SS",IF(OR(AC278=MAX(AA278:AD278),AND(AC278&lt;&gt;"-",AC278&gt;4,V278&gt;5)),"3B",IF(AF278=MAX(AE278:AG278),"CF",IF(AND(AG278=MAX(AE278,AG278),AND(W278&gt;5,AG278&lt;&gt;"-")),"RF",IF(AE278&lt;&gt;"-","LF",IF(AA278&lt;&gt;"-","1B","DH"))))))))</f>
        <v>LF</v>
      </c>
      <c r="AT278" s="47"/>
      <c r="AU278" s="47"/>
      <c r="AV278" s="47"/>
      <c r="AW278" s="47" t="str">
        <f>IF(AND($Q278&gt;=6,AVERAGE($S278:$T278)&gt;=6),"Likely",IF(OR($Q278&gt;6,AND($Q278=6,AVERAGE($S278:$T278)&gt;=3),AND($Q278&gt;=5,AVERAGE($S278:$T278)&gt;=5),AVERAGE($Q278,$S278:$T278)&gt;5),"Possible","Unlikely"))</f>
        <v>Unlikely</v>
      </c>
      <c r="AX278" s="47"/>
      <c r="AY278" s="47" t="str">
        <f>INDEX(Table5[[#All],[Ovr]],MATCH(Batters[[#This Row],[PID]],Table5[[#All],[PID]],0))</f>
        <v/>
      </c>
      <c r="AZ278" s="47" t="str">
        <f>INDEX(Table5[[#All],[Rnd]],MATCH(Batters[[#This Row],[PID]],Table5[[#All],[PID]],0))</f>
        <v/>
      </c>
      <c r="BA278" s="47" t="str">
        <f>INDEX(Table5[[#All],[Pick]],MATCH(Batters[[#This Row],[PID]],Table5[[#All],[PID]],0))</f>
        <v/>
      </c>
      <c r="BB278" s="47" t="str">
        <f>INDEX(Table5[[#All],[Team]],MATCH(Batters[[#This Row],[PID]],Table5[[#All],[PID]],0))</f>
        <v/>
      </c>
    </row>
    <row r="279" spans="1:54" ht="15" customHeight="1" x14ac:dyDescent="0.25">
      <c r="A279" s="42">
        <v>7204</v>
      </c>
      <c r="B279" s="42" t="s">
        <v>72</v>
      </c>
      <c r="C279" s="42" t="s">
        <v>1190</v>
      </c>
      <c r="D279" s="42" t="s">
        <v>796</v>
      </c>
      <c r="E279" s="42">
        <v>21</v>
      </c>
      <c r="F279" s="42" t="s">
        <v>42</v>
      </c>
      <c r="G279" s="42" t="s">
        <v>42</v>
      </c>
      <c r="H279" s="43" t="s">
        <v>703</v>
      </c>
      <c r="I279" s="44" t="s">
        <v>43</v>
      </c>
      <c r="J279" s="42" t="s">
        <v>43</v>
      </c>
      <c r="K279" s="43" t="s">
        <v>43</v>
      </c>
      <c r="L279" s="42">
        <v>2</v>
      </c>
      <c r="M279" s="42">
        <v>4</v>
      </c>
      <c r="N279" s="42">
        <v>3</v>
      </c>
      <c r="O279" s="42">
        <v>3</v>
      </c>
      <c r="P279" s="43">
        <v>1</v>
      </c>
      <c r="Q279" s="42">
        <v>3</v>
      </c>
      <c r="R279" s="42">
        <v>5</v>
      </c>
      <c r="S279" s="42">
        <v>3</v>
      </c>
      <c r="T279" s="42">
        <v>5</v>
      </c>
      <c r="U279" s="43">
        <v>3</v>
      </c>
      <c r="V279" s="42">
        <v>8</v>
      </c>
      <c r="W279" s="42">
        <v>7</v>
      </c>
      <c r="X279" s="42">
        <v>1</v>
      </c>
      <c r="Y279" s="43">
        <v>1</v>
      </c>
      <c r="Z279" s="42" t="s">
        <v>45</v>
      </c>
      <c r="AA279" s="42" t="s">
        <v>45</v>
      </c>
      <c r="AB279" s="42" t="s">
        <v>45</v>
      </c>
      <c r="AC279" s="42" t="s">
        <v>45</v>
      </c>
      <c r="AD279" s="42">
        <v>8</v>
      </c>
      <c r="AE279" s="42" t="s">
        <v>45</v>
      </c>
      <c r="AF279" s="42" t="s">
        <v>45</v>
      </c>
      <c r="AG279" s="43" t="s">
        <v>45</v>
      </c>
      <c r="AH279" s="42">
        <v>9</v>
      </c>
      <c r="AI279" s="42">
        <v>6</v>
      </c>
      <c r="AJ279" s="43">
        <v>6</v>
      </c>
      <c r="AK279" s="45" t="s">
        <v>615</v>
      </c>
      <c r="AL279" s="45" t="s">
        <v>47</v>
      </c>
      <c r="AM279" s="46">
        <f>($L$3*(L279-$Q$1)/$Q$2+$M$3*(M279-$R$1)/$R$2+$N$3*(N279-$S$1)/$S$2+$O$3*(O279-$T$1)/$T$2+$P$3*(P279-$U$1)/$U$2)/(SUM($L$3:$P$3))</f>
        <v>-1.2630657867018216</v>
      </c>
      <c r="AN279" s="46">
        <f>($L$3*(Q279-$Q$1)/$Q$2+$M$3*(R279-$R$1)/$R$2+$N$3*(S279-$S$1)/$S$2+$O$3*(T279-$T$1)/$T$2+$P$3*(U279-$U$1)/$U$2)/(SUM($L$3:$P$3))</f>
        <v>-0.62999829122711448</v>
      </c>
      <c r="AO279" s="47">
        <f>IF(AVERAGE(AH279:AI279)&gt;9,1,0)+IF(AVERAGE(AH279:AI279)&gt;7,1,0)+IF(AH279&gt;7,1,0)+IF(AI279&gt;7,1,0)+IF(AJ279&gt;8,1,0)+IF(AJ279&gt;6,1,0)</f>
        <v>2</v>
      </c>
      <c r="AP279" s="48">
        <f>MIN(2,IF(OR(Z279="-",X279&lt;5),0,1+IF(Y279&gt;7,0.35,IF(Y279&gt;5,0.1,0))+IF(Z279&gt;7,1+IF(X279&gt;7,0.25,0),IF(Z279&gt;4,0.5+IF(X279&gt;7,0.25,0),0+IF(X279&gt;7,0.25))))+IF(AA279="-",0,IF(AA279&gt;9,0.5,IF(AA279&gt;7,0.25,0)))+IF(AB279="-",0,IF(AB279&gt;7,1.1,IF(AB279&gt;4,0.6,0)))+IF(OR(AC279="-",V279&lt;5),0,IF(AC279&gt;7,1+IF(V279&gt;7,0.25,0),IF(AC279&gt;4,0.5+IF(V279&gt;7,0.25,0),0)))+IF(AD279="-",0,IF(AD279&gt;7,1.5,IF(AD279&gt;4,1,0)))+IF(AE279="-",0,IF(AE279&gt;9,0.5,IF(AE279&gt;7,0.25,0)))+IF(AF279="-",0,IF(AF279&gt;7,1.25,IF(AF279&gt;4,0.75,0)))+IF(OR(AG279="-",W279&lt;4),0,IF(AG279&gt;7,1+IF(W279&gt;7,0.15,0),IF(AG279&gt;4,0.5+IF(W279&gt;7,0.15,0),0))))</f>
        <v>1.5</v>
      </c>
      <c r="AQ279" s="46">
        <f>($AM$3*AM279+$AN$3*AN279+$AO$3*AO279+$AP$3*AP279)+$I$3*VLOOKUP(I279,COND!$A$2:$E$7,4,FALSE)+$J$3*VLOOKUP(J279,COND!$A$2:$C$7,2,FALSE)+$K$3*VLOOKUP(K279,COND!$A$2:$C$7,3,FALSE)+IF(AND($B$2&gt;0,$E279&lt;20),$B$2*25,0)</f>
        <v>39.147047259937779</v>
      </c>
      <c r="AR279" s="49">
        <f>STANDARDIZE(AQ279,AVERAGE($AQ$5:$AQ$537),STDEVP($AQ$5:$AQ$537))</f>
        <v>-0.21134317374277037</v>
      </c>
      <c r="AS279" s="47" t="str">
        <f>IF(AND(Z279&lt;&gt;"-",Y279&gt;1),"C",IF(AB279=MAX(AB279:AD279),"2B",IF(AD279=MAX(AB279:AD279),"SS",IF(OR(AC279=MAX(AA279:AD279),AND(AC279&lt;&gt;"-",AC279&gt;4,V279&gt;5)),"3B",IF(AF279=MAX(AE279:AG279),"CF",IF(AND(AG279=MAX(AE279,AG279),AND(W279&gt;5,AG279&lt;&gt;"-")),"RF",IF(AE279&lt;&gt;"-","LF",IF(AA279&lt;&gt;"-","1B","DH"))))))))</f>
        <v>SS</v>
      </c>
      <c r="AT279" s="47"/>
      <c r="AU279" s="47"/>
      <c r="AV279" s="47"/>
      <c r="AW279" s="47" t="str">
        <f>IF(AND($Q279&gt;=6,AVERAGE($S279:$T279)&gt;=6),"Likely",IF(OR($Q279&gt;6,AND($Q279=6,AVERAGE($S279:$T279)&gt;=3),AND($Q279&gt;=5,AVERAGE($S279:$T279)&gt;=5),AVERAGE($Q279,$S279:$T279)&gt;5),"Possible","Unlikely"))</f>
        <v>Unlikely</v>
      </c>
      <c r="AX279" s="47"/>
      <c r="AY279" s="47" t="str">
        <f>INDEX(Table5[[#All],[Ovr]],MATCH(Batters[[#This Row],[PID]],Table5[[#All],[PID]],0))</f>
        <v/>
      </c>
      <c r="AZ279" s="47" t="str">
        <f>INDEX(Table5[[#All],[Rnd]],MATCH(Batters[[#This Row],[PID]],Table5[[#All],[PID]],0))</f>
        <v/>
      </c>
      <c r="BA279" s="47" t="str">
        <f>INDEX(Table5[[#All],[Pick]],MATCH(Batters[[#This Row],[PID]],Table5[[#All],[PID]],0))</f>
        <v/>
      </c>
      <c r="BB279" s="47" t="str">
        <f>INDEX(Table5[[#All],[Team]],MATCH(Batters[[#This Row],[PID]],Table5[[#All],[PID]],0))</f>
        <v/>
      </c>
    </row>
    <row r="280" spans="1:54" ht="15" customHeight="1" x14ac:dyDescent="0.25">
      <c r="A280" s="42">
        <v>11838</v>
      </c>
      <c r="B280" s="42" t="s">
        <v>86</v>
      </c>
      <c r="C280" s="42" t="s">
        <v>1296</v>
      </c>
      <c r="D280" s="42" t="s">
        <v>388</v>
      </c>
      <c r="E280" s="42">
        <v>21</v>
      </c>
      <c r="F280" s="42" t="s">
        <v>53</v>
      </c>
      <c r="G280" s="42" t="s">
        <v>42</v>
      </c>
      <c r="H280" s="43" t="s">
        <v>709</v>
      </c>
      <c r="I280" s="44" t="s">
        <v>44</v>
      </c>
      <c r="J280" s="42" t="s">
        <v>43</v>
      </c>
      <c r="K280" s="43" t="s">
        <v>47</v>
      </c>
      <c r="L280" s="42">
        <v>1</v>
      </c>
      <c r="M280" s="42">
        <v>3</v>
      </c>
      <c r="N280" s="42">
        <v>2</v>
      </c>
      <c r="O280" s="42">
        <v>3</v>
      </c>
      <c r="P280" s="43">
        <v>1</v>
      </c>
      <c r="Q280" s="42">
        <v>3</v>
      </c>
      <c r="R280" s="42">
        <v>5</v>
      </c>
      <c r="S280" s="42">
        <v>4</v>
      </c>
      <c r="T280" s="42">
        <v>5</v>
      </c>
      <c r="U280" s="43">
        <v>3</v>
      </c>
      <c r="V280" s="42">
        <v>3</v>
      </c>
      <c r="W280" s="42">
        <v>3</v>
      </c>
      <c r="X280" s="42">
        <v>6</v>
      </c>
      <c r="Y280" s="43">
        <v>6</v>
      </c>
      <c r="Z280" s="42" t="s">
        <v>45</v>
      </c>
      <c r="AA280" s="42" t="s">
        <v>45</v>
      </c>
      <c r="AB280" s="42" t="s">
        <v>45</v>
      </c>
      <c r="AC280" s="42" t="s">
        <v>45</v>
      </c>
      <c r="AD280" s="42" t="s">
        <v>45</v>
      </c>
      <c r="AE280" s="42" t="s">
        <v>45</v>
      </c>
      <c r="AF280" s="42" t="s">
        <v>45</v>
      </c>
      <c r="AG280" s="43" t="s">
        <v>45</v>
      </c>
      <c r="AH280" s="42">
        <v>1</v>
      </c>
      <c r="AI280" s="42">
        <v>1</v>
      </c>
      <c r="AJ280" s="43">
        <v>1</v>
      </c>
      <c r="AK280" s="45" t="s">
        <v>45</v>
      </c>
      <c r="AL280" s="45" t="s">
        <v>47</v>
      </c>
      <c r="AM280" s="46">
        <f>($L$3*(L280-$Q$1)/$Q$2+$M$3*(M280-$R$1)/$R$2+$N$3*(N280-$S$1)/$S$2+$O$3*(O280-$T$1)/$T$2+$P$3*(P280-$U$1)/$U$2)/(SUM($L$3:$P$3))</f>
        <v>-1.7197429965471014</v>
      </c>
      <c r="AN280" s="46">
        <f>($L$3*(Q280-$Q$1)/$Q$2+$M$3*(R280-$R$1)/$R$2+$N$3*(S280-$S$1)/$S$2+$O$3*(T280-$T$1)/$T$2+$P$3*(U280-$U$1)/$U$2)/(SUM($L$3:$P$3))</f>
        <v>-0.54693679720321298</v>
      </c>
      <c r="AO280" s="47">
        <f>IF(AVERAGE(AH280:AI280)&gt;9,1,0)+IF(AVERAGE(AH280:AI280)&gt;7,1,0)+IF(AH280&gt;7,1,0)+IF(AI280&gt;7,1,0)+IF(AJ280&gt;8,1,0)+IF(AJ280&gt;6,1,0)</f>
        <v>0</v>
      </c>
      <c r="AP280" s="48">
        <f>MIN(2,IF(OR(Z280="-",X280&lt;5),0,1+IF(Y280&gt;7,0.35,IF(Y280&gt;5,0.1,0))+IF(Z280&gt;7,1+IF(X280&gt;7,0.25,0),IF(Z280&gt;4,0.5+IF(X280&gt;7,0.25,0),0+IF(X280&gt;7,0.25))))+IF(AA280="-",0,IF(AA280&gt;9,0.5,IF(AA280&gt;7,0.25,0)))+IF(AB280="-",0,IF(AB280&gt;7,1.1,IF(AB280&gt;4,0.6,0)))+IF(OR(AC280="-",V280&lt;5),0,IF(AC280&gt;7,1+IF(V280&gt;7,0.25,0),IF(AC280&gt;4,0.5+IF(V280&gt;7,0.25,0),0)))+IF(AD280="-",0,IF(AD280&gt;7,1.5,IF(AD280&gt;4,1,0)))+IF(AE280="-",0,IF(AE280&gt;9,0.5,IF(AE280&gt;7,0.25,0)))+IF(AF280="-",0,IF(AF280&gt;7,1.25,IF(AF280&gt;4,0.75,0)))+IF(OR(AG280="-",W280&lt;4),0,IF(AG280&gt;7,1+IF(W280&gt;7,0.15,0),IF(AG280&gt;4,0.5+IF(W280&gt;7,0.15,0),0))))</f>
        <v>0</v>
      </c>
      <c r="AQ280" s="46">
        <f>($AM$3*AM280+$AN$3*AN280+$AO$3*AO280+$AP$3*AP280)+$I$3*VLOOKUP(I280,COND!$A$2:$E$7,4,FALSE)+$J$3*VLOOKUP(J280,COND!$A$2:$C$7,2,FALSE)+$K$3*VLOOKUP(K280,COND!$A$2:$C$7,3,FALSE)+IF(AND($B$2&gt;0,$E280&lt;20),$B$2*25,0)</f>
        <v>38.414784133906736</v>
      </c>
      <c r="AR280" s="49">
        <f>STANDARDIZE(AQ280,AVERAGE($AQ$5:$AQ$537),STDEVP($AQ$5:$AQ$537))</f>
        <v>-0.34018000392504461</v>
      </c>
      <c r="AS280" s="47" t="str">
        <f>IF(AND(Z280&lt;&gt;"-",Y280&gt;1),"C",IF(AB280=MAX(AB280:AD280),"2B",IF(AD280=MAX(AB280:AD280),"SS",IF(OR(AC280=MAX(AA280:AD280),AND(AC280&lt;&gt;"-",AC280&gt;4,V280&gt;5)),"3B",IF(AF280=MAX(AE280:AG280),"CF",IF(AND(AG280=MAX(AE280,AG280),AND(W280&gt;5,AG280&lt;&gt;"-")),"RF",IF(AE280&lt;&gt;"-","LF",IF(AA280&lt;&gt;"-","1B","DH"))))))))</f>
        <v>DH</v>
      </c>
      <c r="AT280" s="47"/>
      <c r="AU280" s="47"/>
      <c r="AV280" s="47"/>
      <c r="AW280" s="47" t="str">
        <f>IF(AND($Q280&gt;=6,AVERAGE($S280:$T280)&gt;=6),"Likely",IF(OR($Q280&gt;6,AND($Q280=6,AVERAGE($S280:$T280)&gt;=3),AND($Q280&gt;=5,AVERAGE($S280:$T280)&gt;=5),AVERAGE($Q280,$S280:$T280)&gt;5),"Possible","Unlikely"))</f>
        <v>Unlikely</v>
      </c>
      <c r="AX280" s="47"/>
      <c r="AY280" s="47" t="str">
        <f>INDEX(Table5[[#All],[Ovr]],MATCH(Batters[[#This Row],[PID]],Table5[[#All],[PID]],0))</f>
        <v/>
      </c>
      <c r="AZ280" s="47" t="str">
        <f>INDEX(Table5[[#All],[Rnd]],MATCH(Batters[[#This Row],[PID]],Table5[[#All],[PID]],0))</f>
        <v/>
      </c>
      <c r="BA280" s="47" t="str">
        <f>INDEX(Table5[[#All],[Pick]],MATCH(Batters[[#This Row],[PID]],Table5[[#All],[PID]],0))</f>
        <v/>
      </c>
      <c r="BB280" s="47" t="str">
        <f>INDEX(Table5[[#All],[Team]],MATCH(Batters[[#This Row],[PID]],Table5[[#All],[PID]],0))</f>
        <v/>
      </c>
    </row>
    <row r="281" spans="1:54" ht="15" customHeight="1" x14ac:dyDescent="0.25">
      <c r="A281" s="42">
        <v>12663</v>
      </c>
      <c r="B281" s="42" t="s">
        <v>71</v>
      </c>
      <c r="C281" s="42" t="s">
        <v>1249</v>
      </c>
      <c r="D281" s="42" t="s">
        <v>1250</v>
      </c>
      <c r="E281" s="42">
        <v>21</v>
      </c>
      <c r="F281" s="42" t="s">
        <v>42</v>
      </c>
      <c r="G281" s="42" t="s">
        <v>42</v>
      </c>
      <c r="H281" s="43" t="s">
        <v>709</v>
      </c>
      <c r="I281" s="44" t="s">
        <v>43</v>
      </c>
      <c r="J281" s="42" t="s">
        <v>47</v>
      </c>
      <c r="K281" s="43" t="s">
        <v>47</v>
      </c>
      <c r="L281" s="42">
        <v>1</v>
      </c>
      <c r="M281" s="42">
        <v>2</v>
      </c>
      <c r="N281" s="42">
        <v>2</v>
      </c>
      <c r="O281" s="42">
        <v>3</v>
      </c>
      <c r="P281" s="43">
        <v>2</v>
      </c>
      <c r="Q281" s="42">
        <v>3</v>
      </c>
      <c r="R281" s="42">
        <v>3</v>
      </c>
      <c r="S281" s="42">
        <v>2</v>
      </c>
      <c r="T281" s="42">
        <v>5</v>
      </c>
      <c r="U281" s="43">
        <v>4</v>
      </c>
      <c r="V281" s="42">
        <v>2</v>
      </c>
      <c r="W281" s="42">
        <v>1</v>
      </c>
      <c r="X281" s="42">
        <v>1</v>
      </c>
      <c r="Y281" s="43">
        <v>1</v>
      </c>
      <c r="Z281" s="42" t="s">
        <v>45</v>
      </c>
      <c r="AA281" s="42" t="s">
        <v>45</v>
      </c>
      <c r="AB281" s="42">
        <v>6</v>
      </c>
      <c r="AC281" s="42" t="s">
        <v>45</v>
      </c>
      <c r="AD281" s="42" t="s">
        <v>45</v>
      </c>
      <c r="AE281" s="42" t="s">
        <v>45</v>
      </c>
      <c r="AF281" s="42" t="s">
        <v>45</v>
      </c>
      <c r="AG281" s="43" t="s">
        <v>45</v>
      </c>
      <c r="AH281" s="42">
        <v>9</v>
      </c>
      <c r="AI281" s="42">
        <v>9</v>
      </c>
      <c r="AJ281" s="43">
        <v>9</v>
      </c>
      <c r="AK281" s="45" t="s">
        <v>615</v>
      </c>
      <c r="AL281" s="45" t="s">
        <v>705</v>
      </c>
      <c r="AM281" s="46">
        <f>($L$3*(L281-$Q$1)/$Q$2+$M$3*(M281-$R$1)/$R$2+$N$3*(N281-$S$1)/$S$2+$O$3*(O281-$T$1)/$T$2+$P$3*(P281-$U$1)/$U$2)/(SUM($L$3:$P$3))</f>
        <v>-1.7307865363487211</v>
      </c>
      <c r="AN281" s="46">
        <f>($L$3*(Q281-$Q$1)/$Q$2+$M$3*(R281-$R$1)/$R$2+$N$3*(S281-$S$1)/$S$2+$O$3*(T281-$T$1)/$T$2+$P$3*(U281-$U$1)/$U$2)/(SUM($L$3:$P$3))</f>
        <v>-0.77516320467133948</v>
      </c>
      <c r="AO281" s="47">
        <f>IF(AVERAGE(AH281:AI281)&gt;9,1,0)+IF(AVERAGE(AH281:AI281)&gt;7,1,0)+IF(AH281&gt;7,1,0)+IF(AI281&gt;7,1,0)+IF(AJ281&gt;8,1,0)+IF(AJ281&gt;6,1,0)</f>
        <v>5</v>
      </c>
      <c r="AP281" s="48">
        <f>MIN(2,IF(OR(Z281="-",X281&lt;5),0,1+IF(Y281&gt;7,0.35,IF(Y281&gt;5,0.1,0))+IF(Z281&gt;7,1+IF(X281&gt;7,0.25,0),IF(Z281&gt;4,0.5+IF(X281&gt;7,0.25,0),0+IF(X281&gt;7,0.25))))+IF(AA281="-",0,IF(AA281&gt;9,0.5,IF(AA281&gt;7,0.25,0)))+IF(AB281="-",0,IF(AB281&gt;7,1.1,IF(AB281&gt;4,0.6,0)))+IF(OR(AC281="-",V281&lt;5),0,IF(AC281&gt;7,1+IF(V281&gt;7,0.25,0),IF(AC281&gt;4,0.5+IF(V281&gt;7,0.25,0),0)))+IF(AD281="-",0,IF(AD281&gt;7,1.5,IF(AD281&gt;4,1,0)))+IF(AE281="-",0,IF(AE281&gt;9,0.5,IF(AE281&gt;7,0.25,0)))+IF(AF281="-",0,IF(AF281&gt;7,1.25,IF(AF281&gt;4,0.75,0)))+IF(OR(AG281="-",W281&lt;4),0,IF(AG281&gt;7,1+IF(W281&gt;7,0.15,0),IF(AG281&gt;4,0.5+IF(W281&gt;7,0.15,0),0))))</f>
        <v>0.6</v>
      </c>
      <c r="AQ281" s="46">
        <f>($AM$3*AM281+$AN$3*AN281+$AO$3*AO281+$AP$3*AP281)+$I$3*VLOOKUP(I281,COND!$A$2:$E$7,4,FALSE)+$J$3*VLOOKUP(J281,COND!$A$2:$C$7,2,FALSE)+$K$3*VLOOKUP(K281,COND!$A$2:$C$7,3,FALSE)+IF(AND($B$2&gt;0,$E281&lt;20),$B$2*25,0)</f>
        <v>37.558296223642387</v>
      </c>
      <c r="AR281" s="49">
        <f>STANDARDIZE(AQ281,AVERAGE($AQ$5:$AQ$537),STDEVP($AQ$5:$AQ$537))</f>
        <v>-0.49087335925756592</v>
      </c>
      <c r="AS281" s="47" t="str">
        <f>IF(AND(Z281&lt;&gt;"-",Y281&gt;1),"C",IF(AB281=MAX(AB281:AD281),"2B",IF(AD281=MAX(AB281:AD281),"SS",IF(OR(AC281=MAX(AA281:AD281),AND(AC281&lt;&gt;"-",AC281&gt;4,V281&gt;5)),"3B",IF(AF281=MAX(AE281:AG281),"CF",IF(AND(AG281=MAX(AE281,AG281),AND(W281&gt;5,AG281&lt;&gt;"-")),"RF",IF(AE281&lt;&gt;"-","LF",IF(AA281&lt;&gt;"-","1B","DH"))))))))</f>
        <v>2B</v>
      </c>
      <c r="AT281" s="47"/>
      <c r="AU281" s="47"/>
      <c r="AV281" s="47"/>
      <c r="AW281" s="47" t="str">
        <f>IF(AND($Q281&gt;=6,AVERAGE($S281:$T281)&gt;=6),"Likely",IF(OR($Q281&gt;6,AND($Q281=6,AVERAGE($S281:$T281)&gt;=3),AND($Q281&gt;=5,AVERAGE($S281:$T281)&gt;=5),AVERAGE($Q281,$S281:$T281)&gt;5),"Possible","Unlikely"))</f>
        <v>Unlikely</v>
      </c>
      <c r="AX281" s="47"/>
      <c r="AY281" s="47" t="str">
        <f>INDEX(Table5[[#All],[Ovr]],MATCH(Batters[[#This Row],[PID]],Table5[[#All],[PID]],0))</f>
        <v/>
      </c>
      <c r="AZ281" s="47" t="str">
        <f>INDEX(Table5[[#All],[Rnd]],MATCH(Batters[[#This Row],[PID]],Table5[[#All],[PID]],0))</f>
        <v/>
      </c>
      <c r="BA281" s="47" t="str">
        <f>INDEX(Table5[[#All],[Pick]],MATCH(Batters[[#This Row],[PID]],Table5[[#All],[PID]],0))</f>
        <v/>
      </c>
      <c r="BB281" s="47" t="str">
        <f>INDEX(Table5[[#All],[Team]],MATCH(Batters[[#This Row],[PID]],Table5[[#All],[PID]],0))</f>
        <v/>
      </c>
    </row>
    <row r="282" spans="1:54" ht="15" customHeight="1" x14ac:dyDescent="0.25">
      <c r="A282" s="42">
        <v>9816</v>
      </c>
      <c r="B282" s="42" t="s">
        <v>87</v>
      </c>
      <c r="C282" s="42" t="s">
        <v>295</v>
      </c>
      <c r="D282" s="42" t="s">
        <v>782</v>
      </c>
      <c r="E282" s="42">
        <v>22</v>
      </c>
      <c r="F282" s="42" t="s">
        <v>42</v>
      </c>
      <c r="G282" s="42" t="s">
        <v>53</v>
      </c>
      <c r="H282" s="43" t="s">
        <v>709</v>
      </c>
      <c r="I282" s="44" t="s">
        <v>43</v>
      </c>
      <c r="J282" s="42" t="s">
        <v>43</v>
      </c>
      <c r="K282" s="43" t="s">
        <v>43</v>
      </c>
      <c r="L282" s="42">
        <v>2</v>
      </c>
      <c r="M282" s="42">
        <v>5</v>
      </c>
      <c r="N282" s="42">
        <v>3</v>
      </c>
      <c r="O282" s="42">
        <v>3</v>
      </c>
      <c r="P282" s="43">
        <v>2</v>
      </c>
      <c r="Q282" s="42">
        <v>3</v>
      </c>
      <c r="R282" s="42">
        <v>6</v>
      </c>
      <c r="S282" s="42">
        <v>4</v>
      </c>
      <c r="T282" s="42">
        <v>5</v>
      </c>
      <c r="U282" s="43">
        <v>3</v>
      </c>
      <c r="V282" s="42">
        <v>1</v>
      </c>
      <c r="W282" s="42">
        <v>2</v>
      </c>
      <c r="X282" s="42">
        <v>1</v>
      </c>
      <c r="Y282" s="43">
        <v>1</v>
      </c>
      <c r="Z282" s="42" t="s">
        <v>45</v>
      </c>
      <c r="AA282" s="42">
        <v>2</v>
      </c>
      <c r="AB282" s="42" t="s">
        <v>45</v>
      </c>
      <c r="AC282" s="42" t="s">
        <v>45</v>
      </c>
      <c r="AD282" s="42" t="s">
        <v>45</v>
      </c>
      <c r="AE282" s="42" t="s">
        <v>45</v>
      </c>
      <c r="AF282" s="42" t="s">
        <v>45</v>
      </c>
      <c r="AG282" s="43" t="s">
        <v>45</v>
      </c>
      <c r="AH282" s="42">
        <v>2</v>
      </c>
      <c r="AI282" s="42">
        <v>2</v>
      </c>
      <c r="AJ282" s="43">
        <v>1</v>
      </c>
      <c r="AK282" s="45" t="s">
        <v>45</v>
      </c>
      <c r="AL282" s="45" t="s">
        <v>705</v>
      </c>
      <c r="AM282" s="46">
        <f>($L$3*(L282-$Q$1)/$Q$2+$M$3*(M282-$R$1)/$R$2+$N$3*(N282-$S$1)/$S$2+$O$3*(O282-$T$1)/$T$2+$P$3*(P282-$U$1)/$U$2)/(SUM($L$3:$P$3))</f>
        <v>-1.171989567266035</v>
      </c>
      <c r="AN282" s="46">
        <f>($L$3*(Q282-$Q$1)/$Q$2+$M$3*(R282-$R$1)/$R$2+$N$3*(S282-$S$1)/$S$2+$O$3*(T282-$T$1)/$T$2+$P$3*(U282-$U$1)/$U$2)/(SUM($L$3:$P$3))</f>
        <v>-0.49587691758450947</v>
      </c>
      <c r="AO282" s="47">
        <f>IF(AVERAGE(AH282:AI282)&gt;9,1,0)+IF(AVERAGE(AH282:AI282)&gt;7,1,0)+IF(AH282&gt;7,1,0)+IF(AI282&gt;7,1,0)+IF(AJ282&gt;8,1,0)+IF(AJ282&gt;6,1,0)</f>
        <v>0</v>
      </c>
      <c r="AP282" s="48">
        <f>MIN(2,IF(OR(Z282="-",X282&lt;5),0,1+IF(Y282&gt;7,0.35,IF(Y282&gt;5,0.1,0))+IF(Z282&gt;7,1+IF(X282&gt;7,0.25,0),IF(Z282&gt;4,0.5+IF(X282&gt;7,0.25,0),0+IF(X282&gt;7,0.25))))+IF(AA282="-",0,IF(AA282&gt;9,0.5,IF(AA282&gt;7,0.25,0)))+IF(AB282="-",0,IF(AB282&gt;7,1.1,IF(AB282&gt;4,0.6,0)))+IF(OR(AC282="-",V282&lt;5),0,IF(AC282&gt;7,1+IF(V282&gt;7,0.25,0),IF(AC282&gt;4,0.5+IF(V282&gt;7,0.25,0),0)))+IF(AD282="-",0,IF(AD282&gt;7,1.5,IF(AD282&gt;4,1,0)))+IF(AE282="-",0,IF(AE282&gt;9,0.5,IF(AE282&gt;7,0.25,0)))+IF(AF282="-",0,IF(AF282&gt;7,1.25,IF(AF282&gt;4,0.75,0)))+IF(OR(AG282="-",W282&lt;4),0,IF(AG282&gt;7,1+IF(W282&gt;7,0.15,0),IF(AG282&gt;4,0.5+IF(W282&gt;7,0.15,0),0))))</f>
        <v>0</v>
      </c>
      <c r="AQ282" s="46">
        <f>($AM$3*AM282+$AN$3*AN282+$AO$3*AO282+$AP$3*AP282)+$I$3*VLOOKUP(I282,COND!$A$2:$E$7,4,FALSE)+$J$3*VLOOKUP(J282,COND!$A$2:$C$7,2,FALSE)+$K$3*VLOOKUP(K282,COND!$A$2:$C$7,3,FALSE)+IF(AND($B$2&gt;0,$E282&lt;20),$B$2*25,0)</f>
        <v>38.932278032259283</v>
      </c>
      <c r="AR282" s="49">
        <f>STANDARDIZE(AQ282,AVERAGE($AQ$5:$AQ$537),STDEVP($AQ$5:$AQ$537))</f>
        <v>-0.24913039193135827</v>
      </c>
      <c r="AS282" s="47" t="str">
        <f>IF(AND(Z282&lt;&gt;"-",Y282&gt;1),"C",IF(AB282=MAX(AB282:AD282),"2B",IF(AD282=MAX(AB282:AD282),"SS",IF(OR(AC282=MAX(AA282:AD282),AND(AC282&lt;&gt;"-",AC282&gt;4,V282&gt;5)),"3B",IF(AF282=MAX(AE282:AG282),"CF",IF(AND(AG282=MAX(AE282,AG282),AND(W282&gt;5,AG282&lt;&gt;"-")),"RF",IF(AE282&lt;&gt;"-","LF",IF(AA282&lt;&gt;"-","1B","DH"))))))))</f>
        <v>1B</v>
      </c>
      <c r="AT282" s="47"/>
      <c r="AU282" s="47"/>
      <c r="AV282" s="47"/>
      <c r="AW282" s="47" t="str">
        <f>IF(AND($Q282&gt;=6,AVERAGE($S282:$T282)&gt;=6),"Likely",IF(OR($Q282&gt;6,AND($Q282=6,AVERAGE($S282:$T282)&gt;=3),AND($Q282&gt;=5,AVERAGE($S282:$T282)&gt;=5),AVERAGE($Q282,$S282:$T282)&gt;5),"Possible","Unlikely"))</f>
        <v>Unlikely</v>
      </c>
      <c r="AX282" s="47"/>
      <c r="AY282" s="47" t="str">
        <f>INDEX(Table5[[#All],[Ovr]],MATCH(Batters[[#This Row],[PID]],Table5[[#All],[PID]],0))</f>
        <v/>
      </c>
      <c r="AZ282" s="47" t="str">
        <f>INDEX(Table5[[#All],[Rnd]],MATCH(Batters[[#This Row],[PID]],Table5[[#All],[PID]],0))</f>
        <v/>
      </c>
      <c r="BA282" s="47" t="str">
        <f>INDEX(Table5[[#All],[Pick]],MATCH(Batters[[#This Row],[PID]],Table5[[#All],[PID]],0))</f>
        <v/>
      </c>
      <c r="BB282" s="47" t="str">
        <f>INDEX(Table5[[#All],[Team]],MATCH(Batters[[#This Row],[PID]],Table5[[#All],[PID]],0))</f>
        <v/>
      </c>
    </row>
    <row r="283" spans="1:54" ht="15" customHeight="1" x14ac:dyDescent="0.25">
      <c r="A283" s="42">
        <v>10069</v>
      </c>
      <c r="B283" s="42" t="s">
        <v>66</v>
      </c>
      <c r="C283" s="42" t="s">
        <v>1228</v>
      </c>
      <c r="D283" s="42" t="s">
        <v>190</v>
      </c>
      <c r="E283" s="42">
        <v>21</v>
      </c>
      <c r="F283" s="42" t="s">
        <v>53</v>
      </c>
      <c r="G283" s="42" t="s">
        <v>53</v>
      </c>
      <c r="H283" s="43" t="s">
        <v>709</v>
      </c>
      <c r="I283" s="44" t="s">
        <v>43</v>
      </c>
      <c r="J283" s="42" t="s">
        <v>43</v>
      </c>
      <c r="K283" s="43" t="s">
        <v>44</v>
      </c>
      <c r="L283" s="42">
        <v>2</v>
      </c>
      <c r="M283" s="42">
        <v>2</v>
      </c>
      <c r="N283" s="42">
        <v>4</v>
      </c>
      <c r="O283" s="42">
        <v>2</v>
      </c>
      <c r="P283" s="43">
        <v>1</v>
      </c>
      <c r="Q283" s="42">
        <v>3</v>
      </c>
      <c r="R283" s="42">
        <v>4</v>
      </c>
      <c r="S283" s="42">
        <v>6</v>
      </c>
      <c r="T283" s="42">
        <v>4</v>
      </c>
      <c r="U283" s="43">
        <v>4</v>
      </c>
      <c r="V283" s="42">
        <v>4</v>
      </c>
      <c r="W283" s="42">
        <v>8</v>
      </c>
      <c r="X283" s="42">
        <v>1</v>
      </c>
      <c r="Y283" s="43">
        <v>1</v>
      </c>
      <c r="Z283" s="42" t="s">
        <v>45</v>
      </c>
      <c r="AA283" s="42" t="s">
        <v>45</v>
      </c>
      <c r="AB283" s="42" t="s">
        <v>45</v>
      </c>
      <c r="AC283" s="42" t="s">
        <v>45</v>
      </c>
      <c r="AD283" s="42" t="s">
        <v>45</v>
      </c>
      <c r="AE283" s="42" t="s">
        <v>45</v>
      </c>
      <c r="AF283" s="42" t="s">
        <v>45</v>
      </c>
      <c r="AG283" s="43">
        <v>6</v>
      </c>
      <c r="AH283" s="42">
        <v>9</v>
      </c>
      <c r="AI283" s="42">
        <v>5</v>
      </c>
      <c r="AJ283" s="43">
        <v>6</v>
      </c>
      <c r="AK283" s="45" t="s">
        <v>593</v>
      </c>
      <c r="AL283" s="45" t="s">
        <v>705</v>
      </c>
      <c r="AM283" s="46">
        <f>($L$3*(L283-$Q$1)/$Q$2+$M$3*(M283-$R$1)/$R$2+$N$3*(N283-$S$1)/$S$2+$O$3*(O283-$T$1)/$T$2+$P$3*(P283-$U$1)/$U$2)/(SUM($L$3:$P$3))</f>
        <v>-1.3718336019249082</v>
      </c>
      <c r="AN283" s="46">
        <f>($L$3*(Q283-$Q$1)/$Q$2+$M$3*(R283-$R$1)/$R$2+$N$3*(S283-$S$1)/$S$2+$O$3*(T283-$T$1)/$T$2+$P$3*(U283-$U$1)/$U$2)/(SUM($L$3:$P$3))</f>
        <v>-0.48156689896661115</v>
      </c>
      <c r="AO283" s="47">
        <f>IF(AVERAGE(AH283:AI283)&gt;9,1,0)+IF(AVERAGE(AH283:AI283)&gt;7,1,0)+IF(AH283&gt;7,1,0)+IF(AI283&gt;7,1,0)+IF(AJ283&gt;8,1,0)+IF(AJ283&gt;6,1,0)</f>
        <v>1</v>
      </c>
      <c r="AP283" s="48">
        <f>MIN(2,IF(OR(Z283="-",X283&lt;5),0,1+IF(Y283&gt;7,0.35,IF(Y283&gt;5,0.1,0))+IF(Z283&gt;7,1+IF(X283&gt;7,0.25,0),IF(Z283&gt;4,0.5+IF(X283&gt;7,0.25,0),0+IF(X283&gt;7,0.25))))+IF(AA283="-",0,IF(AA283&gt;9,0.5,IF(AA283&gt;7,0.25,0)))+IF(AB283="-",0,IF(AB283&gt;7,1.1,IF(AB283&gt;4,0.6,0)))+IF(OR(AC283="-",V283&lt;5),0,IF(AC283&gt;7,1+IF(V283&gt;7,0.25,0),IF(AC283&gt;4,0.5+IF(V283&gt;7,0.25,0),0)))+IF(AD283="-",0,IF(AD283&gt;7,1.5,IF(AD283&gt;4,1,0)))+IF(AE283="-",0,IF(AE283&gt;9,0.5,IF(AE283&gt;7,0.25,0)))+IF(AF283="-",0,IF(AF283&gt;7,1.25,IF(AF283&gt;4,0.75,0)))+IF(OR(AG283="-",W283&lt;4),0,IF(AG283&gt;7,1+IF(W283&gt;7,0.15,0),IF(AG283&gt;4,0.5+IF(W283&gt;7,0.15,0),0))))</f>
        <v>0.65</v>
      </c>
      <c r="AQ283" s="46">
        <f>($AM$3*AM283+$AN$3*AN283+$AO$3*AO283+$AP$3*AP283)+$I$3*VLOOKUP(I283,COND!$A$2:$E$7,4,FALSE)+$J$3*VLOOKUP(J283,COND!$A$2:$C$7,2,FALSE)+$K$3*VLOOKUP(K283,COND!$A$2:$C$7,3,FALSE)+IF(AND($B$2&gt;0,$E283&lt;20),$B$2*25,0)</f>
        <v>39.600680518874839</v>
      </c>
      <c r="AR283" s="49">
        <f>STANDARDIZE(AQ283,AVERAGE($AQ$5:$AQ$537),STDEVP($AQ$5:$AQ$537))</f>
        <v>-0.13152941681705566</v>
      </c>
      <c r="AS283" s="47" t="str">
        <f>IF(AND(Z283&lt;&gt;"-",Y283&gt;1),"C",IF(AB283=MAX(AB283:AD283),"2B",IF(AD283=MAX(AB283:AD283),"SS",IF(OR(AC283=MAX(AA283:AD283),AND(AC283&lt;&gt;"-",AC283&gt;4,V283&gt;5)),"3B",IF(AF283=MAX(AE283:AG283),"CF",IF(AND(AG283=MAX(AE283,AG283),AND(W283&gt;5,AG283&lt;&gt;"-")),"RF",IF(AE283&lt;&gt;"-","LF",IF(AA283&lt;&gt;"-","1B","DH"))))))))</f>
        <v>RF</v>
      </c>
      <c r="AT283" s="47"/>
      <c r="AU283" s="47"/>
      <c r="AV283" s="47"/>
      <c r="AW283" s="47" t="str">
        <f>IF(AND($Q283&gt;=6,AVERAGE($S283:$T283)&gt;=6),"Likely",IF(OR($Q283&gt;6,AND($Q283=6,AVERAGE($S283:$T283)&gt;=3),AND($Q283&gt;=5,AVERAGE($S283:$T283)&gt;=5),AVERAGE($Q283,$S283:$T283)&gt;5),"Possible","Unlikely"))</f>
        <v>Unlikely</v>
      </c>
      <c r="AX283" s="47"/>
      <c r="AY283" s="47" t="str">
        <f>INDEX(Table5[[#All],[Ovr]],MATCH(Batters[[#This Row],[PID]],Table5[[#All],[PID]],0))</f>
        <v/>
      </c>
      <c r="AZ283" s="47" t="str">
        <f>INDEX(Table5[[#All],[Rnd]],MATCH(Batters[[#This Row],[PID]],Table5[[#All],[PID]],0))</f>
        <v/>
      </c>
      <c r="BA283" s="47" t="str">
        <f>INDEX(Table5[[#All],[Pick]],MATCH(Batters[[#This Row],[PID]],Table5[[#All],[PID]],0))</f>
        <v/>
      </c>
      <c r="BB283" s="47" t="str">
        <f>INDEX(Table5[[#All],[Team]],MATCH(Batters[[#This Row],[PID]],Table5[[#All],[PID]],0))</f>
        <v/>
      </c>
    </row>
    <row r="284" spans="1:54" ht="15" customHeight="1" x14ac:dyDescent="0.25">
      <c r="A284" s="42">
        <v>6707</v>
      </c>
      <c r="B284" s="42" t="s">
        <v>50</v>
      </c>
      <c r="C284" s="42" t="s">
        <v>609</v>
      </c>
      <c r="D284" s="42" t="s">
        <v>1142</v>
      </c>
      <c r="E284" s="42">
        <v>21</v>
      </c>
      <c r="F284" s="42" t="s">
        <v>42</v>
      </c>
      <c r="G284" s="42" t="s">
        <v>42</v>
      </c>
      <c r="H284" s="43" t="s">
        <v>709</v>
      </c>
      <c r="I284" s="44" t="s">
        <v>43</v>
      </c>
      <c r="J284" s="42" t="s">
        <v>43</v>
      </c>
      <c r="K284" s="43" t="s">
        <v>43</v>
      </c>
      <c r="L284" s="42">
        <v>2</v>
      </c>
      <c r="M284" s="42">
        <v>4</v>
      </c>
      <c r="N284" s="42">
        <v>4</v>
      </c>
      <c r="O284" s="42">
        <v>3</v>
      </c>
      <c r="P284" s="43">
        <v>2</v>
      </c>
      <c r="Q284" s="42">
        <v>3</v>
      </c>
      <c r="R284" s="42">
        <v>4</v>
      </c>
      <c r="S284" s="42">
        <v>5</v>
      </c>
      <c r="T284" s="42">
        <v>5</v>
      </c>
      <c r="U284" s="43">
        <v>3</v>
      </c>
      <c r="V284" s="42">
        <v>2</v>
      </c>
      <c r="W284" s="42">
        <v>5</v>
      </c>
      <c r="X284" s="42">
        <v>1</v>
      </c>
      <c r="Y284" s="43">
        <v>1</v>
      </c>
      <c r="Z284" s="42" t="s">
        <v>45</v>
      </c>
      <c r="AA284" s="42" t="s">
        <v>45</v>
      </c>
      <c r="AB284" s="42" t="s">
        <v>45</v>
      </c>
      <c r="AC284" s="42" t="s">
        <v>45</v>
      </c>
      <c r="AD284" s="42" t="s">
        <v>45</v>
      </c>
      <c r="AE284" s="42">
        <v>3</v>
      </c>
      <c r="AF284" s="42" t="s">
        <v>45</v>
      </c>
      <c r="AG284" s="43" t="s">
        <v>45</v>
      </c>
      <c r="AH284" s="42">
        <v>9</v>
      </c>
      <c r="AI284" s="42">
        <v>2</v>
      </c>
      <c r="AJ284" s="43">
        <v>1</v>
      </c>
      <c r="AK284" s="45" t="s">
        <v>45</v>
      </c>
      <c r="AL284" s="45" t="s">
        <v>47</v>
      </c>
      <c r="AM284" s="46">
        <f>($L$3*(L284-$Q$1)/$Q$2+$M$3*(M284-$R$1)/$R$2+$N$3*(N284-$S$1)/$S$2+$O$3*(O284-$T$1)/$T$2+$P$3*(P284-$U$1)/$U$2)/(SUM($L$3:$P$3))</f>
        <v>-1.139987952860837</v>
      </c>
      <c r="AN284" s="46">
        <f>($L$3*(Q284-$Q$1)/$Q$2+$M$3*(R284-$R$1)/$R$2+$N$3*(S284-$S$1)/$S$2+$O$3*(T284-$T$1)/$T$2+$P$3*(U284-$U$1)/$U$2)/(SUM($L$3:$P$3))</f>
        <v>-0.51493518279801498</v>
      </c>
      <c r="AO284" s="47">
        <f>IF(AVERAGE(AH284:AI284)&gt;9,1,0)+IF(AVERAGE(AH284:AI284)&gt;7,1,0)+IF(AH284&gt;7,1,0)+IF(AI284&gt;7,1,0)+IF(AJ284&gt;8,1,0)+IF(AJ284&gt;6,1,0)</f>
        <v>1</v>
      </c>
      <c r="AP284" s="48">
        <f>MIN(2,IF(OR(Z284="-",X284&lt;5),0,1+IF(Y284&gt;7,0.35,IF(Y284&gt;5,0.1,0))+IF(Z284&gt;7,1+IF(X284&gt;7,0.25,0),IF(Z284&gt;4,0.5+IF(X284&gt;7,0.25,0),0+IF(X284&gt;7,0.25))))+IF(AA284="-",0,IF(AA284&gt;9,0.5,IF(AA284&gt;7,0.25,0)))+IF(AB284="-",0,IF(AB284&gt;7,1.1,IF(AB284&gt;4,0.6,0)))+IF(OR(AC284="-",V284&lt;5),0,IF(AC284&gt;7,1+IF(V284&gt;7,0.25,0),IF(AC284&gt;4,0.5+IF(V284&gt;7,0.25,0),0)))+IF(AD284="-",0,IF(AD284&gt;7,1.5,IF(AD284&gt;4,1,0)))+IF(AE284="-",0,IF(AE284&gt;9,0.5,IF(AE284&gt;7,0.25,0)))+IF(AF284="-",0,IF(AF284&gt;7,1.25,IF(AF284&gt;4,0.75,0)))+IF(OR(AG284="-",W284&lt;4),0,IF(AG284&gt;7,1+IF(W284&gt;7,0.15,0),IF(AG284&gt;4,0.5+IF(W284&gt;7,0.15,0),0))))</f>
        <v>0</v>
      </c>
      <c r="AQ284" s="46">
        <f>($AM$3*AM284+$AN$3*AN284+$AO$3*AO284+$AP$3*AP284)+$I$3*VLOOKUP(I284,COND!$A$2:$E$7,4,FALSE)+$J$3*VLOOKUP(J284,COND!$A$2:$C$7,2,FALSE)+$K$3*VLOOKUP(K284,COND!$A$2:$C$7,3,FALSE)+IF(AND($B$2&gt;0,$E284&lt;20),$B$2*25,0)</f>
        <v>38.873445677804405</v>
      </c>
      <c r="AR284" s="49">
        <f>STANDARDIZE(AQ284,AVERAGE($AQ$5:$AQ$537),STDEVP($AQ$5:$AQ$537))</f>
        <v>-0.25948155368001802</v>
      </c>
      <c r="AS284" s="47" t="str">
        <f>IF(AND(Z284&lt;&gt;"-",Y284&gt;1),"C",IF(AB284=MAX(AB284:AD284),"2B",IF(AD284=MAX(AB284:AD284),"SS",IF(OR(AC284=MAX(AA284:AD284),AND(AC284&lt;&gt;"-",AC284&gt;4,V284&gt;5)),"3B",IF(AF284=MAX(AE284:AG284),"CF",IF(AND(AG284=MAX(AE284,AG284),AND(W284&gt;5,AG284&lt;&gt;"-")),"RF",IF(AE284&lt;&gt;"-","LF",IF(AA284&lt;&gt;"-","1B","DH"))))))))</f>
        <v>LF</v>
      </c>
      <c r="AT284" s="47"/>
      <c r="AU284" s="47"/>
      <c r="AV284" s="47"/>
      <c r="AW284" s="47" t="str">
        <f>IF(AND($Q284&gt;=6,AVERAGE($S284:$T284)&gt;=6),"Likely",IF(OR($Q284&gt;6,AND($Q284=6,AVERAGE($S284:$T284)&gt;=3),AND($Q284&gt;=5,AVERAGE($S284:$T284)&gt;=5),AVERAGE($Q284,$S284:$T284)&gt;5),"Possible","Unlikely"))</f>
        <v>Unlikely</v>
      </c>
      <c r="AX284" s="47"/>
      <c r="AY284" s="47" t="str">
        <f>INDEX(Table5[[#All],[Ovr]],MATCH(Batters[[#This Row],[PID]],Table5[[#All],[PID]],0))</f>
        <v/>
      </c>
      <c r="AZ284" s="47" t="str">
        <f>INDEX(Table5[[#All],[Rnd]],MATCH(Batters[[#This Row],[PID]],Table5[[#All],[PID]],0))</f>
        <v/>
      </c>
      <c r="BA284" s="47" t="str">
        <f>INDEX(Table5[[#All],[Pick]],MATCH(Batters[[#This Row],[PID]],Table5[[#All],[PID]],0))</f>
        <v/>
      </c>
      <c r="BB284" s="47" t="str">
        <f>INDEX(Table5[[#All],[Team]],MATCH(Batters[[#This Row],[PID]],Table5[[#All],[PID]],0))</f>
        <v/>
      </c>
    </row>
    <row r="285" spans="1:54" ht="15" customHeight="1" x14ac:dyDescent="0.25">
      <c r="A285" s="42">
        <v>12505</v>
      </c>
      <c r="B285" s="42" t="s">
        <v>87</v>
      </c>
      <c r="C285" s="42" t="s">
        <v>1387</v>
      </c>
      <c r="D285" s="42" t="s">
        <v>208</v>
      </c>
      <c r="E285" s="42">
        <v>18</v>
      </c>
      <c r="F285" s="42" t="s">
        <v>42</v>
      </c>
      <c r="G285" s="42" t="s">
        <v>42</v>
      </c>
      <c r="H285" s="43" t="s">
        <v>721</v>
      </c>
      <c r="I285" s="44" t="s">
        <v>43</v>
      </c>
      <c r="J285" s="42" t="s">
        <v>43</v>
      </c>
      <c r="K285" s="43" t="s">
        <v>43</v>
      </c>
      <c r="L285" s="42">
        <v>1</v>
      </c>
      <c r="M285" s="42">
        <v>1</v>
      </c>
      <c r="N285" s="42">
        <v>2</v>
      </c>
      <c r="O285" s="42">
        <v>1</v>
      </c>
      <c r="P285" s="43">
        <v>1</v>
      </c>
      <c r="Q285" s="42">
        <v>2</v>
      </c>
      <c r="R285" s="42">
        <v>4</v>
      </c>
      <c r="S285" s="42">
        <v>4</v>
      </c>
      <c r="T285" s="42">
        <v>6</v>
      </c>
      <c r="U285" s="43">
        <v>1</v>
      </c>
      <c r="V285" s="42">
        <v>3</v>
      </c>
      <c r="W285" s="42">
        <v>2</v>
      </c>
      <c r="X285" s="42">
        <v>3</v>
      </c>
      <c r="Y285" s="43">
        <v>5</v>
      </c>
      <c r="Z285" s="42" t="s">
        <v>45</v>
      </c>
      <c r="AA285" s="42">
        <v>1</v>
      </c>
      <c r="AB285" s="42" t="s">
        <v>45</v>
      </c>
      <c r="AC285" s="42" t="s">
        <v>45</v>
      </c>
      <c r="AD285" s="42" t="s">
        <v>45</v>
      </c>
      <c r="AE285" s="42" t="s">
        <v>45</v>
      </c>
      <c r="AF285" s="42" t="s">
        <v>45</v>
      </c>
      <c r="AG285" s="43" t="s">
        <v>45</v>
      </c>
      <c r="AH285" s="42">
        <v>1</v>
      </c>
      <c r="AI285" s="42">
        <v>1</v>
      </c>
      <c r="AJ285" s="43">
        <v>1</v>
      </c>
      <c r="AK285" s="45" t="s">
        <v>739</v>
      </c>
      <c r="AL285" s="45" t="s">
        <v>705</v>
      </c>
      <c r="AM285" s="46">
        <f>($L$3*(L285-$Q$1)/$Q$2+$M$3*(M285-$R$1)/$R$2+$N$3*(N285-$S$1)/$S$2+$O$3*(O285-$T$1)/$T$2+$P$3*(P285-$U$1)/$U$2)/(SUM($L$3:$P$3))</f>
        <v>-2.0012818558036707</v>
      </c>
      <c r="AN285" s="46">
        <f>($L$3*(Q285-$Q$1)/$Q$2+$M$3*(R285-$R$1)/$R$2+$N$3*(S285-$S$1)/$S$2+$O$3*(T285-$T$1)/$T$2+$P$3*(U285-$U$1)/$U$2)/(SUM($L$3:$P$3))</f>
        <v>-0.91087564264917709</v>
      </c>
      <c r="AO285" s="47">
        <f>IF(AVERAGE(AH285:AI285)&gt;9,1,0)+IF(AVERAGE(AH285:AI285)&gt;7,1,0)+IF(AH285&gt;7,1,0)+IF(AI285&gt;7,1,0)+IF(AJ285&gt;8,1,0)+IF(AJ285&gt;6,1,0)</f>
        <v>0</v>
      </c>
      <c r="AP285" s="48">
        <f>MIN(2,IF(OR(Z285="-",X285&lt;5),0,1+IF(Y285&gt;7,0.35,IF(Y285&gt;5,0.1,0))+IF(Z285&gt;7,1+IF(X285&gt;7,0.25,0),IF(Z285&gt;4,0.5+IF(X285&gt;7,0.25,0),0+IF(X285&gt;7,0.25))))+IF(AA285="-",0,IF(AA285&gt;9,0.5,IF(AA285&gt;7,0.25,0)))+IF(AB285="-",0,IF(AB285&gt;7,1.1,IF(AB285&gt;4,0.6,0)))+IF(OR(AC285="-",V285&lt;5),0,IF(AC285&gt;7,1+IF(V285&gt;7,0.25,0),IF(AC285&gt;4,0.5+IF(V285&gt;7,0.25,0),0)))+IF(AD285="-",0,IF(AD285&gt;7,1.5,IF(AD285&gt;4,1,0)))+IF(AE285="-",0,IF(AE285&gt;9,0.5,IF(AE285&gt;7,0.25,0)))+IF(AF285="-",0,IF(AF285&gt;7,1.25,IF(AF285&gt;4,0.75,0)))+IF(OR(AG285="-",W285&lt;4),0,IF(AG285&gt;7,1+IF(W285&gt;7,0.15,0),IF(AG285&gt;4,0.5+IF(W285&gt;7,0.15,0),0))))</f>
        <v>0</v>
      </c>
      <c r="AQ285" s="46">
        <f>($AM$3*AM285+$AN$3*AN285+$AO$3*AO285+$AP$3*AP285)+$I$3*VLOOKUP(I285,COND!$A$2:$E$7,4,FALSE)+$J$3*VLOOKUP(J285,COND!$A$2:$C$7,2,FALSE)+$K$3*VLOOKUP(K285,COND!$A$2:$C$7,3,FALSE)+IF(AND($B$2&gt;0,$E285&lt;20),$B$2*25,0)</f>
        <v>38.869364102629511</v>
      </c>
      <c r="AR285" s="49">
        <f>STANDARDIZE(AQ285,AVERAGE($AQ$5:$AQ$537),STDEVP($AQ$5:$AQ$537))</f>
        <v>-0.26019967970465369</v>
      </c>
      <c r="AS285" s="47" t="str">
        <f>IF(AND(Z285&lt;&gt;"-",Y285&gt;1),"C",IF(AB285=MAX(AB285:AD285),"2B",IF(AD285=MAX(AB285:AD285),"SS",IF(OR(AC285=MAX(AA285:AD285),AND(AC285&lt;&gt;"-",AC285&gt;4,V285&gt;5)),"3B",IF(AF285=MAX(AE285:AG285),"CF",IF(AND(AG285=MAX(AE285,AG285),AND(W285&gt;5,AG285&lt;&gt;"-")),"RF",IF(AE285&lt;&gt;"-","LF",IF(AA285&lt;&gt;"-","1B","DH"))))))))</f>
        <v>1B</v>
      </c>
      <c r="AT285" s="47"/>
      <c r="AU285" s="47"/>
      <c r="AV285" s="47"/>
      <c r="AW285" s="47" t="str">
        <f>IF(AND($Q285&gt;=6,AVERAGE($S285:$T285)&gt;=6),"Likely",IF(OR($Q285&gt;6,AND($Q285=6,AVERAGE($S285:$T285)&gt;=3),AND($Q285&gt;=5,AVERAGE($S285:$T285)&gt;=5),AVERAGE($Q285,$S285:$T285)&gt;5),"Possible","Unlikely"))</f>
        <v>Unlikely</v>
      </c>
      <c r="AX285" s="47"/>
      <c r="AY285" s="47" t="str">
        <f>INDEX(Table5[[#All],[Ovr]],MATCH(Batters[[#This Row],[PID]],Table5[[#All],[PID]],0))</f>
        <v/>
      </c>
      <c r="AZ285" s="47" t="str">
        <f>INDEX(Table5[[#All],[Rnd]],MATCH(Batters[[#This Row],[PID]],Table5[[#All],[PID]],0))</f>
        <v/>
      </c>
      <c r="BA285" s="47" t="str">
        <f>INDEX(Table5[[#All],[Pick]],MATCH(Batters[[#This Row],[PID]],Table5[[#All],[PID]],0))</f>
        <v/>
      </c>
      <c r="BB285" s="47" t="str">
        <f>INDEX(Table5[[#All],[Team]],MATCH(Batters[[#This Row],[PID]],Table5[[#All],[PID]],0))</f>
        <v/>
      </c>
    </row>
    <row r="286" spans="1:54" ht="15" customHeight="1" x14ac:dyDescent="0.25">
      <c r="A286" s="42">
        <v>7309</v>
      </c>
      <c r="B286" s="42" t="s">
        <v>69</v>
      </c>
      <c r="C286" s="42" t="s">
        <v>984</v>
      </c>
      <c r="D286" s="42" t="s">
        <v>807</v>
      </c>
      <c r="E286" s="42">
        <v>21</v>
      </c>
      <c r="F286" s="42" t="s">
        <v>42</v>
      </c>
      <c r="G286" s="42" t="s">
        <v>42</v>
      </c>
      <c r="H286" s="43" t="s">
        <v>709</v>
      </c>
      <c r="I286" s="44" t="s">
        <v>43</v>
      </c>
      <c r="J286" s="42" t="s">
        <v>43</v>
      </c>
      <c r="K286" s="43" t="s">
        <v>47</v>
      </c>
      <c r="L286" s="42">
        <v>2</v>
      </c>
      <c r="M286" s="42">
        <v>3</v>
      </c>
      <c r="N286" s="42">
        <v>3</v>
      </c>
      <c r="O286" s="42">
        <v>3</v>
      </c>
      <c r="P286" s="43">
        <v>1</v>
      </c>
      <c r="Q286" s="42">
        <v>3</v>
      </c>
      <c r="R286" s="42">
        <v>4</v>
      </c>
      <c r="S286" s="42">
        <v>4</v>
      </c>
      <c r="T286" s="42">
        <v>5</v>
      </c>
      <c r="U286" s="43">
        <v>3</v>
      </c>
      <c r="V286" s="42">
        <v>9</v>
      </c>
      <c r="W286" s="42">
        <v>8</v>
      </c>
      <c r="X286" s="42">
        <v>1</v>
      </c>
      <c r="Y286" s="43">
        <v>1</v>
      </c>
      <c r="Z286" s="42" t="s">
        <v>45</v>
      </c>
      <c r="AA286" s="42" t="s">
        <v>45</v>
      </c>
      <c r="AB286" s="42" t="s">
        <v>45</v>
      </c>
      <c r="AC286" s="42">
        <v>4</v>
      </c>
      <c r="AD286" s="42" t="s">
        <v>45</v>
      </c>
      <c r="AE286" s="42" t="s">
        <v>45</v>
      </c>
      <c r="AF286" s="42" t="s">
        <v>45</v>
      </c>
      <c r="AG286" s="43" t="s">
        <v>45</v>
      </c>
      <c r="AH286" s="42">
        <v>9</v>
      </c>
      <c r="AI286" s="42">
        <v>5</v>
      </c>
      <c r="AJ286" s="43">
        <v>4</v>
      </c>
      <c r="AK286" s="45" t="s">
        <v>45</v>
      </c>
      <c r="AL286" s="45" t="s">
        <v>47</v>
      </c>
      <c r="AM286" s="46">
        <f>($L$3*(L286-$Q$1)/$Q$2+$M$3*(M286-$R$1)/$R$2+$N$3*(N286-$S$1)/$S$2+$O$3*(O286-$T$1)/$T$2+$P$3*(P286-$U$1)/$U$2)/(SUM($L$3:$P$3))</f>
        <v>-1.3141256663205254</v>
      </c>
      <c r="AN286" s="46">
        <f>($L$3*(Q286-$Q$1)/$Q$2+$M$3*(R286-$R$1)/$R$2+$N$3*(S286-$S$1)/$S$2+$O$3*(T286-$T$1)/$T$2+$P$3*(U286-$U$1)/$U$2)/(SUM($L$3:$P$3))</f>
        <v>-0.59799667682191648</v>
      </c>
      <c r="AO286" s="47">
        <f>IF(AVERAGE(AH286:AI286)&gt;9,1,0)+IF(AVERAGE(AH286:AI286)&gt;7,1,0)+IF(AH286&gt;7,1,0)+IF(AI286&gt;7,1,0)+IF(AJ286&gt;8,1,0)+IF(AJ286&gt;6,1,0)</f>
        <v>1</v>
      </c>
      <c r="AP286" s="48">
        <f>MIN(2,IF(OR(Z286="-",X286&lt;5),0,1+IF(Y286&gt;7,0.35,IF(Y286&gt;5,0.1,0))+IF(Z286&gt;7,1+IF(X286&gt;7,0.25,0),IF(Z286&gt;4,0.5+IF(X286&gt;7,0.25,0),0+IF(X286&gt;7,0.25))))+IF(AA286="-",0,IF(AA286&gt;9,0.5,IF(AA286&gt;7,0.25,0)))+IF(AB286="-",0,IF(AB286&gt;7,1.1,IF(AB286&gt;4,0.6,0)))+IF(OR(AC286="-",V286&lt;5),0,IF(AC286&gt;7,1+IF(V286&gt;7,0.25,0),IF(AC286&gt;4,0.5+IF(V286&gt;7,0.25,0),0)))+IF(AD286="-",0,IF(AD286&gt;7,1.5,IF(AD286&gt;4,1,0)))+IF(AE286="-",0,IF(AE286&gt;9,0.5,IF(AE286&gt;7,0.25,0)))+IF(AF286="-",0,IF(AF286&gt;7,1.25,IF(AF286&gt;4,0.75,0)))+IF(OR(AG286="-",W286&lt;4),0,IF(AG286&gt;7,1+IF(W286&gt;7,0.15,0),IF(AG286&gt;4,0.5+IF(W286&gt;7,0.15,0),0))))</f>
        <v>0</v>
      </c>
      <c r="AQ286" s="46">
        <f>($AM$3*AM286+$AN$3*AN286+$AO$3*AO286+$AP$3*AP286)+$I$3*VLOOKUP(I286,COND!$A$2:$E$7,4,FALSE)+$J$3*VLOOKUP(J286,COND!$A$2:$C$7,2,FALSE)+$K$3*VLOOKUP(K286,COND!$A$2:$C$7,3,FALSE)+IF(AND($B$2&gt;0,$E286&lt;20),$B$2*25,0)</f>
        <v>38.159293978171618</v>
      </c>
      <c r="AR286" s="49">
        <f>STANDARDIZE(AQ286,AVERAGE($AQ$5:$AQ$537),STDEVP($AQ$5:$AQ$537))</f>
        <v>-0.38513179876155346</v>
      </c>
      <c r="AS286" s="47" t="str">
        <f>IF(AND(Z286&lt;&gt;"-",Y286&gt;1),"C",IF(AB286=MAX(AB286:AD286),"2B",IF(AD286=MAX(AB286:AD286),"SS",IF(OR(AC286=MAX(AA286:AD286),AND(AC286&lt;&gt;"-",AC286&gt;4,V286&gt;5)),"3B",IF(AF286=MAX(AE286:AG286),"CF",IF(AND(AG286=MAX(AE286,AG286),AND(W286&gt;5,AG286&lt;&gt;"-")),"RF",IF(AE286&lt;&gt;"-","LF",IF(AA286&lt;&gt;"-","1B","DH"))))))))</f>
        <v>3B</v>
      </c>
      <c r="AT286" s="47"/>
      <c r="AU286" s="47"/>
      <c r="AV286" s="47"/>
      <c r="AW286" s="47" t="str">
        <f>IF(AND($Q286&gt;=6,AVERAGE($S286:$T286)&gt;=6),"Likely",IF(OR($Q286&gt;6,AND($Q286=6,AVERAGE($S286:$T286)&gt;=3),AND($Q286&gt;=5,AVERAGE($S286:$T286)&gt;=5),AVERAGE($Q286,$S286:$T286)&gt;5),"Possible","Unlikely"))</f>
        <v>Unlikely</v>
      </c>
      <c r="AX286" s="47"/>
      <c r="AY286" s="47" t="str">
        <f>INDEX(Table5[[#All],[Ovr]],MATCH(Batters[[#This Row],[PID]],Table5[[#All],[PID]],0))</f>
        <v/>
      </c>
      <c r="AZ286" s="47" t="str">
        <f>INDEX(Table5[[#All],[Rnd]],MATCH(Batters[[#This Row],[PID]],Table5[[#All],[PID]],0))</f>
        <v/>
      </c>
      <c r="BA286" s="47" t="str">
        <f>INDEX(Table5[[#All],[Pick]],MATCH(Batters[[#This Row],[PID]],Table5[[#All],[PID]],0))</f>
        <v/>
      </c>
      <c r="BB286" s="47" t="str">
        <f>INDEX(Table5[[#All],[Team]],MATCH(Batters[[#This Row],[PID]],Table5[[#All],[PID]],0))</f>
        <v/>
      </c>
    </row>
    <row r="287" spans="1:54" ht="15" customHeight="1" x14ac:dyDescent="0.25">
      <c r="A287" s="42">
        <v>11032</v>
      </c>
      <c r="B287" s="42" t="s">
        <v>87</v>
      </c>
      <c r="C287" s="42" t="s">
        <v>1281</v>
      </c>
      <c r="D287" s="42" t="s">
        <v>1282</v>
      </c>
      <c r="E287" s="42">
        <v>18</v>
      </c>
      <c r="F287" s="42" t="s">
        <v>53</v>
      </c>
      <c r="G287" s="42" t="s">
        <v>53</v>
      </c>
      <c r="H287" s="43" t="s">
        <v>721</v>
      </c>
      <c r="I287" s="44" t="s">
        <v>43</v>
      </c>
      <c r="J287" s="42" t="s">
        <v>44</v>
      </c>
      <c r="K287" s="43" t="s">
        <v>43</v>
      </c>
      <c r="L287" s="42">
        <v>1</v>
      </c>
      <c r="M287" s="42">
        <v>1</v>
      </c>
      <c r="N287" s="42">
        <v>2</v>
      </c>
      <c r="O287" s="42">
        <v>1</v>
      </c>
      <c r="P287" s="43">
        <v>1</v>
      </c>
      <c r="Q287" s="42">
        <v>3</v>
      </c>
      <c r="R287" s="42">
        <v>2</v>
      </c>
      <c r="S287" s="42">
        <v>4</v>
      </c>
      <c r="T287" s="42">
        <v>4</v>
      </c>
      <c r="U287" s="43">
        <v>2</v>
      </c>
      <c r="V287" s="42">
        <v>1</v>
      </c>
      <c r="W287" s="42">
        <v>4</v>
      </c>
      <c r="X287" s="42">
        <v>1</v>
      </c>
      <c r="Y287" s="43">
        <v>1</v>
      </c>
      <c r="Z287" s="42" t="s">
        <v>45</v>
      </c>
      <c r="AA287" s="42">
        <v>1</v>
      </c>
      <c r="AB287" s="42" t="s">
        <v>45</v>
      </c>
      <c r="AC287" s="42" t="s">
        <v>45</v>
      </c>
      <c r="AD287" s="42" t="s">
        <v>45</v>
      </c>
      <c r="AE287" s="42" t="s">
        <v>45</v>
      </c>
      <c r="AF287" s="42" t="s">
        <v>45</v>
      </c>
      <c r="AG287" s="43" t="s">
        <v>45</v>
      </c>
      <c r="AH287" s="42">
        <v>1</v>
      </c>
      <c r="AI287" s="42">
        <v>3</v>
      </c>
      <c r="AJ287" s="43">
        <v>5</v>
      </c>
      <c r="AK287" s="45" t="s">
        <v>718</v>
      </c>
      <c r="AL287" s="45" t="s">
        <v>705</v>
      </c>
      <c r="AM287" s="46">
        <f>($L$3*(L287-$Q$1)/$Q$2+$M$3*(M287-$R$1)/$R$2+$N$3*(N287-$S$1)/$S$2+$O$3*(O287-$T$1)/$T$2+$P$3*(P287-$U$1)/$U$2)/(SUM($L$3:$P$3))</f>
        <v>-2.0012818558036707</v>
      </c>
      <c r="AN287" s="46">
        <f>($L$3*(Q287-$Q$1)/$Q$2+$M$3*(R287-$R$1)/$R$2+$N$3*(S287-$S$1)/$S$2+$O$3*(T287-$T$1)/$T$2+$P$3*(U287-$U$1)/$U$2)/(SUM($L$3:$P$3))</f>
        <v>-0.82984232588598805</v>
      </c>
      <c r="AO287" s="47">
        <f>IF(AVERAGE(AH287:AI287)&gt;9,1,0)+IF(AVERAGE(AH287:AI287)&gt;7,1,0)+IF(AH287&gt;7,1,0)+IF(AI287&gt;7,1,0)+IF(AJ287&gt;8,1,0)+IF(AJ287&gt;6,1,0)</f>
        <v>0</v>
      </c>
      <c r="AP287" s="48">
        <f>MIN(2,IF(OR(Z287="-",X287&lt;5),0,1+IF(Y287&gt;7,0.35,IF(Y287&gt;5,0.1,0))+IF(Z287&gt;7,1+IF(X287&gt;7,0.25,0),IF(Z287&gt;4,0.5+IF(X287&gt;7,0.25,0),0+IF(X287&gt;7,0.25))))+IF(AA287="-",0,IF(AA287&gt;9,0.5,IF(AA287&gt;7,0.25,0)))+IF(AB287="-",0,IF(AB287&gt;7,1.1,IF(AB287&gt;4,0.6,0)))+IF(OR(AC287="-",V287&lt;5),0,IF(AC287&gt;7,1+IF(V287&gt;7,0.25,0),IF(AC287&gt;4,0.5+IF(V287&gt;7,0.25,0),0)))+IF(AD287="-",0,IF(AD287&gt;7,1.5,IF(AD287&gt;4,1,0)))+IF(AE287="-",0,IF(AE287&gt;9,0.5,IF(AE287&gt;7,0.25,0)))+IF(AF287="-",0,IF(AF287&gt;7,1.25,IF(AF287&gt;4,0.75,0)))+IF(OR(AG287="-",W287&lt;4),0,IF(AG287&gt;7,1+IF(W287&gt;7,0.15,0),IF(AG287&gt;4,0.5+IF(W287&gt;7,0.15,0),0))))</f>
        <v>0</v>
      </c>
      <c r="AQ287" s="46">
        <f>($AM$3*AM287+$AN$3*AN287+$AO$3*AO287+$AP$3*AP287)+$I$3*VLOOKUP(I287,COND!$A$2:$E$7,4,FALSE)+$J$3*VLOOKUP(J287,COND!$A$2:$C$7,2,FALSE)+$K$3*VLOOKUP(K287,COND!$A$2:$C$7,3,FALSE)+IF(AND($B$2&gt;0,$E287&lt;20),$B$2*25,0)</f>
        <v>39.541763903787775</v>
      </c>
      <c r="AR287" s="49">
        <f>STANDARDIZE(AQ287,AVERAGE($AQ$5:$AQ$537),STDEVP($AQ$5:$AQ$537))</f>
        <v>-0.14189540366392672</v>
      </c>
      <c r="AS287" s="47" t="str">
        <f>IF(AND(Z287&lt;&gt;"-",Y287&gt;1),"C",IF(AB287=MAX(AB287:AD287),"2B",IF(AD287=MAX(AB287:AD287),"SS",IF(OR(AC287=MAX(AA287:AD287),AND(AC287&lt;&gt;"-",AC287&gt;4,V287&gt;5)),"3B",IF(AF287=MAX(AE287:AG287),"CF",IF(AND(AG287=MAX(AE287,AG287),AND(W287&gt;5,AG287&lt;&gt;"-")),"RF",IF(AE287&lt;&gt;"-","LF",IF(AA287&lt;&gt;"-","1B","DH"))))))))</f>
        <v>1B</v>
      </c>
      <c r="AT287" s="47"/>
      <c r="AU287" s="47"/>
      <c r="AV287" s="47"/>
      <c r="AW287" s="47" t="str">
        <f>IF(AND($Q287&gt;=6,AVERAGE($S287:$T287)&gt;=6),"Likely",IF(OR($Q287&gt;6,AND($Q287=6,AVERAGE($S287:$T287)&gt;=3),AND($Q287&gt;=5,AVERAGE($S287:$T287)&gt;=5),AVERAGE($Q287,$S287:$T287)&gt;5),"Possible","Unlikely"))</f>
        <v>Unlikely</v>
      </c>
      <c r="AX287" s="47"/>
      <c r="AY287" s="47" t="str">
        <f>INDEX(Table5[[#All],[Ovr]],MATCH(Batters[[#This Row],[PID]],Table5[[#All],[PID]],0))</f>
        <v/>
      </c>
      <c r="AZ287" s="47" t="str">
        <f>INDEX(Table5[[#All],[Rnd]],MATCH(Batters[[#This Row],[PID]],Table5[[#All],[PID]],0))</f>
        <v/>
      </c>
      <c r="BA287" s="47" t="str">
        <f>INDEX(Table5[[#All],[Pick]],MATCH(Batters[[#This Row],[PID]],Table5[[#All],[PID]],0))</f>
        <v/>
      </c>
      <c r="BB287" s="47" t="str">
        <f>INDEX(Table5[[#All],[Team]],MATCH(Batters[[#This Row],[PID]],Table5[[#All],[PID]],0))</f>
        <v/>
      </c>
    </row>
    <row r="288" spans="1:54" ht="15" customHeight="1" x14ac:dyDescent="0.25">
      <c r="A288" s="42">
        <v>15535</v>
      </c>
      <c r="B288" s="42" t="s">
        <v>69</v>
      </c>
      <c r="C288" s="42" t="s">
        <v>688</v>
      </c>
      <c r="D288" s="42" t="s">
        <v>1302</v>
      </c>
      <c r="E288" s="42">
        <v>21</v>
      </c>
      <c r="F288" s="42" t="s">
        <v>42</v>
      </c>
      <c r="G288" s="42" t="s">
        <v>42</v>
      </c>
      <c r="H288" s="43" t="s">
        <v>709</v>
      </c>
      <c r="I288" s="44" t="s">
        <v>43</v>
      </c>
      <c r="J288" s="42" t="s">
        <v>44</v>
      </c>
      <c r="K288" s="43" t="s">
        <v>47</v>
      </c>
      <c r="L288" s="42">
        <v>1</v>
      </c>
      <c r="M288" s="42">
        <v>3</v>
      </c>
      <c r="N288" s="42">
        <v>3</v>
      </c>
      <c r="O288" s="42">
        <v>3</v>
      </c>
      <c r="P288" s="43">
        <v>1</v>
      </c>
      <c r="Q288" s="42">
        <v>3</v>
      </c>
      <c r="R288" s="42">
        <v>5</v>
      </c>
      <c r="S288" s="42">
        <v>5</v>
      </c>
      <c r="T288" s="42">
        <v>5</v>
      </c>
      <c r="U288" s="43">
        <v>2</v>
      </c>
      <c r="V288" s="42">
        <v>8</v>
      </c>
      <c r="W288" s="42">
        <v>8</v>
      </c>
      <c r="X288" s="42">
        <v>2</v>
      </c>
      <c r="Y288" s="43">
        <v>1</v>
      </c>
      <c r="Z288" s="42" t="s">
        <v>45</v>
      </c>
      <c r="AA288" s="42" t="s">
        <v>45</v>
      </c>
      <c r="AB288" s="42" t="s">
        <v>45</v>
      </c>
      <c r="AC288" s="42">
        <v>2</v>
      </c>
      <c r="AD288" s="42" t="s">
        <v>45</v>
      </c>
      <c r="AE288" s="42" t="s">
        <v>45</v>
      </c>
      <c r="AF288" s="42" t="s">
        <v>45</v>
      </c>
      <c r="AG288" s="43" t="s">
        <v>45</v>
      </c>
      <c r="AH288" s="42">
        <v>4</v>
      </c>
      <c r="AI288" s="42">
        <v>5</v>
      </c>
      <c r="AJ288" s="43">
        <v>6</v>
      </c>
      <c r="AK288" s="45" t="s">
        <v>45</v>
      </c>
      <c r="AL288" s="45" t="s">
        <v>47</v>
      </c>
      <c r="AM288" s="46">
        <f>($L$3*(L288-$Q$1)/$Q$2+$M$3*(M288-$R$1)/$R$2+$N$3*(N288-$S$1)/$S$2+$O$3*(O288-$T$1)/$T$2+$P$3*(P288-$U$1)/$U$2)/(SUM($L$3:$P$3))</f>
        <v>-1.6366815025231998</v>
      </c>
      <c r="AN288" s="46">
        <f>($L$3*(Q288-$Q$1)/$Q$2+$M$3*(R288-$R$1)/$R$2+$N$3*(S288-$S$1)/$S$2+$O$3*(T288-$T$1)/$T$2+$P$3*(U288-$U$1)/$U$2)/(SUM($L$3:$P$3))</f>
        <v>-0.503891642996395</v>
      </c>
      <c r="AO288" s="47">
        <f>IF(AVERAGE(AH288:AI288)&gt;9,1,0)+IF(AVERAGE(AH288:AI288)&gt;7,1,0)+IF(AH288&gt;7,1,0)+IF(AI288&gt;7,1,0)+IF(AJ288&gt;8,1,0)+IF(AJ288&gt;6,1,0)</f>
        <v>0</v>
      </c>
      <c r="AP288" s="48">
        <f>MIN(2,IF(OR(Z288="-",X288&lt;5),0,1+IF(Y288&gt;7,0.35,IF(Y288&gt;5,0.1,0))+IF(Z288&gt;7,1+IF(X288&gt;7,0.25,0),IF(Z288&gt;4,0.5+IF(X288&gt;7,0.25,0),0+IF(X288&gt;7,0.25))))+IF(AA288="-",0,IF(AA288&gt;9,0.5,IF(AA288&gt;7,0.25,0)))+IF(AB288="-",0,IF(AB288&gt;7,1.1,IF(AB288&gt;4,0.6,0)))+IF(OR(AC288="-",V288&lt;5),0,IF(AC288&gt;7,1+IF(V288&gt;7,0.25,0),IF(AC288&gt;4,0.5+IF(V288&gt;7,0.25,0),0)))+IF(AD288="-",0,IF(AD288&gt;7,1.5,IF(AD288&gt;4,1,0)))+IF(AE288="-",0,IF(AE288&gt;9,0.5,IF(AE288&gt;7,0.25,0)))+IF(AF288="-",0,IF(AF288&gt;7,1.25,IF(AF288&gt;4,0.75,0)))+IF(OR(AG288="-",W288&lt;4),0,IF(AG288&gt;7,1+IF(W288&gt;7,0.15,0),IF(AG288&gt;4,0.5+IF(W288&gt;7,0.15,0),0))))</f>
        <v>0</v>
      </c>
      <c r="AQ288" s="46">
        <f>($AM$3*AM288+$AN$3*AN288+$AO$3*AO288+$AP$3*AP288)+$I$3*VLOOKUP(I288,COND!$A$2:$E$7,4,FALSE)+$J$3*VLOOKUP(J288,COND!$A$2:$C$7,2,FALSE)+$K$3*VLOOKUP(K288,COND!$A$2:$C$7,3,FALSE)+IF(AND($B$2&gt;0,$E288&lt;20),$B$2*25,0)</f>
        <v>38.789632133790946</v>
      </c>
      <c r="AR288" s="49">
        <f>STANDARDIZE(AQ288,AVERAGE($AQ$5:$AQ$537),STDEVP($AQ$5:$AQ$537))</f>
        <v>-0.27422798969894552</v>
      </c>
      <c r="AS288" s="47" t="str">
        <f>IF(AND(Z288&lt;&gt;"-",Y288&gt;1),"C",IF(AB288=MAX(AB288:AD288),"2B",IF(AD288=MAX(AB288:AD288),"SS",IF(OR(AC288=MAX(AA288:AD288),AND(AC288&lt;&gt;"-",AC288&gt;4,V288&gt;5)),"3B",IF(AF288=MAX(AE288:AG288),"CF",IF(AND(AG288=MAX(AE288,AG288),AND(W288&gt;5,AG288&lt;&gt;"-")),"RF",IF(AE288&lt;&gt;"-","LF",IF(AA288&lt;&gt;"-","1B","DH"))))))))</f>
        <v>3B</v>
      </c>
      <c r="AT288" s="47"/>
      <c r="AU288" s="47"/>
      <c r="AV288" s="47"/>
      <c r="AW288" s="47" t="str">
        <f>IF(AND($Q288&gt;=6,AVERAGE($S288:$T288)&gt;=6),"Likely",IF(OR($Q288&gt;6,AND($Q288=6,AVERAGE($S288:$T288)&gt;=3),AND($Q288&gt;=5,AVERAGE($S288:$T288)&gt;=5),AVERAGE($Q288,$S288:$T288)&gt;5),"Possible","Unlikely"))</f>
        <v>Unlikely</v>
      </c>
      <c r="AX288" s="47"/>
      <c r="AY288" s="47" t="str">
        <f>INDEX(Table5[[#All],[Ovr]],MATCH(Batters[[#This Row],[PID]],Table5[[#All],[PID]],0))</f>
        <v/>
      </c>
      <c r="AZ288" s="47" t="str">
        <f>INDEX(Table5[[#All],[Rnd]],MATCH(Batters[[#This Row],[PID]],Table5[[#All],[PID]],0))</f>
        <v/>
      </c>
      <c r="BA288" s="47" t="str">
        <f>INDEX(Table5[[#All],[Pick]],MATCH(Batters[[#This Row],[PID]],Table5[[#All],[PID]],0))</f>
        <v/>
      </c>
      <c r="BB288" s="47" t="str">
        <f>INDEX(Table5[[#All],[Team]],MATCH(Batters[[#This Row],[PID]],Table5[[#All],[PID]],0))</f>
        <v/>
      </c>
    </row>
    <row r="289" spans="1:54" ht="15" customHeight="1" x14ac:dyDescent="0.25">
      <c r="A289" s="42">
        <v>11850</v>
      </c>
      <c r="B289" s="42" t="s">
        <v>50</v>
      </c>
      <c r="C289" s="42" t="s">
        <v>437</v>
      </c>
      <c r="D289" s="42" t="s">
        <v>1224</v>
      </c>
      <c r="E289" s="42">
        <v>21</v>
      </c>
      <c r="F289" s="42" t="s">
        <v>53</v>
      </c>
      <c r="G289" s="42" t="s">
        <v>53</v>
      </c>
      <c r="H289" s="43" t="s">
        <v>709</v>
      </c>
      <c r="I289" s="44" t="s">
        <v>43</v>
      </c>
      <c r="J289" s="42" t="s">
        <v>43</v>
      </c>
      <c r="K289" s="43" t="s">
        <v>43</v>
      </c>
      <c r="L289" s="42">
        <v>2</v>
      </c>
      <c r="M289" s="42">
        <v>1</v>
      </c>
      <c r="N289" s="42">
        <v>2</v>
      </c>
      <c r="O289" s="42">
        <v>3</v>
      </c>
      <c r="P289" s="43">
        <v>2</v>
      </c>
      <c r="Q289" s="42">
        <v>3</v>
      </c>
      <c r="R289" s="42">
        <v>3</v>
      </c>
      <c r="S289" s="42">
        <v>4</v>
      </c>
      <c r="T289" s="42">
        <v>6</v>
      </c>
      <c r="U289" s="43">
        <v>4</v>
      </c>
      <c r="V289" s="42">
        <v>6</v>
      </c>
      <c r="W289" s="42">
        <v>8</v>
      </c>
      <c r="X289" s="42">
        <v>1</v>
      </c>
      <c r="Y289" s="43">
        <v>1</v>
      </c>
      <c r="Z289" s="42" t="s">
        <v>45</v>
      </c>
      <c r="AA289" s="42" t="s">
        <v>45</v>
      </c>
      <c r="AB289" s="42" t="s">
        <v>45</v>
      </c>
      <c r="AC289" s="42" t="s">
        <v>45</v>
      </c>
      <c r="AD289" s="42" t="s">
        <v>45</v>
      </c>
      <c r="AE289" s="42">
        <v>6</v>
      </c>
      <c r="AF289" s="42" t="s">
        <v>45</v>
      </c>
      <c r="AG289" s="43">
        <v>1</v>
      </c>
      <c r="AH289" s="42">
        <v>8</v>
      </c>
      <c r="AI289" s="42">
        <v>3</v>
      </c>
      <c r="AJ289" s="43">
        <v>3</v>
      </c>
      <c r="AK289" s="45" t="s">
        <v>814</v>
      </c>
      <c r="AL289" s="45" t="s">
        <v>47</v>
      </c>
      <c r="AM289" s="46">
        <f>($L$3*(L289-$Q$1)/$Q$2+$M$3*(M289-$R$1)/$R$2+$N$3*(N289-$S$1)/$S$2+$O$3*(O289-$T$1)/$T$2+$P$3*(P289-$U$1)/$U$2)/(SUM($L$3:$P$3))</f>
        <v>-1.4592905797647502</v>
      </c>
      <c r="AN289" s="46">
        <f>($L$3*(Q289-$Q$1)/$Q$2+$M$3*(R289-$R$1)/$R$2+$N$3*(S289-$S$1)/$S$2+$O$3*(T289-$T$1)/$T$2+$P$3*(U289-$U$1)/$U$2)/(SUM($L$3:$P$3))</f>
        <v>-0.51933066661395544</v>
      </c>
      <c r="AO289" s="47">
        <f>IF(AVERAGE(AH289:AI289)&gt;9,1,0)+IF(AVERAGE(AH289:AI289)&gt;7,1,0)+IF(AH289&gt;7,1,0)+IF(AI289&gt;7,1,0)+IF(AJ289&gt;8,1,0)+IF(AJ289&gt;6,1,0)</f>
        <v>1</v>
      </c>
      <c r="AP289" s="48">
        <f>MIN(2,IF(OR(Z289="-",X289&lt;5),0,1+IF(Y289&gt;7,0.35,IF(Y289&gt;5,0.1,0))+IF(Z289&gt;7,1+IF(X289&gt;7,0.25,0),IF(Z289&gt;4,0.5+IF(X289&gt;7,0.25,0),0+IF(X289&gt;7,0.25))))+IF(AA289="-",0,IF(AA289&gt;9,0.5,IF(AA289&gt;7,0.25,0)))+IF(AB289="-",0,IF(AB289&gt;7,1.1,IF(AB289&gt;4,0.6,0)))+IF(OR(AC289="-",V289&lt;5),0,IF(AC289&gt;7,1+IF(V289&gt;7,0.25,0),IF(AC289&gt;4,0.5+IF(V289&gt;7,0.25,0),0)))+IF(AD289="-",0,IF(AD289&gt;7,1.5,IF(AD289&gt;4,1,0)))+IF(AE289="-",0,IF(AE289&gt;9,0.5,IF(AE289&gt;7,0.25,0)))+IF(AF289="-",0,IF(AF289&gt;7,1.25,IF(AF289&gt;4,0.75,0)))+IF(OR(AG289="-",W289&lt;4),0,IF(AG289&gt;7,1+IF(W289&gt;7,0.15,0),IF(AG289&gt;4,0.5+IF(W289&gt;7,0.15,0),0))))</f>
        <v>0</v>
      </c>
      <c r="AQ289" s="46">
        <f>($AM$3*AM289+$AN$3*AN289+$AO$3*AO289+$AP$3*AP289)+$I$3*VLOOKUP(I289,COND!$A$2:$E$7,4,FALSE)+$J$3*VLOOKUP(J289,COND!$A$2:$C$7,2,FALSE)+$K$3*VLOOKUP(K289,COND!$A$2:$C$7,3,FALSE)+IF(AND($B$2&gt;0,$E289&lt;20),$B$2*25,0)</f>
        <v>38.788769609322728</v>
      </c>
      <c r="AR289" s="49">
        <f>STANDARDIZE(AQ289,AVERAGE($AQ$5:$AQ$537),STDEVP($AQ$5:$AQ$537))</f>
        <v>-0.27437974514652919</v>
      </c>
      <c r="AS289" s="47" t="str">
        <f>IF(AND(Z289&lt;&gt;"-",Y289&gt;1),"C",IF(AB289=MAX(AB289:AD289),"2B",IF(AD289=MAX(AB289:AD289),"SS",IF(OR(AC289=MAX(AA289:AD289),AND(AC289&lt;&gt;"-",AC289&gt;4,V289&gt;5)),"3B",IF(AF289=MAX(AE289:AG289),"CF",IF(AND(AG289=MAX(AE289,AG289),AND(W289&gt;5,AG289&lt;&gt;"-")),"RF",IF(AE289&lt;&gt;"-","LF",IF(AA289&lt;&gt;"-","1B","DH"))))))))</f>
        <v>LF</v>
      </c>
      <c r="AT289" s="47"/>
      <c r="AU289" s="47"/>
      <c r="AV289" s="47"/>
      <c r="AW289" s="47" t="str">
        <f>IF(AND($Q289&gt;=6,AVERAGE($S289:$T289)&gt;=6),"Likely",IF(OR($Q289&gt;6,AND($Q289=6,AVERAGE($S289:$T289)&gt;=3),AND($Q289&gt;=5,AVERAGE($S289:$T289)&gt;=5),AVERAGE($Q289,$S289:$T289)&gt;5),"Possible","Unlikely"))</f>
        <v>Unlikely</v>
      </c>
      <c r="AX289" s="47"/>
      <c r="AY289" s="47" t="str">
        <f>INDEX(Table5[[#All],[Ovr]],MATCH(Batters[[#This Row],[PID]],Table5[[#All],[PID]],0))</f>
        <v/>
      </c>
      <c r="AZ289" s="47" t="str">
        <f>INDEX(Table5[[#All],[Rnd]],MATCH(Batters[[#This Row],[PID]],Table5[[#All],[PID]],0))</f>
        <v/>
      </c>
      <c r="BA289" s="47" t="str">
        <f>INDEX(Table5[[#All],[Pick]],MATCH(Batters[[#This Row],[PID]],Table5[[#All],[PID]],0))</f>
        <v/>
      </c>
      <c r="BB289" s="47" t="str">
        <f>INDEX(Table5[[#All],[Team]],MATCH(Batters[[#This Row],[PID]],Table5[[#All],[PID]],0))</f>
        <v/>
      </c>
    </row>
    <row r="290" spans="1:54" ht="15" customHeight="1" x14ac:dyDescent="0.25">
      <c r="A290" s="42">
        <v>13121</v>
      </c>
      <c r="B290" s="42" t="s">
        <v>71</v>
      </c>
      <c r="C290" s="42" t="s">
        <v>455</v>
      </c>
      <c r="D290" s="42" t="s">
        <v>1374</v>
      </c>
      <c r="E290" s="42">
        <v>18</v>
      </c>
      <c r="F290" s="42" t="s">
        <v>42</v>
      </c>
      <c r="G290" s="42" t="s">
        <v>42</v>
      </c>
      <c r="H290" s="43" t="s">
        <v>709</v>
      </c>
      <c r="I290" s="44" t="s">
        <v>43</v>
      </c>
      <c r="J290" s="42" t="s">
        <v>43</v>
      </c>
      <c r="K290" s="43" t="s">
        <v>43</v>
      </c>
      <c r="L290" s="42">
        <v>1</v>
      </c>
      <c r="M290" s="42">
        <v>1</v>
      </c>
      <c r="N290" s="42">
        <v>2</v>
      </c>
      <c r="O290" s="42">
        <v>1</v>
      </c>
      <c r="P290" s="43">
        <v>1</v>
      </c>
      <c r="Q290" s="42">
        <v>2</v>
      </c>
      <c r="R290" s="42">
        <v>3</v>
      </c>
      <c r="S290" s="42">
        <v>6</v>
      </c>
      <c r="T290" s="42">
        <v>4</v>
      </c>
      <c r="U290" s="43">
        <v>2</v>
      </c>
      <c r="V290" s="42">
        <v>5</v>
      </c>
      <c r="W290" s="42">
        <v>6</v>
      </c>
      <c r="X290" s="42">
        <v>1</v>
      </c>
      <c r="Y290" s="43">
        <v>1</v>
      </c>
      <c r="Z290" s="42" t="s">
        <v>45</v>
      </c>
      <c r="AA290" s="42" t="s">
        <v>45</v>
      </c>
      <c r="AB290" s="42">
        <v>4</v>
      </c>
      <c r="AC290" s="42">
        <v>2</v>
      </c>
      <c r="AD290" s="42" t="s">
        <v>45</v>
      </c>
      <c r="AE290" s="42" t="s">
        <v>45</v>
      </c>
      <c r="AF290" s="42" t="s">
        <v>45</v>
      </c>
      <c r="AG290" s="43" t="s">
        <v>45</v>
      </c>
      <c r="AH290" s="42">
        <v>8</v>
      </c>
      <c r="AI290" s="42">
        <v>5</v>
      </c>
      <c r="AJ290" s="43">
        <v>5</v>
      </c>
      <c r="AK290" s="45" t="s">
        <v>599</v>
      </c>
      <c r="AL290" s="45" t="s">
        <v>705</v>
      </c>
      <c r="AM290" s="46">
        <f>($L$3*(L290-$Q$1)/$Q$2+$M$3*(M290-$R$1)/$R$2+$N$3*(N290-$S$1)/$S$2+$O$3*(O290-$T$1)/$T$2+$P$3*(P290-$U$1)/$U$2)/(SUM($L$3:$P$3))</f>
        <v>-2.0012818558036707</v>
      </c>
      <c r="AN290" s="46">
        <f>($L$3*(Q290-$Q$1)/$Q$2+$M$3*(R290-$R$1)/$R$2+$N$3*(S290-$S$1)/$S$2+$O$3*(T290-$T$1)/$T$2+$P$3*(U290-$U$1)/$U$2)/(SUM($L$3:$P$3))</f>
        <v>-0.93521529442215634</v>
      </c>
      <c r="AO290" s="47">
        <f>IF(AVERAGE(AH290:AI290)&gt;9,1,0)+IF(AVERAGE(AH290:AI290)&gt;7,1,0)+IF(AH290&gt;7,1,0)+IF(AI290&gt;7,1,0)+IF(AJ290&gt;8,1,0)+IF(AJ290&gt;6,1,0)</f>
        <v>1</v>
      </c>
      <c r="AP290" s="48">
        <f>MIN(2,IF(OR(Z290="-",X290&lt;5),0,1+IF(Y290&gt;7,0.35,IF(Y290&gt;5,0.1,0))+IF(Z290&gt;7,1+IF(X290&gt;7,0.25,0),IF(Z290&gt;4,0.5+IF(X290&gt;7,0.25,0),0+IF(X290&gt;7,0.25))))+IF(AA290="-",0,IF(AA290&gt;9,0.5,IF(AA290&gt;7,0.25,0)))+IF(AB290="-",0,IF(AB290&gt;7,1.1,IF(AB290&gt;4,0.6,0)))+IF(OR(AC290="-",V290&lt;5),0,IF(AC290&gt;7,1+IF(V290&gt;7,0.25,0),IF(AC290&gt;4,0.5+IF(V290&gt;7,0.25,0),0)))+IF(AD290="-",0,IF(AD290&gt;7,1.5,IF(AD290&gt;4,1,0)))+IF(AE290="-",0,IF(AE290&gt;9,0.5,IF(AE290&gt;7,0.25,0)))+IF(AF290="-",0,IF(AF290&gt;7,1.25,IF(AF290&gt;4,0.75,0)))+IF(OR(AG290="-",W290&lt;4),0,IF(AG290&gt;7,1+IF(W290&gt;7,0.15,0),IF(AG290&gt;4,0.5+IF(W290&gt;7,0.15,0),0))))</f>
        <v>0</v>
      </c>
      <c r="AQ290" s="46">
        <f>($AM$3*AM290+$AN$3*AN290+$AO$3*AO290+$AP$3*AP290)+$I$3*VLOOKUP(I290,COND!$A$2:$E$7,4,FALSE)+$J$3*VLOOKUP(J290,COND!$A$2:$C$7,2,FALSE)+$K$3*VLOOKUP(K290,COND!$A$2:$C$7,3,FALSE)+IF(AND($B$2&gt;0,$E290&lt;20),$B$2*25,0)</f>
        <v>38.743954948020424</v>
      </c>
      <c r="AR290" s="49">
        <f>STANDARDIZE(AQ290,AVERAGE($AQ$5:$AQ$537),STDEVP($AQ$5:$AQ$537))</f>
        <v>-0.28226458695083484</v>
      </c>
      <c r="AS290" s="47" t="str">
        <f>IF(AND(Z290&lt;&gt;"-",Y290&gt;1),"C",IF(AB290=MAX(AB290:AD290),"2B",IF(AD290=MAX(AB290:AD290),"SS",IF(OR(AC290=MAX(AA290:AD290),AND(AC290&lt;&gt;"-",AC290&gt;4,V290&gt;5)),"3B",IF(AF290=MAX(AE290:AG290),"CF",IF(AND(AG290=MAX(AE290,AG290),AND(W290&gt;5,AG290&lt;&gt;"-")),"RF",IF(AE290&lt;&gt;"-","LF",IF(AA290&lt;&gt;"-","1B","DH"))))))))</f>
        <v>2B</v>
      </c>
      <c r="AT290" s="47"/>
      <c r="AU290" s="47"/>
      <c r="AV290" s="47"/>
      <c r="AW290" s="47" t="str">
        <f>IF(AND($Q290&gt;=6,AVERAGE($S290:$T290)&gt;=6),"Likely",IF(OR($Q290&gt;6,AND($Q290=6,AVERAGE($S290:$T290)&gt;=3),AND($Q290&gt;=5,AVERAGE($S290:$T290)&gt;=5),AVERAGE($Q290,$S290:$T290)&gt;5),"Possible","Unlikely"))</f>
        <v>Unlikely</v>
      </c>
      <c r="AX290" s="47"/>
      <c r="AY290" s="47" t="str">
        <f>INDEX(Table5[[#All],[Ovr]],MATCH(Batters[[#This Row],[PID]],Table5[[#All],[PID]],0))</f>
        <v/>
      </c>
      <c r="AZ290" s="47" t="str">
        <f>INDEX(Table5[[#All],[Rnd]],MATCH(Batters[[#This Row],[PID]],Table5[[#All],[PID]],0))</f>
        <v/>
      </c>
      <c r="BA290" s="47" t="str">
        <f>INDEX(Table5[[#All],[Pick]],MATCH(Batters[[#This Row],[PID]],Table5[[#All],[PID]],0))</f>
        <v/>
      </c>
      <c r="BB290" s="47" t="str">
        <f>INDEX(Table5[[#All],[Team]],MATCH(Batters[[#This Row],[PID]],Table5[[#All],[PID]],0))</f>
        <v/>
      </c>
    </row>
    <row r="291" spans="1:54" ht="15" customHeight="1" x14ac:dyDescent="0.25">
      <c r="A291" s="42">
        <v>9300</v>
      </c>
      <c r="B291" s="42" t="s">
        <v>74</v>
      </c>
      <c r="C291" s="42" t="s">
        <v>291</v>
      </c>
      <c r="D291" s="42" t="s">
        <v>1109</v>
      </c>
      <c r="E291" s="42">
        <v>21</v>
      </c>
      <c r="F291" s="42" t="s">
        <v>53</v>
      </c>
      <c r="G291" s="42" t="s">
        <v>42</v>
      </c>
      <c r="H291" s="43" t="s">
        <v>703</v>
      </c>
      <c r="I291" s="44" t="s">
        <v>44</v>
      </c>
      <c r="J291" s="42" t="s">
        <v>44</v>
      </c>
      <c r="K291" s="43" t="s">
        <v>44</v>
      </c>
      <c r="L291" s="42">
        <v>2</v>
      </c>
      <c r="M291" s="42">
        <v>2</v>
      </c>
      <c r="N291" s="42">
        <v>2</v>
      </c>
      <c r="O291" s="42">
        <v>3</v>
      </c>
      <c r="P291" s="43">
        <v>3</v>
      </c>
      <c r="Q291" s="42">
        <v>4</v>
      </c>
      <c r="R291" s="42">
        <v>4</v>
      </c>
      <c r="S291" s="42">
        <v>2</v>
      </c>
      <c r="T291" s="42">
        <v>4</v>
      </c>
      <c r="U291" s="43">
        <v>4</v>
      </c>
      <c r="V291" s="42">
        <v>5</v>
      </c>
      <c r="W291" s="42">
        <v>7</v>
      </c>
      <c r="X291" s="42">
        <v>1</v>
      </c>
      <c r="Y291" s="43">
        <v>1</v>
      </c>
      <c r="Z291" s="42" t="s">
        <v>45</v>
      </c>
      <c r="AA291" s="42" t="s">
        <v>45</v>
      </c>
      <c r="AB291" s="42" t="s">
        <v>45</v>
      </c>
      <c r="AC291" s="42" t="s">
        <v>45</v>
      </c>
      <c r="AD291" s="42" t="s">
        <v>45</v>
      </c>
      <c r="AE291" s="42" t="s">
        <v>45</v>
      </c>
      <c r="AF291" s="42">
        <v>8</v>
      </c>
      <c r="AG291" s="43" t="s">
        <v>45</v>
      </c>
      <c r="AH291" s="42">
        <v>10</v>
      </c>
      <c r="AI291" s="42">
        <v>10</v>
      </c>
      <c r="AJ291" s="43">
        <v>6</v>
      </c>
      <c r="AK291" s="45" t="s">
        <v>914</v>
      </c>
      <c r="AL291" s="45" t="s">
        <v>47</v>
      </c>
      <c r="AM291" s="46">
        <f>($L$3*(L291-$Q$1)/$Q$2+$M$3*(M291-$R$1)/$R$2+$N$3*(N291-$S$1)/$S$2+$O$3*(O291-$T$1)/$T$2+$P$3*(P291-$U$1)/$U$2)/(SUM($L$3:$P$3))</f>
        <v>-1.3682143603289634</v>
      </c>
      <c r="AN291" s="46">
        <f>($L$3*(Q291-$Q$1)/$Q$2+$M$3*(R291-$R$1)/$R$2+$N$3*(S291-$S$1)/$S$2+$O$3*(T291-$T$1)/$T$2+$P$3*(U291-$U$1)/$U$2)/(SUM($L$3:$P$3))</f>
        <v>-0.49125703885954242</v>
      </c>
      <c r="AO291" s="47">
        <f>IF(AVERAGE(AH291:AI291)&gt;9,1,0)+IF(AVERAGE(AH291:AI291)&gt;7,1,0)+IF(AH291&gt;7,1,0)+IF(AI291&gt;7,1,0)+IF(AJ291&gt;8,1,0)+IF(AJ291&gt;6,1,0)</f>
        <v>4</v>
      </c>
      <c r="AP291" s="48">
        <f>MIN(2,IF(OR(Z291="-",X291&lt;5),0,1+IF(Y291&gt;7,0.35,IF(Y291&gt;5,0.1,0))+IF(Z291&gt;7,1+IF(X291&gt;7,0.25,0),IF(Z291&gt;4,0.5+IF(X291&gt;7,0.25,0),0+IF(X291&gt;7,0.25))))+IF(AA291="-",0,IF(AA291&gt;9,0.5,IF(AA291&gt;7,0.25,0)))+IF(AB291="-",0,IF(AB291&gt;7,1.1,IF(AB291&gt;4,0.6,0)))+IF(OR(AC291="-",V291&lt;5),0,IF(AC291&gt;7,1+IF(V291&gt;7,0.25,0),IF(AC291&gt;4,0.5+IF(V291&gt;7,0.25,0),0)))+IF(AD291="-",0,IF(AD291&gt;7,1.5,IF(AD291&gt;4,1,0)))+IF(AE291="-",0,IF(AE291&gt;9,0.5,IF(AE291&gt;7,0.25,0)))+IF(AF291="-",0,IF(AF291&gt;7,1.25,IF(AF291&gt;4,0.75,0)))+IF(OR(AG291="-",W291&lt;4),0,IF(AG291&gt;7,1+IF(W291&gt;7,0.15,0),IF(AG291&gt;4,0.5+IF(W291&gt;7,0.15,0),0))))</f>
        <v>1.25</v>
      </c>
      <c r="AQ291" s="46">
        <f>($AM$3*AM291+$AN$3*AN291+$AO$3*AO291+$AP$3*AP291)+$I$3*VLOOKUP(I291,COND!$A$2:$E$7,4,FALSE)+$J$3*VLOOKUP(J291,COND!$A$2:$C$7,2,FALSE)+$K$3*VLOOKUP(K291,COND!$A$2:$C$7,3,FALSE)+IF(AND($B$2&gt;0,$E291&lt;20),$B$2*25,0)</f>
        <v>40.13476076431926</v>
      </c>
      <c r="AR291" s="49">
        <f>STANDARDIZE(AQ291,AVERAGE($AQ$5:$AQ$537),STDEVP($AQ$5:$AQ$537))</f>
        <v>-3.7561547290448867E-2</v>
      </c>
      <c r="AS291" s="47" t="str">
        <f>IF(AND(Z291&lt;&gt;"-",Y291&gt;1),"C",IF(AB291=MAX(AB291:AD291),"2B",IF(AD291=MAX(AB291:AD291),"SS",IF(OR(AC291=MAX(AA291:AD291),AND(AC291&lt;&gt;"-",AC291&gt;4,V291&gt;5)),"3B",IF(AF291=MAX(AE291:AG291),"CF",IF(AND(AG291=MAX(AE291,AG291),AND(W291&gt;5,AG291&lt;&gt;"-")),"RF",IF(AE291&lt;&gt;"-","LF",IF(AA291&lt;&gt;"-","1B","DH"))))))))</f>
        <v>CF</v>
      </c>
      <c r="AT291" s="47"/>
      <c r="AU291" s="47"/>
      <c r="AV291" s="47"/>
      <c r="AW291" s="47" t="str">
        <f>IF(AND($Q291&gt;=6,AVERAGE($S291:$T291)&gt;=6),"Likely",IF(OR($Q291&gt;6,AND($Q291=6,AVERAGE($S291:$T291)&gt;=3),AND($Q291&gt;=5,AVERAGE($S291:$T291)&gt;=5),AVERAGE($Q291,$S291:$T291)&gt;5),"Possible","Unlikely"))</f>
        <v>Unlikely</v>
      </c>
      <c r="AX291" s="47"/>
      <c r="AY291" s="47" t="str">
        <f>INDEX(Table5[[#All],[Ovr]],MATCH(Batters[[#This Row],[PID]],Table5[[#All],[PID]],0))</f>
        <v/>
      </c>
      <c r="AZ291" s="47" t="str">
        <f>INDEX(Table5[[#All],[Rnd]],MATCH(Batters[[#This Row],[PID]],Table5[[#All],[PID]],0))</f>
        <v/>
      </c>
      <c r="BA291" s="47" t="str">
        <f>INDEX(Table5[[#All],[Pick]],MATCH(Batters[[#This Row],[PID]],Table5[[#All],[PID]],0))</f>
        <v/>
      </c>
      <c r="BB291" s="47" t="str">
        <f>INDEX(Table5[[#All],[Team]],MATCH(Batters[[#This Row],[PID]],Table5[[#All],[PID]],0))</f>
        <v/>
      </c>
    </row>
    <row r="292" spans="1:54" ht="15" customHeight="1" x14ac:dyDescent="0.25">
      <c r="A292" s="42">
        <v>10476</v>
      </c>
      <c r="B292" s="42" t="s">
        <v>72</v>
      </c>
      <c r="C292" s="42" t="s">
        <v>585</v>
      </c>
      <c r="D292" s="42" t="s">
        <v>297</v>
      </c>
      <c r="E292" s="42">
        <v>21</v>
      </c>
      <c r="F292" s="42" t="s">
        <v>42</v>
      </c>
      <c r="G292" s="42" t="s">
        <v>42</v>
      </c>
      <c r="H292" s="43" t="s">
        <v>709</v>
      </c>
      <c r="I292" s="44" t="s">
        <v>43</v>
      </c>
      <c r="J292" s="42" t="s">
        <v>43</v>
      </c>
      <c r="K292" s="43" t="s">
        <v>43</v>
      </c>
      <c r="L292" s="42">
        <v>2</v>
      </c>
      <c r="M292" s="42">
        <v>2</v>
      </c>
      <c r="N292" s="42">
        <v>2</v>
      </c>
      <c r="O292" s="42">
        <v>3</v>
      </c>
      <c r="P292" s="43">
        <v>1</v>
      </c>
      <c r="Q292" s="42">
        <v>3</v>
      </c>
      <c r="R292" s="42">
        <v>4</v>
      </c>
      <c r="S292" s="42">
        <v>3</v>
      </c>
      <c r="T292" s="42">
        <v>5</v>
      </c>
      <c r="U292" s="43">
        <v>4</v>
      </c>
      <c r="V292" s="42">
        <v>6</v>
      </c>
      <c r="W292" s="42">
        <v>6</v>
      </c>
      <c r="X292" s="42">
        <v>1</v>
      </c>
      <c r="Y292" s="43">
        <v>1</v>
      </c>
      <c r="Z292" s="42" t="s">
        <v>45</v>
      </c>
      <c r="AA292" s="42" t="s">
        <v>45</v>
      </c>
      <c r="AB292" s="42" t="s">
        <v>45</v>
      </c>
      <c r="AC292" s="42" t="s">
        <v>45</v>
      </c>
      <c r="AD292" s="42">
        <v>7</v>
      </c>
      <c r="AE292" s="42" t="s">
        <v>45</v>
      </c>
      <c r="AF292" s="42" t="s">
        <v>45</v>
      </c>
      <c r="AG292" s="43" t="s">
        <v>45</v>
      </c>
      <c r="AH292" s="42">
        <v>10</v>
      </c>
      <c r="AI292" s="42">
        <v>7</v>
      </c>
      <c r="AJ292" s="43">
        <v>8</v>
      </c>
      <c r="AK292" s="45" t="s">
        <v>45</v>
      </c>
      <c r="AL292" s="45" t="s">
        <v>47</v>
      </c>
      <c r="AM292" s="46">
        <f>($L$3*(L292-$Q$1)/$Q$2+$M$3*(M292-$R$1)/$R$2+$N$3*(N292-$S$1)/$S$2+$O$3*(O292-$T$1)/$T$2+$P$3*(P292-$U$1)/$U$2)/(SUM($L$3:$P$3))</f>
        <v>-1.4482470399631302</v>
      </c>
      <c r="AN292" s="46">
        <f>($L$3*(Q292-$Q$1)/$Q$2+$M$3*(R292-$R$1)/$R$2+$N$3*(S292-$S$1)/$S$2+$O$3*(T292-$T$1)/$T$2+$P$3*(U292-$U$1)/$U$2)/(SUM($L$3:$P$3))</f>
        <v>-0.64104183102873458</v>
      </c>
      <c r="AO292" s="47">
        <f>IF(AVERAGE(AH292:AI292)&gt;9,1,0)+IF(AVERAGE(AH292:AI292)&gt;7,1,0)+IF(AH292&gt;7,1,0)+IF(AI292&gt;7,1,0)+IF(AJ292&gt;8,1,0)+IF(AJ292&gt;6,1,0)</f>
        <v>3</v>
      </c>
      <c r="AP292" s="48">
        <f>MIN(2,IF(OR(Z292="-",X292&lt;5),0,1+IF(Y292&gt;7,0.35,IF(Y292&gt;5,0.1,0))+IF(Z292&gt;7,1+IF(X292&gt;7,0.25,0),IF(Z292&gt;4,0.5+IF(X292&gt;7,0.25,0),0+IF(X292&gt;7,0.25))))+IF(AA292="-",0,IF(AA292&gt;9,0.5,IF(AA292&gt;7,0.25,0)))+IF(AB292="-",0,IF(AB292&gt;7,1.1,IF(AB292&gt;4,0.6,0)))+IF(OR(AC292="-",V292&lt;5),0,IF(AC292&gt;7,1+IF(V292&gt;7,0.25,0),IF(AC292&gt;4,0.5+IF(V292&gt;7,0.25,0),0)))+IF(AD292="-",0,IF(AD292&gt;7,1.5,IF(AD292&gt;4,1,0)))+IF(AE292="-",0,IF(AE292&gt;9,0.5,IF(AE292&gt;7,0.25,0)))+IF(AF292="-",0,IF(AF292&gt;7,1.25,IF(AF292&gt;4,0.75,0)))+IF(OR(AG292="-",W292&lt;4),0,IF(AG292&gt;7,1+IF(W292&gt;7,0.15,0),IF(AG292&gt;4,0.5+IF(W292&gt;7,0.15,0),0))))</f>
        <v>1</v>
      </c>
      <c r="AQ292" s="46">
        <f>($AM$3*AM292+$AN$3*AN292+$AO$3*AO292+$AP$3*AP292)+$I$3*VLOOKUP(I292,COND!$A$2:$E$7,4,FALSE)+$J$3*VLOOKUP(J292,COND!$A$2:$C$7,2,FALSE)+$K$3*VLOOKUP(K292,COND!$A$2:$C$7,3,FALSE)+IF(AND($B$2&gt;0,$E292&lt;20),$B$2*25,0)</f>
        <v>38.662673323658872</v>
      </c>
      <c r="AR292" s="49">
        <f>STANDARDIZE(AQ292,AVERAGE($AQ$5:$AQ$537),STDEVP($AQ$5:$AQ$537))</f>
        <v>-0.29656554853491529</v>
      </c>
      <c r="AS292" s="47" t="str">
        <f>IF(AND(Z292&lt;&gt;"-",Y292&gt;1),"C",IF(AB292=MAX(AB292:AD292),"2B",IF(AD292=MAX(AB292:AD292),"SS",IF(OR(AC292=MAX(AA292:AD292),AND(AC292&lt;&gt;"-",AC292&gt;4,V292&gt;5)),"3B",IF(AF292=MAX(AE292:AG292),"CF",IF(AND(AG292=MAX(AE292,AG292),AND(W292&gt;5,AG292&lt;&gt;"-")),"RF",IF(AE292&lt;&gt;"-","LF",IF(AA292&lt;&gt;"-","1B","DH"))))))))</f>
        <v>SS</v>
      </c>
      <c r="AT292" s="47"/>
      <c r="AU292" s="47"/>
      <c r="AV292" s="47"/>
      <c r="AW292" s="47" t="str">
        <f>IF(AND($Q292&gt;=6,AVERAGE($S292:$T292)&gt;=6),"Likely",IF(OR($Q292&gt;6,AND($Q292=6,AVERAGE($S292:$T292)&gt;=3),AND($Q292&gt;=5,AVERAGE($S292:$T292)&gt;=5),AVERAGE($Q292,$S292:$T292)&gt;5),"Possible","Unlikely"))</f>
        <v>Unlikely</v>
      </c>
      <c r="AX292" s="47"/>
      <c r="AY292" s="47" t="str">
        <f>INDEX(Table5[[#All],[Ovr]],MATCH(Batters[[#This Row],[PID]],Table5[[#All],[PID]],0))</f>
        <v/>
      </c>
      <c r="AZ292" s="47" t="str">
        <f>INDEX(Table5[[#All],[Rnd]],MATCH(Batters[[#This Row],[PID]],Table5[[#All],[PID]],0))</f>
        <v/>
      </c>
      <c r="BA292" s="47" t="str">
        <f>INDEX(Table5[[#All],[Pick]],MATCH(Batters[[#This Row],[PID]],Table5[[#All],[PID]],0))</f>
        <v/>
      </c>
      <c r="BB292" s="47" t="str">
        <f>INDEX(Table5[[#All],[Team]],MATCH(Batters[[#This Row],[PID]],Table5[[#All],[PID]],0))</f>
        <v/>
      </c>
    </row>
    <row r="293" spans="1:54" ht="15" customHeight="1" x14ac:dyDescent="0.25">
      <c r="A293" s="42">
        <v>8908</v>
      </c>
      <c r="B293" s="42" t="s">
        <v>69</v>
      </c>
      <c r="C293" s="42" t="s">
        <v>179</v>
      </c>
      <c r="D293" s="42" t="s">
        <v>762</v>
      </c>
      <c r="E293" s="42">
        <v>22</v>
      </c>
      <c r="F293" s="42" t="s">
        <v>53</v>
      </c>
      <c r="G293" s="42" t="s">
        <v>42</v>
      </c>
      <c r="H293" s="43" t="s">
        <v>711</v>
      </c>
      <c r="I293" s="44" t="s">
        <v>43</v>
      </c>
      <c r="J293" s="42" t="s">
        <v>43</v>
      </c>
      <c r="K293" s="43" t="s">
        <v>43</v>
      </c>
      <c r="L293" s="42">
        <v>2</v>
      </c>
      <c r="M293" s="42">
        <v>3</v>
      </c>
      <c r="N293" s="42">
        <v>3</v>
      </c>
      <c r="O293" s="42">
        <v>3</v>
      </c>
      <c r="P293" s="43">
        <v>3</v>
      </c>
      <c r="Q293" s="42">
        <v>3</v>
      </c>
      <c r="R293" s="42">
        <v>4</v>
      </c>
      <c r="S293" s="42">
        <v>4</v>
      </c>
      <c r="T293" s="42">
        <v>5</v>
      </c>
      <c r="U293" s="43">
        <v>5</v>
      </c>
      <c r="V293" s="42">
        <v>6</v>
      </c>
      <c r="W293" s="42">
        <v>5</v>
      </c>
      <c r="X293" s="42">
        <v>1</v>
      </c>
      <c r="Y293" s="43">
        <v>1</v>
      </c>
      <c r="Z293" s="42" t="s">
        <v>45</v>
      </c>
      <c r="AA293" s="42" t="s">
        <v>45</v>
      </c>
      <c r="AB293" s="42" t="s">
        <v>45</v>
      </c>
      <c r="AC293" s="42" t="s">
        <v>45</v>
      </c>
      <c r="AD293" s="42" t="s">
        <v>45</v>
      </c>
      <c r="AE293" s="42" t="s">
        <v>45</v>
      </c>
      <c r="AF293" s="42" t="s">
        <v>45</v>
      </c>
      <c r="AG293" s="43" t="s">
        <v>45</v>
      </c>
      <c r="AH293" s="42">
        <v>1</v>
      </c>
      <c r="AI293" s="42">
        <v>4</v>
      </c>
      <c r="AJ293" s="43">
        <v>1</v>
      </c>
      <c r="AK293" s="45" t="s">
        <v>45</v>
      </c>
      <c r="AL293" s="45" t="s">
        <v>47</v>
      </c>
      <c r="AM293" s="46">
        <f>($L$3*(L293-$Q$1)/$Q$2+$M$3*(M293-$R$1)/$R$2+$N$3*(N293-$S$1)/$S$2+$O$3*(O293-$T$1)/$T$2+$P$3*(P293-$U$1)/$U$2)/(SUM($L$3:$P$3))</f>
        <v>-1.2340929866863586</v>
      </c>
      <c r="AN293" s="46">
        <f>($L$3*(Q293-$Q$1)/$Q$2+$M$3*(R293-$R$1)/$R$2+$N$3*(S293-$S$1)/$S$2+$O$3*(T293-$T$1)/$T$2+$P$3*(U293-$U$1)/$U$2)/(SUM($L$3:$P$3))</f>
        <v>-0.51796399718774966</v>
      </c>
      <c r="AO293" s="47">
        <f>IF(AVERAGE(AH293:AI293)&gt;9,1,0)+IF(AVERAGE(AH293:AI293)&gt;7,1,0)+IF(AH293&gt;7,1,0)+IF(AI293&gt;7,1,0)+IF(AJ293&gt;8,1,0)+IF(AJ293&gt;6,1,0)</f>
        <v>0</v>
      </c>
      <c r="AP293" s="48">
        <f>MIN(2,IF(OR(Z293="-",X293&lt;5),0,1+IF(Y293&gt;7,0.35,IF(Y293&gt;5,0.1,0))+IF(Z293&gt;7,1+IF(X293&gt;7,0.25,0),IF(Z293&gt;4,0.5+IF(X293&gt;7,0.25,0),0+IF(X293&gt;7,0.25))))+IF(AA293="-",0,IF(AA293&gt;9,0.5,IF(AA293&gt;7,0.25,0)))+IF(AB293="-",0,IF(AB293&gt;7,1.1,IF(AB293&gt;4,0.6,0)))+IF(OR(AC293="-",V293&lt;5),0,IF(AC293&gt;7,1+IF(V293&gt;7,0.25,0),IF(AC293&gt;4,0.5+IF(V293&gt;7,0.25,0),0)))+IF(AD293="-",0,IF(AD293&gt;7,1.5,IF(AD293&gt;4,1,0)))+IF(AE293="-",0,IF(AE293&gt;9,0.5,IF(AE293&gt;7,0.25,0)))+IF(AF293="-",0,IF(AF293&gt;7,1.25,IF(AF293&gt;4,0.75,0)))+IF(OR(AG293="-",W293&lt;4),0,IF(AG293&gt;7,1+IF(W293&gt;7,0.15,0),IF(AG293&gt;4,0.5+IF(W293&gt;7,0.15,0),0))))</f>
        <v>0</v>
      </c>
      <c r="AQ293" s="46">
        <f>($AM$3*AM293+$AN$3*AN293+$AO$3*AO293+$AP$3*AP293)+$I$3*VLOOKUP(I293,COND!$A$2:$E$7,4,FALSE)+$J$3*VLOOKUP(J293,COND!$A$2:$C$7,2,FALSE)+$K$3*VLOOKUP(K293,COND!$A$2:$C$7,3,FALSE)+IF(AND($B$2&gt;0,$E293&lt;20),$B$2*25,0)</f>
        <v>38.661022735078369</v>
      </c>
      <c r="AR293" s="49">
        <f>STANDARDIZE(AQ293,AVERAGE($AQ$5:$AQ$537),STDEVP($AQ$5:$AQ$537))</f>
        <v>-0.29685595862534236</v>
      </c>
      <c r="AS293" s="47" t="str">
        <f>IF(AND(Z293&lt;&gt;"-",Y293&gt;1),"C",IF(AB293=MAX(AB293:AD293),"2B",IF(AD293=MAX(AB293:AD293),"SS",IF(OR(AC293=MAX(AA293:AD293),AND(AC293&lt;&gt;"-",AC293&gt;4,V293&gt;5)),"3B",IF(AF293=MAX(AE293:AG293),"CF",IF(AND(AG293=MAX(AE293,AG293),AND(W293&gt;5,AG293&lt;&gt;"-")),"RF",IF(AE293&lt;&gt;"-","LF",IF(AA293&lt;&gt;"-","1B","DH"))))))))</f>
        <v>DH</v>
      </c>
      <c r="AT293" s="47"/>
      <c r="AU293" s="47"/>
      <c r="AV293" s="47"/>
      <c r="AW293" s="47" t="str">
        <f>IF(AND($Q293&gt;=6,AVERAGE($S293:$T293)&gt;=6),"Likely",IF(OR($Q293&gt;6,AND($Q293=6,AVERAGE($S293:$T293)&gt;=3),AND($Q293&gt;=5,AVERAGE($S293:$T293)&gt;=5),AVERAGE($Q293,$S293:$T293)&gt;5),"Possible","Unlikely"))</f>
        <v>Unlikely</v>
      </c>
      <c r="AX293" s="47"/>
      <c r="AY293" s="47" t="str">
        <f>INDEX(Table5[[#All],[Ovr]],MATCH(Batters[[#This Row],[PID]],Table5[[#All],[PID]],0))</f>
        <v/>
      </c>
      <c r="AZ293" s="47" t="str">
        <f>INDEX(Table5[[#All],[Rnd]],MATCH(Batters[[#This Row],[PID]],Table5[[#All],[PID]],0))</f>
        <v/>
      </c>
      <c r="BA293" s="47" t="str">
        <f>INDEX(Table5[[#All],[Pick]],MATCH(Batters[[#This Row],[PID]],Table5[[#All],[PID]],0))</f>
        <v/>
      </c>
      <c r="BB293" s="47" t="str">
        <f>INDEX(Table5[[#All],[Team]],MATCH(Batters[[#This Row],[PID]],Table5[[#All],[PID]],0))</f>
        <v/>
      </c>
    </row>
    <row r="294" spans="1:54" ht="15" customHeight="1" x14ac:dyDescent="0.25">
      <c r="A294" s="42">
        <v>10095</v>
      </c>
      <c r="B294" s="42" t="s">
        <v>86</v>
      </c>
      <c r="C294" s="42" t="s">
        <v>1235</v>
      </c>
      <c r="D294" s="42" t="s">
        <v>1236</v>
      </c>
      <c r="E294" s="42">
        <v>21</v>
      </c>
      <c r="F294" s="42" t="s">
        <v>42</v>
      </c>
      <c r="G294" s="42" t="s">
        <v>42</v>
      </c>
      <c r="H294" s="43" t="s">
        <v>709</v>
      </c>
      <c r="I294" s="44" t="s">
        <v>43</v>
      </c>
      <c r="J294" s="42" t="s">
        <v>47</v>
      </c>
      <c r="K294" s="43" t="s">
        <v>43</v>
      </c>
      <c r="L294" s="42">
        <v>2</v>
      </c>
      <c r="M294" s="42">
        <v>2</v>
      </c>
      <c r="N294" s="42">
        <v>2</v>
      </c>
      <c r="O294" s="42">
        <v>3</v>
      </c>
      <c r="P294" s="43">
        <v>1</v>
      </c>
      <c r="Q294" s="42">
        <v>3</v>
      </c>
      <c r="R294" s="42">
        <v>4</v>
      </c>
      <c r="S294" s="42">
        <v>3</v>
      </c>
      <c r="T294" s="42">
        <v>5</v>
      </c>
      <c r="U294" s="43">
        <v>2</v>
      </c>
      <c r="V294" s="42">
        <v>5</v>
      </c>
      <c r="W294" s="42">
        <v>6</v>
      </c>
      <c r="X294" s="42">
        <v>8</v>
      </c>
      <c r="Y294" s="43">
        <v>6</v>
      </c>
      <c r="Z294" s="42">
        <v>2</v>
      </c>
      <c r="AA294" s="42" t="s">
        <v>45</v>
      </c>
      <c r="AB294" s="42" t="s">
        <v>45</v>
      </c>
      <c r="AC294" s="42" t="s">
        <v>45</v>
      </c>
      <c r="AD294" s="42" t="s">
        <v>45</v>
      </c>
      <c r="AE294" s="42" t="s">
        <v>45</v>
      </c>
      <c r="AF294" s="42" t="s">
        <v>45</v>
      </c>
      <c r="AG294" s="43" t="s">
        <v>45</v>
      </c>
      <c r="AH294" s="42">
        <v>4</v>
      </c>
      <c r="AI294" s="42">
        <v>4</v>
      </c>
      <c r="AJ294" s="43">
        <v>4</v>
      </c>
      <c r="AK294" s="45" t="s">
        <v>45</v>
      </c>
      <c r="AL294" s="45" t="s">
        <v>705</v>
      </c>
      <c r="AM294" s="46">
        <f>($L$3*(L294-$Q$1)/$Q$2+$M$3*(M294-$R$1)/$R$2+$N$3*(N294-$S$1)/$S$2+$O$3*(O294-$T$1)/$T$2+$P$3*(P294-$U$1)/$U$2)/(SUM($L$3:$P$3))</f>
        <v>-1.4482470399631302</v>
      </c>
      <c r="AN294" s="46">
        <f>($L$3*(Q294-$Q$1)/$Q$2+$M$3*(R294-$R$1)/$R$2+$N$3*(S294-$S$1)/$S$2+$O$3*(T294-$T$1)/$T$2+$P$3*(U294-$U$1)/$U$2)/(SUM($L$3:$P$3))</f>
        <v>-0.72107451066290151</v>
      </c>
      <c r="AO294" s="47">
        <f>IF(AVERAGE(AH294:AI294)&gt;9,1,0)+IF(AVERAGE(AH294:AI294)&gt;7,1,0)+IF(AH294&gt;7,1,0)+IF(AI294&gt;7,1,0)+IF(AJ294&gt;8,1,0)+IF(AJ294&gt;6,1,0)</f>
        <v>0</v>
      </c>
      <c r="AP294" s="48">
        <f>MIN(2,IF(OR(Z294="-",X294&lt;5),0,1+IF(Y294&gt;7,0.35,IF(Y294&gt;5,0.1,0))+IF(Z294&gt;7,1+IF(X294&gt;7,0.25,0),IF(Z294&gt;4,0.5+IF(X294&gt;7,0.25,0),0+IF(X294&gt;7,0.25))))+IF(AA294="-",0,IF(AA294&gt;9,0.5,IF(AA294&gt;7,0.25,0)))+IF(AB294="-",0,IF(AB294&gt;7,1.1,IF(AB294&gt;4,0.6,0)))+IF(OR(AC294="-",V294&lt;5),0,IF(AC294&gt;7,1+IF(V294&gt;7,0.25,0),IF(AC294&gt;4,0.5+IF(V294&gt;7,0.25,0),0)))+IF(AD294="-",0,IF(AD294&gt;7,1.5,IF(AD294&gt;4,1,0)))+IF(AE294="-",0,IF(AE294&gt;9,0.5,IF(AE294&gt;7,0.25,0)))+IF(AF294="-",0,IF(AF294&gt;7,1.25,IF(AF294&gt;4,0.75,0)))+IF(OR(AG294="-",W294&lt;4),0,IF(AG294&gt;7,1+IF(W294&gt;7,0.15,0),IF(AG294&gt;4,0.5+IF(W294&gt;7,0.15,0),0))))</f>
        <v>1.35</v>
      </c>
      <c r="AQ294" s="46">
        <f>($AM$3*AM294+$AN$3*AN294+$AO$3*AO294+$AP$3*AP294)+$I$3*VLOOKUP(I294,COND!$A$2:$E$7,4,FALSE)+$J$3*VLOOKUP(J294,COND!$A$2:$C$7,2,FALSE)+$K$3*VLOOKUP(K294,COND!$A$2:$C$7,3,FALSE)+IF(AND($B$2&gt;0,$E294&lt;20),$B$2*25,0)</f>
        <v>37.852281168048869</v>
      </c>
      <c r="AR294" s="49">
        <f>STANDARDIZE(AQ294,AVERAGE($AQ$5:$AQ$537),STDEVP($AQ$5:$AQ$537))</f>
        <v>-0.43914866220237436</v>
      </c>
      <c r="AS294" s="47" t="str">
        <f>IF(AND(Z294&lt;&gt;"-",Y294&gt;1),"C",IF(AB294=MAX(AB294:AD294),"2B",IF(AD294=MAX(AB294:AD294),"SS",IF(OR(AC294=MAX(AA294:AD294),AND(AC294&lt;&gt;"-",AC294&gt;4,V294&gt;5)),"3B",IF(AF294=MAX(AE294:AG294),"CF",IF(AND(AG294=MAX(AE294,AG294),AND(W294&gt;5,AG294&lt;&gt;"-")),"RF",IF(AE294&lt;&gt;"-","LF",IF(AA294&lt;&gt;"-","1B","DH"))))))))</f>
        <v>C</v>
      </c>
      <c r="AT294" s="47"/>
      <c r="AU294" s="47"/>
      <c r="AV294" s="47"/>
      <c r="AW294" s="47" t="str">
        <f>IF(AND($Q294&gt;=6,AVERAGE($S294:$T294)&gt;=6),"Likely",IF(OR($Q294&gt;6,AND($Q294=6,AVERAGE($S294:$T294)&gt;=3),AND($Q294&gt;=5,AVERAGE($S294:$T294)&gt;=5),AVERAGE($Q294,$S294:$T294)&gt;5),"Possible","Unlikely"))</f>
        <v>Unlikely</v>
      </c>
      <c r="AX294" s="47"/>
      <c r="AY294" s="47" t="str">
        <f>INDEX(Table5[[#All],[Ovr]],MATCH(Batters[[#This Row],[PID]],Table5[[#All],[PID]],0))</f>
        <v/>
      </c>
      <c r="AZ294" s="47" t="str">
        <f>INDEX(Table5[[#All],[Rnd]],MATCH(Batters[[#This Row],[PID]],Table5[[#All],[PID]],0))</f>
        <v/>
      </c>
      <c r="BA294" s="47" t="str">
        <f>INDEX(Table5[[#All],[Pick]],MATCH(Batters[[#This Row],[PID]],Table5[[#All],[PID]],0))</f>
        <v/>
      </c>
      <c r="BB294" s="47" t="str">
        <f>INDEX(Table5[[#All],[Team]],MATCH(Batters[[#This Row],[PID]],Table5[[#All],[PID]],0))</f>
        <v/>
      </c>
    </row>
    <row r="295" spans="1:54" ht="15" customHeight="1" x14ac:dyDescent="0.25">
      <c r="A295" s="42">
        <v>12577</v>
      </c>
      <c r="B295" s="42" t="s">
        <v>66</v>
      </c>
      <c r="C295" s="42" t="s">
        <v>130</v>
      </c>
      <c r="D295" s="42" t="s">
        <v>1222</v>
      </c>
      <c r="E295" s="42">
        <v>21</v>
      </c>
      <c r="F295" s="42" t="s">
        <v>62</v>
      </c>
      <c r="G295" s="42" t="s">
        <v>42</v>
      </c>
      <c r="H295" s="43" t="s">
        <v>709</v>
      </c>
      <c r="I295" s="44" t="s">
        <v>43</v>
      </c>
      <c r="J295" s="42" t="s">
        <v>43</v>
      </c>
      <c r="K295" s="43" t="s">
        <v>43</v>
      </c>
      <c r="L295" s="42">
        <v>1</v>
      </c>
      <c r="M295" s="42">
        <v>2</v>
      </c>
      <c r="N295" s="42">
        <v>2</v>
      </c>
      <c r="O295" s="42">
        <v>2</v>
      </c>
      <c r="P295" s="43">
        <v>2</v>
      </c>
      <c r="Q295" s="42">
        <v>3</v>
      </c>
      <c r="R295" s="42">
        <v>4</v>
      </c>
      <c r="S295" s="42">
        <v>3</v>
      </c>
      <c r="T295" s="42">
        <v>5</v>
      </c>
      <c r="U295" s="43">
        <v>4</v>
      </c>
      <c r="V295" s="42">
        <v>7</v>
      </c>
      <c r="W295" s="42">
        <v>8</v>
      </c>
      <c r="X295" s="42">
        <v>1</v>
      </c>
      <c r="Y295" s="43">
        <v>1</v>
      </c>
      <c r="Z295" s="42" t="s">
        <v>45</v>
      </c>
      <c r="AA295" s="42" t="s">
        <v>45</v>
      </c>
      <c r="AB295" s="42" t="s">
        <v>45</v>
      </c>
      <c r="AC295" s="42" t="s">
        <v>45</v>
      </c>
      <c r="AD295" s="42" t="s">
        <v>45</v>
      </c>
      <c r="AE295" s="42" t="s">
        <v>45</v>
      </c>
      <c r="AF295" s="42" t="s">
        <v>45</v>
      </c>
      <c r="AG295" s="43">
        <v>7</v>
      </c>
      <c r="AH295" s="42">
        <v>10</v>
      </c>
      <c r="AI295" s="42">
        <v>8</v>
      </c>
      <c r="AJ295" s="43">
        <v>7</v>
      </c>
      <c r="AK295" s="45" t="s">
        <v>45</v>
      </c>
      <c r="AL295" s="45" t="s">
        <v>47</v>
      </c>
      <c r="AM295" s="46">
        <f>($L$3*(L295-$Q$1)/$Q$2+$M$3*(M295-$R$1)/$R$2+$N$3*(N295-$S$1)/$S$2+$O$3*(O295-$T$1)/$T$2+$P$3*(P295-$U$1)/$U$2)/(SUM($L$3:$P$3))</f>
        <v>-1.8204960863583022</v>
      </c>
      <c r="AN295" s="46">
        <f>($L$3*(Q295-$Q$1)/$Q$2+$M$3*(R295-$R$1)/$R$2+$N$3*(S295-$S$1)/$S$2+$O$3*(T295-$T$1)/$T$2+$P$3*(U295-$U$1)/$U$2)/(SUM($L$3:$P$3))</f>
        <v>-0.64104183102873458</v>
      </c>
      <c r="AO295" s="47">
        <f>IF(AVERAGE(AH295:AI295)&gt;9,1,0)+IF(AVERAGE(AH295:AI295)&gt;7,1,0)+IF(AH295&gt;7,1,0)+IF(AI295&gt;7,1,0)+IF(AJ295&gt;8,1,0)+IF(AJ295&gt;6,1,0)</f>
        <v>4</v>
      </c>
      <c r="AP295" s="48">
        <f>MIN(2,IF(OR(Z295="-",X295&lt;5),0,1+IF(Y295&gt;7,0.35,IF(Y295&gt;5,0.1,0))+IF(Z295&gt;7,1+IF(X295&gt;7,0.25,0),IF(Z295&gt;4,0.5+IF(X295&gt;7,0.25,0),0+IF(X295&gt;7,0.25))))+IF(AA295="-",0,IF(AA295&gt;9,0.5,IF(AA295&gt;7,0.25,0)))+IF(AB295="-",0,IF(AB295&gt;7,1.1,IF(AB295&gt;4,0.6,0)))+IF(OR(AC295="-",V295&lt;5),0,IF(AC295&gt;7,1+IF(V295&gt;7,0.25,0),IF(AC295&gt;4,0.5+IF(V295&gt;7,0.25,0),0)))+IF(AD295="-",0,IF(AD295&gt;7,1.5,IF(AD295&gt;4,1,0)))+IF(AE295="-",0,IF(AE295&gt;9,0.5,IF(AE295&gt;7,0.25,0)))+IF(AF295="-",0,IF(AF295&gt;7,1.25,IF(AF295&gt;4,0.75,0)))+IF(OR(AG295="-",W295&lt;4),0,IF(AG295&gt;7,1+IF(W295&gt;7,0.15,0),IF(AG295&gt;4,0.5+IF(W295&gt;7,0.15,0),0))))</f>
        <v>0.65</v>
      </c>
      <c r="AQ295" s="46">
        <f>($AM$3*AM295+$AN$3*AN295+$AO$3*AO295+$AP$3*AP295)+$I$3*VLOOKUP(I295,COND!$A$2:$E$7,4,FALSE)+$J$3*VLOOKUP(J295,COND!$A$2:$C$7,2,FALSE)+$K$3*VLOOKUP(K295,COND!$A$2:$C$7,3,FALSE)+IF(AND($B$2&gt;0,$E295&lt;20),$B$2*25,0)</f>
        <v>38.442115085686027</v>
      </c>
      <c r="AR295" s="49">
        <f>STANDARDIZE(AQ295,AVERAGE($AQ$5:$AQ$537),STDEVP($AQ$5:$AQ$537))</f>
        <v>-0.33537130460927544</v>
      </c>
      <c r="AS295" s="47" t="str">
        <f>IF(AND(Z295&lt;&gt;"-",Y295&gt;1),"C",IF(AB295=MAX(AB295:AD295),"2B",IF(AD295=MAX(AB295:AD295),"SS",IF(OR(AC295=MAX(AA295:AD295),AND(AC295&lt;&gt;"-",AC295&gt;4,V295&gt;5)),"3B",IF(AF295=MAX(AE295:AG295),"CF",IF(AND(AG295=MAX(AE295,AG295),AND(W295&gt;5,AG295&lt;&gt;"-")),"RF",IF(AE295&lt;&gt;"-","LF",IF(AA295&lt;&gt;"-","1B","DH"))))))))</f>
        <v>RF</v>
      </c>
      <c r="AT295" s="47"/>
      <c r="AU295" s="47"/>
      <c r="AV295" s="47"/>
      <c r="AW295" s="47" t="str">
        <f>IF(AND($Q295&gt;=6,AVERAGE($S295:$T295)&gt;=6),"Likely",IF(OR($Q295&gt;6,AND($Q295=6,AVERAGE($S295:$T295)&gt;=3),AND($Q295&gt;=5,AVERAGE($S295:$T295)&gt;=5),AVERAGE($Q295,$S295:$T295)&gt;5),"Possible","Unlikely"))</f>
        <v>Unlikely</v>
      </c>
      <c r="AX295" s="47"/>
      <c r="AY295" s="47" t="str">
        <f>INDEX(Table5[[#All],[Ovr]],MATCH(Batters[[#This Row],[PID]],Table5[[#All],[PID]],0))</f>
        <v/>
      </c>
      <c r="AZ295" s="47" t="str">
        <f>INDEX(Table5[[#All],[Rnd]],MATCH(Batters[[#This Row],[PID]],Table5[[#All],[PID]],0))</f>
        <v/>
      </c>
      <c r="BA295" s="47" t="str">
        <f>INDEX(Table5[[#All],[Pick]],MATCH(Batters[[#This Row],[PID]],Table5[[#All],[PID]],0))</f>
        <v/>
      </c>
      <c r="BB295" s="47" t="str">
        <f>INDEX(Table5[[#All],[Team]],MATCH(Batters[[#This Row],[PID]],Table5[[#All],[PID]],0))</f>
        <v/>
      </c>
    </row>
    <row r="296" spans="1:54" ht="15" customHeight="1" x14ac:dyDescent="0.25">
      <c r="A296" s="42">
        <v>15288</v>
      </c>
      <c r="B296" s="42" t="s">
        <v>50</v>
      </c>
      <c r="C296" s="42" t="s">
        <v>673</v>
      </c>
      <c r="D296" s="42" t="s">
        <v>890</v>
      </c>
      <c r="E296" s="42">
        <v>18</v>
      </c>
      <c r="F296" s="42" t="s">
        <v>53</v>
      </c>
      <c r="G296" s="42" t="s">
        <v>53</v>
      </c>
      <c r="H296" s="43" t="s">
        <v>711</v>
      </c>
      <c r="I296" s="44" t="s">
        <v>43</v>
      </c>
      <c r="J296" s="42" t="s">
        <v>44</v>
      </c>
      <c r="K296" s="43" t="s">
        <v>44</v>
      </c>
      <c r="L296" s="42">
        <v>1</v>
      </c>
      <c r="M296" s="42">
        <v>2</v>
      </c>
      <c r="N296" s="42">
        <v>2</v>
      </c>
      <c r="O296" s="42">
        <v>1</v>
      </c>
      <c r="P296" s="43">
        <v>2</v>
      </c>
      <c r="Q296" s="42">
        <v>3</v>
      </c>
      <c r="R296" s="42">
        <v>3</v>
      </c>
      <c r="S296" s="42">
        <v>3</v>
      </c>
      <c r="T296" s="42">
        <v>4</v>
      </c>
      <c r="U296" s="43">
        <v>4</v>
      </c>
      <c r="V296" s="42">
        <v>2</v>
      </c>
      <c r="W296" s="42">
        <v>5</v>
      </c>
      <c r="X296" s="42">
        <v>1</v>
      </c>
      <c r="Y296" s="43">
        <v>1</v>
      </c>
      <c r="Z296" s="42" t="s">
        <v>45</v>
      </c>
      <c r="AA296" s="42" t="s">
        <v>45</v>
      </c>
      <c r="AB296" s="42" t="s">
        <v>45</v>
      </c>
      <c r="AC296" s="42" t="s">
        <v>45</v>
      </c>
      <c r="AD296" s="42" t="s">
        <v>45</v>
      </c>
      <c r="AE296" s="42">
        <v>2</v>
      </c>
      <c r="AF296" s="42" t="s">
        <v>45</v>
      </c>
      <c r="AG296" s="43" t="s">
        <v>45</v>
      </c>
      <c r="AH296" s="42">
        <v>2</v>
      </c>
      <c r="AI296" s="42">
        <v>4</v>
      </c>
      <c r="AJ296" s="43">
        <v>4</v>
      </c>
      <c r="AK296" s="45" t="s">
        <v>718</v>
      </c>
      <c r="AL296" s="45" t="s">
        <v>705</v>
      </c>
      <c r="AM296" s="46">
        <f>($L$3*(L296-$Q$1)/$Q$2+$M$3*(M296-$R$1)/$R$2+$N$3*(N296-$S$1)/$S$2+$O$3*(O296-$T$1)/$T$2+$P$3*(P296-$U$1)/$U$2)/(SUM($L$3:$P$3))</f>
        <v>-1.9102056363678834</v>
      </c>
      <c r="AN296" s="46">
        <f>($L$3*(Q296-$Q$1)/$Q$2+$M$3*(R296-$R$1)/$R$2+$N$3*(S296-$S$1)/$S$2+$O$3*(T296-$T$1)/$T$2+$P$3*(U296-$U$1)/$U$2)/(SUM($L$3:$P$3))</f>
        <v>-0.781811260657019</v>
      </c>
      <c r="AO296" s="47">
        <f>IF(AVERAGE(AH296:AI296)&gt;9,1,0)+IF(AVERAGE(AH296:AI296)&gt;7,1,0)+IF(AH296&gt;7,1,0)+IF(AI296&gt;7,1,0)+IF(AJ296&gt;8,1,0)+IF(AJ296&gt;6,1,0)</f>
        <v>0</v>
      </c>
      <c r="AP296" s="48">
        <f>MIN(2,IF(OR(Z296="-",X296&lt;5),0,1+IF(Y296&gt;7,0.35,IF(Y296&gt;5,0.1,0))+IF(Z296&gt;7,1+IF(X296&gt;7,0.25,0),IF(Z296&gt;4,0.5+IF(X296&gt;7,0.25,0),0+IF(X296&gt;7,0.25))))+IF(AA296="-",0,IF(AA296&gt;9,0.5,IF(AA296&gt;7,0.25,0)))+IF(AB296="-",0,IF(AB296&gt;7,1.1,IF(AB296&gt;4,0.6,0)))+IF(OR(AC296="-",V296&lt;5),0,IF(AC296&gt;7,1+IF(V296&gt;7,0.25,0),IF(AC296&gt;4,0.5+IF(V296&gt;7,0.25,0),0)))+IF(AD296="-",0,IF(AD296&gt;7,1.5,IF(AD296&gt;4,1,0)))+IF(AE296="-",0,IF(AE296&gt;9,0.5,IF(AE296&gt;7,0.25,0)))+IF(AF296="-",0,IF(AF296&gt;7,1.25,IF(AF296&gt;4,0.75,0)))+IF(OR(AG296="-",W296&lt;4),0,IF(AG296&gt;7,1+IF(W296&gt;7,0.15,0),IF(AG296&gt;4,0.5+IF(W296&gt;7,0.15,0),0))))</f>
        <v>0</v>
      </c>
      <c r="AQ296" s="46">
        <f>($AM$3*AM296+$AN$3*AN296+$AO$3*AO296+$AP$3*AP296)+$I$3*VLOOKUP(I296,COND!$A$2:$E$7,4,FALSE)+$J$3*VLOOKUP(J296,COND!$A$2:$C$7,2,FALSE)+$K$3*VLOOKUP(K296,COND!$A$2:$C$7,3,FALSE)+IF(AND($B$2&gt;0,$E296&lt;20),$B$2*25,0)</f>
        <v>39.827244308478981</v>
      </c>
      <c r="AR296" s="49">
        <f>STANDARDIZE(AQ296,AVERAGE($AQ$5:$AQ$537),STDEVP($AQ$5:$AQ$537))</f>
        <v>-9.1667023847886844E-2</v>
      </c>
      <c r="AS296" s="47" t="str">
        <f>IF(AND(Z296&lt;&gt;"-",Y296&gt;1),"C",IF(AB296=MAX(AB296:AD296),"2B",IF(AD296=MAX(AB296:AD296),"SS",IF(OR(AC296=MAX(AA296:AD296),AND(AC296&lt;&gt;"-",AC296&gt;4,V296&gt;5)),"3B",IF(AF296=MAX(AE296:AG296),"CF",IF(AND(AG296=MAX(AE296,AG296),AND(W296&gt;5,AG296&lt;&gt;"-")),"RF",IF(AE296&lt;&gt;"-","LF",IF(AA296&lt;&gt;"-","1B","DH"))))))))</f>
        <v>LF</v>
      </c>
      <c r="AT296" s="47"/>
      <c r="AU296" s="47"/>
      <c r="AV296" s="47"/>
      <c r="AW296" s="47" t="str">
        <f>IF(AND($Q296&gt;=6,AVERAGE($S296:$T296)&gt;=6),"Likely",IF(OR($Q296&gt;6,AND($Q296=6,AVERAGE($S296:$T296)&gt;=3),AND($Q296&gt;=5,AVERAGE($S296:$T296)&gt;=5),AVERAGE($Q296,$S296:$T296)&gt;5),"Possible","Unlikely"))</f>
        <v>Unlikely</v>
      </c>
      <c r="AX296" s="47"/>
      <c r="AY296" s="47" t="str">
        <f>INDEX(Table5[[#All],[Ovr]],MATCH(Batters[[#This Row],[PID]],Table5[[#All],[PID]],0))</f>
        <v/>
      </c>
      <c r="AZ296" s="47" t="str">
        <f>INDEX(Table5[[#All],[Rnd]],MATCH(Batters[[#This Row],[PID]],Table5[[#All],[PID]],0))</f>
        <v/>
      </c>
      <c r="BA296" s="47" t="str">
        <f>INDEX(Table5[[#All],[Pick]],MATCH(Batters[[#This Row],[PID]],Table5[[#All],[PID]],0))</f>
        <v/>
      </c>
      <c r="BB296" s="47" t="str">
        <f>INDEX(Table5[[#All],[Team]],MATCH(Batters[[#This Row],[PID]],Table5[[#All],[PID]],0))</f>
        <v/>
      </c>
    </row>
    <row r="297" spans="1:54" ht="15" customHeight="1" x14ac:dyDescent="0.25">
      <c r="A297" s="42">
        <v>13051</v>
      </c>
      <c r="B297" s="42" t="s">
        <v>86</v>
      </c>
      <c r="C297" s="42" t="s">
        <v>410</v>
      </c>
      <c r="D297" s="42" t="s">
        <v>800</v>
      </c>
      <c r="E297" s="42">
        <v>18</v>
      </c>
      <c r="F297" s="42" t="s">
        <v>42</v>
      </c>
      <c r="G297" s="42" t="s">
        <v>42</v>
      </c>
      <c r="H297" s="43" t="s">
        <v>711</v>
      </c>
      <c r="I297" s="44" t="s">
        <v>43</v>
      </c>
      <c r="J297" s="42" t="s">
        <v>44</v>
      </c>
      <c r="K297" s="43" t="s">
        <v>43</v>
      </c>
      <c r="L297" s="42">
        <v>1</v>
      </c>
      <c r="M297" s="42">
        <v>2</v>
      </c>
      <c r="N297" s="42">
        <v>2</v>
      </c>
      <c r="O297" s="42">
        <v>1</v>
      </c>
      <c r="P297" s="43">
        <v>1</v>
      </c>
      <c r="Q297" s="42">
        <v>3</v>
      </c>
      <c r="R297" s="42">
        <v>3</v>
      </c>
      <c r="S297" s="42">
        <v>2</v>
      </c>
      <c r="T297" s="42">
        <v>4</v>
      </c>
      <c r="U297" s="43">
        <v>4</v>
      </c>
      <c r="V297" s="42">
        <v>1</v>
      </c>
      <c r="W297" s="42">
        <v>2</v>
      </c>
      <c r="X297" s="42">
        <v>3</v>
      </c>
      <c r="Y297" s="43">
        <v>4</v>
      </c>
      <c r="Z297" s="42" t="s">
        <v>45</v>
      </c>
      <c r="AA297" s="42" t="s">
        <v>45</v>
      </c>
      <c r="AB297" s="42" t="s">
        <v>45</v>
      </c>
      <c r="AC297" s="42" t="s">
        <v>45</v>
      </c>
      <c r="AD297" s="42" t="s">
        <v>45</v>
      </c>
      <c r="AE297" s="42" t="s">
        <v>45</v>
      </c>
      <c r="AF297" s="42" t="s">
        <v>45</v>
      </c>
      <c r="AG297" s="43" t="s">
        <v>45</v>
      </c>
      <c r="AH297" s="42">
        <v>1</v>
      </c>
      <c r="AI297" s="42">
        <v>1</v>
      </c>
      <c r="AJ297" s="43">
        <v>1</v>
      </c>
      <c r="AK297" s="45" t="s">
        <v>730</v>
      </c>
      <c r="AL297" s="45" t="s">
        <v>47</v>
      </c>
      <c r="AM297" s="46">
        <f>($L$3*(L297-$Q$1)/$Q$2+$M$3*(M297-$R$1)/$R$2+$N$3*(N297-$S$1)/$S$2+$O$3*(O297-$T$1)/$T$2+$P$3*(P297-$U$1)/$U$2)/(SUM($L$3:$P$3))</f>
        <v>-1.9502219761849671</v>
      </c>
      <c r="AN297" s="46">
        <f>($L$3*(Q297-$Q$1)/$Q$2+$M$3*(R297-$R$1)/$R$2+$N$3*(S297-$S$1)/$S$2+$O$3*(T297-$T$1)/$T$2+$P$3*(U297-$U$1)/$U$2)/(SUM($L$3:$P$3))</f>
        <v>-0.8648727546809204</v>
      </c>
      <c r="AO297" s="47">
        <f>IF(AVERAGE(AH297:AI297)&gt;9,1,0)+IF(AVERAGE(AH297:AI297)&gt;7,1,0)+IF(AH297&gt;7,1,0)+IF(AI297&gt;7,1,0)+IF(AJ297&gt;8,1,0)+IF(AJ297&gt;6,1,0)</f>
        <v>0</v>
      </c>
      <c r="AP297" s="48">
        <f>MIN(2,IF(OR(Z297="-",X297&lt;5),0,1+IF(Y297&gt;7,0.35,IF(Y297&gt;5,0.1,0))+IF(Z297&gt;7,1+IF(X297&gt;7,0.25,0),IF(Z297&gt;4,0.5+IF(X297&gt;7,0.25,0),0+IF(X297&gt;7,0.25))))+IF(AA297="-",0,IF(AA297&gt;9,0.5,IF(AA297&gt;7,0.25,0)))+IF(AB297="-",0,IF(AB297&gt;7,1.1,IF(AB297&gt;4,0.6,0)))+IF(OR(AC297="-",V297&lt;5),0,IF(AC297&gt;7,1+IF(V297&gt;7,0.25,0),IF(AC297&gt;4,0.5+IF(V297&gt;7,0.25,0),0)))+IF(AD297="-",0,IF(AD297&gt;7,1.5,IF(AD297&gt;4,1,0)))+IF(AE297="-",0,IF(AE297&gt;9,0.5,IF(AE297&gt;7,0.25,0)))+IF(AF297="-",0,IF(AF297&gt;7,1.25,IF(AF297&gt;4,0.75,0)))+IF(OR(AG297="-",W297&lt;4),0,IF(AG297&gt;7,1+IF(W297&gt;7,0.15,0),IF(AG297&gt;4,0.5+IF(W297&gt;7,0.15,0),0))))</f>
        <v>0</v>
      </c>
      <c r="AQ297" s="46">
        <f>($AM$3*AM297+$AN$3*AN297+$AO$3*AO297+$AP$3*AP297)+$I$3*VLOOKUP(I297,COND!$A$2:$E$7,4,FALSE)+$J$3*VLOOKUP(J297,COND!$A$2:$C$7,2,FALSE)+$K$3*VLOOKUP(K297,COND!$A$2:$C$7,3,FALSE)+IF(AND($B$2&gt;0,$E297&lt;20),$B$2*25,0)</f>
        <v>39.126504746210458</v>
      </c>
      <c r="AR297" s="49">
        <f>STANDARDIZE(AQ297,AVERAGE($AQ$5:$AQ$537),STDEVP($AQ$5:$AQ$537))</f>
        <v>-0.2149574925013141</v>
      </c>
      <c r="AS297" s="47" t="str">
        <f>IF(AND(Z297&lt;&gt;"-",Y297&gt;1),"C",IF(AB297=MAX(AB297:AD297),"2B",IF(AD297=MAX(AB297:AD297),"SS",IF(OR(AC297=MAX(AA297:AD297),AND(AC297&lt;&gt;"-",AC297&gt;4,V297&gt;5)),"3B",IF(AF297=MAX(AE297:AG297),"CF",IF(AND(AG297=MAX(AE297,AG297),AND(W297&gt;5,AG297&lt;&gt;"-")),"RF",IF(AE297&lt;&gt;"-","LF",IF(AA297&lt;&gt;"-","1B","DH"))))))))</f>
        <v>DH</v>
      </c>
      <c r="AT297" s="47"/>
      <c r="AU297" s="47"/>
      <c r="AV297" s="47"/>
      <c r="AW297" s="47" t="str">
        <f>IF(AND($Q297&gt;=6,AVERAGE($S297:$T297)&gt;=6),"Likely",IF(OR($Q297&gt;6,AND($Q297=6,AVERAGE($S297:$T297)&gt;=3),AND($Q297&gt;=5,AVERAGE($S297:$T297)&gt;=5),AVERAGE($Q297,$S297:$T297)&gt;5),"Possible","Unlikely"))</f>
        <v>Unlikely</v>
      </c>
      <c r="AX297" s="47"/>
      <c r="AY297" s="47" t="str">
        <f>INDEX(Table5[[#All],[Ovr]],MATCH(Batters[[#This Row],[PID]],Table5[[#All],[PID]],0))</f>
        <v/>
      </c>
      <c r="AZ297" s="47" t="str">
        <f>INDEX(Table5[[#All],[Rnd]],MATCH(Batters[[#This Row],[PID]],Table5[[#All],[PID]],0))</f>
        <v/>
      </c>
      <c r="BA297" s="47" t="str">
        <f>INDEX(Table5[[#All],[Pick]],MATCH(Batters[[#This Row],[PID]],Table5[[#All],[PID]],0))</f>
        <v/>
      </c>
      <c r="BB297" s="47" t="str">
        <f>INDEX(Table5[[#All],[Team]],MATCH(Batters[[#This Row],[PID]],Table5[[#All],[PID]],0))</f>
        <v/>
      </c>
    </row>
    <row r="298" spans="1:54" ht="15" customHeight="1" x14ac:dyDescent="0.25">
      <c r="A298" s="42">
        <v>5692</v>
      </c>
      <c r="B298" s="42" t="s">
        <v>66</v>
      </c>
      <c r="C298" s="42" t="s">
        <v>397</v>
      </c>
      <c r="D298" s="42" t="s">
        <v>321</v>
      </c>
      <c r="E298" s="42">
        <v>18</v>
      </c>
      <c r="F298" s="42" t="s">
        <v>53</v>
      </c>
      <c r="G298" s="42" t="s">
        <v>53</v>
      </c>
      <c r="H298" s="43" t="s">
        <v>721</v>
      </c>
      <c r="I298" s="44" t="s">
        <v>43</v>
      </c>
      <c r="J298" s="42" t="s">
        <v>44</v>
      </c>
      <c r="K298" s="43" t="s">
        <v>43</v>
      </c>
      <c r="L298" s="42">
        <v>1</v>
      </c>
      <c r="M298" s="42">
        <v>1</v>
      </c>
      <c r="N298" s="42">
        <v>2</v>
      </c>
      <c r="O298" s="42">
        <v>1</v>
      </c>
      <c r="P298" s="43">
        <v>1</v>
      </c>
      <c r="Q298" s="42">
        <v>3</v>
      </c>
      <c r="R298" s="42">
        <v>3</v>
      </c>
      <c r="S298" s="42">
        <v>2</v>
      </c>
      <c r="T298" s="42">
        <v>4</v>
      </c>
      <c r="U298" s="43">
        <v>4</v>
      </c>
      <c r="V298" s="42">
        <v>7</v>
      </c>
      <c r="W298" s="42">
        <v>8</v>
      </c>
      <c r="X298" s="42">
        <v>1</v>
      </c>
      <c r="Y298" s="43">
        <v>1</v>
      </c>
      <c r="Z298" s="42" t="s">
        <v>45</v>
      </c>
      <c r="AA298" s="42" t="s">
        <v>45</v>
      </c>
      <c r="AB298" s="42" t="s">
        <v>45</v>
      </c>
      <c r="AC298" s="42" t="s">
        <v>45</v>
      </c>
      <c r="AD298" s="42" t="s">
        <v>45</v>
      </c>
      <c r="AE298" s="42" t="s">
        <v>45</v>
      </c>
      <c r="AF298" s="42" t="s">
        <v>45</v>
      </c>
      <c r="AG298" s="43">
        <v>2</v>
      </c>
      <c r="AH298" s="42">
        <v>1</v>
      </c>
      <c r="AI298" s="42">
        <v>6</v>
      </c>
      <c r="AJ298" s="43">
        <v>3</v>
      </c>
      <c r="AK298" s="45" t="s">
        <v>627</v>
      </c>
      <c r="AL298" s="45" t="s">
        <v>705</v>
      </c>
      <c r="AM298" s="46">
        <f>($L$3*(L298-$Q$1)/$Q$2+$M$3*(M298-$R$1)/$R$2+$N$3*(N298-$S$1)/$S$2+$O$3*(O298-$T$1)/$T$2+$P$3*(P298-$U$1)/$U$2)/(SUM($L$3:$P$3))</f>
        <v>-2.0012818558036707</v>
      </c>
      <c r="AN298" s="46">
        <f>($L$3*(Q298-$Q$1)/$Q$2+$M$3*(R298-$R$1)/$R$2+$N$3*(S298-$S$1)/$S$2+$O$3*(T298-$T$1)/$T$2+$P$3*(U298-$U$1)/$U$2)/(SUM($L$3:$P$3))</f>
        <v>-0.8648727546809204</v>
      </c>
      <c r="AO298" s="47">
        <f>IF(AVERAGE(AH298:AI298)&gt;9,1,0)+IF(AVERAGE(AH298:AI298)&gt;7,1,0)+IF(AH298&gt;7,1,0)+IF(AI298&gt;7,1,0)+IF(AJ298&gt;8,1,0)+IF(AJ298&gt;6,1,0)</f>
        <v>0</v>
      </c>
      <c r="AP298" s="48">
        <f>MIN(2,IF(OR(Z298="-",X298&lt;5),0,1+IF(Y298&gt;7,0.35,IF(Y298&gt;5,0.1,0))+IF(Z298&gt;7,1+IF(X298&gt;7,0.25,0),IF(Z298&gt;4,0.5+IF(X298&gt;7,0.25,0),0+IF(X298&gt;7,0.25))))+IF(AA298="-",0,IF(AA298&gt;9,0.5,IF(AA298&gt;7,0.25,0)))+IF(AB298="-",0,IF(AB298&gt;7,1.1,IF(AB298&gt;4,0.6,0)))+IF(OR(AC298="-",V298&lt;5),0,IF(AC298&gt;7,1+IF(V298&gt;7,0.25,0),IF(AC298&gt;4,0.5+IF(V298&gt;7,0.25,0),0)))+IF(AD298="-",0,IF(AD298&gt;7,1.5,IF(AD298&gt;4,1,0)))+IF(AE298="-",0,IF(AE298&gt;9,0.5,IF(AE298&gt;7,0.25,0)))+IF(AF298="-",0,IF(AF298&gt;7,1.25,IF(AF298&gt;4,0.75,0)))+IF(OR(AG298="-",W298&lt;4),0,IF(AG298&gt;7,1+IF(W298&gt;7,0.15,0),IF(AG298&gt;4,0.5+IF(W298&gt;7,0.15,0),0))))</f>
        <v>0</v>
      </c>
      <c r="AQ298" s="46">
        <f>($AM$3*AM298+$AN$3*AN298+$AO$3*AO298+$AP$3*AP298)+$I$3*VLOOKUP(I298,COND!$A$2:$E$7,4,FALSE)+$J$3*VLOOKUP(J298,COND!$A$2:$C$7,2,FALSE)+$K$3*VLOOKUP(K298,COND!$A$2:$C$7,3,FALSE)+IF(AND($B$2&gt;0,$E298&lt;20),$B$2*25,0)</f>
        <v>39.121398758248588</v>
      </c>
      <c r="AR298" s="49">
        <f>STANDARDIZE(AQ298,AVERAGE($AQ$5:$AQ$537),STDEVP($AQ$5:$AQ$537))</f>
        <v>-0.21585585714725994</v>
      </c>
      <c r="AS298" s="47" t="str">
        <f>IF(AND(Z298&lt;&gt;"-",Y298&gt;1),"C",IF(AB298=MAX(AB298:AD298),"2B",IF(AD298=MAX(AB298:AD298),"SS",IF(OR(AC298=MAX(AA298:AD298),AND(AC298&lt;&gt;"-",AC298&gt;4,V298&gt;5)),"3B",IF(AF298=MAX(AE298:AG298),"CF",IF(AND(AG298=MAX(AE298,AG298),AND(W298&gt;5,AG298&lt;&gt;"-")),"RF",IF(AE298&lt;&gt;"-","LF",IF(AA298&lt;&gt;"-","1B","DH"))))))))</f>
        <v>RF</v>
      </c>
      <c r="AT298" s="47"/>
      <c r="AU298" s="47"/>
      <c r="AV298" s="47"/>
      <c r="AW298" s="47" t="str">
        <f>IF(AND($Q298&gt;=6,AVERAGE($S298:$T298)&gt;=6),"Likely",IF(OR($Q298&gt;6,AND($Q298=6,AVERAGE($S298:$T298)&gt;=3),AND($Q298&gt;=5,AVERAGE($S298:$T298)&gt;=5),AVERAGE($Q298,$S298:$T298)&gt;5),"Possible","Unlikely"))</f>
        <v>Unlikely</v>
      </c>
      <c r="AX298" s="47"/>
      <c r="AY298" s="47" t="str">
        <f>INDEX(Table5[[#All],[Ovr]],MATCH(Batters[[#This Row],[PID]],Table5[[#All],[PID]],0))</f>
        <v/>
      </c>
      <c r="AZ298" s="47" t="str">
        <f>INDEX(Table5[[#All],[Rnd]],MATCH(Batters[[#This Row],[PID]],Table5[[#All],[PID]],0))</f>
        <v/>
      </c>
      <c r="BA298" s="47" t="str">
        <f>INDEX(Table5[[#All],[Pick]],MATCH(Batters[[#This Row],[PID]],Table5[[#All],[PID]],0))</f>
        <v/>
      </c>
      <c r="BB298" s="47" t="str">
        <f>INDEX(Table5[[#All],[Team]],MATCH(Batters[[#This Row],[PID]],Table5[[#All],[PID]],0))</f>
        <v/>
      </c>
    </row>
    <row r="299" spans="1:54" ht="15" customHeight="1" x14ac:dyDescent="0.25">
      <c r="A299" s="42">
        <v>7480</v>
      </c>
      <c r="B299" s="42" t="s">
        <v>50</v>
      </c>
      <c r="C299" s="42" t="s">
        <v>212</v>
      </c>
      <c r="D299" s="42" t="s">
        <v>584</v>
      </c>
      <c r="E299" s="42">
        <v>22</v>
      </c>
      <c r="F299" s="42" t="s">
        <v>62</v>
      </c>
      <c r="G299" s="42" t="s">
        <v>42</v>
      </c>
      <c r="H299" s="43" t="s">
        <v>709</v>
      </c>
      <c r="I299" s="44" t="s">
        <v>44</v>
      </c>
      <c r="J299" s="42" t="s">
        <v>43</v>
      </c>
      <c r="K299" s="43" t="s">
        <v>47</v>
      </c>
      <c r="L299" s="42">
        <v>2</v>
      </c>
      <c r="M299" s="42">
        <v>2</v>
      </c>
      <c r="N299" s="42">
        <v>3</v>
      </c>
      <c r="O299" s="42">
        <v>3</v>
      </c>
      <c r="P299" s="43">
        <v>3</v>
      </c>
      <c r="Q299" s="42">
        <v>3</v>
      </c>
      <c r="R299" s="42">
        <v>3</v>
      </c>
      <c r="S299" s="42">
        <v>4</v>
      </c>
      <c r="T299" s="42">
        <v>5</v>
      </c>
      <c r="U299" s="43">
        <v>4</v>
      </c>
      <c r="V299" s="42">
        <v>7</v>
      </c>
      <c r="W299" s="42">
        <v>8</v>
      </c>
      <c r="X299" s="42">
        <v>1</v>
      </c>
      <c r="Y299" s="43">
        <v>1</v>
      </c>
      <c r="Z299" s="42" t="s">
        <v>45</v>
      </c>
      <c r="AA299" s="42" t="s">
        <v>45</v>
      </c>
      <c r="AB299" s="42" t="s">
        <v>45</v>
      </c>
      <c r="AC299" s="42" t="s">
        <v>45</v>
      </c>
      <c r="AD299" s="42" t="s">
        <v>45</v>
      </c>
      <c r="AE299" s="42">
        <v>3</v>
      </c>
      <c r="AF299" s="42" t="s">
        <v>45</v>
      </c>
      <c r="AG299" s="43" t="s">
        <v>45</v>
      </c>
      <c r="AH299" s="42">
        <v>5</v>
      </c>
      <c r="AI299" s="42">
        <v>4</v>
      </c>
      <c r="AJ299" s="43">
        <v>6</v>
      </c>
      <c r="AK299" s="45" t="s">
        <v>45</v>
      </c>
      <c r="AL299" s="45" t="s">
        <v>47</v>
      </c>
      <c r="AM299" s="46">
        <f>($L$3*(L299-$Q$1)/$Q$2+$M$3*(M299-$R$1)/$R$2+$N$3*(N299-$S$1)/$S$2+$O$3*(O299-$T$1)/$T$2+$P$3*(P299-$U$1)/$U$2)/(SUM($L$3:$P$3))</f>
        <v>-1.285152866305062</v>
      </c>
      <c r="AN299" s="46">
        <f>($L$3*(Q299-$Q$1)/$Q$2+$M$3*(R299-$R$1)/$R$2+$N$3*(S299-$S$1)/$S$2+$O$3*(T299-$T$1)/$T$2+$P$3*(U299-$U$1)/$U$2)/(SUM($L$3:$P$3))</f>
        <v>-0.60904021662353647</v>
      </c>
      <c r="AO299" s="47">
        <f>IF(AVERAGE(AH299:AI299)&gt;9,1,0)+IF(AVERAGE(AH299:AI299)&gt;7,1,0)+IF(AH299&gt;7,1,0)+IF(AI299&gt;7,1,0)+IF(AJ299&gt;8,1,0)+IF(AJ299&gt;6,1,0)</f>
        <v>0</v>
      </c>
      <c r="AP299" s="48">
        <f>MIN(2,IF(OR(Z299="-",X299&lt;5),0,1+IF(Y299&gt;7,0.35,IF(Y299&gt;5,0.1,0))+IF(Z299&gt;7,1+IF(X299&gt;7,0.25,0),IF(Z299&gt;4,0.5+IF(X299&gt;7,0.25,0),0+IF(X299&gt;7,0.25))))+IF(AA299="-",0,IF(AA299&gt;9,0.5,IF(AA299&gt;7,0.25,0)))+IF(AB299="-",0,IF(AB299&gt;7,1.1,IF(AB299&gt;4,0.6,0)))+IF(OR(AC299="-",V299&lt;5),0,IF(AC299&gt;7,1+IF(V299&gt;7,0.25,0),IF(AC299&gt;4,0.5+IF(V299&gt;7,0.25,0),0)))+IF(AD299="-",0,IF(AD299&gt;7,1.5,IF(AD299&gt;4,1,0)))+IF(AE299="-",0,IF(AE299&gt;9,0.5,IF(AE299&gt;7,0.25,0)))+IF(AF299="-",0,IF(AF299&gt;7,1.25,IF(AF299&gt;4,0.75,0)))+IF(OR(AG299="-",W299&lt;4),0,IF(AG299&gt;7,1+IF(W299&gt;7,0.15,0),IF(AG299&gt;4,0.5+IF(W299&gt;7,0.15,0),0))))</f>
        <v>0</v>
      </c>
      <c r="AQ299" s="46">
        <f>($AM$3*AM299+$AN$3*AN299+$AO$3*AO299+$AP$3*AP299)+$I$3*VLOOKUP(I299,COND!$A$2:$E$7,4,FALSE)+$J$3*VLOOKUP(J299,COND!$A$2:$C$7,2,FALSE)+$K$3*VLOOKUP(K299,COND!$A$2:$C$7,3,FALSE)+IF(AND($B$2&gt;0,$E299&lt;20),$B$2*25,0)</f>
        <v>37.713002113887057</v>
      </c>
      <c r="AR299" s="49">
        <f>STANDARDIZE(AQ299,AVERAGE($AQ$5:$AQ$537),STDEVP($AQ$5:$AQ$537))</f>
        <v>-0.46365388609129699</v>
      </c>
      <c r="AS299" s="47" t="str">
        <f>IF(AND(Z299&lt;&gt;"-",Y299&gt;1),"C",IF(AB299=MAX(AB299:AD299),"2B",IF(AD299=MAX(AB299:AD299),"SS",IF(OR(AC299=MAX(AA299:AD299),AND(AC299&lt;&gt;"-",AC299&gt;4,V299&gt;5)),"3B",IF(AF299=MAX(AE299:AG299),"CF",IF(AND(AG299=MAX(AE299,AG299),AND(W299&gt;5,AG299&lt;&gt;"-")),"RF",IF(AE299&lt;&gt;"-","LF",IF(AA299&lt;&gt;"-","1B","DH"))))))))</f>
        <v>LF</v>
      </c>
      <c r="AT299" s="47"/>
      <c r="AU299" s="47"/>
      <c r="AV299" s="47"/>
      <c r="AW299" s="47" t="str">
        <f>IF(AND($Q299&gt;=6,AVERAGE($S299:$T299)&gt;=6),"Likely",IF(OR($Q299&gt;6,AND($Q299=6,AVERAGE($S299:$T299)&gt;=3),AND($Q299&gt;=5,AVERAGE($S299:$T299)&gt;=5),AVERAGE($Q299,$S299:$T299)&gt;5),"Possible","Unlikely"))</f>
        <v>Unlikely</v>
      </c>
      <c r="AX299" s="47"/>
      <c r="AY299" s="47" t="str">
        <f>INDEX(Table5[[#All],[Ovr]],MATCH(Batters[[#This Row],[PID]],Table5[[#All],[PID]],0))</f>
        <v/>
      </c>
      <c r="AZ299" s="47" t="str">
        <f>INDEX(Table5[[#All],[Rnd]],MATCH(Batters[[#This Row],[PID]],Table5[[#All],[PID]],0))</f>
        <v/>
      </c>
      <c r="BA299" s="47" t="str">
        <f>INDEX(Table5[[#All],[Pick]],MATCH(Batters[[#This Row],[PID]],Table5[[#All],[PID]],0))</f>
        <v/>
      </c>
      <c r="BB299" s="47" t="str">
        <f>INDEX(Table5[[#All],[Team]],MATCH(Batters[[#This Row],[PID]],Table5[[#All],[PID]],0))</f>
        <v/>
      </c>
    </row>
    <row r="300" spans="1:54" ht="15" customHeight="1" x14ac:dyDescent="0.25">
      <c r="A300" s="42">
        <v>17844</v>
      </c>
      <c r="B300" s="42" t="s">
        <v>72</v>
      </c>
      <c r="C300" s="42" t="s">
        <v>1130</v>
      </c>
      <c r="D300" s="42" t="s">
        <v>644</v>
      </c>
      <c r="E300" s="42">
        <v>18</v>
      </c>
      <c r="F300" s="42" t="s">
        <v>42</v>
      </c>
      <c r="G300" s="42" t="s">
        <v>42</v>
      </c>
      <c r="H300" s="43" t="s">
        <v>709</v>
      </c>
      <c r="I300" s="44" t="s">
        <v>47</v>
      </c>
      <c r="J300" s="42" t="s">
        <v>43</v>
      </c>
      <c r="K300" s="43" t="s">
        <v>43</v>
      </c>
      <c r="L300" s="42">
        <v>1</v>
      </c>
      <c r="M300" s="42">
        <v>1</v>
      </c>
      <c r="N300" s="42">
        <v>2</v>
      </c>
      <c r="O300" s="42">
        <v>1</v>
      </c>
      <c r="P300" s="43">
        <v>1</v>
      </c>
      <c r="Q300" s="42">
        <v>2</v>
      </c>
      <c r="R300" s="42">
        <v>3</v>
      </c>
      <c r="S300" s="42">
        <v>4</v>
      </c>
      <c r="T300" s="42">
        <v>5</v>
      </c>
      <c r="U300" s="43">
        <v>3</v>
      </c>
      <c r="V300" s="42">
        <v>9</v>
      </c>
      <c r="W300" s="42">
        <v>8</v>
      </c>
      <c r="X300" s="42">
        <v>1</v>
      </c>
      <c r="Y300" s="43">
        <v>1</v>
      </c>
      <c r="Z300" s="42" t="s">
        <v>45</v>
      </c>
      <c r="AA300" s="42" t="s">
        <v>45</v>
      </c>
      <c r="AB300" s="42" t="s">
        <v>45</v>
      </c>
      <c r="AC300" s="42" t="s">
        <v>45</v>
      </c>
      <c r="AD300" s="42">
        <v>4</v>
      </c>
      <c r="AE300" s="42" t="s">
        <v>45</v>
      </c>
      <c r="AF300" s="42" t="s">
        <v>45</v>
      </c>
      <c r="AG300" s="43" t="s">
        <v>45</v>
      </c>
      <c r="AH300" s="42">
        <v>3</v>
      </c>
      <c r="AI300" s="42">
        <v>5</v>
      </c>
      <c r="AJ300" s="43">
        <v>3</v>
      </c>
      <c r="AK300" s="45" t="s">
        <v>599</v>
      </c>
      <c r="AL300" s="45" t="s">
        <v>705</v>
      </c>
      <c r="AM300" s="46">
        <f>($L$3*(L300-$Q$1)/$Q$2+$M$3*(M300-$R$1)/$R$2+$N$3*(N300-$S$1)/$S$2+$O$3*(O300-$T$1)/$T$2+$P$3*(P300-$U$1)/$U$2)/(SUM($L$3:$P$3))</f>
        <v>-2.0012818558036707</v>
      </c>
      <c r="AN300" s="46">
        <f>($L$3*(Q300-$Q$1)/$Q$2+$M$3*(R300-$R$1)/$R$2+$N$3*(S300-$S$1)/$S$2+$O$3*(T300-$T$1)/$T$2+$P$3*(U300-$U$1)/$U$2)/(SUM($L$3:$P$3))</f>
        <v>-0.97161239264329491</v>
      </c>
      <c r="AO300" s="47">
        <f>IF(AVERAGE(AH300:AI300)&gt;9,1,0)+IF(AVERAGE(AH300:AI300)&gt;7,1,0)+IF(AH300&gt;7,1,0)+IF(AI300&gt;7,1,0)+IF(AJ300&gt;8,1,0)+IF(AJ300&gt;6,1,0)</f>
        <v>0</v>
      </c>
      <c r="AP300" s="48">
        <f>MIN(2,IF(OR(Z300="-",X300&lt;5),0,1+IF(Y300&gt;7,0.35,IF(Y300&gt;5,0.1,0))+IF(Z300&gt;7,1+IF(X300&gt;7,0.25,0),IF(Z300&gt;4,0.5+IF(X300&gt;7,0.25,0),0+IF(X300&gt;7,0.25))))+IF(AA300="-",0,IF(AA300&gt;9,0.5,IF(AA300&gt;7,0.25,0)))+IF(AB300="-",0,IF(AB300&gt;7,1.1,IF(AB300&gt;4,0.6,0)))+IF(OR(AC300="-",V300&lt;5),0,IF(AC300&gt;7,1+IF(V300&gt;7,0.25,0),IF(AC300&gt;4,0.5+IF(V300&gt;7,0.25,0),0)))+IF(AD300="-",0,IF(AD300&gt;7,1.5,IF(AD300&gt;4,1,0)))+IF(AE300="-",0,IF(AE300&gt;9,0.5,IF(AE300&gt;7,0.25,0)))+IF(AF300="-",0,IF(AF300&gt;7,1.25,IF(AF300&gt;4,0.75,0)))+IF(OR(AG300="-",W300&lt;4),0,IF(AG300&gt;7,1+IF(W300&gt;7,0.15,0),IF(AG300&gt;4,0.5+IF(W300&gt;7,0.15,0),0))))</f>
        <v>0</v>
      </c>
      <c r="AQ300" s="46">
        <f>($AM$3*AM300+$AN$3*AN300+$AO$3*AO300+$AP$3*AP300)+$I$3*VLOOKUP(I300,COND!$A$2:$E$7,4,FALSE)+$J$3*VLOOKUP(J300,COND!$A$2:$C$7,2,FALSE)+$K$3*VLOOKUP(K300,COND!$A$2:$C$7,3,FALSE)+IF(AND($B$2&gt;0,$E300&lt;20),$B$2*25,0)</f>
        <v>38.365523102700095</v>
      </c>
      <c r="AR300" s="49">
        <f>STANDARDIZE(AQ300,AVERAGE($AQ$5:$AQ$537),STDEVP($AQ$5:$AQ$537))</f>
        <v>-0.34884715496209484</v>
      </c>
      <c r="AS300" s="47" t="str">
        <f>IF(AND(Z300&lt;&gt;"-",Y300&gt;1),"C",IF(AB300=MAX(AB300:AD300),"2B",IF(AD300=MAX(AB300:AD300),"SS",IF(OR(AC300=MAX(AA300:AD300),AND(AC300&lt;&gt;"-",AC300&gt;4,V300&gt;5)),"3B",IF(AF300=MAX(AE300:AG300),"CF",IF(AND(AG300=MAX(AE300,AG300),AND(W300&gt;5,AG300&lt;&gt;"-")),"RF",IF(AE300&lt;&gt;"-","LF",IF(AA300&lt;&gt;"-","1B","DH"))))))))</f>
        <v>SS</v>
      </c>
      <c r="AT300" s="47"/>
      <c r="AU300" s="47"/>
      <c r="AV300" s="47"/>
      <c r="AW300" s="47" t="str">
        <f>IF(AND($Q300&gt;=6,AVERAGE($S300:$T300)&gt;=6),"Likely",IF(OR($Q300&gt;6,AND($Q300=6,AVERAGE($S300:$T300)&gt;=3),AND($Q300&gt;=5,AVERAGE($S300:$T300)&gt;=5),AVERAGE($Q300,$S300:$T300)&gt;5),"Possible","Unlikely"))</f>
        <v>Unlikely</v>
      </c>
      <c r="AX300" s="47"/>
      <c r="AY300" s="47" t="str">
        <f>INDEX(Table5[[#All],[Ovr]],MATCH(Batters[[#This Row],[PID]],Table5[[#All],[PID]],0))</f>
        <v/>
      </c>
      <c r="AZ300" s="47" t="str">
        <f>INDEX(Table5[[#All],[Rnd]],MATCH(Batters[[#This Row],[PID]],Table5[[#All],[PID]],0))</f>
        <v/>
      </c>
      <c r="BA300" s="47" t="str">
        <f>INDEX(Table5[[#All],[Pick]],MATCH(Batters[[#This Row],[PID]],Table5[[#All],[PID]],0))</f>
        <v/>
      </c>
      <c r="BB300" s="47" t="str">
        <f>INDEX(Table5[[#All],[Team]],MATCH(Batters[[#This Row],[PID]],Table5[[#All],[PID]],0))</f>
        <v/>
      </c>
    </row>
    <row r="301" spans="1:54" ht="15" customHeight="1" x14ac:dyDescent="0.25">
      <c r="A301" s="42">
        <v>6264</v>
      </c>
      <c r="B301" s="42" t="s">
        <v>50</v>
      </c>
      <c r="C301" s="42" t="s">
        <v>1242</v>
      </c>
      <c r="D301" s="42" t="s">
        <v>613</v>
      </c>
      <c r="E301" s="42">
        <v>18</v>
      </c>
      <c r="F301" s="42" t="s">
        <v>53</v>
      </c>
      <c r="G301" s="42" t="s">
        <v>53</v>
      </c>
      <c r="H301" s="43" t="s">
        <v>721</v>
      </c>
      <c r="I301" s="44" t="s">
        <v>43</v>
      </c>
      <c r="J301" s="42" t="s">
        <v>44</v>
      </c>
      <c r="K301" s="43" t="s">
        <v>43</v>
      </c>
      <c r="L301" s="42">
        <v>1</v>
      </c>
      <c r="M301" s="42">
        <v>2</v>
      </c>
      <c r="N301" s="42">
        <v>2</v>
      </c>
      <c r="O301" s="42">
        <v>1</v>
      </c>
      <c r="P301" s="43">
        <v>2</v>
      </c>
      <c r="Q301" s="42">
        <v>3</v>
      </c>
      <c r="R301" s="42">
        <v>3</v>
      </c>
      <c r="S301" s="42">
        <v>3</v>
      </c>
      <c r="T301" s="42">
        <v>3</v>
      </c>
      <c r="U301" s="43">
        <v>4</v>
      </c>
      <c r="V301" s="42">
        <v>2</v>
      </c>
      <c r="W301" s="42">
        <v>4</v>
      </c>
      <c r="X301" s="42">
        <v>1</v>
      </c>
      <c r="Y301" s="43">
        <v>1</v>
      </c>
      <c r="Z301" s="42" t="s">
        <v>45</v>
      </c>
      <c r="AA301" s="42" t="s">
        <v>45</v>
      </c>
      <c r="AB301" s="42" t="s">
        <v>45</v>
      </c>
      <c r="AC301" s="42" t="s">
        <v>45</v>
      </c>
      <c r="AD301" s="42" t="s">
        <v>45</v>
      </c>
      <c r="AE301" s="42" t="s">
        <v>45</v>
      </c>
      <c r="AF301" s="42" t="s">
        <v>45</v>
      </c>
      <c r="AG301" s="43" t="s">
        <v>45</v>
      </c>
      <c r="AH301" s="42">
        <v>2</v>
      </c>
      <c r="AI301" s="42">
        <v>1</v>
      </c>
      <c r="AJ301" s="43">
        <v>1</v>
      </c>
      <c r="AK301" s="45" t="s">
        <v>615</v>
      </c>
      <c r="AL301" s="45" t="s">
        <v>47</v>
      </c>
      <c r="AM301" s="46">
        <f>($L$3*(L301-$Q$1)/$Q$2+$M$3*(M301-$R$1)/$R$2+$N$3*(N301-$S$1)/$S$2+$O$3*(O301-$T$1)/$T$2+$P$3*(P301-$U$1)/$U$2)/(SUM($L$3:$P$3))</f>
        <v>-1.9102056363678834</v>
      </c>
      <c r="AN301" s="46">
        <f>($L$3*(Q301-$Q$1)/$Q$2+$M$3*(R301-$R$1)/$R$2+$N$3*(S301-$S$1)/$S$2+$O$3*(T301-$T$1)/$T$2+$P$3*(U301-$U$1)/$U$2)/(SUM($L$3:$P$3))</f>
        <v>-0.87152081066660003</v>
      </c>
      <c r="AO301" s="47">
        <f>IF(AVERAGE(AH301:AI301)&gt;9,1,0)+IF(AVERAGE(AH301:AI301)&gt;7,1,0)+IF(AH301&gt;7,1,0)+IF(AI301&gt;7,1,0)+IF(AJ301&gt;8,1,0)+IF(AJ301&gt;6,1,0)</f>
        <v>0</v>
      </c>
      <c r="AP301" s="48">
        <f>MIN(2,IF(OR(Z301="-",X301&lt;5),0,1+IF(Y301&gt;7,0.35,IF(Y301&gt;5,0.1,0))+IF(Z301&gt;7,1+IF(X301&gt;7,0.25,0),IF(Z301&gt;4,0.5+IF(X301&gt;7,0.25,0),0+IF(X301&gt;7,0.25))))+IF(AA301="-",0,IF(AA301&gt;9,0.5,IF(AA301&gt;7,0.25,0)))+IF(AB301="-",0,IF(AB301&gt;7,1.1,IF(AB301&gt;4,0.6,0)))+IF(OR(AC301="-",V301&lt;5),0,IF(AC301&gt;7,1+IF(V301&gt;7,0.25,0),IF(AC301&gt;4,0.5+IF(V301&gt;7,0.25,0),0)))+IF(AD301="-",0,IF(AD301&gt;7,1.5,IF(AD301&gt;4,1,0)))+IF(AE301="-",0,IF(AE301&gt;9,0.5,IF(AE301&gt;7,0.25,0)))+IF(AF301="-",0,IF(AF301&gt;7,1.25,IF(AF301&gt;4,0.75,0)))+IF(OR(AG301="-",W301&lt;4),0,IF(AG301&gt;7,1+IF(W301&gt;7,0.15,0),IF(AG301&gt;4,0.5+IF(W301&gt;7,0.15,0),0))))</f>
        <v>0</v>
      </c>
      <c r="AQ301" s="46">
        <f>($AM$3*AM301+$AN$3*AN301+$AO$3*AO301+$AP$3*AP301)+$I$3*VLOOKUP(I301,COND!$A$2:$E$7,4,FALSE)+$J$3*VLOOKUP(J301,COND!$A$2:$C$7,2,FALSE)+$K$3*VLOOKUP(K301,COND!$A$2:$C$7,3,FALSE)+IF(AND($B$2&gt;0,$E301&lt;20),$B$2*25,0)</f>
        <v>39.05072970836401</v>
      </c>
      <c r="AR301" s="49">
        <f>STANDARDIZE(AQ301,AVERAGE($AQ$5:$AQ$537),STDEVP($AQ$5:$AQ$537))</f>
        <v>-0.22828960678650664</v>
      </c>
      <c r="AS301" s="47" t="str">
        <f>IF(AND(Z301&lt;&gt;"-",Y301&gt;1),"C",IF(AB301=MAX(AB301:AD301),"2B",IF(AD301=MAX(AB301:AD301),"SS",IF(OR(AC301=MAX(AA301:AD301),AND(AC301&lt;&gt;"-",AC301&gt;4,V301&gt;5)),"3B",IF(AF301=MAX(AE301:AG301),"CF",IF(AND(AG301=MAX(AE301,AG301),AND(W301&gt;5,AG301&lt;&gt;"-")),"RF",IF(AE301&lt;&gt;"-","LF",IF(AA301&lt;&gt;"-","1B","DH"))))))))</f>
        <v>DH</v>
      </c>
      <c r="AT301" s="47"/>
      <c r="AU301" s="47"/>
      <c r="AV301" s="47"/>
      <c r="AW301" s="47" t="str">
        <f>IF(AND($Q301&gt;=6,AVERAGE($S301:$T301)&gt;=6),"Likely",IF(OR($Q301&gt;6,AND($Q301=6,AVERAGE($S301:$T301)&gt;=3),AND($Q301&gt;=5,AVERAGE($S301:$T301)&gt;=5),AVERAGE($Q301,$S301:$T301)&gt;5),"Possible","Unlikely"))</f>
        <v>Unlikely</v>
      </c>
      <c r="AX301" s="47"/>
      <c r="AY301" s="47" t="str">
        <f>INDEX(Table5[[#All],[Ovr]],MATCH(Batters[[#This Row],[PID]],Table5[[#All],[PID]],0))</f>
        <v/>
      </c>
      <c r="AZ301" s="47" t="str">
        <f>INDEX(Table5[[#All],[Rnd]],MATCH(Batters[[#This Row],[PID]],Table5[[#All],[PID]],0))</f>
        <v/>
      </c>
      <c r="BA301" s="47" t="str">
        <f>INDEX(Table5[[#All],[Pick]],MATCH(Batters[[#This Row],[PID]],Table5[[#All],[PID]],0))</f>
        <v/>
      </c>
      <c r="BB301" s="47" t="str">
        <f>INDEX(Table5[[#All],[Team]],MATCH(Batters[[#This Row],[PID]],Table5[[#All],[PID]],0))</f>
        <v/>
      </c>
    </row>
    <row r="302" spans="1:54" ht="15" customHeight="1" x14ac:dyDescent="0.25">
      <c r="A302" s="42">
        <v>6104</v>
      </c>
      <c r="B302" s="42" t="s">
        <v>86</v>
      </c>
      <c r="C302" s="42" t="s">
        <v>193</v>
      </c>
      <c r="D302" s="42" t="s">
        <v>205</v>
      </c>
      <c r="E302" s="42">
        <v>18</v>
      </c>
      <c r="F302" s="42" t="s">
        <v>42</v>
      </c>
      <c r="G302" s="42" t="s">
        <v>42</v>
      </c>
      <c r="H302" s="43" t="s">
        <v>709</v>
      </c>
      <c r="I302" s="44" t="s">
        <v>43</v>
      </c>
      <c r="J302" s="42" t="s">
        <v>43</v>
      </c>
      <c r="K302" s="43" t="s">
        <v>44</v>
      </c>
      <c r="L302" s="42">
        <v>1</v>
      </c>
      <c r="M302" s="42">
        <v>1</v>
      </c>
      <c r="N302" s="42">
        <v>2</v>
      </c>
      <c r="O302" s="42">
        <v>1</v>
      </c>
      <c r="P302" s="43">
        <v>1</v>
      </c>
      <c r="Q302" s="42">
        <v>3</v>
      </c>
      <c r="R302" s="42">
        <v>2</v>
      </c>
      <c r="S302" s="42">
        <v>3</v>
      </c>
      <c r="T302" s="42">
        <v>4</v>
      </c>
      <c r="U302" s="43">
        <v>3</v>
      </c>
      <c r="V302" s="42">
        <v>2</v>
      </c>
      <c r="W302" s="42">
        <v>1</v>
      </c>
      <c r="X302" s="42">
        <v>3</v>
      </c>
      <c r="Y302" s="43">
        <v>9</v>
      </c>
      <c r="Z302" s="42">
        <v>2</v>
      </c>
      <c r="AA302" s="42" t="s">
        <v>45</v>
      </c>
      <c r="AB302" s="42" t="s">
        <v>45</v>
      </c>
      <c r="AC302" s="42" t="s">
        <v>45</v>
      </c>
      <c r="AD302" s="42" t="s">
        <v>45</v>
      </c>
      <c r="AE302" s="42" t="s">
        <v>45</v>
      </c>
      <c r="AF302" s="42" t="s">
        <v>45</v>
      </c>
      <c r="AG302" s="43" t="s">
        <v>45</v>
      </c>
      <c r="AH302" s="42">
        <v>1</v>
      </c>
      <c r="AI302" s="42">
        <v>3</v>
      </c>
      <c r="AJ302" s="43">
        <v>4</v>
      </c>
      <c r="AK302" s="45" t="s">
        <v>730</v>
      </c>
      <c r="AL302" s="45" t="s">
        <v>705</v>
      </c>
      <c r="AM302" s="46">
        <f>($L$3*(L302-$Q$1)/$Q$2+$M$3*(M302-$R$1)/$R$2+$N$3*(N302-$S$1)/$S$2+$O$3*(O302-$T$1)/$T$2+$P$3*(P302-$U$1)/$U$2)/(SUM($L$3:$P$3))</f>
        <v>-2.0012818558036707</v>
      </c>
      <c r="AN302" s="46">
        <f>($L$3*(Q302-$Q$1)/$Q$2+$M$3*(R302-$R$1)/$R$2+$N$3*(S302-$S$1)/$S$2+$O$3*(T302-$T$1)/$T$2+$P$3*(U302-$U$1)/$U$2)/(SUM($L$3:$P$3))</f>
        <v>-0.87288748009280615</v>
      </c>
      <c r="AO302" s="47">
        <f>IF(AVERAGE(AH302:AI302)&gt;9,1,0)+IF(AVERAGE(AH302:AI302)&gt;7,1,0)+IF(AH302&gt;7,1,0)+IF(AI302&gt;7,1,0)+IF(AJ302&gt;8,1,0)+IF(AJ302&gt;6,1,0)</f>
        <v>0</v>
      </c>
      <c r="AP302" s="48">
        <f>MIN(2,IF(OR(Z302="-",X302&lt;5),0,1+IF(Y302&gt;7,0.35,IF(Y302&gt;5,0.1,0))+IF(Z302&gt;7,1+IF(X302&gt;7,0.25,0),IF(Z302&gt;4,0.5+IF(X302&gt;7,0.25,0),0+IF(X302&gt;7,0.25))))+IF(AA302="-",0,IF(AA302&gt;9,0.5,IF(AA302&gt;7,0.25,0)))+IF(AB302="-",0,IF(AB302&gt;7,1.1,IF(AB302&gt;4,0.6,0)))+IF(OR(AC302="-",V302&lt;5),0,IF(AC302&gt;7,1+IF(V302&gt;7,0.25,0),IF(AC302&gt;4,0.5+IF(V302&gt;7,0.25,0),0)))+IF(AD302="-",0,IF(AD302&gt;7,1.5,IF(AD302&gt;4,1,0)))+IF(AE302="-",0,IF(AE302&gt;9,0.5,IF(AE302&gt;7,0.25,0)))+IF(AF302="-",0,IF(AF302&gt;7,1.25,IF(AF302&gt;4,0.75,0)))+IF(OR(AG302="-",W302&lt;4),0,IF(AG302&gt;7,1+IF(W302&gt;7,0.15,0),IF(AG302&gt;4,0.5+IF(W302&gt;7,0.15,0),0))))</f>
        <v>0</v>
      </c>
      <c r="AQ302" s="46">
        <f>($AM$3*AM302+$AN$3*AN302+$AO$3*AO302+$AP$3*AP302)+$I$3*VLOOKUP(I302,COND!$A$2:$E$7,4,FALSE)+$J$3*VLOOKUP(J302,COND!$A$2:$C$7,2,FALSE)+$K$3*VLOOKUP(K302,COND!$A$2:$C$7,3,FALSE)+IF(AND($B$2&gt;0,$E302&lt;20),$B$2*25,0)</f>
        <v>39.025222053305953</v>
      </c>
      <c r="AR302" s="49">
        <f>STANDARDIZE(AQ302,AVERAGE($AQ$5:$AQ$537),STDEVP($AQ$5:$AQ$537))</f>
        <v>-0.23277750916235779</v>
      </c>
      <c r="AS302" s="47" t="str">
        <f>IF(AND(Z302&lt;&gt;"-",Y302&gt;1),"C",IF(AB302=MAX(AB302:AD302),"2B",IF(AD302=MAX(AB302:AD302),"SS",IF(OR(AC302=MAX(AA302:AD302),AND(AC302&lt;&gt;"-",AC302&gt;4,V302&gt;5)),"3B",IF(AF302=MAX(AE302:AG302),"CF",IF(AND(AG302=MAX(AE302,AG302),AND(W302&gt;5,AG302&lt;&gt;"-")),"RF",IF(AE302&lt;&gt;"-","LF",IF(AA302&lt;&gt;"-","1B","DH"))))))))</f>
        <v>C</v>
      </c>
      <c r="AT302" s="47"/>
      <c r="AU302" s="47"/>
      <c r="AV302" s="47"/>
      <c r="AW302" s="47" t="str">
        <f>IF(AND($Q302&gt;=6,AVERAGE($S302:$T302)&gt;=6),"Likely",IF(OR($Q302&gt;6,AND($Q302=6,AVERAGE($S302:$T302)&gt;=3),AND($Q302&gt;=5,AVERAGE($S302:$T302)&gt;=5),AVERAGE($Q302,$S302:$T302)&gt;5),"Possible","Unlikely"))</f>
        <v>Unlikely</v>
      </c>
      <c r="AX302" s="47"/>
      <c r="AY302" s="47" t="str">
        <f>INDEX(Table5[[#All],[Ovr]],MATCH(Batters[[#This Row],[PID]],Table5[[#All],[PID]],0))</f>
        <v/>
      </c>
      <c r="AZ302" s="47" t="str">
        <f>INDEX(Table5[[#All],[Rnd]],MATCH(Batters[[#This Row],[PID]],Table5[[#All],[PID]],0))</f>
        <v/>
      </c>
      <c r="BA302" s="47" t="str">
        <f>INDEX(Table5[[#All],[Pick]],MATCH(Batters[[#This Row],[PID]],Table5[[#All],[PID]],0))</f>
        <v/>
      </c>
      <c r="BB302" s="47" t="str">
        <f>INDEX(Table5[[#All],[Team]],MATCH(Batters[[#This Row],[PID]],Table5[[#All],[PID]],0))</f>
        <v/>
      </c>
    </row>
    <row r="303" spans="1:54" ht="15" customHeight="1" x14ac:dyDescent="0.25">
      <c r="A303" s="42">
        <v>10493</v>
      </c>
      <c r="B303" s="42" t="s">
        <v>66</v>
      </c>
      <c r="C303" s="42" t="s">
        <v>143</v>
      </c>
      <c r="D303" s="42" t="s">
        <v>1316</v>
      </c>
      <c r="E303" s="42">
        <v>21</v>
      </c>
      <c r="F303" s="42" t="s">
        <v>42</v>
      </c>
      <c r="G303" s="42" t="s">
        <v>42</v>
      </c>
      <c r="H303" s="43" t="s">
        <v>709</v>
      </c>
      <c r="I303" s="44" t="s">
        <v>43</v>
      </c>
      <c r="J303" s="42" t="s">
        <v>44</v>
      </c>
      <c r="K303" s="43" t="s">
        <v>43</v>
      </c>
      <c r="L303" s="42">
        <v>2</v>
      </c>
      <c r="M303" s="42">
        <v>3</v>
      </c>
      <c r="N303" s="42">
        <v>3</v>
      </c>
      <c r="O303" s="42">
        <v>3</v>
      </c>
      <c r="P303" s="43">
        <v>1</v>
      </c>
      <c r="Q303" s="42">
        <v>3</v>
      </c>
      <c r="R303" s="42">
        <v>5</v>
      </c>
      <c r="S303" s="42">
        <v>5</v>
      </c>
      <c r="T303" s="42">
        <v>5</v>
      </c>
      <c r="U303" s="43">
        <v>3</v>
      </c>
      <c r="V303" s="42">
        <v>6</v>
      </c>
      <c r="W303" s="42">
        <v>8</v>
      </c>
      <c r="X303" s="42">
        <v>1</v>
      </c>
      <c r="Y303" s="43">
        <v>1</v>
      </c>
      <c r="Z303" s="42" t="s">
        <v>45</v>
      </c>
      <c r="AA303" s="42" t="s">
        <v>45</v>
      </c>
      <c r="AB303" s="42" t="s">
        <v>45</v>
      </c>
      <c r="AC303" s="42" t="s">
        <v>45</v>
      </c>
      <c r="AD303" s="42" t="s">
        <v>45</v>
      </c>
      <c r="AE303" s="42">
        <v>2</v>
      </c>
      <c r="AF303" s="42" t="s">
        <v>45</v>
      </c>
      <c r="AG303" s="43">
        <v>2</v>
      </c>
      <c r="AH303" s="42">
        <v>5</v>
      </c>
      <c r="AI303" s="42">
        <v>3</v>
      </c>
      <c r="AJ303" s="43">
        <v>3</v>
      </c>
      <c r="AK303" s="45" t="s">
        <v>45</v>
      </c>
      <c r="AL303" s="45" t="s">
        <v>47</v>
      </c>
      <c r="AM303" s="46">
        <f>($L$3*(L303-$Q$1)/$Q$2+$M$3*(M303-$R$1)/$R$2+$N$3*(N303-$S$1)/$S$2+$O$3*(O303-$T$1)/$T$2+$P$3*(P303-$U$1)/$U$2)/(SUM($L$3:$P$3))</f>
        <v>-1.3141256663205254</v>
      </c>
      <c r="AN303" s="46">
        <f>($L$3*(Q303-$Q$1)/$Q$2+$M$3*(R303-$R$1)/$R$2+$N$3*(S303-$S$1)/$S$2+$O$3*(T303-$T$1)/$T$2+$P$3*(U303-$U$1)/$U$2)/(SUM($L$3:$P$3))</f>
        <v>-0.46387530317931153</v>
      </c>
      <c r="AO303" s="47">
        <f>IF(AVERAGE(AH303:AI303)&gt;9,1,0)+IF(AVERAGE(AH303:AI303)&gt;7,1,0)+IF(AH303&gt;7,1,0)+IF(AI303&gt;7,1,0)+IF(AJ303&gt;8,1,0)+IF(AJ303&gt;6,1,0)</f>
        <v>0</v>
      </c>
      <c r="AP303" s="48">
        <f>MIN(2,IF(OR(Z303="-",X303&lt;5),0,1+IF(Y303&gt;7,0.35,IF(Y303&gt;5,0.1,0))+IF(Z303&gt;7,1+IF(X303&gt;7,0.25,0),IF(Z303&gt;4,0.5+IF(X303&gt;7,0.25,0),0+IF(X303&gt;7,0.25))))+IF(AA303="-",0,IF(AA303&gt;9,0.5,IF(AA303&gt;7,0.25,0)))+IF(AB303="-",0,IF(AB303&gt;7,1.1,IF(AB303&gt;4,0.6,0)))+IF(OR(AC303="-",V303&lt;5),0,IF(AC303&gt;7,1+IF(V303&gt;7,0.25,0),IF(AC303&gt;4,0.5+IF(V303&gt;7,0.25,0),0)))+IF(AD303="-",0,IF(AD303&gt;7,1.5,IF(AD303&gt;4,1,0)))+IF(AE303="-",0,IF(AE303&gt;9,0.5,IF(AE303&gt;7,0.25,0)))+IF(AF303="-",0,IF(AF303&gt;7,1.25,IF(AF303&gt;4,0.75,0)))+IF(OR(AG303="-",W303&lt;4),0,IF(AG303&gt;7,1+IF(W303&gt;7,0.15,0),IF(AG303&gt;4,0.5+IF(W303&gt;7,0.15,0),0))))</f>
        <v>0</v>
      </c>
      <c r="AQ303" s="46">
        <f>($AM$3*AM303+$AN$3*AN303+$AO$3*AO303+$AP$3*AP303)+$I$3*VLOOKUP(I303,COND!$A$2:$E$7,4,FALSE)+$J$3*VLOOKUP(J303,COND!$A$2:$C$7,2,FALSE)+$K$3*VLOOKUP(K303,COND!$A$2:$C$7,3,FALSE)+IF(AND($B$2&gt;0,$E303&lt;20),$B$2*25,0)</f>
        <v>39.002083795216208</v>
      </c>
      <c r="AR303" s="49">
        <f>STANDARDIZE(AQ303,AVERAGE($AQ$5:$AQ$537),STDEVP($AQ$5:$AQ$537))</f>
        <v>-0.23684853188936544</v>
      </c>
      <c r="AS303" s="47" t="str">
        <f>IF(AND(Z303&lt;&gt;"-",Y303&gt;1),"C",IF(AB303=MAX(AB303:AD303),"2B",IF(AD303=MAX(AB303:AD303),"SS",IF(OR(AC303=MAX(AA303:AD303),AND(AC303&lt;&gt;"-",AC303&gt;4,V303&gt;5)),"3B",IF(AF303=MAX(AE303:AG303),"CF",IF(AND(AG303=MAX(AE303,AG303),AND(W303&gt;5,AG303&lt;&gt;"-")),"RF",IF(AE303&lt;&gt;"-","LF",IF(AA303&lt;&gt;"-","1B","DH"))))))))</f>
        <v>RF</v>
      </c>
      <c r="AT303" s="47"/>
      <c r="AU303" s="47"/>
      <c r="AV303" s="47"/>
      <c r="AW303" s="47" t="str">
        <f>IF(AND($Q303&gt;=6,AVERAGE($S303:$T303)&gt;=6),"Likely",IF(OR($Q303&gt;6,AND($Q303=6,AVERAGE($S303:$T303)&gt;=3),AND($Q303&gt;=5,AVERAGE($S303:$T303)&gt;=5),AVERAGE($Q303,$S303:$T303)&gt;5),"Possible","Unlikely"))</f>
        <v>Unlikely</v>
      </c>
      <c r="AX303" s="47"/>
      <c r="AY303" s="47" t="str">
        <f>INDEX(Table5[[#All],[Ovr]],MATCH(Batters[[#This Row],[PID]],Table5[[#All],[PID]],0))</f>
        <v/>
      </c>
      <c r="AZ303" s="47" t="str">
        <f>INDEX(Table5[[#All],[Rnd]],MATCH(Batters[[#This Row],[PID]],Table5[[#All],[PID]],0))</f>
        <v/>
      </c>
      <c r="BA303" s="47" t="str">
        <f>INDEX(Table5[[#All],[Pick]],MATCH(Batters[[#This Row],[PID]],Table5[[#All],[PID]],0))</f>
        <v/>
      </c>
      <c r="BB303" s="47" t="str">
        <f>INDEX(Table5[[#All],[Team]],MATCH(Batters[[#This Row],[PID]],Table5[[#All],[PID]],0))</f>
        <v/>
      </c>
    </row>
    <row r="304" spans="1:54" ht="15" customHeight="1" x14ac:dyDescent="0.25">
      <c r="A304" s="42">
        <v>6450</v>
      </c>
      <c r="B304" s="42" t="s">
        <v>86</v>
      </c>
      <c r="C304" s="42" t="s">
        <v>126</v>
      </c>
      <c r="D304" s="42" t="s">
        <v>201</v>
      </c>
      <c r="E304" s="42">
        <v>18</v>
      </c>
      <c r="F304" s="42" t="s">
        <v>62</v>
      </c>
      <c r="G304" s="42" t="s">
        <v>42</v>
      </c>
      <c r="H304" s="43" t="s">
        <v>709</v>
      </c>
      <c r="I304" s="44" t="s">
        <v>43</v>
      </c>
      <c r="J304" s="42" t="s">
        <v>43</v>
      </c>
      <c r="K304" s="43" t="s">
        <v>43</v>
      </c>
      <c r="L304" s="42">
        <v>1</v>
      </c>
      <c r="M304" s="42">
        <v>2</v>
      </c>
      <c r="N304" s="42">
        <v>3</v>
      </c>
      <c r="O304" s="42">
        <v>2</v>
      </c>
      <c r="P304" s="43">
        <v>1</v>
      </c>
      <c r="Q304" s="42">
        <v>2</v>
      </c>
      <c r="R304" s="42">
        <v>4</v>
      </c>
      <c r="S304" s="42">
        <v>4</v>
      </c>
      <c r="T304" s="42">
        <v>5</v>
      </c>
      <c r="U304" s="43">
        <v>2</v>
      </c>
      <c r="V304" s="42">
        <v>1</v>
      </c>
      <c r="W304" s="42">
        <v>1</v>
      </c>
      <c r="X304" s="42">
        <v>3</v>
      </c>
      <c r="Y304" s="43">
        <v>6</v>
      </c>
      <c r="Z304" s="42" t="s">
        <v>45</v>
      </c>
      <c r="AA304" s="42" t="s">
        <v>45</v>
      </c>
      <c r="AB304" s="42" t="s">
        <v>45</v>
      </c>
      <c r="AC304" s="42" t="s">
        <v>45</v>
      </c>
      <c r="AD304" s="42" t="s">
        <v>45</v>
      </c>
      <c r="AE304" s="42" t="s">
        <v>45</v>
      </c>
      <c r="AF304" s="42" t="s">
        <v>45</v>
      </c>
      <c r="AG304" s="43" t="s">
        <v>45</v>
      </c>
      <c r="AH304" s="42">
        <v>1</v>
      </c>
      <c r="AI304" s="42">
        <v>3</v>
      </c>
      <c r="AJ304" s="43">
        <v>2</v>
      </c>
      <c r="AK304" s="45" t="s">
        <v>718</v>
      </c>
      <c r="AL304" s="45" t="s">
        <v>47</v>
      </c>
      <c r="AM304" s="46">
        <f>($L$3*(L304-$Q$1)/$Q$2+$M$3*(M304-$R$1)/$R$2+$N$3*(N304-$S$1)/$S$2+$O$3*(O304-$T$1)/$T$2+$P$3*(P304-$U$1)/$U$2)/(SUM($L$3:$P$3))</f>
        <v>-1.7774509321514844</v>
      </c>
      <c r="AN304" s="46">
        <f>($L$3*(Q304-$Q$1)/$Q$2+$M$3*(R304-$R$1)/$R$2+$N$3*(S304-$S$1)/$S$2+$O$3*(T304-$T$1)/$T$2+$P$3*(U304-$U$1)/$U$2)/(SUM($L$3:$P$3))</f>
        <v>-0.96056885284167481</v>
      </c>
      <c r="AO304" s="47">
        <f>IF(AVERAGE(AH304:AI304)&gt;9,1,0)+IF(AVERAGE(AH304:AI304)&gt;7,1,0)+IF(AH304&gt;7,1,0)+IF(AI304&gt;7,1,0)+IF(AJ304&gt;8,1,0)+IF(AJ304&gt;6,1,0)</f>
        <v>0</v>
      </c>
      <c r="AP304" s="48">
        <f>MIN(2,IF(OR(Z304="-",X304&lt;5),0,1+IF(Y304&gt;7,0.35,IF(Y304&gt;5,0.1,0))+IF(Z304&gt;7,1+IF(X304&gt;7,0.25,0),IF(Z304&gt;4,0.5+IF(X304&gt;7,0.25,0),0+IF(X304&gt;7,0.25))))+IF(AA304="-",0,IF(AA304&gt;9,0.5,IF(AA304&gt;7,0.25,0)))+IF(AB304="-",0,IF(AB304&gt;7,1.1,IF(AB304&gt;4,0.6,0)))+IF(OR(AC304="-",V304&lt;5),0,IF(AC304&gt;7,1+IF(V304&gt;7,0.25,0),IF(AC304&gt;4,0.5+IF(V304&gt;7,0.25,0),0)))+IF(AD304="-",0,IF(AD304&gt;7,1.5,IF(AD304&gt;4,1,0)))+IF(AE304="-",0,IF(AE304&gt;9,0.5,IF(AE304&gt;7,0.25,0)))+IF(AF304="-",0,IF(AF304&gt;7,1.25,IF(AF304&gt;4,0.75,0)))+IF(OR(AG304="-",W304&lt;4),0,IF(AG304&gt;7,1+IF(W304&gt;7,0.15,0),IF(AG304&gt;4,0.5+IF(W304&gt;7,0.15,0),0))))</f>
        <v>0</v>
      </c>
      <c r="AQ304" s="46">
        <f>($AM$3*AM304+$AN$3*AN304+$AO$3*AO304+$AP$3*AP304)+$I$3*VLOOKUP(I304,COND!$A$2:$E$7,4,FALSE)+$J$3*VLOOKUP(J304,COND!$A$2:$C$7,2,FALSE)+$K$3*VLOOKUP(K304,COND!$A$2:$C$7,3,FALSE)+IF(AND($B$2&gt;0,$E304&lt;20),$B$2*25,0)</f>
        <v>38.29542867268475</v>
      </c>
      <c r="AR304" s="49">
        <f>STANDARDIZE(AQ304,AVERAGE($AQ$5:$AQ$537),STDEVP($AQ$5:$AQ$537))</f>
        <v>-0.36117980405444788</v>
      </c>
      <c r="AS304" s="47" t="str">
        <f>IF(AND(Z304&lt;&gt;"-",Y304&gt;1),"C",IF(AB304=MAX(AB304:AD304),"2B",IF(AD304=MAX(AB304:AD304),"SS",IF(OR(AC304=MAX(AA304:AD304),AND(AC304&lt;&gt;"-",AC304&gt;4,V304&gt;5)),"3B",IF(AF304=MAX(AE304:AG304),"CF",IF(AND(AG304=MAX(AE304,AG304),AND(W304&gt;5,AG304&lt;&gt;"-")),"RF",IF(AE304&lt;&gt;"-","LF",IF(AA304&lt;&gt;"-","1B","DH"))))))))</f>
        <v>DH</v>
      </c>
      <c r="AT304" s="47"/>
      <c r="AU304" s="47"/>
      <c r="AV304" s="47"/>
      <c r="AW304" s="47" t="str">
        <f>IF(AND($Q304&gt;=6,AVERAGE($S304:$T304)&gt;=6),"Likely",IF(OR($Q304&gt;6,AND($Q304=6,AVERAGE($S304:$T304)&gt;=3),AND($Q304&gt;=5,AVERAGE($S304:$T304)&gt;=5),AVERAGE($Q304,$S304:$T304)&gt;5),"Possible","Unlikely"))</f>
        <v>Unlikely</v>
      </c>
      <c r="AX304" s="47"/>
      <c r="AY304" s="47" t="str">
        <f>INDEX(Table5[[#All],[Ovr]],MATCH(Batters[[#This Row],[PID]],Table5[[#All],[PID]],0))</f>
        <v/>
      </c>
      <c r="AZ304" s="47" t="str">
        <f>INDEX(Table5[[#All],[Rnd]],MATCH(Batters[[#This Row],[PID]],Table5[[#All],[PID]],0))</f>
        <v/>
      </c>
      <c r="BA304" s="47" t="str">
        <f>INDEX(Table5[[#All],[Pick]],MATCH(Batters[[#This Row],[PID]],Table5[[#All],[PID]],0))</f>
        <v/>
      </c>
      <c r="BB304" s="47" t="str">
        <f>INDEX(Table5[[#All],[Team]],MATCH(Batters[[#This Row],[PID]],Table5[[#All],[PID]],0))</f>
        <v/>
      </c>
    </row>
    <row r="305" spans="1:54" ht="15" customHeight="1" x14ac:dyDescent="0.25">
      <c r="A305" s="42">
        <v>7566</v>
      </c>
      <c r="B305" s="42" t="s">
        <v>71</v>
      </c>
      <c r="C305" s="42" t="s">
        <v>291</v>
      </c>
      <c r="D305" s="42" t="s">
        <v>742</v>
      </c>
      <c r="E305" s="42">
        <v>18</v>
      </c>
      <c r="F305" s="42" t="s">
        <v>42</v>
      </c>
      <c r="G305" s="42" t="s">
        <v>42</v>
      </c>
      <c r="H305" s="43" t="s">
        <v>711</v>
      </c>
      <c r="I305" s="44" t="s">
        <v>43</v>
      </c>
      <c r="J305" s="42" t="s">
        <v>47</v>
      </c>
      <c r="K305" s="43" t="s">
        <v>43</v>
      </c>
      <c r="L305" s="42">
        <v>1</v>
      </c>
      <c r="M305" s="42">
        <v>2</v>
      </c>
      <c r="N305" s="42">
        <v>2</v>
      </c>
      <c r="O305" s="42">
        <v>2</v>
      </c>
      <c r="P305" s="43">
        <v>1</v>
      </c>
      <c r="Q305" s="42">
        <v>2</v>
      </c>
      <c r="R305" s="42">
        <v>4</v>
      </c>
      <c r="S305" s="42">
        <v>3</v>
      </c>
      <c r="T305" s="42">
        <v>5</v>
      </c>
      <c r="U305" s="43">
        <v>2</v>
      </c>
      <c r="V305" s="42">
        <v>8</v>
      </c>
      <c r="W305" s="42">
        <v>8</v>
      </c>
      <c r="X305" s="42">
        <v>1</v>
      </c>
      <c r="Y305" s="43">
        <v>1</v>
      </c>
      <c r="Z305" s="42" t="s">
        <v>45</v>
      </c>
      <c r="AA305" s="42" t="s">
        <v>45</v>
      </c>
      <c r="AB305" s="42">
        <v>3</v>
      </c>
      <c r="AC305" s="42" t="s">
        <v>45</v>
      </c>
      <c r="AD305" s="42" t="s">
        <v>45</v>
      </c>
      <c r="AE305" s="42" t="s">
        <v>45</v>
      </c>
      <c r="AF305" s="42" t="s">
        <v>45</v>
      </c>
      <c r="AG305" s="43" t="s">
        <v>45</v>
      </c>
      <c r="AH305" s="42">
        <v>7</v>
      </c>
      <c r="AI305" s="42">
        <v>6</v>
      </c>
      <c r="AJ305" s="43">
        <v>5</v>
      </c>
      <c r="AK305" s="45" t="s">
        <v>758</v>
      </c>
      <c r="AL305" s="45" t="s">
        <v>47</v>
      </c>
      <c r="AM305" s="46">
        <f>($L$3*(L305-$Q$1)/$Q$2+$M$3*(M305-$R$1)/$R$2+$N$3*(N305-$S$1)/$S$2+$O$3*(O305-$T$1)/$T$2+$P$3*(P305-$U$1)/$U$2)/(SUM($L$3:$P$3))</f>
        <v>-1.8605124261753858</v>
      </c>
      <c r="AN305" s="46">
        <f>($L$3*(Q305-$Q$1)/$Q$2+$M$3*(R305-$R$1)/$R$2+$N$3*(S305-$S$1)/$S$2+$O$3*(T305-$T$1)/$T$2+$P$3*(U305-$U$1)/$U$2)/(SUM($L$3:$P$3))</f>
        <v>-1.0436303468655763</v>
      </c>
      <c r="AO305" s="47">
        <f>IF(AVERAGE(AH305:AI305)&gt;9,1,0)+IF(AVERAGE(AH305:AI305)&gt;7,1,0)+IF(AH305&gt;7,1,0)+IF(AI305&gt;7,1,0)+IF(AJ305&gt;8,1,0)+IF(AJ305&gt;6,1,0)</f>
        <v>0</v>
      </c>
      <c r="AP305" s="48">
        <f>MIN(2,IF(OR(Z305="-",X305&lt;5),0,1+IF(Y305&gt;7,0.35,IF(Y305&gt;5,0.1,0))+IF(Z305&gt;7,1+IF(X305&gt;7,0.25,0),IF(Z305&gt;4,0.5+IF(X305&gt;7,0.25,0),0+IF(X305&gt;7,0.25))))+IF(AA305="-",0,IF(AA305&gt;9,0.5,IF(AA305&gt;7,0.25,0)))+IF(AB305="-",0,IF(AB305&gt;7,1.1,IF(AB305&gt;4,0.6,0)))+IF(OR(AC305="-",V305&lt;5),0,IF(AC305&gt;7,1+IF(V305&gt;7,0.25,0),IF(AC305&gt;4,0.5+IF(V305&gt;7,0.25,0),0)))+IF(AD305="-",0,IF(AD305&gt;7,1.5,IF(AD305&gt;4,1,0)))+IF(AE305="-",0,IF(AE305&gt;9,0.5,IF(AE305&gt;7,0.25,0)))+IF(AF305="-",0,IF(AF305&gt;7,1.25,IF(AF305&gt;4,0.75,0)))+IF(OR(AG305="-",W305&lt;4),0,IF(AG305&gt;7,1+IF(W305&gt;7,0.15,0),IF(AG305&gt;4,0.5+IF(W305&gt;7,0.15,0),0))))</f>
        <v>0</v>
      </c>
      <c r="AQ305" s="46">
        <f>($AM$3*AM305+$AN$3*AN305+$AO$3*AO305+$AP$3*AP305)+$I$3*VLOOKUP(I305,COND!$A$2:$E$7,4,FALSE)+$J$3*VLOOKUP(J305,COND!$A$2:$C$7,2,FALSE)+$K$3*VLOOKUP(K305,COND!$A$2:$C$7,3,FALSE)+IF(AND($B$2&gt;0,$E305&lt;20),$B$2*25,0)</f>
        <v>37.590384594995548</v>
      </c>
      <c r="AR305" s="49">
        <f>STANDARDIZE(AQ305,AVERAGE($AQ$5:$AQ$537),STDEVP($AQ$5:$AQ$537))</f>
        <v>-0.48522762358702809</v>
      </c>
      <c r="AS305" s="47" t="str">
        <f>IF(AND(Z305&lt;&gt;"-",Y305&gt;1),"C",IF(AB305=MAX(AB305:AD305),"2B",IF(AD305=MAX(AB305:AD305),"SS",IF(OR(AC305=MAX(AA305:AD305),AND(AC305&lt;&gt;"-",AC305&gt;4,V305&gt;5)),"3B",IF(AF305=MAX(AE305:AG305),"CF",IF(AND(AG305=MAX(AE305,AG305),AND(W305&gt;5,AG305&lt;&gt;"-")),"RF",IF(AE305&lt;&gt;"-","LF",IF(AA305&lt;&gt;"-","1B","DH"))))))))</f>
        <v>2B</v>
      </c>
      <c r="AT305" s="47"/>
      <c r="AU305" s="47"/>
      <c r="AV305" s="47"/>
      <c r="AW305" s="47" t="str">
        <f>IF(AND($Q305&gt;=6,AVERAGE($S305:$T305)&gt;=6),"Likely",IF(OR($Q305&gt;6,AND($Q305=6,AVERAGE($S305:$T305)&gt;=3),AND($Q305&gt;=5,AVERAGE($S305:$T305)&gt;=5),AVERAGE($Q305,$S305:$T305)&gt;5),"Possible","Unlikely"))</f>
        <v>Unlikely</v>
      </c>
      <c r="AX305" s="47"/>
      <c r="AY305" s="47" t="str">
        <f>INDEX(Table5[[#All],[Ovr]],MATCH(Batters[[#This Row],[PID]],Table5[[#All],[PID]],0))</f>
        <v/>
      </c>
      <c r="AZ305" s="47" t="str">
        <f>INDEX(Table5[[#All],[Rnd]],MATCH(Batters[[#This Row],[PID]],Table5[[#All],[PID]],0))</f>
        <v/>
      </c>
      <c r="BA305" s="47" t="str">
        <f>INDEX(Table5[[#All],[Pick]],MATCH(Batters[[#This Row],[PID]],Table5[[#All],[PID]],0))</f>
        <v/>
      </c>
      <c r="BB305" s="47" t="str">
        <f>INDEX(Table5[[#All],[Team]],MATCH(Batters[[#This Row],[PID]],Table5[[#All],[PID]],0))</f>
        <v/>
      </c>
    </row>
    <row r="306" spans="1:54" ht="15" customHeight="1" x14ac:dyDescent="0.25">
      <c r="A306" s="42">
        <v>12649</v>
      </c>
      <c r="B306" s="42" t="s">
        <v>87</v>
      </c>
      <c r="C306" s="42" t="s">
        <v>426</v>
      </c>
      <c r="D306" s="42" t="s">
        <v>1081</v>
      </c>
      <c r="E306" s="42">
        <v>18</v>
      </c>
      <c r="F306" s="42" t="s">
        <v>42</v>
      </c>
      <c r="G306" s="42" t="s">
        <v>42</v>
      </c>
      <c r="H306" s="43" t="s">
        <v>721</v>
      </c>
      <c r="I306" s="44" t="s">
        <v>43</v>
      </c>
      <c r="J306" s="42" t="s">
        <v>47</v>
      </c>
      <c r="K306" s="43" t="s">
        <v>43</v>
      </c>
      <c r="L306" s="42">
        <v>1</v>
      </c>
      <c r="M306" s="42">
        <v>2</v>
      </c>
      <c r="N306" s="42">
        <v>2</v>
      </c>
      <c r="O306" s="42">
        <v>1</v>
      </c>
      <c r="P306" s="43">
        <v>1</v>
      </c>
      <c r="Q306" s="42">
        <v>3</v>
      </c>
      <c r="R306" s="42">
        <v>3</v>
      </c>
      <c r="S306" s="42">
        <v>2</v>
      </c>
      <c r="T306" s="42">
        <v>2</v>
      </c>
      <c r="U306" s="43">
        <v>4</v>
      </c>
      <c r="V306" s="42">
        <v>8</v>
      </c>
      <c r="W306" s="42">
        <v>2</v>
      </c>
      <c r="X306" s="42">
        <v>1</v>
      </c>
      <c r="Y306" s="43">
        <v>1</v>
      </c>
      <c r="Z306" s="42" t="s">
        <v>45</v>
      </c>
      <c r="AA306" s="42">
        <v>1</v>
      </c>
      <c r="AB306" s="42" t="s">
        <v>45</v>
      </c>
      <c r="AC306" s="42" t="s">
        <v>45</v>
      </c>
      <c r="AD306" s="42" t="s">
        <v>45</v>
      </c>
      <c r="AE306" s="42" t="s">
        <v>45</v>
      </c>
      <c r="AF306" s="42" t="s">
        <v>45</v>
      </c>
      <c r="AG306" s="43" t="s">
        <v>45</v>
      </c>
      <c r="AH306" s="42">
        <v>1</v>
      </c>
      <c r="AI306" s="42">
        <v>2</v>
      </c>
      <c r="AJ306" s="43">
        <v>3</v>
      </c>
      <c r="AK306" s="45" t="s">
        <v>730</v>
      </c>
      <c r="AL306" s="45" t="s">
        <v>47</v>
      </c>
      <c r="AM306" s="46">
        <f>($L$3*(L306-$Q$1)/$Q$2+$M$3*(M306-$R$1)/$R$2+$N$3*(N306-$S$1)/$S$2+$O$3*(O306-$T$1)/$T$2+$P$3*(P306-$U$1)/$U$2)/(SUM($L$3:$P$3))</f>
        <v>-1.9502219761849671</v>
      </c>
      <c r="AN306" s="46">
        <f>($L$3*(Q306-$Q$1)/$Q$2+$M$3*(R306-$R$1)/$R$2+$N$3*(S306-$S$1)/$S$2+$O$3*(T306-$T$1)/$T$2+$P$3*(U306-$U$1)/$U$2)/(SUM($L$3:$P$3))</f>
        <v>-1.0442918547000826</v>
      </c>
      <c r="AO306" s="47">
        <f>IF(AVERAGE(AH306:AI306)&gt;9,1,0)+IF(AVERAGE(AH306:AI306)&gt;7,1,0)+IF(AH306&gt;7,1,0)+IF(AI306&gt;7,1,0)+IF(AJ306&gt;8,1,0)+IF(AJ306&gt;6,1,0)</f>
        <v>0</v>
      </c>
      <c r="AP306" s="48">
        <f>MIN(2,IF(OR(Z306="-",X306&lt;5),0,1+IF(Y306&gt;7,0.35,IF(Y306&gt;5,0.1,0))+IF(Z306&gt;7,1+IF(X306&gt;7,0.25,0),IF(Z306&gt;4,0.5+IF(X306&gt;7,0.25,0),0+IF(X306&gt;7,0.25))))+IF(AA306="-",0,IF(AA306&gt;9,0.5,IF(AA306&gt;7,0.25,0)))+IF(AB306="-",0,IF(AB306&gt;7,1.1,IF(AB306&gt;4,0.6,0)))+IF(OR(AC306="-",V306&lt;5),0,IF(AC306&gt;7,1+IF(V306&gt;7,0.25,0),IF(AC306&gt;4,0.5+IF(V306&gt;7,0.25,0),0)))+IF(AD306="-",0,IF(AD306&gt;7,1.5,IF(AD306&gt;4,1,0)))+IF(AE306="-",0,IF(AE306&gt;9,0.5,IF(AE306&gt;7,0.25,0)))+IF(AF306="-",0,IF(AF306&gt;7,1.25,IF(AF306&gt;4,0.75,0)))+IF(OR(AG306="-",W306&lt;4),0,IF(AG306&gt;7,1+IF(W306&gt;7,0.15,0),IF(AG306&gt;4,0.5+IF(W306&gt;7,0.15,0),0))))</f>
        <v>0</v>
      </c>
      <c r="AQ306" s="46">
        <f>($AM$3*AM306+$AN$3*AN306+$AO$3*AO306+$AP$3*AP306)+$I$3*VLOOKUP(I306,COND!$A$2:$E$7,4,FALSE)+$J$3*VLOOKUP(J306,COND!$A$2:$C$7,2,FALSE)+$K$3*VLOOKUP(K306,COND!$A$2:$C$7,3,FALSE)+IF(AND($B$2&gt;0,$E306&lt;20),$B$2*25,0)</f>
        <v>37.573475545980514</v>
      </c>
      <c r="AR306" s="49">
        <f>STANDARDIZE(AQ306,AVERAGE($AQ$5:$AQ$537),STDEVP($AQ$5:$AQ$537))</f>
        <v>-0.4882026583785537</v>
      </c>
      <c r="AS306" s="47" t="str">
        <f>IF(AND(Z306&lt;&gt;"-",Y306&gt;1),"C",IF(AB306=MAX(AB306:AD306),"2B",IF(AD306=MAX(AB306:AD306),"SS",IF(OR(AC306=MAX(AA306:AD306),AND(AC306&lt;&gt;"-",AC306&gt;4,V306&gt;5)),"3B",IF(AF306=MAX(AE306:AG306),"CF",IF(AND(AG306=MAX(AE306,AG306),AND(W306&gt;5,AG306&lt;&gt;"-")),"RF",IF(AE306&lt;&gt;"-","LF",IF(AA306&lt;&gt;"-","1B","DH"))))))))</f>
        <v>1B</v>
      </c>
      <c r="AT306" s="47"/>
      <c r="AU306" s="47"/>
      <c r="AV306" s="47"/>
      <c r="AW306" s="47" t="str">
        <f>IF(AND($Q306&gt;=6,AVERAGE($S306:$T306)&gt;=6),"Likely",IF(OR($Q306&gt;6,AND($Q306=6,AVERAGE($S306:$T306)&gt;=3),AND($Q306&gt;=5,AVERAGE($S306:$T306)&gt;=5),AVERAGE($Q306,$S306:$T306)&gt;5),"Possible","Unlikely"))</f>
        <v>Unlikely</v>
      </c>
      <c r="AX306" s="47"/>
      <c r="AY306" s="47" t="str">
        <f>INDEX(Table5[[#All],[Ovr]],MATCH(Batters[[#This Row],[PID]],Table5[[#All],[PID]],0))</f>
        <v/>
      </c>
      <c r="AZ306" s="47" t="str">
        <f>INDEX(Table5[[#All],[Rnd]],MATCH(Batters[[#This Row],[PID]],Table5[[#All],[PID]],0))</f>
        <v/>
      </c>
      <c r="BA306" s="47" t="str">
        <f>INDEX(Table5[[#All],[Pick]],MATCH(Batters[[#This Row],[PID]],Table5[[#All],[PID]],0))</f>
        <v/>
      </c>
      <c r="BB306" s="47" t="str">
        <f>INDEX(Table5[[#All],[Team]],MATCH(Batters[[#This Row],[PID]],Table5[[#All],[PID]],0))</f>
        <v/>
      </c>
    </row>
    <row r="307" spans="1:54" ht="15" customHeight="1" x14ac:dyDescent="0.25">
      <c r="A307" s="42">
        <v>12215</v>
      </c>
      <c r="B307" s="42" t="s">
        <v>66</v>
      </c>
      <c r="C307" s="42" t="s">
        <v>683</v>
      </c>
      <c r="D307" s="42" t="s">
        <v>446</v>
      </c>
      <c r="E307" s="42">
        <v>21</v>
      </c>
      <c r="F307" s="42" t="s">
        <v>42</v>
      </c>
      <c r="G307" s="42" t="s">
        <v>42</v>
      </c>
      <c r="H307" s="43" t="s">
        <v>709</v>
      </c>
      <c r="I307" s="44" t="s">
        <v>43</v>
      </c>
      <c r="J307" s="42" t="s">
        <v>47</v>
      </c>
      <c r="K307" s="43" t="s">
        <v>43</v>
      </c>
      <c r="L307" s="42">
        <v>1</v>
      </c>
      <c r="M307" s="42">
        <v>2</v>
      </c>
      <c r="N307" s="42">
        <v>2</v>
      </c>
      <c r="O307" s="42">
        <v>3</v>
      </c>
      <c r="P307" s="43">
        <v>1</v>
      </c>
      <c r="Q307" s="42">
        <v>3</v>
      </c>
      <c r="R307" s="42">
        <v>4</v>
      </c>
      <c r="S307" s="42">
        <v>3</v>
      </c>
      <c r="T307" s="42">
        <v>4</v>
      </c>
      <c r="U307" s="43">
        <v>3</v>
      </c>
      <c r="V307" s="42">
        <v>5</v>
      </c>
      <c r="W307" s="42">
        <v>8</v>
      </c>
      <c r="X307" s="42">
        <v>1</v>
      </c>
      <c r="Y307" s="43">
        <v>1</v>
      </c>
      <c r="Z307" s="42" t="s">
        <v>45</v>
      </c>
      <c r="AA307" s="42" t="s">
        <v>45</v>
      </c>
      <c r="AB307" s="42" t="s">
        <v>45</v>
      </c>
      <c r="AC307" s="42" t="s">
        <v>45</v>
      </c>
      <c r="AD307" s="42" t="s">
        <v>45</v>
      </c>
      <c r="AE307" s="42">
        <v>4</v>
      </c>
      <c r="AF307" s="42">
        <v>1</v>
      </c>
      <c r="AG307" s="43">
        <v>6</v>
      </c>
      <c r="AH307" s="42">
        <v>10</v>
      </c>
      <c r="AI307" s="42">
        <v>10</v>
      </c>
      <c r="AJ307" s="43">
        <v>10</v>
      </c>
      <c r="AK307" s="45" t="s">
        <v>45</v>
      </c>
      <c r="AL307" s="45" t="s">
        <v>47</v>
      </c>
      <c r="AM307" s="46">
        <f>($L$3*(L307-$Q$1)/$Q$2+$M$3*(M307-$R$1)/$R$2+$N$3*(N307-$S$1)/$S$2+$O$3*(O307-$T$1)/$T$2+$P$3*(P307-$U$1)/$U$2)/(SUM($L$3:$P$3))</f>
        <v>-1.7708028761658048</v>
      </c>
      <c r="AN307" s="46">
        <f>($L$3*(Q307-$Q$1)/$Q$2+$M$3*(R307-$R$1)/$R$2+$N$3*(S307-$S$1)/$S$2+$O$3*(T307-$T$1)/$T$2+$P$3*(U307-$U$1)/$U$2)/(SUM($L$3:$P$3))</f>
        <v>-0.77076772085539913</v>
      </c>
      <c r="AO307" s="47">
        <f>IF(AVERAGE(AH307:AI307)&gt;9,1,0)+IF(AVERAGE(AH307:AI307)&gt;7,1,0)+IF(AH307&gt;7,1,0)+IF(AI307&gt;7,1,0)+IF(AJ307&gt;8,1,0)+IF(AJ307&gt;6,1,0)</f>
        <v>6</v>
      </c>
      <c r="AP307" s="48">
        <f>MIN(2,IF(OR(Z307="-",X307&lt;5),0,1+IF(Y307&gt;7,0.35,IF(Y307&gt;5,0.1,0))+IF(Z307&gt;7,1+IF(X307&gt;7,0.25,0),IF(Z307&gt;4,0.5+IF(X307&gt;7,0.25,0),0+IF(X307&gt;7,0.25))))+IF(AA307="-",0,IF(AA307&gt;9,0.5,IF(AA307&gt;7,0.25,0)))+IF(AB307="-",0,IF(AB307&gt;7,1.1,IF(AB307&gt;4,0.6,0)))+IF(OR(AC307="-",V307&lt;5),0,IF(AC307&gt;7,1+IF(V307&gt;7,0.25,0),IF(AC307&gt;4,0.5+IF(V307&gt;7,0.25,0),0)))+IF(AD307="-",0,IF(AD307&gt;7,1.5,IF(AD307&gt;4,1,0)))+IF(AE307="-",0,IF(AE307&gt;9,0.5,IF(AE307&gt;7,0.25,0)))+IF(AF307="-",0,IF(AF307&gt;7,1.25,IF(AF307&gt;4,0.75,0)))+IF(OR(AG307="-",W307&lt;4),0,IF(AG307&gt;7,1+IF(W307&gt;7,0.15,0),IF(AG307&gt;4,0.5+IF(W307&gt;7,0.15,0),0))))</f>
        <v>0.65</v>
      </c>
      <c r="AQ307" s="46">
        <f>($AM$3*AM307+$AN$3*AN307+$AO$3*AO307+$AP$3*AP307)+$I$3*VLOOKUP(I307,COND!$A$2:$E$7,4,FALSE)+$J$3*VLOOKUP(J307,COND!$A$2:$C$7,2,FALSE)+$K$3*VLOOKUP(K307,COND!$A$2:$C$7,3,FALSE)+IF(AND($B$2&gt;0,$E307&lt;20),$B$2*25,0)</f>
        <v>37.523707062118632</v>
      </c>
      <c r="AR307" s="49">
        <f>STANDARDIZE(AQ307,AVERAGE($AQ$5:$AQ$537),STDEVP($AQ$5:$AQ$537))</f>
        <v>-0.49695909233760954</v>
      </c>
      <c r="AS307" s="47" t="str">
        <f>IF(AND(Z307&lt;&gt;"-",Y307&gt;1),"C",IF(AB307=MAX(AB307:AD307),"2B",IF(AD307=MAX(AB307:AD307),"SS",IF(OR(AC307=MAX(AA307:AD307),AND(AC307&lt;&gt;"-",AC307&gt;4,V307&gt;5)),"3B",IF(AF307=MAX(AE307:AG307),"CF",IF(AND(AG307=MAX(AE307,AG307),AND(W307&gt;5,AG307&lt;&gt;"-")),"RF",IF(AE307&lt;&gt;"-","LF",IF(AA307&lt;&gt;"-","1B","DH"))))))))</f>
        <v>RF</v>
      </c>
      <c r="AT307" s="47"/>
      <c r="AU307" s="47"/>
      <c r="AV307" s="47"/>
      <c r="AW307" s="47" t="str">
        <f>IF(AND($Q307&gt;=6,AVERAGE($S307:$T307)&gt;=6),"Likely",IF(OR($Q307&gt;6,AND($Q307=6,AVERAGE($S307:$T307)&gt;=3),AND($Q307&gt;=5,AVERAGE($S307:$T307)&gt;=5),AVERAGE($Q307,$S307:$T307)&gt;5),"Possible","Unlikely"))</f>
        <v>Unlikely</v>
      </c>
      <c r="AX307" s="47"/>
      <c r="AY307" s="47" t="str">
        <f>INDEX(Table5[[#All],[Ovr]],MATCH(Batters[[#This Row],[PID]],Table5[[#All],[PID]],0))</f>
        <v/>
      </c>
      <c r="AZ307" s="47" t="str">
        <f>INDEX(Table5[[#All],[Rnd]],MATCH(Batters[[#This Row],[PID]],Table5[[#All],[PID]],0))</f>
        <v/>
      </c>
      <c r="BA307" s="47" t="str">
        <f>INDEX(Table5[[#All],[Pick]],MATCH(Batters[[#This Row],[PID]],Table5[[#All],[PID]],0))</f>
        <v/>
      </c>
      <c r="BB307" s="47" t="str">
        <f>INDEX(Table5[[#All],[Team]],MATCH(Batters[[#This Row],[PID]],Table5[[#All],[PID]],0))</f>
        <v/>
      </c>
    </row>
    <row r="308" spans="1:54" ht="15" customHeight="1" x14ac:dyDescent="0.25">
      <c r="A308" s="42">
        <v>7892</v>
      </c>
      <c r="B308" s="42" t="s">
        <v>86</v>
      </c>
      <c r="C308" s="42" t="s">
        <v>292</v>
      </c>
      <c r="D308" s="42" t="s">
        <v>1339</v>
      </c>
      <c r="E308" s="42">
        <v>18</v>
      </c>
      <c r="F308" s="42" t="s">
        <v>42</v>
      </c>
      <c r="G308" s="42" t="s">
        <v>42</v>
      </c>
      <c r="H308" s="43" t="s">
        <v>709</v>
      </c>
      <c r="I308" s="44" t="s">
        <v>43</v>
      </c>
      <c r="J308" s="42" t="s">
        <v>43</v>
      </c>
      <c r="K308" s="43" t="s">
        <v>43</v>
      </c>
      <c r="L308" s="42">
        <v>1</v>
      </c>
      <c r="M308" s="42">
        <v>1</v>
      </c>
      <c r="N308" s="42">
        <v>2</v>
      </c>
      <c r="O308" s="42">
        <v>1</v>
      </c>
      <c r="P308" s="43">
        <v>1</v>
      </c>
      <c r="Q308" s="42">
        <v>2</v>
      </c>
      <c r="R308" s="42">
        <v>2</v>
      </c>
      <c r="S308" s="42">
        <v>4</v>
      </c>
      <c r="T308" s="42">
        <v>5</v>
      </c>
      <c r="U308" s="43">
        <v>2</v>
      </c>
      <c r="V308" s="42">
        <v>5</v>
      </c>
      <c r="W308" s="42">
        <v>4</v>
      </c>
      <c r="X308" s="42">
        <v>6</v>
      </c>
      <c r="Y308" s="43">
        <v>5</v>
      </c>
      <c r="Z308" s="42">
        <v>2</v>
      </c>
      <c r="AA308" s="42" t="s">
        <v>45</v>
      </c>
      <c r="AB308" s="42" t="s">
        <v>45</v>
      </c>
      <c r="AC308" s="42" t="s">
        <v>45</v>
      </c>
      <c r="AD308" s="42" t="s">
        <v>45</v>
      </c>
      <c r="AE308" s="42" t="s">
        <v>45</v>
      </c>
      <c r="AF308" s="42" t="s">
        <v>45</v>
      </c>
      <c r="AG308" s="43" t="s">
        <v>45</v>
      </c>
      <c r="AH308" s="42">
        <v>1</v>
      </c>
      <c r="AI308" s="42">
        <v>6</v>
      </c>
      <c r="AJ308" s="43">
        <v>7</v>
      </c>
      <c r="AK308" s="45" t="s">
        <v>718</v>
      </c>
      <c r="AL308" s="45" t="s">
        <v>47</v>
      </c>
      <c r="AM308" s="46">
        <f>($L$3*(L308-$Q$1)/$Q$2+$M$3*(M308-$R$1)/$R$2+$N$3*(N308-$S$1)/$S$2+$O$3*(O308-$T$1)/$T$2+$P$3*(P308-$U$1)/$U$2)/(SUM($L$3:$P$3))</f>
        <v>-2.0012818558036707</v>
      </c>
      <c r="AN308" s="46">
        <f>($L$3*(Q308-$Q$1)/$Q$2+$M$3*(R308-$R$1)/$R$2+$N$3*(S308-$S$1)/$S$2+$O$3*(T308-$T$1)/$T$2+$P$3*(U308-$U$1)/$U$2)/(SUM($L$3:$P$3))</f>
        <v>-1.0626886120790817</v>
      </c>
      <c r="AO308" s="47">
        <f>IF(AVERAGE(AH308:AI308)&gt;9,1,0)+IF(AVERAGE(AH308:AI308)&gt;7,1,0)+IF(AH308&gt;7,1,0)+IF(AI308&gt;7,1,0)+IF(AJ308&gt;8,1,0)+IF(AJ308&gt;6,1,0)</f>
        <v>1</v>
      </c>
      <c r="AP308" s="48">
        <f>MIN(2,IF(OR(Z308="-",X308&lt;5),0,1+IF(Y308&gt;7,0.35,IF(Y308&gt;5,0.1,0))+IF(Z308&gt;7,1+IF(X308&gt;7,0.25,0),IF(Z308&gt;4,0.5+IF(X308&gt;7,0.25,0),0+IF(X308&gt;7,0.25))))+IF(AA308="-",0,IF(AA308&gt;9,0.5,IF(AA308&gt;7,0.25,0)))+IF(AB308="-",0,IF(AB308&gt;7,1.1,IF(AB308&gt;4,0.6,0)))+IF(OR(AC308="-",V308&lt;5),0,IF(AC308&gt;7,1+IF(V308&gt;7,0.25,0),IF(AC308&gt;4,0.5+IF(V308&gt;7,0.25,0),0)))+IF(AD308="-",0,IF(AD308&gt;7,1.5,IF(AD308&gt;4,1,0)))+IF(AE308="-",0,IF(AE308&gt;9,0.5,IF(AE308&gt;7,0.25,0)))+IF(AF308="-",0,IF(AF308&gt;7,1.25,IF(AF308&gt;4,0.75,0)))+IF(OR(AG308="-",W308&lt;4),0,IF(AG308&gt;7,1+IF(W308&gt;7,0.15,0),IF(AG308&gt;4,0.5+IF(W308&gt;7,0.15,0),0))))</f>
        <v>1</v>
      </c>
      <c r="AQ308" s="46">
        <f>($AM$3*AM308+$AN$3*AN308+$AO$3*AO308+$AP$3*AP308)+$I$3*VLOOKUP(I308,COND!$A$2:$E$7,4,FALSE)+$J$3*VLOOKUP(J308,COND!$A$2:$C$7,2,FALSE)+$K$3*VLOOKUP(K308,COND!$A$2:$C$7,3,FALSE)+IF(AND($B$2&gt;0,$E308&lt;20),$B$2*25,0)</f>
        <v>38.214275136137317</v>
      </c>
      <c r="AR308" s="49">
        <f>STANDARDIZE(AQ308,AVERAGE($AQ$5:$AQ$537),STDEVP($AQ$5:$AQ$537))</f>
        <v>-0.37545822943894464</v>
      </c>
      <c r="AS308" s="47" t="str">
        <f>IF(AND(Z308&lt;&gt;"-",Y308&gt;1),"C",IF(AB308=MAX(AB308:AD308),"2B",IF(AD308=MAX(AB308:AD308),"SS",IF(OR(AC308=MAX(AA308:AD308),AND(AC308&lt;&gt;"-",AC308&gt;4,V308&gt;5)),"3B",IF(AF308=MAX(AE308:AG308),"CF",IF(AND(AG308=MAX(AE308,AG308),AND(W308&gt;5,AG308&lt;&gt;"-")),"RF",IF(AE308&lt;&gt;"-","LF",IF(AA308&lt;&gt;"-","1B","DH"))))))))</f>
        <v>C</v>
      </c>
      <c r="AT308" s="47"/>
      <c r="AU308" s="47"/>
      <c r="AV308" s="47"/>
      <c r="AW308" s="47" t="str">
        <f>IF(AND($Q308&gt;=6,AVERAGE($S308:$T308)&gt;=6),"Likely",IF(OR($Q308&gt;6,AND($Q308=6,AVERAGE($S308:$T308)&gt;=3),AND($Q308&gt;=5,AVERAGE($S308:$T308)&gt;=5),AVERAGE($Q308,$S308:$T308)&gt;5),"Possible","Unlikely"))</f>
        <v>Unlikely</v>
      </c>
      <c r="AX308" s="47"/>
      <c r="AY308" s="47" t="str">
        <f>INDEX(Table5[[#All],[Ovr]],MATCH(Batters[[#This Row],[PID]],Table5[[#All],[PID]],0))</f>
        <v/>
      </c>
      <c r="AZ308" s="47" t="str">
        <f>INDEX(Table5[[#All],[Rnd]],MATCH(Batters[[#This Row],[PID]],Table5[[#All],[PID]],0))</f>
        <v/>
      </c>
      <c r="BA308" s="47" t="str">
        <f>INDEX(Table5[[#All],[Pick]],MATCH(Batters[[#This Row],[PID]],Table5[[#All],[PID]],0))</f>
        <v/>
      </c>
      <c r="BB308" s="47" t="str">
        <f>INDEX(Table5[[#All],[Team]],MATCH(Batters[[#This Row],[PID]],Table5[[#All],[PID]],0))</f>
        <v/>
      </c>
    </row>
    <row r="309" spans="1:54" ht="15" customHeight="1" x14ac:dyDescent="0.25">
      <c r="A309" s="42">
        <v>11965</v>
      </c>
      <c r="B309" s="42" t="s">
        <v>72</v>
      </c>
      <c r="C309" s="42" t="s">
        <v>145</v>
      </c>
      <c r="D309" s="42" t="s">
        <v>1145</v>
      </c>
      <c r="E309" s="42">
        <v>21</v>
      </c>
      <c r="F309" s="42" t="s">
        <v>42</v>
      </c>
      <c r="G309" s="42" t="s">
        <v>42</v>
      </c>
      <c r="H309" s="43" t="s">
        <v>709</v>
      </c>
      <c r="I309" s="44" t="s">
        <v>43</v>
      </c>
      <c r="J309" s="42" t="s">
        <v>47</v>
      </c>
      <c r="K309" s="43" t="s">
        <v>43</v>
      </c>
      <c r="L309" s="42">
        <v>1</v>
      </c>
      <c r="M309" s="42">
        <v>2</v>
      </c>
      <c r="N309" s="42">
        <v>2</v>
      </c>
      <c r="O309" s="42">
        <v>2</v>
      </c>
      <c r="P309" s="43">
        <v>1</v>
      </c>
      <c r="Q309" s="42">
        <v>3</v>
      </c>
      <c r="R309" s="42">
        <v>3</v>
      </c>
      <c r="S309" s="42">
        <v>3</v>
      </c>
      <c r="T309" s="42">
        <v>5</v>
      </c>
      <c r="U309" s="43">
        <v>3</v>
      </c>
      <c r="V309" s="42">
        <v>6</v>
      </c>
      <c r="W309" s="42">
        <v>6</v>
      </c>
      <c r="X309" s="42">
        <v>1</v>
      </c>
      <c r="Y309" s="43">
        <v>1</v>
      </c>
      <c r="Z309" s="42" t="s">
        <v>45</v>
      </c>
      <c r="AA309" s="42" t="s">
        <v>45</v>
      </c>
      <c r="AB309" s="42" t="s">
        <v>45</v>
      </c>
      <c r="AC309" s="42" t="s">
        <v>45</v>
      </c>
      <c r="AD309" s="42">
        <v>6</v>
      </c>
      <c r="AE309" s="42" t="s">
        <v>45</v>
      </c>
      <c r="AF309" s="42" t="s">
        <v>45</v>
      </c>
      <c r="AG309" s="43" t="s">
        <v>45</v>
      </c>
      <c r="AH309" s="42">
        <v>5</v>
      </c>
      <c r="AI309" s="42">
        <v>6</v>
      </c>
      <c r="AJ309" s="43">
        <v>7</v>
      </c>
      <c r="AK309" s="45" t="s">
        <v>45</v>
      </c>
      <c r="AL309" s="45" t="s">
        <v>47</v>
      </c>
      <c r="AM309" s="46">
        <f>($L$3*(L309-$Q$1)/$Q$2+$M$3*(M309-$R$1)/$R$2+$N$3*(N309-$S$1)/$S$2+$O$3*(O309-$T$1)/$T$2+$P$3*(P309-$U$1)/$U$2)/(SUM($L$3:$P$3))</f>
        <v>-1.8605124261753858</v>
      </c>
      <c r="AN309" s="46">
        <f>($L$3*(Q309-$Q$1)/$Q$2+$M$3*(R309-$R$1)/$R$2+$N$3*(S309-$S$1)/$S$2+$O$3*(T309-$T$1)/$T$2+$P$3*(U309-$U$1)/$U$2)/(SUM($L$3:$P$3))</f>
        <v>-0.73211805046452161</v>
      </c>
      <c r="AO309" s="47">
        <f>IF(AVERAGE(AH309:AI309)&gt;9,1,0)+IF(AVERAGE(AH309:AI309)&gt;7,1,0)+IF(AH309&gt;7,1,0)+IF(AI309&gt;7,1,0)+IF(AJ309&gt;8,1,0)+IF(AJ309&gt;6,1,0)</f>
        <v>1</v>
      </c>
      <c r="AP309" s="48">
        <f>MIN(2,IF(OR(Z309="-",X309&lt;5),0,1+IF(Y309&gt;7,0.35,IF(Y309&gt;5,0.1,0))+IF(Z309&gt;7,1+IF(X309&gt;7,0.25,0),IF(Z309&gt;4,0.5+IF(X309&gt;7,0.25,0),0+IF(X309&gt;7,0.25))))+IF(AA309="-",0,IF(AA309&gt;9,0.5,IF(AA309&gt;7,0.25,0)))+IF(AB309="-",0,IF(AB309&gt;7,1.1,IF(AB309&gt;4,0.6,0)))+IF(OR(AC309="-",V309&lt;5),0,IF(AC309&gt;7,1+IF(V309&gt;7,0.25,0),IF(AC309&gt;4,0.5+IF(V309&gt;7,0.25,0),0)))+IF(AD309="-",0,IF(AD309&gt;7,1.5,IF(AD309&gt;4,1,0)))+IF(AE309="-",0,IF(AE309&gt;9,0.5,IF(AE309&gt;7,0.25,0)))+IF(AF309="-",0,IF(AF309&gt;7,1.25,IF(AF309&gt;4,0.75,0)))+IF(OR(AG309="-",W309&lt;4),0,IF(AG309&gt;7,1+IF(W309&gt;7,0.15,0),IF(AG309&gt;4,0.5+IF(W309&gt;7,0.15,0),0))))</f>
        <v>1</v>
      </c>
      <c r="AQ309" s="46">
        <f>($AM$3*AM309+$AN$3*AN309+$AO$3*AO309+$AP$3*AP309)+$I$3*VLOOKUP(I309,COND!$A$2:$E$7,4,FALSE)+$J$3*VLOOKUP(J309,COND!$A$2:$C$7,2,FALSE)+$K$3*VLOOKUP(K309,COND!$A$2:$C$7,3,FALSE)+IF(AND($B$2&gt;0,$E309&lt;20),$B$2*25,0)</f>
        <v>37.495198818474869</v>
      </c>
      <c r="AR309" s="49">
        <f>STANDARDIZE(AQ309,AVERAGE($AQ$5:$AQ$537),STDEVP($AQ$5:$AQ$537))</f>
        <v>-0.50197492833229362</v>
      </c>
      <c r="AS309" s="47" t="str">
        <f>IF(AND(Z309&lt;&gt;"-",Y309&gt;1),"C",IF(AB309=MAX(AB309:AD309),"2B",IF(AD309=MAX(AB309:AD309),"SS",IF(OR(AC309=MAX(AA309:AD309),AND(AC309&lt;&gt;"-",AC309&gt;4,V309&gt;5)),"3B",IF(AF309=MAX(AE309:AG309),"CF",IF(AND(AG309=MAX(AE309,AG309),AND(W309&gt;5,AG309&lt;&gt;"-")),"RF",IF(AE309&lt;&gt;"-","LF",IF(AA309&lt;&gt;"-","1B","DH"))))))))</f>
        <v>SS</v>
      </c>
      <c r="AT309" s="47"/>
      <c r="AU309" s="47"/>
      <c r="AV309" s="47"/>
      <c r="AW309" s="47" t="str">
        <f>IF(AND($Q309&gt;=6,AVERAGE($S309:$T309)&gt;=6),"Likely",IF(OR($Q309&gt;6,AND($Q309=6,AVERAGE($S309:$T309)&gt;=3),AND($Q309&gt;=5,AVERAGE($S309:$T309)&gt;=5),AVERAGE($Q309,$S309:$T309)&gt;5),"Possible","Unlikely"))</f>
        <v>Unlikely</v>
      </c>
      <c r="AX309" s="47"/>
      <c r="AY309" s="47" t="str">
        <f>INDEX(Table5[[#All],[Ovr]],MATCH(Batters[[#This Row],[PID]],Table5[[#All],[PID]],0))</f>
        <v/>
      </c>
      <c r="AZ309" s="47" t="str">
        <f>INDEX(Table5[[#All],[Rnd]],MATCH(Batters[[#This Row],[PID]],Table5[[#All],[PID]],0))</f>
        <v/>
      </c>
      <c r="BA309" s="47" t="str">
        <f>INDEX(Table5[[#All],[Pick]],MATCH(Batters[[#This Row],[PID]],Table5[[#All],[PID]],0))</f>
        <v/>
      </c>
      <c r="BB309" s="47" t="str">
        <f>INDEX(Table5[[#All],[Team]],MATCH(Batters[[#This Row],[PID]],Table5[[#All],[PID]],0))</f>
        <v/>
      </c>
    </row>
    <row r="310" spans="1:54" ht="15" customHeight="1" x14ac:dyDescent="0.25">
      <c r="A310" s="42">
        <v>9434</v>
      </c>
      <c r="B310" s="42" t="s">
        <v>86</v>
      </c>
      <c r="C310" s="42" t="s">
        <v>444</v>
      </c>
      <c r="D310" s="42" t="s">
        <v>1279</v>
      </c>
      <c r="E310" s="42">
        <v>21</v>
      </c>
      <c r="F310" s="42" t="s">
        <v>42</v>
      </c>
      <c r="G310" s="42" t="s">
        <v>42</v>
      </c>
      <c r="H310" s="43" t="s">
        <v>709</v>
      </c>
      <c r="I310" s="44" t="s">
        <v>44</v>
      </c>
      <c r="J310" s="42" t="s">
        <v>47</v>
      </c>
      <c r="K310" s="43" t="s">
        <v>47</v>
      </c>
      <c r="L310" s="42">
        <v>2</v>
      </c>
      <c r="M310" s="42">
        <v>3</v>
      </c>
      <c r="N310" s="42">
        <v>2</v>
      </c>
      <c r="O310" s="42">
        <v>2</v>
      </c>
      <c r="P310" s="43">
        <v>1</v>
      </c>
      <c r="Q310" s="42">
        <v>3</v>
      </c>
      <c r="R310" s="42">
        <v>3</v>
      </c>
      <c r="S310" s="42">
        <v>3</v>
      </c>
      <c r="T310" s="42">
        <v>4</v>
      </c>
      <c r="U310" s="43">
        <v>3</v>
      </c>
      <c r="V310" s="42">
        <v>8</v>
      </c>
      <c r="W310" s="42">
        <v>8</v>
      </c>
      <c r="X310" s="42">
        <v>9</v>
      </c>
      <c r="Y310" s="43">
        <v>7</v>
      </c>
      <c r="Z310" s="42">
        <v>3</v>
      </c>
      <c r="AA310" s="42" t="s">
        <v>45</v>
      </c>
      <c r="AB310" s="42" t="s">
        <v>45</v>
      </c>
      <c r="AC310" s="42">
        <v>2</v>
      </c>
      <c r="AD310" s="42" t="s">
        <v>45</v>
      </c>
      <c r="AE310" s="42" t="s">
        <v>45</v>
      </c>
      <c r="AF310" s="42" t="s">
        <v>45</v>
      </c>
      <c r="AG310" s="43" t="s">
        <v>45</v>
      </c>
      <c r="AH310" s="42">
        <v>3</v>
      </c>
      <c r="AI310" s="42">
        <v>2</v>
      </c>
      <c r="AJ310" s="43">
        <v>1</v>
      </c>
      <c r="AK310" s="45" t="s">
        <v>45</v>
      </c>
      <c r="AL310" s="45" t="s">
        <v>47</v>
      </c>
      <c r="AM310" s="46">
        <f>($L$3*(L310-$Q$1)/$Q$2+$M$3*(M310-$R$1)/$R$2+$N$3*(N310-$S$1)/$S$2+$O$3*(O310-$T$1)/$T$2+$P$3*(P310-$U$1)/$U$2)/(SUM($L$3:$P$3))</f>
        <v>-1.4868967103540081</v>
      </c>
      <c r="AN310" s="46">
        <f>($L$3*(Q310-$Q$1)/$Q$2+$M$3*(R310-$R$1)/$R$2+$N$3*(S310-$S$1)/$S$2+$O$3*(T310-$T$1)/$T$2+$P$3*(U310-$U$1)/$U$2)/(SUM($L$3:$P$3))</f>
        <v>-0.82182760047410253</v>
      </c>
      <c r="AO310" s="47">
        <f>IF(AVERAGE(AH310:AI310)&gt;9,1,0)+IF(AVERAGE(AH310:AI310)&gt;7,1,0)+IF(AH310&gt;7,1,0)+IF(AI310&gt;7,1,0)+IF(AJ310&gt;8,1,0)+IF(AJ310&gt;6,1,0)</f>
        <v>0</v>
      </c>
      <c r="AP310" s="48">
        <f>MIN(2,IF(OR(Z310="-",X310&lt;5),0,1+IF(Y310&gt;7,0.35,IF(Y310&gt;5,0.1,0))+IF(Z310&gt;7,1+IF(X310&gt;7,0.25,0),IF(Z310&gt;4,0.5+IF(X310&gt;7,0.25,0),0+IF(X310&gt;7,0.25))))+IF(AA310="-",0,IF(AA310&gt;9,0.5,IF(AA310&gt;7,0.25,0)))+IF(AB310="-",0,IF(AB310&gt;7,1.1,IF(AB310&gt;4,0.6,0)))+IF(OR(AC310="-",V310&lt;5),0,IF(AC310&gt;7,1+IF(V310&gt;7,0.25,0),IF(AC310&gt;4,0.5+IF(V310&gt;7,0.25,0),0)))+IF(AD310="-",0,IF(AD310&gt;7,1.5,IF(AD310&gt;4,1,0)))+IF(AE310="-",0,IF(AE310&gt;9,0.5,IF(AE310&gt;7,0.25,0)))+IF(AF310="-",0,IF(AF310&gt;7,1.25,IF(AF310&gt;4,0.75,0)))+IF(OR(AG310="-",W310&lt;4),0,IF(AG310&gt;7,1+IF(W310&gt;7,0.15,0),IF(AG310&gt;4,0.5+IF(W310&gt;7,0.15,0),0))))</f>
        <v>1.35</v>
      </c>
      <c r="AQ310" s="46">
        <f>($AM$3*AM310+$AN$3*AN310+$AO$3*AO310+$AP$3*AP310)+$I$3*VLOOKUP(I310,COND!$A$2:$E$7,4,FALSE)+$J$3*VLOOKUP(J310,COND!$A$2:$C$7,2,FALSE)+$K$3*VLOOKUP(K310,COND!$A$2:$C$7,3,FALSE)+IF(AND($B$2&gt;0,$E310&lt;20),$B$2*25,0)</f>
        <v>36.789379123275367</v>
      </c>
      <c r="AR310" s="49">
        <f>STANDARDIZE(AQ310,AVERAGE($AQ$5:$AQ$537),STDEVP($AQ$5:$AQ$537))</f>
        <v>-0.62615921261082186</v>
      </c>
      <c r="AS310" s="47" t="str">
        <f>IF(AND(Z310&lt;&gt;"-",Y310&gt;1),"C",IF(AB310=MAX(AB310:AD310),"2B",IF(AD310=MAX(AB310:AD310),"SS",IF(OR(AC310=MAX(AA310:AD310),AND(AC310&lt;&gt;"-",AC310&gt;4,V310&gt;5)),"3B",IF(AF310=MAX(AE310:AG310),"CF",IF(AND(AG310=MAX(AE310,AG310),AND(W310&gt;5,AG310&lt;&gt;"-")),"RF",IF(AE310&lt;&gt;"-","LF",IF(AA310&lt;&gt;"-","1B","DH"))))))))</f>
        <v>C</v>
      </c>
      <c r="AT310" s="47"/>
      <c r="AU310" s="47"/>
      <c r="AV310" s="47"/>
      <c r="AW310" s="47" t="str">
        <f>IF(AND($Q310&gt;=6,AVERAGE($S310:$T310)&gt;=6),"Likely",IF(OR($Q310&gt;6,AND($Q310=6,AVERAGE($S310:$T310)&gt;=3),AND($Q310&gt;=5,AVERAGE($S310:$T310)&gt;=5),AVERAGE($Q310,$S310:$T310)&gt;5),"Possible","Unlikely"))</f>
        <v>Unlikely</v>
      </c>
      <c r="AX310" s="47"/>
      <c r="AY310" s="47" t="str">
        <f>INDEX(Table5[[#All],[Ovr]],MATCH(Batters[[#This Row],[PID]],Table5[[#All],[PID]],0))</f>
        <v/>
      </c>
      <c r="AZ310" s="47" t="str">
        <f>INDEX(Table5[[#All],[Rnd]],MATCH(Batters[[#This Row],[PID]],Table5[[#All],[PID]],0))</f>
        <v/>
      </c>
      <c r="BA310" s="47" t="str">
        <f>INDEX(Table5[[#All],[Pick]],MATCH(Batters[[#This Row],[PID]],Table5[[#All],[PID]],0))</f>
        <v/>
      </c>
      <c r="BB310" s="47" t="str">
        <f>INDEX(Table5[[#All],[Team]],MATCH(Batters[[#This Row],[PID]],Table5[[#All],[PID]],0))</f>
        <v/>
      </c>
    </row>
    <row r="311" spans="1:54" ht="15" customHeight="1" x14ac:dyDescent="0.25">
      <c r="A311" s="42">
        <v>10295</v>
      </c>
      <c r="B311" s="42" t="s">
        <v>71</v>
      </c>
      <c r="C311" s="42" t="s">
        <v>189</v>
      </c>
      <c r="D311" s="42" t="s">
        <v>816</v>
      </c>
      <c r="E311" s="42">
        <v>21</v>
      </c>
      <c r="F311" s="42" t="s">
        <v>42</v>
      </c>
      <c r="G311" s="42" t="s">
        <v>42</v>
      </c>
      <c r="H311" s="43" t="s">
        <v>709</v>
      </c>
      <c r="I311" s="44" t="s">
        <v>47</v>
      </c>
      <c r="J311" s="42" t="s">
        <v>43</v>
      </c>
      <c r="K311" s="43" t="s">
        <v>43</v>
      </c>
      <c r="L311" s="42">
        <v>2</v>
      </c>
      <c r="M311" s="42">
        <v>3</v>
      </c>
      <c r="N311" s="42">
        <v>2</v>
      </c>
      <c r="O311" s="42">
        <v>3</v>
      </c>
      <c r="P311" s="43">
        <v>1</v>
      </c>
      <c r="Q311" s="42">
        <v>3</v>
      </c>
      <c r="R311" s="42">
        <v>5</v>
      </c>
      <c r="S311" s="42">
        <v>3</v>
      </c>
      <c r="T311" s="42">
        <v>5</v>
      </c>
      <c r="U311" s="43">
        <v>4</v>
      </c>
      <c r="V311" s="42">
        <v>2</v>
      </c>
      <c r="W311" s="42">
        <v>1</v>
      </c>
      <c r="X311" s="42">
        <v>1</v>
      </c>
      <c r="Y311" s="43">
        <v>1</v>
      </c>
      <c r="Z311" s="42" t="s">
        <v>45</v>
      </c>
      <c r="AA311" s="42" t="s">
        <v>45</v>
      </c>
      <c r="AB311" s="42">
        <v>3</v>
      </c>
      <c r="AC311" s="42" t="s">
        <v>45</v>
      </c>
      <c r="AD311" s="42" t="s">
        <v>45</v>
      </c>
      <c r="AE311" s="42" t="s">
        <v>45</v>
      </c>
      <c r="AF311" s="42" t="s">
        <v>45</v>
      </c>
      <c r="AG311" s="43" t="s">
        <v>45</v>
      </c>
      <c r="AH311" s="42">
        <v>10</v>
      </c>
      <c r="AI311" s="42">
        <v>4</v>
      </c>
      <c r="AJ311" s="43">
        <v>4</v>
      </c>
      <c r="AK311" s="45" t="s">
        <v>717</v>
      </c>
      <c r="AL311" s="45" t="s">
        <v>47</v>
      </c>
      <c r="AM311" s="46">
        <f>($L$3*(L311-$Q$1)/$Q$2+$M$3*(M311-$R$1)/$R$2+$N$3*(N311-$S$1)/$S$2+$O$3*(O311-$T$1)/$T$2+$P$3*(P311-$U$1)/$U$2)/(SUM($L$3:$P$3))</f>
        <v>-1.3971871603444268</v>
      </c>
      <c r="AN311" s="46">
        <f>($L$3*(Q311-$Q$1)/$Q$2+$M$3*(R311-$R$1)/$R$2+$N$3*(S311-$S$1)/$S$2+$O$3*(T311-$T$1)/$T$2+$P$3*(U311-$U$1)/$U$2)/(SUM($L$3:$P$3))</f>
        <v>-0.58998195141003107</v>
      </c>
      <c r="AO311" s="47">
        <f>IF(AVERAGE(AH311:AI311)&gt;9,1,0)+IF(AVERAGE(AH311:AI311)&gt;7,1,0)+IF(AH311&gt;7,1,0)+IF(AI311&gt;7,1,0)+IF(AJ311&gt;8,1,0)+IF(AJ311&gt;6,1,0)</f>
        <v>1</v>
      </c>
      <c r="AP311" s="48">
        <f>MIN(2,IF(OR(Z311="-",X311&lt;5),0,1+IF(Y311&gt;7,0.35,IF(Y311&gt;5,0.1,0))+IF(Z311&gt;7,1+IF(X311&gt;7,0.25,0),IF(Z311&gt;4,0.5+IF(X311&gt;7,0.25,0),0+IF(X311&gt;7,0.25))))+IF(AA311="-",0,IF(AA311&gt;9,0.5,IF(AA311&gt;7,0.25,0)))+IF(AB311="-",0,IF(AB311&gt;7,1.1,IF(AB311&gt;4,0.6,0)))+IF(OR(AC311="-",V311&lt;5),0,IF(AC311&gt;7,1+IF(V311&gt;7,0.25,0),IF(AC311&gt;4,0.5+IF(V311&gt;7,0.25,0),0)))+IF(AD311="-",0,IF(AD311&gt;7,1.5,IF(AD311&gt;4,1,0)))+IF(AE311="-",0,IF(AE311&gt;9,0.5,IF(AE311&gt;7,0.25,0)))+IF(AF311="-",0,IF(AF311&gt;7,1.25,IF(AF311&gt;4,0.75,0)))+IF(OR(AG311="-",W311&lt;4),0,IF(AG311&gt;7,1+IF(W311&gt;7,0.15,0),IF(AG311&gt;4,0.5+IF(W311&gt;7,0.15,0),0))))</f>
        <v>0</v>
      </c>
      <c r="AQ311" s="46">
        <f>($AM$3*AM311+$AN$3*AN311+$AO$3*AO311+$AP$3*AP311)+$I$3*VLOOKUP(I311,COND!$A$2:$E$7,4,FALSE)+$J$3*VLOOKUP(J311,COND!$A$2:$C$7,2,FALSE)+$K$3*VLOOKUP(K311,COND!$A$2:$C$7,3,FALSE)+IF(AND($B$2&gt;0,$E311&lt;20),$B$2*25,0)</f>
        <v>38.17216453371185</v>
      </c>
      <c r="AR311" s="49">
        <f>STANDARDIZE(AQ311,AVERAGE($AQ$5:$AQ$537),STDEVP($AQ$5:$AQ$537))</f>
        <v>-0.38286731005586638</v>
      </c>
      <c r="AS311" s="47" t="str">
        <f>IF(AND(Z311&lt;&gt;"-",Y311&gt;1),"C",IF(AB311=MAX(AB311:AD311),"2B",IF(AD311=MAX(AB311:AD311),"SS",IF(OR(AC311=MAX(AA311:AD311),AND(AC311&lt;&gt;"-",AC311&gt;4,V311&gt;5)),"3B",IF(AF311=MAX(AE311:AG311),"CF",IF(AND(AG311=MAX(AE311,AG311),AND(W311&gt;5,AG311&lt;&gt;"-")),"RF",IF(AE311&lt;&gt;"-","LF",IF(AA311&lt;&gt;"-","1B","DH"))))))))</f>
        <v>2B</v>
      </c>
      <c r="AT311" s="47"/>
      <c r="AU311" s="47"/>
      <c r="AV311" s="47"/>
      <c r="AW311" s="47" t="str">
        <f>IF(AND($Q311&gt;=6,AVERAGE($S311:$T311)&gt;=6),"Likely",IF(OR($Q311&gt;6,AND($Q311=6,AVERAGE($S311:$T311)&gt;=3),AND($Q311&gt;=5,AVERAGE($S311:$T311)&gt;=5),AVERAGE($Q311,$S311:$T311)&gt;5),"Possible","Unlikely"))</f>
        <v>Unlikely</v>
      </c>
      <c r="AX311" s="47"/>
      <c r="AY311" s="47" t="str">
        <f>INDEX(Table5[[#All],[Ovr]],MATCH(Batters[[#This Row],[PID]],Table5[[#All],[PID]],0))</f>
        <v/>
      </c>
      <c r="AZ311" s="47" t="str">
        <f>INDEX(Table5[[#All],[Rnd]],MATCH(Batters[[#This Row],[PID]],Table5[[#All],[PID]],0))</f>
        <v/>
      </c>
      <c r="BA311" s="47" t="str">
        <f>INDEX(Table5[[#All],[Pick]],MATCH(Batters[[#This Row],[PID]],Table5[[#All],[PID]],0))</f>
        <v/>
      </c>
      <c r="BB311" s="47" t="str">
        <f>INDEX(Table5[[#All],[Team]],MATCH(Batters[[#This Row],[PID]],Table5[[#All],[PID]],0))</f>
        <v/>
      </c>
    </row>
    <row r="312" spans="1:54" ht="15" customHeight="1" x14ac:dyDescent="0.25">
      <c r="A312" s="42">
        <v>11479</v>
      </c>
      <c r="B312" s="42" t="s">
        <v>50</v>
      </c>
      <c r="C312" s="42" t="s">
        <v>563</v>
      </c>
      <c r="D312" s="42" t="s">
        <v>862</v>
      </c>
      <c r="E312" s="42">
        <v>21</v>
      </c>
      <c r="F312" s="42" t="s">
        <v>42</v>
      </c>
      <c r="G312" s="42" t="s">
        <v>42</v>
      </c>
      <c r="H312" s="43" t="s">
        <v>709</v>
      </c>
      <c r="I312" s="44" t="s">
        <v>43</v>
      </c>
      <c r="J312" s="42" t="s">
        <v>43</v>
      </c>
      <c r="K312" s="43" t="s">
        <v>43</v>
      </c>
      <c r="L312" s="42">
        <v>1</v>
      </c>
      <c r="M312" s="42">
        <v>2</v>
      </c>
      <c r="N312" s="42">
        <v>3</v>
      </c>
      <c r="O312" s="42">
        <v>3</v>
      </c>
      <c r="P312" s="43">
        <v>1</v>
      </c>
      <c r="Q312" s="42">
        <v>3</v>
      </c>
      <c r="R312" s="42">
        <v>4</v>
      </c>
      <c r="S312" s="42">
        <v>5</v>
      </c>
      <c r="T312" s="42">
        <v>5</v>
      </c>
      <c r="U312" s="43">
        <v>2</v>
      </c>
      <c r="V312" s="42">
        <v>4</v>
      </c>
      <c r="W312" s="42">
        <v>7</v>
      </c>
      <c r="X312" s="42">
        <v>1</v>
      </c>
      <c r="Y312" s="43">
        <v>1</v>
      </c>
      <c r="Z312" s="42" t="s">
        <v>45</v>
      </c>
      <c r="AA312" s="42" t="s">
        <v>45</v>
      </c>
      <c r="AB312" s="42" t="s">
        <v>45</v>
      </c>
      <c r="AC312" s="42" t="s">
        <v>45</v>
      </c>
      <c r="AD312" s="42" t="s">
        <v>45</v>
      </c>
      <c r="AE312" s="42">
        <v>6</v>
      </c>
      <c r="AF312" s="42" t="s">
        <v>45</v>
      </c>
      <c r="AG312" s="43" t="s">
        <v>45</v>
      </c>
      <c r="AH312" s="42">
        <v>4</v>
      </c>
      <c r="AI312" s="42">
        <v>4</v>
      </c>
      <c r="AJ312" s="43">
        <v>2</v>
      </c>
      <c r="AK312" s="45" t="s">
        <v>745</v>
      </c>
      <c r="AL312" s="45" t="s">
        <v>705</v>
      </c>
      <c r="AM312" s="46">
        <f>($L$3*(L312-$Q$1)/$Q$2+$M$3*(M312-$R$1)/$R$2+$N$3*(N312-$S$1)/$S$2+$O$3*(O312-$T$1)/$T$2+$P$3*(P312-$U$1)/$U$2)/(SUM($L$3:$P$3))</f>
        <v>-1.6877413821419032</v>
      </c>
      <c r="AN312" s="46">
        <f>($L$3*(Q312-$Q$1)/$Q$2+$M$3*(R312-$R$1)/$R$2+$N$3*(S312-$S$1)/$S$2+$O$3*(T312-$T$1)/$T$2+$P$3*(U312-$U$1)/$U$2)/(SUM($L$3:$P$3))</f>
        <v>-0.55495152261509839</v>
      </c>
      <c r="AO312" s="47">
        <f>IF(AVERAGE(AH312:AI312)&gt;9,1,0)+IF(AVERAGE(AH312:AI312)&gt;7,1,0)+IF(AH312&gt;7,1,0)+IF(AI312&gt;7,1,0)+IF(AJ312&gt;8,1,0)+IF(AJ312&gt;6,1,0)</f>
        <v>0</v>
      </c>
      <c r="AP312" s="48">
        <f>MIN(2,IF(OR(Z312="-",X312&lt;5),0,1+IF(Y312&gt;7,0.35,IF(Y312&gt;5,0.1,0))+IF(Z312&gt;7,1+IF(X312&gt;7,0.25,0),IF(Z312&gt;4,0.5+IF(X312&gt;7,0.25,0),0+IF(X312&gt;7,0.25))))+IF(AA312="-",0,IF(AA312&gt;9,0.5,IF(AA312&gt;7,0.25,0)))+IF(AB312="-",0,IF(AB312&gt;7,1.1,IF(AB312&gt;4,0.6,0)))+IF(OR(AC312="-",V312&lt;5),0,IF(AC312&gt;7,1+IF(V312&gt;7,0.25,0),IF(AC312&gt;4,0.5+IF(V312&gt;7,0.25,0),0)))+IF(AD312="-",0,IF(AD312&gt;7,1.5,IF(AD312&gt;4,1,0)))+IF(AE312="-",0,IF(AE312&gt;9,0.5,IF(AE312&gt;7,0.25,0)))+IF(AF312="-",0,IF(AF312&gt;7,1.25,IF(AF312&gt;4,0.75,0)))+IF(OR(AG312="-",W312&lt;4),0,IF(AG312&gt;7,1+IF(W312&gt;7,0.15,0),IF(AG312&gt;4,0.5+IF(W312&gt;7,0.15,0),0))))</f>
        <v>0</v>
      </c>
      <c r="AQ312" s="46">
        <f>($AM$3*AM312+$AN$3*AN312+$AO$3*AO312+$AP$3*AP312)+$I$3*VLOOKUP(I312,COND!$A$2:$E$7,4,FALSE)+$J$3*VLOOKUP(J312,COND!$A$2:$C$7,2,FALSE)+$K$3*VLOOKUP(K312,COND!$A$2:$C$7,3,FALSE)+IF(AND($B$2&gt;0,$E312&lt;20),$B$2*25,0)</f>
        <v>38.171807590404626</v>
      </c>
      <c r="AR312" s="49">
        <f>STANDARDIZE(AQ312,AVERAGE($AQ$5:$AQ$537),STDEVP($AQ$5:$AQ$537))</f>
        <v>-0.38293011185841902</v>
      </c>
      <c r="AS312" s="47" t="str">
        <f>IF(AND(Z312&lt;&gt;"-",Y312&gt;1),"C",IF(AB312=MAX(AB312:AD312),"2B",IF(AD312=MAX(AB312:AD312),"SS",IF(OR(AC312=MAX(AA312:AD312),AND(AC312&lt;&gt;"-",AC312&gt;4,V312&gt;5)),"3B",IF(AF312=MAX(AE312:AG312),"CF",IF(AND(AG312=MAX(AE312,AG312),AND(W312&gt;5,AG312&lt;&gt;"-")),"RF",IF(AE312&lt;&gt;"-","LF",IF(AA312&lt;&gt;"-","1B","DH"))))))))</f>
        <v>LF</v>
      </c>
      <c r="AT312" s="47"/>
      <c r="AU312" s="47"/>
      <c r="AV312" s="47"/>
      <c r="AW312" s="47" t="str">
        <f>IF(AND($Q312&gt;=6,AVERAGE($S312:$T312)&gt;=6),"Likely",IF(OR($Q312&gt;6,AND($Q312=6,AVERAGE($S312:$T312)&gt;=3),AND($Q312&gt;=5,AVERAGE($S312:$T312)&gt;=5),AVERAGE($Q312,$S312:$T312)&gt;5),"Possible","Unlikely"))</f>
        <v>Unlikely</v>
      </c>
      <c r="AX312" s="47"/>
      <c r="AY312" s="47" t="str">
        <f>INDEX(Table5[[#All],[Ovr]],MATCH(Batters[[#This Row],[PID]],Table5[[#All],[PID]],0))</f>
        <v/>
      </c>
      <c r="AZ312" s="47" t="str">
        <f>INDEX(Table5[[#All],[Rnd]],MATCH(Batters[[#This Row],[PID]],Table5[[#All],[PID]],0))</f>
        <v/>
      </c>
      <c r="BA312" s="47" t="str">
        <f>INDEX(Table5[[#All],[Pick]],MATCH(Batters[[#This Row],[PID]],Table5[[#All],[PID]],0))</f>
        <v/>
      </c>
      <c r="BB312" s="47" t="str">
        <f>INDEX(Table5[[#All],[Team]],MATCH(Batters[[#This Row],[PID]],Table5[[#All],[PID]],0))</f>
        <v/>
      </c>
    </row>
    <row r="313" spans="1:54" ht="15" customHeight="1" x14ac:dyDescent="0.25">
      <c r="A313" s="42">
        <v>7597</v>
      </c>
      <c r="B313" s="42" t="s">
        <v>72</v>
      </c>
      <c r="C313" s="42" t="s">
        <v>189</v>
      </c>
      <c r="D313" s="42" t="s">
        <v>816</v>
      </c>
      <c r="E313" s="42">
        <v>18</v>
      </c>
      <c r="F313" s="42" t="s">
        <v>42</v>
      </c>
      <c r="G313" s="42" t="s">
        <v>42</v>
      </c>
      <c r="H313" s="43" t="s">
        <v>711</v>
      </c>
      <c r="I313" s="44" t="s">
        <v>43</v>
      </c>
      <c r="J313" s="42" t="s">
        <v>47</v>
      </c>
      <c r="K313" s="43" t="s">
        <v>43</v>
      </c>
      <c r="L313" s="42">
        <v>1</v>
      </c>
      <c r="M313" s="42">
        <v>1</v>
      </c>
      <c r="N313" s="42">
        <v>2</v>
      </c>
      <c r="O313" s="42">
        <v>2</v>
      </c>
      <c r="P313" s="43">
        <v>1</v>
      </c>
      <c r="Q313" s="42">
        <v>2</v>
      </c>
      <c r="R313" s="42">
        <v>3</v>
      </c>
      <c r="S313" s="42">
        <v>3</v>
      </c>
      <c r="T313" s="42">
        <v>5</v>
      </c>
      <c r="U313" s="43">
        <v>3</v>
      </c>
      <c r="V313" s="42">
        <v>5</v>
      </c>
      <c r="W313" s="42">
        <v>7</v>
      </c>
      <c r="X313" s="42">
        <v>1</v>
      </c>
      <c r="Y313" s="43">
        <v>1</v>
      </c>
      <c r="Z313" s="42" t="s">
        <v>45</v>
      </c>
      <c r="AA313" s="42" t="s">
        <v>45</v>
      </c>
      <c r="AB313" s="42" t="s">
        <v>45</v>
      </c>
      <c r="AC313" s="42" t="s">
        <v>45</v>
      </c>
      <c r="AD313" s="42">
        <v>4</v>
      </c>
      <c r="AE313" s="42" t="s">
        <v>45</v>
      </c>
      <c r="AF313" s="42">
        <v>1</v>
      </c>
      <c r="AG313" s="43" t="s">
        <v>45</v>
      </c>
      <c r="AH313" s="42">
        <v>7</v>
      </c>
      <c r="AI313" s="42">
        <v>7</v>
      </c>
      <c r="AJ313" s="43">
        <v>4</v>
      </c>
      <c r="AK313" s="45" t="s">
        <v>718</v>
      </c>
      <c r="AL313" s="45" t="s">
        <v>705</v>
      </c>
      <c r="AM313" s="46">
        <f>($L$3*(L313-$Q$1)/$Q$2+$M$3*(M313-$R$1)/$R$2+$N$3*(N313-$S$1)/$S$2+$O$3*(O313-$T$1)/$T$2+$P$3*(P313-$U$1)/$U$2)/(SUM($L$3:$P$3))</f>
        <v>-1.9115723057940897</v>
      </c>
      <c r="AN313" s="46">
        <f>($L$3*(Q313-$Q$1)/$Q$2+$M$3*(R313-$R$1)/$R$2+$N$3*(S313-$S$1)/$S$2+$O$3*(T313-$T$1)/$T$2+$P$3*(U313-$U$1)/$U$2)/(SUM($L$3:$P$3))</f>
        <v>-1.0546738866671965</v>
      </c>
      <c r="AO313" s="47">
        <f>IF(AVERAGE(AH313:AI313)&gt;9,1,0)+IF(AVERAGE(AH313:AI313)&gt;7,1,0)+IF(AH313&gt;7,1,0)+IF(AI313&gt;7,1,0)+IF(AJ313&gt;8,1,0)+IF(AJ313&gt;6,1,0)</f>
        <v>0</v>
      </c>
      <c r="AP313" s="48">
        <f>MIN(2,IF(OR(Z313="-",X313&lt;5),0,1+IF(Y313&gt;7,0.35,IF(Y313&gt;5,0.1,0))+IF(Z313&gt;7,1+IF(X313&gt;7,0.25,0),IF(Z313&gt;4,0.5+IF(X313&gt;7,0.25,0),0+IF(X313&gt;7,0.25))))+IF(AA313="-",0,IF(AA313&gt;9,0.5,IF(AA313&gt;7,0.25,0)))+IF(AB313="-",0,IF(AB313&gt;7,1.1,IF(AB313&gt;4,0.6,0)))+IF(OR(AC313="-",V313&lt;5),0,IF(AC313&gt;7,1+IF(V313&gt;7,0.25,0),IF(AC313&gt;4,0.5+IF(V313&gt;7,0.25,0),0)))+IF(AD313="-",0,IF(AD313&gt;7,1.5,IF(AD313&gt;4,1,0)))+IF(AE313="-",0,IF(AE313&gt;9,0.5,IF(AE313&gt;7,0.25,0)))+IF(AF313="-",0,IF(AF313&gt;7,1.25,IF(AF313&gt;4,0.75,0)))+IF(OR(AG313="-",W313&lt;4),0,IF(AG313&gt;7,1+IF(W313&gt;7,0.15,0),IF(AG313&gt;4,0.5+IF(W313&gt;7,0.15,0),0))))</f>
        <v>0</v>
      </c>
      <c r="AQ313" s="46">
        <f>($AM$3*AM313+$AN$3*AN313+$AO$3*AO313+$AP$3*AP313)+$I$3*VLOOKUP(I313,COND!$A$2:$E$7,4,FALSE)+$J$3*VLOOKUP(J313,COND!$A$2:$C$7,2,FALSE)+$K$3*VLOOKUP(K313,COND!$A$2:$C$7,3,FALSE)+IF(AND($B$2&gt;0,$E313&lt;20),$B$2*25,0)</f>
        <v>37.452756129414233</v>
      </c>
      <c r="AR313" s="49">
        <f>STANDARDIZE(AQ313,AVERAGE($AQ$5:$AQ$537),STDEVP($AQ$5:$AQ$537))</f>
        <v>-0.50944243738552486</v>
      </c>
      <c r="AS313" s="47" t="str">
        <f>IF(AND(Z313&lt;&gt;"-",Y313&gt;1),"C",IF(AB313=MAX(AB313:AD313),"2B",IF(AD313=MAX(AB313:AD313),"SS",IF(OR(AC313=MAX(AA313:AD313),AND(AC313&lt;&gt;"-",AC313&gt;4,V313&gt;5)),"3B",IF(AF313=MAX(AE313:AG313),"CF",IF(AND(AG313=MAX(AE313,AG313),AND(W313&gt;5,AG313&lt;&gt;"-")),"RF",IF(AE313&lt;&gt;"-","LF",IF(AA313&lt;&gt;"-","1B","DH"))))))))</f>
        <v>SS</v>
      </c>
      <c r="AT313" s="47"/>
      <c r="AU313" s="47"/>
      <c r="AV313" s="47"/>
      <c r="AW313" s="47" t="str">
        <f>IF(AND($Q313&gt;=6,AVERAGE($S313:$T313)&gt;=6),"Likely",IF(OR($Q313&gt;6,AND($Q313=6,AVERAGE($S313:$T313)&gt;=3),AND($Q313&gt;=5,AVERAGE($S313:$T313)&gt;=5),AVERAGE($Q313,$S313:$T313)&gt;5),"Possible","Unlikely"))</f>
        <v>Unlikely</v>
      </c>
      <c r="AX313" s="47"/>
      <c r="AY313" s="47" t="str">
        <f>INDEX(Table5[[#All],[Ovr]],MATCH(Batters[[#This Row],[PID]],Table5[[#All],[PID]],0))</f>
        <v/>
      </c>
      <c r="AZ313" s="47" t="str">
        <f>INDEX(Table5[[#All],[Rnd]],MATCH(Batters[[#This Row],[PID]],Table5[[#All],[PID]],0))</f>
        <v/>
      </c>
      <c r="BA313" s="47" t="str">
        <f>INDEX(Table5[[#All],[Pick]],MATCH(Batters[[#This Row],[PID]],Table5[[#All],[PID]],0))</f>
        <v/>
      </c>
      <c r="BB313" s="47" t="str">
        <f>INDEX(Table5[[#All],[Team]],MATCH(Batters[[#This Row],[PID]],Table5[[#All],[PID]],0))</f>
        <v/>
      </c>
    </row>
    <row r="314" spans="1:54" ht="15" customHeight="1" x14ac:dyDescent="0.25">
      <c r="A314" s="42">
        <v>7987</v>
      </c>
      <c r="B314" s="42" t="s">
        <v>86</v>
      </c>
      <c r="C314" s="42" t="s">
        <v>136</v>
      </c>
      <c r="D314" s="42" t="s">
        <v>943</v>
      </c>
      <c r="E314" s="42">
        <v>18</v>
      </c>
      <c r="F314" s="42" t="s">
        <v>42</v>
      </c>
      <c r="G314" s="42" t="s">
        <v>42</v>
      </c>
      <c r="H314" s="43" t="s">
        <v>709</v>
      </c>
      <c r="I314" s="44" t="s">
        <v>43</v>
      </c>
      <c r="J314" s="42" t="s">
        <v>43</v>
      </c>
      <c r="K314" s="43" t="s">
        <v>43</v>
      </c>
      <c r="L314" s="42">
        <v>1</v>
      </c>
      <c r="M314" s="42">
        <v>1</v>
      </c>
      <c r="N314" s="42">
        <v>2</v>
      </c>
      <c r="O314" s="42">
        <v>1</v>
      </c>
      <c r="P314" s="43">
        <v>1</v>
      </c>
      <c r="Q314" s="42">
        <v>2</v>
      </c>
      <c r="R314" s="42">
        <v>2</v>
      </c>
      <c r="S314" s="42">
        <v>4</v>
      </c>
      <c r="T314" s="42">
        <v>5</v>
      </c>
      <c r="U314" s="43">
        <v>2</v>
      </c>
      <c r="V314" s="42">
        <v>5</v>
      </c>
      <c r="W314" s="42">
        <v>5</v>
      </c>
      <c r="X314" s="42">
        <v>7</v>
      </c>
      <c r="Y314" s="43">
        <v>7</v>
      </c>
      <c r="Z314" s="42">
        <v>3</v>
      </c>
      <c r="AA314" s="42" t="s">
        <v>45</v>
      </c>
      <c r="AB314" s="42" t="s">
        <v>45</v>
      </c>
      <c r="AC314" s="42" t="s">
        <v>45</v>
      </c>
      <c r="AD314" s="42" t="s">
        <v>45</v>
      </c>
      <c r="AE314" s="42" t="s">
        <v>45</v>
      </c>
      <c r="AF314" s="42" t="s">
        <v>45</v>
      </c>
      <c r="AG314" s="43" t="s">
        <v>45</v>
      </c>
      <c r="AH314" s="42">
        <v>3</v>
      </c>
      <c r="AI314" s="42">
        <v>3</v>
      </c>
      <c r="AJ314" s="43">
        <v>3</v>
      </c>
      <c r="AK314" s="45" t="s">
        <v>599</v>
      </c>
      <c r="AL314" s="45" t="s">
        <v>47</v>
      </c>
      <c r="AM314" s="46">
        <f>($L$3*(L314-$Q$1)/$Q$2+$M$3*(M314-$R$1)/$R$2+$N$3*(N314-$S$1)/$S$2+$O$3*(O314-$T$1)/$T$2+$P$3*(P314-$U$1)/$U$2)/(SUM($L$3:$P$3))</f>
        <v>-2.0012818558036707</v>
      </c>
      <c r="AN314" s="46">
        <f>($L$3*(Q314-$Q$1)/$Q$2+$M$3*(R314-$R$1)/$R$2+$N$3*(S314-$S$1)/$S$2+$O$3*(T314-$T$1)/$T$2+$P$3*(U314-$U$1)/$U$2)/(SUM($L$3:$P$3))</f>
        <v>-1.0626886120790817</v>
      </c>
      <c r="AO314" s="47">
        <f>IF(AVERAGE(AH314:AI314)&gt;9,1,0)+IF(AVERAGE(AH314:AI314)&gt;7,1,0)+IF(AH314&gt;7,1,0)+IF(AI314&gt;7,1,0)+IF(AJ314&gt;8,1,0)+IF(AJ314&gt;6,1,0)</f>
        <v>0</v>
      </c>
      <c r="AP314" s="48">
        <f>MIN(2,IF(OR(Z314="-",X314&lt;5),0,1+IF(Y314&gt;7,0.35,IF(Y314&gt;5,0.1,0))+IF(Z314&gt;7,1+IF(X314&gt;7,0.25,0),IF(Z314&gt;4,0.5+IF(X314&gt;7,0.25,0),0+IF(X314&gt;7,0.25))))+IF(AA314="-",0,IF(AA314&gt;9,0.5,IF(AA314&gt;7,0.25,0)))+IF(AB314="-",0,IF(AB314&gt;7,1.1,IF(AB314&gt;4,0.6,0)))+IF(OR(AC314="-",V314&lt;5),0,IF(AC314&gt;7,1+IF(V314&gt;7,0.25,0),IF(AC314&gt;4,0.5+IF(V314&gt;7,0.25,0),0)))+IF(AD314="-",0,IF(AD314&gt;7,1.5,IF(AD314&gt;4,1,0)))+IF(AE314="-",0,IF(AE314&gt;9,0.5,IF(AE314&gt;7,0.25,0)))+IF(AF314="-",0,IF(AF314&gt;7,1.25,IF(AF314&gt;4,0.75,0)))+IF(OR(AG314="-",W314&lt;4),0,IF(AG314&gt;7,1+IF(W314&gt;7,0.15,0),IF(AG314&gt;4,0.5+IF(W314&gt;7,0.15,0),0))))</f>
        <v>1.1000000000000001</v>
      </c>
      <c r="AQ314" s="46">
        <f>($AM$3*AM314+$AN$3*AN314+$AO$3*AO314+$AP$3*AP314)+$I$3*VLOOKUP(I314,COND!$A$2:$E$7,4,FALSE)+$J$3*VLOOKUP(J314,COND!$A$2:$C$7,2,FALSE)+$K$3*VLOOKUP(K314,COND!$A$2:$C$7,3,FALSE)+IF(AND($B$2&gt;0,$E314&lt;20),$B$2*25,0)</f>
        <v>38.147608469470654</v>
      </c>
      <c r="AR314" s="49">
        <f>STANDARDIZE(AQ314,AVERAGE($AQ$5:$AQ$537),STDEVP($AQ$5:$AQ$537))</f>
        <v>-0.38718778635205214</v>
      </c>
      <c r="AS314" s="47" t="str">
        <f>IF(AND(Z314&lt;&gt;"-",Y314&gt;1),"C",IF(AB314=MAX(AB314:AD314),"2B",IF(AD314=MAX(AB314:AD314),"SS",IF(OR(AC314=MAX(AA314:AD314),AND(AC314&lt;&gt;"-",AC314&gt;4,V314&gt;5)),"3B",IF(AF314=MAX(AE314:AG314),"CF",IF(AND(AG314=MAX(AE314,AG314),AND(W314&gt;5,AG314&lt;&gt;"-")),"RF",IF(AE314&lt;&gt;"-","LF",IF(AA314&lt;&gt;"-","1B","DH"))))))))</f>
        <v>C</v>
      </c>
      <c r="AT314" s="47"/>
      <c r="AU314" s="47"/>
      <c r="AV314" s="47"/>
      <c r="AW314" s="47" t="str">
        <f>IF(AND($Q314&gt;=6,AVERAGE($S314:$T314)&gt;=6),"Likely",IF(OR($Q314&gt;6,AND($Q314=6,AVERAGE($S314:$T314)&gt;=3),AND($Q314&gt;=5,AVERAGE($S314:$T314)&gt;=5),AVERAGE($Q314,$S314:$T314)&gt;5),"Possible","Unlikely"))</f>
        <v>Unlikely</v>
      </c>
      <c r="AX314" s="47"/>
      <c r="AY314" s="47" t="str">
        <f>INDEX(Table5[[#All],[Ovr]],MATCH(Batters[[#This Row],[PID]],Table5[[#All],[PID]],0))</f>
        <v/>
      </c>
      <c r="AZ314" s="47" t="str">
        <f>INDEX(Table5[[#All],[Rnd]],MATCH(Batters[[#This Row],[PID]],Table5[[#All],[PID]],0))</f>
        <v/>
      </c>
      <c r="BA314" s="47" t="str">
        <f>INDEX(Table5[[#All],[Pick]],MATCH(Batters[[#This Row],[PID]],Table5[[#All],[PID]],0))</f>
        <v/>
      </c>
      <c r="BB314" s="47" t="str">
        <f>INDEX(Table5[[#All],[Team]],MATCH(Batters[[#This Row],[PID]],Table5[[#All],[PID]],0))</f>
        <v/>
      </c>
    </row>
    <row r="315" spans="1:54" ht="15" customHeight="1" x14ac:dyDescent="0.25">
      <c r="A315" s="42">
        <v>6484</v>
      </c>
      <c r="B315" s="42" t="s">
        <v>87</v>
      </c>
      <c r="C315" s="42" t="s">
        <v>1389</v>
      </c>
      <c r="D315" s="42" t="s">
        <v>1390</v>
      </c>
      <c r="E315" s="42">
        <v>18</v>
      </c>
      <c r="F315" s="42" t="s">
        <v>53</v>
      </c>
      <c r="G315" s="42" t="s">
        <v>53</v>
      </c>
      <c r="H315" s="43" t="s">
        <v>711</v>
      </c>
      <c r="I315" s="44" t="s">
        <v>44</v>
      </c>
      <c r="J315" s="42" t="s">
        <v>44</v>
      </c>
      <c r="K315" s="43" t="s">
        <v>43</v>
      </c>
      <c r="L315" s="42">
        <v>1</v>
      </c>
      <c r="M315" s="42">
        <v>2</v>
      </c>
      <c r="N315" s="42">
        <v>3</v>
      </c>
      <c r="O315" s="42">
        <v>2</v>
      </c>
      <c r="P315" s="43">
        <v>1</v>
      </c>
      <c r="Q315" s="42">
        <v>2</v>
      </c>
      <c r="R315" s="42">
        <v>4</v>
      </c>
      <c r="S315" s="42">
        <v>5</v>
      </c>
      <c r="T315" s="42">
        <v>5</v>
      </c>
      <c r="U315" s="43">
        <v>2</v>
      </c>
      <c r="V315" s="42">
        <v>4</v>
      </c>
      <c r="W315" s="42">
        <v>7</v>
      </c>
      <c r="X315" s="42">
        <v>1</v>
      </c>
      <c r="Y315" s="43">
        <v>1</v>
      </c>
      <c r="Z315" s="42" t="s">
        <v>45</v>
      </c>
      <c r="AA315" s="42">
        <v>3</v>
      </c>
      <c r="AB315" s="42" t="s">
        <v>45</v>
      </c>
      <c r="AC315" s="42" t="s">
        <v>45</v>
      </c>
      <c r="AD315" s="42" t="s">
        <v>45</v>
      </c>
      <c r="AE315" s="42" t="s">
        <v>45</v>
      </c>
      <c r="AF315" s="42" t="s">
        <v>45</v>
      </c>
      <c r="AG315" s="43" t="s">
        <v>45</v>
      </c>
      <c r="AH315" s="42">
        <v>1</v>
      </c>
      <c r="AI315" s="42">
        <v>1</v>
      </c>
      <c r="AJ315" s="43">
        <v>1</v>
      </c>
      <c r="AK315" s="45" t="s">
        <v>718</v>
      </c>
      <c r="AL315" s="45" t="s">
        <v>705</v>
      </c>
      <c r="AM315" s="46">
        <f>($L$3*(L315-$Q$1)/$Q$2+$M$3*(M315-$R$1)/$R$2+$N$3*(N315-$S$1)/$S$2+$O$3*(O315-$T$1)/$T$2+$P$3*(P315-$U$1)/$U$2)/(SUM($L$3:$P$3))</f>
        <v>-1.7774509321514844</v>
      </c>
      <c r="AN315" s="46">
        <f>($L$3*(Q315-$Q$1)/$Q$2+$M$3*(R315-$R$1)/$R$2+$N$3*(S315-$S$1)/$S$2+$O$3*(T315-$T$1)/$T$2+$P$3*(U315-$U$1)/$U$2)/(SUM($L$3:$P$3))</f>
        <v>-0.87750735881777331</v>
      </c>
      <c r="AO315" s="47">
        <f>IF(AVERAGE(AH315:AI315)&gt;9,1,0)+IF(AVERAGE(AH315:AI315)&gt;7,1,0)+IF(AH315&gt;7,1,0)+IF(AI315&gt;7,1,0)+IF(AJ315&gt;8,1,0)+IF(AJ315&gt;6,1,0)</f>
        <v>0</v>
      </c>
      <c r="AP315" s="48">
        <f>MIN(2,IF(OR(Z315="-",X315&lt;5),0,1+IF(Y315&gt;7,0.35,IF(Y315&gt;5,0.1,0))+IF(Z315&gt;7,1+IF(X315&gt;7,0.25,0),IF(Z315&gt;4,0.5+IF(X315&gt;7,0.25,0),0+IF(X315&gt;7,0.25))))+IF(AA315="-",0,IF(AA315&gt;9,0.5,IF(AA315&gt;7,0.25,0)))+IF(AB315="-",0,IF(AB315&gt;7,1.1,IF(AB315&gt;4,0.6,0)))+IF(OR(AC315="-",V315&lt;5),0,IF(AC315&gt;7,1+IF(V315&gt;7,0.25,0),IF(AC315&gt;4,0.5+IF(V315&gt;7,0.25,0),0)))+IF(AD315="-",0,IF(AD315&gt;7,1.5,IF(AD315&gt;4,1,0)))+IF(AE315="-",0,IF(AE315&gt;9,0.5,IF(AE315&gt;7,0.25,0)))+IF(AF315="-",0,IF(AF315&gt;7,1.25,IF(AF315&gt;4,0.75,0)))+IF(OR(AG315="-",W315&lt;4),0,IF(AG315&gt;7,1+IF(W315&gt;7,0.15,0),IF(AG315&gt;4,0.5+IF(W315&gt;7,0.15,0),0))))</f>
        <v>0</v>
      </c>
      <c r="AQ315" s="46">
        <f>($AM$3*AM315+$AN$3*AN315+$AO$3*AO315+$AP$3*AP315)+$I$3*VLOOKUP(I315,COND!$A$2:$E$7,4,FALSE)+$J$3*VLOOKUP(J315,COND!$A$2:$C$7,2,FALSE)+$K$3*VLOOKUP(K315,COND!$A$2:$C$7,3,FALSE)+IF(AND($B$2&gt;0,$E315&lt;20),$B$2*25,0)</f>
        <v>38.842166600971566</v>
      </c>
      <c r="AR315" s="49">
        <f>STANDARDIZE(AQ315,AVERAGE($AQ$5:$AQ$537),STDEVP($AQ$5:$AQ$537))</f>
        <v>-0.26498489935852193</v>
      </c>
      <c r="AS315" s="47" t="str">
        <f>IF(AND(Z315&lt;&gt;"-",Y315&gt;1),"C",IF(AB315=MAX(AB315:AD315),"2B",IF(AD315=MAX(AB315:AD315),"SS",IF(OR(AC315=MAX(AA315:AD315),AND(AC315&lt;&gt;"-",AC315&gt;4,V315&gt;5)),"3B",IF(AF315=MAX(AE315:AG315),"CF",IF(AND(AG315=MAX(AE315,AG315),AND(W315&gt;5,AG315&lt;&gt;"-")),"RF",IF(AE315&lt;&gt;"-","LF",IF(AA315&lt;&gt;"-","1B","DH"))))))))</f>
        <v>1B</v>
      </c>
      <c r="AT315" s="47"/>
      <c r="AU315" s="47"/>
      <c r="AV315" s="47"/>
      <c r="AW315" s="47" t="str">
        <f>IF(AND($Q315&gt;=6,AVERAGE($S315:$T315)&gt;=6),"Likely",IF(OR($Q315&gt;6,AND($Q315=6,AVERAGE($S315:$T315)&gt;=3),AND($Q315&gt;=5,AVERAGE($S315:$T315)&gt;=5),AVERAGE($Q315,$S315:$T315)&gt;5),"Possible","Unlikely"))</f>
        <v>Unlikely</v>
      </c>
      <c r="AX315" s="47"/>
      <c r="AY315" s="47" t="str">
        <f>INDEX(Table5[[#All],[Ovr]],MATCH(Batters[[#This Row],[PID]],Table5[[#All],[PID]],0))</f>
        <v/>
      </c>
      <c r="AZ315" s="47" t="str">
        <f>INDEX(Table5[[#All],[Rnd]],MATCH(Batters[[#This Row],[PID]],Table5[[#All],[PID]],0))</f>
        <v/>
      </c>
      <c r="BA315" s="47" t="str">
        <f>INDEX(Table5[[#All],[Pick]],MATCH(Batters[[#This Row],[PID]],Table5[[#All],[PID]],0))</f>
        <v/>
      </c>
      <c r="BB315" s="47" t="str">
        <f>INDEX(Table5[[#All],[Team]],MATCH(Batters[[#This Row],[PID]],Table5[[#All],[PID]],0))</f>
        <v/>
      </c>
    </row>
    <row r="316" spans="1:54" ht="15" customHeight="1" x14ac:dyDescent="0.25">
      <c r="A316" s="42">
        <v>2108</v>
      </c>
      <c r="B316" s="42" t="s">
        <v>87</v>
      </c>
      <c r="C316" s="42" t="s">
        <v>1183</v>
      </c>
      <c r="D316" s="42" t="s">
        <v>1184</v>
      </c>
      <c r="E316" s="42">
        <v>21</v>
      </c>
      <c r="F316" s="42" t="s">
        <v>53</v>
      </c>
      <c r="G316" s="42" t="s">
        <v>53</v>
      </c>
      <c r="H316" s="43" t="s">
        <v>709</v>
      </c>
      <c r="I316" s="44" t="s">
        <v>43</v>
      </c>
      <c r="J316" s="42" t="s">
        <v>43</v>
      </c>
      <c r="K316" s="43" t="s">
        <v>43</v>
      </c>
      <c r="L316" s="42">
        <v>2</v>
      </c>
      <c r="M316" s="42">
        <v>3</v>
      </c>
      <c r="N316" s="42">
        <v>3</v>
      </c>
      <c r="O316" s="42">
        <v>3</v>
      </c>
      <c r="P316" s="43">
        <v>2</v>
      </c>
      <c r="Q316" s="42">
        <v>3</v>
      </c>
      <c r="R316" s="42">
        <v>4</v>
      </c>
      <c r="S316" s="42">
        <v>5</v>
      </c>
      <c r="T316" s="42">
        <v>4</v>
      </c>
      <c r="U316" s="43">
        <v>4</v>
      </c>
      <c r="V316" s="42">
        <v>1</v>
      </c>
      <c r="W316" s="42">
        <v>4</v>
      </c>
      <c r="X316" s="42">
        <v>1</v>
      </c>
      <c r="Y316" s="43">
        <v>1</v>
      </c>
      <c r="Z316" s="42" t="s">
        <v>45</v>
      </c>
      <c r="AA316" s="42" t="s">
        <v>45</v>
      </c>
      <c r="AB316" s="42" t="s">
        <v>45</v>
      </c>
      <c r="AC316" s="42" t="s">
        <v>45</v>
      </c>
      <c r="AD316" s="42" t="s">
        <v>45</v>
      </c>
      <c r="AE316" s="42" t="s">
        <v>45</v>
      </c>
      <c r="AF316" s="42" t="s">
        <v>45</v>
      </c>
      <c r="AG316" s="43" t="s">
        <v>45</v>
      </c>
      <c r="AH316" s="42">
        <v>3</v>
      </c>
      <c r="AI316" s="42">
        <v>3</v>
      </c>
      <c r="AJ316" s="43">
        <v>2</v>
      </c>
      <c r="AK316" s="45" t="s">
        <v>45</v>
      </c>
      <c r="AL316" s="45" t="s">
        <v>47</v>
      </c>
      <c r="AM316" s="46">
        <f>($L$3*(L316-$Q$1)/$Q$2+$M$3*(M316-$R$1)/$R$2+$N$3*(N316-$S$1)/$S$2+$O$3*(O316-$T$1)/$T$2+$P$3*(P316-$U$1)/$U$2)/(SUM($L$3:$P$3))</f>
        <v>-1.2741093265034418</v>
      </c>
      <c r="AN316" s="46">
        <f>($L$3*(Q316-$Q$1)/$Q$2+$M$3*(R316-$R$1)/$R$2+$N$3*(S316-$S$1)/$S$2+$O$3*(T316-$T$1)/$T$2+$P$3*(U316-$U$1)/$U$2)/(SUM($L$3:$P$3))</f>
        <v>-0.5646283929905126</v>
      </c>
      <c r="AO316" s="47">
        <f>IF(AVERAGE(AH316:AI316)&gt;9,1,0)+IF(AVERAGE(AH316:AI316)&gt;7,1,0)+IF(AH316&gt;7,1,0)+IF(AI316&gt;7,1,0)+IF(AJ316&gt;8,1,0)+IF(AJ316&gt;6,1,0)</f>
        <v>0</v>
      </c>
      <c r="AP316" s="48">
        <f>MIN(2,IF(OR(Z316="-",X316&lt;5),0,1+IF(Y316&gt;7,0.35,IF(Y316&gt;5,0.1,0))+IF(Z316&gt;7,1+IF(X316&gt;7,0.25,0),IF(Z316&gt;4,0.5+IF(X316&gt;7,0.25,0),0+IF(X316&gt;7,0.25))))+IF(AA316="-",0,IF(AA316&gt;9,0.5,IF(AA316&gt;7,0.25,0)))+IF(AB316="-",0,IF(AB316&gt;7,1.1,IF(AB316&gt;4,0.6,0)))+IF(OR(AC316="-",V316&lt;5),0,IF(AC316&gt;7,1+IF(V316&gt;7,0.25,0),IF(AC316&gt;4,0.5+IF(V316&gt;7,0.25,0),0)))+IF(AD316="-",0,IF(AD316&gt;7,1.5,IF(AD316&gt;4,1,0)))+IF(AE316="-",0,IF(AE316&gt;9,0.5,IF(AE316&gt;7,0.25,0)))+IF(AF316="-",0,IF(AF316&gt;7,1.25,IF(AF316&gt;4,0.75,0)))+IF(OR(AG316="-",W316&lt;4),0,IF(AG316&gt;7,1+IF(W316&gt;7,0.15,0),IF(AG316&gt;4,0.5+IF(W316&gt;7,0.15,0),0))))</f>
        <v>0</v>
      </c>
      <c r="AQ316" s="46">
        <f>($AM$3*AM316+$AN$3*AN316+$AO$3*AO316+$AP$3*AP316)+$I$3*VLOOKUP(I316,COND!$A$2:$E$7,4,FALSE)+$J$3*VLOOKUP(J316,COND!$A$2:$C$7,2,FALSE)+$K$3*VLOOKUP(K316,COND!$A$2:$C$7,3,FALSE)+IF(AND($B$2&gt;0,$E316&lt;20),$B$2*25,0)</f>
        <v>38.097048351463506</v>
      </c>
      <c r="AR316" s="49">
        <f>STANDARDIZE(AQ316,AVERAGE($AQ$5:$AQ$537),STDEVP($AQ$5:$AQ$537))</f>
        <v>-0.39608350307752671</v>
      </c>
      <c r="AS316" s="47" t="str">
        <f>IF(AND(Z316&lt;&gt;"-",Y316&gt;1),"C",IF(AB316=MAX(AB316:AD316),"2B",IF(AD316=MAX(AB316:AD316),"SS",IF(OR(AC316=MAX(AA316:AD316),AND(AC316&lt;&gt;"-",AC316&gt;4,V316&gt;5)),"3B",IF(AF316=MAX(AE316:AG316),"CF",IF(AND(AG316=MAX(AE316,AG316),AND(W316&gt;5,AG316&lt;&gt;"-")),"RF",IF(AE316&lt;&gt;"-","LF",IF(AA316&lt;&gt;"-","1B","DH"))))))))</f>
        <v>DH</v>
      </c>
      <c r="AT316" s="47"/>
      <c r="AU316" s="47"/>
      <c r="AV316" s="47"/>
      <c r="AW316" s="47" t="str">
        <f>IF(AND($Q316&gt;=6,AVERAGE($S316:$T316)&gt;=6),"Likely",IF(OR($Q316&gt;6,AND($Q316=6,AVERAGE($S316:$T316)&gt;=3),AND($Q316&gt;=5,AVERAGE($S316:$T316)&gt;=5),AVERAGE($Q316,$S316:$T316)&gt;5),"Possible","Unlikely"))</f>
        <v>Unlikely</v>
      </c>
      <c r="AX316" s="47"/>
      <c r="AY316" s="47" t="str">
        <f>INDEX(Table5[[#All],[Ovr]],MATCH(Batters[[#This Row],[PID]],Table5[[#All],[PID]],0))</f>
        <v/>
      </c>
      <c r="AZ316" s="47" t="str">
        <f>INDEX(Table5[[#All],[Rnd]],MATCH(Batters[[#This Row],[PID]],Table5[[#All],[PID]],0))</f>
        <v/>
      </c>
      <c r="BA316" s="47" t="str">
        <f>INDEX(Table5[[#All],[Pick]],MATCH(Batters[[#This Row],[PID]],Table5[[#All],[PID]],0))</f>
        <v/>
      </c>
      <c r="BB316" s="47" t="str">
        <f>INDEX(Table5[[#All],[Team]],MATCH(Batters[[#This Row],[PID]],Table5[[#All],[PID]],0))</f>
        <v/>
      </c>
    </row>
    <row r="317" spans="1:54" ht="15" customHeight="1" x14ac:dyDescent="0.25">
      <c r="A317" s="42">
        <v>7691</v>
      </c>
      <c r="B317" s="42" t="s">
        <v>71</v>
      </c>
      <c r="C317" s="42" t="s">
        <v>1356</v>
      </c>
      <c r="D317" s="42" t="s">
        <v>457</v>
      </c>
      <c r="E317" s="42">
        <v>18</v>
      </c>
      <c r="F317" s="42" t="s">
        <v>42</v>
      </c>
      <c r="G317" s="42" t="s">
        <v>42</v>
      </c>
      <c r="H317" s="43" t="s">
        <v>709</v>
      </c>
      <c r="I317" s="44" t="s">
        <v>44</v>
      </c>
      <c r="J317" s="42" t="s">
        <v>43</v>
      </c>
      <c r="K317" s="43" t="s">
        <v>43</v>
      </c>
      <c r="L317" s="42">
        <v>1</v>
      </c>
      <c r="M317" s="42">
        <v>1</v>
      </c>
      <c r="N317" s="42">
        <v>2</v>
      </c>
      <c r="O317" s="42">
        <v>1</v>
      </c>
      <c r="P317" s="43">
        <v>1</v>
      </c>
      <c r="Q317" s="42">
        <v>2</v>
      </c>
      <c r="R317" s="42">
        <v>4</v>
      </c>
      <c r="S317" s="42">
        <v>3</v>
      </c>
      <c r="T317" s="42">
        <v>5</v>
      </c>
      <c r="U317" s="43">
        <v>4</v>
      </c>
      <c r="V317" s="42">
        <v>10</v>
      </c>
      <c r="W317" s="42">
        <v>9</v>
      </c>
      <c r="X317" s="42">
        <v>1</v>
      </c>
      <c r="Y317" s="43">
        <v>1</v>
      </c>
      <c r="Z317" s="42" t="s">
        <v>45</v>
      </c>
      <c r="AA317" s="42" t="s">
        <v>45</v>
      </c>
      <c r="AB317" s="42">
        <v>3</v>
      </c>
      <c r="AC317" s="42" t="s">
        <v>45</v>
      </c>
      <c r="AD317" s="42" t="s">
        <v>45</v>
      </c>
      <c r="AE317" s="42" t="s">
        <v>45</v>
      </c>
      <c r="AF317" s="42" t="s">
        <v>45</v>
      </c>
      <c r="AG317" s="43" t="s">
        <v>45</v>
      </c>
      <c r="AH317" s="42">
        <v>2</v>
      </c>
      <c r="AI317" s="42">
        <v>3</v>
      </c>
      <c r="AJ317" s="43">
        <v>5</v>
      </c>
      <c r="AK317" s="45" t="s">
        <v>730</v>
      </c>
      <c r="AL317" s="45" t="s">
        <v>47</v>
      </c>
      <c r="AM317" s="46">
        <f>($L$3*(L317-$Q$1)/$Q$2+$M$3*(M317-$R$1)/$R$2+$N$3*(N317-$S$1)/$S$2+$O$3*(O317-$T$1)/$T$2+$P$3*(P317-$U$1)/$U$2)/(SUM($L$3:$P$3))</f>
        <v>-2.0012818558036707</v>
      </c>
      <c r="AN317" s="46">
        <f>($L$3*(Q317-$Q$1)/$Q$2+$M$3*(R317-$R$1)/$R$2+$N$3*(S317-$S$1)/$S$2+$O$3*(T317-$T$1)/$T$2+$P$3*(U317-$U$1)/$U$2)/(SUM($L$3:$P$3))</f>
        <v>-0.96359766723140927</v>
      </c>
      <c r="AO317" s="47">
        <f>IF(AVERAGE(AH317:AI317)&gt;9,1,0)+IF(AVERAGE(AH317:AI317)&gt;7,1,0)+IF(AH317&gt;7,1,0)+IF(AI317&gt;7,1,0)+IF(AJ317&gt;8,1,0)+IF(AJ317&gt;6,1,0)</f>
        <v>0</v>
      </c>
      <c r="AP317" s="48">
        <f>MIN(2,IF(OR(Z317="-",X317&lt;5),0,1+IF(Y317&gt;7,0.35,IF(Y317&gt;5,0.1,0))+IF(Z317&gt;7,1+IF(X317&gt;7,0.25,0),IF(Z317&gt;4,0.5+IF(X317&gt;7,0.25,0),0+IF(X317&gt;7,0.25))))+IF(AA317="-",0,IF(AA317&gt;9,0.5,IF(AA317&gt;7,0.25,0)))+IF(AB317="-",0,IF(AB317&gt;7,1.1,IF(AB317&gt;4,0.6,0)))+IF(OR(AC317="-",V317&lt;5),0,IF(AC317&gt;7,1+IF(V317&gt;7,0.25,0),IF(AC317&gt;4,0.5+IF(V317&gt;7,0.25,0),0)))+IF(AD317="-",0,IF(AD317&gt;7,1.5,IF(AD317&gt;4,1,0)))+IF(AE317="-",0,IF(AE317&gt;9,0.5,IF(AE317&gt;7,0.25,0)))+IF(AF317="-",0,IF(AF317&gt;7,1.25,IF(AF317&gt;4,0.75,0)))+IF(OR(AG317="-",W317&lt;4),0,IF(AG317&gt;7,1+IF(W317&gt;7,0.15,0),IF(AG317&gt;4,0.5+IF(W317&gt;7,0.15,0),0))))</f>
        <v>0</v>
      </c>
      <c r="AQ317" s="46">
        <f>($AM$3*AM317+$AN$3*AN317+$AO$3*AO317+$AP$3*AP317)+$I$3*VLOOKUP(I317,COND!$A$2:$E$7,4,FALSE)+$J$3*VLOOKUP(J317,COND!$A$2:$C$7,2,FALSE)+$K$3*VLOOKUP(K317,COND!$A$2:$C$7,3,FALSE)+IF(AND($B$2&gt;0,$E317&lt;20),$B$2*25,0)</f>
        <v>38.086699807642724</v>
      </c>
      <c r="AR317" s="49">
        <f>STANDARDIZE(AQ317,AVERAGE($AQ$5:$AQ$537),STDEVP($AQ$5:$AQ$537))</f>
        <v>-0.39790426058323169</v>
      </c>
      <c r="AS317" s="47" t="str">
        <f>IF(AND(Z317&lt;&gt;"-",Y317&gt;1),"C",IF(AB317=MAX(AB317:AD317),"2B",IF(AD317=MAX(AB317:AD317),"SS",IF(OR(AC317=MAX(AA317:AD317),AND(AC317&lt;&gt;"-",AC317&gt;4,V317&gt;5)),"3B",IF(AF317=MAX(AE317:AG317),"CF",IF(AND(AG317=MAX(AE317,AG317),AND(W317&gt;5,AG317&lt;&gt;"-")),"RF",IF(AE317&lt;&gt;"-","LF",IF(AA317&lt;&gt;"-","1B","DH"))))))))</f>
        <v>2B</v>
      </c>
      <c r="AT317" s="47"/>
      <c r="AU317" s="47"/>
      <c r="AV317" s="47"/>
      <c r="AW317" s="47" t="str">
        <f>IF(AND($Q317&gt;=6,AVERAGE($S317:$T317)&gt;=6),"Likely",IF(OR($Q317&gt;6,AND($Q317=6,AVERAGE($S317:$T317)&gt;=3),AND($Q317&gt;=5,AVERAGE($S317:$T317)&gt;=5),AVERAGE($Q317,$S317:$T317)&gt;5),"Possible","Unlikely"))</f>
        <v>Unlikely</v>
      </c>
      <c r="AX317" s="47"/>
      <c r="AY317" s="47" t="str">
        <f>INDEX(Table5[[#All],[Ovr]],MATCH(Batters[[#This Row],[PID]],Table5[[#All],[PID]],0))</f>
        <v/>
      </c>
      <c r="AZ317" s="47" t="str">
        <f>INDEX(Table5[[#All],[Rnd]],MATCH(Batters[[#This Row],[PID]],Table5[[#All],[PID]],0))</f>
        <v/>
      </c>
      <c r="BA317" s="47" t="str">
        <f>INDEX(Table5[[#All],[Pick]],MATCH(Batters[[#This Row],[PID]],Table5[[#All],[PID]],0))</f>
        <v/>
      </c>
      <c r="BB317" s="47" t="str">
        <f>INDEX(Table5[[#All],[Team]],MATCH(Batters[[#This Row],[PID]],Table5[[#All],[PID]],0))</f>
        <v/>
      </c>
    </row>
    <row r="318" spans="1:54" ht="15" customHeight="1" x14ac:dyDescent="0.25">
      <c r="A318" s="42">
        <v>6275</v>
      </c>
      <c r="B318" s="42" t="s">
        <v>86</v>
      </c>
      <c r="C318" s="42" t="s">
        <v>128</v>
      </c>
      <c r="D318" s="42" t="s">
        <v>1175</v>
      </c>
      <c r="E318" s="42">
        <v>21</v>
      </c>
      <c r="F318" s="42" t="s">
        <v>53</v>
      </c>
      <c r="G318" s="42" t="s">
        <v>42</v>
      </c>
      <c r="H318" s="43" t="s">
        <v>709</v>
      </c>
      <c r="I318" s="44" t="s">
        <v>43</v>
      </c>
      <c r="J318" s="42" t="s">
        <v>47</v>
      </c>
      <c r="K318" s="43" t="s">
        <v>47</v>
      </c>
      <c r="L318" s="42">
        <v>2</v>
      </c>
      <c r="M318" s="42">
        <v>2</v>
      </c>
      <c r="N318" s="42">
        <v>2</v>
      </c>
      <c r="O318" s="42">
        <v>2</v>
      </c>
      <c r="P318" s="43">
        <v>2</v>
      </c>
      <c r="Q318" s="42">
        <v>3</v>
      </c>
      <c r="R318" s="42">
        <v>4</v>
      </c>
      <c r="S318" s="42">
        <v>3</v>
      </c>
      <c r="T318" s="42">
        <v>4</v>
      </c>
      <c r="U318" s="43">
        <v>4</v>
      </c>
      <c r="V318" s="42">
        <v>1</v>
      </c>
      <c r="W318" s="42">
        <v>1</v>
      </c>
      <c r="X318" s="42">
        <v>5</v>
      </c>
      <c r="Y318" s="43">
        <v>6</v>
      </c>
      <c r="Z318" s="42" t="s">
        <v>45</v>
      </c>
      <c r="AA318" s="42" t="s">
        <v>45</v>
      </c>
      <c r="AB318" s="42" t="s">
        <v>45</v>
      </c>
      <c r="AC318" s="42" t="s">
        <v>45</v>
      </c>
      <c r="AD318" s="42" t="s">
        <v>45</v>
      </c>
      <c r="AE318" s="42" t="s">
        <v>45</v>
      </c>
      <c r="AF318" s="42" t="s">
        <v>45</v>
      </c>
      <c r="AG318" s="43" t="s">
        <v>45</v>
      </c>
      <c r="AH318" s="42">
        <v>1</v>
      </c>
      <c r="AI318" s="42">
        <v>1</v>
      </c>
      <c r="AJ318" s="43">
        <v>1</v>
      </c>
      <c r="AK318" s="45" t="s">
        <v>45</v>
      </c>
      <c r="AL318" s="45" t="s">
        <v>47</v>
      </c>
      <c r="AM318" s="46">
        <f>($L$3*(L318-$Q$1)/$Q$2+$M$3*(M318-$R$1)/$R$2+$N$3*(N318-$S$1)/$S$2+$O$3*(O318-$T$1)/$T$2+$P$3*(P318-$U$1)/$U$2)/(SUM($L$3:$P$3))</f>
        <v>-1.4979402501556278</v>
      </c>
      <c r="AN318" s="46">
        <f>($L$3*(Q318-$Q$1)/$Q$2+$M$3*(R318-$R$1)/$R$2+$N$3*(S318-$S$1)/$S$2+$O$3*(T318-$T$1)/$T$2+$P$3*(U318-$U$1)/$U$2)/(SUM($L$3:$P$3))</f>
        <v>-0.7307513810383155</v>
      </c>
      <c r="AO318" s="47">
        <f>IF(AVERAGE(AH318:AI318)&gt;9,1,0)+IF(AVERAGE(AH318:AI318)&gt;7,1,0)+IF(AH318&gt;7,1,0)+IF(AI318&gt;7,1,0)+IF(AJ318&gt;8,1,0)+IF(AJ318&gt;6,1,0)</f>
        <v>0</v>
      </c>
      <c r="AP318" s="48">
        <f>MIN(2,IF(OR(Z318="-",X318&lt;5),0,1+IF(Y318&gt;7,0.35,IF(Y318&gt;5,0.1,0))+IF(Z318&gt;7,1+IF(X318&gt;7,0.25,0),IF(Z318&gt;4,0.5+IF(X318&gt;7,0.25,0),0+IF(X318&gt;7,0.25))))+IF(AA318="-",0,IF(AA318&gt;9,0.5,IF(AA318&gt;7,0.25,0)))+IF(AB318="-",0,IF(AB318&gt;7,1.1,IF(AB318&gt;4,0.6,0)))+IF(OR(AC318="-",V318&lt;5),0,IF(AC318&gt;7,1+IF(V318&gt;7,0.25,0),IF(AC318&gt;4,0.5+IF(V318&gt;7,0.25,0),0)))+IF(AD318="-",0,IF(AD318&gt;7,1.5,IF(AD318&gt;4,1,0)))+IF(AE318="-",0,IF(AE318&gt;9,0.5,IF(AE318&gt;7,0.25,0)))+IF(AF318="-",0,IF(AF318&gt;7,1.25,IF(AF318&gt;4,0.75,0)))+IF(OR(AG318="-",W318&lt;4),0,IF(AG318&gt;7,1+IF(W318&gt;7,0.15,0),IF(AG318&gt;4,0.5+IF(W318&gt;7,0.15,0),0))))</f>
        <v>0</v>
      </c>
      <c r="AQ318" s="46">
        <f>($AM$3*AM318+$AN$3*AN318+$AO$3*AO318+$AP$3*AP318)+$I$3*VLOOKUP(I318,COND!$A$2:$E$7,4,FALSE)+$J$3*VLOOKUP(J318,COND!$A$2:$C$7,2,FALSE)+$K$3*VLOOKUP(K318,COND!$A$2:$C$7,3,FALSE)+IF(AND($B$2&gt;0,$E318&lt;20),$B$2*25,0)</f>
        <v>36.681189402524652</v>
      </c>
      <c r="AR318" s="49">
        <f>STANDARDIZE(AQ318,AVERAGE($AQ$5:$AQ$537),STDEVP($AQ$5:$AQ$537))</f>
        <v>-0.64519447491520376</v>
      </c>
      <c r="AS318" s="47" t="str">
        <f>IF(AND(Z318&lt;&gt;"-",Y318&gt;1),"C",IF(AB318=MAX(AB318:AD318),"2B",IF(AD318=MAX(AB318:AD318),"SS",IF(OR(AC318=MAX(AA318:AD318),AND(AC318&lt;&gt;"-",AC318&gt;4,V318&gt;5)),"3B",IF(AF318=MAX(AE318:AG318),"CF",IF(AND(AG318=MAX(AE318,AG318),AND(W318&gt;5,AG318&lt;&gt;"-")),"RF",IF(AE318&lt;&gt;"-","LF",IF(AA318&lt;&gt;"-","1B","DH"))))))))</f>
        <v>DH</v>
      </c>
      <c r="AT318" s="47"/>
      <c r="AU318" s="47"/>
      <c r="AV318" s="47"/>
      <c r="AW318" s="47" t="str">
        <f>IF(AND($Q318&gt;=6,AVERAGE($S318:$T318)&gt;=6),"Likely",IF(OR($Q318&gt;6,AND($Q318=6,AVERAGE($S318:$T318)&gt;=3),AND($Q318&gt;=5,AVERAGE($S318:$T318)&gt;=5),AVERAGE($Q318,$S318:$T318)&gt;5),"Possible","Unlikely"))</f>
        <v>Unlikely</v>
      </c>
      <c r="AX318" s="47"/>
      <c r="AY318" s="47" t="str">
        <f>INDEX(Table5[[#All],[Ovr]],MATCH(Batters[[#This Row],[PID]],Table5[[#All],[PID]],0))</f>
        <v/>
      </c>
      <c r="AZ318" s="47" t="str">
        <f>INDEX(Table5[[#All],[Rnd]],MATCH(Batters[[#This Row],[PID]],Table5[[#All],[PID]],0))</f>
        <v/>
      </c>
      <c r="BA318" s="47" t="str">
        <f>INDEX(Table5[[#All],[Pick]],MATCH(Batters[[#This Row],[PID]],Table5[[#All],[PID]],0))</f>
        <v/>
      </c>
      <c r="BB318" s="47" t="str">
        <f>INDEX(Table5[[#All],[Team]],MATCH(Batters[[#This Row],[PID]],Table5[[#All],[PID]],0))</f>
        <v/>
      </c>
    </row>
    <row r="319" spans="1:54" ht="15" customHeight="1" x14ac:dyDescent="0.25">
      <c r="A319" s="42">
        <v>9530</v>
      </c>
      <c r="B319" s="42" t="s">
        <v>71</v>
      </c>
      <c r="C319" s="42" t="s">
        <v>149</v>
      </c>
      <c r="D319" s="42" t="s">
        <v>153</v>
      </c>
      <c r="E319" s="42">
        <v>21</v>
      </c>
      <c r="F319" s="42" t="s">
        <v>42</v>
      </c>
      <c r="G319" s="42" t="s">
        <v>42</v>
      </c>
      <c r="H319" s="43" t="s">
        <v>721</v>
      </c>
      <c r="I319" s="44" t="s">
        <v>43</v>
      </c>
      <c r="J319" s="42" t="s">
        <v>43</v>
      </c>
      <c r="K319" s="43" t="s">
        <v>43</v>
      </c>
      <c r="L319" s="42">
        <v>1</v>
      </c>
      <c r="M319" s="42">
        <v>1</v>
      </c>
      <c r="N319" s="42">
        <v>2</v>
      </c>
      <c r="O319" s="42">
        <v>1</v>
      </c>
      <c r="P319" s="43">
        <v>1</v>
      </c>
      <c r="Q319" s="42">
        <v>4</v>
      </c>
      <c r="R319" s="42">
        <v>2</v>
      </c>
      <c r="S319" s="42">
        <v>3</v>
      </c>
      <c r="T319" s="42">
        <v>3</v>
      </c>
      <c r="U319" s="43">
        <v>5</v>
      </c>
      <c r="V319" s="42">
        <v>2</v>
      </c>
      <c r="W319" s="42">
        <v>1</v>
      </c>
      <c r="X319" s="42">
        <v>1</v>
      </c>
      <c r="Y319" s="43">
        <v>1</v>
      </c>
      <c r="Z319" s="42" t="s">
        <v>45</v>
      </c>
      <c r="AA319" s="42" t="s">
        <v>45</v>
      </c>
      <c r="AB319" s="42">
        <v>1</v>
      </c>
      <c r="AC319" s="42" t="s">
        <v>45</v>
      </c>
      <c r="AD319" s="42" t="s">
        <v>45</v>
      </c>
      <c r="AE319" s="42" t="s">
        <v>45</v>
      </c>
      <c r="AF319" s="42" t="s">
        <v>45</v>
      </c>
      <c r="AG319" s="43" t="s">
        <v>45</v>
      </c>
      <c r="AH319" s="42">
        <v>1</v>
      </c>
      <c r="AI319" s="42">
        <v>1</v>
      </c>
      <c r="AJ319" s="43">
        <v>1</v>
      </c>
      <c r="AK319" s="45" t="s">
        <v>45</v>
      </c>
      <c r="AL319" s="45" t="s">
        <v>47</v>
      </c>
      <c r="AM319" s="46">
        <f>($L$3*(L319-$Q$1)/$Q$2+$M$3*(M319-$R$1)/$R$2+$N$3*(N319-$S$1)/$S$2+$O$3*(O319-$T$1)/$T$2+$P$3*(P319-$U$1)/$U$2)/(SUM($L$3:$P$3))</f>
        <v>-2.0012818558036707</v>
      </c>
      <c r="AN319" s="46">
        <f>($L$3*(Q319-$Q$1)/$Q$2+$M$3*(R319-$R$1)/$R$2+$N$3*(S319-$S$1)/$S$2+$O$3*(T319-$T$1)/$T$2+$P$3*(U319-$U$1)/$U$2)/(SUM($L$3:$P$3))</f>
        <v>-0.56000851426554543</v>
      </c>
      <c r="AO319" s="47">
        <f>IF(AVERAGE(AH319:AI319)&gt;9,1,0)+IF(AVERAGE(AH319:AI319)&gt;7,1,0)+IF(AH319&gt;7,1,0)+IF(AI319&gt;7,1,0)+IF(AJ319&gt;8,1,0)+IF(AJ319&gt;6,1,0)</f>
        <v>0</v>
      </c>
      <c r="AP319" s="48">
        <f>MIN(2,IF(OR(Z319="-",X319&lt;5),0,1+IF(Y319&gt;7,0.35,IF(Y319&gt;5,0.1,0))+IF(Z319&gt;7,1+IF(X319&gt;7,0.25,0),IF(Z319&gt;4,0.5+IF(X319&gt;7,0.25,0),0+IF(X319&gt;7,0.25))))+IF(AA319="-",0,IF(AA319&gt;9,0.5,IF(AA319&gt;7,0.25,0)))+IF(AB319="-",0,IF(AB319&gt;7,1.1,IF(AB319&gt;4,0.6,0)))+IF(OR(AC319="-",V319&lt;5),0,IF(AC319&gt;7,1+IF(V319&gt;7,0.25,0),IF(AC319&gt;4,0.5+IF(V319&gt;7,0.25,0),0)))+IF(AD319="-",0,IF(AD319&gt;7,1.5,IF(AD319&gt;4,1,0)))+IF(AE319="-",0,IF(AE319&gt;9,0.5,IF(AE319&gt;7,0.25,0)))+IF(AF319="-",0,IF(AF319&gt;7,1.25,IF(AF319&gt;4,0.75,0)))+IF(OR(AG319="-",W319&lt;4),0,IF(AG319&gt;7,1+IF(W319&gt;7,0.15,0),IF(AG319&gt;4,0.5+IF(W319&gt;7,0.15,0),0))))</f>
        <v>0</v>
      </c>
      <c r="AQ319" s="46">
        <f>($AM$3*AM319+$AN$3*AN319+$AO$3*AO319+$AP$3*AP319)+$I$3*VLOOKUP(I319,COND!$A$2:$E$7,4,FALSE)+$J$3*VLOOKUP(J319,COND!$A$2:$C$7,2,FALSE)+$K$3*VLOOKUP(K319,COND!$A$2:$C$7,3,FALSE)+IF(AND($B$2&gt;0,$E319&lt;20),$B$2*25,0)</f>
        <v>38.079769643233092</v>
      </c>
      <c r="AR319" s="49">
        <f>STANDARDIZE(AQ319,AVERAGE($AQ$5:$AQ$537),STDEVP($AQ$5:$AQ$537))</f>
        <v>-0.39912357695113121</v>
      </c>
      <c r="AS319" s="47" t="str">
        <f>IF(AND(Z319&lt;&gt;"-",Y319&gt;1),"C",IF(AB319=MAX(AB319:AD319),"2B",IF(AD319=MAX(AB319:AD319),"SS",IF(OR(AC319=MAX(AA319:AD319),AND(AC319&lt;&gt;"-",AC319&gt;4,V319&gt;5)),"3B",IF(AF319=MAX(AE319:AG319),"CF",IF(AND(AG319=MAX(AE319,AG319),AND(W319&gt;5,AG319&lt;&gt;"-")),"RF",IF(AE319&lt;&gt;"-","LF",IF(AA319&lt;&gt;"-","1B","DH"))))))))</f>
        <v>2B</v>
      </c>
      <c r="AT319" s="47"/>
      <c r="AU319" s="47"/>
      <c r="AV319" s="47"/>
      <c r="AW319" s="47" t="str">
        <f>IF(AND($Q319&gt;=6,AVERAGE($S319:$T319)&gt;=6),"Likely",IF(OR($Q319&gt;6,AND($Q319=6,AVERAGE($S319:$T319)&gt;=3),AND($Q319&gt;=5,AVERAGE($S319:$T319)&gt;=5),AVERAGE($Q319,$S319:$T319)&gt;5),"Possible","Unlikely"))</f>
        <v>Unlikely</v>
      </c>
      <c r="AX319" s="47"/>
      <c r="AY319" s="47" t="str">
        <f>INDEX(Table5[[#All],[Ovr]],MATCH(Batters[[#This Row],[PID]],Table5[[#All],[PID]],0))</f>
        <v/>
      </c>
      <c r="AZ319" s="47" t="str">
        <f>INDEX(Table5[[#All],[Rnd]],MATCH(Batters[[#This Row],[PID]],Table5[[#All],[PID]],0))</f>
        <v/>
      </c>
      <c r="BA319" s="47" t="str">
        <f>INDEX(Table5[[#All],[Pick]],MATCH(Batters[[#This Row],[PID]],Table5[[#All],[PID]],0))</f>
        <v/>
      </c>
      <c r="BB319" s="47" t="str">
        <f>INDEX(Table5[[#All],[Team]],MATCH(Batters[[#This Row],[PID]],Table5[[#All],[PID]],0))</f>
        <v/>
      </c>
    </row>
    <row r="320" spans="1:54" ht="15" customHeight="1" x14ac:dyDescent="0.25">
      <c r="A320" s="42">
        <v>12702</v>
      </c>
      <c r="B320" s="42" t="s">
        <v>87</v>
      </c>
      <c r="C320" s="42" t="s">
        <v>724</v>
      </c>
      <c r="D320" s="42" t="s">
        <v>1277</v>
      </c>
      <c r="E320" s="42">
        <v>21</v>
      </c>
      <c r="F320" s="42" t="s">
        <v>42</v>
      </c>
      <c r="G320" s="42" t="s">
        <v>42</v>
      </c>
      <c r="H320" s="43" t="s">
        <v>711</v>
      </c>
      <c r="I320" s="44" t="s">
        <v>43</v>
      </c>
      <c r="J320" s="42" t="s">
        <v>47</v>
      </c>
      <c r="K320" s="43" t="s">
        <v>47</v>
      </c>
      <c r="L320" s="42">
        <v>2</v>
      </c>
      <c r="M320" s="42">
        <v>2</v>
      </c>
      <c r="N320" s="42">
        <v>2</v>
      </c>
      <c r="O320" s="42">
        <v>1</v>
      </c>
      <c r="P320" s="43">
        <v>1</v>
      </c>
      <c r="Q320" s="42">
        <v>3</v>
      </c>
      <c r="R320" s="42">
        <v>3</v>
      </c>
      <c r="S320" s="42">
        <v>4</v>
      </c>
      <c r="T320" s="42">
        <v>4</v>
      </c>
      <c r="U320" s="43">
        <v>3</v>
      </c>
      <c r="V320" s="42">
        <v>2</v>
      </c>
      <c r="W320" s="42">
        <v>1</v>
      </c>
      <c r="X320" s="42">
        <v>1</v>
      </c>
      <c r="Y320" s="43">
        <v>1</v>
      </c>
      <c r="Z320" s="42" t="s">
        <v>45</v>
      </c>
      <c r="AA320" s="42">
        <v>6</v>
      </c>
      <c r="AB320" s="42" t="s">
        <v>45</v>
      </c>
      <c r="AC320" s="42" t="s">
        <v>45</v>
      </c>
      <c r="AD320" s="42" t="s">
        <v>45</v>
      </c>
      <c r="AE320" s="42" t="s">
        <v>45</v>
      </c>
      <c r="AF320" s="42" t="s">
        <v>45</v>
      </c>
      <c r="AG320" s="43" t="s">
        <v>45</v>
      </c>
      <c r="AH320" s="42">
        <v>1</v>
      </c>
      <c r="AI320" s="42">
        <v>1</v>
      </c>
      <c r="AJ320" s="43">
        <v>1</v>
      </c>
      <c r="AK320" s="45" t="s">
        <v>45</v>
      </c>
      <c r="AL320" s="45" t="s">
        <v>705</v>
      </c>
      <c r="AM320" s="46">
        <f>($L$3*(L320-$Q$1)/$Q$2+$M$3*(M320-$R$1)/$R$2+$N$3*(N320-$S$1)/$S$2+$O$3*(O320-$T$1)/$T$2+$P$3*(P320-$U$1)/$U$2)/(SUM($L$3:$P$3))</f>
        <v>-1.6276661399822923</v>
      </c>
      <c r="AN320" s="46">
        <f>($L$3*(Q320-$Q$1)/$Q$2+$M$3*(R320-$R$1)/$R$2+$N$3*(S320-$S$1)/$S$2+$O$3*(T320-$T$1)/$T$2+$P$3*(U320-$U$1)/$U$2)/(SUM($L$3:$P$3))</f>
        <v>-0.73876610645020102</v>
      </c>
      <c r="AO320" s="47">
        <f>IF(AVERAGE(AH320:AI320)&gt;9,1,0)+IF(AVERAGE(AH320:AI320)&gt;7,1,0)+IF(AH320&gt;7,1,0)+IF(AI320&gt;7,1,0)+IF(AJ320&gt;8,1,0)+IF(AJ320&gt;6,1,0)</f>
        <v>0</v>
      </c>
      <c r="AP320" s="48">
        <f>MIN(2,IF(OR(Z320="-",X320&lt;5),0,1+IF(Y320&gt;7,0.35,IF(Y320&gt;5,0.1,0))+IF(Z320&gt;7,1+IF(X320&gt;7,0.25,0),IF(Z320&gt;4,0.5+IF(X320&gt;7,0.25,0),0+IF(X320&gt;7,0.25))))+IF(AA320="-",0,IF(AA320&gt;9,0.5,IF(AA320&gt;7,0.25,0)))+IF(AB320="-",0,IF(AB320&gt;7,1.1,IF(AB320&gt;4,0.6,0)))+IF(OR(AC320="-",V320&lt;5),0,IF(AC320&gt;7,1+IF(V320&gt;7,0.25,0),IF(AC320&gt;4,0.5+IF(V320&gt;7,0.25,0),0)))+IF(AD320="-",0,IF(AD320&gt;7,1.5,IF(AD320&gt;4,1,0)))+IF(AE320="-",0,IF(AE320&gt;9,0.5,IF(AE320&gt;7,0.25,0)))+IF(AF320="-",0,IF(AF320&gt;7,1.25,IF(AF320&gt;4,0.75,0)))+IF(OR(AG320="-",W320&lt;4),0,IF(AG320&gt;7,1+IF(W320&gt;7,0.15,0),IF(AG320&gt;4,0.5+IF(W320&gt;7,0.15,0),0))))</f>
        <v>0</v>
      </c>
      <c r="AQ320" s="46">
        <f>($AM$3*AM320+$AN$3*AN320+$AO$3*AO320+$AP$3*AP320)+$I$3*VLOOKUP(I320,COND!$A$2:$E$7,4,FALSE)+$J$3*VLOOKUP(J320,COND!$A$2:$C$7,2,FALSE)+$K$3*VLOOKUP(K320,COND!$A$2:$C$7,3,FALSE)+IF(AND($B$2&gt;0,$E320&lt;20),$B$2*25,0)</f>
        <v>36.57204010859936</v>
      </c>
      <c r="AR320" s="49">
        <f>STANDARDIZE(AQ320,AVERAGE($AQ$5:$AQ$537),STDEVP($AQ$5:$AQ$537))</f>
        <v>-0.66439856774203787</v>
      </c>
      <c r="AS320" s="47" t="str">
        <f>IF(AND(Z320&lt;&gt;"-",Y320&gt;1),"C",IF(AB320=MAX(AB320:AD320),"2B",IF(AD320=MAX(AB320:AD320),"SS",IF(OR(AC320=MAX(AA320:AD320),AND(AC320&lt;&gt;"-",AC320&gt;4,V320&gt;5)),"3B",IF(AF320=MAX(AE320:AG320),"CF",IF(AND(AG320=MAX(AE320,AG320),AND(W320&gt;5,AG320&lt;&gt;"-")),"RF",IF(AE320&lt;&gt;"-","LF",IF(AA320&lt;&gt;"-","1B","DH"))))))))</f>
        <v>1B</v>
      </c>
      <c r="AT320" s="47"/>
      <c r="AU320" s="47"/>
      <c r="AV320" s="47"/>
      <c r="AW320" s="47" t="str">
        <f>IF(AND($Q320&gt;=6,AVERAGE($S320:$T320)&gt;=6),"Likely",IF(OR($Q320&gt;6,AND($Q320=6,AVERAGE($S320:$T320)&gt;=3),AND($Q320&gt;=5,AVERAGE($S320:$T320)&gt;=5),AVERAGE($Q320,$S320:$T320)&gt;5),"Possible","Unlikely"))</f>
        <v>Unlikely</v>
      </c>
      <c r="AX320" s="47"/>
      <c r="AY320" s="47" t="str">
        <f>INDEX(Table5[[#All],[Ovr]],MATCH(Batters[[#This Row],[PID]],Table5[[#All],[PID]],0))</f>
        <v/>
      </c>
      <c r="AZ320" s="47" t="str">
        <f>INDEX(Table5[[#All],[Rnd]],MATCH(Batters[[#This Row],[PID]],Table5[[#All],[PID]],0))</f>
        <v/>
      </c>
      <c r="BA320" s="47" t="str">
        <f>INDEX(Table5[[#All],[Pick]],MATCH(Batters[[#This Row],[PID]],Table5[[#All],[PID]],0))</f>
        <v/>
      </c>
      <c r="BB320" s="47" t="str">
        <f>INDEX(Table5[[#All],[Team]],MATCH(Batters[[#This Row],[PID]],Table5[[#All],[PID]],0))</f>
        <v/>
      </c>
    </row>
    <row r="321" spans="1:54" ht="15" customHeight="1" x14ac:dyDescent="0.25">
      <c r="A321" s="42">
        <v>12166</v>
      </c>
      <c r="B321" s="42" t="s">
        <v>87</v>
      </c>
      <c r="C321" s="42" t="s">
        <v>1194</v>
      </c>
      <c r="D321" s="42" t="s">
        <v>346</v>
      </c>
      <c r="E321" s="42">
        <v>18</v>
      </c>
      <c r="F321" s="42" t="s">
        <v>53</v>
      </c>
      <c r="G321" s="42" t="s">
        <v>42</v>
      </c>
      <c r="H321" s="43" t="s">
        <v>721</v>
      </c>
      <c r="I321" s="44" t="s">
        <v>43</v>
      </c>
      <c r="J321" s="42" t="s">
        <v>44</v>
      </c>
      <c r="K321" s="43" t="s">
        <v>44</v>
      </c>
      <c r="L321" s="42">
        <v>1</v>
      </c>
      <c r="M321" s="42">
        <v>1</v>
      </c>
      <c r="N321" s="42">
        <v>2</v>
      </c>
      <c r="O321" s="42">
        <v>1</v>
      </c>
      <c r="P321" s="43">
        <v>1</v>
      </c>
      <c r="Q321" s="42">
        <v>3</v>
      </c>
      <c r="R321" s="42">
        <v>2</v>
      </c>
      <c r="S321" s="42">
        <v>3</v>
      </c>
      <c r="T321" s="42">
        <v>5</v>
      </c>
      <c r="U321" s="43">
        <v>2</v>
      </c>
      <c r="V321" s="42">
        <v>3</v>
      </c>
      <c r="W321" s="42">
        <v>4</v>
      </c>
      <c r="X321" s="42">
        <v>5</v>
      </c>
      <c r="Y321" s="43">
        <v>4</v>
      </c>
      <c r="Z321" s="42" t="s">
        <v>45</v>
      </c>
      <c r="AA321" s="42">
        <v>1</v>
      </c>
      <c r="AB321" s="42" t="s">
        <v>45</v>
      </c>
      <c r="AC321" s="42" t="s">
        <v>45</v>
      </c>
      <c r="AD321" s="42" t="s">
        <v>45</v>
      </c>
      <c r="AE321" s="42" t="s">
        <v>45</v>
      </c>
      <c r="AF321" s="42" t="s">
        <v>45</v>
      </c>
      <c r="AG321" s="43" t="s">
        <v>45</v>
      </c>
      <c r="AH321" s="42">
        <v>1</v>
      </c>
      <c r="AI321" s="42">
        <v>1</v>
      </c>
      <c r="AJ321" s="43">
        <v>2</v>
      </c>
      <c r="AK321" s="45" t="s">
        <v>739</v>
      </c>
      <c r="AL321" s="45" t="s">
        <v>705</v>
      </c>
      <c r="AM321" s="46">
        <f>($L$3*(L321-$Q$1)/$Q$2+$M$3*(M321-$R$1)/$R$2+$N$3*(N321-$S$1)/$S$2+$O$3*(O321-$T$1)/$T$2+$P$3*(P321-$U$1)/$U$2)/(SUM($L$3:$P$3))</f>
        <v>-2.0012818558036707</v>
      </c>
      <c r="AN321" s="46">
        <f>($L$3*(Q321-$Q$1)/$Q$2+$M$3*(R321-$R$1)/$R$2+$N$3*(S321-$S$1)/$S$2+$O$3*(T321-$T$1)/$T$2+$P$3*(U321-$U$1)/$U$2)/(SUM($L$3:$P$3))</f>
        <v>-0.82319426990030853</v>
      </c>
      <c r="AO321" s="47">
        <f>IF(AVERAGE(AH321:AI321)&gt;9,1,0)+IF(AVERAGE(AH321:AI321)&gt;7,1,0)+IF(AH321&gt;7,1,0)+IF(AI321&gt;7,1,0)+IF(AJ321&gt;8,1,0)+IF(AJ321&gt;6,1,0)</f>
        <v>0</v>
      </c>
      <c r="AP321" s="48">
        <f>MIN(2,IF(OR(Z321="-",X321&lt;5),0,1+IF(Y321&gt;7,0.35,IF(Y321&gt;5,0.1,0))+IF(Z321&gt;7,1+IF(X321&gt;7,0.25,0),IF(Z321&gt;4,0.5+IF(X321&gt;7,0.25,0),0+IF(X321&gt;7,0.25))))+IF(AA321="-",0,IF(AA321&gt;9,0.5,IF(AA321&gt;7,0.25,0)))+IF(AB321="-",0,IF(AB321&gt;7,1.1,IF(AB321&gt;4,0.6,0)))+IF(OR(AC321="-",V321&lt;5),0,IF(AC321&gt;7,1+IF(V321&gt;7,0.25,0),IF(AC321&gt;4,0.5+IF(V321&gt;7,0.25,0),0)))+IF(AD321="-",0,IF(AD321&gt;7,1.5,IF(AD321&gt;4,1,0)))+IF(AE321="-",0,IF(AE321&gt;9,0.5,IF(AE321&gt;7,0.25,0)))+IF(AF321="-",0,IF(AF321&gt;7,1.25,IF(AF321&gt;4,0.75,0)))+IF(OR(AG321="-",W321&lt;4),0,IF(AG321&gt;7,1+IF(W321&gt;7,0.15,0),IF(AG321&gt;4,0.5+IF(W321&gt;7,0.15,0),0))))</f>
        <v>0</v>
      </c>
      <c r="AQ321" s="46">
        <f>($AM$3*AM321+$AN$3*AN321+$AO$3*AO321+$AP$3*AP321)+$I$3*VLOOKUP(I321,COND!$A$2:$E$7,4,FALSE)+$J$3*VLOOKUP(J321,COND!$A$2:$C$7,2,FALSE)+$K$3*VLOOKUP(K321,COND!$A$2:$C$7,3,FALSE)+IF(AND($B$2&gt;0,$E321&lt;20),$B$2*25,0)</f>
        <v>39.321540575615927</v>
      </c>
      <c r="AR321" s="49">
        <f>STANDARDIZE(AQ321,AVERAGE($AQ$5:$AQ$537),STDEVP($AQ$5:$AQ$537))</f>
        <v>-0.18064223458471348</v>
      </c>
      <c r="AS321" s="47" t="str">
        <f>IF(AND(Z321&lt;&gt;"-",Y321&gt;1),"C",IF(AB321=MAX(AB321:AD321),"2B",IF(AD321=MAX(AB321:AD321),"SS",IF(OR(AC321=MAX(AA321:AD321),AND(AC321&lt;&gt;"-",AC321&gt;4,V321&gt;5)),"3B",IF(AF321=MAX(AE321:AG321),"CF",IF(AND(AG321=MAX(AE321,AG321),AND(W321&gt;5,AG321&lt;&gt;"-")),"RF",IF(AE321&lt;&gt;"-","LF",IF(AA321&lt;&gt;"-","1B","DH"))))))))</f>
        <v>1B</v>
      </c>
      <c r="AT321" s="47"/>
      <c r="AU321" s="47"/>
      <c r="AV321" s="47"/>
      <c r="AW321" s="47" t="str">
        <f>IF(AND($Q321&gt;=6,AVERAGE($S321:$T321)&gt;=6),"Likely",IF(OR($Q321&gt;6,AND($Q321=6,AVERAGE($S321:$T321)&gt;=3),AND($Q321&gt;=5,AVERAGE($S321:$T321)&gt;=5),AVERAGE($Q321,$S321:$T321)&gt;5),"Possible","Unlikely"))</f>
        <v>Unlikely</v>
      </c>
      <c r="AX321" s="47"/>
      <c r="AY321" s="47" t="str">
        <f>INDEX(Table5[[#All],[Ovr]],MATCH(Batters[[#This Row],[PID]],Table5[[#All],[PID]],0))</f>
        <v/>
      </c>
      <c r="AZ321" s="47" t="str">
        <f>INDEX(Table5[[#All],[Rnd]],MATCH(Batters[[#This Row],[PID]],Table5[[#All],[PID]],0))</f>
        <v/>
      </c>
      <c r="BA321" s="47" t="str">
        <f>INDEX(Table5[[#All],[Pick]],MATCH(Batters[[#This Row],[PID]],Table5[[#All],[PID]],0))</f>
        <v/>
      </c>
      <c r="BB321" s="47" t="str">
        <f>INDEX(Table5[[#All],[Team]],MATCH(Batters[[#This Row],[PID]],Table5[[#All],[PID]],0))</f>
        <v/>
      </c>
    </row>
    <row r="322" spans="1:54" ht="15" customHeight="1" x14ac:dyDescent="0.25">
      <c r="A322" s="42">
        <v>11843</v>
      </c>
      <c r="B322" s="42" t="s">
        <v>50</v>
      </c>
      <c r="C322" s="42" t="s">
        <v>180</v>
      </c>
      <c r="D322" s="42" t="s">
        <v>760</v>
      </c>
      <c r="E322" s="42">
        <v>22</v>
      </c>
      <c r="F322" s="42" t="s">
        <v>62</v>
      </c>
      <c r="G322" s="42" t="s">
        <v>53</v>
      </c>
      <c r="H322" s="43" t="s">
        <v>721</v>
      </c>
      <c r="I322" s="44" t="s">
        <v>47</v>
      </c>
      <c r="J322" s="42" t="s">
        <v>47</v>
      </c>
      <c r="K322" s="43" t="s">
        <v>43</v>
      </c>
      <c r="L322" s="42">
        <v>3</v>
      </c>
      <c r="M322" s="42">
        <v>2</v>
      </c>
      <c r="N322" s="42">
        <v>2</v>
      </c>
      <c r="O322" s="42">
        <v>2</v>
      </c>
      <c r="P322" s="43">
        <v>3</v>
      </c>
      <c r="Q322" s="42">
        <v>4</v>
      </c>
      <c r="R322" s="42">
        <v>2</v>
      </c>
      <c r="S322" s="42">
        <v>2</v>
      </c>
      <c r="T322" s="42">
        <v>3</v>
      </c>
      <c r="U322" s="43">
        <v>4</v>
      </c>
      <c r="V322" s="42">
        <v>5</v>
      </c>
      <c r="W322" s="42">
        <v>3</v>
      </c>
      <c r="X322" s="42">
        <v>1</v>
      </c>
      <c r="Y322" s="43">
        <v>1</v>
      </c>
      <c r="Z322" s="42" t="s">
        <v>45</v>
      </c>
      <c r="AA322" s="42" t="s">
        <v>45</v>
      </c>
      <c r="AB322" s="42" t="s">
        <v>45</v>
      </c>
      <c r="AC322" s="42" t="s">
        <v>45</v>
      </c>
      <c r="AD322" s="42" t="s">
        <v>45</v>
      </c>
      <c r="AE322" s="42">
        <v>1</v>
      </c>
      <c r="AF322" s="42" t="s">
        <v>45</v>
      </c>
      <c r="AG322" s="43" t="s">
        <v>45</v>
      </c>
      <c r="AH322" s="42">
        <v>1</v>
      </c>
      <c r="AI322" s="42">
        <v>2</v>
      </c>
      <c r="AJ322" s="43">
        <v>2</v>
      </c>
      <c r="AK322" s="45" t="s">
        <v>45</v>
      </c>
      <c r="AL322" s="45" t="s">
        <v>705</v>
      </c>
      <c r="AM322" s="46">
        <f>($L$3*(L322-$Q$1)/$Q$2+$M$3*(M322-$R$1)/$R$2+$N$3*(N322-$S$1)/$S$2+$O$3*(O322-$T$1)/$T$2+$P$3*(P322-$U$1)/$U$2)/(SUM($L$3:$P$3))</f>
        <v>-1.1353680741358696</v>
      </c>
      <c r="AN322" s="46">
        <f>($L$3*(Q322-$Q$1)/$Q$2+$M$3*(R322-$R$1)/$R$2+$N$3*(S322-$S$1)/$S$2+$O$3*(T322-$T$1)/$T$2+$P$3*(U322-$U$1)/$U$2)/(SUM($L$3:$P$3))</f>
        <v>-0.68308634810653046</v>
      </c>
      <c r="AO322" s="47">
        <f>IF(AVERAGE(AH322:AI322)&gt;9,1,0)+IF(AVERAGE(AH322:AI322)&gt;7,1,0)+IF(AH322&gt;7,1,0)+IF(AI322&gt;7,1,0)+IF(AJ322&gt;8,1,0)+IF(AJ322&gt;6,1,0)</f>
        <v>0</v>
      </c>
      <c r="AP322" s="48">
        <f>MIN(2,IF(OR(Z322="-",X322&lt;5),0,1+IF(Y322&gt;7,0.35,IF(Y322&gt;5,0.1,0))+IF(Z322&gt;7,1+IF(X322&gt;7,0.25,0),IF(Z322&gt;4,0.5+IF(X322&gt;7,0.25,0),0+IF(X322&gt;7,0.25))))+IF(AA322="-",0,IF(AA322&gt;9,0.5,IF(AA322&gt;7,0.25,0)))+IF(AB322="-",0,IF(AB322&gt;7,1.1,IF(AB322&gt;4,0.6,0)))+IF(OR(AC322="-",V322&lt;5),0,IF(AC322&gt;7,1+IF(V322&gt;7,0.25,0),IF(AC322&gt;4,0.5+IF(V322&gt;7,0.25,0),0)))+IF(AD322="-",0,IF(AD322&gt;7,1.5,IF(AD322&gt;4,1,0)))+IF(AE322="-",0,IF(AE322&gt;9,0.5,IF(AE322&gt;7,0.25,0)))+IF(AF322="-",0,IF(AF322&gt;7,1.25,IF(AF322&gt;4,0.75,0)))+IF(OR(AG322="-",W322&lt;4),0,IF(AG322&gt;7,1+IF(W322&gt;7,0.15,0),IF(AG322&gt;4,0.5+IF(W322&gt;7,0.15,0),0))))</f>
        <v>0</v>
      </c>
      <c r="AQ322" s="46">
        <f>($AM$3*AM322+$AN$3*AN322+$AO$3*AO322+$AP$3*AP322)+$I$3*VLOOKUP(I322,COND!$A$2:$E$7,4,FALSE)+$J$3*VLOOKUP(J322,COND!$A$2:$C$7,2,FALSE)+$K$3*VLOOKUP(K322,COND!$A$2:$C$7,3,FALSE)+IF(AND($B$2&gt;0,$E322&lt;20),$B$2*25,0)</f>
        <v>37.214427015308047</v>
      </c>
      <c r="AR322" s="49">
        <f>STANDARDIZE(AQ322,AVERAGE($AQ$5:$AQ$537),STDEVP($AQ$5:$AQ$537))</f>
        <v>-0.55137486100491218</v>
      </c>
      <c r="AS322" s="47" t="str">
        <f>IF(AND(Z322&lt;&gt;"-",Y322&gt;1),"C",IF(AB322=MAX(AB322:AD322),"2B",IF(AD322=MAX(AB322:AD322),"SS",IF(OR(AC322=MAX(AA322:AD322),AND(AC322&lt;&gt;"-",AC322&gt;4,V322&gt;5)),"3B",IF(AF322=MAX(AE322:AG322),"CF",IF(AND(AG322=MAX(AE322,AG322),AND(W322&gt;5,AG322&lt;&gt;"-")),"RF",IF(AE322&lt;&gt;"-","LF",IF(AA322&lt;&gt;"-","1B","DH"))))))))</f>
        <v>LF</v>
      </c>
      <c r="AT322" s="47"/>
      <c r="AU322" s="47"/>
      <c r="AV322" s="47"/>
      <c r="AW322" s="47" t="str">
        <f>IF(AND($Q322&gt;=6,AVERAGE($S322:$T322)&gt;=6),"Likely",IF(OR($Q322&gt;6,AND($Q322=6,AVERAGE($S322:$T322)&gt;=3),AND($Q322&gt;=5,AVERAGE($S322:$T322)&gt;=5),AVERAGE($Q322,$S322:$T322)&gt;5),"Possible","Unlikely"))</f>
        <v>Unlikely</v>
      </c>
      <c r="AX322" s="47"/>
      <c r="AY322" s="47" t="str">
        <f>INDEX(Table5[[#All],[Ovr]],MATCH(Batters[[#This Row],[PID]],Table5[[#All],[PID]],0))</f>
        <v/>
      </c>
      <c r="AZ322" s="47" t="str">
        <f>INDEX(Table5[[#All],[Rnd]],MATCH(Batters[[#This Row],[PID]],Table5[[#All],[PID]],0))</f>
        <v/>
      </c>
      <c r="BA322" s="47" t="str">
        <f>INDEX(Table5[[#All],[Pick]],MATCH(Batters[[#This Row],[PID]],Table5[[#All],[PID]],0))</f>
        <v/>
      </c>
      <c r="BB322" s="47" t="str">
        <f>INDEX(Table5[[#All],[Team]],MATCH(Batters[[#This Row],[PID]],Table5[[#All],[PID]],0))</f>
        <v/>
      </c>
    </row>
    <row r="323" spans="1:54" ht="15" customHeight="1" x14ac:dyDescent="0.25">
      <c r="A323" s="42">
        <v>17879</v>
      </c>
      <c r="B323" s="42" t="s">
        <v>87</v>
      </c>
      <c r="C323" s="42" t="s">
        <v>348</v>
      </c>
      <c r="D323" s="42" t="s">
        <v>470</v>
      </c>
      <c r="E323" s="42">
        <v>18</v>
      </c>
      <c r="F323" s="42" t="s">
        <v>42</v>
      </c>
      <c r="G323" s="42" t="s">
        <v>42</v>
      </c>
      <c r="H323" s="43" t="s">
        <v>721</v>
      </c>
      <c r="I323" s="44" t="s">
        <v>47</v>
      </c>
      <c r="J323" s="42" t="s">
        <v>43</v>
      </c>
      <c r="K323" s="43" t="s">
        <v>47</v>
      </c>
      <c r="L323" s="42">
        <v>1</v>
      </c>
      <c r="M323" s="42">
        <v>1</v>
      </c>
      <c r="N323" s="42">
        <v>2</v>
      </c>
      <c r="O323" s="42">
        <v>1</v>
      </c>
      <c r="P323" s="43">
        <v>1</v>
      </c>
      <c r="Q323" s="42">
        <v>3</v>
      </c>
      <c r="R323" s="42">
        <v>2</v>
      </c>
      <c r="S323" s="42">
        <v>2</v>
      </c>
      <c r="T323" s="42">
        <v>2</v>
      </c>
      <c r="U323" s="43">
        <v>4</v>
      </c>
      <c r="V323" s="42">
        <v>6</v>
      </c>
      <c r="W323" s="42">
        <v>2</v>
      </c>
      <c r="X323" s="42">
        <v>1</v>
      </c>
      <c r="Y323" s="43">
        <v>1</v>
      </c>
      <c r="Z323" s="42" t="s">
        <v>45</v>
      </c>
      <c r="AA323" s="42" t="s">
        <v>45</v>
      </c>
      <c r="AB323" s="42" t="s">
        <v>45</v>
      </c>
      <c r="AC323" s="42" t="s">
        <v>45</v>
      </c>
      <c r="AD323" s="42" t="s">
        <v>45</v>
      </c>
      <c r="AE323" s="42" t="s">
        <v>45</v>
      </c>
      <c r="AF323" s="42" t="s">
        <v>45</v>
      </c>
      <c r="AG323" s="43" t="s">
        <v>45</v>
      </c>
      <c r="AH323" s="42">
        <v>2</v>
      </c>
      <c r="AI323" s="42">
        <v>1</v>
      </c>
      <c r="AJ323" s="43">
        <v>1</v>
      </c>
      <c r="AK323" s="45" t="s">
        <v>745</v>
      </c>
      <c r="AL323" s="45" t="s">
        <v>705</v>
      </c>
      <c r="AM323" s="46">
        <f>($L$3*(L323-$Q$1)/$Q$2+$M$3*(M323-$R$1)/$R$2+$N$3*(N323-$S$1)/$S$2+$O$3*(O323-$T$1)/$T$2+$P$3*(P323-$U$1)/$U$2)/(SUM($L$3:$P$3))</f>
        <v>-2.0012818558036707</v>
      </c>
      <c r="AN323" s="46">
        <f>($L$3*(Q323-$Q$1)/$Q$2+$M$3*(R323-$R$1)/$R$2+$N$3*(S323-$S$1)/$S$2+$O$3*(T323-$T$1)/$T$2+$P$3*(U323-$U$1)/$U$2)/(SUM($L$3:$P$3))</f>
        <v>-1.0953517343187862</v>
      </c>
      <c r="AO323" s="47">
        <f>IF(AVERAGE(AH323:AI323)&gt;9,1,0)+IF(AVERAGE(AH323:AI323)&gt;7,1,0)+IF(AH323&gt;7,1,0)+IF(AI323&gt;7,1,0)+IF(AJ323&gt;8,1,0)+IF(AJ323&gt;6,1,0)</f>
        <v>0</v>
      </c>
      <c r="AP323" s="48">
        <f>MIN(2,IF(OR(Z323="-",X323&lt;5),0,1+IF(Y323&gt;7,0.35,IF(Y323&gt;5,0.1,0))+IF(Z323&gt;7,1+IF(X323&gt;7,0.25,0),IF(Z323&gt;4,0.5+IF(X323&gt;7,0.25,0),0+IF(X323&gt;7,0.25))))+IF(AA323="-",0,IF(AA323&gt;9,0.5,IF(AA323&gt;7,0.25,0)))+IF(AB323="-",0,IF(AB323&gt;7,1.1,IF(AB323&gt;4,0.6,0)))+IF(OR(AC323="-",V323&lt;5),0,IF(AC323&gt;7,1+IF(V323&gt;7,0.25,0),IF(AC323&gt;4,0.5+IF(V323&gt;7,0.25,0),0)))+IF(AD323="-",0,IF(AD323&gt;7,1.5,IF(AD323&gt;4,1,0)))+IF(AE323="-",0,IF(AE323&gt;9,0.5,IF(AE323&gt;7,0.25,0)))+IF(AF323="-",0,IF(AF323&gt;7,1.25,IF(AF323&gt;4,0.75,0)))+IF(OR(AG323="-",W323&lt;4),0,IF(AG323&gt;7,1+IF(W323&gt;7,0.15,0),IF(AG323&gt;4,0.5+IF(W323&gt;7,0.15,0),0))))</f>
        <v>0</v>
      </c>
      <c r="AQ323" s="46">
        <f>($AM$3*AM323+$AN$3*AN323+$AO$3*AO323+$AP$3*AP323)+$I$3*VLOOKUP(I323,COND!$A$2:$E$7,4,FALSE)+$J$3*VLOOKUP(J323,COND!$A$2:$C$7,2,FALSE)+$K$3*VLOOKUP(K323,COND!$A$2:$C$7,3,FALSE)+IF(AND($B$2&gt;0,$E323&lt;20),$B$2*25,0)</f>
        <v>37.180651002594203</v>
      </c>
      <c r="AR323" s="49">
        <f>STANDARDIZE(AQ323,AVERAGE($AQ$5:$AQ$537),STDEVP($AQ$5:$AQ$537))</f>
        <v>-0.5573175259562857</v>
      </c>
      <c r="AS323" s="47" t="str">
        <f>IF(AND(Z323&lt;&gt;"-",Y323&gt;1),"C",IF(AB323=MAX(AB323:AD323),"2B",IF(AD323=MAX(AB323:AD323),"SS",IF(OR(AC323=MAX(AA323:AD323),AND(AC323&lt;&gt;"-",AC323&gt;4,V323&gt;5)),"3B",IF(AF323=MAX(AE323:AG323),"CF",IF(AND(AG323=MAX(AE323,AG323),AND(W323&gt;5,AG323&lt;&gt;"-")),"RF",IF(AE323&lt;&gt;"-","LF",IF(AA323&lt;&gt;"-","1B","DH"))))))))</f>
        <v>DH</v>
      </c>
      <c r="AT323" s="47"/>
      <c r="AU323" s="47"/>
      <c r="AV323" s="47"/>
      <c r="AW323" s="47" t="str">
        <f>IF(AND($Q323&gt;=6,AVERAGE($S323:$T323)&gt;=6),"Likely",IF(OR($Q323&gt;6,AND($Q323=6,AVERAGE($S323:$T323)&gt;=3),AND($Q323&gt;=5,AVERAGE($S323:$T323)&gt;=5),AVERAGE($Q323,$S323:$T323)&gt;5),"Possible","Unlikely"))</f>
        <v>Unlikely</v>
      </c>
      <c r="AX323" s="47"/>
      <c r="AY323" s="47" t="str">
        <f>INDEX(Table5[[#All],[Ovr]],MATCH(Batters[[#This Row],[PID]],Table5[[#All],[PID]],0))</f>
        <v/>
      </c>
      <c r="AZ323" s="47" t="str">
        <f>INDEX(Table5[[#All],[Rnd]],MATCH(Batters[[#This Row],[PID]],Table5[[#All],[PID]],0))</f>
        <v/>
      </c>
      <c r="BA323" s="47" t="str">
        <f>INDEX(Table5[[#All],[Pick]],MATCH(Batters[[#This Row],[PID]],Table5[[#All],[PID]],0))</f>
        <v/>
      </c>
      <c r="BB323" s="47" t="str">
        <f>INDEX(Table5[[#All],[Team]],MATCH(Batters[[#This Row],[PID]],Table5[[#All],[PID]],0))</f>
        <v/>
      </c>
    </row>
    <row r="324" spans="1:54" ht="15" customHeight="1" x14ac:dyDescent="0.25">
      <c r="A324" s="42">
        <v>12313</v>
      </c>
      <c r="B324" s="42" t="s">
        <v>86</v>
      </c>
      <c r="C324" s="42" t="s">
        <v>1185</v>
      </c>
      <c r="D324" s="42" t="s">
        <v>1186</v>
      </c>
      <c r="E324" s="42">
        <v>21</v>
      </c>
      <c r="F324" s="42" t="s">
        <v>42</v>
      </c>
      <c r="G324" s="42" t="s">
        <v>42</v>
      </c>
      <c r="H324" s="43" t="s">
        <v>703</v>
      </c>
      <c r="I324" s="44" t="s">
        <v>43</v>
      </c>
      <c r="J324" s="42" t="s">
        <v>43</v>
      </c>
      <c r="K324" s="43" t="s">
        <v>44</v>
      </c>
      <c r="L324" s="42">
        <v>2</v>
      </c>
      <c r="M324" s="42">
        <v>4</v>
      </c>
      <c r="N324" s="42">
        <v>3</v>
      </c>
      <c r="O324" s="42">
        <v>5</v>
      </c>
      <c r="P324" s="43">
        <v>1</v>
      </c>
      <c r="Q324" s="42">
        <v>3</v>
      </c>
      <c r="R324" s="42">
        <v>4</v>
      </c>
      <c r="S324" s="42">
        <v>3</v>
      </c>
      <c r="T324" s="42">
        <v>7</v>
      </c>
      <c r="U324" s="43">
        <v>3</v>
      </c>
      <c r="V324" s="42">
        <v>4</v>
      </c>
      <c r="W324" s="42">
        <v>3</v>
      </c>
      <c r="X324" s="42">
        <v>6</v>
      </c>
      <c r="Y324" s="43">
        <v>8</v>
      </c>
      <c r="Z324" s="42" t="s">
        <v>45</v>
      </c>
      <c r="AA324" s="42" t="s">
        <v>45</v>
      </c>
      <c r="AB324" s="42" t="s">
        <v>45</v>
      </c>
      <c r="AC324" s="42" t="s">
        <v>45</v>
      </c>
      <c r="AD324" s="42" t="s">
        <v>45</v>
      </c>
      <c r="AE324" s="42" t="s">
        <v>45</v>
      </c>
      <c r="AF324" s="42" t="s">
        <v>45</v>
      </c>
      <c r="AG324" s="43" t="s">
        <v>45</v>
      </c>
      <c r="AH324" s="42">
        <v>1</v>
      </c>
      <c r="AI324" s="42">
        <v>1</v>
      </c>
      <c r="AJ324" s="43">
        <v>3</v>
      </c>
      <c r="AK324" s="45" t="s">
        <v>717</v>
      </c>
      <c r="AL324" s="45" t="s">
        <v>47</v>
      </c>
      <c r="AM324" s="46">
        <f>($L$3*(L324-$Q$1)/$Q$2+$M$3*(M324-$R$1)/$R$2+$N$3*(N324-$S$1)/$S$2+$O$3*(O324-$T$1)/$T$2+$P$3*(P324-$U$1)/$U$2)/(SUM($L$3:$P$3))</f>
        <v>-1.0836466866826597</v>
      </c>
      <c r="AN324" s="46">
        <f>($L$3*(Q324-$Q$1)/$Q$2+$M$3*(R324-$R$1)/$R$2+$N$3*(S324-$S$1)/$S$2+$O$3*(T324-$T$1)/$T$2+$P$3*(U324-$U$1)/$U$2)/(SUM($L$3:$P$3))</f>
        <v>-0.50163907082665593</v>
      </c>
      <c r="AO324" s="47">
        <f>IF(AVERAGE(AH324:AI324)&gt;9,1,0)+IF(AVERAGE(AH324:AI324)&gt;7,1,0)+IF(AH324&gt;7,1,0)+IF(AI324&gt;7,1,0)+IF(AJ324&gt;8,1,0)+IF(AJ324&gt;6,1,0)</f>
        <v>0</v>
      </c>
      <c r="AP324" s="48">
        <f>MIN(2,IF(OR(Z324="-",X324&lt;5),0,1+IF(Y324&gt;7,0.35,IF(Y324&gt;5,0.1,0))+IF(Z324&gt;7,1+IF(X324&gt;7,0.25,0),IF(Z324&gt;4,0.5+IF(X324&gt;7,0.25,0),0+IF(X324&gt;7,0.25))))+IF(AA324="-",0,IF(AA324&gt;9,0.5,IF(AA324&gt;7,0.25,0)))+IF(AB324="-",0,IF(AB324&gt;7,1.1,IF(AB324&gt;4,0.6,0)))+IF(OR(AC324="-",V324&lt;5),0,IF(AC324&gt;7,1+IF(V324&gt;7,0.25,0),IF(AC324&gt;4,0.5+IF(V324&gt;7,0.25,0),0)))+IF(AD324="-",0,IF(AD324&gt;7,1.5,IF(AD324&gt;4,1,0)))+IF(AE324="-",0,IF(AE324&gt;9,0.5,IF(AE324&gt;7,0.25,0)))+IF(AF324="-",0,IF(AF324&gt;7,1.25,IF(AF324&gt;4,0.75,0)))+IF(OR(AG324="-",W324&lt;4),0,IF(AG324&gt;7,1+IF(W324&gt;7,0.15,0),IF(AG324&gt;4,0.5+IF(W324&gt;7,0.15,0),0))))</f>
        <v>0</v>
      </c>
      <c r="AQ324" s="46">
        <f>($AM$3*AM324+$AN$3*AN324+$AO$3*AO324+$AP$3*AP324)+$I$3*VLOOKUP(I324,COND!$A$2:$E$7,4,FALSE)+$J$3*VLOOKUP(J324,COND!$A$2:$C$7,2,FALSE)+$K$3*VLOOKUP(K324,COND!$A$2:$C$7,3,FALSE)+IF(AND($B$2&gt;0,$E324&lt;20),$B$2*25,0)</f>
        <v>38.571966481411863</v>
      </c>
      <c r="AR324" s="49">
        <f>STANDARDIZE(AQ324,AVERAGE($AQ$5:$AQ$537),STDEVP($AQ$5:$AQ$537))</f>
        <v>-0.31252481456308451</v>
      </c>
      <c r="AS324" s="47" t="str">
        <f>IF(AND(Z324&lt;&gt;"-",Y324&gt;1),"C",IF(AB324=MAX(AB324:AD324),"2B",IF(AD324=MAX(AB324:AD324),"SS",IF(OR(AC324=MAX(AA324:AD324),AND(AC324&lt;&gt;"-",AC324&gt;4,V324&gt;5)),"3B",IF(AF324=MAX(AE324:AG324),"CF",IF(AND(AG324=MAX(AE324,AG324),AND(W324&gt;5,AG324&lt;&gt;"-")),"RF",IF(AE324&lt;&gt;"-","LF",IF(AA324&lt;&gt;"-","1B","DH"))))))))</f>
        <v>DH</v>
      </c>
      <c r="AT324" s="47"/>
      <c r="AU324" s="47"/>
      <c r="AV324" s="47"/>
      <c r="AW324" s="47" t="str">
        <f>IF(AND($Q324&gt;=6,AVERAGE($S324:$T324)&gt;=6),"Likely",IF(OR($Q324&gt;6,AND($Q324=6,AVERAGE($S324:$T324)&gt;=3),AND($Q324&gt;=5,AVERAGE($S324:$T324)&gt;=5),AVERAGE($Q324,$S324:$T324)&gt;5),"Possible","Unlikely"))</f>
        <v>Unlikely</v>
      </c>
      <c r="AX324" s="47"/>
      <c r="AY324" s="47" t="str">
        <f>INDEX(Table5[[#All],[Ovr]],MATCH(Batters[[#This Row],[PID]],Table5[[#All],[PID]],0))</f>
        <v/>
      </c>
      <c r="AZ324" s="47" t="str">
        <f>INDEX(Table5[[#All],[Rnd]],MATCH(Batters[[#This Row],[PID]],Table5[[#All],[PID]],0))</f>
        <v/>
      </c>
      <c r="BA324" s="47" t="str">
        <f>INDEX(Table5[[#All],[Pick]],MATCH(Batters[[#This Row],[PID]],Table5[[#All],[PID]],0))</f>
        <v/>
      </c>
      <c r="BB324" s="47" t="str">
        <f>INDEX(Table5[[#All],[Team]],MATCH(Batters[[#This Row],[PID]],Table5[[#All],[PID]],0))</f>
        <v/>
      </c>
    </row>
    <row r="325" spans="1:54" ht="15" customHeight="1" x14ac:dyDescent="0.25">
      <c r="A325" s="42">
        <v>8459</v>
      </c>
      <c r="B325" s="42" t="s">
        <v>50</v>
      </c>
      <c r="C325" s="42" t="s">
        <v>372</v>
      </c>
      <c r="D325" s="42" t="s">
        <v>1144</v>
      </c>
      <c r="E325" s="42">
        <v>18</v>
      </c>
      <c r="F325" s="42" t="s">
        <v>53</v>
      </c>
      <c r="G325" s="42" t="s">
        <v>53</v>
      </c>
      <c r="H325" s="43" t="s">
        <v>721</v>
      </c>
      <c r="I325" s="44" t="s">
        <v>43</v>
      </c>
      <c r="J325" s="42" t="s">
        <v>44</v>
      </c>
      <c r="K325" s="43" t="s">
        <v>43</v>
      </c>
      <c r="L325" s="42">
        <v>1</v>
      </c>
      <c r="M325" s="42">
        <v>1</v>
      </c>
      <c r="N325" s="42">
        <v>2</v>
      </c>
      <c r="O325" s="42">
        <v>1</v>
      </c>
      <c r="P325" s="43">
        <v>1</v>
      </c>
      <c r="Q325" s="42">
        <v>3</v>
      </c>
      <c r="R325" s="42">
        <v>2</v>
      </c>
      <c r="S325" s="42">
        <v>2</v>
      </c>
      <c r="T325" s="42">
        <v>4</v>
      </c>
      <c r="U325" s="43">
        <v>3</v>
      </c>
      <c r="V325" s="42">
        <v>4</v>
      </c>
      <c r="W325" s="42">
        <v>5</v>
      </c>
      <c r="X325" s="42">
        <v>1</v>
      </c>
      <c r="Y325" s="43">
        <v>1</v>
      </c>
      <c r="Z325" s="42" t="s">
        <v>45</v>
      </c>
      <c r="AA325" s="42" t="s">
        <v>45</v>
      </c>
      <c r="AB325" s="42" t="s">
        <v>45</v>
      </c>
      <c r="AC325" s="42" t="s">
        <v>45</v>
      </c>
      <c r="AD325" s="42" t="s">
        <v>45</v>
      </c>
      <c r="AE325" s="42">
        <v>3</v>
      </c>
      <c r="AF325" s="42" t="s">
        <v>45</v>
      </c>
      <c r="AG325" s="43" t="s">
        <v>45</v>
      </c>
      <c r="AH325" s="42">
        <v>4</v>
      </c>
      <c r="AI325" s="42">
        <v>9</v>
      </c>
      <c r="AJ325" s="43">
        <v>10</v>
      </c>
      <c r="AK325" s="45" t="s">
        <v>739</v>
      </c>
      <c r="AL325" s="45" t="s">
        <v>47</v>
      </c>
      <c r="AM325" s="46">
        <f>($L$3*(L325-$Q$1)/$Q$2+$M$3*(M325-$R$1)/$R$2+$N$3*(N325-$S$1)/$S$2+$O$3*(O325-$T$1)/$T$2+$P$3*(P325-$U$1)/$U$2)/(SUM($L$3:$P$3))</f>
        <v>-2.0012818558036707</v>
      </c>
      <c r="AN325" s="46">
        <f>($L$3*(Q325-$Q$1)/$Q$2+$M$3*(R325-$R$1)/$R$2+$N$3*(S325-$S$1)/$S$2+$O$3*(T325-$T$1)/$T$2+$P$3*(U325-$U$1)/$U$2)/(SUM($L$3:$P$3))</f>
        <v>-0.95594897411670754</v>
      </c>
      <c r="AO325" s="47">
        <f>IF(AVERAGE(AH325:AI325)&gt;9,1,0)+IF(AVERAGE(AH325:AI325)&gt;7,1,0)+IF(AH325&gt;7,1,0)+IF(AI325&gt;7,1,0)+IF(AJ325&gt;8,1,0)+IF(AJ325&gt;6,1,0)</f>
        <v>3</v>
      </c>
      <c r="AP325" s="48">
        <f>MIN(2,IF(OR(Z325="-",X325&lt;5),0,1+IF(Y325&gt;7,0.35,IF(Y325&gt;5,0.1,0))+IF(Z325&gt;7,1+IF(X325&gt;7,0.25,0),IF(Z325&gt;4,0.5+IF(X325&gt;7,0.25,0),0+IF(X325&gt;7,0.25))))+IF(AA325="-",0,IF(AA325&gt;9,0.5,IF(AA325&gt;7,0.25,0)))+IF(AB325="-",0,IF(AB325&gt;7,1.1,IF(AB325&gt;4,0.6,0)))+IF(OR(AC325="-",V325&lt;5),0,IF(AC325&gt;7,1+IF(V325&gt;7,0.25,0),IF(AC325&gt;4,0.5+IF(V325&gt;7,0.25,0),0)))+IF(AD325="-",0,IF(AD325&gt;7,1.5,IF(AD325&gt;4,1,0)))+IF(AE325="-",0,IF(AE325&gt;9,0.5,IF(AE325&gt;7,0.25,0)))+IF(AF325="-",0,IF(AF325&gt;7,1.25,IF(AF325&gt;4,0.75,0)))+IF(OR(AG325="-",W325&lt;4),0,IF(AG325&gt;7,1+IF(W325&gt;7,0.15,0),IF(AG325&gt;4,0.5+IF(W325&gt;7,0.15,0),0))))</f>
        <v>0</v>
      </c>
      <c r="AQ325" s="46">
        <f>($AM$3*AM325+$AN$3*AN325+$AO$3*AO325+$AP$3*AP325)+$I$3*VLOOKUP(I325,COND!$A$2:$E$7,4,FALSE)+$J$3*VLOOKUP(J325,COND!$A$2:$C$7,2,FALSE)+$K$3*VLOOKUP(K325,COND!$A$2:$C$7,3,FALSE)+IF(AND($B$2&gt;0,$E325&lt;20),$B$2*25,0)</f>
        <v>38.528484125019141</v>
      </c>
      <c r="AR325" s="49">
        <f>STANDARDIZE(AQ325,AVERAGE($AQ$5:$AQ$537),STDEVP($AQ$5:$AQ$537))</f>
        <v>-0.32017524617345189</v>
      </c>
      <c r="AS325" s="47" t="str">
        <f>IF(AND(Z325&lt;&gt;"-",Y325&gt;1),"C",IF(AB325=MAX(AB325:AD325),"2B",IF(AD325=MAX(AB325:AD325),"SS",IF(OR(AC325=MAX(AA325:AD325),AND(AC325&lt;&gt;"-",AC325&gt;4,V325&gt;5)),"3B",IF(AF325=MAX(AE325:AG325),"CF",IF(AND(AG325=MAX(AE325,AG325),AND(W325&gt;5,AG325&lt;&gt;"-")),"RF",IF(AE325&lt;&gt;"-","LF",IF(AA325&lt;&gt;"-","1B","DH"))))))))</f>
        <v>LF</v>
      </c>
      <c r="AT325" s="47"/>
      <c r="AU325" s="47"/>
      <c r="AV325" s="47"/>
      <c r="AW325" s="47" t="str">
        <f>IF(AND($Q325&gt;=6,AVERAGE($S325:$T325)&gt;=6),"Likely",IF(OR($Q325&gt;6,AND($Q325=6,AVERAGE($S325:$T325)&gt;=3),AND($Q325&gt;=5,AVERAGE($S325:$T325)&gt;=5),AVERAGE($Q325,$S325:$T325)&gt;5),"Possible","Unlikely"))</f>
        <v>Unlikely</v>
      </c>
      <c r="AX325" s="47"/>
      <c r="AY325" s="47" t="str">
        <f>INDEX(Table5[[#All],[Ovr]],MATCH(Batters[[#This Row],[PID]],Table5[[#All],[PID]],0))</f>
        <v/>
      </c>
      <c r="AZ325" s="47" t="str">
        <f>INDEX(Table5[[#All],[Rnd]],MATCH(Batters[[#This Row],[PID]],Table5[[#All],[PID]],0))</f>
        <v/>
      </c>
      <c r="BA325" s="47" t="str">
        <f>INDEX(Table5[[#All],[Pick]],MATCH(Batters[[#This Row],[PID]],Table5[[#All],[PID]],0))</f>
        <v/>
      </c>
      <c r="BB325" s="47" t="str">
        <f>INDEX(Table5[[#All],[Team]],MATCH(Batters[[#This Row],[PID]],Table5[[#All],[PID]],0))</f>
        <v/>
      </c>
    </row>
    <row r="326" spans="1:54" ht="15" customHeight="1" x14ac:dyDescent="0.25">
      <c r="A326" s="42">
        <v>4934</v>
      </c>
      <c r="B326" s="42" t="s">
        <v>74</v>
      </c>
      <c r="C326" s="42" t="s">
        <v>327</v>
      </c>
      <c r="D326" s="42" t="s">
        <v>330</v>
      </c>
      <c r="E326" s="42">
        <v>22</v>
      </c>
      <c r="F326" s="42" t="s">
        <v>53</v>
      </c>
      <c r="G326" s="42" t="s">
        <v>42</v>
      </c>
      <c r="H326" s="43" t="s">
        <v>709</v>
      </c>
      <c r="I326" s="44" t="s">
        <v>44</v>
      </c>
      <c r="J326" s="42" t="s">
        <v>44</v>
      </c>
      <c r="K326" s="43" t="s">
        <v>43</v>
      </c>
      <c r="L326" s="42">
        <v>1</v>
      </c>
      <c r="M326" s="42">
        <v>3</v>
      </c>
      <c r="N326" s="42">
        <v>3</v>
      </c>
      <c r="O326" s="42">
        <v>4</v>
      </c>
      <c r="P326" s="43">
        <v>1</v>
      </c>
      <c r="Q326" s="42">
        <v>3</v>
      </c>
      <c r="R326" s="42">
        <v>4</v>
      </c>
      <c r="S326" s="42">
        <v>4</v>
      </c>
      <c r="T326" s="42">
        <v>6</v>
      </c>
      <c r="U326" s="43">
        <v>2</v>
      </c>
      <c r="V326" s="42">
        <v>4</v>
      </c>
      <c r="W326" s="42">
        <v>8</v>
      </c>
      <c r="X326" s="42">
        <v>1</v>
      </c>
      <c r="Y326" s="43">
        <v>1</v>
      </c>
      <c r="Z326" s="42" t="s">
        <v>45</v>
      </c>
      <c r="AA326" s="42" t="s">
        <v>45</v>
      </c>
      <c r="AB326" s="42" t="s">
        <v>45</v>
      </c>
      <c r="AC326" s="42" t="s">
        <v>45</v>
      </c>
      <c r="AD326" s="42" t="s">
        <v>45</v>
      </c>
      <c r="AE326" s="42">
        <v>7</v>
      </c>
      <c r="AF326" s="42">
        <v>4</v>
      </c>
      <c r="AG326" s="43" t="s">
        <v>45</v>
      </c>
      <c r="AH326" s="42">
        <v>9</v>
      </c>
      <c r="AI326" s="42">
        <v>9</v>
      </c>
      <c r="AJ326" s="43">
        <v>8</v>
      </c>
      <c r="AK326" s="45" t="s">
        <v>45</v>
      </c>
      <c r="AL326" s="45" t="s">
        <v>705</v>
      </c>
      <c r="AM326" s="46">
        <f>($L$3*(L326-$Q$1)/$Q$2+$M$3*(M326-$R$1)/$R$2+$N$3*(N326-$S$1)/$S$2+$O$3*(O326-$T$1)/$T$2+$P$3*(P326-$U$1)/$U$2)/(SUM($L$3:$P$3))</f>
        <v>-1.546971952513619</v>
      </c>
      <c r="AN326" s="46">
        <f>($L$3*(Q326-$Q$1)/$Q$2+$M$3*(R326-$R$1)/$R$2+$N$3*(S326-$S$1)/$S$2+$O$3*(T326-$T$1)/$T$2+$P$3*(U326-$U$1)/$U$2)/(SUM($L$3:$P$3))</f>
        <v>-0.54830346662941898</v>
      </c>
      <c r="AO326" s="47">
        <f>IF(AVERAGE(AH326:AI326)&gt;9,1,0)+IF(AVERAGE(AH326:AI326)&gt;7,1,0)+IF(AH326&gt;7,1,0)+IF(AI326&gt;7,1,0)+IF(AJ326&gt;8,1,0)+IF(AJ326&gt;6,1,0)</f>
        <v>4</v>
      </c>
      <c r="AP326" s="48">
        <f>MIN(2,IF(OR(Z326="-",X326&lt;5),0,1+IF(Y326&gt;7,0.35,IF(Y326&gt;5,0.1,0))+IF(Z326&gt;7,1+IF(X326&gt;7,0.25,0),IF(Z326&gt;4,0.5+IF(X326&gt;7,0.25,0),0+IF(X326&gt;7,0.25))))+IF(AA326="-",0,IF(AA326&gt;9,0.5,IF(AA326&gt;7,0.25,0)))+IF(AB326="-",0,IF(AB326&gt;7,1.1,IF(AB326&gt;4,0.6,0)))+IF(OR(AC326="-",V326&lt;5),0,IF(AC326&gt;7,1+IF(V326&gt;7,0.25,0),IF(AC326&gt;4,0.5+IF(V326&gt;7,0.25,0),0)))+IF(AD326="-",0,IF(AD326&gt;7,1.5,IF(AD326&gt;4,1,0)))+IF(AE326="-",0,IF(AE326&gt;9,0.5,IF(AE326&gt;7,0.25,0)))+IF(AF326="-",0,IF(AF326&gt;7,1.25,IF(AF326&gt;4,0.75,0)))+IF(OR(AG326="-",W326&lt;4),0,IF(AG326&gt;7,1+IF(W326&gt;7,0.15,0),IF(AG326&gt;4,0.5+IF(W326&gt;7,0.15,0),0))))</f>
        <v>0</v>
      </c>
      <c r="AQ326" s="46">
        <f>($AM$3*AM326+$AN$3*AN326+$AO$3*AO326+$AP$3*AP326)+$I$3*VLOOKUP(I326,COND!$A$2:$E$7,4,FALSE)+$J$3*VLOOKUP(J326,COND!$A$2:$C$7,2,FALSE)+$K$3*VLOOKUP(K326,COND!$A$2:$C$7,3,FALSE)+IF(AND($B$2&gt;0,$E326&lt;20),$B$2*25,0)</f>
        <v>38.482327871862275</v>
      </c>
      <c r="AR326" s="49">
        <f>STANDARDIZE(AQ326,AVERAGE($AQ$5:$AQ$537),STDEVP($AQ$5:$AQ$537))</f>
        <v>-0.32829613214794118</v>
      </c>
      <c r="AS326" s="47" t="str">
        <f>IF(AND(Z326&lt;&gt;"-",Y326&gt;1),"C",IF(AB326=MAX(AB326:AD326),"2B",IF(AD326=MAX(AB326:AD326),"SS",IF(OR(AC326=MAX(AA326:AD326),AND(AC326&lt;&gt;"-",AC326&gt;4,V326&gt;5)),"3B",IF(AF326=MAX(AE326:AG326),"CF",IF(AND(AG326=MAX(AE326,AG326),AND(W326&gt;5,AG326&lt;&gt;"-")),"RF",IF(AE326&lt;&gt;"-","LF",IF(AA326&lt;&gt;"-","1B","DH"))))))))</f>
        <v>LF</v>
      </c>
      <c r="AT326" s="47"/>
      <c r="AU326" s="47"/>
      <c r="AV326" s="47"/>
      <c r="AW326" s="47" t="str">
        <f>IF(AND($Q326&gt;=6,AVERAGE($S326:$T326)&gt;=6),"Likely",IF(OR($Q326&gt;6,AND($Q326=6,AVERAGE($S326:$T326)&gt;=3),AND($Q326&gt;=5,AVERAGE($S326:$T326)&gt;=5),AVERAGE($Q326,$S326:$T326)&gt;5),"Possible","Unlikely"))</f>
        <v>Unlikely</v>
      </c>
      <c r="AX326" s="47"/>
      <c r="AY326" s="47" t="str">
        <f>INDEX(Table5[[#All],[Ovr]],MATCH(Batters[[#This Row],[PID]],Table5[[#All],[PID]],0))</f>
        <v/>
      </c>
      <c r="AZ326" s="47" t="str">
        <f>INDEX(Table5[[#All],[Rnd]],MATCH(Batters[[#This Row],[PID]],Table5[[#All],[PID]],0))</f>
        <v/>
      </c>
      <c r="BA326" s="47" t="str">
        <f>INDEX(Table5[[#All],[Pick]],MATCH(Batters[[#This Row],[PID]],Table5[[#All],[PID]],0))</f>
        <v/>
      </c>
      <c r="BB326" s="47" t="str">
        <f>INDEX(Table5[[#All],[Team]],MATCH(Batters[[#This Row],[PID]],Table5[[#All],[PID]],0))</f>
        <v/>
      </c>
    </row>
    <row r="327" spans="1:54" ht="15" customHeight="1" x14ac:dyDescent="0.25">
      <c r="A327" s="42">
        <v>6814</v>
      </c>
      <c r="B327" s="42" t="s">
        <v>86</v>
      </c>
      <c r="C327" s="42" t="s">
        <v>855</v>
      </c>
      <c r="D327" s="42" t="s">
        <v>404</v>
      </c>
      <c r="E327" s="42">
        <v>21</v>
      </c>
      <c r="F327" s="42" t="s">
        <v>42</v>
      </c>
      <c r="G327" s="42" t="s">
        <v>42</v>
      </c>
      <c r="H327" s="43" t="s">
        <v>709</v>
      </c>
      <c r="I327" s="44" t="s">
        <v>43</v>
      </c>
      <c r="J327" s="42" t="s">
        <v>44</v>
      </c>
      <c r="K327" s="43" t="s">
        <v>47</v>
      </c>
      <c r="L327" s="42">
        <v>2</v>
      </c>
      <c r="M327" s="42">
        <v>2</v>
      </c>
      <c r="N327" s="42">
        <v>3</v>
      </c>
      <c r="O327" s="42">
        <v>5</v>
      </c>
      <c r="P327" s="43">
        <v>1</v>
      </c>
      <c r="Q327" s="42">
        <v>3</v>
      </c>
      <c r="R327" s="42">
        <v>3</v>
      </c>
      <c r="S327" s="42">
        <v>3</v>
      </c>
      <c r="T327" s="42">
        <v>7</v>
      </c>
      <c r="U327" s="43">
        <v>2</v>
      </c>
      <c r="V327" s="42">
        <v>2</v>
      </c>
      <c r="W327" s="42">
        <v>3</v>
      </c>
      <c r="X327" s="42">
        <v>5</v>
      </c>
      <c r="Y327" s="43">
        <v>6</v>
      </c>
      <c r="Z327" s="42" t="s">
        <v>45</v>
      </c>
      <c r="AA327" s="42" t="s">
        <v>45</v>
      </c>
      <c r="AB327" s="42" t="s">
        <v>45</v>
      </c>
      <c r="AC327" s="42" t="s">
        <v>45</v>
      </c>
      <c r="AD327" s="42" t="s">
        <v>45</v>
      </c>
      <c r="AE327" s="42" t="s">
        <v>45</v>
      </c>
      <c r="AF327" s="42" t="s">
        <v>45</v>
      </c>
      <c r="AG327" s="43" t="s">
        <v>45</v>
      </c>
      <c r="AH327" s="42">
        <v>1</v>
      </c>
      <c r="AI327" s="42">
        <v>1</v>
      </c>
      <c r="AJ327" s="43">
        <v>1</v>
      </c>
      <c r="AK327" s="45" t="s">
        <v>717</v>
      </c>
      <c r="AL327" s="45" t="s">
        <v>705</v>
      </c>
      <c r="AM327" s="46">
        <f>($L$3*(L327-$Q$1)/$Q$2+$M$3*(M327-$R$1)/$R$2+$N$3*(N327-$S$1)/$S$2+$O$3*(O327-$T$1)/$T$2+$P$3*(P327-$U$1)/$U$2)/(SUM($L$3:$P$3))</f>
        <v>-1.1857664459200667</v>
      </c>
      <c r="AN327" s="46">
        <f>($L$3*(Q327-$Q$1)/$Q$2+$M$3*(R327-$R$1)/$R$2+$N$3*(S327-$S$1)/$S$2+$O$3*(T327-$T$1)/$T$2+$P$3*(U327-$U$1)/$U$2)/(SUM($L$3:$P$3))</f>
        <v>-0.59271529026244285</v>
      </c>
      <c r="AO327" s="47">
        <f>IF(AVERAGE(AH327:AI327)&gt;9,1,0)+IF(AVERAGE(AH327:AI327)&gt;7,1,0)+IF(AH327&gt;7,1,0)+IF(AI327&gt;7,1,0)+IF(AJ327&gt;8,1,0)+IF(AJ327&gt;6,1,0)</f>
        <v>0</v>
      </c>
      <c r="AP327" s="48">
        <f>MIN(2,IF(OR(Z327="-",X327&lt;5),0,1+IF(Y327&gt;7,0.35,IF(Y327&gt;5,0.1,0))+IF(Z327&gt;7,1+IF(X327&gt;7,0.25,0),IF(Z327&gt;4,0.5+IF(X327&gt;7,0.25,0),0+IF(X327&gt;7,0.25))))+IF(AA327="-",0,IF(AA327&gt;9,0.5,IF(AA327&gt;7,0.25,0)))+IF(AB327="-",0,IF(AB327&gt;7,1.1,IF(AB327&gt;4,0.6,0)))+IF(OR(AC327="-",V327&lt;5),0,IF(AC327&gt;7,1+IF(V327&gt;7,0.25,0),IF(AC327&gt;4,0.5+IF(V327&gt;7,0.25,0),0)))+IF(AD327="-",0,IF(AD327&gt;7,1.5,IF(AD327&gt;4,1,0)))+IF(AE327="-",0,IF(AE327&gt;9,0.5,IF(AE327&gt;7,0.25,0)))+IF(AF327="-",0,IF(AF327&gt;7,1.25,IF(AF327&gt;4,0.75,0)))+IF(OR(AG327="-",W327&lt;4),0,IF(AG327&gt;7,1+IF(W327&gt;7,0.15,0),IF(AG327&gt;4,0.5+IF(W327&gt;7,0.15,0),0))))</f>
        <v>0</v>
      </c>
      <c r="AQ327" s="46">
        <f>($AM$3*AM327+$AN$3*AN327+$AO$3*AO327+$AP$3*AP327)+$I$3*VLOOKUP(I327,COND!$A$2:$E$7,4,FALSE)+$J$3*VLOOKUP(J327,COND!$A$2:$C$7,2,FALSE)+$K$3*VLOOKUP(K327,COND!$A$2:$C$7,3,FALSE)+IF(AND($B$2&gt;0,$E327&lt;20),$B$2*25,0)</f>
        <v>37.768839872258681</v>
      </c>
      <c r="AR327" s="49">
        <f>STANDARDIZE(AQ327,AVERAGE($AQ$5:$AQ$537),STDEVP($AQ$5:$AQ$537))</f>
        <v>-0.45382960362049185</v>
      </c>
      <c r="AS327" s="47" t="str">
        <f>IF(AND(Z327&lt;&gt;"-",Y327&gt;1),"C",IF(AB327=MAX(AB327:AD327),"2B",IF(AD327=MAX(AB327:AD327),"SS",IF(OR(AC327=MAX(AA327:AD327),AND(AC327&lt;&gt;"-",AC327&gt;4,V327&gt;5)),"3B",IF(AF327=MAX(AE327:AG327),"CF",IF(AND(AG327=MAX(AE327,AG327),AND(W327&gt;5,AG327&lt;&gt;"-")),"RF",IF(AE327&lt;&gt;"-","LF",IF(AA327&lt;&gt;"-","1B","DH"))))))))</f>
        <v>DH</v>
      </c>
      <c r="AT327" s="47"/>
      <c r="AU327" s="47"/>
      <c r="AV327" s="47"/>
      <c r="AW327" s="47" t="str">
        <f>IF(AND($Q327&gt;=6,AVERAGE($S327:$T327)&gt;=6),"Likely",IF(OR($Q327&gt;6,AND($Q327=6,AVERAGE($S327:$T327)&gt;=3),AND($Q327&gt;=5,AVERAGE($S327:$T327)&gt;=5),AVERAGE($Q327,$S327:$T327)&gt;5),"Possible","Unlikely"))</f>
        <v>Unlikely</v>
      </c>
      <c r="AX327" s="47"/>
      <c r="AY327" s="47" t="str">
        <f>INDEX(Table5[[#All],[Ovr]],MATCH(Batters[[#This Row],[PID]],Table5[[#All],[PID]],0))</f>
        <v/>
      </c>
      <c r="AZ327" s="47" t="str">
        <f>INDEX(Table5[[#All],[Rnd]],MATCH(Batters[[#This Row],[PID]],Table5[[#All],[PID]],0))</f>
        <v/>
      </c>
      <c r="BA327" s="47" t="str">
        <f>INDEX(Table5[[#All],[Pick]],MATCH(Batters[[#This Row],[PID]],Table5[[#All],[PID]],0))</f>
        <v/>
      </c>
      <c r="BB327" s="47" t="str">
        <f>INDEX(Table5[[#All],[Team]],MATCH(Batters[[#This Row],[PID]],Table5[[#All],[PID]],0))</f>
        <v/>
      </c>
    </row>
    <row r="328" spans="1:54" ht="15" customHeight="1" x14ac:dyDescent="0.25">
      <c r="A328" s="42">
        <v>4659</v>
      </c>
      <c r="B328" s="42" t="s">
        <v>86</v>
      </c>
      <c r="C328" s="42" t="s">
        <v>211</v>
      </c>
      <c r="D328" s="42" t="s">
        <v>759</v>
      </c>
      <c r="E328" s="42">
        <v>22</v>
      </c>
      <c r="F328" s="42" t="s">
        <v>62</v>
      </c>
      <c r="G328" s="42" t="s">
        <v>42</v>
      </c>
      <c r="H328" s="43" t="s">
        <v>709</v>
      </c>
      <c r="I328" s="44" t="s">
        <v>43</v>
      </c>
      <c r="J328" s="42" t="s">
        <v>43</v>
      </c>
      <c r="K328" s="43" t="s">
        <v>43</v>
      </c>
      <c r="L328" s="42">
        <v>1</v>
      </c>
      <c r="M328" s="42">
        <v>4</v>
      </c>
      <c r="N328" s="42">
        <v>2</v>
      </c>
      <c r="O328" s="42">
        <v>3</v>
      </c>
      <c r="P328" s="43">
        <v>1</v>
      </c>
      <c r="Q328" s="42">
        <v>3</v>
      </c>
      <c r="R328" s="42">
        <v>4</v>
      </c>
      <c r="S328" s="42">
        <v>3</v>
      </c>
      <c r="T328" s="42">
        <v>5</v>
      </c>
      <c r="U328" s="43">
        <v>3</v>
      </c>
      <c r="V328" s="42">
        <v>2</v>
      </c>
      <c r="W328" s="42">
        <v>4</v>
      </c>
      <c r="X328" s="42">
        <v>6</v>
      </c>
      <c r="Y328" s="43">
        <v>7</v>
      </c>
      <c r="Z328" s="42">
        <v>3</v>
      </c>
      <c r="AA328" s="42" t="s">
        <v>45</v>
      </c>
      <c r="AB328" s="42" t="s">
        <v>45</v>
      </c>
      <c r="AC328" s="42" t="s">
        <v>45</v>
      </c>
      <c r="AD328" s="42" t="s">
        <v>45</v>
      </c>
      <c r="AE328" s="42" t="s">
        <v>45</v>
      </c>
      <c r="AF328" s="42" t="s">
        <v>45</v>
      </c>
      <c r="AG328" s="43" t="s">
        <v>45</v>
      </c>
      <c r="AH328" s="42">
        <v>2</v>
      </c>
      <c r="AI328" s="42">
        <v>3</v>
      </c>
      <c r="AJ328" s="43">
        <v>2</v>
      </c>
      <c r="AK328" s="45" t="s">
        <v>45</v>
      </c>
      <c r="AL328" s="45" t="s">
        <v>47</v>
      </c>
      <c r="AM328" s="46">
        <f>($L$3*(L328-$Q$1)/$Q$2+$M$3*(M328-$R$1)/$R$2+$N$3*(N328-$S$1)/$S$2+$O$3*(O328-$T$1)/$T$2+$P$3*(P328-$U$1)/$U$2)/(SUM($L$3:$P$3))</f>
        <v>-1.6686831169283978</v>
      </c>
      <c r="AN328" s="46">
        <f>($L$3*(Q328-$Q$1)/$Q$2+$M$3*(R328-$R$1)/$R$2+$N$3*(S328-$S$1)/$S$2+$O$3*(T328-$T$1)/$T$2+$P$3*(U328-$U$1)/$U$2)/(SUM($L$3:$P$3))</f>
        <v>-0.6810581708458181</v>
      </c>
      <c r="AO328" s="47">
        <f>IF(AVERAGE(AH328:AI328)&gt;9,1,0)+IF(AVERAGE(AH328:AI328)&gt;7,1,0)+IF(AH328&gt;7,1,0)+IF(AI328&gt;7,1,0)+IF(AJ328&gt;8,1,0)+IF(AJ328&gt;6,1,0)</f>
        <v>0</v>
      </c>
      <c r="AP328" s="48">
        <f>MIN(2,IF(OR(Z328="-",X328&lt;5),0,1+IF(Y328&gt;7,0.35,IF(Y328&gt;5,0.1,0))+IF(Z328&gt;7,1+IF(X328&gt;7,0.25,0),IF(Z328&gt;4,0.5+IF(X328&gt;7,0.25,0),0+IF(X328&gt;7,0.25))))+IF(AA328="-",0,IF(AA328&gt;9,0.5,IF(AA328&gt;7,0.25,0)))+IF(AB328="-",0,IF(AB328&gt;7,1.1,IF(AB328&gt;4,0.6,0)))+IF(OR(AC328="-",V328&lt;5),0,IF(AC328&gt;7,1+IF(V328&gt;7,0.25,0),IF(AC328&gt;4,0.5+IF(V328&gt;7,0.25,0),0)))+IF(AD328="-",0,IF(AD328&gt;7,1.5,IF(AD328&gt;4,1,0)))+IF(AE328="-",0,IF(AE328&gt;9,0.5,IF(AE328&gt;7,0.25,0)))+IF(AF328="-",0,IF(AF328&gt;7,1.25,IF(AF328&gt;4,0.75,0)))+IF(OR(AG328="-",W328&lt;4),0,IF(AG328&gt;7,1+IF(W328&gt;7,0.15,0),IF(AG328&gt;4,0.5+IF(W328&gt;7,0.15,0),0))))</f>
        <v>1.1000000000000001</v>
      </c>
      <c r="AQ328" s="46">
        <f>($AM$3*AM328+$AN$3*AN328+$AO$3*AO328+$AP$3*AP328)+$I$3*VLOOKUP(I328,COND!$A$2:$E$7,4,FALSE)+$J$3*VLOOKUP(J328,COND!$A$2:$C$7,2,FALSE)+$K$3*VLOOKUP(K328,COND!$A$2:$C$7,3,FALSE)+IF(AND($B$2&gt;0,$E328&lt;20),$B$2*25,0)</f>
        <v>37.760433638157345</v>
      </c>
      <c r="AR328" s="49">
        <f>STANDARDIZE(AQ328,AVERAGE($AQ$5:$AQ$537),STDEVP($AQ$5:$AQ$537))</f>
        <v>-0.45530862464023991</v>
      </c>
      <c r="AS328" s="47" t="str">
        <f>IF(AND(Z328&lt;&gt;"-",Y328&gt;1),"C",IF(AB328=MAX(AB328:AD328),"2B",IF(AD328=MAX(AB328:AD328),"SS",IF(OR(AC328=MAX(AA328:AD328),AND(AC328&lt;&gt;"-",AC328&gt;4,V328&gt;5)),"3B",IF(AF328=MAX(AE328:AG328),"CF",IF(AND(AG328=MAX(AE328,AG328),AND(W328&gt;5,AG328&lt;&gt;"-")),"RF",IF(AE328&lt;&gt;"-","LF",IF(AA328&lt;&gt;"-","1B","DH"))))))))</f>
        <v>C</v>
      </c>
      <c r="AT328" s="47"/>
      <c r="AU328" s="47"/>
      <c r="AV328" s="47"/>
      <c r="AW328" s="47" t="str">
        <f>IF(AND($Q328&gt;=6,AVERAGE($S328:$T328)&gt;=6),"Likely",IF(OR($Q328&gt;6,AND($Q328=6,AVERAGE($S328:$T328)&gt;=3),AND($Q328&gt;=5,AVERAGE($S328:$T328)&gt;=5),AVERAGE($Q328,$S328:$T328)&gt;5),"Possible","Unlikely"))</f>
        <v>Unlikely</v>
      </c>
      <c r="AX328" s="47"/>
      <c r="AY328" s="47" t="str">
        <f>INDEX(Table5[[#All],[Ovr]],MATCH(Batters[[#This Row],[PID]],Table5[[#All],[PID]],0))</f>
        <v/>
      </c>
      <c r="AZ328" s="47" t="str">
        <f>INDEX(Table5[[#All],[Rnd]],MATCH(Batters[[#This Row],[PID]],Table5[[#All],[PID]],0))</f>
        <v/>
      </c>
      <c r="BA328" s="47" t="str">
        <f>INDEX(Table5[[#All],[Pick]],MATCH(Batters[[#This Row],[PID]],Table5[[#All],[PID]],0))</f>
        <v/>
      </c>
      <c r="BB328" s="47" t="str">
        <f>INDEX(Table5[[#All],[Team]],MATCH(Batters[[#This Row],[PID]],Table5[[#All],[PID]],0))</f>
        <v/>
      </c>
    </row>
    <row r="329" spans="1:54" ht="15" customHeight="1" x14ac:dyDescent="0.25">
      <c r="A329" s="42">
        <v>6088</v>
      </c>
      <c r="B329" s="42" t="s">
        <v>69</v>
      </c>
      <c r="C329" s="42" t="s">
        <v>329</v>
      </c>
      <c r="D329" s="42" t="s">
        <v>572</v>
      </c>
      <c r="E329" s="42">
        <v>18</v>
      </c>
      <c r="F329" s="42" t="s">
        <v>42</v>
      </c>
      <c r="G329" s="42" t="s">
        <v>42</v>
      </c>
      <c r="H329" s="43" t="s">
        <v>711</v>
      </c>
      <c r="I329" s="44" t="s">
        <v>44</v>
      </c>
      <c r="J329" s="42" t="s">
        <v>43</v>
      </c>
      <c r="K329" s="43" t="s">
        <v>43</v>
      </c>
      <c r="L329" s="42">
        <v>1</v>
      </c>
      <c r="M329" s="42">
        <v>1</v>
      </c>
      <c r="N329" s="42">
        <v>2</v>
      </c>
      <c r="O329" s="42">
        <v>1</v>
      </c>
      <c r="P329" s="43">
        <v>1</v>
      </c>
      <c r="Q329" s="42">
        <v>3</v>
      </c>
      <c r="R329" s="42">
        <v>2</v>
      </c>
      <c r="S329" s="42">
        <v>2</v>
      </c>
      <c r="T329" s="42">
        <v>3</v>
      </c>
      <c r="U329" s="43">
        <v>4</v>
      </c>
      <c r="V329" s="42">
        <v>9</v>
      </c>
      <c r="W329" s="42">
        <v>8</v>
      </c>
      <c r="X329" s="42">
        <v>1</v>
      </c>
      <c r="Y329" s="43">
        <v>1</v>
      </c>
      <c r="Z329" s="42" t="s">
        <v>45</v>
      </c>
      <c r="AA329" s="42" t="s">
        <v>45</v>
      </c>
      <c r="AB329" s="42">
        <v>3</v>
      </c>
      <c r="AC329" s="42">
        <v>4</v>
      </c>
      <c r="AD329" s="42" t="s">
        <v>45</v>
      </c>
      <c r="AE329" s="42" t="s">
        <v>45</v>
      </c>
      <c r="AF329" s="42" t="s">
        <v>45</v>
      </c>
      <c r="AG329" s="43" t="s">
        <v>45</v>
      </c>
      <c r="AH329" s="42">
        <v>5</v>
      </c>
      <c r="AI329" s="42">
        <v>2</v>
      </c>
      <c r="AJ329" s="43">
        <v>4</v>
      </c>
      <c r="AK329" s="45" t="s">
        <v>730</v>
      </c>
      <c r="AL329" s="45" t="s">
        <v>47</v>
      </c>
      <c r="AM329" s="46">
        <f>($L$3*(L329-$Q$1)/$Q$2+$M$3*(M329-$R$1)/$R$2+$N$3*(N329-$S$1)/$S$2+$O$3*(O329-$T$1)/$T$2+$P$3*(P329-$U$1)/$U$2)/(SUM($L$3:$P$3))</f>
        <v>-2.0012818558036707</v>
      </c>
      <c r="AN329" s="46">
        <f>($L$3*(Q329-$Q$1)/$Q$2+$M$3*(R329-$R$1)/$R$2+$N$3*(S329-$S$1)/$S$2+$O$3*(T329-$T$1)/$T$2+$P$3*(U329-$U$1)/$U$2)/(SUM($L$3:$P$3))</f>
        <v>-1.0056421843092052</v>
      </c>
      <c r="AO329" s="47">
        <f>IF(AVERAGE(AH329:AI329)&gt;9,1,0)+IF(AVERAGE(AH329:AI329)&gt;7,1,0)+IF(AH329&gt;7,1,0)+IF(AI329&gt;7,1,0)+IF(AJ329&gt;8,1,0)+IF(AJ329&gt;6,1,0)</f>
        <v>0</v>
      </c>
      <c r="AP329" s="48">
        <f>MIN(2,IF(OR(Z329="-",X329&lt;5),0,1+IF(Y329&gt;7,0.35,IF(Y329&gt;5,0.1,0))+IF(Z329&gt;7,1+IF(X329&gt;7,0.25,0),IF(Z329&gt;4,0.5+IF(X329&gt;7,0.25,0),0+IF(X329&gt;7,0.25))))+IF(AA329="-",0,IF(AA329&gt;9,0.5,IF(AA329&gt;7,0.25,0)))+IF(AB329="-",0,IF(AB329&gt;7,1.1,IF(AB329&gt;4,0.6,0)))+IF(OR(AC329="-",V329&lt;5),0,IF(AC329&gt;7,1+IF(V329&gt;7,0.25,0),IF(AC329&gt;4,0.5+IF(V329&gt;7,0.25,0),0)))+IF(AD329="-",0,IF(AD329&gt;7,1.5,IF(AD329&gt;4,1,0)))+IF(AE329="-",0,IF(AE329&gt;9,0.5,IF(AE329&gt;7,0.25,0)))+IF(AF329="-",0,IF(AF329&gt;7,1.25,IF(AF329&gt;4,0.75,0)))+IF(OR(AG329="-",W329&lt;4),0,IF(AG329&gt;7,1+IF(W329&gt;7,0.15,0),IF(AG329&gt;4,0.5+IF(W329&gt;7,0.15,0),0))))</f>
        <v>0</v>
      </c>
      <c r="AQ329" s="46">
        <f>($AM$3*AM329+$AN$3*AN329+$AO$3*AO329+$AP$3*AP329)+$I$3*VLOOKUP(I329,COND!$A$2:$E$7,4,FALSE)+$J$3*VLOOKUP(J329,COND!$A$2:$C$7,2,FALSE)+$K$3*VLOOKUP(K329,COND!$A$2:$C$7,3,FALSE)+IF(AND($B$2&gt;0,$E329&lt;20),$B$2*25,0)</f>
        <v>37.582165602709168</v>
      </c>
      <c r="AR329" s="49">
        <f>STANDARDIZE(AQ329,AVERAGE($AQ$5:$AQ$537),STDEVP($AQ$5:$AQ$537))</f>
        <v>-0.48667370065390053</v>
      </c>
      <c r="AS329" s="47" t="str">
        <f>IF(AND(Z329&lt;&gt;"-",Y329&gt;1),"C",IF(AB329=MAX(AB329:AD329),"2B",IF(AD329=MAX(AB329:AD329),"SS",IF(OR(AC329=MAX(AA329:AD329),AND(AC329&lt;&gt;"-",AC329&gt;4,V329&gt;5)),"3B",IF(AF329=MAX(AE329:AG329),"CF",IF(AND(AG329=MAX(AE329,AG329),AND(W329&gt;5,AG329&lt;&gt;"-")),"RF",IF(AE329&lt;&gt;"-","LF",IF(AA329&lt;&gt;"-","1B","DH"))))))))</f>
        <v>3B</v>
      </c>
      <c r="AT329" s="47"/>
      <c r="AU329" s="47"/>
      <c r="AV329" s="47"/>
      <c r="AW329" s="47" t="str">
        <f>IF(AND($Q329&gt;=6,AVERAGE($S329:$T329)&gt;=6),"Likely",IF(OR($Q329&gt;6,AND($Q329=6,AVERAGE($S329:$T329)&gt;=3),AND($Q329&gt;=5,AVERAGE($S329:$T329)&gt;=5),AVERAGE($Q329,$S329:$T329)&gt;5),"Possible","Unlikely"))</f>
        <v>Unlikely</v>
      </c>
      <c r="AX329" s="47"/>
      <c r="AY329" s="47" t="str">
        <f>INDEX(Table5[[#All],[Ovr]],MATCH(Batters[[#This Row],[PID]],Table5[[#All],[PID]],0))</f>
        <v/>
      </c>
      <c r="AZ329" s="47" t="str">
        <f>INDEX(Table5[[#All],[Rnd]],MATCH(Batters[[#This Row],[PID]],Table5[[#All],[PID]],0))</f>
        <v/>
      </c>
      <c r="BA329" s="47" t="str">
        <f>INDEX(Table5[[#All],[Pick]],MATCH(Batters[[#This Row],[PID]],Table5[[#All],[PID]],0))</f>
        <v/>
      </c>
      <c r="BB329" s="47" t="str">
        <f>INDEX(Table5[[#All],[Team]],MATCH(Batters[[#This Row],[PID]],Table5[[#All],[PID]],0))</f>
        <v/>
      </c>
    </row>
    <row r="330" spans="1:54" ht="15" customHeight="1" x14ac:dyDescent="0.25">
      <c r="A330" s="42">
        <v>16283</v>
      </c>
      <c r="B330" s="42" t="s">
        <v>87</v>
      </c>
      <c r="C330" s="42" t="s">
        <v>1215</v>
      </c>
      <c r="D330" s="42" t="s">
        <v>810</v>
      </c>
      <c r="E330" s="42">
        <v>18</v>
      </c>
      <c r="F330" s="42" t="s">
        <v>42</v>
      </c>
      <c r="G330" s="42" t="s">
        <v>42</v>
      </c>
      <c r="H330" s="43" t="s">
        <v>721</v>
      </c>
      <c r="I330" s="44" t="s">
        <v>44</v>
      </c>
      <c r="J330" s="42" t="s">
        <v>43</v>
      </c>
      <c r="K330" s="43" t="s">
        <v>43</v>
      </c>
      <c r="L330" s="42">
        <v>1</v>
      </c>
      <c r="M330" s="42">
        <v>1</v>
      </c>
      <c r="N330" s="42">
        <v>2</v>
      </c>
      <c r="O330" s="42">
        <v>1</v>
      </c>
      <c r="P330" s="43">
        <v>1</v>
      </c>
      <c r="Q330" s="42">
        <v>3</v>
      </c>
      <c r="R330" s="42">
        <v>2</v>
      </c>
      <c r="S330" s="42">
        <v>2</v>
      </c>
      <c r="T330" s="42">
        <v>3</v>
      </c>
      <c r="U330" s="43">
        <v>4</v>
      </c>
      <c r="V330" s="42">
        <v>6</v>
      </c>
      <c r="W330" s="42">
        <v>3</v>
      </c>
      <c r="X330" s="42">
        <v>1</v>
      </c>
      <c r="Y330" s="43">
        <v>1</v>
      </c>
      <c r="Z330" s="42" t="s">
        <v>45</v>
      </c>
      <c r="AA330" s="42">
        <v>1</v>
      </c>
      <c r="AB330" s="42" t="s">
        <v>45</v>
      </c>
      <c r="AC330" s="42" t="s">
        <v>45</v>
      </c>
      <c r="AD330" s="42" t="s">
        <v>45</v>
      </c>
      <c r="AE330" s="42" t="s">
        <v>45</v>
      </c>
      <c r="AF330" s="42" t="s">
        <v>45</v>
      </c>
      <c r="AG330" s="43" t="s">
        <v>45</v>
      </c>
      <c r="AH330" s="42">
        <v>2</v>
      </c>
      <c r="AI330" s="42">
        <v>1</v>
      </c>
      <c r="AJ330" s="43">
        <v>2</v>
      </c>
      <c r="AK330" s="45" t="s">
        <v>615</v>
      </c>
      <c r="AL330" s="45" t="s">
        <v>47</v>
      </c>
      <c r="AM330" s="46">
        <f>($L$3*(L330-$Q$1)/$Q$2+$M$3*(M330-$R$1)/$R$2+$N$3*(N330-$S$1)/$S$2+$O$3*(O330-$T$1)/$T$2+$P$3*(P330-$U$1)/$U$2)/(SUM($L$3:$P$3))</f>
        <v>-2.0012818558036707</v>
      </c>
      <c r="AN330" s="46">
        <f>($L$3*(Q330-$Q$1)/$Q$2+$M$3*(R330-$R$1)/$R$2+$N$3*(S330-$S$1)/$S$2+$O$3*(T330-$T$1)/$T$2+$P$3*(U330-$U$1)/$U$2)/(SUM($L$3:$P$3))</f>
        <v>-1.0056421843092052</v>
      </c>
      <c r="AO330" s="47">
        <f>IF(AVERAGE(AH330:AI330)&gt;9,1,0)+IF(AVERAGE(AH330:AI330)&gt;7,1,0)+IF(AH330&gt;7,1,0)+IF(AI330&gt;7,1,0)+IF(AJ330&gt;8,1,0)+IF(AJ330&gt;6,1,0)</f>
        <v>0</v>
      </c>
      <c r="AP330" s="48">
        <f>MIN(2,IF(OR(Z330="-",X330&lt;5),0,1+IF(Y330&gt;7,0.35,IF(Y330&gt;5,0.1,0))+IF(Z330&gt;7,1+IF(X330&gt;7,0.25,0),IF(Z330&gt;4,0.5+IF(X330&gt;7,0.25,0),0+IF(X330&gt;7,0.25))))+IF(AA330="-",0,IF(AA330&gt;9,0.5,IF(AA330&gt;7,0.25,0)))+IF(AB330="-",0,IF(AB330&gt;7,1.1,IF(AB330&gt;4,0.6,0)))+IF(OR(AC330="-",V330&lt;5),0,IF(AC330&gt;7,1+IF(V330&gt;7,0.25,0),IF(AC330&gt;4,0.5+IF(V330&gt;7,0.25,0),0)))+IF(AD330="-",0,IF(AD330&gt;7,1.5,IF(AD330&gt;4,1,0)))+IF(AE330="-",0,IF(AE330&gt;9,0.5,IF(AE330&gt;7,0.25,0)))+IF(AF330="-",0,IF(AF330&gt;7,1.25,IF(AF330&gt;4,0.75,0)))+IF(OR(AG330="-",W330&lt;4),0,IF(AG330&gt;7,1+IF(W330&gt;7,0.15,0),IF(AG330&gt;4,0.5+IF(W330&gt;7,0.15,0),0))))</f>
        <v>0</v>
      </c>
      <c r="AQ330" s="46">
        <f>($AM$3*AM330+$AN$3*AN330+$AO$3*AO330+$AP$3*AP330)+$I$3*VLOOKUP(I330,COND!$A$2:$E$7,4,FALSE)+$J$3*VLOOKUP(J330,COND!$A$2:$C$7,2,FALSE)+$K$3*VLOOKUP(K330,COND!$A$2:$C$7,3,FALSE)+IF(AND($B$2&gt;0,$E330&lt;20),$B$2*25,0)</f>
        <v>37.582165602709168</v>
      </c>
      <c r="AR330" s="49">
        <f>STANDARDIZE(AQ330,AVERAGE($AQ$5:$AQ$537),STDEVP($AQ$5:$AQ$537))</f>
        <v>-0.48667370065390053</v>
      </c>
      <c r="AS330" s="47" t="str">
        <f>IF(AND(Z330&lt;&gt;"-",Y330&gt;1),"C",IF(AB330=MAX(AB330:AD330),"2B",IF(AD330=MAX(AB330:AD330),"SS",IF(OR(AC330=MAX(AA330:AD330),AND(AC330&lt;&gt;"-",AC330&gt;4,V330&gt;5)),"3B",IF(AF330=MAX(AE330:AG330),"CF",IF(AND(AG330=MAX(AE330,AG330),AND(W330&gt;5,AG330&lt;&gt;"-")),"RF",IF(AE330&lt;&gt;"-","LF",IF(AA330&lt;&gt;"-","1B","DH"))))))))</f>
        <v>1B</v>
      </c>
      <c r="AT330" s="47"/>
      <c r="AU330" s="47"/>
      <c r="AV330" s="47"/>
      <c r="AW330" s="47" t="str">
        <f>IF(AND($Q330&gt;=6,AVERAGE($S330:$T330)&gt;=6),"Likely",IF(OR($Q330&gt;6,AND($Q330=6,AVERAGE($S330:$T330)&gt;=3),AND($Q330&gt;=5,AVERAGE($S330:$T330)&gt;=5),AVERAGE($Q330,$S330:$T330)&gt;5),"Possible","Unlikely"))</f>
        <v>Unlikely</v>
      </c>
      <c r="AX330" s="47"/>
      <c r="AY330" s="47" t="str">
        <f>INDEX(Table5[[#All],[Ovr]],MATCH(Batters[[#This Row],[PID]],Table5[[#All],[PID]],0))</f>
        <v/>
      </c>
      <c r="AZ330" s="47" t="str">
        <f>INDEX(Table5[[#All],[Rnd]],MATCH(Batters[[#This Row],[PID]],Table5[[#All],[PID]],0))</f>
        <v/>
      </c>
      <c r="BA330" s="47" t="str">
        <f>INDEX(Table5[[#All],[Pick]],MATCH(Batters[[#This Row],[PID]],Table5[[#All],[PID]],0))</f>
        <v/>
      </c>
      <c r="BB330" s="47" t="str">
        <f>INDEX(Table5[[#All],[Team]],MATCH(Batters[[#This Row],[PID]],Table5[[#All],[PID]],0))</f>
        <v/>
      </c>
    </row>
    <row r="331" spans="1:54" ht="15" customHeight="1" x14ac:dyDescent="0.25">
      <c r="A331" s="42">
        <v>7610</v>
      </c>
      <c r="B331" s="42" t="s">
        <v>86</v>
      </c>
      <c r="C331" s="42" t="s">
        <v>920</v>
      </c>
      <c r="D331" s="42" t="s">
        <v>574</v>
      </c>
      <c r="E331" s="42">
        <v>18</v>
      </c>
      <c r="F331" s="42" t="s">
        <v>42</v>
      </c>
      <c r="G331" s="42" t="s">
        <v>42</v>
      </c>
      <c r="H331" s="43" t="s">
        <v>711</v>
      </c>
      <c r="I331" s="44" t="s">
        <v>43</v>
      </c>
      <c r="J331" s="42" t="s">
        <v>47</v>
      </c>
      <c r="K331" s="43" t="s">
        <v>43</v>
      </c>
      <c r="L331" s="42">
        <v>1</v>
      </c>
      <c r="M331" s="42">
        <v>1</v>
      </c>
      <c r="N331" s="42">
        <v>2</v>
      </c>
      <c r="O331" s="42">
        <v>1</v>
      </c>
      <c r="P331" s="43">
        <v>2</v>
      </c>
      <c r="Q331" s="42">
        <v>2</v>
      </c>
      <c r="R331" s="42">
        <v>3</v>
      </c>
      <c r="S331" s="42">
        <v>3</v>
      </c>
      <c r="T331" s="42">
        <v>4</v>
      </c>
      <c r="U331" s="43">
        <v>4</v>
      </c>
      <c r="V331" s="42">
        <v>3</v>
      </c>
      <c r="W331" s="42">
        <v>2</v>
      </c>
      <c r="X331" s="42">
        <v>4</v>
      </c>
      <c r="Y331" s="43">
        <v>8</v>
      </c>
      <c r="Z331" s="42">
        <v>2</v>
      </c>
      <c r="AA331" s="42" t="s">
        <v>45</v>
      </c>
      <c r="AB331" s="42" t="s">
        <v>45</v>
      </c>
      <c r="AC331" s="42" t="s">
        <v>45</v>
      </c>
      <c r="AD331" s="42" t="s">
        <v>45</v>
      </c>
      <c r="AE331" s="42" t="s">
        <v>45</v>
      </c>
      <c r="AF331" s="42" t="s">
        <v>45</v>
      </c>
      <c r="AG331" s="43" t="s">
        <v>45</v>
      </c>
      <c r="AH331" s="42">
        <v>1</v>
      </c>
      <c r="AI331" s="42">
        <v>3</v>
      </c>
      <c r="AJ331" s="43">
        <v>5</v>
      </c>
      <c r="AK331" s="45" t="s">
        <v>602</v>
      </c>
      <c r="AL331" s="45" t="s">
        <v>47</v>
      </c>
      <c r="AM331" s="46">
        <f>($L$3*(L331-$Q$1)/$Q$2+$M$3*(M331-$R$1)/$R$2+$N$3*(N331-$S$1)/$S$2+$O$3*(O331-$T$1)/$T$2+$P$3*(P331-$U$1)/$U$2)/(SUM($L$3:$P$3))</f>
        <v>-1.961265515986587</v>
      </c>
      <c r="AN331" s="46">
        <f>($L$3*(Q331-$Q$1)/$Q$2+$M$3*(R331-$R$1)/$R$2+$N$3*(S331-$S$1)/$S$2+$O$3*(T331-$T$1)/$T$2+$P$3*(U331-$U$1)/$U$2)/(SUM($L$3:$P$3))</f>
        <v>-1.1043670968596939</v>
      </c>
      <c r="AO331" s="47">
        <f>IF(AVERAGE(AH331:AI331)&gt;9,1,0)+IF(AVERAGE(AH331:AI331)&gt;7,1,0)+IF(AH331&gt;7,1,0)+IF(AI331&gt;7,1,0)+IF(AJ331&gt;8,1,0)+IF(AJ331&gt;6,1,0)</f>
        <v>0</v>
      </c>
      <c r="AP331" s="48">
        <f>MIN(2,IF(OR(Z331="-",X331&lt;5),0,1+IF(Y331&gt;7,0.35,IF(Y331&gt;5,0.1,0))+IF(Z331&gt;7,1+IF(X331&gt;7,0.25,0),IF(Z331&gt;4,0.5+IF(X331&gt;7,0.25,0),0+IF(X331&gt;7,0.25))))+IF(AA331="-",0,IF(AA331&gt;9,0.5,IF(AA331&gt;7,0.25,0)))+IF(AB331="-",0,IF(AB331&gt;7,1.1,IF(AB331&gt;4,0.6,0)))+IF(OR(AC331="-",V331&lt;5),0,IF(AC331&gt;7,1+IF(V331&gt;7,0.25,0),IF(AC331&gt;4,0.5+IF(V331&gt;7,0.25,0),0)))+IF(AD331="-",0,IF(AD331&gt;7,1.5,IF(AD331&gt;4,1,0)))+IF(AE331="-",0,IF(AE331&gt;9,0.5,IF(AE331&gt;7,0.25,0)))+IF(AF331="-",0,IF(AF331&gt;7,1.25,IF(AF331&gt;4,0.75,0)))+IF(OR(AG331="-",W331&lt;4),0,IF(AG331&gt;7,1+IF(W331&gt;7,0.15,0),IF(AG331&gt;4,0.5+IF(W331&gt;7,0.15,0),0))))</f>
        <v>0</v>
      </c>
      <c r="AQ331" s="46">
        <f>($AM$3*AM331+$AN$3*AN331+$AO$3*AO331+$AP$3*AP331)+$I$3*VLOOKUP(I331,COND!$A$2:$E$7,4,FALSE)+$J$3*VLOOKUP(J331,COND!$A$2:$C$7,2,FALSE)+$K$3*VLOOKUP(K331,COND!$A$2:$C$7,3,FALSE)+IF(AND($B$2&gt;0,$E331&lt;20),$B$2*25,0)</f>
        <v>36.851468286085016</v>
      </c>
      <c r="AR331" s="49">
        <f>STANDARDIZE(AQ331,AVERAGE($AQ$5:$AQ$537),STDEVP($AQ$5:$AQ$537))</f>
        <v>-0.61523503707787663</v>
      </c>
      <c r="AS331" s="47" t="str">
        <f>IF(AND(Z331&lt;&gt;"-",Y331&gt;1),"C",IF(AB331=MAX(AB331:AD331),"2B",IF(AD331=MAX(AB331:AD331),"SS",IF(OR(AC331=MAX(AA331:AD331),AND(AC331&lt;&gt;"-",AC331&gt;4,V331&gt;5)),"3B",IF(AF331=MAX(AE331:AG331),"CF",IF(AND(AG331=MAX(AE331,AG331),AND(W331&gt;5,AG331&lt;&gt;"-")),"RF",IF(AE331&lt;&gt;"-","LF",IF(AA331&lt;&gt;"-","1B","DH"))))))))</f>
        <v>C</v>
      </c>
      <c r="AT331" s="47"/>
      <c r="AU331" s="47"/>
      <c r="AV331" s="47"/>
      <c r="AW331" s="47" t="str">
        <f>IF(AND($Q331&gt;=6,AVERAGE($S331:$T331)&gt;=6),"Likely",IF(OR($Q331&gt;6,AND($Q331=6,AVERAGE($S331:$T331)&gt;=3),AND($Q331&gt;=5,AVERAGE($S331:$T331)&gt;=5),AVERAGE($Q331,$S331:$T331)&gt;5),"Possible","Unlikely"))</f>
        <v>Unlikely</v>
      </c>
      <c r="AX331" s="47"/>
      <c r="AY331" s="47" t="str">
        <f>INDEX(Table5[[#All],[Ovr]],MATCH(Batters[[#This Row],[PID]],Table5[[#All],[PID]],0))</f>
        <v/>
      </c>
      <c r="AZ331" s="47" t="str">
        <f>INDEX(Table5[[#All],[Rnd]],MATCH(Batters[[#This Row],[PID]],Table5[[#All],[PID]],0))</f>
        <v/>
      </c>
      <c r="BA331" s="47" t="str">
        <f>INDEX(Table5[[#All],[Pick]],MATCH(Batters[[#This Row],[PID]],Table5[[#All],[PID]],0))</f>
        <v/>
      </c>
      <c r="BB331" s="47" t="str">
        <f>INDEX(Table5[[#All],[Team]],MATCH(Batters[[#This Row],[PID]],Table5[[#All],[PID]],0))</f>
        <v/>
      </c>
    </row>
    <row r="332" spans="1:54" ht="15" customHeight="1" x14ac:dyDescent="0.25">
      <c r="A332" s="42">
        <v>5866</v>
      </c>
      <c r="B332" s="42" t="s">
        <v>50</v>
      </c>
      <c r="C332" s="42" t="s">
        <v>139</v>
      </c>
      <c r="D332" s="42" t="s">
        <v>1346</v>
      </c>
      <c r="E332" s="42">
        <v>18</v>
      </c>
      <c r="F332" s="42" t="s">
        <v>42</v>
      </c>
      <c r="G332" s="42" t="s">
        <v>42</v>
      </c>
      <c r="H332" s="43" t="s">
        <v>721</v>
      </c>
      <c r="I332" s="44" t="s">
        <v>44</v>
      </c>
      <c r="J332" s="42" t="s">
        <v>47</v>
      </c>
      <c r="K332" s="43" t="s">
        <v>43</v>
      </c>
      <c r="L332" s="42">
        <v>1</v>
      </c>
      <c r="M332" s="42">
        <v>1</v>
      </c>
      <c r="N332" s="42">
        <v>2</v>
      </c>
      <c r="O332" s="42">
        <v>1</v>
      </c>
      <c r="P332" s="43">
        <v>1</v>
      </c>
      <c r="Q332" s="42">
        <v>2</v>
      </c>
      <c r="R332" s="42">
        <v>2</v>
      </c>
      <c r="S332" s="42">
        <v>3</v>
      </c>
      <c r="T332" s="42">
        <v>4</v>
      </c>
      <c r="U332" s="43">
        <v>4</v>
      </c>
      <c r="V332" s="42">
        <v>2</v>
      </c>
      <c r="W332" s="42">
        <v>5</v>
      </c>
      <c r="X332" s="42">
        <v>1</v>
      </c>
      <c r="Y332" s="43">
        <v>1</v>
      </c>
      <c r="Z332" s="42" t="s">
        <v>45</v>
      </c>
      <c r="AA332" s="42" t="s">
        <v>45</v>
      </c>
      <c r="AB332" s="42" t="s">
        <v>45</v>
      </c>
      <c r="AC332" s="42" t="s">
        <v>45</v>
      </c>
      <c r="AD332" s="42" t="s">
        <v>45</v>
      </c>
      <c r="AE332" s="42">
        <v>3</v>
      </c>
      <c r="AF332" s="42" t="s">
        <v>45</v>
      </c>
      <c r="AG332" s="43" t="s">
        <v>45</v>
      </c>
      <c r="AH332" s="42">
        <v>8</v>
      </c>
      <c r="AI332" s="42">
        <v>8</v>
      </c>
      <c r="AJ332" s="43">
        <v>8</v>
      </c>
      <c r="AK332" s="45" t="s">
        <v>730</v>
      </c>
      <c r="AL332" s="45" t="s">
        <v>705</v>
      </c>
      <c r="AM332" s="46">
        <f>($L$3*(L332-$Q$1)/$Q$2+$M$3*(M332-$R$1)/$R$2+$N$3*(N332-$S$1)/$S$2+$O$3*(O332-$T$1)/$T$2+$P$3*(P332-$U$1)/$U$2)/(SUM($L$3:$P$3))</f>
        <v>-2.0012818558036707</v>
      </c>
      <c r="AN332" s="46">
        <f>($L$3*(Q332-$Q$1)/$Q$2+$M$3*(R332-$R$1)/$R$2+$N$3*(S332-$S$1)/$S$2+$O$3*(T332-$T$1)/$T$2+$P$3*(U332-$U$1)/$U$2)/(SUM($L$3:$P$3))</f>
        <v>-1.1554269764783973</v>
      </c>
      <c r="AO332" s="47">
        <f>IF(AVERAGE(AH332:AI332)&gt;9,1,0)+IF(AVERAGE(AH332:AI332)&gt;7,1,0)+IF(AH332&gt;7,1,0)+IF(AI332&gt;7,1,0)+IF(AJ332&gt;8,1,0)+IF(AJ332&gt;6,1,0)</f>
        <v>4</v>
      </c>
      <c r="AP332" s="48">
        <f>MIN(2,IF(OR(Z332="-",X332&lt;5),0,1+IF(Y332&gt;7,0.35,IF(Y332&gt;5,0.1,0))+IF(Z332&gt;7,1+IF(X332&gt;7,0.25,0),IF(Z332&gt;4,0.5+IF(X332&gt;7,0.25,0),0+IF(X332&gt;7,0.25))))+IF(AA332="-",0,IF(AA332&gt;9,0.5,IF(AA332&gt;7,0.25,0)))+IF(AB332="-",0,IF(AB332&gt;7,1.1,IF(AB332&gt;4,0.6,0)))+IF(OR(AC332="-",V332&lt;5),0,IF(AC332&gt;7,1+IF(V332&gt;7,0.25,0),IF(AC332&gt;4,0.5+IF(V332&gt;7,0.25,0),0)))+IF(AD332="-",0,IF(AD332&gt;7,1.5,IF(AD332&gt;4,1,0)))+IF(AE332="-",0,IF(AE332&gt;9,0.5,IF(AE332&gt;7,0.25,0)))+IF(AF332="-",0,IF(AF332&gt;7,1.25,IF(AF332&gt;4,0.75,0)))+IF(OR(AG332="-",W332&lt;4),0,IF(AG332&gt;7,1+IF(W332&gt;7,0.15,0),IF(AG332&gt;4,0.5+IF(W332&gt;7,0.15,0),0))))</f>
        <v>0</v>
      </c>
      <c r="AQ332" s="46">
        <f>($AM$3*AM332+$AN$3*AN332+$AO$3*AO332+$AP$3*AP332)+$I$3*VLOOKUP(I332,COND!$A$2:$E$7,4,FALSE)+$J$3*VLOOKUP(J332,COND!$A$2:$C$7,2,FALSE)+$K$3*VLOOKUP(K332,COND!$A$2:$C$7,3,FALSE)+IF(AND($B$2&gt;0,$E332&lt;20),$B$2*25,0)</f>
        <v>36.751414763345529</v>
      </c>
      <c r="AR332" s="49">
        <f>STANDARDIZE(AQ332,AVERAGE($AQ$5:$AQ$537),STDEVP($AQ$5:$AQ$537))</f>
        <v>-0.63283878941782312</v>
      </c>
      <c r="AS332" s="47" t="str">
        <f>IF(AND(Z332&lt;&gt;"-",Y332&gt;1),"C",IF(AB332=MAX(AB332:AD332),"2B",IF(AD332=MAX(AB332:AD332),"SS",IF(OR(AC332=MAX(AA332:AD332),AND(AC332&lt;&gt;"-",AC332&gt;4,V332&gt;5)),"3B",IF(AF332=MAX(AE332:AG332),"CF",IF(AND(AG332=MAX(AE332,AG332),AND(W332&gt;5,AG332&lt;&gt;"-")),"RF",IF(AE332&lt;&gt;"-","LF",IF(AA332&lt;&gt;"-","1B","DH"))))))))</f>
        <v>LF</v>
      </c>
      <c r="AT332" s="47"/>
      <c r="AU332" s="47"/>
      <c r="AV332" s="47"/>
      <c r="AW332" s="47" t="str">
        <f>IF(AND($Q332&gt;=6,AVERAGE($S332:$T332)&gt;=6),"Likely",IF(OR($Q332&gt;6,AND($Q332=6,AVERAGE($S332:$T332)&gt;=3),AND($Q332&gt;=5,AVERAGE($S332:$T332)&gt;=5),AVERAGE($Q332,$S332:$T332)&gt;5),"Possible","Unlikely"))</f>
        <v>Unlikely</v>
      </c>
      <c r="AX332" s="47"/>
      <c r="AY332" s="47" t="str">
        <f>INDEX(Table5[[#All],[Ovr]],MATCH(Batters[[#This Row],[PID]],Table5[[#All],[PID]],0))</f>
        <v/>
      </c>
      <c r="AZ332" s="47" t="str">
        <f>INDEX(Table5[[#All],[Rnd]],MATCH(Batters[[#This Row],[PID]],Table5[[#All],[PID]],0))</f>
        <v/>
      </c>
      <c r="BA332" s="47" t="str">
        <f>INDEX(Table5[[#All],[Pick]],MATCH(Batters[[#This Row],[PID]],Table5[[#All],[PID]],0))</f>
        <v/>
      </c>
      <c r="BB332" s="47" t="str">
        <f>INDEX(Table5[[#All],[Team]],MATCH(Batters[[#This Row],[PID]],Table5[[#All],[PID]],0))</f>
        <v/>
      </c>
    </row>
    <row r="333" spans="1:54" ht="15" customHeight="1" x14ac:dyDescent="0.25">
      <c r="A333" s="42">
        <v>10285</v>
      </c>
      <c r="B333" s="42" t="s">
        <v>74</v>
      </c>
      <c r="C333" s="42" t="s">
        <v>126</v>
      </c>
      <c r="D333" s="42" t="s">
        <v>1141</v>
      </c>
      <c r="E333" s="42">
        <v>21</v>
      </c>
      <c r="F333" s="42" t="s">
        <v>53</v>
      </c>
      <c r="G333" s="42" t="s">
        <v>53</v>
      </c>
      <c r="H333" s="43" t="s">
        <v>709</v>
      </c>
      <c r="I333" s="44" t="s">
        <v>43</v>
      </c>
      <c r="J333" s="42" t="s">
        <v>44</v>
      </c>
      <c r="K333" s="43" t="s">
        <v>47</v>
      </c>
      <c r="L333" s="42">
        <v>2</v>
      </c>
      <c r="M333" s="42">
        <v>1</v>
      </c>
      <c r="N333" s="42">
        <v>2</v>
      </c>
      <c r="O333" s="42">
        <v>3</v>
      </c>
      <c r="P333" s="43">
        <v>1</v>
      </c>
      <c r="Q333" s="42">
        <v>3</v>
      </c>
      <c r="R333" s="42">
        <v>3</v>
      </c>
      <c r="S333" s="42">
        <v>3</v>
      </c>
      <c r="T333" s="42">
        <v>4</v>
      </c>
      <c r="U333" s="43">
        <v>4</v>
      </c>
      <c r="V333" s="42">
        <v>4</v>
      </c>
      <c r="W333" s="42">
        <v>6</v>
      </c>
      <c r="X333" s="42">
        <v>1</v>
      </c>
      <c r="Y333" s="43">
        <v>1</v>
      </c>
      <c r="Z333" s="42" t="s">
        <v>45</v>
      </c>
      <c r="AA333" s="42" t="s">
        <v>45</v>
      </c>
      <c r="AB333" s="42" t="s">
        <v>45</v>
      </c>
      <c r="AC333" s="42" t="s">
        <v>45</v>
      </c>
      <c r="AD333" s="42" t="s">
        <v>45</v>
      </c>
      <c r="AE333" s="42" t="s">
        <v>45</v>
      </c>
      <c r="AF333" s="42">
        <v>8</v>
      </c>
      <c r="AG333" s="43" t="s">
        <v>45</v>
      </c>
      <c r="AH333" s="42">
        <v>10</v>
      </c>
      <c r="AI333" s="42">
        <v>9</v>
      </c>
      <c r="AJ333" s="43">
        <v>5</v>
      </c>
      <c r="AK333" s="45" t="s">
        <v>593</v>
      </c>
      <c r="AL333" s="45" t="s">
        <v>47</v>
      </c>
      <c r="AM333" s="46">
        <f>($L$3*(L333-$Q$1)/$Q$2+$M$3*(M333-$R$1)/$R$2+$N$3*(N333-$S$1)/$S$2+$O$3*(O333-$T$1)/$T$2+$P$3*(P333-$U$1)/$U$2)/(SUM($L$3:$P$3))</f>
        <v>-1.4993069195818338</v>
      </c>
      <c r="AN333" s="46">
        <f>($L$3*(Q333-$Q$1)/$Q$2+$M$3*(R333-$R$1)/$R$2+$N$3*(S333-$S$1)/$S$2+$O$3*(T333-$T$1)/$T$2+$P$3*(U333-$U$1)/$U$2)/(SUM($L$3:$P$3))</f>
        <v>-0.781811260657019</v>
      </c>
      <c r="AO333" s="47">
        <f>IF(AVERAGE(AH333:AI333)&gt;9,1,0)+IF(AVERAGE(AH333:AI333)&gt;7,1,0)+IF(AH333&gt;7,1,0)+IF(AI333&gt;7,1,0)+IF(AJ333&gt;8,1,0)+IF(AJ333&gt;6,1,0)</f>
        <v>4</v>
      </c>
      <c r="AP333" s="48">
        <f>MIN(2,IF(OR(Z333="-",X333&lt;5),0,1+IF(Y333&gt;7,0.35,IF(Y333&gt;5,0.1,0))+IF(Z333&gt;7,1+IF(X333&gt;7,0.25,0),IF(Z333&gt;4,0.5+IF(X333&gt;7,0.25,0),0+IF(X333&gt;7,0.25))))+IF(AA333="-",0,IF(AA333&gt;9,0.5,IF(AA333&gt;7,0.25,0)))+IF(AB333="-",0,IF(AB333&gt;7,1.1,IF(AB333&gt;4,0.6,0)))+IF(OR(AC333="-",V333&lt;5),0,IF(AC333&gt;7,1+IF(V333&gt;7,0.25,0),IF(AC333&gt;4,0.5+IF(V333&gt;7,0.25,0),0)))+IF(AD333="-",0,IF(AD333&gt;7,1.5,IF(AD333&gt;4,1,0)))+IF(AE333="-",0,IF(AE333&gt;9,0.5,IF(AE333&gt;7,0.25,0)))+IF(AF333="-",0,IF(AF333&gt;7,1.25,IF(AF333&gt;4,0.75,0)))+IF(OR(AG333="-",W333&lt;4),0,IF(AG333&gt;7,1+IF(W333&gt;7,0.15,0),IF(AG333&gt;4,0.5+IF(W333&gt;7,0.15,0),0))))</f>
        <v>1.25</v>
      </c>
      <c r="AQ333" s="46">
        <f>($AM$3*AM333+$AN$3*AN333+$AO$3*AO333+$AP$3*AP333)+$I$3*VLOOKUP(I333,COND!$A$2:$E$7,4,FALSE)+$J$3*VLOOKUP(J333,COND!$A$2:$C$7,2,FALSE)+$K$3*VLOOKUP(K333,COND!$A$2:$C$7,3,FALSE)+IF(AND($B$2&gt;0,$E333&lt;20),$B$2*25,0)</f>
        <v>37.385000846824255</v>
      </c>
      <c r="AR333" s="49">
        <f>STANDARDIZE(AQ333,AVERAGE($AQ$5:$AQ$537),STDEVP($AQ$5:$AQ$537))</f>
        <v>-0.521363529035068</v>
      </c>
      <c r="AS333" s="47" t="str">
        <f>IF(AND(Z333&lt;&gt;"-",Y333&gt;1),"C",IF(AB333=MAX(AB333:AD333),"2B",IF(AD333=MAX(AB333:AD333),"SS",IF(OR(AC333=MAX(AA333:AD333),AND(AC333&lt;&gt;"-",AC333&gt;4,V333&gt;5)),"3B",IF(AF333=MAX(AE333:AG333),"CF",IF(AND(AG333=MAX(AE333,AG333),AND(W333&gt;5,AG333&lt;&gt;"-")),"RF",IF(AE333&lt;&gt;"-","LF",IF(AA333&lt;&gt;"-","1B","DH"))))))))</f>
        <v>CF</v>
      </c>
      <c r="AT333" s="47"/>
      <c r="AU333" s="47"/>
      <c r="AV333" s="47"/>
      <c r="AW333" s="47" t="str">
        <f>IF(AND($Q333&gt;=6,AVERAGE($S333:$T333)&gt;=6),"Likely",IF(OR($Q333&gt;6,AND($Q333=6,AVERAGE($S333:$T333)&gt;=3),AND($Q333&gt;=5,AVERAGE($S333:$T333)&gt;=5),AVERAGE($Q333,$S333:$T333)&gt;5),"Possible","Unlikely"))</f>
        <v>Unlikely</v>
      </c>
      <c r="AX333" s="47"/>
      <c r="AY333" s="47" t="str">
        <f>INDEX(Table5[[#All],[Ovr]],MATCH(Batters[[#This Row],[PID]],Table5[[#All],[PID]],0))</f>
        <v/>
      </c>
      <c r="AZ333" s="47" t="str">
        <f>INDEX(Table5[[#All],[Rnd]],MATCH(Batters[[#This Row],[PID]],Table5[[#All],[PID]],0))</f>
        <v/>
      </c>
      <c r="BA333" s="47" t="str">
        <f>INDEX(Table5[[#All],[Pick]],MATCH(Batters[[#This Row],[PID]],Table5[[#All],[PID]],0))</f>
        <v/>
      </c>
      <c r="BB333" s="47" t="str">
        <f>INDEX(Table5[[#All],[Team]],MATCH(Batters[[#This Row],[PID]],Table5[[#All],[PID]],0))</f>
        <v/>
      </c>
    </row>
    <row r="334" spans="1:54" ht="15" customHeight="1" x14ac:dyDescent="0.25">
      <c r="A334" s="42">
        <v>10401</v>
      </c>
      <c r="B334" s="42" t="s">
        <v>69</v>
      </c>
      <c r="C334" s="42" t="s">
        <v>1172</v>
      </c>
      <c r="D334" s="42" t="s">
        <v>1173</v>
      </c>
      <c r="E334" s="42">
        <v>21</v>
      </c>
      <c r="F334" s="42" t="s">
        <v>42</v>
      </c>
      <c r="G334" s="42" t="s">
        <v>42</v>
      </c>
      <c r="H334" s="43" t="s">
        <v>709</v>
      </c>
      <c r="I334" s="44" t="s">
        <v>44</v>
      </c>
      <c r="J334" s="42" t="s">
        <v>44</v>
      </c>
      <c r="K334" s="43" t="s">
        <v>43</v>
      </c>
      <c r="L334" s="42">
        <v>2</v>
      </c>
      <c r="M334" s="42">
        <v>2</v>
      </c>
      <c r="N334" s="42">
        <v>3</v>
      </c>
      <c r="O334" s="42">
        <v>2</v>
      </c>
      <c r="P334" s="43">
        <v>1</v>
      </c>
      <c r="Q334" s="42">
        <v>3</v>
      </c>
      <c r="R334" s="42">
        <v>4</v>
      </c>
      <c r="S334" s="42">
        <v>4</v>
      </c>
      <c r="T334" s="42">
        <v>5</v>
      </c>
      <c r="U334" s="43">
        <v>3</v>
      </c>
      <c r="V334" s="42">
        <v>5</v>
      </c>
      <c r="W334" s="42">
        <v>6</v>
      </c>
      <c r="X334" s="42">
        <v>1</v>
      </c>
      <c r="Y334" s="43">
        <v>1</v>
      </c>
      <c r="Z334" s="42" t="s">
        <v>45</v>
      </c>
      <c r="AA334" s="42" t="s">
        <v>45</v>
      </c>
      <c r="AB334" s="42" t="s">
        <v>45</v>
      </c>
      <c r="AC334" s="42">
        <v>3</v>
      </c>
      <c r="AD334" s="42">
        <v>1</v>
      </c>
      <c r="AE334" s="42" t="s">
        <v>45</v>
      </c>
      <c r="AF334" s="42" t="s">
        <v>45</v>
      </c>
      <c r="AG334" s="43">
        <v>6</v>
      </c>
      <c r="AH334" s="42">
        <v>10</v>
      </c>
      <c r="AI334" s="42">
        <v>5</v>
      </c>
      <c r="AJ334" s="43">
        <v>4</v>
      </c>
      <c r="AK334" s="45" t="s">
        <v>606</v>
      </c>
      <c r="AL334" s="45" t="s">
        <v>47</v>
      </c>
      <c r="AM334" s="46">
        <f>($L$3*(L334-$Q$1)/$Q$2+$M$3*(M334-$R$1)/$R$2+$N$3*(N334-$S$1)/$S$2+$O$3*(O334-$T$1)/$T$2+$P$3*(P334-$U$1)/$U$2)/(SUM($L$3:$P$3))</f>
        <v>-1.4548950959488096</v>
      </c>
      <c r="AN334" s="46">
        <f>($L$3*(Q334-$Q$1)/$Q$2+$M$3*(R334-$R$1)/$R$2+$N$3*(S334-$S$1)/$S$2+$O$3*(T334-$T$1)/$T$2+$P$3*(U334-$U$1)/$U$2)/(SUM($L$3:$P$3))</f>
        <v>-0.59799667682191648</v>
      </c>
      <c r="AO334" s="47">
        <f>IF(AVERAGE(AH334:AI334)&gt;9,1,0)+IF(AVERAGE(AH334:AI334)&gt;7,1,0)+IF(AH334&gt;7,1,0)+IF(AI334&gt;7,1,0)+IF(AJ334&gt;8,1,0)+IF(AJ334&gt;6,1,0)</f>
        <v>2</v>
      </c>
      <c r="AP334" s="48">
        <f>MIN(2,IF(OR(Z334="-",X334&lt;5),0,1+IF(Y334&gt;7,0.35,IF(Y334&gt;5,0.1,0))+IF(Z334&gt;7,1+IF(X334&gt;7,0.25,0),IF(Z334&gt;4,0.5+IF(X334&gt;7,0.25,0),0+IF(X334&gt;7,0.25))))+IF(AA334="-",0,IF(AA334&gt;9,0.5,IF(AA334&gt;7,0.25,0)))+IF(AB334="-",0,IF(AB334&gt;7,1.1,IF(AB334&gt;4,0.6,0)))+IF(OR(AC334="-",V334&lt;5),0,IF(AC334&gt;7,1+IF(V334&gt;7,0.25,0),IF(AC334&gt;4,0.5+IF(V334&gt;7,0.25,0),0)))+IF(AD334="-",0,IF(AD334&gt;7,1.5,IF(AD334&gt;4,1,0)))+IF(AE334="-",0,IF(AE334&gt;9,0.5,IF(AE334&gt;7,0.25,0)))+IF(AF334="-",0,IF(AF334&gt;7,1.25,IF(AF334&gt;4,0.75,0)))+IF(OR(AG334="-",W334&lt;4),0,IF(AG334&gt;7,1+IF(W334&gt;7,0.15,0),IF(AG334&gt;4,0.5+IF(W334&gt;7,0.15,0),0))))</f>
        <v>0.5</v>
      </c>
      <c r="AQ334" s="46">
        <f>($AM$3*AM334+$AN$3*AN334+$AO$3*AO334+$AP$3*AP334)+$I$3*VLOOKUP(I334,COND!$A$2:$E$7,4,FALSE)+$J$3*VLOOKUP(J334,COND!$A$2:$C$7,2,FALSE)+$K$3*VLOOKUP(K334,COND!$A$2:$C$7,3,FALSE)+IF(AND($B$2&gt;0,$E334&lt;20),$B$2*25,0)</f>
        <v>38.061883701875452</v>
      </c>
      <c r="AR334" s="49">
        <f>STANDARDIZE(AQ334,AVERAGE($AQ$5:$AQ$537),STDEVP($AQ$5:$AQ$537))</f>
        <v>-0.40227048945761557</v>
      </c>
      <c r="AS334" s="47" t="str">
        <f>IF(AND(Z334&lt;&gt;"-",Y334&gt;1),"C",IF(AB334=MAX(AB334:AD334),"2B",IF(AD334=MAX(AB334:AD334),"SS",IF(OR(AC334=MAX(AA334:AD334),AND(AC334&lt;&gt;"-",AC334&gt;4,V334&gt;5)),"3B",IF(AF334=MAX(AE334:AG334),"CF",IF(AND(AG334=MAX(AE334,AG334),AND(W334&gt;5,AG334&lt;&gt;"-")),"RF",IF(AE334&lt;&gt;"-","LF",IF(AA334&lt;&gt;"-","1B","DH"))))))))</f>
        <v>3B</v>
      </c>
      <c r="AT334" s="47"/>
      <c r="AU334" s="47"/>
      <c r="AV334" s="47"/>
      <c r="AW334" s="47" t="str">
        <f>IF(AND($Q334&gt;=6,AVERAGE($S334:$T334)&gt;=6),"Likely",IF(OR($Q334&gt;6,AND($Q334=6,AVERAGE($S334:$T334)&gt;=3),AND($Q334&gt;=5,AVERAGE($S334:$T334)&gt;=5),AVERAGE($Q334,$S334:$T334)&gt;5),"Possible","Unlikely"))</f>
        <v>Unlikely</v>
      </c>
      <c r="AX334" s="47"/>
      <c r="AY334" s="47" t="str">
        <f>INDEX(Table5[[#All],[Ovr]],MATCH(Batters[[#This Row],[PID]],Table5[[#All],[PID]],0))</f>
        <v/>
      </c>
      <c r="AZ334" s="47" t="str">
        <f>INDEX(Table5[[#All],[Rnd]],MATCH(Batters[[#This Row],[PID]],Table5[[#All],[PID]],0))</f>
        <v/>
      </c>
      <c r="BA334" s="47" t="str">
        <f>INDEX(Table5[[#All],[Pick]],MATCH(Batters[[#This Row],[PID]],Table5[[#All],[PID]],0))</f>
        <v/>
      </c>
      <c r="BB334" s="47" t="str">
        <f>INDEX(Table5[[#All],[Team]],MATCH(Batters[[#This Row],[PID]],Table5[[#All],[PID]],0))</f>
        <v/>
      </c>
    </row>
    <row r="335" spans="1:54" ht="15" customHeight="1" x14ac:dyDescent="0.25">
      <c r="A335" s="42">
        <v>11857</v>
      </c>
      <c r="B335" s="42" t="s">
        <v>72</v>
      </c>
      <c r="C335" s="42" t="s">
        <v>155</v>
      </c>
      <c r="D335" s="42" t="s">
        <v>336</v>
      </c>
      <c r="E335" s="42">
        <v>21</v>
      </c>
      <c r="F335" s="42" t="s">
        <v>53</v>
      </c>
      <c r="G335" s="42" t="s">
        <v>42</v>
      </c>
      <c r="H335" s="43" t="s">
        <v>703</v>
      </c>
      <c r="I335" s="44" t="s">
        <v>47</v>
      </c>
      <c r="J335" s="42" t="s">
        <v>43</v>
      </c>
      <c r="K335" s="43" t="s">
        <v>43</v>
      </c>
      <c r="L335" s="42">
        <v>2</v>
      </c>
      <c r="M335" s="42">
        <v>2</v>
      </c>
      <c r="N335" s="42">
        <v>2</v>
      </c>
      <c r="O335" s="42">
        <v>3</v>
      </c>
      <c r="P335" s="43">
        <v>1</v>
      </c>
      <c r="Q335" s="42">
        <v>3</v>
      </c>
      <c r="R335" s="42">
        <v>4</v>
      </c>
      <c r="S335" s="42">
        <v>3</v>
      </c>
      <c r="T335" s="42">
        <v>4</v>
      </c>
      <c r="U335" s="43">
        <v>3</v>
      </c>
      <c r="V335" s="42">
        <v>8</v>
      </c>
      <c r="W335" s="42">
        <v>8</v>
      </c>
      <c r="X335" s="42">
        <v>1</v>
      </c>
      <c r="Y335" s="43">
        <v>1</v>
      </c>
      <c r="Z335" s="42" t="s">
        <v>45</v>
      </c>
      <c r="AA335" s="42" t="s">
        <v>45</v>
      </c>
      <c r="AB335" s="42" t="s">
        <v>45</v>
      </c>
      <c r="AC335" s="42">
        <v>2</v>
      </c>
      <c r="AD335" s="42">
        <v>10</v>
      </c>
      <c r="AE335" s="42" t="s">
        <v>45</v>
      </c>
      <c r="AF335" s="42" t="s">
        <v>45</v>
      </c>
      <c r="AG335" s="43" t="s">
        <v>45</v>
      </c>
      <c r="AH335" s="42">
        <v>5</v>
      </c>
      <c r="AI335" s="42">
        <v>7</v>
      </c>
      <c r="AJ335" s="43">
        <v>6</v>
      </c>
      <c r="AK335" s="45" t="s">
        <v>1303</v>
      </c>
      <c r="AL335" s="45" t="s">
        <v>705</v>
      </c>
      <c r="AM335" s="46">
        <f>($L$3*(L335-$Q$1)/$Q$2+$M$3*(M335-$R$1)/$R$2+$N$3*(N335-$S$1)/$S$2+$O$3*(O335-$T$1)/$T$2+$P$3*(P335-$U$1)/$U$2)/(SUM($L$3:$P$3))</f>
        <v>-1.4482470399631302</v>
      </c>
      <c r="AN335" s="46">
        <f>($L$3*(Q335-$Q$1)/$Q$2+$M$3*(R335-$R$1)/$R$2+$N$3*(S335-$S$1)/$S$2+$O$3*(T335-$T$1)/$T$2+$P$3*(U335-$U$1)/$U$2)/(SUM($L$3:$P$3))</f>
        <v>-0.77076772085539913</v>
      </c>
      <c r="AO335" s="47">
        <f>IF(AVERAGE(AH335:AI335)&gt;9,1,0)+IF(AVERAGE(AH335:AI335)&gt;7,1,0)+IF(AH335&gt;7,1,0)+IF(AI335&gt;7,1,0)+IF(AJ335&gt;8,1,0)+IF(AJ335&gt;6,1,0)</f>
        <v>0</v>
      </c>
      <c r="AP335" s="48">
        <f>MIN(2,IF(OR(Z335="-",X335&lt;5),0,1+IF(Y335&gt;7,0.35,IF(Y335&gt;5,0.1,0))+IF(Z335&gt;7,1+IF(X335&gt;7,0.25,0),IF(Z335&gt;4,0.5+IF(X335&gt;7,0.25,0),0+IF(X335&gt;7,0.25))))+IF(AA335="-",0,IF(AA335&gt;9,0.5,IF(AA335&gt;7,0.25,0)))+IF(AB335="-",0,IF(AB335&gt;7,1.1,IF(AB335&gt;4,0.6,0)))+IF(OR(AC335="-",V335&lt;5),0,IF(AC335&gt;7,1+IF(V335&gt;7,0.25,0),IF(AC335&gt;4,0.5+IF(V335&gt;7,0.25,0),0)))+IF(AD335="-",0,IF(AD335&gt;7,1.5,IF(AD335&gt;4,1,0)))+IF(AE335="-",0,IF(AE335&gt;9,0.5,IF(AE335&gt;7,0.25,0)))+IF(AF335="-",0,IF(AF335&gt;7,1.25,IF(AF335&gt;4,0.75,0)))+IF(OR(AG335="-",W335&lt;4),0,IF(AG335&gt;7,1+IF(W335&gt;7,0.15,0),IF(AG335&gt;4,0.5+IF(W335&gt;7,0.15,0),0))))</f>
        <v>1.5</v>
      </c>
      <c r="AQ335" s="46">
        <f>($AM$3*AM335+$AN$3*AN335+$AO$3*AO335+$AP$3*AP335)+$I$3*VLOOKUP(I335,COND!$A$2:$E$7,4,FALSE)+$J$3*VLOOKUP(J335,COND!$A$2:$C$7,2,FALSE)+$K$3*VLOOKUP(K335,COND!$A$2:$C$7,3,FALSE)+IF(AND($B$2&gt;0,$E335&lt;20),$B$2*25,0)</f>
        <v>37.330962645738893</v>
      </c>
      <c r="AR335" s="49">
        <f>STANDARDIZE(AQ335,AVERAGE($AQ$5:$AQ$537),STDEVP($AQ$5:$AQ$537))</f>
        <v>-0.53087119136175898</v>
      </c>
      <c r="AS335" s="47" t="str">
        <f>IF(AND(Z335&lt;&gt;"-",Y335&gt;1),"C",IF(AB335=MAX(AB335:AD335),"2B",IF(AD335=MAX(AB335:AD335),"SS",IF(OR(AC335=MAX(AA335:AD335),AND(AC335&lt;&gt;"-",AC335&gt;4,V335&gt;5)),"3B",IF(AF335=MAX(AE335:AG335),"CF",IF(AND(AG335=MAX(AE335,AG335),AND(W335&gt;5,AG335&lt;&gt;"-")),"RF",IF(AE335&lt;&gt;"-","LF",IF(AA335&lt;&gt;"-","1B","DH"))))))))</f>
        <v>SS</v>
      </c>
      <c r="AT335" s="47"/>
      <c r="AU335" s="47"/>
      <c r="AV335" s="47"/>
      <c r="AW335" s="47" t="str">
        <f>IF(AND($Q335&gt;=6,AVERAGE($S335:$T335)&gt;=6),"Likely",IF(OR($Q335&gt;6,AND($Q335=6,AVERAGE($S335:$T335)&gt;=3),AND($Q335&gt;=5,AVERAGE($S335:$T335)&gt;=5),AVERAGE($Q335,$S335:$T335)&gt;5),"Possible","Unlikely"))</f>
        <v>Unlikely</v>
      </c>
      <c r="AX335" s="47"/>
      <c r="AY335" s="47" t="str">
        <f>INDEX(Table5[[#All],[Ovr]],MATCH(Batters[[#This Row],[PID]],Table5[[#All],[PID]],0))</f>
        <v/>
      </c>
      <c r="AZ335" s="47" t="str">
        <f>INDEX(Table5[[#All],[Rnd]],MATCH(Batters[[#This Row],[PID]],Table5[[#All],[PID]],0))</f>
        <v/>
      </c>
      <c r="BA335" s="47" t="str">
        <f>INDEX(Table5[[#All],[Pick]],MATCH(Batters[[#This Row],[PID]],Table5[[#All],[PID]],0))</f>
        <v/>
      </c>
      <c r="BB335" s="47" t="str">
        <f>INDEX(Table5[[#All],[Team]],MATCH(Batters[[#This Row],[PID]],Table5[[#All],[PID]],0))</f>
        <v/>
      </c>
    </row>
    <row r="336" spans="1:54" ht="15" customHeight="1" x14ac:dyDescent="0.25">
      <c r="A336" s="42">
        <v>9637</v>
      </c>
      <c r="B336" s="42" t="s">
        <v>86</v>
      </c>
      <c r="C336" s="42" t="s">
        <v>169</v>
      </c>
      <c r="D336" s="42" t="s">
        <v>844</v>
      </c>
      <c r="E336" s="42">
        <v>22</v>
      </c>
      <c r="F336" s="42" t="s">
        <v>62</v>
      </c>
      <c r="G336" s="42" t="s">
        <v>42</v>
      </c>
      <c r="H336" s="43" t="s">
        <v>709</v>
      </c>
      <c r="I336" s="44" t="s">
        <v>43</v>
      </c>
      <c r="J336" s="42" t="s">
        <v>43</v>
      </c>
      <c r="K336" s="43" t="s">
        <v>43</v>
      </c>
      <c r="L336" s="42">
        <v>2</v>
      </c>
      <c r="M336" s="42">
        <v>3</v>
      </c>
      <c r="N336" s="42">
        <v>3</v>
      </c>
      <c r="O336" s="42">
        <v>3</v>
      </c>
      <c r="P336" s="43">
        <v>1</v>
      </c>
      <c r="Q336" s="42">
        <v>3</v>
      </c>
      <c r="R336" s="42">
        <v>4</v>
      </c>
      <c r="S336" s="42">
        <v>3</v>
      </c>
      <c r="T336" s="42">
        <v>5</v>
      </c>
      <c r="U336" s="43">
        <v>2</v>
      </c>
      <c r="V336" s="42">
        <v>4</v>
      </c>
      <c r="W336" s="42">
        <v>4</v>
      </c>
      <c r="X336" s="42">
        <v>6</v>
      </c>
      <c r="Y336" s="43">
        <v>7</v>
      </c>
      <c r="Z336" s="42">
        <v>3</v>
      </c>
      <c r="AA336" s="42" t="s">
        <v>45</v>
      </c>
      <c r="AB336" s="42" t="s">
        <v>45</v>
      </c>
      <c r="AC336" s="42" t="s">
        <v>45</v>
      </c>
      <c r="AD336" s="42" t="s">
        <v>45</v>
      </c>
      <c r="AE336" s="42" t="s">
        <v>45</v>
      </c>
      <c r="AF336" s="42" t="s">
        <v>45</v>
      </c>
      <c r="AG336" s="43" t="s">
        <v>45</v>
      </c>
      <c r="AH336" s="42">
        <v>3</v>
      </c>
      <c r="AI336" s="42">
        <v>1</v>
      </c>
      <c r="AJ336" s="43">
        <v>1</v>
      </c>
      <c r="AK336" s="45" t="s">
        <v>45</v>
      </c>
      <c r="AL336" s="45" t="s">
        <v>705</v>
      </c>
      <c r="AM336" s="46">
        <f>($L$3*(L336-$Q$1)/$Q$2+$M$3*(M336-$R$1)/$R$2+$N$3*(N336-$S$1)/$S$2+$O$3*(O336-$T$1)/$T$2+$P$3*(P336-$U$1)/$U$2)/(SUM($L$3:$P$3))</f>
        <v>-1.3141256663205254</v>
      </c>
      <c r="AN336" s="46">
        <f>($L$3*(Q336-$Q$1)/$Q$2+$M$3*(R336-$R$1)/$R$2+$N$3*(S336-$S$1)/$S$2+$O$3*(T336-$T$1)/$T$2+$P$3*(U336-$U$1)/$U$2)/(SUM($L$3:$P$3))</f>
        <v>-0.72107451066290151</v>
      </c>
      <c r="AO336" s="47">
        <f>IF(AVERAGE(AH336:AI336)&gt;9,1,0)+IF(AVERAGE(AH336:AI336)&gt;7,1,0)+IF(AH336&gt;7,1,0)+IF(AI336&gt;7,1,0)+IF(AJ336&gt;8,1,0)+IF(AJ336&gt;6,1,0)</f>
        <v>0</v>
      </c>
      <c r="AP336" s="48">
        <f>MIN(2,IF(OR(Z336="-",X336&lt;5),0,1+IF(Y336&gt;7,0.35,IF(Y336&gt;5,0.1,0))+IF(Z336&gt;7,1+IF(X336&gt;7,0.25,0),IF(Z336&gt;4,0.5+IF(X336&gt;7,0.25,0),0+IF(X336&gt;7,0.25))))+IF(AA336="-",0,IF(AA336&gt;9,0.5,IF(AA336&gt;7,0.25,0)))+IF(AB336="-",0,IF(AB336&gt;7,1.1,IF(AB336&gt;4,0.6,0)))+IF(OR(AC336="-",V336&lt;5),0,IF(AC336&gt;7,1+IF(V336&gt;7,0.25,0),IF(AC336&gt;4,0.5+IF(V336&gt;7,0.25,0),0)))+IF(AD336="-",0,IF(AD336&gt;7,1.5,IF(AD336&gt;4,1,0)))+IF(AE336="-",0,IF(AE336&gt;9,0.5,IF(AE336&gt;7,0.25,0)))+IF(AF336="-",0,IF(AF336&gt;7,1.25,IF(AF336&gt;4,0.75,0)))+IF(OR(AG336="-",W336&lt;4),0,IF(AG336&gt;7,1+IF(W336&gt;7,0.15,0),IF(AG336&gt;4,0.5+IF(W336&gt;7,0.15,0),0))))</f>
        <v>1.1000000000000001</v>
      </c>
      <c r="AQ336" s="46">
        <f>($AM$3*AM336+$AN$3*AN336+$AO$3*AO336+$AP$3*AP336)+$I$3*VLOOKUP(I336,COND!$A$2:$E$7,4,FALSE)+$J$3*VLOOKUP(J336,COND!$A$2:$C$7,2,FALSE)+$K$3*VLOOKUP(K336,COND!$A$2:$C$7,3,FALSE)+IF(AND($B$2&gt;0,$E336&lt;20),$B$2*25,0)</f>
        <v>37.315693305413127</v>
      </c>
      <c r="AR336" s="49">
        <f>STANDARDIZE(AQ336,AVERAGE($AQ$5:$AQ$537),STDEVP($AQ$5:$AQ$537))</f>
        <v>-0.53355773030740927</v>
      </c>
      <c r="AS336" s="47" t="str">
        <f>IF(AND(Z336&lt;&gt;"-",Y336&gt;1),"C",IF(AB336=MAX(AB336:AD336),"2B",IF(AD336=MAX(AB336:AD336),"SS",IF(OR(AC336=MAX(AA336:AD336),AND(AC336&lt;&gt;"-",AC336&gt;4,V336&gt;5)),"3B",IF(AF336=MAX(AE336:AG336),"CF",IF(AND(AG336=MAX(AE336,AG336),AND(W336&gt;5,AG336&lt;&gt;"-")),"RF",IF(AE336&lt;&gt;"-","LF",IF(AA336&lt;&gt;"-","1B","DH"))))))))</f>
        <v>C</v>
      </c>
      <c r="AT336" s="47"/>
      <c r="AU336" s="47"/>
      <c r="AV336" s="47"/>
      <c r="AW336" s="47" t="str">
        <f>IF(AND($Q336&gt;=6,AVERAGE($S336:$T336)&gt;=6),"Likely",IF(OR($Q336&gt;6,AND($Q336=6,AVERAGE($S336:$T336)&gt;=3),AND($Q336&gt;=5,AVERAGE($S336:$T336)&gt;=5),AVERAGE($Q336,$S336:$T336)&gt;5),"Possible","Unlikely"))</f>
        <v>Unlikely</v>
      </c>
      <c r="AX336" s="47"/>
      <c r="AY336" s="47" t="str">
        <f>INDEX(Table5[[#All],[Ovr]],MATCH(Batters[[#This Row],[PID]],Table5[[#All],[PID]],0))</f>
        <v/>
      </c>
      <c r="AZ336" s="47" t="str">
        <f>INDEX(Table5[[#All],[Rnd]],MATCH(Batters[[#This Row],[PID]],Table5[[#All],[PID]],0))</f>
        <v/>
      </c>
      <c r="BA336" s="47" t="str">
        <f>INDEX(Table5[[#All],[Pick]],MATCH(Batters[[#This Row],[PID]],Table5[[#All],[PID]],0))</f>
        <v/>
      </c>
      <c r="BB336" s="47" t="str">
        <f>INDEX(Table5[[#All],[Team]],MATCH(Batters[[#This Row],[PID]],Table5[[#All],[PID]],0))</f>
        <v/>
      </c>
    </row>
    <row r="337" spans="1:54" ht="15" customHeight="1" x14ac:dyDescent="0.25">
      <c r="A337" s="42">
        <v>7629</v>
      </c>
      <c r="B337" s="42" t="s">
        <v>71</v>
      </c>
      <c r="C337" s="42" t="s">
        <v>467</v>
      </c>
      <c r="D337" s="42" t="s">
        <v>843</v>
      </c>
      <c r="E337" s="42">
        <v>18</v>
      </c>
      <c r="F337" s="42" t="s">
        <v>53</v>
      </c>
      <c r="G337" s="42" t="s">
        <v>42</v>
      </c>
      <c r="H337" s="43" t="s">
        <v>721</v>
      </c>
      <c r="I337" s="44" t="s">
        <v>43</v>
      </c>
      <c r="J337" s="42" t="s">
        <v>43</v>
      </c>
      <c r="K337" s="43" t="s">
        <v>43</v>
      </c>
      <c r="L337" s="42">
        <v>1</v>
      </c>
      <c r="M337" s="42">
        <v>1</v>
      </c>
      <c r="N337" s="42">
        <v>2</v>
      </c>
      <c r="O337" s="42">
        <v>1</v>
      </c>
      <c r="P337" s="43">
        <v>1</v>
      </c>
      <c r="Q337" s="42">
        <v>2</v>
      </c>
      <c r="R337" s="42">
        <v>3</v>
      </c>
      <c r="S337" s="42">
        <v>3</v>
      </c>
      <c r="T337" s="42">
        <v>5</v>
      </c>
      <c r="U337" s="43">
        <v>3</v>
      </c>
      <c r="V337" s="42">
        <v>5</v>
      </c>
      <c r="W337" s="42">
        <v>2</v>
      </c>
      <c r="X337" s="42">
        <v>1</v>
      </c>
      <c r="Y337" s="43">
        <v>1</v>
      </c>
      <c r="Z337" s="42" t="s">
        <v>45</v>
      </c>
      <c r="AA337" s="42" t="s">
        <v>45</v>
      </c>
      <c r="AB337" s="42">
        <v>1</v>
      </c>
      <c r="AC337" s="42" t="s">
        <v>45</v>
      </c>
      <c r="AD337" s="42" t="s">
        <v>45</v>
      </c>
      <c r="AE337" s="42" t="s">
        <v>45</v>
      </c>
      <c r="AF337" s="42" t="s">
        <v>45</v>
      </c>
      <c r="AG337" s="43" t="s">
        <v>45</v>
      </c>
      <c r="AH337" s="42">
        <v>4</v>
      </c>
      <c r="AI337" s="42">
        <v>8</v>
      </c>
      <c r="AJ337" s="43">
        <v>4</v>
      </c>
      <c r="AK337" s="45" t="s">
        <v>733</v>
      </c>
      <c r="AL337" s="45" t="s">
        <v>47</v>
      </c>
      <c r="AM337" s="46">
        <f>($L$3*(L337-$Q$1)/$Q$2+$M$3*(M337-$R$1)/$R$2+$N$3*(N337-$S$1)/$S$2+$O$3*(O337-$T$1)/$T$2+$P$3*(P337-$U$1)/$U$2)/(SUM($L$3:$P$3))</f>
        <v>-2.0012818558036707</v>
      </c>
      <c r="AN337" s="46">
        <f>($L$3*(Q337-$Q$1)/$Q$2+$M$3*(R337-$R$1)/$R$2+$N$3*(S337-$S$1)/$S$2+$O$3*(T337-$T$1)/$T$2+$P$3*(U337-$U$1)/$U$2)/(SUM($L$3:$P$3))</f>
        <v>-1.0546738866671965</v>
      </c>
      <c r="AO337" s="47">
        <f>IF(AVERAGE(AH337:AI337)&gt;9,1,0)+IF(AVERAGE(AH337:AI337)&gt;7,1,0)+IF(AH337&gt;7,1,0)+IF(AI337&gt;7,1,0)+IF(AJ337&gt;8,1,0)+IF(AJ337&gt;6,1,0)</f>
        <v>1</v>
      </c>
      <c r="AP337" s="48">
        <f>MIN(2,IF(OR(Z337="-",X337&lt;5),0,1+IF(Y337&gt;7,0.35,IF(Y337&gt;5,0.1,0))+IF(Z337&gt;7,1+IF(X337&gt;7,0.25,0),IF(Z337&gt;4,0.5+IF(X337&gt;7,0.25,0),0+IF(X337&gt;7,0.25))))+IF(AA337="-",0,IF(AA337&gt;9,0.5,IF(AA337&gt;7,0.25,0)))+IF(AB337="-",0,IF(AB337&gt;7,1.1,IF(AB337&gt;4,0.6,0)))+IF(OR(AC337="-",V337&lt;5),0,IF(AC337&gt;7,1+IF(V337&gt;7,0.25,0),IF(AC337&gt;4,0.5+IF(V337&gt;7,0.25,0),0)))+IF(AD337="-",0,IF(AD337&gt;7,1.5,IF(AD337&gt;4,1,0)))+IF(AE337="-",0,IF(AE337&gt;9,0.5,IF(AE337&gt;7,0.25,0)))+IF(AF337="-",0,IF(AF337&gt;7,1.25,IF(AF337&gt;4,0.75,0)))+IF(OR(AG337="-",W337&lt;4),0,IF(AG337&gt;7,1+IF(W337&gt;7,0.15,0),IF(AG337&gt;4,0.5+IF(W337&gt;7,0.15,0),0))))</f>
        <v>0</v>
      </c>
      <c r="AQ337" s="46">
        <f>($AM$3*AM337+$AN$3*AN337+$AO$3*AO337+$AP$3*AP337)+$I$3*VLOOKUP(I337,COND!$A$2:$E$7,4,FALSE)+$J$3*VLOOKUP(J337,COND!$A$2:$C$7,2,FALSE)+$K$3*VLOOKUP(K337,COND!$A$2:$C$7,3,FALSE)+IF(AND($B$2&gt;0,$E337&lt;20),$B$2*25,0)</f>
        <v>37.310451841079939</v>
      </c>
      <c r="AR337" s="49">
        <f>STANDARDIZE(AQ337,AVERAGE($AQ$5:$AQ$537),STDEVP($AQ$5:$AQ$537))</f>
        <v>-0.53447993112047176</v>
      </c>
      <c r="AS337" s="47" t="str">
        <f>IF(AND(Z337&lt;&gt;"-",Y337&gt;1),"C",IF(AB337=MAX(AB337:AD337),"2B",IF(AD337=MAX(AB337:AD337),"SS",IF(OR(AC337=MAX(AA337:AD337),AND(AC337&lt;&gt;"-",AC337&gt;4,V337&gt;5)),"3B",IF(AF337=MAX(AE337:AG337),"CF",IF(AND(AG337=MAX(AE337,AG337),AND(W337&gt;5,AG337&lt;&gt;"-")),"RF",IF(AE337&lt;&gt;"-","LF",IF(AA337&lt;&gt;"-","1B","DH"))))))))</f>
        <v>2B</v>
      </c>
      <c r="AT337" s="47"/>
      <c r="AU337" s="47"/>
      <c r="AV337" s="47"/>
      <c r="AW337" s="47" t="str">
        <f>IF(AND($Q337&gt;=6,AVERAGE($S337:$T337)&gt;=6),"Likely",IF(OR($Q337&gt;6,AND($Q337=6,AVERAGE($S337:$T337)&gt;=3),AND($Q337&gt;=5,AVERAGE($S337:$T337)&gt;=5),AVERAGE($Q337,$S337:$T337)&gt;5),"Possible","Unlikely"))</f>
        <v>Unlikely</v>
      </c>
      <c r="AX337" s="47"/>
      <c r="AY337" s="47" t="str">
        <f>INDEX(Table5[[#All],[Ovr]],MATCH(Batters[[#This Row],[PID]],Table5[[#All],[PID]],0))</f>
        <v/>
      </c>
      <c r="AZ337" s="47" t="str">
        <f>INDEX(Table5[[#All],[Rnd]],MATCH(Batters[[#This Row],[PID]],Table5[[#All],[PID]],0))</f>
        <v/>
      </c>
      <c r="BA337" s="47" t="str">
        <f>INDEX(Table5[[#All],[Pick]],MATCH(Batters[[#This Row],[PID]],Table5[[#All],[PID]],0))</f>
        <v/>
      </c>
      <c r="BB337" s="47" t="str">
        <f>INDEX(Table5[[#All],[Team]],MATCH(Batters[[#This Row],[PID]],Table5[[#All],[PID]],0))</f>
        <v/>
      </c>
    </row>
    <row r="338" spans="1:54" ht="15" customHeight="1" x14ac:dyDescent="0.25">
      <c r="A338" s="42">
        <v>6821</v>
      </c>
      <c r="B338" s="42" t="s">
        <v>87</v>
      </c>
      <c r="C338" s="42" t="s">
        <v>1198</v>
      </c>
      <c r="D338" s="42" t="s">
        <v>963</v>
      </c>
      <c r="E338" s="42">
        <v>21</v>
      </c>
      <c r="F338" s="42" t="s">
        <v>42</v>
      </c>
      <c r="G338" s="42" t="s">
        <v>42</v>
      </c>
      <c r="H338" s="43" t="s">
        <v>709</v>
      </c>
      <c r="I338" s="44" t="s">
        <v>47</v>
      </c>
      <c r="J338" s="42" t="s">
        <v>43</v>
      </c>
      <c r="K338" s="43" t="s">
        <v>43</v>
      </c>
      <c r="L338" s="42">
        <v>2</v>
      </c>
      <c r="M338" s="42">
        <v>3</v>
      </c>
      <c r="N338" s="42">
        <v>3</v>
      </c>
      <c r="O338" s="42">
        <v>3</v>
      </c>
      <c r="P338" s="43">
        <v>2</v>
      </c>
      <c r="Q338" s="42">
        <v>3</v>
      </c>
      <c r="R338" s="42">
        <v>3</v>
      </c>
      <c r="S338" s="42">
        <v>4</v>
      </c>
      <c r="T338" s="42">
        <v>5</v>
      </c>
      <c r="U338" s="43">
        <v>3</v>
      </c>
      <c r="V338" s="42">
        <v>3</v>
      </c>
      <c r="W338" s="42">
        <v>2</v>
      </c>
      <c r="X338" s="42">
        <v>4</v>
      </c>
      <c r="Y338" s="43">
        <v>7</v>
      </c>
      <c r="Z338" s="42" t="s">
        <v>45</v>
      </c>
      <c r="AA338" s="42">
        <v>2</v>
      </c>
      <c r="AB338" s="42" t="s">
        <v>45</v>
      </c>
      <c r="AC338" s="42" t="s">
        <v>45</v>
      </c>
      <c r="AD338" s="42" t="s">
        <v>45</v>
      </c>
      <c r="AE338" s="42" t="s">
        <v>45</v>
      </c>
      <c r="AF338" s="42" t="s">
        <v>45</v>
      </c>
      <c r="AG338" s="43" t="s">
        <v>45</v>
      </c>
      <c r="AH338" s="42">
        <v>1</v>
      </c>
      <c r="AI338" s="42">
        <v>1</v>
      </c>
      <c r="AJ338" s="43">
        <v>1</v>
      </c>
      <c r="AK338" s="45" t="s">
        <v>45</v>
      </c>
      <c r="AL338" s="45" t="s">
        <v>47</v>
      </c>
      <c r="AM338" s="46">
        <f>($L$3*(L338-$Q$1)/$Q$2+$M$3*(M338-$R$1)/$R$2+$N$3*(N338-$S$1)/$S$2+$O$3*(O338-$T$1)/$T$2+$P$3*(P338-$U$1)/$U$2)/(SUM($L$3:$P$3))</f>
        <v>-1.2741093265034418</v>
      </c>
      <c r="AN338" s="46">
        <f>($L$3*(Q338-$Q$1)/$Q$2+$M$3*(R338-$R$1)/$R$2+$N$3*(S338-$S$1)/$S$2+$O$3*(T338-$T$1)/$T$2+$P$3*(U338-$U$1)/$U$2)/(SUM($L$3:$P$3))</f>
        <v>-0.64905655644061999</v>
      </c>
      <c r="AO338" s="47">
        <f>IF(AVERAGE(AH338:AI338)&gt;9,1,0)+IF(AVERAGE(AH338:AI338)&gt;7,1,0)+IF(AH338&gt;7,1,0)+IF(AI338&gt;7,1,0)+IF(AJ338&gt;8,1,0)+IF(AJ338&gt;6,1,0)</f>
        <v>0</v>
      </c>
      <c r="AP338" s="48">
        <f>MIN(2,IF(OR(Z338="-",X338&lt;5),0,1+IF(Y338&gt;7,0.35,IF(Y338&gt;5,0.1,0))+IF(Z338&gt;7,1+IF(X338&gt;7,0.25,0),IF(Z338&gt;4,0.5+IF(X338&gt;7,0.25,0),0+IF(X338&gt;7,0.25))))+IF(AA338="-",0,IF(AA338&gt;9,0.5,IF(AA338&gt;7,0.25,0)))+IF(AB338="-",0,IF(AB338&gt;7,1.1,IF(AB338&gt;4,0.6,0)))+IF(OR(AC338="-",V338&lt;5),0,IF(AC338&gt;7,1+IF(V338&gt;7,0.25,0),IF(AC338&gt;4,0.5+IF(V338&gt;7,0.25,0),0)))+IF(AD338="-",0,IF(AD338&gt;7,1.5,IF(AD338&gt;4,1,0)))+IF(AE338="-",0,IF(AE338&gt;9,0.5,IF(AE338&gt;7,0.25,0)))+IF(AF338="-",0,IF(AF338&gt;7,1.25,IF(AF338&gt;4,0.75,0)))+IF(OR(AG338="-",W338&lt;4),0,IF(AG338&gt;7,1+IF(W338&gt;7,0.15,0),IF(AG338&gt;4,0.5+IF(W338&gt;7,0.15,0),0))))</f>
        <v>0</v>
      </c>
      <c r="AQ338" s="46">
        <f>($AM$3*AM338+$AN$3*AN338+$AO$3*AO338+$AP$3*AP338)+$I$3*VLOOKUP(I338,COND!$A$2:$E$7,4,FALSE)+$J$3*VLOOKUP(J338,COND!$A$2:$C$7,2,FALSE)+$K$3*VLOOKUP(K338,COND!$A$2:$C$7,3,FALSE)+IF(AND($B$2&gt;0,$E338&lt;20),$B$2*25,0)</f>
        <v>37.308910390062216</v>
      </c>
      <c r="AR338" s="49">
        <f>STANDARDIZE(AQ338,AVERAGE($AQ$5:$AQ$537),STDEVP($AQ$5:$AQ$537))</f>
        <v>-0.53475113918208883</v>
      </c>
      <c r="AS338" s="47" t="str">
        <f>IF(AND(Z338&lt;&gt;"-",Y338&gt;1),"C",IF(AB338=MAX(AB338:AD338),"2B",IF(AD338=MAX(AB338:AD338),"SS",IF(OR(AC338=MAX(AA338:AD338),AND(AC338&lt;&gt;"-",AC338&gt;4,V338&gt;5)),"3B",IF(AF338=MAX(AE338:AG338),"CF",IF(AND(AG338=MAX(AE338,AG338),AND(W338&gt;5,AG338&lt;&gt;"-")),"RF",IF(AE338&lt;&gt;"-","LF",IF(AA338&lt;&gt;"-","1B","DH"))))))))</f>
        <v>1B</v>
      </c>
      <c r="AT338" s="47"/>
      <c r="AU338" s="47"/>
      <c r="AV338" s="47"/>
      <c r="AW338" s="47" t="str">
        <f>IF(AND($Q338&gt;=6,AVERAGE($S338:$T338)&gt;=6),"Likely",IF(OR($Q338&gt;6,AND($Q338=6,AVERAGE($S338:$T338)&gt;=3),AND($Q338&gt;=5,AVERAGE($S338:$T338)&gt;=5),AVERAGE($Q338,$S338:$T338)&gt;5),"Possible","Unlikely"))</f>
        <v>Unlikely</v>
      </c>
      <c r="AX338" s="47"/>
      <c r="AY338" s="47" t="str">
        <f>INDEX(Table5[[#All],[Ovr]],MATCH(Batters[[#This Row],[PID]],Table5[[#All],[PID]],0))</f>
        <v/>
      </c>
      <c r="AZ338" s="47" t="str">
        <f>INDEX(Table5[[#All],[Rnd]],MATCH(Batters[[#This Row],[PID]],Table5[[#All],[PID]],0))</f>
        <v/>
      </c>
      <c r="BA338" s="47" t="str">
        <f>INDEX(Table5[[#All],[Pick]],MATCH(Batters[[#This Row],[PID]],Table5[[#All],[PID]],0))</f>
        <v/>
      </c>
      <c r="BB338" s="47" t="str">
        <f>INDEX(Table5[[#All],[Team]],MATCH(Batters[[#This Row],[PID]],Table5[[#All],[PID]],0))</f>
        <v/>
      </c>
    </row>
    <row r="339" spans="1:54" ht="15" customHeight="1" x14ac:dyDescent="0.25">
      <c r="A339" s="42">
        <v>6399</v>
      </c>
      <c r="B339" s="42" t="s">
        <v>74</v>
      </c>
      <c r="C339" s="42" t="s">
        <v>585</v>
      </c>
      <c r="D339" s="42" t="s">
        <v>810</v>
      </c>
      <c r="E339" s="42">
        <v>18</v>
      </c>
      <c r="F339" s="42" t="s">
        <v>53</v>
      </c>
      <c r="G339" s="42" t="s">
        <v>42</v>
      </c>
      <c r="H339" s="43" t="s">
        <v>721</v>
      </c>
      <c r="I339" s="44" t="s">
        <v>43</v>
      </c>
      <c r="J339" s="42" t="s">
        <v>44</v>
      </c>
      <c r="K339" s="43" t="s">
        <v>47</v>
      </c>
      <c r="L339" s="42">
        <v>1</v>
      </c>
      <c r="M339" s="42">
        <v>1</v>
      </c>
      <c r="N339" s="42">
        <v>2</v>
      </c>
      <c r="O339" s="42">
        <v>2</v>
      </c>
      <c r="P339" s="43">
        <v>2</v>
      </c>
      <c r="Q339" s="42">
        <v>2</v>
      </c>
      <c r="R339" s="42">
        <v>3</v>
      </c>
      <c r="S339" s="42">
        <v>2</v>
      </c>
      <c r="T339" s="42">
        <v>5</v>
      </c>
      <c r="U339" s="43">
        <v>4</v>
      </c>
      <c r="V339" s="42">
        <v>3</v>
      </c>
      <c r="W339" s="42">
        <v>7</v>
      </c>
      <c r="X339" s="42">
        <v>1</v>
      </c>
      <c r="Y339" s="43">
        <v>1</v>
      </c>
      <c r="Z339" s="42" t="s">
        <v>45</v>
      </c>
      <c r="AA339" s="42" t="s">
        <v>45</v>
      </c>
      <c r="AB339" s="42" t="s">
        <v>45</v>
      </c>
      <c r="AC339" s="42" t="s">
        <v>45</v>
      </c>
      <c r="AD339" s="42" t="s">
        <v>45</v>
      </c>
      <c r="AE339" s="42" t="s">
        <v>45</v>
      </c>
      <c r="AF339" s="42">
        <v>2</v>
      </c>
      <c r="AG339" s="43" t="s">
        <v>45</v>
      </c>
      <c r="AH339" s="42">
        <v>9</v>
      </c>
      <c r="AI339" s="42">
        <v>8</v>
      </c>
      <c r="AJ339" s="43">
        <v>8</v>
      </c>
      <c r="AK339" s="45" t="s">
        <v>730</v>
      </c>
      <c r="AL339" s="45" t="s">
        <v>705</v>
      </c>
      <c r="AM339" s="46">
        <f>($L$3*(L339-$Q$1)/$Q$2+$M$3*(M339-$R$1)/$R$2+$N$3*(N339-$S$1)/$S$2+$O$3*(O339-$T$1)/$T$2+$P$3*(P339-$U$1)/$U$2)/(SUM($L$3:$P$3))</f>
        <v>-1.871555965977006</v>
      </c>
      <c r="AN339" s="46">
        <f>($L$3*(Q339-$Q$1)/$Q$2+$M$3*(R339-$R$1)/$R$2+$N$3*(S339-$S$1)/$S$2+$O$3*(T339-$T$1)/$T$2+$P$3*(U339-$U$1)/$U$2)/(SUM($L$3:$P$3))</f>
        <v>-1.0977190408740143</v>
      </c>
      <c r="AO339" s="47">
        <f>IF(AVERAGE(AH339:AI339)&gt;9,1,0)+IF(AVERAGE(AH339:AI339)&gt;7,1,0)+IF(AH339&gt;7,1,0)+IF(AI339&gt;7,1,0)+IF(AJ339&gt;8,1,0)+IF(AJ339&gt;6,1,0)</f>
        <v>4</v>
      </c>
      <c r="AP339" s="48">
        <f>MIN(2,IF(OR(Z339="-",X339&lt;5),0,1+IF(Y339&gt;7,0.35,IF(Y339&gt;5,0.1,0))+IF(Z339&gt;7,1+IF(X339&gt;7,0.25,0),IF(Z339&gt;4,0.5+IF(X339&gt;7,0.25,0),0+IF(X339&gt;7,0.25))))+IF(AA339="-",0,IF(AA339&gt;9,0.5,IF(AA339&gt;7,0.25,0)))+IF(AB339="-",0,IF(AB339&gt;7,1.1,IF(AB339&gt;4,0.6,0)))+IF(OR(AC339="-",V339&lt;5),0,IF(AC339&gt;7,1+IF(V339&gt;7,0.25,0),IF(AC339&gt;4,0.5+IF(V339&gt;7,0.25,0),0)))+IF(AD339="-",0,IF(AD339&gt;7,1.5,IF(AD339&gt;4,1,0)))+IF(AE339="-",0,IF(AE339&gt;9,0.5,IF(AE339&gt;7,0.25,0)))+IF(AF339="-",0,IF(AF339&gt;7,1.25,IF(AF339&gt;4,0.75,0)))+IF(OR(AG339="-",W339&lt;4),0,IF(AG339&gt;7,1+IF(W339&gt;7,0.15,0),IF(AG339&gt;4,0.5+IF(W339&gt;7,0.15,0),0))))</f>
        <v>0</v>
      </c>
      <c r="AQ339" s="46">
        <f>($AM$3*AM339+$AN$3*AN339+$AO$3*AO339+$AP$3*AP339)+$I$3*VLOOKUP(I339,COND!$A$2:$E$7,4,FALSE)+$J$3*VLOOKUP(J339,COND!$A$2:$C$7,2,FALSE)+$K$3*VLOOKUP(K339,COND!$A$2:$C$7,3,FALSE)+IF(AND($B$2&gt;0,$E339&lt;20),$B$2*25,0)</f>
        <v>37.306882579580794</v>
      </c>
      <c r="AR339" s="49">
        <f>STANDARDIZE(AQ339,AVERAGE($AQ$5:$AQ$537),STDEVP($AQ$5:$AQ$537))</f>
        <v>-0.53510791895885146</v>
      </c>
      <c r="AS339" s="47" t="str">
        <f>IF(AND(Z339&lt;&gt;"-",Y339&gt;1),"C",IF(AB339=MAX(AB339:AD339),"2B",IF(AD339=MAX(AB339:AD339),"SS",IF(OR(AC339=MAX(AA339:AD339),AND(AC339&lt;&gt;"-",AC339&gt;4,V339&gt;5)),"3B",IF(AF339=MAX(AE339:AG339),"CF",IF(AND(AG339=MAX(AE339,AG339),AND(W339&gt;5,AG339&lt;&gt;"-")),"RF",IF(AE339&lt;&gt;"-","LF",IF(AA339&lt;&gt;"-","1B","DH"))))))))</f>
        <v>CF</v>
      </c>
      <c r="AT339" s="47"/>
      <c r="AU339" s="47"/>
      <c r="AV339" s="47"/>
      <c r="AW339" s="47" t="str">
        <f>IF(AND($Q339&gt;=6,AVERAGE($S339:$T339)&gt;=6),"Likely",IF(OR($Q339&gt;6,AND($Q339=6,AVERAGE($S339:$T339)&gt;=3),AND($Q339&gt;=5,AVERAGE($S339:$T339)&gt;=5),AVERAGE($Q339,$S339:$T339)&gt;5),"Possible","Unlikely"))</f>
        <v>Unlikely</v>
      </c>
      <c r="AX339" s="47"/>
      <c r="AY339" s="47" t="str">
        <f>INDEX(Table5[[#All],[Ovr]],MATCH(Batters[[#This Row],[PID]],Table5[[#All],[PID]],0))</f>
        <v/>
      </c>
      <c r="AZ339" s="47" t="str">
        <f>INDEX(Table5[[#All],[Rnd]],MATCH(Batters[[#This Row],[PID]],Table5[[#All],[PID]],0))</f>
        <v/>
      </c>
      <c r="BA339" s="47" t="str">
        <f>INDEX(Table5[[#All],[Pick]],MATCH(Batters[[#This Row],[PID]],Table5[[#All],[PID]],0))</f>
        <v/>
      </c>
      <c r="BB339" s="47" t="str">
        <f>INDEX(Table5[[#All],[Team]],MATCH(Batters[[#This Row],[PID]],Table5[[#All],[PID]],0))</f>
        <v/>
      </c>
    </row>
    <row r="340" spans="1:54" ht="15" customHeight="1" x14ac:dyDescent="0.25">
      <c r="A340" s="42">
        <v>12592</v>
      </c>
      <c r="B340" s="42" t="s">
        <v>50</v>
      </c>
      <c r="C340" s="42" t="s">
        <v>126</v>
      </c>
      <c r="D340" s="42" t="s">
        <v>744</v>
      </c>
      <c r="E340" s="42">
        <v>21</v>
      </c>
      <c r="F340" s="42" t="s">
        <v>42</v>
      </c>
      <c r="G340" s="42" t="s">
        <v>42</v>
      </c>
      <c r="H340" s="43" t="s">
        <v>709</v>
      </c>
      <c r="I340" s="44" t="s">
        <v>44</v>
      </c>
      <c r="J340" s="42" t="s">
        <v>43</v>
      </c>
      <c r="K340" s="43" t="s">
        <v>47</v>
      </c>
      <c r="L340" s="42">
        <v>1</v>
      </c>
      <c r="M340" s="42">
        <v>3</v>
      </c>
      <c r="N340" s="42">
        <v>3</v>
      </c>
      <c r="O340" s="42">
        <v>2</v>
      </c>
      <c r="P340" s="43">
        <v>1</v>
      </c>
      <c r="Q340" s="42">
        <v>3</v>
      </c>
      <c r="R340" s="42">
        <v>4</v>
      </c>
      <c r="S340" s="42">
        <v>4</v>
      </c>
      <c r="T340" s="42">
        <v>3</v>
      </c>
      <c r="U340" s="43">
        <v>3</v>
      </c>
      <c r="V340" s="42">
        <v>1</v>
      </c>
      <c r="W340" s="42">
        <v>4</v>
      </c>
      <c r="X340" s="42">
        <v>1</v>
      </c>
      <c r="Y340" s="43">
        <v>1</v>
      </c>
      <c r="Z340" s="42" t="s">
        <v>45</v>
      </c>
      <c r="AA340" s="42" t="s">
        <v>45</v>
      </c>
      <c r="AB340" s="42" t="s">
        <v>45</v>
      </c>
      <c r="AC340" s="42" t="s">
        <v>45</v>
      </c>
      <c r="AD340" s="42" t="s">
        <v>45</v>
      </c>
      <c r="AE340" s="42">
        <v>8</v>
      </c>
      <c r="AF340" s="42" t="s">
        <v>45</v>
      </c>
      <c r="AG340" s="43" t="s">
        <v>45</v>
      </c>
      <c r="AH340" s="42">
        <v>10</v>
      </c>
      <c r="AI340" s="42">
        <v>9</v>
      </c>
      <c r="AJ340" s="43">
        <v>6</v>
      </c>
      <c r="AK340" s="45" t="s">
        <v>820</v>
      </c>
      <c r="AL340" s="45" t="s">
        <v>705</v>
      </c>
      <c r="AM340" s="46">
        <f>($L$3*(L340-$Q$1)/$Q$2+$M$3*(M340-$R$1)/$R$2+$N$3*(N340-$S$1)/$S$2+$O$3*(O340-$T$1)/$T$2+$P$3*(P340-$U$1)/$U$2)/(SUM($L$3:$P$3))</f>
        <v>-1.726391052532781</v>
      </c>
      <c r="AN340" s="46">
        <f>($L$3*(Q340-$Q$1)/$Q$2+$M$3*(R340-$R$1)/$R$2+$N$3*(S340-$S$1)/$S$2+$O$3*(T340-$T$1)/$T$2+$P$3*(U340-$U$1)/$U$2)/(SUM($L$3:$P$3))</f>
        <v>-0.77741577684107877</v>
      </c>
      <c r="AO340" s="47">
        <f>IF(AVERAGE(AH340:AI340)&gt;9,1,0)+IF(AVERAGE(AH340:AI340)&gt;7,1,0)+IF(AH340&gt;7,1,0)+IF(AI340&gt;7,1,0)+IF(AJ340&gt;8,1,0)+IF(AJ340&gt;6,1,0)</f>
        <v>4</v>
      </c>
      <c r="AP340" s="48">
        <f>MIN(2,IF(OR(Z340="-",X340&lt;5),0,1+IF(Y340&gt;7,0.35,IF(Y340&gt;5,0.1,0))+IF(Z340&gt;7,1+IF(X340&gt;7,0.25,0),IF(Z340&gt;4,0.5+IF(X340&gt;7,0.25,0),0+IF(X340&gt;7,0.25))))+IF(AA340="-",0,IF(AA340&gt;9,0.5,IF(AA340&gt;7,0.25,0)))+IF(AB340="-",0,IF(AB340&gt;7,1.1,IF(AB340&gt;4,0.6,0)))+IF(OR(AC340="-",V340&lt;5),0,IF(AC340&gt;7,1+IF(V340&gt;7,0.25,0),IF(AC340&gt;4,0.5+IF(V340&gt;7,0.25,0),0)))+IF(AD340="-",0,IF(AD340&gt;7,1.5,IF(AD340&gt;4,1,0)))+IF(AE340="-",0,IF(AE340&gt;9,0.5,IF(AE340&gt;7,0.25,0)))+IF(AF340="-",0,IF(AF340&gt;7,1.25,IF(AF340&gt;4,0.75,0)))+IF(OR(AG340="-",W340&lt;4),0,IF(AG340&gt;7,1+IF(W340&gt;7,0.15,0),IF(AG340&gt;4,0.5+IF(W340&gt;7,0.15,0),0))))</f>
        <v>0.25</v>
      </c>
      <c r="AQ340" s="46">
        <f>($AM$3*AM340+$AN$3*AN340+$AO$3*AO340+$AP$3*AP340)+$I$3*VLOOKUP(I340,COND!$A$2:$E$7,4,FALSE)+$J$3*VLOOKUP(J340,COND!$A$2:$C$7,2,FALSE)+$K$3*VLOOKUP(K340,COND!$A$2:$C$7,3,FALSE)+IF(AND($B$2&gt;0,$E340&lt;20),$B$2*25,0)</f>
        <v>36.565038239320444</v>
      </c>
      <c r="AR340" s="49">
        <f>STANDARDIZE(AQ340,AVERAGE($AQ$5:$AQ$537),STDEVP($AQ$5:$AQ$537))</f>
        <v>-0.66563050010511582</v>
      </c>
      <c r="AS340" s="47" t="str">
        <f>IF(AND(Z340&lt;&gt;"-",Y340&gt;1),"C",IF(AB340=MAX(AB340:AD340),"2B",IF(AD340=MAX(AB340:AD340),"SS",IF(OR(AC340=MAX(AA340:AD340),AND(AC340&lt;&gt;"-",AC340&gt;4,V340&gt;5)),"3B",IF(AF340=MAX(AE340:AG340),"CF",IF(AND(AG340=MAX(AE340,AG340),AND(W340&gt;5,AG340&lt;&gt;"-")),"RF",IF(AE340&lt;&gt;"-","LF",IF(AA340&lt;&gt;"-","1B","DH"))))))))</f>
        <v>LF</v>
      </c>
      <c r="AT340" s="47"/>
      <c r="AU340" s="47"/>
      <c r="AV340" s="47"/>
      <c r="AW340" s="47" t="str">
        <f>IF(AND($Q340&gt;=6,AVERAGE($S340:$T340)&gt;=6),"Likely",IF(OR($Q340&gt;6,AND($Q340=6,AVERAGE($S340:$T340)&gt;=3),AND($Q340&gt;=5,AVERAGE($S340:$T340)&gt;=5),AVERAGE($Q340,$S340:$T340)&gt;5),"Possible","Unlikely"))</f>
        <v>Unlikely</v>
      </c>
      <c r="AX340" s="47"/>
      <c r="AY340" s="47" t="str">
        <f>INDEX(Table5[[#All],[Ovr]],MATCH(Batters[[#This Row],[PID]],Table5[[#All],[PID]],0))</f>
        <v/>
      </c>
      <c r="AZ340" s="47" t="str">
        <f>INDEX(Table5[[#All],[Rnd]],MATCH(Batters[[#This Row],[PID]],Table5[[#All],[PID]],0))</f>
        <v/>
      </c>
      <c r="BA340" s="47" t="str">
        <f>INDEX(Table5[[#All],[Pick]],MATCH(Batters[[#This Row],[PID]],Table5[[#All],[PID]],0))</f>
        <v/>
      </c>
      <c r="BB340" s="47" t="str">
        <f>INDEX(Table5[[#All],[Team]],MATCH(Batters[[#This Row],[PID]],Table5[[#All],[PID]],0))</f>
        <v/>
      </c>
    </row>
    <row r="341" spans="1:54" ht="15" customHeight="1" x14ac:dyDescent="0.25">
      <c r="A341" s="42">
        <v>12707</v>
      </c>
      <c r="B341" s="42" t="s">
        <v>66</v>
      </c>
      <c r="C341" s="42" t="s">
        <v>990</v>
      </c>
      <c r="D341" s="42" t="s">
        <v>1318</v>
      </c>
      <c r="E341" s="42">
        <v>21</v>
      </c>
      <c r="F341" s="42" t="s">
        <v>42</v>
      </c>
      <c r="G341" s="42" t="s">
        <v>42</v>
      </c>
      <c r="H341" s="43" t="s">
        <v>711</v>
      </c>
      <c r="I341" s="44" t="s">
        <v>43</v>
      </c>
      <c r="J341" s="42" t="s">
        <v>47</v>
      </c>
      <c r="K341" s="43" t="s">
        <v>43</v>
      </c>
      <c r="L341" s="42">
        <v>2</v>
      </c>
      <c r="M341" s="42">
        <v>3</v>
      </c>
      <c r="N341" s="42">
        <v>2</v>
      </c>
      <c r="O341" s="42">
        <v>2</v>
      </c>
      <c r="P341" s="43">
        <v>1</v>
      </c>
      <c r="Q341" s="42">
        <v>3</v>
      </c>
      <c r="R341" s="42">
        <v>4</v>
      </c>
      <c r="S341" s="42">
        <v>3</v>
      </c>
      <c r="T341" s="42">
        <v>4</v>
      </c>
      <c r="U341" s="43">
        <v>3</v>
      </c>
      <c r="V341" s="42">
        <v>5</v>
      </c>
      <c r="W341" s="42">
        <v>8</v>
      </c>
      <c r="X341" s="42">
        <v>1</v>
      </c>
      <c r="Y341" s="43">
        <v>1</v>
      </c>
      <c r="Z341" s="42" t="s">
        <v>45</v>
      </c>
      <c r="AA341" s="42" t="s">
        <v>45</v>
      </c>
      <c r="AB341" s="42" t="s">
        <v>45</v>
      </c>
      <c r="AC341" s="42" t="s">
        <v>45</v>
      </c>
      <c r="AD341" s="42" t="s">
        <v>45</v>
      </c>
      <c r="AE341" s="42" t="s">
        <v>45</v>
      </c>
      <c r="AF341" s="42" t="s">
        <v>45</v>
      </c>
      <c r="AG341" s="43">
        <v>5</v>
      </c>
      <c r="AH341" s="42">
        <v>5</v>
      </c>
      <c r="AI341" s="42">
        <v>7</v>
      </c>
      <c r="AJ341" s="43">
        <v>3</v>
      </c>
      <c r="AK341" s="45" t="s">
        <v>45</v>
      </c>
      <c r="AL341" s="45" t="s">
        <v>705</v>
      </c>
      <c r="AM341" s="46">
        <f>($L$3*(L341-$Q$1)/$Q$2+$M$3*(M341-$R$1)/$R$2+$N$3*(N341-$S$1)/$S$2+$O$3*(O341-$T$1)/$T$2+$P$3*(P341-$U$1)/$U$2)/(SUM($L$3:$P$3))</f>
        <v>-1.4868967103540081</v>
      </c>
      <c r="AN341" s="46">
        <f>($L$3*(Q341-$Q$1)/$Q$2+$M$3*(R341-$R$1)/$R$2+$N$3*(S341-$S$1)/$S$2+$O$3*(T341-$T$1)/$T$2+$P$3*(U341-$U$1)/$U$2)/(SUM($L$3:$P$3))</f>
        <v>-0.77076772085539913</v>
      </c>
      <c r="AO341" s="47">
        <f>IF(AVERAGE(AH341:AI341)&gt;9,1,0)+IF(AVERAGE(AH341:AI341)&gt;7,1,0)+IF(AH341&gt;7,1,0)+IF(AI341&gt;7,1,0)+IF(AJ341&gt;8,1,0)+IF(AJ341&gt;6,1,0)</f>
        <v>0</v>
      </c>
      <c r="AP341" s="48">
        <f>MIN(2,IF(OR(Z341="-",X341&lt;5),0,1+IF(Y341&gt;7,0.35,IF(Y341&gt;5,0.1,0))+IF(Z341&gt;7,1+IF(X341&gt;7,0.25,0),IF(Z341&gt;4,0.5+IF(X341&gt;7,0.25,0),0+IF(X341&gt;7,0.25))))+IF(AA341="-",0,IF(AA341&gt;9,0.5,IF(AA341&gt;7,0.25,0)))+IF(AB341="-",0,IF(AB341&gt;7,1.1,IF(AB341&gt;4,0.6,0)))+IF(OR(AC341="-",V341&lt;5),0,IF(AC341&gt;7,1+IF(V341&gt;7,0.25,0),IF(AC341&gt;4,0.5+IF(V341&gt;7,0.25,0),0)))+IF(AD341="-",0,IF(AD341&gt;7,1.5,IF(AD341&gt;4,1,0)))+IF(AE341="-",0,IF(AE341&gt;9,0.5,IF(AE341&gt;7,0.25,0)))+IF(AF341="-",0,IF(AF341&gt;7,1.25,IF(AF341&gt;4,0.75,0)))+IF(OR(AG341="-",W341&lt;4),0,IF(AG341&gt;7,1+IF(W341&gt;7,0.15,0),IF(AG341&gt;4,0.5+IF(W341&gt;7,0.15,0),0))))</f>
        <v>0.65</v>
      </c>
      <c r="AQ341" s="46">
        <f>($AM$3*AM341+$AN$3*AN341+$AO$3*AO341+$AP$3*AP341)+$I$3*VLOOKUP(I341,COND!$A$2:$E$7,4,FALSE)+$J$3*VLOOKUP(J341,COND!$A$2:$C$7,2,FALSE)+$K$3*VLOOKUP(K341,COND!$A$2:$C$7,3,FALSE)+IF(AND($B$2&gt;0,$E341&lt;20),$B$2*25,0)</f>
        <v>36.552097678699809</v>
      </c>
      <c r="AR341" s="49">
        <f>STANDARDIZE(AQ341,AVERAGE($AQ$5:$AQ$537),STDEVP($AQ$5:$AQ$537))</f>
        <v>-0.66790730573942469</v>
      </c>
      <c r="AS341" s="47" t="str">
        <f>IF(AND(Z341&lt;&gt;"-",Y341&gt;1),"C",IF(AB341=MAX(AB341:AD341),"2B",IF(AD341=MAX(AB341:AD341),"SS",IF(OR(AC341=MAX(AA341:AD341),AND(AC341&lt;&gt;"-",AC341&gt;4,V341&gt;5)),"3B",IF(AF341=MAX(AE341:AG341),"CF",IF(AND(AG341=MAX(AE341,AG341),AND(W341&gt;5,AG341&lt;&gt;"-")),"RF",IF(AE341&lt;&gt;"-","LF",IF(AA341&lt;&gt;"-","1B","DH"))))))))</f>
        <v>RF</v>
      </c>
      <c r="AT341" s="47"/>
      <c r="AU341" s="47"/>
      <c r="AV341" s="47"/>
      <c r="AW341" s="47" t="str">
        <f>IF(AND($Q341&gt;=6,AVERAGE($S341:$T341)&gt;=6),"Likely",IF(OR($Q341&gt;6,AND($Q341=6,AVERAGE($S341:$T341)&gt;=3),AND($Q341&gt;=5,AVERAGE($S341:$T341)&gt;=5),AVERAGE($Q341,$S341:$T341)&gt;5),"Possible","Unlikely"))</f>
        <v>Unlikely</v>
      </c>
      <c r="AX341" s="47"/>
      <c r="AY341" s="47" t="str">
        <f>INDEX(Table5[[#All],[Ovr]],MATCH(Batters[[#This Row],[PID]],Table5[[#All],[PID]],0))</f>
        <v/>
      </c>
      <c r="AZ341" s="47" t="str">
        <f>INDEX(Table5[[#All],[Rnd]],MATCH(Batters[[#This Row],[PID]],Table5[[#All],[PID]],0))</f>
        <v/>
      </c>
      <c r="BA341" s="47" t="str">
        <f>INDEX(Table5[[#All],[Pick]],MATCH(Batters[[#This Row],[PID]],Table5[[#All],[PID]],0))</f>
        <v/>
      </c>
      <c r="BB341" s="47" t="str">
        <f>INDEX(Table5[[#All],[Team]],MATCH(Batters[[#This Row],[PID]],Table5[[#All],[PID]],0))</f>
        <v/>
      </c>
    </row>
    <row r="342" spans="1:54" ht="15" customHeight="1" x14ac:dyDescent="0.25">
      <c r="A342" s="42">
        <v>9036</v>
      </c>
      <c r="B342" s="42" t="s">
        <v>87</v>
      </c>
      <c r="C342" s="42" t="s">
        <v>148</v>
      </c>
      <c r="D342" s="42" t="s">
        <v>823</v>
      </c>
      <c r="E342" s="42">
        <v>22</v>
      </c>
      <c r="F342" s="42" t="s">
        <v>42</v>
      </c>
      <c r="G342" s="42" t="s">
        <v>42</v>
      </c>
      <c r="H342" s="43" t="s">
        <v>711</v>
      </c>
      <c r="I342" s="44" t="s">
        <v>43</v>
      </c>
      <c r="J342" s="42" t="s">
        <v>43</v>
      </c>
      <c r="K342" s="43" t="s">
        <v>43</v>
      </c>
      <c r="L342" s="42">
        <v>1</v>
      </c>
      <c r="M342" s="42">
        <v>3</v>
      </c>
      <c r="N342" s="42">
        <v>2</v>
      </c>
      <c r="O342" s="42">
        <v>3</v>
      </c>
      <c r="P342" s="43">
        <v>1</v>
      </c>
      <c r="Q342" s="42">
        <v>3</v>
      </c>
      <c r="R342" s="42">
        <v>4</v>
      </c>
      <c r="S342" s="42">
        <v>3</v>
      </c>
      <c r="T342" s="42">
        <v>6</v>
      </c>
      <c r="U342" s="43">
        <v>2</v>
      </c>
      <c r="V342" s="42">
        <v>4</v>
      </c>
      <c r="W342" s="42">
        <v>2</v>
      </c>
      <c r="X342" s="42">
        <v>4</v>
      </c>
      <c r="Y342" s="43">
        <v>4</v>
      </c>
      <c r="Z342" s="42" t="s">
        <v>45</v>
      </c>
      <c r="AA342" s="42">
        <v>4</v>
      </c>
      <c r="AB342" s="42" t="s">
        <v>45</v>
      </c>
      <c r="AC342" s="42" t="s">
        <v>45</v>
      </c>
      <c r="AD342" s="42" t="s">
        <v>45</v>
      </c>
      <c r="AE342" s="42" t="s">
        <v>45</v>
      </c>
      <c r="AF342" s="42" t="s">
        <v>45</v>
      </c>
      <c r="AG342" s="43" t="s">
        <v>45</v>
      </c>
      <c r="AH342" s="42">
        <v>2</v>
      </c>
      <c r="AI342" s="42">
        <v>1</v>
      </c>
      <c r="AJ342" s="43">
        <v>4</v>
      </c>
      <c r="AK342" s="45" t="s">
        <v>45</v>
      </c>
      <c r="AL342" s="45" t="s">
        <v>705</v>
      </c>
      <c r="AM342" s="46">
        <f>($L$3*(L342-$Q$1)/$Q$2+$M$3*(M342-$R$1)/$R$2+$N$3*(N342-$S$1)/$S$2+$O$3*(O342-$T$1)/$T$2+$P$3*(P342-$U$1)/$U$2)/(SUM($L$3:$P$3))</f>
        <v>-1.7197429965471014</v>
      </c>
      <c r="AN342" s="46">
        <f>($L$3*(Q342-$Q$1)/$Q$2+$M$3*(R342-$R$1)/$R$2+$N$3*(S342-$S$1)/$S$2+$O$3*(T342-$T$1)/$T$2+$P$3*(U342-$U$1)/$U$2)/(SUM($L$3:$P$3))</f>
        <v>-0.63136496065332037</v>
      </c>
      <c r="AO342" s="47">
        <f>IF(AVERAGE(AH342:AI342)&gt;9,1,0)+IF(AVERAGE(AH342:AI342)&gt;7,1,0)+IF(AH342&gt;7,1,0)+IF(AI342&gt;7,1,0)+IF(AJ342&gt;8,1,0)+IF(AJ342&gt;6,1,0)</f>
        <v>0</v>
      </c>
      <c r="AP342" s="48">
        <f>MIN(2,IF(OR(Z342="-",X342&lt;5),0,1+IF(Y342&gt;7,0.35,IF(Y342&gt;5,0.1,0))+IF(Z342&gt;7,1+IF(X342&gt;7,0.25,0),IF(Z342&gt;4,0.5+IF(X342&gt;7,0.25,0),0+IF(X342&gt;7,0.25))))+IF(AA342="-",0,IF(AA342&gt;9,0.5,IF(AA342&gt;7,0.25,0)))+IF(AB342="-",0,IF(AB342&gt;7,1.1,IF(AB342&gt;4,0.6,0)))+IF(OR(AC342="-",V342&lt;5),0,IF(AC342&gt;7,1+IF(V342&gt;7,0.25,0),IF(AC342&gt;4,0.5+IF(V342&gt;7,0.25,0),0)))+IF(AD342="-",0,IF(AD342&gt;7,1.5,IF(AD342&gt;4,1,0)))+IF(AE342="-",0,IF(AE342&gt;9,0.5,IF(AE342&gt;7,0.25,0)))+IF(AF342="-",0,IF(AF342&gt;7,1.25,IF(AF342&gt;4,0.75,0)))+IF(OR(AG342="-",W342&lt;4),0,IF(AG342&gt;7,1+IF(W342&gt;7,0.15,0),IF(AG342&gt;4,0.5+IF(W342&gt;7,0.15,0),0))))</f>
        <v>0</v>
      </c>
      <c r="AQ342" s="46">
        <f>($AM$3*AM342+$AN$3*AN342+$AO$3*AO342+$AP$3*AP342)+$I$3*VLOOKUP(I342,COND!$A$2:$E$7,4,FALSE)+$J$3*VLOOKUP(J342,COND!$A$2:$C$7,2,FALSE)+$K$3*VLOOKUP(K342,COND!$A$2:$C$7,3,FALSE)+IF(AND($B$2&gt;0,$E342&lt;20),$B$2*25,0)</f>
        <v>37.251646172505446</v>
      </c>
      <c r="AR342" s="49">
        <f>STANDARDIZE(AQ342,AVERAGE($AQ$5:$AQ$537),STDEVP($AQ$5:$AQ$537))</f>
        <v>-0.54482639766584018</v>
      </c>
      <c r="AS342" s="47" t="str">
        <f>IF(AND(Z342&lt;&gt;"-",Y342&gt;1),"C",IF(AB342=MAX(AB342:AD342),"2B",IF(AD342=MAX(AB342:AD342),"SS",IF(OR(AC342=MAX(AA342:AD342),AND(AC342&lt;&gt;"-",AC342&gt;4,V342&gt;5)),"3B",IF(AF342=MAX(AE342:AG342),"CF",IF(AND(AG342=MAX(AE342,AG342),AND(W342&gt;5,AG342&lt;&gt;"-")),"RF",IF(AE342&lt;&gt;"-","LF",IF(AA342&lt;&gt;"-","1B","DH"))))))))</f>
        <v>1B</v>
      </c>
      <c r="AT342" s="47"/>
      <c r="AU342" s="47"/>
      <c r="AV342" s="47"/>
      <c r="AW342" s="47" t="str">
        <f>IF(AND($Q342&gt;=6,AVERAGE($S342:$T342)&gt;=6),"Likely",IF(OR($Q342&gt;6,AND($Q342=6,AVERAGE($S342:$T342)&gt;=3),AND($Q342&gt;=5,AVERAGE($S342:$T342)&gt;=5),AVERAGE($Q342,$S342:$T342)&gt;5),"Possible","Unlikely"))</f>
        <v>Unlikely</v>
      </c>
      <c r="AX342" s="47"/>
      <c r="AY342" s="47" t="str">
        <f>INDEX(Table5[[#All],[Ovr]],MATCH(Batters[[#This Row],[PID]],Table5[[#All],[PID]],0))</f>
        <v/>
      </c>
      <c r="AZ342" s="47" t="str">
        <f>INDEX(Table5[[#All],[Rnd]],MATCH(Batters[[#This Row],[PID]],Table5[[#All],[PID]],0))</f>
        <v/>
      </c>
      <c r="BA342" s="47" t="str">
        <f>INDEX(Table5[[#All],[Pick]],MATCH(Batters[[#This Row],[PID]],Table5[[#All],[PID]],0))</f>
        <v/>
      </c>
      <c r="BB342" s="47" t="str">
        <f>INDEX(Table5[[#All],[Team]],MATCH(Batters[[#This Row],[PID]],Table5[[#All],[PID]],0))</f>
        <v/>
      </c>
    </row>
    <row r="343" spans="1:54" ht="15" customHeight="1" x14ac:dyDescent="0.25">
      <c r="A343" s="42">
        <v>11077</v>
      </c>
      <c r="B343" s="42" t="s">
        <v>87</v>
      </c>
      <c r="C343" s="42" t="s">
        <v>172</v>
      </c>
      <c r="D343" s="42" t="s">
        <v>1394</v>
      </c>
      <c r="E343" s="42">
        <v>18</v>
      </c>
      <c r="F343" s="42" t="s">
        <v>53</v>
      </c>
      <c r="G343" s="42" t="s">
        <v>53</v>
      </c>
      <c r="H343" s="43" t="s">
        <v>721</v>
      </c>
      <c r="I343" s="44" t="s">
        <v>43</v>
      </c>
      <c r="J343" s="42" t="s">
        <v>47</v>
      </c>
      <c r="K343" s="43" t="s">
        <v>44</v>
      </c>
      <c r="L343" s="42">
        <v>1</v>
      </c>
      <c r="M343" s="42">
        <v>1</v>
      </c>
      <c r="N343" s="42">
        <v>2</v>
      </c>
      <c r="O343" s="42">
        <v>1</v>
      </c>
      <c r="P343" s="43">
        <v>1</v>
      </c>
      <c r="Q343" s="42">
        <v>2</v>
      </c>
      <c r="R343" s="42">
        <v>3</v>
      </c>
      <c r="S343" s="42">
        <v>4</v>
      </c>
      <c r="T343" s="42">
        <v>4</v>
      </c>
      <c r="U343" s="43">
        <v>2</v>
      </c>
      <c r="V343" s="42">
        <v>7</v>
      </c>
      <c r="W343" s="42">
        <v>4</v>
      </c>
      <c r="X343" s="42">
        <v>1</v>
      </c>
      <c r="Y343" s="43">
        <v>1</v>
      </c>
      <c r="Z343" s="42" t="s">
        <v>45</v>
      </c>
      <c r="AA343" s="42">
        <v>3</v>
      </c>
      <c r="AB343" s="42" t="s">
        <v>45</v>
      </c>
      <c r="AC343" s="42" t="s">
        <v>45</v>
      </c>
      <c r="AD343" s="42" t="s">
        <v>45</v>
      </c>
      <c r="AE343" s="42" t="s">
        <v>45</v>
      </c>
      <c r="AF343" s="42" t="s">
        <v>45</v>
      </c>
      <c r="AG343" s="43">
        <v>1</v>
      </c>
      <c r="AH343" s="42">
        <v>9</v>
      </c>
      <c r="AI343" s="42">
        <v>9</v>
      </c>
      <c r="AJ343" s="43">
        <v>7</v>
      </c>
      <c r="AK343" s="45" t="s">
        <v>758</v>
      </c>
      <c r="AL343" s="45" t="s">
        <v>47</v>
      </c>
      <c r="AM343" s="46">
        <f>($L$3*(L343-$Q$1)/$Q$2+$M$3*(M343-$R$1)/$R$2+$N$3*(N343-$S$1)/$S$2+$O$3*(O343-$T$1)/$T$2+$P$3*(P343-$U$1)/$U$2)/(SUM($L$3:$P$3))</f>
        <v>-2.0012818558036707</v>
      </c>
      <c r="AN343" s="46">
        <f>($L$3*(Q343-$Q$1)/$Q$2+$M$3*(R343-$R$1)/$R$2+$N$3*(S343-$S$1)/$S$2+$O$3*(T343-$T$1)/$T$2+$P$3*(U343-$U$1)/$U$2)/(SUM($L$3:$P$3))</f>
        <v>-1.1013382824699594</v>
      </c>
      <c r="AO343" s="47">
        <f>IF(AVERAGE(AH343:AI343)&gt;9,1,0)+IF(AVERAGE(AH343:AI343)&gt;7,1,0)+IF(AH343&gt;7,1,0)+IF(AI343&gt;7,1,0)+IF(AJ343&gt;8,1,0)+IF(AJ343&gt;6,1,0)</f>
        <v>4</v>
      </c>
      <c r="AP343" s="48">
        <f>MIN(2,IF(OR(Z343="-",X343&lt;5),0,1+IF(Y343&gt;7,0.35,IF(Y343&gt;5,0.1,0))+IF(Z343&gt;7,1+IF(X343&gt;7,0.25,0),IF(Z343&gt;4,0.5+IF(X343&gt;7,0.25,0),0+IF(X343&gt;7,0.25))))+IF(AA343="-",0,IF(AA343&gt;9,0.5,IF(AA343&gt;7,0.25,0)))+IF(AB343="-",0,IF(AB343&gt;7,1.1,IF(AB343&gt;4,0.6,0)))+IF(OR(AC343="-",V343&lt;5),0,IF(AC343&gt;7,1+IF(V343&gt;7,0.25,0),IF(AC343&gt;4,0.5+IF(V343&gt;7,0.25,0),0)))+IF(AD343="-",0,IF(AD343&gt;7,1.5,IF(AD343&gt;4,1,0)))+IF(AE343="-",0,IF(AE343&gt;9,0.5,IF(AE343&gt;7,0.25,0)))+IF(AF343="-",0,IF(AF343&gt;7,1.25,IF(AF343&gt;4,0.75,0)))+IF(OR(AG343="-",W343&lt;4),0,IF(AG343&gt;7,1+IF(W343&gt;7,0.15,0),IF(AG343&gt;4,0.5+IF(W343&gt;7,0.15,0),0))))</f>
        <v>0</v>
      </c>
      <c r="AQ343" s="46">
        <f>($AM$3*AM343+$AN$3*AN343+$AO$3*AO343+$AP$3*AP343)+$I$3*VLOOKUP(I343,COND!$A$2:$E$7,4,FALSE)+$J$3*VLOOKUP(J343,COND!$A$2:$C$7,2,FALSE)+$K$3*VLOOKUP(K343,COND!$A$2:$C$7,3,FALSE)+IF(AND($B$2&gt;0,$E343&lt;20),$B$2*25,0)</f>
        <v>37.250479091446792</v>
      </c>
      <c r="AR343" s="49">
        <f>STANDARDIZE(AQ343,AVERAGE($AQ$5:$AQ$537),STDEVP($AQ$5:$AQ$537))</f>
        <v>-0.54503173782133552</v>
      </c>
      <c r="AS343" s="47" t="str">
        <f>IF(AND(Z343&lt;&gt;"-",Y343&gt;1),"C",IF(AB343=MAX(AB343:AD343),"2B",IF(AD343=MAX(AB343:AD343),"SS",IF(OR(AC343=MAX(AA343:AD343),AND(AC343&lt;&gt;"-",AC343&gt;4,V343&gt;5)),"3B",IF(AF343=MAX(AE343:AG343),"CF",IF(AND(AG343=MAX(AE343,AG343),AND(W343&gt;5,AG343&lt;&gt;"-")),"RF",IF(AE343&lt;&gt;"-","LF",IF(AA343&lt;&gt;"-","1B","DH"))))))))</f>
        <v>1B</v>
      </c>
      <c r="AT343" s="47"/>
      <c r="AU343" s="47"/>
      <c r="AV343" s="47"/>
      <c r="AW343" s="47" t="str">
        <f>IF(AND($Q343&gt;=6,AVERAGE($S343:$T343)&gt;=6),"Likely",IF(OR($Q343&gt;6,AND($Q343=6,AVERAGE($S343:$T343)&gt;=3),AND($Q343&gt;=5,AVERAGE($S343:$T343)&gt;=5),AVERAGE($Q343,$S343:$T343)&gt;5),"Possible","Unlikely"))</f>
        <v>Unlikely</v>
      </c>
      <c r="AX343" s="47"/>
      <c r="AY343" s="47" t="str">
        <f>INDEX(Table5[[#All],[Ovr]],MATCH(Batters[[#This Row],[PID]],Table5[[#All],[PID]],0))</f>
        <v/>
      </c>
      <c r="AZ343" s="47" t="str">
        <f>INDEX(Table5[[#All],[Rnd]],MATCH(Batters[[#This Row],[PID]],Table5[[#All],[PID]],0))</f>
        <v/>
      </c>
      <c r="BA343" s="47" t="str">
        <f>INDEX(Table5[[#All],[Pick]],MATCH(Batters[[#This Row],[PID]],Table5[[#All],[PID]],0))</f>
        <v/>
      </c>
      <c r="BB343" s="47" t="str">
        <f>INDEX(Table5[[#All],[Team]],MATCH(Batters[[#This Row],[PID]],Table5[[#All],[PID]],0))</f>
        <v/>
      </c>
    </row>
    <row r="344" spans="1:54" ht="15" customHeight="1" x14ac:dyDescent="0.25">
      <c r="A344" s="42">
        <v>11713</v>
      </c>
      <c r="B344" s="42" t="s">
        <v>74</v>
      </c>
      <c r="C344" s="42" t="s">
        <v>154</v>
      </c>
      <c r="D344" s="42" t="s">
        <v>973</v>
      </c>
      <c r="E344" s="42">
        <v>21</v>
      </c>
      <c r="F344" s="42" t="s">
        <v>42</v>
      </c>
      <c r="G344" s="42" t="s">
        <v>42</v>
      </c>
      <c r="H344" s="43" t="s">
        <v>709</v>
      </c>
      <c r="I344" s="44" t="s">
        <v>43</v>
      </c>
      <c r="J344" s="42" t="s">
        <v>43</v>
      </c>
      <c r="K344" s="43" t="s">
        <v>47</v>
      </c>
      <c r="L344" s="42">
        <v>2</v>
      </c>
      <c r="M344" s="42">
        <v>2</v>
      </c>
      <c r="N344" s="42">
        <v>2</v>
      </c>
      <c r="O344" s="42">
        <v>2</v>
      </c>
      <c r="P344" s="43">
        <v>2</v>
      </c>
      <c r="Q344" s="42">
        <v>3</v>
      </c>
      <c r="R344" s="42">
        <v>3</v>
      </c>
      <c r="S344" s="42">
        <v>2</v>
      </c>
      <c r="T344" s="42">
        <v>4</v>
      </c>
      <c r="U344" s="43">
        <v>4</v>
      </c>
      <c r="V344" s="42">
        <v>3</v>
      </c>
      <c r="W344" s="42">
        <v>5</v>
      </c>
      <c r="X344" s="42">
        <v>1</v>
      </c>
      <c r="Y344" s="43">
        <v>1</v>
      </c>
      <c r="Z344" s="42" t="s">
        <v>45</v>
      </c>
      <c r="AA344" s="42" t="s">
        <v>45</v>
      </c>
      <c r="AB344" s="42" t="s">
        <v>45</v>
      </c>
      <c r="AC344" s="42" t="s">
        <v>45</v>
      </c>
      <c r="AD344" s="42" t="s">
        <v>45</v>
      </c>
      <c r="AE344" s="42">
        <v>7</v>
      </c>
      <c r="AF344" s="42">
        <v>6</v>
      </c>
      <c r="AG344" s="43" t="s">
        <v>45</v>
      </c>
      <c r="AH344" s="42">
        <v>10</v>
      </c>
      <c r="AI344" s="42">
        <v>10</v>
      </c>
      <c r="AJ344" s="43">
        <v>10</v>
      </c>
      <c r="AK344" s="45" t="s">
        <v>615</v>
      </c>
      <c r="AL344" s="45" t="s">
        <v>705</v>
      </c>
      <c r="AM344" s="46">
        <f>($L$3*(L344-$Q$1)/$Q$2+$M$3*(M344-$R$1)/$R$2+$N$3*(N344-$S$1)/$S$2+$O$3*(O344-$T$1)/$T$2+$P$3*(P344-$U$1)/$U$2)/(SUM($L$3:$P$3))</f>
        <v>-1.4979402501556278</v>
      </c>
      <c r="AN344" s="46">
        <f>($L$3*(Q344-$Q$1)/$Q$2+$M$3*(R344-$R$1)/$R$2+$N$3*(S344-$S$1)/$S$2+$O$3*(T344-$T$1)/$T$2+$P$3*(U344-$U$1)/$U$2)/(SUM($L$3:$P$3))</f>
        <v>-0.8648727546809204</v>
      </c>
      <c r="AO344" s="47">
        <f>IF(AVERAGE(AH344:AI344)&gt;9,1,0)+IF(AVERAGE(AH344:AI344)&gt;7,1,0)+IF(AH344&gt;7,1,0)+IF(AI344&gt;7,1,0)+IF(AJ344&gt;8,1,0)+IF(AJ344&gt;6,1,0)</f>
        <v>6</v>
      </c>
      <c r="AP344" s="48">
        <f>MIN(2,IF(OR(Z344="-",X344&lt;5),0,1+IF(Y344&gt;7,0.35,IF(Y344&gt;5,0.1,0))+IF(Z344&gt;7,1+IF(X344&gt;7,0.25,0),IF(Z344&gt;4,0.5+IF(X344&gt;7,0.25,0),0+IF(X344&gt;7,0.25))))+IF(AA344="-",0,IF(AA344&gt;9,0.5,IF(AA344&gt;7,0.25,0)))+IF(AB344="-",0,IF(AB344&gt;7,1.1,IF(AB344&gt;4,0.6,0)))+IF(OR(AC344="-",V344&lt;5),0,IF(AC344&gt;7,1+IF(V344&gt;7,0.25,0),IF(AC344&gt;4,0.5+IF(V344&gt;7,0.25,0),0)))+IF(AD344="-",0,IF(AD344&gt;7,1.5,IF(AD344&gt;4,1,0)))+IF(AE344="-",0,IF(AE344&gt;9,0.5,IF(AE344&gt;7,0.25,0)))+IF(AF344="-",0,IF(AF344&gt;7,1.25,IF(AF344&gt;4,0.75,0)))+IF(OR(AG344="-",W344&lt;4),0,IF(AG344&gt;7,1+IF(W344&gt;7,0.15,0),IF(AG344&gt;4,0.5+IF(W344&gt;7,0.15,0),0))))</f>
        <v>0.75</v>
      </c>
      <c r="AQ344" s="46">
        <f>($AM$3*AM344+$AN$3*AN344+$AO$3*AO344+$AP$3*AP344)+$I$3*VLOOKUP(I344,COND!$A$2:$E$7,4,FALSE)+$J$3*VLOOKUP(J344,COND!$A$2:$C$7,2,FALSE)+$K$3*VLOOKUP(K344,COND!$A$2:$C$7,3,FALSE)+IF(AND($B$2&gt;0,$E344&lt;20),$B$2*25,0)</f>
        <v>36.521732918813399</v>
      </c>
      <c r="AR344" s="49">
        <f>STANDARDIZE(AQ344,AVERAGE($AQ$5:$AQ$537),STDEVP($AQ$5:$AQ$537))</f>
        <v>-0.67324978342803243</v>
      </c>
      <c r="AS344" s="47" t="str">
        <f>IF(AND(Z344&lt;&gt;"-",Y344&gt;1),"C",IF(AB344=MAX(AB344:AD344),"2B",IF(AD344=MAX(AB344:AD344),"SS",IF(OR(AC344=MAX(AA344:AD344),AND(AC344&lt;&gt;"-",AC344&gt;4,V344&gt;5)),"3B",IF(AF344=MAX(AE344:AG344),"CF",IF(AND(AG344=MAX(AE344,AG344),AND(W344&gt;5,AG344&lt;&gt;"-")),"RF",IF(AE344&lt;&gt;"-","LF",IF(AA344&lt;&gt;"-","1B","DH"))))))))</f>
        <v>LF</v>
      </c>
      <c r="AT344" s="47"/>
      <c r="AU344" s="47"/>
      <c r="AV344" s="47"/>
      <c r="AW344" s="47" t="str">
        <f>IF(AND($Q344&gt;=6,AVERAGE($S344:$T344)&gt;=6),"Likely",IF(OR($Q344&gt;6,AND($Q344=6,AVERAGE($S344:$T344)&gt;=3),AND($Q344&gt;=5,AVERAGE($S344:$T344)&gt;=5),AVERAGE($Q344,$S344:$T344)&gt;5),"Possible","Unlikely"))</f>
        <v>Unlikely</v>
      </c>
      <c r="AX344" s="47"/>
      <c r="AY344" s="47" t="str">
        <f>INDEX(Table5[[#All],[Ovr]],MATCH(Batters[[#This Row],[PID]],Table5[[#All],[PID]],0))</f>
        <v/>
      </c>
      <c r="AZ344" s="47" t="str">
        <f>INDEX(Table5[[#All],[Rnd]],MATCH(Batters[[#This Row],[PID]],Table5[[#All],[PID]],0))</f>
        <v/>
      </c>
      <c r="BA344" s="47" t="str">
        <f>INDEX(Table5[[#All],[Pick]],MATCH(Batters[[#This Row],[PID]],Table5[[#All],[PID]],0))</f>
        <v/>
      </c>
      <c r="BB344" s="47" t="str">
        <f>INDEX(Table5[[#All],[Team]],MATCH(Batters[[#This Row],[PID]],Table5[[#All],[PID]],0))</f>
        <v/>
      </c>
    </row>
    <row r="345" spans="1:54" ht="15" customHeight="1" x14ac:dyDescent="0.25">
      <c r="A345" s="42">
        <v>17930</v>
      </c>
      <c r="B345" s="42" t="s">
        <v>86</v>
      </c>
      <c r="C345" s="42" t="s">
        <v>1048</v>
      </c>
      <c r="D345" s="42" t="s">
        <v>1335</v>
      </c>
      <c r="E345" s="42">
        <v>18</v>
      </c>
      <c r="F345" s="42" t="s">
        <v>42</v>
      </c>
      <c r="G345" s="42" t="s">
        <v>42</v>
      </c>
      <c r="H345" s="43" t="s">
        <v>709</v>
      </c>
      <c r="I345" s="44" t="s">
        <v>44</v>
      </c>
      <c r="J345" s="42" t="s">
        <v>44</v>
      </c>
      <c r="K345" s="43" t="s">
        <v>44</v>
      </c>
      <c r="L345" s="42">
        <v>1</v>
      </c>
      <c r="M345" s="42">
        <v>2</v>
      </c>
      <c r="N345" s="42">
        <v>2</v>
      </c>
      <c r="O345" s="42">
        <v>2</v>
      </c>
      <c r="P345" s="43">
        <v>1</v>
      </c>
      <c r="Q345" s="42">
        <v>2</v>
      </c>
      <c r="R345" s="42">
        <v>4</v>
      </c>
      <c r="S345" s="42">
        <v>4</v>
      </c>
      <c r="T345" s="42">
        <v>6</v>
      </c>
      <c r="U345" s="43">
        <v>2</v>
      </c>
      <c r="V345" s="42">
        <v>4</v>
      </c>
      <c r="W345" s="42">
        <v>4</v>
      </c>
      <c r="X345" s="42">
        <v>5</v>
      </c>
      <c r="Y345" s="43">
        <v>7</v>
      </c>
      <c r="Z345" s="42" t="s">
        <v>45</v>
      </c>
      <c r="AA345" s="42" t="s">
        <v>45</v>
      </c>
      <c r="AB345" s="42" t="s">
        <v>45</v>
      </c>
      <c r="AC345" s="42" t="s">
        <v>45</v>
      </c>
      <c r="AD345" s="42" t="s">
        <v>45</v>
      </c>
      <c r="AE345" s="42" t="s">
        <v>45</v>
      </c>
      <c r="AF345" s="42" t="s">
        <v>45</v>
      </c>
      <c r="AG345" s="43" t="s">
        <v>45</v>
      </c>
      <c r="AH345" s="42">
        <v>1</v>
      </c>
      <c r="AI345" s="42">
        <v>1</v>
      </c>
      <c r="AJ345" s="43">
        <v>1</v>
      </c>
      <c r="AK345" s="45" t="s">
        <v>730</v>
      </c>
      <c r="AL345" s="45" t="s">
        <v>705</v>
      </c>
      <c r="AM345" s="46">
        <f>($L$3*(L345-$Q$1)/$Q$2+$M$3*(M345-$R$1)/$R$2+$N$3*(N345-$S$1)/$S$2+$O$3*(O345-$T$1)/$T$2+$P$3*(P345-$U$1)/$U$2)/(SUM($L$3:$P$3))</f>
        <v>-1.8605124261753858</v>
      </c>
      <c r="AN345" s="46">
        <f>($L$3*(Q345-$Q$1)/$Q$2+$M$3*(R345-$R$1)/$R$2+$N$3*(S345-$S$1)/$S$2+$O$3*(T345-$T$1)/$T$2+$P$3*(U345-$U$1)/$U$2)/(SUM($L$3:$P$3))</f>
        <v>-0.87085930283209367</v>
      </c>
      <c r="AO345" s="47">
        <f>IF(AVERAGE(AH345:AI345)&gt;9,1,0)+IF(AVERAGE(AH345:AI345)&gt;7,1,0)+IF(AH345&gt;7,1,0)+IF(AI345&gt;7,1,0)+IF(AJ345&gt;8,1,0)+IF(AJ345&gt;6,1,0)</f>
        <v>0</v>
      </c>
      <c r="AP345" s="48">
        <f>MIN(2,IF(OR(Z345="-",X345&lt;5),0,1+IF(Y345&gt;7,0.35,IF(Y345&gt;5,0.1,0))+IF(Z345&gt;7,1+IF(X345&gt;7,0.25,0),IF(Z345&gt;4,0.5+IF(X345&gt;7,0.25,0),0+IF(X345&gt;7,0.25))))+IF(AA345="-",0,IF(AA345&gt;9,0.5,IF(AA345&gt;7,0.25,0)))+IF(AB345="-",0,IF(AB345&gt;7,1.1,IF(AB345&gt;4,0.6,0)))+IF(OR(AC345="-",V345&lt;5),0,IF(AC345&gt;7,1+IF(V345&gt;7,0.25,0),IF(AC345&gt;4,0.5+IF(V345&gt;7,0.25,0),0)))+IF(AD345="-",0,IF(AD345&gt;7,1.5,IF(AD345&gt;4,1,0)))+IF(AE345="-",0,IF(AE345&gt;9,0.5,IF(AE345&gt;7,0.25,0)))+IF(AF345="-",0,IF(AF345&gt;7,1.25,IF(AF345&gt;4,0.75,0)))+IF(OR(AG345="-",W345&lt;4),0,IF(AG345&gt;7,1+IF(W345&gt;7,0.15,0),IF(AG345&gt;4,0.5+IF(W345&gt;7,0.15,0),0))))</f>
        <v>0</v>
      </c>
      <c r="AQ345" s="46">
        <f>($AM$3*AM345+$AN$3*AN345+$AO$3*AO345+$AP$3*AP345)+$I$3*VLOOKUP(I345,COND!$A$2:$E$7,4,FALSE)+$J$3*VLOOKUP(J345,COND!$A$2:$C$7,2,FALSE)+$K$3*VLOOKUP(K345,COND!$A$2:$C$7,3,FALSE)+IF(AND($B$2&gt;0,$E345&lt;20),$B$2*25,0)</f>
        <v>38.613637123397339</v>
      </c>
      <c r="AR345" s="49">
        <f>STANDARDIZE(AQ345,AVERAGE($AQ$5:$AQ$537),STDEVP($AQ$5:$AQ$537))</f>
        <v>-0.30519314206146853</v>
      </c>
      <c r="AS345" s="47" t="str">
        <f>IF(AND(Z345&lt;&gt;"-",Y345&gt;1),"C",IF(AB345=MAX(AB345:AD345),"2B",IF(AD345=MAX(AB345:AD345),"SS",IF(OR(AC345=MAX(AA345:AD345),AND(AC345&lt;&gt;"-",AC345&gt;4,V345&gt;5)),"3B",IF(AF345=MAX(AE345:AG345),"CF",IF(AND(AG345=MAX(AE345,AG345),AND(W345&gt;5,AG345&lt;&gt;"-")),"RF",IF(AE345&lt;&gt;"-","LF",IF(AA345&lt;&gt;"-","1B","DH"))))))))</f>
        <v>DH</v>
      </c>
      <c r="AT345" s="47"/>
      <c r="AU345" s="47"/>
      <c r="AV345" s="47"/>
      <c r="AW345" s="47" t="str">
        <f>IF(AND($Q345&gt;=6,AVERAGE($S345:$T345)&gt;=6),"Likely",IF(OR($Q345&gt;6,AND($Q345=6,AVERAGE($S345:$T345)&gt;=3),AND($Q345&gt;=5,AVERAGE($S345:$T345)&gt;=5),AVERAGE($Q345,$S345:$T345)&gt;5),"Possible","Unlikely"))</f>
        <v>Unlikely</v>
      </c>
      <c r="AX345" s="47"/>
      <c r="AY345" s="47" t="str">
        <f>INDEX(Table5[[#All],[Ovr]],MATCH(Batters[[#This Row],[PID]],Table5[[#All],[PID]],0))</f>
        <v/>
      </c>
      <c r="AZ345" s="47" t="str">
        <f>INDEX(Table5[[#All],[Rnd]],MATCH(Batters[[#This Row],[PID]],Table5[[#All],[PID]],0))</f>
        <v/>
      </c>
      <c r="BA345" s="47" t="str">
        <f>INDEX(Table5[[#All],[Pick]],MATCH(Batters[[#This Row],[PID]],Table5[[#All],[PID]],0))</f>
        <v/>
      </c>
      <c r="BB345" s="47" t="str">
        <f>INDEX(Table5[[#All],[Team]],MATCH(Batters[[#This Row],[PID]],Table5[[#All],[PID]],0))</f>
        <v/>
      </c>
    </row>
    <row r="346" spans="1:54" ht="15" customHeight="1" x14ac:dyDescent="0.25">
      <c r="A346" s="42">
        <v>6983</v>
      </c>
      <c r="B346" s="42" t="s">
        <v>87</v>
      </c>
      <c r="C346" s="42" t="s">
        <v>724</v>
      </c>
      <c r="D346" s="42" t="s">
        <v>727</v>
      </c>
      <c r="E346" s="42">
        <v>20</v>
      </c>
      <c r="F346" s="42" t="s">
        <v>53</v>
      </c>
      <c r="G346" s="42" t="s">
        <v>42</v>
      </c>
      <c r="H346" s="43" t="s">
        <v>721</v>
      </c>
      <c r="I346" s="44" t="s">
        <v>43</v>
      </c>
      <c r="J346" s="42" t="s">
        <v>43</v>
      </c>
      <c r="K346" s="43" t="s">
        <v>43</v>
      </c>
      <c r="L346" s="42">
        <v>2</v>
      </c>
      <c r="M346" s="42">
        <v>3</v>
      </c>
      <c r="N346" s="42">
        <v>3</v>
      </c>
      <c r="O346" s="42">
        <v>1</v>
      </c>
      <c r="P346" s="43">
        <v>2</v>
      </c>
      <c r="Q346" s="42">
        <v>4</v>
      </c>
      <c r="R346" s="42">
        <v>3</v>
      </c>
      <c r="S346" s="42">
        <v>3</v>
      </c>
      <c r="T346" s="42">
        <v>2</v>
      </c>
      <c r="U346" s="43">
        <v>4</v>
      </c>
      <c r="V346" s="42">
        <v>5</v>
      </c>
      <c r="W346" s="42">
        <v>2</v>
      </c>
      <c r="X346" s="42">
        <v>1</v>
      </c>
      <c r="Y346" s="43">
        <v>1</v>
      </c>
      <c r="Z346" s="42" t="s">
        <v>45</v>
      </c>
      <c r="AA346" s="42">
        <v>1</v>
      </c>
      <c r="AB346" s="42" t="s">
        <v>45</v>
      </c>
      <c r="AC346" s="42" t="s">
        <v>45</v>
      </c>
      <c r="AD346" s="42" t="s">
        <v>45</v>
      </c>
      <c r="AE346" s="42" t="s">
        <v>45</v>
      </c>
      <c r="AF346" s="42" t="s">
        <v>45</v>
      </c>
      <c r="AG346" s="43" t="s">
        <v>45</v>
      </c>
      <c r="AH346" s="42">
        <v>1</v>
      </c>
      <c r="AI346" s="42">
        <v>1</v>
      </c>
      <c r="AJ346" s="43">
        <v>2</v>
      </c>
      <c r="AK346" s="45" t="s">
        <v>778</v>
      </c>
      <c r="AL346" s="45" t="s">
        <v>47</v>
      </c>
      <c r="AM346" s="46">
        <f>($L$3*(L346-$Q$1)/$Q$2+$M$3*(M346-$R$1)/$R$2+$N$3*(N346-$S$1)/$S$2+$O$3*(O346-$T$1)/$T$2+$P$3*(P346-$U$1)/$U$2)/(SUM($L$3:$P$3))</f>
        <v>-1.4535284265226038</v>
      </c>
      <c r="AN346" s="46">
        <f>($L$3*(Q346-$Q$1)/$Q$2+$M$3*(R346-$R$1)/$R$2+$N$3*(S346-$S$1)/$S$2+$O$3*(T346-$T$1)/$T$2+$P$3*(U346-$U$1)/$U$2)/(SUM($L$3:$P$3))</f>
        <v>-0.63867452447350637</v>
      </c>
      <c r="AO346" s="47">
        <f>IF(AVERAGE(AH346:AI346)&gt;9,1,0)+IF(AVERAGE(AH346:AI346)&gt;7,1,0)+IF(AH346&gt;7,1,0)+IF(AI346&gt;7,1,0)+IF(AJ346&gt;8,1,0)+IF(AJ346&gt;6,1,0)</f>
        <v>0</v>
      </c>
      <c r="AP346" s="48">
        <f>MIN(2,IF(OR(Z346="-",X346&lt;5),0,1+IF(Y346&gt;7,0.35,IF(Y346&gt;5,0.1,0))+IF(Z346&gt;7,1+IF(X346&gt;7,0.25,0),IF(Z346&gt;4,0.5+IF(X346&gt;7,0.25,0),0+IF(X346&gt;7,0.25))))+IF(AA346="-",0,IF(AA346&gt;9,0.5,IF(AA346&gt;7,0.25,0)))+IF(AB346="-",0,IF(AB346&gt;7,1.1,IF(AB346&gt;4,0.6,0)))+IF(OR(AC346="-",V346&lt;5),0,IF(AC346&gt;7,1+IF(V346&gt;7,0.25,0),IF(AC346&gt;4,0.5+IF(V346&gt;7,0.25,0),0)))+IF(AD346="-",0,IF(AD346&gt;7,1.5,IF(AD346&gt;4,1,0)))+IF(AE346="-",0,IF(AE346&gt;9,0.5,IF(AE346&gt;7,0.25,0)))+IF(AF346="-",0,IF(AF346&gt;7,1.25,IF(AF346&gt;4,0.75,0)))+IF(OR(AG346="-",W346&lt;4),0,IF(AG346&gt;7,1+IF(W346&gt;7,0.15,0),IF(AG346&gt;4,0.5+IF(W346&gt;7,0.15,0),0))))</f>
        <v>0</v>
      </c>
      <c r="AQ346" s="46">
        <f>($AM$3*AM346+$AN$3*AN346+$AO$3*AO346+$AP$3*AP346)+$I$3*VLOOKUP(I346,COND!$A$2:$E$7,4,FALSE)+$J$3*VLOOKUP(J346,COND!$A$2:$C$7,2,FALSE)+$K$3*VLOOKUP(K346,COND!$A$2:$C$7,3,FALSE)+IF(AND($B$2&gt;0,$E346&lt;20),$B$2*25,0)</f>
        <v>37.190552863665658</v>
      </c>
      <c r="AR346" s="49">
        <f>STANDARDIZE(AQ346,AVERAGE($AQ$5:$AQ$537),STDEVP($AQ$5:$AQ$537))</f>
        <v>-0.55557535931153579</v>
      </c>
      <c r="AS346" s="47" t="str">
        <f>IF(AND(Z346&lt;&gt;"-",Y346&gt;1),"C",IF(AB346=MAX(AB346:AD346),"2B",IF(AD346=MAX(AB346:AD346),"SS",IF(OR(AC346=MAX(AA346:AD346),AND(AC346&lt;&gt;"-",AC346&gt;4,V346&gt;5)),"3B",IF(AF346=MAX(AE346:AG346),"CF",IF(AND(AG346=MAX(AE346,AG346),AND(W346&gt;5,AG346&lt;&gt;"-")),"RF",IF(AE346&lt;&gt;"-","LF",IF(AA346&lt;&gt;"-","1B","DH"))))))))</f>
        <v>1B</v>
      </c>
      <c r="AT346" s="47"/>
      <c r="AU346" s="47"/>
      <c r="AV346" s="47"/>
      <c r="AW346" s="47" t="str">
        <f>IF(AND($Q346&gt;=6,AVERAGE($S346:$T346)&gt;=6),"Likely",IF(OR($Q346&gt;6,AND($Q346=6,AVERAGE($S346:$T346)&gt;=3),AND($Q346&gt;=5,AVERAGE($S346:$T346)&gt;=5),AVERAGE($Q346,$S346:$T346)&gt;5),"Possible","Unlikely"))</f>
        <v>Unlikely</v>
      </c>
      <c r="AX346" s="47"/>
      <c r="AY346" s="47" t="str">
        <f>INDEX(Table5[[#All],[Ovr]],MATCH(Batters[[#This Row],[PID]],Table5[[#All],[PID]],0))</f>
        <v/>
      </c>
      <c r="AZ346" s="47" t="str">
        <f>INDEX(Table5[[#All],[Rnd]],MATCH(Batters[[#This Row],[PID]],Table5[[#All],[PID]],0))</f>
        <v/>
      </c>
      <c r="BA346" s="47" t="str">
        <f>INDEX(Table5[[#All],[Pick]],MATCH(Batters[[#This Row],[PID]],Table5[[#All],[PID]],0))</f>
        <v/>
      </c>
      <c r="BB346" s="47" t="str">
        <f>INDEX(Table5[[#All],[Team]],MATCH(Batters[[#This Row],[PID]],Table5[[#All],[PID]],0))</f>
        <v/>
      </c>
    </row>
    <row r="347" spans="1:54" ht="15" customHeight="1" x14ac:dyDescent="0.25">
      <c r="A347" s="42">
        <v>17764</v>
      </c>
      <c r="B347" s="42" t="s">
        <v>69</v>
      </c>
      <c r="C347" s="42" t="s">
        <v>1259</v>
      </c>
      <c r="D347" s="42" t="s">
        <v>644</v>
      </c>
      <c r="E347" s="42">
        <v>21</v>
      </c>
      <c r="F347" s="42" t="s">
        <v>42</v>
      </c>
      <c r="G347" s="42" t="s">
        <v>42</v>
      </c>
      <c r="H347" s="43" t="s">
        <v>709</v>
      </c>
      <c r="I347" s="44" t="s">
        <v>43</v>
      </c>
      <c r="J347" s="42" t="s">
        <v>43</v>
      </c>
      <c r="K347" s="43" t="s">
        <v>43</v>
      </c>
      <c r="L347" s="42">
        <v>1</v>
      </c>
      <c r="M347" s="42">
        <v>4</v>
      </c>
      <c r="N347" s="42">
        <v>2</v>
      </c>
      <c r="O347" s="42">
        <v>2</v>
      </c>
      <c r="P347" s="43">
        <v>1</v>
      </c>
      <c r="Q347" s="42">
        <v>3</v>
      </c>
      <c r="R347" s="42">
        <v>5</v>
      </c>
      <c r="S347" s="42">
        <v>4</v>
      </c>
      <c r="T347" s="42">
        <v>4</v>
      </c>
      <c r="U347" s="43">
        <v>3</v>
      </c>
      <c r="V347" s="42">
        <v>9</v>
      </c>
      <c r="W347" s="42">
        <v>9</v>
      </c>
      <c r="X347" s="42">
        <v>1</v>
      </c>
      <c r="Y347" s="43">
        <v>1</v>
      </c>
      <c r="Z347" s="42" t="s">
        <v>45</v>
      </c>
      <c r="AA347" s="42" t="s">
        <v>45</v>
      </c>
      <c r="AB347" s="42" t="s">
        <v>45</v>
      </c>
      <c r="AC347" s="42">
        <v>4</v>
      </c>
      <c r="AD347" s="42" t="s">
        <v>45</v>
      </c>
      <c r="AE347" s="42" t="s">
        <v>45</v>
      </c>
      <c r="AF347" s="42" t="s">
        <v>45</v>
      </c>
      <c r="AG347" s="43" t="s">
        <v>45</v>
      </c>
      <c r="AH347" s="42">
        <v>3</v>
      </c>
      <c r="AI347" s="42">
        <v>1</v>
      </c>
      <c r="AJ347" s="43">
        <v>1</v>
      </c>
      <c r="AK347" s="45" t="s">
        <v>627</v>
      </c>
      <c r="AL347" s="45" t="s">
        <v>47</v>
      </c>
      <c r="AM347" s="46">
        <f>($L$3*(L347-$Q$1)/$Q$2+$M$3*(M347-$R$1)/$R$2+$N$3*(N347-$S$1)/$S$2+$O$3*(O347-$T$1)/$T$2+$P$3*(P347-$U$1)/$U$2)/(SUM($L$3:$P$3))</f>
        <v>-1.758392666937979</v>
      </c>
      <c r="AN347" s="46">
        <f>($L$3*(Q347-$Q$1)/$Q$2+$M$3*(R347-$R$1)/$R$2+$N$3*(S347-$S$1)/$S$2+$O$3*(T347-$T$1)/$T$2+$P$3*(U347-$U$1)/$U$2)/(SUM($L$3:$P$3))</f>
        <v>-0.63664634721279401</v>
      </c>
      <c r="AO347" s="47">
        <f>IF(AVERAGE(AH347:AI347)&gt;9,1,0)+IF(AVERAGE(AH347:AI347)&gt;7,1,0)+IF(AH347&gt;7,1,0)+IF(AI347&gt;7,1,0)+IF(AJ347&gt;8,1,0)+IF(AJ347&gt;6,1,0)</f>
        <v>0</v>
      </c>
      <c r="AP347" s="48">
        <f>MIN(2,IF(OR(Z347="-",X347&lt;5),0,1+IF(Y347&gt;7,0.35,IF(Y347&gt;5,0.1,0))+IF(Z347&gt;7,1+IF(X347&gt;7,0.25,0),IF(Z347&gt;4,0.5+IF(X347&gt;7,0.25,0),0+IF(X347&gt;7,0.25))))+IF(AA347="-",0,IF(AA347&gt;9,0.5,IF(AA347&gt;7,0.25,0)))+IF(AB347="-",0,IF(AB347&gt;7,1.1,IF(AB347&gt;4,0.6,0)))+IF(OR(AC347="-",V347&lt;5),0,IF(AC347&gt;7,1+IF(V347&gt;7,0.25,0),IF(AC347&gt;4,0.5+IF(V347&gt;7,0.25,0),0)))+IF(AD347="-",0,IF(AD347&gt;7,1.5,IF(AD347&gt;4,1,0)))+IF(AE347="-",0,IF(AE347&gt;9,0.5,IF(AE347&gt;7,0.25,0)))+IF(AF347="-",0,IF(AF347&gt;7,1.25,IF(AF347&gt;4,0.75,0)))+IF(OR(AG347="-",W347&lt;4),0,IF(AG347&gt;7,1+IF(W347&gt;7,0.15,0),IF(AG347&gt;4,0.5+IF(W347&gt;7,0.15,0),0))))</f>
        <v>0</v>
      </c>
      <c r="AQ347" s="46">
        <f>($AM$3*AM347+$AN$3*AN347+$AO$3*AO347+$AP$3*AP347)+$I$3*VLOOKUP(I347,COND!$A$2:$E$7,4,FALSE)+$J$3*VLOOKUP(J347,COND!$A$2:$C$7,2,FALSE)+$K$3*VLOOKUP(K347,COND!$A$2:$C$7,3,FALSE)+IF(AND($B$2&gt;0,$E347&lt;20),$B$2*25,0)</f>
        <v>37.184404566752676</v>
      </c>
      <c r="AR347" s="49">
        <f>STANDARDIZE(AQ347,AVERAGE($AQ$5:$AQ$537),STDEVP($AQ$5:$AQ$537))</f>
        <v>-0.55665711128992856</v>
      </c>
      <c r="AS347" s="47" t="str">
        <f>IF(AND(Z347&lt;&gt;"-",Y347&gt;1),"C",IF(AB347=MAX(AB347:AD347),"2B",IF(AD347=MAX(AB347:AD347),"SS",IF(OR(AC347=MAX(AA347:AD347),AND(AC347&lt;&gt;"-",AC347&gt;4,V347&gt;5)),"3B",IF(AF347=MAX(AE347:AG347),"CF",IF(AND(AG347=MAX(AE347,AG347),AND(W347&gt;5,AG347&lt;&gt;"-")),"RF",IF(AE347&lt;&gt;"-","LF",IF(AA347&lt;&gt;"-","1B","DH"))))))))</f>
        <v>3B</v>
      </c>
      <c r="AT347" s="47"/>
      <c r="AU347" s="47"/>
      <c r="AV347" s="47"/>
      <c r="AW347" s="47" t="str">
        <f>IF(AND($Q347&gt;=6,AVERAGE($S347:$T347)&gt;=6),"Likely",IF(OR($Q347&gt;6,AND($Q347=6,AVERAGE($S347:$T347)&gt;=3),AND($Q347&gt;=5,AVERAGE($S347:$T347)&gt;=5),AVERAGE($Q347,$S347:$T347)&gt;5),"Possible","Unlikely"))</f>
        <v>Unlikely</v>
      </c>
      <c r="AX347" s="47"/>
      <c r="AY347" s="47" t="str">
        <f>INDEX(Table5[[#All],[Ovr]],MATCH(Batters[[#This Row],[PID]],Table5[[#All],[PID]],0))</f>
        <v/>
      </c>
      <c r="AZ347" s="47" t="str">
        <f>INDEX(Table5[[#All],[Rnd]],MATCH(Batters[[#This Row],[PID]],Table5[[#All],[PID]],0))</f>
        <v/>
      </c>
      <c r="BA347" s="47" t="str">
        <f>INDEX(Table5[[#All],[Pick]],MATCH(Batters[[#This Row],[PID]],Table5[[#All],[PID]],0))</f>
        <v/>
      </c>
      <c r="BB347" s="47" t="str">
        <f>INDEX(Table5[[#All],[Team]],MATCH(Batters[[#This Row],[PID]],Table5[[#All],[PID]],0))</f>
        <v/>
      </c>
    </row>
    <row r="348" spans="1:54" ht="15" customHeight="1" x14ac:dyDescent="0.25">
      <c r="A348" s="42">
        <v>8836</v>
      </c>
      <c r="B348" s="42" t="s">
        <v>86</v>
      </c>
      <c r="C348" s="42" t="s">
        <v>329</v>
      </c>
      <c r="D348" s="42" t="s">
        <v>153</v>
      </c>
      <c r="E348" s="42">
        <v>22</v>
      </c>
      <c r="F348" s="42" t="s">
        <v>42</v>
      </c>
      <c r="G348" s="42" t="s">
        <v>42</v>
      </c>
      <c r="H348" s="43" t="s">
        <v>709</v>
      </c>
      <c r="I348" s="44" t="s">
        <v>43</v>
      </c>
      <c r="J348" s="42" t="s">
        <v>43</v>
      </c>
      <c r="K348" s="43" t="s">
        <v>43</v>
      </c>
      <c r="L348" s="42">
        <v>2</v>
      </c>
      <c r="M348" s="42">
        <v>2</v>
      </c>
      <c r="N348" s="42">
        <v>2</v>
      </c>
      <c r="O348" s="42">
        <v>2</v>
      </c>
      <c r="P348" s="43">
        <v>2</v>
      </c>
      <c r="Q348" s="42">
        <v>3</v>
      </c>
      <c r="R348" s="42">
        <v>4</v>
      </c>
      <c r="S348" s="42">
        <v>3</v>
      </c>
      <c r="T348" s="42">
        <v>4</v>
      </c>
      <c r="U348" s="43">
        <v>4</v>
      </c>
      <c r="V348" s="42">
        <v>4</v>
      </c>
      <c r="W348" s="42">
        <v>4</v>
      </c>
      <c r="X348" s="42">
        <v>6</v>
      </c>
      <c r="Y348" s="43">
        <v>7</v>
      </c>
      <c r="Z348" s="42">
        <v>3</v>
      </c>
      <c r="AA348" s="42" t="s">
        <v>45</v>
      </c>
      <c r="AB348" s="42" t="s">
        <v>45</v>
      </c>
      <c r="AC348" s="42" t="s">
        <v>45</v>
      </c>
      <c r="AD348" s="42" t="s">
        <v>45</v>
      </c>
      <c r="AE348" s="42" t="s">
        <v>45</v>
      </c>
      <c r="AF348" s="42" t="s">
        <v>45</v>
      </c>
      <c r="AG348" s="43" t="s">
        <v>45</v>
      </c>
      <c r="AH348" s="42">
        <v>3</v>
      </c>
      <c r="AI348" s="42">
        <v>1</v>
      </c>
      <c r="AJ348" s="43">
        <v>3</v>
      </c>
      <c r="AK348" s="45" t="s">
        <v>1320</v>
      </c>
      <c r="AL348" s="45" t="s">
        <v>705</v>
      </c>
      <c r="AM348" s="46">
        <f>($L$3*(L348-$Q$1)/$Q$2+$M$3*(M348-$R$1)/$R$2+$N$3*(N348-$S$1)/$S$2+$O$3*(O348-$T$1)/$T$2+$P$3*(P348-$U$1)/$U$2)/(SUM($L$3:$P$3))</f>
        <v>-1.4979402501556278</v>
      </c>
      <c r="AN348" s="46">
        <f>($L$3*(Q348-$Q$1)/$Q$2+$M$3*(R348-$R$1)/$R$2+$N$3*(S348-$S$1)/$S$2+$O$3*(T348-$T$1)/$T$2+$P$3*(U348-$U$1)/$U$2)/(SUM($L$3:$P$3))</f>
        <v>-0.7307513810383155</v>
      </c>
      <c r="AO348" s="47">
        <f>IF(AVERAGE(AH348:AI348)&gt;9,1,0)+IF(AVERAGE(AH348:AI348)&gt;7,1,0)+IF(AH348&gt;7,1,0)+IF(AI348&gt;7,1,0)+IF(AJ348&gt;8,1,0)+IF(AJ348&gt;6,1,0)</f>
        <v>0</v>
      </c>
      <c r="AP348" s="48">
        <f>MIN(2,IF(OR(Z348="-",X348&lt;5),0,1+IF(Y348&gt;7,0.35,IF(Y348&gt;5,0.1,0))+IF(Z348&gt;7,1+IF(X348&gt;7,0.25,0),IF(Z348&gt;4,0.5+IF(X348&gt;7,0.25,0),0+IF(X348&gt;7,0.25))))+IF(AA348="-",0,IF(AA348&gt;9,0.5,IF(AA348&gt;7,0.25,0)))+IF(AB348="-",0,IF(AB348&gt;7,1.1,IF(AB348&gt;4,0.6,0)))+IF(OR(AC348="-",V348&lt;5),0,IF(AC348&gt;7,1+IF(V348&gt;7,0.25,0),IF(AC348&gt;4,0.5+IF(V348&gt;7,0.25,0),0)))+IF(AD348="-",0,IF(AD348&gt;7,1.5,IF(AD348&gt;4,1,0)))+IF(AE348="-",0,IF(AE348&gt;9,0.5,IF(AE348&gt;7,0.25,0)))+IF(AF348="-",0,IF(AF348&gt;7,1.25,IF(AF348&gt;4,0.75,0)))+IF(OR(AG348="-",W348&lt;4),0,IF(AG348&gt;7,1+IF(W348&gt;7,0.15,0),IF(AG348&gt;4,0.5+IF(W348&gt;7,0.15,0),0))))</f>
        <v>1.1000000000000001</v>
      </c>
      <c r="AQ348" s="46">
        <f>($AM$3*AM348+$AN$3*AN348+$AO$3*AO348+$AP$3*AP348)+$I$3*VLOOKUP(I348,COND!$A$2:$E$7,4,FALSE)+$J$3*VLOOKUP(J348,COND!$A$2:$C$7,2,FALSE)+$K$3*VLOOKUP(K348,COND!$A$2:$C$7,3,FALSE)+IF(AND($B$2&gt;0,$E348&lt;20),$B$2*25,0)</f>
        <v>37.181189402524652</v>
      </c>
      <c r="AR348" s="49">
        <f>STANDARDIZE(AQ348,AVERAGE($AQ$5:$AQ$537),STDEVP($AQ$5:$AQ$537))</f>
        <v>-0.55722279806689257</v>
      </c>
      <c r="AS348" s="47" t="str">
        <f>IF(AND(Z348&lt;&gt;"-",Y348&gt;1),"C",IF(AB348=MAX(AB348:AD348),"2B",IF(AD348=MAX(AB348:AD348),"SS",IF(OR(AC348=MAX(AA348:AD348),AND(AC348&lt;&gt;"-",AC348&gt;4,V348&gt;5)),"3B",IF(AF348=MAX(AE348:AG348),"CF",IF(AND(AG348=MAX(AE348,AG348),AND(W348&gt;5,AG348&lt;&gt;"-")),"RF",IF(AE348&lt;&gt;"-","LF",IF(AA348&lt;&gt;"-","1B","DH"))))))))</f>
        <v>C</v>
      </c>
      <c r="AT348" s="47"/>
      <c r="AU348" s="47"/>
      <c r="AV348" s="47"/>
      <c r="AW348" s="47" t="str">
        <f>IF(AND($Q348&gt;=6,AVERAGE($S348:$T348)&gt;=6),"Likely",IF(OR($Q348&gt;6,AND($Q348=6,AVERAGE($S348:$T348)&gt;=3),AND($Q348&gt;=5,AVERAGE($S348:$T348)&gt;=5),AVERAGE($Q348,$S348:$T348)&gt;5),"Possible","Unlikely"))</f>
        <v>Unlikely</v>
      </c>
      <c r="AX348" s="47"/>
      <c r="AY348" s="47" t="str">
        <f>INDEX(Table5[[#All],[Ovr]],MATCH(Batters[[#This Row],[PID]],Table5[[#All],[PID]],0))</f>
        <v/>
      </c>
      <c r="AZ348" s="47" t="str">
        <f>INDEX(Table5[[#All],[Rnd]],MATCH(Batters[[#This Row],[PID]],Table5[[#All],[PID]],0))</f>
        <v/>
      </c>
      <c r="BA348" s="47" t="str">
        <f>INDEX(Table5[[#All],[Pick]],MATCH(Batters[[#This Row],[PID]],Table5[[#All],[PID]],0))</f>
        <v/>
      </c>
      <c r="BB348" s="47" t="str">
        <f>INDEX(Table5[[#All],[Team]],MATCH(Batters[[#This Row],[PID]],Table5[[#All],[PID]],0))</f>
        <v/>
      </c>
    </row>
    <row r="349" spans="1:54" ht="15" customHeight="1" x14ac:dyDescent="0.25">
      <c r="A349" s="42">
        <v>15134</v>
      </c>
      <c r="B349" s="42" t="s">
        <v>87</v>
      </c>
      <c r="C349" s="42" t="s">
        <v>1299</v>
      </c>
      <c r="D349" s="42" t="s">
        <v>1300</v>
      </c>
      <c r="E349" s="42">
        <v>21</v>
      </c>
      <c r="F349" s="42" t="s">
        <v>62</v>
      </c>
      <c r="G349" s="42" t="s">
        <v>42</v>
      </c>
      <c r="H349" s="43" t="s">
        <v>721</v>
      </c>
      <c r="I349" s="44" t="s">
        <v>43</v>
      </c>
      <c r="J349" s="42" t="s">
        <v>43</v>
      </c>
      <c r="K349" s="43" t="s">
        <v>43</v>
      </c>
      <c r="L349" s="42">
        <v>2</v>
      </c>
      <c r="M349" s="42">
        <v>2</v>
      </c>
      <c r="N349" s="42">
        <v>3</v>
      </c>
      <c r="O349" s="42">
        <v>3</v>
      </c>
      <c r="P349" s="43">
        <v>1</v>
      </c>
      <c r="Q349" s="42">
        <v>3</v>
      </c>
      <c r="R349" s="42">
        <v>4</v>
      </c>
      <c r="S349" s="42">
        <v>3</v>
      </c>
      <c r="T349" s="42">
        <v>5</v>
      </c>
      <c r="U349" s="43">
        <v>4</v>
      </c>
      <c r="V349" s="42">
        <v>2</v>
      </c>
      <c r="W349" s="42">
        <v>2</v>
      </c>
      <c r="X349" s="42">
        <v>3</v>
      </c>
      <c r="Y349" s="43">
        <v>6</v>
      </c>
      <c r="Z349" s="42" t="s">
        <v>45</v>
      </c>
      <c r="AA349" s="42">
        <v>1</v>
      </c>
      <c r="AB349" s="42" t="s">
        <v>45</v>
      </c>
      <c r="AC349" s="42" t="s">
        <v>45</v>
      </c>
      <c r="AD349" s="42" t="s">
        <v>45</v>
      </c>
      <c r="AE349" s="42" t="s">
        <v>45</v>
      </c>
      <c r="AF349" s="42" t="s">
        <v>45</v>
      </c>
      <c r="AG349" s="43" t="s">
        <v>45</v>
      </c>
      <c r="AH349" s="42">
        <v>1</v>
      </c>
      <c r="AI349" s="42">
        <v>1</v>
      </c>
      <c r="AJ349" s="43">
        <v>1</v>
      </c>
      <c r="AK349" s="45" t="s">
        <v>45</v>
      </c>
      <c r="AL349" s="45" t="s">
        <v>705</v>
      </c>
      <c r="AM349" s="46">
        <f>($L$3*(L349-$Q$1)/$Q$2+$M$3*(M349-$R$1)/$R$2+$N$3*(N349-$S$1)/$S$2+$O$3*(O349-$T$1)/$T$2+$P$3*(P349-$U$1)/$U$2)/(SUM($L$3:$P$3))</f>
        <v>-1.3651855459392288</v>
      </c>
      <c r="AN349" s="46">
        <f>($L$3*(Q349-$Q$1)/$Q$2+$M$3*(R349-$R$1)/$R$2+$N$3*(S349-$S$1)/$S$2+$O$3*(T349-$T$1)/$T$2+$P$3*(U349-$U$1)/$U$2)/(SUM($L$3:$P$3))</f>
        <v>-0.64104183102873458</v>
      </c>
      <c r="AO349" s="47">
        <f>IF(AVERAGE(AH349:AI349)&gt;9,1,0)+IF(AVERAGE(AH349:AI349)&gt;7,1,0)+IF(AH349&gt;7,1,0)+IF(AI349&gt;7,1,0)+IF(AJ349&gt;8,1,0)+IF(AJ349&gt;6,1,0)</f>
        <v>0</v>
      </c>
      <c r="AP349" s="48">
        <f>MIN(2,IF(OR(Z349="-",X349&lt;5),0,1+IF(Y349&gt;7,0.35,IF(Y349&gt;5,0.1,0))+IF(Z349&gt;7,1+IF(X349&gt;7,0.25,0),IF(Z349&gt;4,0.5+IF(X349&gt;7,0.25,0),0+IF(X349&gt;7,0.25))))+IF(AA349="-",0,IF(AA349&gt;9,0.5,IF(AA349&gt;7,0.25,0)))+IF(AB349="-",0,IF(AB349&gt;7,1.1,IF(AB349&gt;4,0.6,0)))+IF(OR(AC349="-",V349&lt;5),0,IF(AC349&gt;7,1+IF(V349&gt;7,0.25,0),IF(AC349&gt;4,0.5+IF(V349&gt;7,0.25,0),0)))+IF(AD349="-",0,IF(AD349&gt;7,1.5,IF(AD349&gt;4,1,0)))+IF(AE349="-",0,IF(AE349&gt;9,0.5,IF(AE349&gt;7,0.25,0)))+IF(AF349="-",0,IF(AF349&gt;7,1.25,IF(AF349&gt;4,0.75,0)))+IF(OR(AG349="-",W349&lt;4),0,IF(AG349&gt;7,1+IF(W349&gt;7,0.15,0),IF(AG349&gt;4,0.5+IF(W349&gt;7,0.15,0),0))))</f>
        <v>0</v>
      </c>
      <c r="AQ349" s="46">
        <f>($AM$3*AM349+$AN$3*AN349+$AO$3*AO349+$AP$3*AP349)+$I$3*VLOOKUP(I349,COND!$A$2:$E$7,4,FALSE)+$J$3*VLOOKUP(J349,COND!$A$2:$C$7,2,FALSE)+$K$3*VLOOKUP(K349,COND!$A$2:$C$7,3,FALSE)+IF(AND($B$2&gt;0,$E349&lt;20),$B$2*25,0)</f>
        <v>37.170979473061266</v>
      </c>
      <c r="AR349" s="49">
        <f>STANDARDIZE(AQ349,AVERAGE($AQ$5:$AQ$537),STDEVP($AQ$5:$AQ$537))</f>
        <v>-0.55901916729768664</v>
      </c>
      <c r="AS349" s="47" t="str">
        <f>IF(AND(Z349&lt;&gt;"-",Y349&gt;1),"C",IF(AB349=MAX(AB349:AD349),"2B",IF(AD349=MAX(AB349:AD349),"SS",IF(OR(AC349=MAX(AA349:AD349),AND(AC349&lt;&gt;"-",AC349&gt;4,V349&gt;5)),"3B",IF(AF349=MAX(AE349:AG349),"CF",IF(AND(AG349=MAX(AE349,AG349),AND(W349&gt;5,AG349&lt;&gt;"-")),"RF",IF(AE349&lt;&gt;"-","LF",IF(AA349&lt;&gt;"-","1B","DH"))))))))</f>
        <v>1B</v>
      </c>
      <c r="AT349" s="47"/>
      <c r="AU349" s="47"/>
      <c r="AV349" s="47"/>
      <c r="AW349" s="47" t="str">
        <f>IF(AND($Q349&gt;=6,AVERAGE($S349:$T349)&gt;=6),"Likely",IF(OR($Q349&gt;6,AND($Q349=6,AVERAGE($S349:$T349)&gt;=3),AND($Q349&gt;=5,AVERAGE($S349:$T349)&gt;=5),AVERAGE($Q349,$S349:$T349)&gt;5),"Possible","Unlikely"))</f>
        <v>Unlikely</v>
      </c>
      <c r="AX349" s="47"/>
      <c r="AY349" s="47" t="str">
        <f>INDEX(Table5[[#All],[Ovr]],MATCH(Batters[[#This Row],[PID]],Table5[[#All],[PID]],0))</f>
        <v/>
      </c>
      <c r="AZ349" s="47" t="str">
        <f>INDEX(Table5[[#All],[Rnd]],MATCH(Batters[[#This Row],[PID]],Table5[[#All],[PID]],0))</f>
        <v/>
      </c>
      <c r="BA349" s="47" t="str">
        <f>INDEX(Table5[[#All],[Pick]],MATCH(Batters[[#This Row],[PID]],Table5[[#All],[PID]],0))</f>
        <v/>
      </c>
      <c r="BB349" s="47" t="str">
        <f>INDEX(Table5[[#All],[Team]],MATCH(Batters[[#This Row],[PID]],Table5[[#All],[PID]],0))</f>
        <v/>
      </c>
    </row>
    <row r="350" spans="1:54" ht="15" customHeight="1" x14ac:dyDescent="0.25">
      <c r="A350" s="42">
        <v>8030</v>
      </c>
      <c r="B350" s="42" t="s">
        <v>50</v>
      </c>
      <c r="C350" s="42" t="s">
        <v>135</v>
      </c>
      <c r="D350" s="42" t="s">
        <v>1217</v>
      </c>
      <c r="E350" s="42">
        <v>21</v>
      </c>
      <c r="F350" s="42" t="s">
        <v>42</v>
      </c>
      <c r="G350" s="42" t="s">
        <v>42</v>
      </c>
      <c r="H350" s="43" t="s">
        <v>721</v>
      </c>
      <c r="I350" s="44" t="s">
        <v>43</v>
      </c>
      <c r="J350" s="42" t="s">
        <v>43</v>
      </c>
      <c r="K350" s="43" t="s">
        <v>43</v>
      </c>
      <c r="L350" s="42">
        <v>1</v>
      </c>
      <c r="M350" s="42">
        <v>2</v>
      </c>
      <c r="N350" s="42">
        <v>2</v>
      </c>
      <c r="O350" s="42">
        <v>2</v>
      </c>
      <c r="P350" s="43">
        <v>1</v>
      </c>
      <c r="Q350" s="42">
        <v>3</v>
      </c>
      <c r="R350" s="42">
        <v>4</v>
      </c>
      <c r="S350" s="42">
        <v>4</v>
      </c>
      <c r="T350" s="42">
        <v>5</v>
      </c>
      <c r="U350" s="43">
        <v>2</v>
      </c>
      <c r="V350" s="42">
        <v>6</v>
      </c>
      <c r="W350" s="42">
        <v>7</v>
      </c>
      <c r="X350" s="42">
        <v>1</v>
      </c>
      <c r="Y350" s="43">
        <v>1</v>
      </c>
      <c r="Z350" s="42" t="s">
        <v>45</v>
      </c>
      <c r="AA350" s="42" t="s">
        <v>45</v>
      </c>
      <c r="AB350" s="42" t="s">
        <v>45</v>
      </c>
      <c r="AC350" s="42" t="s">
        <v>45</v>
      </c>
      <c r="AD350" s="42" t="s">
        <v>45</v>
      </c>
      <c r="AE350" s="42" t="s">
        <v>45</v>
      </c>
      <c r="AF350" s="42" t="s">
        <v>45</v>
      </c>
      <c r="AG350" s="43" t="s">
        <v>45</v>
      </c>
      <c r="AH350" s="42">
        <v>1</v>
      </c>
      <c r="AI350" s="42">
        <v>1</v>
      </c>
      <c r="AJ350" s="43">
        <v>1</v>
      </c>
      <c r="AK350" s="45" t="s">
        <v>45</v>
      </c>
      <c r="AL350" s="45" t="s">
        <v>705</v>
      </c>
      <c r="AM350" s="46">
        <f>($L$3*(L350-$Q$1)/$Q$2+$M$3*(M350-$R$1)/$R$2+$N$3*(N350-$S$1)/$S$2+$O$3*(O350-$T$1)/$T$2+$P$3*(P350-$U$1)/$U$2)/(SUM($L$3:$P$3))</f>
        <v>-1.8605124261753858</v>
      </c>
      <c r="AN350" s="46">
        <f>($L$3*(Q350-$Q$1)/$Q$2+$M$3*(R350-$R$1)/$R$2+$N$3*(S350-$S$1)/$S$2+$O$3*(T350-$T$1)/$T$2+$P$3*(U350-$U$1)/$U$2)/(SUM($L$3:$P$3))</f>
        <v>-0.6380130166389999</v>
      </c>
      <c r="AO350" s="47">
        <f>IF(AVERAGE(AH350:AI350)&gt;9,1,0)+IF(AVERAGE(AH350:AI350)&gt;7,1,0)+IF(AH350&gt;7,1,0)+IF(AI350&gt;7,1,0)+IF(AJ350&gt;8,1,0)+IF(AJ350&gt;6,1,0)</f>
        <v>0</v>
      </c>
      <c r="AP350" s="48">
        <f>MIN(2,IF(OR(Z350="-",X350&lt;5),0,1+IF(Y350&gt;7,0.35,IF(Y350&gt;5,0.1,0))+IF(Z350&gt;7,1+IF(X350&gt;7,0.25,0),IF(Z350&gt;4,0.5+IF(X350&gt;7,0.25,0),0+IF(X350&gt;7,0.25))))+IF(AA350="-",0,IF(AA350&gt;9,0.5,IF(AA350&gt;7,0.25,0)))+IF(AB350="-",0,IF(AB350&gt;7,1.1,IF(AB350&gt;4,0.6,0)))+IF(OR(AC350="-",V350&lt;5),0,IF(AC350&gt;7,1+IF(V350&gt;7,0.25,0),IF(AC350&gt;4,0.5+IF(V350&gt;7,0.25,0),0)))+IF(AD350="-",0,IF(AD350&gt;7,1.5,IF(AD350&gt;4,1,0)))+IF(AE350="-",0,IF(AE350&gt;9,0.5,IF(AE350&gt;7,0.25,0)))+IF(AF350="-",0,IF(AF350&gt;7,1.25,IF(AF350&gt;4,0.75,0)))+IF(OR(AG350="-",W350&lt;4),0,IF(AG350&gt;7,1+IF(W350&gt;7,0.15,0),IF(AG350&gt;4,0.5+IF(W350&gt;7,0.15,0),0))))</f>
        <v>0</v>
      </c>
      <c r="AQ350" s="46">
        <f>($AM$3*AM350+$AN$3*AN350+$AO$3*AO350+$AP$3*AP350)+$I$3*VLOOKUP(I350,COND!$A$2:$E$7,4,FALSE)+$J$3*VLOOKUP(J350,COND!$A$2:$C$7,2,FALSE)+$K$3*VLOOKUP(K350,COND!$A$2:$C$7,3,FALSE)+IF(AND($B$2&gt;0,$E350&lt;20),$B$2*25,0)</f>
        <v>37.157792557714458</v>
      </c>
      <c r="AR350" s="49">
        <f>STANDARDIZE(AQ350,AVERAGE($AQ$5:$AQ$537),STDEVP($AQ$5:$AQ$537))</f>
        <v>-0.56133931740871734</v>
      </c>
      <c r="AS350" s="47" t="str">
        <f>IF(AND(Z350&lt;&gt;"-",Y350&gt;1),"C",IF(AB350=MAX(AB350:AD350),"2B",IF(AD350=MAX(AB350:AD350),"SS",IF(OR(AC350=MAX(AA350:AD350),AND(AC350&lt;&gt;"-",AC350&gt;4,V350&gt;5)),"3B",IF(AF350=MAX(AE350:AG350),"CF",IF(AND(AG350=MAX(AE350,AG350),AND(W350&gt;5,AG350&lt;&gt;"-")),"RF",IF(AE350&lt;&gt;"-","LF",IF(AA350&lt;&gt;"-","1B","DH"))))))))</f>
        <v>DH</v>
      </c>
      <c r="AT350" s="47"/>
      <c r="AU350" s="47"/>
      <c r="AV350" s="47"/>
      <c r="AW350" s="47" t="str">
        <f>IF(AND($Q350&gt;=6,AVERAGE($S350:$T350)&gt;=6),"Likely",IF(OR($Q350&gt;6,AND($Q350=6,AVERAGE($S350:$T350)&gt;=3),AND($Q350&gt;=5,AVERAGE($S350:$T350)&gt;=5),AVERAGE($Q350,$S350:$T350)&gt;5),"Possible","Unlikely"))</f>
        <v>Unlikely</v>
      </c>
      <c r="AX350" s="47"/>
      <c r="AY350" s="47" t="str">
        <f>INDEX(Table5[[#All],[Ovr]],MATCH(Batters[[#This Row],[PID]],Table5[[#All],[PID]],0))</f>
        <v/>
      </c>
      <c r="AZ350" s="47" t="str">
        <f>INDEX(Table5[[#All],[Rnd]],MATCH(Batters[[#This Row],[PID]],Table5[[#All],[PID]],0))</f>
        <v/>
      </c>
      <c r="BA350" s="47" t="str">
        <f>INDEX(Table5[[#All],[Pick]],MATCH(Batters[[#This Row],[PID]],Table5[[#All],[PID]],0))</f>
        <v/>
      </c>
      <c r="BB350" s="47" t="str">
        <f>INDEX(Table5[[#All],[Team]],MATCH(Batters[[#This Row],[PID]],Table5[[#All],[PID]],0))</f>
        <v/>
      </c>
    </row>
    <row r="351" spans="1:54" ht="15" customHeight="1" x14ac:dyDescent="0.25">
      <c r="A351" s="42">
        <v>6386</v>
      </c>
      <c r="B351" s="42" t="s">
        <v>86</v>
      </c>
      <c r="C351" s="42" t="s">
        <v>785</v>
      </c>
      <c r="D351" s="42" t="s">
        <v>786</v>
      </c>
      <c r="E351" s="42">
        <v>22</v>
      </c>
      <c r="F351" s="42" t="s">
        <v>42</v>
      </c>
      <c r="G351" s="42" t="s">
        <v>42</v>
      </c>
      <c r="H351" s="43" t="s">
        <v>703</v>
      </c>
      <c r="I351" s="44" t="s">
        <v>43</v>
      </c>
      <c r="J351" s="42" t="s">
        <v>44</v>
      </c>
      <c r="K351" s="43" t="s">
        <v>43</v>
      </c>
      <c r="L351" s="42">
        <v>2</v>
      </c>
      <c r="M351" s="42">
        <v>2</v>
      </c>
      <c r="N351" s="42">
        <v>3</v>
      </c>
      <c r="O351" s="42">
        <v>4</v>
      </c>
      <c r="P351" s="43">
        <v>3</v>
      </c>
      <c r="Q351" s="42">
        <v>3</v>
      </c>
      <c r="R351" s="42">
        <v>3</v>
      </c>
      <c r="S351" s="42">
        <v>3</v>
      </c>
      <c r="T351" s="42">
        <v>5</v>
      </c>
      <c r="U351" s="43">
        <v>5</v>
      </c>
      <c r="V351" s="42">
        <v>1</v>
      </c>
      <c r="W351" s="42">
        <v>1</v>
      </c>
      <c r="X351" s="42">
        <v>7</v>
      </c>
      <c r="Y351" s="43">
        <v>7</v>
      </c>
      <c r="Z351" s="42">
        <v>3</v>
      </c>
      <c r="AA351" s="42" t="s">
        <v>45</v>
      </c>
      <c r="AB351" s="42" t="s">
        <v>45</v>
      </c>
      <c r="AC351" s="42" t="s">
        <v>45</v>
      </c>
      <c r="AD351" s="42" t="s">
        <v>45</v>
      </c>
      <c r="AE351" s="42" t="s">
        <v>45</v>
      </c>
      <c r="AF351" s="42" t="s">
        <v>45</v>
      </c>
      <c r="AG351" s="43" t="s">
        <v>45</v>
      </c>
      <c r="AH351" s="42">
        <v>1</v>
      </c>
      <c r="AI351" s="42">
        <v>3</v>
      </c>
      <c r="AJ351" s="43">
        <v>1</v>
      </c>
      <c r="AK351" s="45" t="s">
        <v>45</v>
      </c>
      <c r="AL351" s="45" t="s">
        <v>705</v>
      </c>
      <c r="AM351" s="46">
        <f>($L$3*(L351-$Q$1)/$Q$2+$M$3*(M351-$R$1)/$R$2+$N$3*(N351-$S$1)/$S$2+$O$3*(O351-$T$1)/$T$2+$P$3*(P351-$U$1)/$U$2)/(SUM($L$3:$P$3))</f>
        <v>-1.1954433162954807</v>
      </c>
      <c r="AN351" s="46">
        <f>($L$3*(Q351-$Q$1)/$Q$2+$M$3*(R351-$R$1)/$R$2+$N$3*(S351-$S$1)/$S$2+$O$3*(T351-$T$1)/$T$2+$P$3*(U351-$U$1)/$U$2)/(SUM($L$3:$P$3))</f>
        <v>-0.65208537083035456</v>
      </c>
      <c r="AO351" s="47">
        <f>IF(AVERAGE(AH351:AI351)&gt;9,1,0)+IF(AVERAGE(AH351:AI351)&gt;7,1,0)+IF(AH351&gt;7,1,0)+IF(AI351&gt;7,1,0)+IF(AJ351&gt;8,1,0)+IF(AJ351&gt;6,1,0)</f>
        <v>0</v>
      </c>
      <c r="AP351" s="48">
        <f>MIN(2,IF(OR(Z351="-",X351&lt;5),0,1+IF(Y351&gt;7,0.35,IF(Y351&gt;5,0.1,0))+IF(Z351&gt;7,1+IF(X351&gt;7,0.25,0),IF(Z351&gt;4,0.5+IF(X351&gt;7,0.25,0),0+IF(X351&gt;7,0.25))))+IF(AA351="-",0,IF(AA351&gt;9,0.5,IF(AA351&gt;7,0.25,0)))+IF(AB351="-",0,IF(AB351&gt;7,1.1,IF(AB351&gt;4,0.6,0)))+IF(OR(AC351="-",V351&lt;5),0,IF(AC351&gt;7,1+IF(V351&gt;7,0.25,0),IF(AC351&gt;4,0.5+IF(V351&gt;7,0.25,0),0)))+IF(AD351="-",0,IF(AD351&gt;7,1.5,IF(AD351&gt;4,1,0)))+IF(AE351="-",0,IF(AE351&gt;9,0.5,IF(AE351&gt;7,0.25,0)))+IF(AF351="-",0,IF(AF351&gt;7,1.25,IF(AF351&gt;4,0.75,0)))+IF(OR(AG351="-",W351&lt;4),0,IF(AG351&gt;7,1+IF(W351&gt;7,0.15,0),IF(AG351&gt;4,0.5+IF(W351&gt;7,0.15,0),0))))</f>
        <v>1.1000000000000001</v>
      </c>
      <c r="AQ351" s="46">
        <f>($AM$3*AM351+$AN$3*AN351+$AO$3*AO351+$AP$3*AP351)+$I$3*VLOOKUP(I351,COND!$A$2:$E$7,4,FALSE)+$J$3*VLOOKUP(J351,COND!$A$2:$C$7,2,FALSE)+$K$3*VLOOKUP(K351,COND!$A$2:$C$7,3,FALSE)+IF(AND($B$2&gt;0,$E351&lt;20),$B$2*25,0)</f>
        <v>37.855431218406196</v>
      </c>
      <c r="AR351" s="49">
        <f>STANDARDIZE(AQ351,AVERAGE($AQ$5:$AQ$537),STDEVP($AQ$5:$AQ$537))</f>
        <v>-0.43859443177819302</v>
      </c>
      <c r="AS351" s="47" t="str">
        <f>IF(AND(Z351&lt;&gt;"-",Y351&gt;1),"C",IF(AB351=MAX(AB351:AD351),"2B",IF(AD351=MAX(AB351:AD351),"SS",IF(OR(AC351=MAX(AA351:AD351),AND(AC351&lt;&gt;"-",AC351&gt;4,V351&gt;5)),"3B",IF(AF351=MAX(AE351:AG351),"CF",IF(AND(AG351=MAX(AE351,AG351),AND(W351&gt;5,AG351&lt;&gt;"-")),"RF",IF(AE351&lt;&gt;"-","LF",IF(AA351&lt;&gt;"-","1B","DH"))))))))</f>
        <v>C</v>
      </c>
      <c r="AT351" s="47"/>
      <c r="AU351" s="47"/>
      <c r="AV351" s="47"/>
      <c r="AW351" s="47" t="str">
        <f>IF(AND($Q351&gt;=6,AVERAGE($S351:$T351)&gt;=6),"Likely",IF(OR($Q351&gt;6,AND($Q351=6,AVERAGE($S351:$T351)&gt;=3),AND($Q351&gt;=5,AVERAGE($S351:$T351)&gt;=5),AVERAGE($Q351,$S351:$T351)&gt;5),"Possible","Unlikely"))</f>
        <v>Unlikely</v>
      </c>
      <c r="AX351" s="47"/>
      <c r="AY351" s="47" t="str">
        <f>INDEX(Table5[[#All],[Ovr]],MATCH(Batters[[#This Row],[PID]],Table5[[#All],[PID]],0))</f>
        <v/>
      </c>
      <c r="AZ351" s="47" t="str">
        <f>INDEX(Table5[[#All],[Rnd]],MATCH(Batters[[#This Row],[PID]],Table5[[#All],[PID]],0))</f>
        <v/>
      </c>
      <c r="BA351" s="47" t="str">
        <f>INDEX(Table5[[#All],[Pick]],MATCH(Batters[[#This Row],[PID]],Table5[[#All],[PID]],0))</f>
        <v/>
      </c>
      <c r="BB351" s="47" t="str">
        <f>INDEX(Table5[[#All],[Team]],MATCH(Batters[[#This Row],[PID]],Table5[[#All],[PID]],0))</f>
        <v/>
      </c>
    </row>
    <row r="352" spans="1:54" ht="15" customHeight="1" x14ac:dyDescent="0.25">
      <c r="A352" s="42">
        <v>12634</v>
      </c>
      <c r="B352" s="42" t="s">
        <v>87</v>
      </c>
      <c r="C352" s="42" t="s">
        <v>1087</v>
      </c>
      <c r="D352" s="42" t="s">
        <v>439</v>
      </c>
      <c r="E352" s="42">
        <v>21</v>
      </c>
      <c r="F352" s="42" t="s">
        <v>42</v>
      </c>
      <c r="G352" s="42" t="s">
        <v>42</v>
      </c>
      <c r="H352" s="43" t="s">
        <v>711</v>
      </c>
      <c r="I352" s="44" t="s">
        <v>43</v>
      </c>
      <c r="J352" s="42" t="s">
        <v>43</v>
      </c>
      <c r="K352" s="43" t="s">
        <v>43</v>
      </c>
      <c r="L352" s="42">
        <v>2</v>
      </c>
      <c r="M352" s="42">
        <v>3</v>
      </c>
      <c r="N352" s="42">
        <v>3</v>
      </c>
      <c r="O352" s="42">
        <v>2</v>
      </c>
      <c r="P352" s="43">
        <v>1</v>
      </c>
      <c r="Q352" s="42">
        <v>3</v>
      </c>
      <c r="R352" s="42">
        <v>5</v>
      </c>
      <c r="S352" s="42">
        <v>5</v>
      </c>
      <c r="T352" s="42">
        <v>3</v>
      </c>
      <c r="U352" s="43">
        <v>3</v>
      </c>
      <c r="V352" s="42">
        <v>4</v>
      </c>
      <c r="W352" s="42">
        <v>1</v>
      </c>
      <c r="X352" s="42">
        <v>1</v>
      </c>
      <c r="Y352" s="43">
        <v>1</v>
      </c>
      <c r="Z352" s="42" t="s">
        <v>45</v>
      </c>
      <c r="AA352" s="42">
        <v>6</v>
      </c>
      <c r="AB352" s="42" t="s">
        <v>45</v>
      </c>
      <c r="AC352" s="42" t="s">
        <v>45</v>
      </c>
      <c r="AD352" s="42" t="s">
        <v>45</v>
      </c>
      <c r="AE352" s="42" t="s">
        <v>45</v>
      </c>
      <c r="AF352" s="42" t="s">
        <v>45</v>
      </c>
      <c r="AG352" s="43" t="s">
        <v>45</v>
      </c>
      <c r="AH352" s="42">
        <v>3</v>
      </c>
      <c r="AI352" s="42">
        <v>1</v>
      </c>
      <c r="AJ352" s="43">
        <v>1</v>
      </c>
      <c r="AK352" s="45" t="s">
        <v>45</v>
      </c>
      <c r="AL352" s="45" t="s">
        <v>47</v>
      </c>
      <c r="AM352" s="46">
        <f>($L$3*(L352-$Q$1)/$Q$2+$M$3*(M352-$R$1)/$R$2+$N$3*(N352-$S$1)/$S$2+$O$3*(O352-$T$1)/$T$2+$P$3*(P352-$U$1)/$U$2)/(SUM($L$3:$P$3))</f>
        <v>-1.4038352163301062</v>
      </c>
      <c r="AN352" s="46">
        <f>($L$3*(Q352-$Q$1)/$Q$2+$M$3*(R352-$R$1)/$R$2+$N$3*(S352-$S$1)/$S$2+$O$3*(T352-$T$1)/$T$2+$P$3*(U352-$U$1)/$U$2)/(SUM($L$3:$P$3))</f>
        <v>-0.64329440319847364</v>
      </c>
      <c r="AO352" s="47">
        <f>IF(AVERAGE(AH352:AI352)&gt;9,1,0)+IF(AVERAGE(AH352:AI352)&gt;7,1,0)+IF(AH352&gt;7,1,0)+IF(AI352&gt;7,1,0)+IF(AJ352&gt;8,1,0)+IF(AJ352&gt;6,1,0)</f>
        <v>0</v>
      </c>
      <c r="AP352" s="48">
        <f>MIN(2,IF(OR(Z352="-",X352&lt;5),0,1+IF(Y352&gt;7,0.35,IF(Y352&gt;5,0.1,0))+IF(Z352&gt;7,1+IF(X352&gt;7,0.25,0),IF(Z352&gt;4,0.5+IF(X352&gt;7,0.25,0),0+IF(X352&gt;7,0.25))))+IF(AA352="-",0,IF(AA352&gt;9,0.5,IF(AA352&gt;7,0.25,0)))+IF(AB352="-",0,IF(AB352&gt;7,1.1,IF(AB352&gt;4,0.6,0)))+IF(OR(AC352="-",V352&lt;5),0,IF(AC352&gt;7,1+IF(V352&gt;7,0.25,0),IF(AC352&gt;4,0.5+IF(V352&gt;7,0.25,0),0)))+IF(AD352="-",0,IF(AD352&gt;7,1.5,IF(AD352&gt;4,1,0)))+IF(AE352="-",0,IF(AE352&gt;9,0.5,IF(AE352&gt;7,0.25,0)))+IF(AF352="-",0,IF(AF352&gt;7,1.25,IF(AF352&gt;4,0.75,0)))+IF(OR(AG352="-",W352&lt;4),0,IF(AG352&gt;7,1+IF(W352&gt;7,0.15,0),IF(AG352&gt;4,0.5+IF(W352&gt;7,0.15,0),0))))</f>
        <v>0</v>
      </c>
      <c r="AQ352" s="46">
        <f>($AM$3*AM352+$AN$3*AN352+$AO$3*AO352+$AP$3*AP352)+$I$3*VLOOKUP(I352,COND!$A$2:$E$7,4,FALSE)+$J$3*VLOOKUP(J352,COND!$A$2:$C$7,2,FALSE)+$K$3*VLOOKUP(K352,COND!$A$2:$C$7,3,FALSE)+IF(AND($B$2&gt;0,$E352&lt;20),$B$2*25,0)</f>
        <v>37.140083639985306</v>
      </c>
      <c r="AR352" s="49">
        <f>STANDARDIZE(AQ352,AVERAGE($AQ$5:$AQ$537),STDEVP($AQ$5:$AQ$537))</f>
        <v>-0.56445508378432196</v>
      </c>
      <c r="AS352" s="47" t="str">
        <f>IF(AND(Z352&lt;&gt;"-",Y352&gt;1),"C",IF(AB352=MAX(AB352:AD352),"2B",IF(AD352=MAX(AB352:AD352),"SS",IF(OR(AC352=MAX(AA352:AD352),AND(AC352&lt;&gt;"-",AC352&gt;4,V352&gt;5)),"3B",IF(AF352=MAX(AE352:AG352),"CF",IF(AND(AG352=MAX(AE352,AG352),AND(W352&gt;5,AG352&lt;&gt;"-")),"RF",IF(AE352&lt;&gt;"-","LF",IF(AA352&lt;&gt;"-","1B","DH"))))))))</f>
        <v>1B</v>
      </c>
      <c r="AT352" s="47"/>
      <c r="AU352" s="47"/>
      <c r="AV352" s="47"/>
      <c r="AW352" s="47" t="str">
        <f>IF(AND($Q352&gt;=6,AVERAGE($S352:$T352)&gt;=6),"Likely",IF(OR($Q352&gt;6,AND($Q352=6,AVERAGE($S352:$T352)&gt;=3),AND($Q352&gt;=5,AVERAGE($S352:$T352)&gt;=5),AVERAGE($Q352,$S352:$T352)&gt;5),"Possible","Unlikely"))</f>
        <v>Unlikely</v>
      </c>
      <c r="AX352" s="47"/>
      <c r="AY352" s="47" t="str">
        <f>INDEX(Table5[[#All],[Ovr]],MATCH(Batters[[#This Row],[PID]],Table5[[#All],[PID]],0))</f>
        <v/>
      </c>
      <c r="AZ352" s="47" t="str">
        <f>INDEX(Table5[[#All],[Rnd]],MATCH(Batters[[#This Row],[PID]],Table5[[#All],[PID]],0))</f>
        <v/>
      </c>
      <c r="BA352" s="47" t="str">
        <f>INDEX(Table5[[#All],[Pick]],MATCH(Batters[[#This Row],[PID]],Table5[[#All],[PID]],0))</f>
        <v/>
      </c>
      <c r="BB352" s="47" t="str">
        <f>INDEX(Table5[[#All],[Team]],MATCH(Batters[[#This Row],[PID]],Table5[[#All],[PID]],0))</f>
        <v/>
      </c>
    </row>
    <row r="353" spans="1:54" ht="15" customHeight="1" x14ac:dyDescent="0.25">
      <c r="A353" s="42">
        <v>17782</v>
      </c>
      <c r="B353" s="42" t="s">
        <v>87</v>
      </c>
      <c r="C353" s="42" t="s">
        <v>948</v>
      </c>
      <c r="D353" s="42" t="s">
        <v>792</v>
      </c>
      <c r="E353" s="42">
        <v>21</v>
      </c>
      <c r="F353" s="42" t="s">
        <v>42</v>
      </c>
      <c r="G353" s="42" t="s">
        <v>42</v>
      </c>
      <c r="H353" s="43" t="s">
        <v>709</v>
      </c>
      <c r="I353" s="44" t="s">
        <v>43</v>
      </c>
      <c r="J353" s="42" t="s">
        <v>43</v>
      </c>
      <c r="K353" s="43" t="s">
        <v>43</v>
      </c>
      <c r="L353" s="42">
        <v>2</v>
      </c>
      <c r="M353" s="42">
        <v>2</v>
      </c>
      <c r="N353" s="42">
        <v>2</v>
      </c>
      <c r="O353" s="42">
        <v>3</v>
      </c>
      <c r="P353" s="43">
        <v>1</v>
      </c>
      <c r="Q353" s="42">
        <v>3</v>
      </c>
      <c r="R353" s="42">
        <v>3</v>
      </c>
      <c r="S353" s="42">
        <v>4</v>
      </c>
      <c r="T353" s="42">
        <v>5</v>
      </c>
      <c r="U353" s="43">
        <v>3</v>
      </c>
      <c r="V353" s="42">
        <v>3</v>
      </c>
      <c r="W353" s="42">
        <v>4</v>
      </c>
      <c r="X353" s="42">
        <v>1</v>
      </c>
      <c r="Y353" s="43">
        <v>1</v>
      </c>
      <c r="Z353" s="42" t="s">
        <v>45</v>
      </c>
      <c r="AA353" s="42">
        <v>3</v>
      </c>
      <c r="AB353" s="42" t="s">
        <v>45</v>
      </c>
      <c r="AC353" s="42" t="s">
        <v>45</v>
      </c>
      <c r="AD353" s="42" t="s">
        <v>45</v>
      </c>
      <c r="AE353" s="42" t="s">
        <v>45</v>
      </c>
      <c r="AF353" s="42" t="s">
        <v>45</v>
      </c>
      <c r="AG353" s="43" t="s">
        <v>45</v>
      </c>
      <c r="AH353" s="42">
        <v>2</v>
      </c>
      <c r="AI353" s="42">
        <v>1</v>
      </c>
      <c r="AJ353" s="43">
        <v>2</v>
      </c>
      <c r="AK353" s="45" t="s">
        <v>45</v>
      </c>
      <c r="AL353" s="45" t="s">
        <v>705</v>
      </c>
      <c r="AM353" s="46">
        <f>($L$3*(L353-$Q$1)/$Q$2+$M$3*(M353-$R$1)/$R$2+$N$3*(N353-$S$1)/$S$2+$O$3*(O353-$T$1)/$T$2+$P$3*(P353-$U$1)/$U$2)/(SUM($L$3:$P$3))</f>
        <v>-1.4482470399631302</v>
      </c>
      <c r="AN353" s="46">
        <f>($L$3*(Q353-$Q$1)/$Q$2+$M$3*(R353-$R$1)/$R$2+$N$3*(S353-$S$1)/$S$2+$O$3*(T353-$T$1)/$T$2+$P$3*(U353-$U$1)/$U$2)/(SUM($L$3:$P$3))</f>
        <v>-0.64905655644061999</v>
      </c>
      <c r="AO353" s="47">
        <f>IF(AVERAGE(AH353:AI353)&gt;9,1,0)+IF(AVERAGE(AH353:AI353)&gt;7,1,0)+IF(AH353&gt;7,1,0)+IF(AI353&gt;7,1,0)+IF(AJ353&gt;8,1,0)+IF(AJ353&gt;6,1,0)</f>
        <v>0</v>
      </c>
      <c r="AP353" s="48">
        <f>MIN(2,IF(OR(Z353="-",X353&lt;5),0,1+IF(Y353&gt;7,0.35,IF(Y353&gt;5,0.1,0))+IF(Z353&gt;7,1+IF(X353&gt;7,0.25,0),IF(Z353&gt;4,0.5+IF(X353&gt;7,0.25,0),0+IF(X353&gt;7,0.25))))+IF(AA353="-",0,IF(AA353&gt;9,0.5,IF(AA353&gt;7,0.25,0)))+IF(AB353="-",0,IF(AB353&gt;7,1.1,IF(AB353&gt;4,0.6,0)))+IF(OR(AC353="-",V353&lt;5),0,IF(AC353&gt;7,1+IF(V353&gt;7,0.25,0),IF(AC353&gt;4,0.5+IF(V353&gt;7,0.25,0),0)))+IF(AD353="-",0,IF(AD353&gt;7,1.5,IF(AD353&gt;4,1,0)))+IF(AE353="-",0,IF(AE353&gt;9,0.5,IF(AE353&gt;7,0.25,0)))+IF(AF353="-",0,IF(AF353&gt;7,1.25,IF(AF353&gt;4,0.75,0)))+IF(OR(AG353="-",W353&lt;4),0,IF(AG353&gt;7,1+IF(W353&gt;7,0.15,0),IF(AG353&gt;4,0.5+IF(W353&gt;7,0.15,0),0))))</f>
        <v>0</v>
      </c>
      <c r="AQ353" s="46">
        <f>($AM$3*AM353+$AN$3*AN353+$AO$3*AO353+$AP$3*AP353)+$I$3*VLOOKUP(I353,COND!$A$2:$E$7,4,FALSE)+$J$3*VLOOKUP(J353,COND!$A$2:$C$7,2,FALSE)+$K$3*VLOOKUP(K353,COND!$A$2:$C$7,3,FALSE)+IF(AND($B$2&gt;0,$E353&lt;20),$B$2*25,0)</f>
        <v>37.066496618716243</v>
      </c>
      <c r="AR353" s="49">
        <f>STANDARDIZE(AQ353,AVERAGE($AQ$5:$AQ$537),STDEVP($AQ$5:$AQ$537))</f>
        <v>-0.57740223109494548</v>
      </c>
      <c r="AS353" s="47" t="str">
        <f>IF(AND(Z353&lt;&gt;"-",Y353&gt;1),"C",IF(AB353=MAX(AB353:AD353),"2B",IF(AD353=MAX(AB353:AD353),"SS",IF(OR(AC353=MAX(AA353:AD353),AND(AC353&lt;&gt;"-",AC353&gt;4,V353&gt;5)),"3B",IF(AF353=MAX(AE353:AG353),"CF",IF(AND(AG353=MAX(AE353,AG353),AND(W353&gt;5,AG353&lt;&gt;"-")),"RF",IF(AE353&lt;&gt;"-","LF",IF(AA353&lt;&gt;"-","1B","DH"))))))))</f>
        <v>1B</v>
      </c>
      <c r="AT353" s="47"/>
      <c r="AU353" s="47"/>
      <c r="AV353" s="47"/>
      <c r="AW353" s="47" t="str">
        <f>IF(AND($Q353&gt;=6,AVERAGE($S353:$T353)&gt;=6),"Likely",IF(OR($Q353&gt;6,AND($Q353=6,AVERAGE($S353:$T353)&gt;=3),AND($Q353&gt;=5,AVERAGE($S353:$T353)&gt;=5),AVERAGE($Q353,$S353:$T353)&gt;5),"Possible","Unlikely"))</f>
        <v>Unlikely</v>
      </c>
      <c r="AX353" s="47"/>
      <c r="AY353" s="47" t="str">
        <f>INDEX(Table5[[#All],[Ovr]],MATCH(Batters[[#This Row],[PID]],Table5[[#All],[PID]],0))</f>
        <v/>
      </c>
      <c r="AZ353" s="47" t="str">
        <f>INDEX(Table5[[#All],[Rnd]],MATCH(Batters[[#This Row],[PID]],Table5[[#All],[PID]],0))</f>
        <v/>
      </c>
      <c r="BA353" s="47" t="str">
        <f>INDEX(Table5[[#All],[Pick]],MATCH(Batters[[#This Row],[PID]],Table5[[#All],[PID]],0))</f>
        <v/>
      </c>
      <c r="BB353" s="47" t="str">
        <f>INDEX(Table5[[#All],[Team]],MATCH(Batters[[#This Row],[PID]],Table5[[#All],[PID]],0))</f>
        <v/>
      </c>
    </row>
    <row r="354" spans="1:54" ht="15" customHeight="1" x14ac:dyDescent="0.25">
      <c r="A354" s="42">
        <v>12594</v>
      </c>
      <c r="B354" s="42" t="s">
        <v>86</v>
      </c>
      <c r="C354" s="42" t="s">
        <v>349</v>
      </c>
      <c r="D354" s="42" t="s">
        <v>1150</v>
      </c>
      <c r="E354" s="42">
        <v>20</v>
      </c>
      <c r="F354" s="42" t="s">
        <v>42</v>
      </c>
      <c r="G354" s="42" t="s">
        <v>42</v>
      </c>
      <c r="H354" s="43" t="s">
        <v>709</v>
      </c>
      <c r="I354" s="44" t="s">
        <v>43</v>
      </c>
      <c r="J354" s="42" t="s">
        <v>47</v>
      </c>
      <c r="K354" s="43" t="s">
        <v>43</v>
      </c>
      <c r="L354" s="42">
        <v>1</v>
      </c>
      <c r="M354" s="42">
        <v>2</v>
      </c>
      <c r="N354" s="42">
        <v>2</v>
      </c>
      <c r="O354" s="42">
        <v>2</v>
      </c>
      <c r="P354" s="43">
        <v>1</v>
      </c>
      <c r="Q354" s="42">
        <v>3</v>
      </c>
      <c r="R354" s="42">
        <v>3</v>
      </c>
      <c r="S354" s="42">
        <v>3</v>
      </c>
      <c r="T354" s="42">
        <v>5</v>
      </c>
      <c r="U354" s="43">
        <v>3</v>
      </c>
      <c r="V354" s="42">
        <v>2</v>
      </c>
      <c r="W354" s="42">
        <v>3</v>
      </c>
      <c r="X354" s="42">
        <v>5</v>
      </c>
      <c r="Y354" s="43">
        <v>8</v>
      </c>
      <c r="Z354" s="42" t="s">
        <v>45</v>
      </c>
      <c r="AA354" s="42" t="s">
        <v>45</v>
      </c>
      <c r="AB354" s="42" t="s">
        <v>45</v>
      </c>
      <c r="AC354" s="42" t="s">
        <v>45</v>
      </c>
      <c r="AD354" s="42" t="s">
        <v>45</v>
      </c>
      <c r="AE354" s="42" t="s">
        <v>45</v>
      </c>
      <c r="AF354" s="42" t="s">
        <v>45</v>
      </c>
      <c r="AG354" s="43" t="s">
        <v>45</v>
      </c>
      <c r="AH354" s="42">
        <v>1</v>
      </c>
      <c r="AI354" s="42">
        <v>3</v>
      </c>
      <c r="AJ354" s="43">
        <v>1</v>
      </c>
      <c r="AK354" s="45" t="s">
        <v>45</v>
      </c>
      <c r="AL354" s="45" t="s">
        <v>705</v>
      </c>
      <c r="AM354" s="46">
        <f>($L$3*(L354-$Q$1)/$Q$2+$M$3*(M354-$R$1)/$R$2+$N$3*(N354-$S$1)/$S$2+$O$3*(O354-$T$1)/$T$2+$P$3*(P354-$U$1)/$U$2)/(SUM($L$3:$P$3))</f>
        <v>-1.8605124261753858</v>
      </c>
      <c r="AN354" s="46">
        <f>($L$3*(Q354-$Q$1)/$Q$2+$M$3*(R354-$R$1)/$R$2+$N$3*(S354-$S$1)/$S$2+$O$3*(T354-$T$1)/$T$2+$P$3*(U354-$U$1)/$U$2)/(SUM($L$3:$P$3))</f>
        <v>-0.73211805046452161</v>
      </c>
      <c r="AO354" s="47">
        <f>IF(AVERAGE(AH354:AI354)&gt;9,1,0)+IF(AVERAGE(AH354:AI354)&gt;7,1,0)+IF(AH354&gt;7,1,0)+IF(AI354&gt;7,1,0)+IF(AJ354&gt;8,1,0)+IF(AJ354&gt;6,1,0)</f>
        <v>0</v>
      </c>
      <c r="AP354" s="48">
        <f>MIN(2,IF(OR(Z354="-",X354&lt;5),0,1+IF(Y354&gt;7,0.35,IF(Y354&gt;5,0.1,0))+IF(Z354&gt;7,1+IF(X354&gt;7,0.25,0),IF(Z354&gt;4,0.5+IF(X354&gt;7,0.25,0),0+IF(X354&gt;7,0.25))))+IF(AA354="-",0,IF(AA354&gt;9,0.5,IF(AA354&gt;7,0.25,0)))+IF(AB354="-",0,IF(AB354&gt;7,1.1,IF(AB354&gt;4,0.6,0)))+IF(OR(AC354="-",V354&lt;5),0,IF(AC354&gt;7,1+IF(V354&gt;7,0.25,0),IF(AC354&gt;4,0.5+IF(V354&gt;7,0.25,0),0)))+IF(AD354="-",0,IF(AD354&gt;7,1.5,IF(AD354&gt;4,1,0)))+IF(AE354="-",0,IF(AE354&gt;9,0.5,IF(AE354&gt;7,0.25,0)))+IF(AF354="-",0,IF(AF354&gt;7,1.25,IF(AF354&gt;4,0.75,0)))+IF(OR(AG354="-",W354&lt;4),0,IF(AG354&gt;7,1+IF(W354&gt;7,0.15,0),IF(AG354&gt;4,0.5+IF(W354&gt;7,0.15,0),0))))</f>
        <v>0</v>
      </c>
      <c r="AQ354" s="46">
        <f>($AM$3*AM354+$AN$3*AN354+$AO$3*AO354+$AP$3*AP354)+$I$3*VLOOKUP(I354,COND!$A$2:$E$7,4,FALSE)+$J$3*VLOOKUP(J354,COND!$A$2:$C$7,2,FALSE)+$K$3*VLOOKUP(K354,COND!$A$2:$C$7,3,FALSE)+IF(AND($B$2&gt;0,$E354&lt;20),$B$2*25,0)</f>
        <v>36.328532151808204</v>
      </c>
      <c r="AR354" s="49">
        <f>STANDARDIZE(AQ354,AVERAGE($AQ$5:$AQ$537),STDEVP($AQ$5:$AQ$537))</f>
        <v>-0.70724217431168612</v>
      </c>
      <c r="AS354" s="47" t="str">
        <f>IF(AND(Z354&lt;&gt;"-",Y354&gt;1),"C",IF(AB354=MAX(AB354:AD354),"2B",IF(AD354=MAX(AB354:AD354),"SS",IF(OR(AC354=MAX(AA354:AD354),AND(AC354&lt;&gt;"-",AC354&gt;4,V354&gt;5)),"3B",IF(AF354=MAX(AE354:AG354),"CF",IF(AND(AG354=MAX(AE354,AG354),AND(W354&gt;5,AG354&lt;&gt;"-")),"RF",IF(AE354&lt;&gt;"-","LF",IF(AA354&lt;&gt;"-","1B","DH"))))))))</f>
        <v>DH</v>
      </c>
      <c r="AT354" s="47"/>
      <c r="AU354" s="47"/>
      <c r="AV354" s="47"/>
      <c r="AW354" s="47" t="str">
        <f>IF(AND($Q354&gt;=6,AVERAGE($S354:$T354)&gt;=6),"Likely",IF(OR($Q354&gt;6,AND($Q354=6,AVERAGE($S354:$T354)&gt;=3),AND($Q354&gt;=5,AVERAGE($S354:$T354)&gt;=5),AVERAGE($Q354,$S354:$T354)&gt;5),"Possible","Unlikely"))</f>
        <v>Unlikely</v>
      </c>
      <c r="AX354" s="47"/>
      <c r="AY354" s="47" t="str">
        <f>INDEX(Table5[[#All],[Ovr]],MATCH(Batters[[#This Row],[PID]],Table5[[#All],[PID]],0))</f>
        <v/>
      </c>
      <c r="AZ354" s="47" t="str">
        <f>INDEX(Table5[[#All],[Rnd]],MATCH(Batters[[#This Row],[PID]],Table5[[#All],[PID]],0))</f>
        <v/>
      </c>
      <c r="BA354" s="47" t="str">
        <f>INDEX(Table5[[#All],[Pick]],MATCH(Batters[[#This Row],[PID]],Table5[[#All],[PID]],0))</f>
        <v/>
      </c>
      <c r="BB354" s="47" t="str">
        <f>INDEX(Table5[[#All],[Team]],MATCH(Batters[[#This Row],[PID]],Table5[[#All],[PID]],0))</f>
        <v/>
      </c>
    </row>
    <row r="355" spans="1:54" ht="15" customHeight="1" x14ac:dyDescent="0.25">
      <c r="A355" s="42">
        <v>7189</v>
      </c>
      <c r="B355" s="42" t="s">
        <v>86</v>
      </c>
      <c r="C355" s="42" t="s">
        <v>456</v>
      </c>
      <c r="D355" s="42" t="s">
        <v>582</v>
      </c>
      <c r="E355" s="42">
        <v>22</v>
      </c>
      <c r="F355" s="42" t="s">
        <v>42</v>
      </c>
      <c r="G355" s="42" t="s">
        <v>42</v>
      </c>
      <c r="H355" s="43" t="s">
        <v>709</v>
      </c>
      <c r="I355" s="44" t="s">
        <v>43</v>
      </c>
      <c r="J355" s="42" t="s">
        <v>43</v>
      </c>
      <c r="K355" s="43" t="s">
        <v>43</v>
      </c>
      <c r="L355" s="42">
        <v>2</v>
      </c>
      <c r="M355" s="42">
        <v>2</v>
      </c>
      <c r="N355" s="42">
        <v>3</v>
      </c>
      <c r="O355" s="42">
        <v>4</v>
      </c>
      <c r="P355" s="43">
        <v>2</v>
      </c>
      <c r="Q355" s="42">
        <v>3</v>
      </c>
      <c r="R355" s="42">
        <v>2</v>
      </c>
      <c r="S355" s="42">
        <v>4</v>
      </c>
      <c r="T355" s="42">
        <v>5</v>
      </c>
      <c r="U355" s="43">
        <v>4</v>
      </c>
      <c r="V355" s="42">
        <v>3</v>
      </c>
      <c r="W355" s="42">
        <v>4</v>
      </c>
      <c r="X355" s="42">
        <v>5</v>
      </c>
      <c r="Y355" s="43">
        <v>4</v>
      </c>
      <c r="Z355" s="42" t="s">
        <v>45</v>
      </c>
      <c r="AA355" s="42" t="s">
        <v>45</v>
      </c>
      <c r="AB355" s="42" t="s">
        <v>45</v>
      </c>
      <c r="AC355" s="42" t="s">
        <v>45</v>
      </c>
      <c r="AD355" s="42" t="s">
        <v>45</v>
      </c>
      <c r="AE355" s="42" t="s">
        <v>45</v>
      </c>
      <c r="AF355" s="42" t="s">
        <v>45</v>
      </c>
      <c r="AG355" s="43" t="s">
        <v>45</v>
      </c>
      <c r="AH355" s="42">
        <v>1</v>
      </c>
      <c r="AI355" s="42">
        <v>1</v>
      </c>
      <c r="AJ355" s="43">
        <v>1</v>
      </c>
      <c r="AK355" s="45" t="s">
        <v>45</v>
      </c>
      <c r="AL355" s="45" t="s">
        <v>705</v>
      </c>
      <c r="AM355" s="46">
        <f>($L$3*(L355-$Q$1)/$Q$2+$M$3*(M355-$R$1)/$R$2+$N$3*(N355-$S$1)/$S$2+$O$3*(O355-$T$1)/$T$2+$P$3*(P355-$U$1)/$U$2)/(SUM($L$3:$P$3))</f>
        <v>-1.2354596561125644</v>
      </c>
      <c r="AN355" s="46">
        <f>($L$3*(Q355-$Q$1)/$Q$2+$M$3*(R355-$R$1)/$R$2+$N$3*(S355-$S$1)/$S$2+$O$3*(T355-$T$1)/$T$2+$P$3*(U355-$U$1)/$U$2)/(SUM($L$3:$P$3))</f>
        <v>-0.66010009624224009</v>
      </c>
      <c r="AO355" s="47">
        <f>IF(AVERAGE(AH355:AI355)&gt;9,1,0)+IF(AVERAGE(AH355:AI355)&gt;7,1,0)+IF(AH355&gt;7,1,0)+IF(AI355&gt;7,1,0)+IF(AJ355&gt;8,1,0)+IF(AJ355&gt;6,1,0)</f>
        <v>0</v>
      </c>
      <c r="AP355" s="48">
        <f>MIN(2,IF(OR(Z355="-",X355&lt;5),0,1+IF(Y355&gt;7,0.35,IF(Y355&gt;5,0.1,0))+IF(Z355&gt;7,1+IF(X355&gt;7,0.25,0),IF(Z355&gt;4,0.5+IF(X355&gt;7,0.25,0),0+IF(X355&gt;7,0.25))))+IF(AA355="-",0,IF(AA355&gt;9,0.5,IF(AA355&gt;7,0.25,0)))+IF(AB355="-",0,IF(AB355&gt;7,1.1,IF(AB355&gt;4,0.6,0)))+IF(OR(AC355="-",V355&lt;5),0,IF(AC355&gt;7,1+IF(V355&gt;7,0.25,0),IF(AC355&gt;4,0.5+IF(V355&gt;7,0.25,0),0)))+IF(AD355="-",0,IF(AD355&gt;7,1.5,IF(AD355&gt;4,1,0)))+IF(AE355="-",0,IF(AE355&gt;9,0.5,IF(AE355&gt;7,0.25,0)))+IF(AF355="-",0,IF(AF355&gt;7,1.25,IF(AF355&gt;4,0.75,0)))+IF(OR(AG355="-",W355&lt;4),0,IF(AG355&gt;7,1+IF(W355&gt;7,0.15,0),IF(AG355&gt;4,0.5+IF(W355&gt;7,0.15,0),0))))</f>
        <v>0</v>
      </c>
      <c r="AQ355" s="46">
        <f>($AM$3*AM355+$AN$3*AN355+$AO$3*AO355+$AP$3*AP355)+$I$3*VLOOKUP(I355,COND!$A$2:$E$7,4,FALSE)+$J$3*VLOOKUP(J355,COND!$A$2:$C$7,2,FALSE)+$K$3*VLOOKUP(K355,COND!$A$2:$C$7,3,FALSE)+IF(AND($B$2&gt;0,$E355&lt;20),$B$2*25,0)</f>
        <v>36.955252879481861</v>
      </c>
      <c r="AR355" s="49">
        <f>STANDARDIZE(AQ355,AVERAGE($AQ$5:$AQ$537),STDEVP($AQ$5:$AQ$537))</f>
        <v>-0.59697482765359522</v>
      </c>
      <c r="AS355" s="47" t="str">
        <f>IF(AND(Z355&lt;&gt;"-",Y355&gt;1),"C",IF(AB355=MAX(AB355:AD355),"2B",IF(AD355=MAX(AB355:AD355),"SS",IF(OR(AC355=MAX(AA355:AD355),AND(AC355&lt;&gt;"-",AC355&gt;4,V355&gt;5)),"3B",IF(AF355=MAX(AE355:AG355),"CF",IF(AND(AG355=MAX(AE355,AG355),AND(W355&gt;5,AG355&lt;&gt;"-")),"RF",IF(AE355&lt;&gt;"-","LF",IF(AA355&lt;&gt;"-","1B","DH"))))))))</f>
        <v>DH</v>
      </c>
      <c r="AT355" s="47"/>
      <c r="AU355" s="47"/>
      <c r="AV355" s="47"/>
      <c r="AW355" s="47" t="str">
        <f>IF(AND($Q355&gt;=6,AVERAGE($S355:$T355)&gt;=6),"Likely",IF(OR($Q355&gt;6,AND($Q355=6,AVERAGE($S355:$T355)&gt;=3),AND($Q355&gt;=5,AVERAGE($S355:$T355)&gt;=5),AVERAGE($Q355,$S355:$T355)&gt;5),"Possible","Unlikely"))</f>
        <v>Unlikely</v>
      </c>
      <c r="AX355" s="47"/>
      <c r="AY355" s="47" t="str">
        <f>INDEX(Table5[[#All],[Ovr]],MATCH(Batters[[#This Row],[PID]],Table5[[#All],[PID]],0))</f>
        <v/>
      </c>
      <c r="AZ355" s="47" t="str">
        <f>INDEX(Table5[[#All],[Rnd]],MATCH(Batters[[#This Row],[PID]],Table5[[#All],[PID]],0))</f>
        <v/>
      </c>
      <c r="BA355" s="47" t="str">
        <f>INDEX(Table5[[#All],[Pick]],MATCH(Batters[[#This Row],[PID]],Table5[[#All],[PID]],0))</f>
        <v/>
      </c>
      <c r="BB355" s="47" t="str">
        <f>INDEX(Table5[[#All],[Team]],MATCH(Batters[[#This Row],[PID]],Table5[[#All],[PID]],0))</f>
        <v/>
      </c>
    </row>
    <row r="356" spans="1:54" ht="15" customHeight="1" x14ac:dyDescent="0.25">
      <c r="A356" s="42">
        <v>11928</v>
      </c>
      <c r="B356" s="42" t="s">
        <v>74</v>
      </c>
      <c r="C356" s="42" t="s">
        <v>1257</v>
      </c>
      <c r="D356" s="42" t="s">
        <v>1258</v>
      </c>
      <c r="E356" s="42">
        <v>21</v>
      </c>
      <c r="F356" s="42" t="s">
        <v>53</v>
      </c>
      <c r="G356" s="42" t="s">
        <v>53</v>
      </c>
      <c r="H356" s="43" t="s">
        <v>709</v>
      </c>
      <c r="I356" s="44" t="s">
        <v>43</v>
      </c>
      <c r="J356" s="42" t="s">
        <v>43</v>
      </c>
      <c r="K356" s="43" t="s">
        <v>43</v>
      </c>
      <c r="L356" s="42">
        <v>1</v>
      </c>
      <c r="M356" s="42">
        <v>2</v>
      </c>
      <c r="N356" s="42">
        <v>2</v>
      </c>
      <c r="O356" s="42">
        <v>2</v>
      </c>
      <c r="P356" s="43">
        <v>1</v>
      </c>
      <c r="Q356" s="42">
        <v>3</v>
      </c>
      <c r="R356" s="42">
        <v>3</v>
      </c>
      <c r="S356" s="42">
        <v>3</v>
      </c>
      <c r="T356" s="42">
        <v>5</v>
      </c>
      <c r="U356" s="43">
        <v>3</v>
      </c>
      <c r="V356" s="42">
        <v>2</v>
      </c>
      <c r="W356" s="42">
        <v>5</v>
      </c>
      <c r="X356" s="42">
        <v>1</v>
      </c>
      <c r="Y356" s="43">
        <v>1</v>
      </c>
      <c r="Z356" s="42" t="s">
        <v>45</v>
      </c>
      <c r="AA356" s="42" t="s">
        <v>45</v>
      </c>
      <c r="AB356" s="42" t="s">
        <v>45</v>
      </c>
      <c r="AC356" s="42" t="s">
        <v>45</v>
      </c>
      <c r="AD356" s="42" t="s">
        <v>45</v>
      </c>
      <c r="AE356" s="42">
        <v>3</v>
      </c>
      <c r="AF356" s="42">
        <v>4</v>
      </c>
      <c r="AG356" s="43" t="s">
        <v>45</v>
      </c>
      <c r="AH356" s="42">
        <v>8</v>
      </c>
      <c r="AI356" s="42">
        <v>9</v>
      </c>
      <c r="AJ356" s="43">
        <v>10</v>
      </c>
      <c r="AK356" s="45" t="s">
        <v>45</v>
      </c>
      <c r="AL356" s="45" t="s">
        <v>47</v>
      </c>
      <c r="AM356" s="46">
        <f>($L$3*(L356-$Q$1)/$Q$2+$M$3*(M356-$R$1)/$R$2+$N$3*(N356-$S$1)/$S$2+$O$3*(O356-$T$1)/$T$2+$P$3*(P356-$U$1)/$U$2)/(SUM($L$3:$P$3))</f>
        <v>-1.8605124261753858</v>
      </c>
      <c r="AN356" s="46">
        <f>($L$3*(Q356-$Q$1)/$Q$2+$M$3*(R356-$R$1)/$R$2+$N$3*(S356-$S$1)/$S$2+$O$3*(T356-$T$1)/$T$2+$P$3*(U356-$U$1)/$U$2)/(SUM($L$3:$P$3))</f>
        <v>-0.73211805046452161</v>
      </c>
      <c r="AO356" s="47">
        <f>IF(AVERAGE(AH356:AI356)&gt;9,1,0)+IF(AVERAGE(AH356:AI356)&gt;7,1,0)+IF(AH356&gt;7,1,0)+IF(AI356&gt;7,1,0)+IF(AJ356&gt;8,1,0)+IF(AJ356&gt;6,1,0)</f>
        <v>5</v>
      </c>
      <c r="AP356" s="48">
        <f>MIN(2,IF(OR(Z356="-",X356&lt;5),0,1+IF(Y356&gt;7,0.35,IF(Y356&gt;5,0.1,0))+IF(Z356&gt;7,1+IF(X356&gt;7,0.25,0),IF(Z356&gt;4,0.5+IF(X356&gt;7,0.25,0),0+IF(X356&gt;7,0.25))))+IF(AA356="-",0,IF(AA356&gt;9,0.5,IF(AA356&gt;7,0.25,0)))+IF(AB356="-",0,IF(AB356&gt;7,1.1,IF(AB356&gt;4,0.6,0)))+IF(OR(AC356="-",V356&lt;5),0,IF(AC356&gt;7,1+IF(V356&gt;7,0.25,0),IF(AC356&gt;4,0.5+IF(V356&gt;7,0.25,0),0)))+IF(AD356="-",0,IF(AD356&gt;7,1.5,IF(AD356&gt;4,1,0)))+IF(AE356="-",0,IF(AE356&gt;9,0.5,IF(AE356&gt;7,0.25,0)))+IF(AF356="-",0,IF(AF356&gt;7,1.25,IF(AF356&gt;4,0.75,0)))+IF(OR(AG356="-",W356&lt;4),0,IF(AG356&gt;7,1+IF(W356&gt;7,0.15,0),IF(AG356&gt;4,0.5+IF(W356&gt;7,0.15,0),0))))</f>
        <v>0</v>
      </c>
      <c r="AQ356" s="46">
        <f>($AM$3*AM356+$AN$3*AN356+$AO$3*AO356+$AP$3*AP356)+$I$3*VLOOKUP(I356,COND!$A$2:$E$7,4,FALSE)+$J$3*VLOOKUP(J356,COND!$A$2:$C$7,2,FALSE)+$K$3*VLOOKUP(K356,COND!$A$2:$C$7,3,FALSE)+IF(AND($B$2&gt;0,$E356&lt;20),$B$2*25,0)</f>
        <v>36.861865485141536</v>
      </c>
      <c r="AR356" s="49">
        <f>STANDARDIZE(AQ356,AVERAGE($AQ$5:$AQ$537),STDEVP($AQ$5:$AQ$537))</f>
        <v>-0.61340571900682117</v>
      </c>
      <c r="AS356" s="47" t="str">
        <f>IF(AND(Z356&lt;&gt;"-",Y356&gt;1),"C",IF(AB356=MAX(AB356:AD356),"2B",IF(AD356=MAX(AB356:AD356),"SS",IF(OR(AC356=MAX(AA356:AD356),AND(AC356&lt;&gt;"-",AC356&gt;4,V356&gt;5)),"3B",IF(AF356=MAX(AE356:AG356),"CF",IF(AND(AG356=MAX(AE356,AG356),AND(W356&gt;5,AG356&lt;&gt;"-")),"RF",IF(AE356&lt;&gt;"-","LF",IF(AA356&lt;&gt;"-","1B","DH"))))))))</f>
        <v>CF</v>
      </c>
      <c r="AT356" s="47"/>
      <c r="AU356" s="47"/>
      <c r="AV356" s="47"/>
      <c r="AW356" s="47" t="str">
        <f>IF(AND($Q356&gt;=6,AVERAGE($S356:$T356)&gt;=6),"Likely",IF(OR($Q356&gt;6,AND($Q356=6,AVERAGE($S356:$T356)&gt;=3),AND($Q356&gt;=5,AVERAGE($S356:$T356)&gt;=5),AVERAGE($Q356,$S356:$T356)&gt;5),"Possible","Unlikely"))</f>
        <v>Unlikely</v>
      </c>
      <c r="AX356" s="47"/>
      <c r="AY356" s="47" t="str">
        <f>INDEX(Table5[[#All],[Ovr]],MATCH(Batters[[#This Row],[PID]],Table5[[#All],[PID]],0))</f>
        <v/>
      </c>
      <c r="AZ356" s="47" t="str">
        <f>INDEX(Table5[[#All],[Rnd]],MATCH(Batters[[#This Row],[PID]],Table5[[#All],[PID]],0))</f>
        <v/>
      </c>
      <c r="BA356" s="47" t="str">
        <f>INDEX(Table5[[#All],[Pick]],MATCH(Batters[[#This Row],[PID]],Table5[[#All],[PID]],0))</f>
        <v/>
      </c>
      <c r="BB356" s="47" t="str">
        <f>INDEX(Table5[[#All],[Team]],MATCH(Batters[[#This Row],[PID]],Table5[[#All],[PID]],0))</f>
        <v/>
      </c>
    </row>
    <row r="357" spans="1:54" ht="15" customHeight="1" x14ac:dyDescent="0.25">
      <c r="A357" s="42">
        <v>8695</v>
      </c>
      <c r="B357" s="42" t="s">
        <v>86</v>
      </c>
      <c r="C357" s="42" t="s">
        <v>377</v>
      </c>
      <c r="D357" s="42" t="s">
        <v>808</v>
      </c>
      <c r="E357" s="42">
        <v>22</v>
      </c>
      <c r="F357" s="42" t="s">
        <v>42</v>
      </c>
      <c r="G357" s="42" t="s">
        <v>42</v>
      </c>
      <c r="H357" s="43" t="s">
        <v>703</v>
      </c>
      <c r="I357" s="44" t="s">
        <v>43</v>
      </c>
      <c r="J357" s="42" t="s">
        <v>44</v>
      </c>
      <c r="K357" s="43" t="s">
        <v>43</v>
      </c>
      <c r="L357" s="42">
        <v>2</v>
      </c>
      <c r="M357" s="42">
        <v>3</v>
      </c>
      <c r="N357" s="42">
        <v>3</v>
      </c>
      <c r="O357" s="42">
        <v>3</v>
      </c>
      <c r="P357" s="43">
        <v>1</v>
      </c>
      <c r="Q357" s="42">
        <v>3</v>
      </c>
      <c r="R357" s="42">
        <v>4</v>
      </c>
      <c r="S357" s="42">
        <v>4</v>
      </c>
      <c r="T357" s="42">
        <v>5</v>
      </c>
      <c r="U357" s="43">
        <v>3</v>
      </c>
      <c r="V357" s="42">
        <v>2</v>
      </c>
      <c r="W357" s="42">
        <v>2</v>
      </c>
      <c r="X357" s="42">
        <v>4</v>
      </c>
      <c r="Y357" s="43">
        <v>8</v>
      </c>
      <c r="Z357" s="42">
        <v>2</v>
      </c>
      <c r="AA357" s="42" t="s">
        <v>45</v>
      </c>
      <c r="AB357" s="42" t="s">
        <v>45</v>
      </c>
      <c r="AC357" s="42" t="s">
        <v>45</v>
      </c>
      <c r="AD357" s="42" t="s">
        <v>45</v>
      </c>
      <c r="AE357" s="42" t="s">
        <v>45</v>
      </c>
      <c r="AF357" s="42" t="s">
        <v>45</v>
      </c>
      <c r="AG357" s="43" t="s">
        <v>45</v>
      </c>
      <c r="AH357" s="42">
        <v>5</v>
      </c>
      <c r="AI357" s="42">
        <v>7</v>
      </c>
      <c r="AJ357" s="43">
        <v>8</v>
      </c>
      <c r="AK357" s="45" t="s">
        <v>45</v>
      </c>
      <c r="AL357" s="45" t="s">
        <v>705</v>
      </c>
      <c r="AM357" s="46">
        <f>($L$3*(L357-$Q$1)/$Q$2+$M$3*(M357-$R$1)/$R$2+$N$3*(N357-$S$1)/$S$2+$O$3*(O357-$T$1)/$T$2+$P$3*(P357-$U$1)/$U$2)/(SUM($L$3:$P$3))</f>
        <v>-1.3141256663205254</v>
      </c>
      <c r="AN357" s="46">
        <f>($L$3*(Q357-$Q$1)/$Q$2+$M$3*(R357-$R$1)/$R$2+$N$3*(S357-$S$1)/$S$2+$O$3*(T357-$T$1)/$T$2+$P$3*(U357-$U$1)/$U$2)/(SUM($L$3:$P$3))</f>
        <v>-0.59799667682191648</v>
      </c>
      <c r="AO357" s="47">
        <f>IF(AVERAGE(AH357:AI357)&gt;9,1,0)+IF(AVERAGE(AH357:AI357)&gt;7,1,0)+IF(AH357&gt;7,1,0)+IF(AI357&gt;7,1,0)+IF(AJ357&gt;8,1,0)+IF(AJ357&gt;6,1,0)</f>
        <v>1</v>
      </c>
      <c r="AP357" s="48">
        <f>MIN(2,IF(OR(Z357="-",X357&lt;5),0,1+IF(Y357&gt;7,0.35,IF(Y357&gt;5,0.1,0))+IF(Z357&gt;7,1+IF(X357&gt;7,0.25,0),IF(Z357&gt;4,0.5+IF(X357&gt;7,0.25,0),0+IF(X357&gt;7,0.25))))+IF(AA357="-",0,IF(AA357&gt;9,0.5,IF(AA357&gt;7,0.25,0)))+IF(AB357="-",0,IF(AB357&gt;7,1.1,IF(AB357&gt;4,0.6,0)))+IF(OR(AC357="-",V357&lt;5),0,IF(AC357&gt;7,1+IF(V357&gt;7,0.25,0),IF(AC357&gt;4,0.5+IF(V357&gt;7,0.25,0),0)))+IF(AD357="-",0,IF(AD357&gt;7,1.5,IF(AD357&gt;4,1,0)))+IF(AE357="-",0,IF(AE357&gt;9,0.5,IF(AE357&gt;7,0.25,0)))+IF(AF357="-",0,IF(AF357&gt;7,1.25,IF(AF357&gt;4,0.75,0)))+IF(OR(AG357="-",W357&lt;4),0,IF(AG357&gt;7,1+IF(W357&gt;7,0.15,0),IF(AG357&gt;4,0.5+IF(W357&gt;7,0.15,0),0))))</f>
        <v>0</v>
      </c>
      <c r="AQ357" s="46">
        <f>($AM$3*AM357+$AN$3*AN357+$AO$3*AO357+$AP$3*AP357)+$I$3*VLOOKUP(I357,COND!$A$2:$E$7,4,FALSE)+$J$3*VLOOKUP(J357,COND!$A$2:$C$7,2,FALSE)+$K$3*VLOOKUP(K357,COND!$A$2:$C$7,3,FALSE)+IF(AND($B$2&gt;0,$E357&lt;20),$B$2*25,0)</f>
        <v>37.559293978171617</v>
      </c>
      <c r="AR357" s="49">
        <f>STANDARDIZE(AQ357,AVERAGE($AQ$5:$AQ$537),STDEVP($AQ$5:$AQ$537))</f>
        <v>-0.49069781097952719</v>
      </c>
      <c r="AS357" s="47" t="str">
        <f>IF(AND(Z357&lt;&gt;"-",Y357&gt;1),"C",IF(AB357=MAX(AB357:AD357),"2B",IF(AD357=MAX(AB357:AD357),"SS",IF(OR(AC357=MAX(AA357:AD357),AND(AC357&lt;&gt;"-",AC357&gt;4,V357&gt;5)),"3B",IF(AF357=MAX(AE357:AG357),"CF",IF(AND(AG357=MAX(AE357,AG357),AND(W357&gt;5,AG357&lt;&gt;"-")),"RF",IF(AE357&lt;&gt;"-","LF",IF(AA357&lt;&gt;"-","1B","DH"))))))))</f>
        <v>C</v>
      </c>
      <c r="AT357" s="47"/>
      <c r="AU357" s="47"/>
      <c r="AV357" s="47"/>
      <c r="AW357" s="47" t="str">
        <f>IF(AND($Q357&gt;=6,AVERAGE($S357:$T357)&gt;=6),"Likely",IF(OR($Q357&gt;6,AND($Q357=6,AVERAGE($S357:$T357)&gt;=3),AND($Q357&gt;=5,AVERAGE($S357:$T357)&gt;=5),AVERAGE($Q357,$S357:$T357)&gt;5),"Possible","Unlikely"))</f>
        <v>Unlikely</v>
      </c>
      <c r="AX357" s="47"/>
      <c r="AY357" s="47" t="str">
        <f>INDEX(Table5[[#All],[Ovr]],MATCH(Batters[[#This Row],[PID]],Table5[[#All],[PID]],0))</f>
        <v/>
      </c>
      <c r="AZ357" s="47" t="str">
        <f>INDEX(Table5[[#All],[Rnd]],MATCH(Batters[[#This Row],[PID]],Table5[[#All],[PID]],0))</f>
        <v/>
      </c>
      <c r="BA357" s="47" t="str">
        <f>INDEX(Table5[[#All],[Pick]],MATCH(Batters[[#This Row],[PID]],Table5[[#All],[PID]],0))</f>
        <v/>
      </c>
      <c r="BB357" s="47" t="str">
        <f>INDEX(Table5[[#All],[Team]],MATCH(Batters[[#This Row],[PID]],Table5[[#All],[PID]],0))</f>
        <v/>
      </c>
    </row>
    <row r="358" spans="1:54" ht="15" customHeight="1" x14ac:dyDescent="0.25">
      <c r="A358" s="42">
        <v>9610</v>
      </c>
      <c r="B358" s="42" t="s">
        <v>69</v>
      </c>
      <c r="C358" s="42" t="s">
        <v>140</v>
      </c>
      <c r="D358" s="42" t="s">
        <v>687</v>
      </c>
      <c r="E358" s="42">
        <v>20</v>
      </c>
      <c r="F358" s="42" t="s">
        <v>42</v>
      </c>
      <c r="G358" s="42" t="s">
        <v>42</v>
      </c>
      <c r="H358" s="43" t="s">
        <v>709</v>
      </c>
      <c r="I358" s="44" t="s">
        <v>43</v>
      </c>
      <c r="J358" s="42" t="s">
        <v>43</v>
      </c>
      <c r="K358" s="43" t="s">
        <v>43</v>
      </c>
      <c r="L358" s="42">
        <v>2</v>
      </c>
      <c r="M358" s="42">
        <v>3</v>
      </c>
      <c r="N358" s="42">
        <v>2</v>
      </c>
      <c r="O358" s="42">
        <v>2</v>
      </c>
      <c r="P358" s="43">
        <v>2</v>
      </c>
      <c r="Q358" s="42">
        <v>3</v>
      </c>
      <c r="R358" s="42">
        <v>4</v>
      </c>
      <c r="S358" s="42">
        <v>2</v>
      </c>
      <c r="T358" s="42">
        <v>4</v>
      </c>
      <c r="U358" s="43">
        <v>4</v>
      </c>
      <c r="V358" s="42">
        <v>10</v>
      </c>
      <c r="W358" s="42">
        <v>10</v>
      </c>
      <c r="X358" s="42">
        <v>1</v>
      </c>
      <c r="Y358" s="43">
        <v>1</v>
      </c>
      <c r="Z358" s="42" t="s">
        <v>45</v>
      </c>
      <c r="AA358" s="42" t="s">
        <v>45</v>
      </c>
      <c r="AB358" s="42">
        <v>2</v>
      </c>
      <c r="AC358" s="42">
        <v>5</v>
      </c>
      <c r="AD358" s="42" t="s">
        <v>45</v>
      </c>
      <c r="AE358" s="42" t="s">
        <v>45</v>
      </c>
      <c r="AF358" s="42">
        <v>1</v>
      </c>
      <c r="AG358" s="43">
        <v>3</v>
      </c>
      <c r="AH358" s="42">
        <v>10</v>
      </c>
      <c r="AI358" s="42">
        <v>9</v>
      </c>
      <c r="AJ358" s="43">
        <v>9</v>
      </c>
      <c r="AK358" s="45" t="s">
        <v>615</v>
      </c>
      <c r="AL358" s="45" t="s">
        <v>47</v>
      </c>
      <c r="AM358" s="46">
        <f>($L$3*(L358-$Q$1)/$Q$2+$M$3*(M358-$R$1)/$R$2+$N$3*(N358-$S$1)/$S$2+$O$3*(O358-$T$1)/$T$2+$P$3*(P358-$U$1)/$U$2)/(SUM($L$3:$P$3))</f>
        <v>-1.4468803705369244</v>
      </c>
      <c r="AN358" s="46">
        <f>($L$3*(Q358-$Q$1)/$Q$2+$M$3*(R358-$R$1)/$R$2+$N$3*(S358-$S$1)/$S$2+$O$3*(T358-$T$1)/$T$2+$P$3*(U358-$U$1)/$U$2)/(SUM($L$3:$P$3))</f>
        <v>-0.813812875062217</v>
      </c>
      <c r="AO358" s="47">
        <f>IF(AVERAGE(AH358:AI358)&gt;9,1,0)+IF(AVERAGE(AH358:AI358)&gt;7,1,0)+IF(AH358&gt;7,1,0)+IF(AI358&gt;7,1,0)+IF(AJ358&gt;8,1,0)+IF(AJ358&gt;6,1,0)</f>
        <v>6</v>
      </c>
      <c r="AP358" s="48">
        <f>MIN(2,IF(OR(Z358="-",X358&lt;5),0,1+IF(Y358&gt;7,0.35,IF(Y358&gt;5,0.1,0))+IF(Z358&gt;7,1+IF(X358&gt;7,0.25,0),IF(Z358&gt;4,0.5+IF(X358&gt;7,0.25,0),0+IF(X358&gt;7,0.25))))+IF(AA358="-",0,IF(AA358&gt;9,0.5,IF(AA358&gt;7,0.25,0)))+IF(AB358="-",0,IF(AB358&gt;7,1.1,IF(AB358&gt;4,0.6,0)))+IF(OR(AC358="-",V358&lt;5),0,IF(AC358&gt;7,1+IF(V358&gt;7,0.25,0),IF(AC358&gt;4,0.5+IF(V358&gt;7,0.25,0),0)))+IF(AD358="-",0,IF(AD358&gt;7,1.5,IF(AD358&gt;4,1,0)))+IF(AE358="-",0,IF(AE358&gt;9,0.5,IF(AE358&gt;7,0.25,0)))+IF(AF358="-",0,IF(AF358&gt;7,1.25,IF(AF358&gt;4,0.75,0)))+IF(OR(AG358="-",W358&lt;4),0,IF(AG358&gt;7,1+IF(W358&gt;7,0.15,0),IF(AG358&gt;4,0.5+IF(W358&gt;7,0.15,0),0))))</f>
        <v>0.75</v>
      </c>
      <c r="AQ358" s="46">
        <f>($AM$3*AM358+$AN$3*AN358+$AO$3*AO358+$AP$3*AP358)+$I$3*VLOOKUP(I358,COND!$A$2:$E$7,4,FALSE)+$J$3*VLOOKUP(J358,COND!$A$2:$C$7,2,FALSE)+$K$3*VLOOKUP(K358,COND!$A$2:$C$7,3,FALSE)+IF(AND($B$2&gt;0,$E358&lt;20),$B$2*25,0)</f>
        <v>36.839557462199707</v>
      </c>
      <c r="AR358" s="49">
        <f>STANDARDIZE(AQ358,AVERAGE($AQ$5:$AQ$537),STDEVP($AQ$5:$AQ$537))</f>
        <v>-0.6173306673775476</v>
      </c>
      <c r="AS358" s="47" t="str">
        <f>IF(AND(Z358&lt;&gt;"-",Y358&gt;1),"C",IF(AB358=MAX(AB358:AD358),"2B",IF(AD358=MAX(AB358:AD358),"SS",IF(OR(AC358=MAX(AA358:AD358),AND(AC358&lt;&gt;"-",AC358&gt;4,V358&gt;5)),"3B",IF(AF358=MAX(AE358:AG358),"CF",IF(AND(AG358=MAX(AE358,AG358),AND(W358&gt;5,AG358&lt;&gt;"-")),"RF",IF(AE358&lt;&gt;"-","LF",IF(AA358&lt;&gt;"-","1B","DH"))))))))</f>
        <v>3B</v>
      </c>
      <c r="AT358" s="47"/>
      <c r="AU358" s="47"/>
      <c r="AV358" s="47"/>
      <c r="AW358" s="47" t="str">
        <f>IF(AND($Q358&gt;=6,AVERAGE($S358:$T358)&gt;=6),"Likely",IF(OR($Q358&gt;6,AND($Q358=6,AVERAGE($S358:$T358)&gt;=3),AND($Q358&gt;=5,AVERAGE($S358:$T358)&gt;=5),AVERAGE($Q358,$S358:$T358)&gt;5),"Possible","Unlikely"))</f>
        <v>Unlikely</v>
      </c>
      <c r="AX358" s="47"/>
      <c r="AY358" s="47" t="str">
        <f>INDEX(Table5[[#All],[Ovr]],MATCH(Batters[[#This Row],[PID]],Table5[[#All],[PID]],0))</f>
        <v/>
      </c>
      <c r="AZ358" s="47" t="str">
        <f>INDEX(Table5[[#All],[Rnd]],MATCH(Batters[[#This Row],[PID]],Table5[[#All],[PID]],0))</f>
        <v/>
      </c>
      <c r="BA358" s="47" t="str">
        <f>INDEX(Table5[[#All],[Pick]],MATCH(Batters[[#This Row],[PID]],Table5[[#All],[PID]],0))</f>
        <v/>
      </c>
      <c r="BB358" s="47" t="str">
        <f>INDEX(Table5[[#All],[Team]],MATCH(Batters[[#This Row],[PID]],Table5[[#All],[PID]],0))</f>
        <v/>
      </c>
    </row>
    <row r="359" spans="1:54" ht="15" customHeight="1" x14ac:dyDescent="0.25">
      <c r="A359" s="42">
        <v>8270</v>
      </c>
      <c r="B359" s="42" t="s">
        <v>66</v>
      </c>
      <c r="C359" s="42" t="s">
        <v>798</v>
      </c>
      <c r="D359" s="42" t="s">
        <v>843</v>
      </c>
      <c r="E359" s="42">
        <v>18</v>
      </c>
      <c r="F359" s="42" t="s">
        <v>42</v>
      </c>
      <c r="G359" s="42" t="s">
        <v>42</v>
      </c>
      <c r="H359" s="43" t="s">
        <v>721</v>
      </c>
      <c r="I359" s="44" t="s">
        <v>43</v>
      </c>
      <c r="J359" s="42" t="s">
        <v>43</v>
      </c>
      <c r="K359" s="43" t="s">
        <v>44</v>
      </c>
      <c r="L359" s="42">
        <v>1</v>
      </c>
      <c r="M359" s="42">
        <v>1</v>
      </c>
      <c r="N359" s="42">
        <v>2</v>
      </c>
      <c r="O359" s="42">
        <v>2</v>
      </c>
      <c r="P359" s="43">
        <v>1</v>
      </c>
      <c r="Q359" s="42">
        <v>2</v>
      </c>
      <c r="R359" s="42">
        <v>3</v>
      </c>
      <c r="S359" s="42">
        <v>4</v>
      </c>
      <c r="T359" s="42">
        <v>5</v>
      </c>
      <c r="U359" s="43">
        <v>2</v>
      </c>
      <c r="V359" s="42">
        <v>6</v>
      </c>
      <c r="W359" s="42">
        <v>7</v>
      </c>
      <c r="X359" s="42">
        <v>1</v>
      </c>
      <c r="Y359" s="43">
        <v>1</v>
      </c>
      <c r="Z359" s="42" t="s">
        <v>45</v>
      </c>
      <c r="AA359" s="42" t="s">
        <v>45</v>
      </c>
      <c r="AB359" s="42" t="s">
        <v>45</v>
      </c>
      <c r="AC359" s="42" t="s">
        <v>45</v>
      </c>
      <c r="AD359" s="42" t="s">
        <v>45</v>
      </c>
      <c r="AE359" s="42" t="s">
        <v>45</v>
      </c>
      <c r="AF359" s="42" t="s">
        <v>45</v>
      </c>
      <c r="AG359" s="43">
        <v>2</v>
      </c>
      <c r="AH359" s="42">
        <v>5</v>
      </c>
      <c r="AI359" s="42">
        <v>8</v>
      </c>
      <c r="AJ359" s="43">
        <v>6</v>
      </c>
      <c r="AK359" s="45" t="s">
        <v>739</v>
      </c>
      <c r="AL359" s="45" t="s">
        <v>705</v>
      </c>
      <c r="AM359" s="46">
        <f>($L$3*(L359-$Q$1)/$Q$2+$M$3*(M359-$R$1)/$R$2+$N$3*(N359-$S$1)/$S$2+$O$3*(O359-$T$1)/$T$2+$P$3*(P359-$U$1)/$U$2)/(SUM($L$3:$P$3))</f>
        <v>-1.9115723057940897</v>
      </c>
      <c r="AN359" s="46">
        <f>($L$3*(Q359-$Q$1)/$Q$2+$M$3*(R359-$R$1)/$R$2+$N$3*(S359-$S$1)/$S$2+$O$3*(T359-$T$1)/$T$2+$P$3*(U359-$U$1)/$U$2)/(SUM($L$3:$P$3))</f>
        <v>-1.0116287324603783</v>
      </c>
      <c r="AO359" s="47">
        <f>IF(AVERAGE(AH359:AI359)&gt;9,1,0)+IF(AVERAGE(AH359:AI359)&gt;7,1,0)+IF(AH359&gt;7,1,0)+IF(AI359&gt;7,1,0)+IF(AJ359&gt;8,1,0)+IF(AJ359&gt;6,1,0)</f>
        <v>1</v>
      </c>
      <c r="AP359" s="48">
        <f>MIN(2,IF(OR(Z359="-",X359&lt;5),0,1+IF(Y359&gt;7,0.35,IF(Y359&gt;5,0.1,0))+IF(Z359&gt;7,1+IF(X359&gt;7,0.25,0),IF(Z359&gt;4,0.5+IF(X359&gt;7,0.25,0),0+IF(X359&gt;7,0.25))))+IF(AA359="-",0,IF(AA359&gt;9,0.5,IF(AA359&gt;7,0.25,0)))+IF(AB359="-",0,IF(AB359&gt;7,1.1,IF(AB359&gt;4,0.6,0)))+IF(OR(AC359="-",V359&lt;5),0,IF(AC359&gt;7,1+IF(V359&gt;7,0.25,0),IF(AC359&gt;4,0.5+IF(V359&gt;7,0.25,0),0)))+IF(AD359="-",0,IF(AD359&gt;7,1.5,IF(AD359&gt;4,1,0)))+IF(AE359="-",0,IF(AE359&gt;9,0.5,IF(AE359&gt;7,0.25,0)))+IF(AF359="-",0,IF(AF359&gt;7,1.25,IF(AF359&gt;4,0.75,0)))+IF(OR(AG359="-",W359&lt;4),0,IF(AG359&gt;7,1+IF(W359&gt;7,0.15,0),IF(AG359&gt;4,0.5+IF(W359&gt;7,0.15,0),0))))</f>
        <v>0</v>
      </c>
      <c r="AQ359" s="46">
        <f>($AM$3*AM359+$AN$3*AN359+$AO$3*AO359+$AP$3*AP359)+$I$3*VLOOKUP(I359,COND!$A$2:$E$7,4,FALSE)+$J$3*VLOOKUP(J359,COND!$A$2:$C$7,2,FALSE)+$K$3*VLOOKUP(K359,COND!$A$2:$C$7,3,FALSE)+IF(AND($B$2&gt;0,$E359&lt;20),$B$2*25,0)</f>
        <v>37.535964646562718</v>
      </c>
      <c r="AR359" s="49">
        <f>STANDARDIZE(AQ359,AVERAGE($AQ$5:$AQ$537),STDEVP($AQ$5:$AQ$537))</f>
        <v>-0.49480245182229748</v>
      </c>
      <c r="AS359" s="47" t="str">
        <f>IF(AND(Z359&lt;&gt;"-",Y359&gt;1),"C",IF(AB359=MAX(AB359:AD359),"2B",IF(AD359=MAX(AB359:AD359),"SS",IF(OR(AC359=MAX(AA359:AD359),AND(AC359&lt;&gt;"-",AC359&gt;4,V359&gt;5)),"3B",IF(AF359=MAX(AE359:AG359),"CF",IF(AND(AG359=MAX(AE359,AG359),AND(W359&gt;5,AG359&lt;&gt;"-")),"RF",IF(AE359&lt;&gt;"-","LF",IF(AA359&lt;&gt;"-","1B","DH"))))))))</f>
        <v>RF</v>
      </c>
      <c r="AT359" s="47"/>
      <c r="AU359" s="47"/>
      <c r="AV359" s="47"/>
      <c r="AW359" s="47" t="str">
        <f>IF(AND($Q359&gt;=6,AVERAGE($S359:$T359)&gt;=6),"Likely",IF(OR($Q359&gt;6,AND($Q359=6,AVERAGE($S359:$T359)&gt;=3),AND($Q359&gt;=5,AVERAGE($S359:$T359)&gt;=5),AVERAGE($Q359,$S359:$T359)&gt;5),"Possible","Unlikely"))</f>
        <v>Unlikely</v>
      </c>
      <c r="AX359" s="47"/>
      <c r="AY359" s="47" t="str">
        <f>INDEX(Table5[[#All],[Ovr]],MATCH(Batters[[#This Row],[PID]],Table5[[#All],[PID]],0))</f>
        <v/>
      </c>
      <c r="AZ359" s="47" t="str">
        <f>INDEX(Table5[[#All],[Rnd]],MATCH(Batters[[#This Row],[PID]],Table5[[#All],[PID]],0))</f>
        <v/>
      </c>
      <c r="BA359" s="47" t="str">
        <f>INDEX(Table5[[#All],[Pick]],MATCH(Batters[[#This Row],[PID]],Table5[[#All],[PID]],0))</f>
        <v/>
      </c>
      <c r="BB359" s="47" t="str">
        <f>INDEX(Table5[[#All],[Team]],MATCH(Batters[[#This Row],[PID]],Table5[[#All],[PID]],0))</f>
        <v/>
      </c>
    </row>
    <row r="360" spans="1:54" ht="15" customHeight="1" x14ac:dyDescent="0.25">
      <c r="A360" s="42">
        <v>2678</v>
      </c>
      <c r="B360" s="42" t="s">
        <v>74</v>
      </c>
      <c r="C360" s="42" t="s">
        <v>1129</v>
      </c>
      <c r="D360" s="42" t="s">
        <v>414</v>
      </c>
      <c r="E360" s="42">
        <v>20</v>
      </c>
      <c r="F360" s="42" t="s">
        <v>42</v>
      </c>
      <c r="G360" s="42" t="s">
        <v>42</v>
      </c>
      <c r="H360" s="43" t="s">
        <v>703</v>
      </c>
      <c r="I360" s="44" t="s">
        <v>43</v>
      </c>
      <c r="J360" s="42" t="s">
        <v>44</v>
      </c>
      <c r="K360" s="43" t="s">
        <v>43</v>
      </c>
      <c r="L360" s="42">
        <v>2</v>
      </c>
      <c r="M360" s="42">
        <v>2</v>
      </c>
      <c r="N360" s="42">
        <v>2</v>
      </c>
      <c r="O360" s="42">
        <v>3</v>
      </c>
      <c r="P360" s="43">
        <v>1</v>
      </c>
      <c r="Q360" s="42">
        <v>3</v>
      </c>
      <c r="R360" s="42">
        <v>3</v>
      </c>
      <c r="S360" s="42">
        <v>3</v>
      </c>
      <c r="T360" s="42">
        <v>5</v>
      </c>
      <c r="U360" s="43">
        <v>3</v>
      </c>
      <c r="V360" s="42">
        <v>6</v>
      </c>
      <c r="W360" s="42">
        <v>8</v>
      </c>
      <c r="X360" s="42">
        <v>1</v>
      </c>
      <c r="Y360" s="43">
        <v>1</v>
      </c>
      <c r="Z360" s="42" t="s">
        <v>45</v>
      </c>
      <c r="AA360" s="42" t="s">
        <v>45</v>
      </c>
      <c r="AB360" s="42" t="s">
        <v>45</v>
      </c>
      <c r="AC360" s="42" t="s">
        <v>45</v>
      </c>
      <c r="AD360" s="42" t="s">
        <v>45</v>
      </c>
      <c r="AE360" s="42" t="s">
        <v>45</v>
      </c>
      <c r="AF360" s="42">
        <v>10</v>
      </c>
      <c r="AG360" s="43" t="s">
        <v>45</v>
      </c>
      <c r="AH360" s="42">
        <v>10</v>
      </c>
      <c r="AI360" s="42">
        <v>7</v>
      </c>
      <c r="AJ360" s="43">
        <v>8</v>
      </c>
      <c r="AK360" s="45" t="s">
        <v>45</v>
      </c>
      <c r="AL360" s="45" t="s">
        <v>705</v>
      </c>
      <c r="AM360" s="46">
        <f>($L$3*(L360-$Q$1)/$Q$2+$M$3*(M360-$R$1)/$R$2+$N$3*(N360-$S$1)/$S$2+$O$3*(O360-$T$1)/$T$2+$P$3*(P360-$U$1)/$U$2)/(SUM($L$3:$P$3))</f>
        <v>-1.4482470399631302</v>
      </c>
      <c r="AN360" s="46">
        <f>($L$3*(Q360-$Q$1)/$Q$2+$M$3*(R360-$R$1)/$R$2+$N$3*(S360-$S$1)/$S$2+$O$3*(T360-$T$1)/$T$2+$P$3*(U360-$U$1)/$U$2)/(SUM($L$3:$P$3))</f>
        <v>-0.73211805046452161</v>
      </c>
      <c r="AO360" s="47">
        <f>IF(AVERAGE(AH360:AI360)&gt;9,1,0)+IF(AVERAGE(AH360:AI360)&gt;7,1,0)+IF(AH360&gt;7,1,0)+IF(AI360&gt;7,1,0)+IF(AJ360&gt;8,1,0)+IF(AJ360&gt;6,1,0)</f>
        <v>3</v>
      </c>
      <c r="AP360" s="48">
        <f>MIN(2,IF(OR(Z360="-",X360&lt;5),0,1+IF(Y360&gt;7,0.35,IF(Y360&gt;5,0.1,0))+IF(Z360&gt;7,1+IF(X360&gt;7,0.25,0),IF(Z360&gt;4,0.5+IF(X360&gt;7,0.25,0),0+IF(X360&gt;7,0.25))))+IF(AA360="-",0,IF(AA360&gt;9,0.5,IF(AA360&gt;7,0.25,0)))+IF(AB360="-",0,IF(AB360&gt;7,1.1,IF(AB360&gt;4,0.6,0)))+IF(OR(AC360="-",V360&lt;5),0,IF(AC360&gt;7,1+IF(V360&gt;7,0.25,0),IF(AC360&gt;4,0.5+IF(V360&gt;7,0.25,0),0)))+IF(AD360="-",0,IF(AD360&gt;7,1.5,IF(AD360&gt;4,1,0)))+IF(AE360="-",0,IF(AE360&gt;9,0.5,IF(AE360&gt;7,0.25,0)))+IF(AF360="-",0,IF(AF360&gt;7,1.25,IF(AF360&gt;4,0.75,0)))+IF(OR(AG360="-",W360&lt;4),0,IF(AG360&gt;7,1+IF(W360&gt;7,0.15,0),IF(AG360&gt;4,0.5+IF(W360&gt;7,0.15,0),0))))</f>
        <v>1.25</v>
      </c>
      <c r="AQ360" s="46">
        <f>($AM$3*AM360+$AN$3*AN360+$AO$3*AO360+$AP$3*AP360)+$I$3*VLOOKUP(I360,COND!$A$2:$E$7,4,FALSE)+$J$3*VLOOKUP(J360,COND!$A$2:$C$7,2,FALSE)+$K$3*VLOOKUP(K360,COND!$A$2:$C$7,3,FALSE)+IF(AND($B$2&gt;0,$E360&lt;20),$B$2*25,0)</f>
        <v>37.519758690429427</v>
      </c>
      <c r="AR360" s="49">
        <f>STANDARDIZE(AQ360,AVERAGE($AQ$5:$AQ$537),STDEVP($AQ$5:$AQ$537))</f>
        <v>-0.49765378209424904</v>
      </c>
      <c r="AS360" s="47" t="str">
        <f>IF(AND(Z360&lt;&gt;"-",Y360&gt;1),"C",IF(AB360=MAX(AB360:AD360),"2B",IF(AD360=MAX(AB360:AD360),"SS",IF(OR(AC360=MAX(AA360:AD360),AND(AC360&lt;&gt;"-",AC360&gt;4,V360&gt;5)),"3B",IF(AF360=MAX(AE360:AG360),"CF",IF(AND(AG360=MAX(AE360,AG360),AND(W360&gt;5,AG360&lt;&gt;"-")),"RF",IF(AE360&lt;&gt;"-","LF",IF(AA360&lt;&gt;"-","1B","DH"))))))))</f>
        <v>CF</v>
      </c>
      <c r="AT360" s="47"/>
      <c r="AU360" s="47"/>
      <c r="AV360" s="47"/>
      <c r="AW360" s="47" t="str">
        <f>IF(AND($Q360&gt;=6,AVERAGE($S360:$T360)&gt;=6),"Likely",IF(OR($Q360&gt;6,AND($Q360=6,AVERAGE($S360:$T360)&gt;=3),AND($Q360&gt;=5,AVERAGE($S360:$T360)&gt;=5),AVERAGE($Q360,$S360:$T360)&gt;5),"Possible","Unlikely"))</f>
        <v>Unlikely</v>
      </c>
      <c r="AX360" s="47"/>
      <c r="AY360" s="47" t="str">
        <f>INDEX(Table5[[#All],[Ovr]],MATCH(Batters[[#This Row],[PID]],Table5[[#All],[PID]],0))</f>
        <v/>
      </c>
      <c r="AZ360" s="47" t="str">
        <f>INDEX(Table5[[#All],[Rnd]],MATCH(Batters[[#This Row],[PID]],Table5[[#All],[PID]],0))</f>
        <v/>
      </c>
      <c r="BA360" s="47" t="str">
        <f>INDEX(Table5[[#All],[Pick]],MATCH(Batters[[#This Row],[PID]],Table5[[#All],[PID]],0))</f>
        <v/>
      </c>
      <c r="BB360" s="47" t="str">
        <f>INDEX(Table5[[#All],[Team]],MATCH(Batters[[#This Row],[PID]],Table5[[#All],[PID]],0))</f>
        <v/>
      </c>
    </row>
    <row r="361" spans="1:54" ht="15" customHeight="1" x14ac:dyDescent="0.25">
      <c r="A361" s="42">
        <v>12873</v>
      </c>
      <c r="B361" s="42" t="s">
        <v>74</v>
      </c>
      <c r="C361" s="42" t="s">
        <v>411</v>
      </c>
      <c r="D361" s="42" t="s">
        <v>1171</v>
      </c>
      <c r="E361" s="42">
        <v>21</v>
      </c>
      <c r="F361" s="42" t="s">
        <v>53</v>
      </c>
      <c r="G361" s="42" t="s">
        <v>53</v>
      </c>
      <c r="H361" s="43" t="s">
        <v>709</v>
      </c>
      <c r="I361" s="44" t="s">
        <v>43</v>
      </c>
      <c r="J361" s="42" t="s">
        <v>44</v>
      </c>
      <c r="K361" s="43" t="s">
        <v>43</v>
      </c>
      <c r="L361" s="42">
        <v>1</v>
      </c>
      <c r="M361" s="42">
        <v>3</v>
      </c>
      <c r="N361" s="42">
        <v>2</v>
      </c>
      <c r="O361" s="42">
        <v>3</v>
      </c>
      <c r="P361" s="43">
        <v>1</v>
      </c>
      <c r="Q361" s="42">
        <v>3</v>
      </c>
      <c r="R361" s="42">
        <v>3</v>
      </c>
      <c r="S361" s="42">
        <v>3</v>
      </c>
      <c r="T361" s="42">
        <v>5</v>
      </c>
      <c r="U361" s="43">
        <v>4</v>
      </c>
      <c r="V361" s="42">
        <v>3</v>
      </c>
      <c r="W361" s="42">
        <v>5</v>
      </c>
      <c r="X361" s="42">
        <v>1</v>
      </c>
      <c r="Y361" s="43">
        <v>1</v>
      </c>
      <c r="Z361" s="42" t="s">
        <v>45</v>
      </c>
      <c r="AA361" s="42" t="s">
        <v>45</v>
      </c>
      <c r="AB361" s="42" t="s">
        <v>45</v>
      </c>
      <c r="AC361" s="42" t="s">
        <v>45</v>
      </c>
      <c r="AD361" s="42" t="s">
        <v>45</v>
      </c>
      <c r="AE361" s="42" t="s">
        <v>45</v>
      </c>
      <c r="AF361" s="42">
        <v>5</v>
      </c>
      <c r="AG361" s="43" t="s">
        <v>45</v>
      </c>
      <c r="AH361" s="42">
        <v>8</v>
      </c>
      <c r="AI361" s="42">
        <v>9</v>
      </c>
      <c r="AJ361" s="43">
        <v>5</v>
      </c>
      <c r="AK361" s="45" t="s">
        <v>45</v>
      </c>
      <c r="AL361" s="45" t="s">
        <v>705</v>
      </c>
      <c r="AM361" s="46">
        <f>($L$3*(L361-$Q$1)/$Q$2+$M$3*(M361-$R$1)/$R$2+$N$3*(N361-$S$1)/$S$2+$O$3*(O361-$T$1)/$T$2+$P$3*(P361-$U$1)/$U$2)/(SUM($L$3:$P$3))</f>
        <v>-1.7197429965471014</v>
      </c>
      <c r="AN361" s="46">
        <f>($L$3*(Q361-$Q$1)/$Q$2+$M$3*(R361-$R$1)/$R$2+$N$3*(S361-$S$1)/$S$2+$O$3*(T361-$T$1)/$T$2+$P$3*(U361-$U$1)/$U$2)/(SUM($L$3:$P$3))</f>
        <v>-0.69210171064743797</v>
      </c>
      <c r="AO361" s="47">
        <f>IF(AVERAGE(AH361:AI361)&gt;9,1,0)+IF(AVERAGE(AH361:AI361)&gt;7,1,0)+IF(AH361&gt;7,1,0)+IF(AI361&gt;7,1,0)+IF(AJ361&gt;8,1,0)+IF(AJ361&gt;6,1,0)</f>
        <v>3</v>
      </c>
      <c r="AP361" s="48">
        <f>MIN(2,IF(OR(Z361="-",X361&lt;5),0,1+IF(Y361&gt;7,0.35,IF(Y361&gt;5,0.1,0))+IF(Z361&gt;7,1+IF(X361&gt;7,0.25,0),IF(Z361&gt;4,0.5+IF(X361&gt;7,0.25,0),0+IF(X361&gt;7,0.25))))+IF(AA361="-",0,IF(AA361&gt;9,0.5,IF(AA361&gt;7,0.25,0)))+IF(AB361="-",0,IF(AB361&gt;7,1.1,IF(AB361&gt;4,0.6,0)))+IF(OR(AC361="-",V361&lt;5),0,IF(AC361&gt;7,1+IF(V361&gt;7,0.25,0),IF(AC361&gt;4,0.5+IF(V361&gt;7,0.25,0),0)))+IF(AD361="-",0,IF(AD361&gt;7,1.5,IF(AD361&gt;4,1,0)))+IF(AE361="-",0,IF(AE361&gt;9,0.5,IF(AE361&gt;7,0.25,0)))+IF(AF361="-",0,IF(AF361&gt;7,1.25,IF(AF361&gt;4,0.75,0)))+IF(OR(AG361="-",W361&lt;4),0,IF(AG361&gt;7,1+IF(W361&gt;7,0.15,0),IF(AG361&gt;4,0.5+IF(W361&gt;7,0.15,0),0))))</f>
        <v>0.75</v>
      </c>
      <c r="AQ361" s="46">
        <f>($AM$3*AM361+$AN$3*AN361+$AO$3*AO361+$AP$3*AP361)+$I$3*VLOOKUP(I361,COND!$A$2:$E$7,4,FALSE)+$J$3*VLOOKUP(J361,COND!$A$2:$C$7,2,FALSE)+$K$3*VLOOKUP(K361,COND!$A$2:$C$7,3,FALSE)+IF(AND($B$2&gt;0,$E361&lt;20),$B$2*25,0)</f>
        <v>37.472805172576031</v>
      </c>
      <c r="AR361" s="49">
        <f>STANDARDIZE(AQ361,AVERAGE($AQ$5:$AQ$537),STDEVP($AQ$5:$AQ$537))</f>
        <v>-0.5059149414932298</v>
      </c>
      <c r="AS361" s="47" t="str">
        <f>IF(AND(Z361&lt;&gt;"-",Y361&gt;1),"C",IF(AB361=MAX(AB361:AD361),"2B",IF(AD361=MAX(AB361:AD361),"SS",IF(OR(AC361=MAX(AA361:AD361),AND(AC361&lt;&gt;"-",AC361&gt;4,V361&gt;5)),"3B",IF(AF361=MAX(AE361:AG361),"CF",IF(AND(AG361=MAX(AE361,AG361),AND(W361&gt;5,AG361&lt;&gt;"-")),"RF",IF(AE361&lt;&gt;"-","LF",IF(AA361&lt;&gt;"-","1B","DH"))))))))</f>
        <v>CF</v>
      </c>
      <c r="AT361" s="47"/>
      <c r="AU361" s="47"/>
      <c r="AV361" s="47"/>
      <c r="AW361" s="47" t="str">
        <f>IF(AND($Q361&gt;=6,AVERAGE($S361:$T361)&gt;=6),"Likely",IF(OR($Q361&gt;6,AND($Q361=6,AVERAGE($S361:$T361)&gt;=3),AND($Q361&gt;=5,AVERAGE($S361:$T361)&gt;=5),AVERAGE($Q361,$S361:$T361)&gt;5),"Possible","Unlikely"))</f>
        <v>Unlikely</v>
      </c>
      <c r="AX361" s="47"/>
      <c r="AY361" s="47" t="str">
        <f>INDEX(Table5[[#All],[Ovr]],MATCH(Batters[[#This Row],[PID]],Table5[[#All],[PID]],0))</f>
        <v/>
      </c>
      <c r="AZ361" s="47" t="str">
        <f>INDEX(Table5[[#All],[Rnd]],MATCH(Batters[[#This Row],[PID]],Table5[[#All],[PID]],0))</f>
        <v/>
      </c>
      <c r="BA361" s="47" t="str">
        <f>INDEX(Table5[[#All],[Pick]],MATCH(Batters[[#This Row],[PID]],Table5[[#All],[PID]],0))</f>
        <v/>
      </c>
      <c r="BB361" s="47" t="str">
        <f>INDEX(Table5[[#All],[Team]],MATCH(Batters[[#This Row],[PID]],Table5[[#All],[PID]],0))</f>
        <v/>
      </c>
    </row>
    <row r="362" spans="1:54" ht="15" customHeight="1" x14ac:dyDescent="0.25">
      <c r="A362" s="42">
        <v>9629</v>
      </c>
      <c r="B362" s="42" t="s">
        <v>74</v>
      </c>
      <c r="C362" s="42" t="s">
        <v>125</v>
      </c>
      <c r="D362" s="42" t="s">
        <v>1138</v>
      </c>
      <c r="E362" s="42">
        <v>21</v>
      </c>
      <c r="F362" s="42" t="s">
        <v>42</v>
      </c>
      <c r="G362" s="42" t="s">
        <v>42</v>
      </c>
      <c r="H362" s="43" t="s">
        <v>709</v>
      </c>
      <c r="I362" s="44" t="s">
        <v>43</v>
      </c>
      <c r="J362" s="42" t="s">
        <v>44</v>
      </c>
      <c r="K362" s="43" t="s">
        <v>43</v>
      </c>
      <c r="L362" s="42">
        <v>2</v>
      </c>
      <c r="M362" s="42">
        <v>3</v>
      </c>
      <c r="N362" s="42">
        <v>2</v>
      </c>
      <c r="O362" s="42">
        <v>3</v>
      </c>
      <c r="P362" s="43">
        <v>1</v>
      </c>
      <c r="Q362" s="42">
        <v>3</v>
      </c>
      <c r="R362" s="42">
        <v>4</v>
      </c>
      <c r="S362" s="42">
        <v>3</v>
      </c>
      <c r="T362" s="42">
        <v>5</v>
      </c>
      <c r="U362" s="43">
        <v>3</v>
      </c>
      <c r="V362" s="42">
        <v>4</v>
      </c>
      <c r="W362" s="42">
        <v>7</v>
      </c>
      <c r="X362" s="42">
        <v>1</v>
      </c>
      <c r="Y362" s="43">
        <v>1</v>
      </c>
      <c r="Z362" s="42" t="s">
        <v>45</v>
      </c>
      <c r="AA362" s="42" t="s">
        <v>45</v>
      </c>
      <c r="AB362" s="42" t="s">
        <v>45</v>
      </c>
      <c r="AC362" s="42" t="s">
        <v>45</v>
      </c>
      <c r="AD362" s="42" t="s">
        <v>45</v>
      </c>
      <c r="AE362" s="42" t="s">
        <v>45</v>
      </c>
      <c r="AF362" s="42">
        <v>5</v>
      </c>
      <c r="AG362" s="43" t="s">
        <v>45</v>
      </c>
      <c r="AH362" s="42">
        <v>6</v>
      </c>
      <c r="AI362" s="42">
        <v>7</v>
      </c>
      <c r="AJ362" s="43">
        <v>10</v>
      </c>
      <c r="AK362" s="45" t="s">
        <v>45</v>
      </c>
      <c r="AL362" s="45" t="s">
        <v>47</v>
      </c>
      <c r="AM362" s="46">
        <f>($L$3*(L362-$Q$1)/$Q$2+$M$3*(M362-$R$1)/$R$2+$N$3*(N362-$S$1)/$S$2+$O$3*(O362-$T$1)/$T$2+$P$3*(P362-$U$1)/$U$2)/(SUM($L$3:$P$3))</f>
        <v>-1.3971871603444268</v>
      </c>
      <c r="AN362" s="46">
        <f>($L$3*(Q362-$Q$1)/$Q$2+$M$3*(R362-$R$1)/$R$2+$N$3*(S362-$S$1)/$S$2+$O$3*(T362-$T$1)/$T$2+$P$3*(U362-$U$1)/$U$2)/(SUM($L$3:$P$3))</f>
        <v>-0.6810581708458181</v>
      </c>
      <c r="AO362" s="47">
        <f>IF(AVERAGE(AH362:AI362)&gt;9,1,0)+IF(AVERAGE(AH362:AI362)&gt;7,1,0)+IF(AH362&gt;7,1,0)+IF(AI362&gt;7,1,0)+IF(AJ362&gt;8,1,0)+IF(AJ362&gt;6,1,0)</f>
        <v>2</v>
      </c>
      <c r="AP362" s="48">
        <f>MIN(2,IF(OR(Z362="-",X362&lt;5),0,1+IF(Y362&gt;7,0.35,IF(Y362&gt;5,0.1,0))+IF(Z362&gt;7,1+IF(X362&gt;7,0.25,0),IF(Z362&gt;4,0.5+IF(X362&gt;7,0.25,0),0+IF(X362&gt;7,0.25))))+IF(AA362="-",0,IF(AA362&gt;9,0.5,IF(AA362&gt;7,0.25,0)))+IF(AB362="-",0,IF(AB362&gt;7,1.1,IF(AB362&gt;4,0.6,0)))+IF(OR(AC362="-",V362&lt;5),0,IF(AC362&gt;7,1+IF(V362&gt;7,0.25,0),IF(AC362&gt;4,0.5+IF(V362&gt;7,0.25,0),0)))+IF(AD362="-",0,IF(AD362&gt;7,1.5,IF(AD362&gt;4,1,0)))+IF(AE362="-",0,IF(AE362&gt;9,0.5,IF(AE362&gt;7,0.25,0)))+IF(AF362="-",0,IF(AF362&gt;7,1.25,IF(AF362&gt;4,0.75,0)))+IF(OR(AG362="-",W362&lt;4),0,IF(AG362&gt;7,1+IF(W362&gt;7,0.15,0),IF(AG362&gt;4,0.5+IF(W362&gt;7,0.15,0),0))))</f>
        <v>0.75</v>
      </c>
      <c r="AQ362" s="46">
        <f>($AM$3*AM362+$AN$3*AN362+$AO$3*AO362+$AP$3*AP362)+$I$3*VLOOKUP(I362,COND!$A$2:$E$7,4,FALSE)+$J$3*VLOOKUP(J362,COND!$A$2:$C$7,2,FALSE)+$K$3*VLOOKUP(K362,COND!$A$2:$C$7,3,FALSE)+IF(AND($B$2&gt;0,$E362&lt;20),$B$2*25,0)</f>
        <v>37.470916567149075</v>
      </c>
      <c r="AR362" s="49">
        <f>STANDARDIZE(AQ362,AVERAGE($AQ$5:$AQ$537),STDEVP($AQ$5:$AQ$537))</f>
        <v>-0.50624722906585806</v>
      </c>
      <c r="AS362" s="47" t="str">
        <f>IF(AND(Z362&lt;&gt;"-",Y362&gt;1),"C",IF(AB362=MAX(AB362:AD362),"2B",IF(AD362=MAX(AB362:AD362),"SS",IF(OR(AC362=MAX(AA362:AD362),AND(AC362&lt;&gt;"-",AC362&gt;4,V362&gt;5)),"3B",IF(AF362=MAX(AE362:AG362),"CF",IF(AND(AG362=MAX(AE362,AG362),AND(W362&gt;5,AG362&lt;&gt;"-")),"RF",IF(AE362&lt;&gt;"-","LF",IF(AA362&lt;&gt;"-","1B","DH"))))))))</f>
        <v>CF</v>
      </c>
      <c r="AT362" s="47"/>
      <c r="AU362" s="47"/>
      <c r="AV362" s="47"/>
      <c r="AW362" s="47" t="str">
        <f>IF(AND($Q362&gt;=6,AVERAGE($S362:$T362)&gt;=6),"Likely",IF(OR($Q362&gt;6,AND($Q362=6,AVERAGE($S362:$T362)&gt;=3),AND($Q362&gt;=5,AVERAGE($S362:$T362)&gt;=5),AVERAGE($Q362,$S362:$T362)&gt;5),"Possible","Unlikely"))</f>
        <v>Unlikely</v>
      </c>
      <c r="AX362" s="47"/>
      <c r="AY362" s="47" t="str">
        <f>INDEX(Table5[[#All],[Ovr]],MATCH(Batters[[#This Row],[PID]],Table5[[#All],[PID]],0))</f>
        <v/>
      </c>
      <c r="AZ362" s="47" t="str">
        <f>INDEX(Table5[[#All],[Rnd]],MATCH(Batters[[#This Row],[PID]],Table5[[#All],[PID]],0))</f>
        <v/>
      </c>
      <c r="BA362" s="47" t="str">
        <f>INDEX(Table5[[#All],[Pick]],MATCH(Batters[[#This Row],[PID]],Table5[[#All],[PID]],0))</f>
        <v/>
      </c>
      <c r="BB362" s="47" t="str">
        <f>INDEX(Table5[[#All],[Team]],MATCH(Batters[[#This Row],[PID]],Table5[[#All],[PID]],0))</f>
        <v/>
      </c>
    </row>
    <row r="363" spans="1:54" ht="15" customHeight="1" x14ac:dyDescent="0.25">
      <c r="A363" s="42">
        <v>8266</v>
      </c>
      <c r="B363" s="42" t="s">
        <v>69</v>
      </c>
      <c r="C363" s="42" t="s">
        <v>831</v>
      </c>
      <c r="D363" s="42" t="s">
        <v>742</v>
      </c>
      <c r="E363" s="42">
        <v>21</v>
      </c>
      <c r="F363" s="42" t="s">
        <v>42</v>
      </c>
      <c r="G363" s="42" t="s">
        <v>42</v>
      </c>
      <c r="H363" s="43" t="s">
        <v>709</v>
      </c>
      <c r="I363" s="44" t="s">
        <v>43</v>
      </c>
      <c r="J363" s="42" t="s">
        <v>43</v>
      </c>
      <c r="K363" s="43" t="s">
        <v>47</v>
      </c>
      <c r="L363" s="42">
        <v>1</v>
      </c>
      <c r="M363" s="42">
        <v>2</v>
      </c>
      <c r="N363" s="42">
        <v>2</v>
      </c>
      <c r="O363" s="42">
        <v>2</v>
      </c>
      <c r="P363" s="43">
        <v>1</v>
      </c>
      <c r="Q363" s="42">
        <v>3</v>
      </c>
      <c r="R363" s="42">
        <v>3</v>
      </c>
      <c r="S363" s="42">
        <v>3</v>
      </c>
      <c r="T363" s="42">
        <v>4</v>
      </c>
      <c r="U363" s="43">
        <v>2</v>
      </c>
      <c r="V363" s="42">
        <v>9</v>
      </c>
      <c r="W363" s="42">
        <v>9</v>
      </c>
      <c r="X363" s="42">
        <v>1</v>
      </c>
      <c r="Y363" s="43">
        <v>1</v>
      </c>
      <c r="Z363" s="42" t="s">
        <v>45</v>
      </c>
      <c r="AA363" s="42" t="s">
        <v>45</v>
      </c>
      <c r="AB363" s="42" t="s">
        <v>45</v>
      </c>
      <c r="AC363" s="42">
        <v>7</v>
      </c>
      <c r="AD363" s="42">
        <v>4</v>
      </c>
      <c r="AE363" s="42" t="s">
        <v>45</v>
      </c>
      <c r="AF363" s="42" t="s">
        <v>45</v>
      </c>
      <c r="AG363" s="43" t="s">
        <v>45</v>
      </c>
      <c r="AH363" s="42">
        <v>10</v>
      </c>
      <c r="AI363" s="42">
        <v>7</v>
      </c>
      <c r="AJ363" s="43">
        <v>8</v>
      </c>
      <c r="AK363" s="45" t="s">
        <v>45</v>
      </c>
      <c r="AL363" s="45" t="s">
        <v>705</v>
      </c>
      <c r="AM363" s="46">
        <f>($L$3*(L363-$Q$1)/$Q$2+$M$3*(M363-$R$1)/$R$2+$N$3*(N363-$S$1)/$S$2+$O$3*(O363-$T$1)/$T$2+$P$3*(P363-$U$1)/$U$2)/(SUM($L$3:$P$3))</f>
        <v>-1.8605124261753858</v>
      </c>
      <c r="AN363" s="46">
        <f>($L$3*(Q363-$Q$1)/$Q$2+$M$3*(R363-$R$1)/$R$2+$N$3*(S363-$S$1)/$S$2+$O$3*(T363-$T$1)/$T$2+$P$3*(U363-$U$1)/$U$2)/(SUM($L$3:$P$3))</f>
        <v>-0.86184394029118594</v>
      </c>
      <c r="AO363" s="47">
        <f>IF(AVERAGE(AH363:AI363)&gt;9,1,0)+IF(AVERAGE(AH363:AI363)&gt;7,1,0)+IF(AH363&gt;7,1,0)+IF(AI363&gt;7,1,0)+IF(AJ363&gt;8,1,0)+IF(AJ363&gt;6,1,0)</f>
        <v>3</v>
      </c>
      <c r="AP363" s="48">
        <f>MIN(2,IF(OR(Z363="-",X363&lt;5),0,1+IF(Y363&gt;7,0.35,IF(Y363&gt;5,0.1,0))+IF(Z363&gt;7,1+IF(X363&gt;7,0.25,0),IF(Z363&gt;4,0.5+IF(X363&gt;7,0.25,0),0+IF(X363&gt;7,0.25))))+IF(AA363="-",0,IF(AA363&gt;9,0.5,IF(AA363&gt;7,0.25,0)))+IF(AB363="-",0,IF(AB363&gt;7,1.1,IF(AB363&gt;4,0.6,0)))+IF(OR(AC363="-",V363&lt;5),0,IF(AC363&gt;7,1+IF(V363&gt;7,0.25,0),IF(AC363&gt;4,0.5+IF(V363&gt;7,0.25,0),0)))+IF(AD363="-",0,IF(AD363&gt;7,1.5,IF(AD363&gt;4,1,0)))+IF(AE363="-",0,IF(AE363&gt;9,0.5,IF(AE363&gt;7,0.25,0)))+IF(AF363="-",0,IF(AF363&gt;7,1.25,IF(AF363&gt;4,0.75,0)))+IF(OR(AG363="-",W363&lt;4),0,IF(AG363&gt;7,1+IF(W363&gt;7,0.15,0),IF(AG363&gt;4,0.5+IF(W363&gt;7,0.15,0),0))))</f>
        <v>0.75</v>
      </c>
      <c r="AQ363" s="46">
        <f>($AM$3*AM363+$AN$3*AN363+$AO$3*AO363+$AP$3*AP363)+$I$3*VLOOKUP(I363,COND!$A$2:$E$7,4,FALSE)+$J$3*VLOOKUP(J363,COND!$A$2:$C$7,2,FALSE)+$K$3*VLOOKUP(K363,COND!$A$2:$C$7,3,FALSE)+IF(AND($B$2&gt;0,$E363&lt;20),$B$2*25,0)</f>
        <v>36.021821473888224</v>
      </c>
      <c r="AR363" s="49">
        <f>STANDARDIZE(AQ363,AVERAGE($AQ$5:$AQ$537),STDEVP($AQ$5:$AQ$537))</f>
        <v>-0.76120587959949204</v>
      </c>
      <c r="AS363" s="47" t="str">
        <f>IF(AND(Z363&lt;&gt;"-",Y363&gt;1),"C",IF(AB363=MAX(AB363:AD363),"2B",IF(AD363=MAX(AB363:AD363),"SS",IF(OR(AC363=MAX(AA363:AD363),AND(AC363&lt;&gt;"-",AC363&gt;4,V363&gt;5)),"3B",IF(AF363=MAX(AE363:AG363),"CF",IF(AND(AG363=MAX(AE363,AG363),AND(W363&gt;5,AG363&lt;&gt;"-")),"RF",IF(AE363&lt;&gt;"-","LF",IF(AA363&lt;&gt;"-","1B","DH"))))))))</f>
        <v>3B</v>
      </c>
      <c r="AT363" s="47"/>
      <c r="AU363" s="47"/>
      <c r="AV363" s="47"/>
      <c r="AW363" s="47" t="str">
        <f>IF(AND($Q363&gt;=6,AVERAGE($S363:$T363)&gt;=6),"Likely",IF(OR($Q363&gt;6,AND($Q363=6,AVERAGE($S363:$T363)&gt;=3),AND($Q363&gt;=5,AVERAGE($S363:$T363)&gt;=5),AVERAGE($Q363,$S363:$T363)&gt;5),"Possible","Unlikely"))</f>
        <v>Unlikely</v>
      </c>
      <c r="AX363" s="47"/>
      <c r="AY363" s="47" t="str">
        <f>INDEX(Table5[[#All],[Ovr]],MATCH(Batters[[#This Row],[PID]],Table5[[#All],[PID]],0))</f>
        <v/>
      </c>
      <c r="AZ363" s="47" t="str">
        <f>INDEX(Table5[[#All],[Rnd]],MATCH(Batters[[#This Row],[PID]],Table5[[#All],[PID]],0))</f>
        <v/>
      </c>
      <c r="BA363" s="47" t="str">
        <f>INDEX(Table5[[#All],[Pick]],MATCH(Batters[[#This Row],[PID]],Table5[[#All],[PID]],0))</f>
        <v/>
      </c>
      <c r="BB363" s="47" t="str">
        <f>INDEX(Table5[[#All],[Team]],MATCH(Batters[[#This Row],[PID]],Table5[[#All],[PID]],0))</f>
        <v/>
      </c>
    </row>
    <row r="364" spans="1:54" ht="15" customHeight="1" x14ac:dyDescent="0.25">
      <c r="A364" s="42">
        <v>9003</v>
      </c>
      <c r="B364" s="42" t="s">
        <v>87</v>
      </c>
      <c r="C364" s="42" t="s">
        <v>140</v>
      </c>
      <c r="D364" s="42" t="s">
        <v>1174</v>
      </c>
      <c r="E364" s="42">
        <v>18</v>
      </c>
      <c r="F364" s="42" t="s">
        <v>42</v>
      </c>
      <c r="G364" s="42" t="s">
        <v>42</v>
      </c>
      <c r="H364" s="43" t="s">
        <v>721</v>
      </c>
      <c r="I364" s="44" t="s">
        <v>43</v>
      </c>
      <c r="J364" s="42" t="s">
        <v>44</v>
      </c>
      <c r="K364" s="43" t="s">
        <v>43</v>
      </c>
      <c r="L364" s="42">
        <v>1</v>
      </c>
      <c r="M364" s="42">
        <v>1</v>
      </c>
      <c r="N364" s="42">
        <v>2</v>
      </c>
      <c r="O364" s="42">
        <v>1</v>
      </c>
      <c r="P364" s="43">
        <v>1</v>
      </c>
      <c r="Q364" s="42">
        <v>3</v>
      </c>
      <c r="R364" s="42">
        <v>1</v>
      </c>
      <c r="S364" s="42">
        <v>2</v>
      </c>
      <c r="T364" s="42">
        <v>4</v>
      </c>
      <c r="U364" s="43">
        <v>3</v>
      </c>
      <c r="V364" s="42">
        <v>5</v>
      </c>
      <c r="W364" s="42">
        <v>2</v>
      </c>
      <c r="X364" s="42">
        <v>1</v>
      </c>
      <c r="Y364" s="43">
        <v>1</v>
      </c>
      <c r="Z364" s="42" t="s">
        <v>45</v>
      </c>
      <c r="AA364" s="42">
        <v>2</v>
      </c>
      <c r="AB364" s="42" t="s">
        <v>45</v>
      </c>
      <c r="AC364" s="42" t="s">
        <v>45</v>
      </c>
      <c r="AD364" s="42" t="s">
        <v>45</v>
      </c>
      <c r="AE364" s="42" t="s">
        <v>45</v>
      </c>
      <c r="AF364" s="42" t="s">
        <v>45</v>
      </c>
      <c r="AG364" s="43" t="s">
        <v>45</v>
      </c>
      <c r="AH364" s="42">
        <v>1</v>
      </c>
      <c r="AI364" s="42">
        <v>1</v>
      </c>
      <c r="AJ364" s="43">
        <v>2</v>
      </c>
      <c r="AK364" s="45" t="s">
        <v>718</v>
      </c>
      <c r="AL364" s="45" t="s">
        <v>47</v>
      </c>
      <c r="AM364" s="46">
        <f>($L$3*(L364-$Q$1)/$Q$2+$M$3*(M364-$R$1)/$R$2+$N$3*(N364-$S$1)/$S$2+$O$3*(O364-$T$1)/$T$2+$P$3*(P364-$U$1)/$U$2)/(SUM($L$3:$P$3))</f>
        <v>-2.0012818558036707</v>
      </c>
      <c r="AN364" s="46">
        <f>($L$3*(Q364-$Q$1)/$Q$2+$M$3*(R364-$R$1)/$R$2+$N$3*(S364-$S$1)/$S$2+$O$3*(T364-$T$1)/$T$2+$P$3*(U364-$U$1)/$U$2)/(SUM($L$3:$P$3))</f>
        <v>-1.0070088537354109</v>
      </c>
      <c r="AO364" s="47">
        <f>IF(AVERAGE(AH364:AI364)&gt;9,1,0)+IF(AVERAGE(AH364:AI364)&gt;7,1,0)+IF(AH364&gt;7,1,0)+IF(AI364&gt;7,1,0)+IF(AJ364&gt;8,1,0)+IF(AJ364&gt;6,1,0)</f>
        <v>0</v>
      </c>
      <c r="AP364" s="48">
        <f>MIN(2,IF(OR(Z364="-",X364&lt;5),0,1+IF(Y364&gt;7,0.35,IF(Y364&gt;5,0.1,0))+IF(Z364&gt;7,1+IF(X364&gt;7,0.25,0),IF(Z364&gt;4,0.5+IF(X364&gt;7,0.25,0),0+IF(X364&gt;7,0.25))))+IF(AA364="-",0,IF(AA364&gt;9,0.5,IF(AA364&gt;7,0.25,0)))+IF(AB364="-",0,IF(AB364&gt;7,1.1,IF(AB364&gt;4,0.6,0)))+IF(OR(AC364="-",V364&lt;5),0,IF(AC364&gt;7,1+IF(V364&gt;7,0.25,0),IF(AC364&gt;4,0.5+IF(V364&gt;7,0.25,0),0)))+IF(AD364="-",0,IF(AD364&gt;7,1.5,IF(AD364&gt;4,1,0)))+IF(AE364="-",0,IF(AE364&gt;9,0.5,IF(AE364&gt;7,0.25,0)))+IF(AF364="-",0,IF(AF364&gt;7,1.25,IF(AF364&gt;4,0.75,0)))+IF(OR(AG364="-",W364&lt;4),0,IF(AG364&gt;7,1+IF(W364&gt;7,0.15,0),IF(AG364&gt;4,0.5+IF(W364&gt;7,0.15,0),0))))</f>
        <v>0</v>
      </c>
      <c r="AQ364" s="46">
        <f>($AM$3*AM364+$AN$3*AN364+$AO$3*AO364+$AP$3*AP364)+$I$3*VLOOKUP(I364,COND!$A$2:$E$7,4,FALSE)+$J$3*VLOOKUP(J364,COND!$A$2:$C$7,2,FALSE)+$K$3*VLOOKUP(K364,COND!$A$2:$C$7,3,FALSE)+IF(AND($B$2&gt;0,$E364&lt;20),$B$2*25,0)</f>
        <v>37.415765569594704</v>
      </c>
      <c r="AR364" s="49">
        <f>STANDARDIZE(AQ364,AVERAGE($AQ$5:$AQ$537),STDEVP($AQ$5:$AQ$537))</f>
        <v>-0.51595068053528825</v>
      </c>
      <c r="AS364" s="47" t="str">
        <f>IF(AND(Z364&lt;&gt;"-",Y364&gt;1),"C",IF(AB364=MAX(AB364:AD364),"2B",IF(AD364=MAX(AB364:AD364),"SS",IF(OR(AC364=MAX(AA364:AD364),AND(AC364&lt;&gt;"-",AC364&gt;4,V364&gt;5)),"3B",IF(AF364=MAX(AE364:AG364),"CF",IF(AND(AG364=MAX(AE364,AG364),AND(W364&gt;5,AG364&lt;&gt;"-")),"RF",IF(AE364&lt;&gt;"-","LF",IF(AA364&lt;&gt;"-","1B","DH"))))))))</f>
        <v>1B</v>
      </c>
      <c r="AT364" s="47"/>
      <c r="AU364" s="47"/>
      <c r="AV364" s="47"/>
      <c r="AW364" s="47" t="str">
        <f>IF(AND($Q364&gt;=6,AVERAGE($S364:$T364)&gt;=6),"Likely",IF(OR($Q364&gt;6,AND($Q364=6,AVERAGE($S364:$T364)&gt;=3),AND($Q364&gt;=5,AVERAGE($S364:$T364)&gt;=5),AVERAGE($Q364,$S364:$T364)&gt;5),"Possible","Unlikely"))</f>
        <v>Unlikely</v>
      </c>
      <c r="AX364" s="47"/>
      <c r="AY364" s="47" t="str">
        <f>INDEX(Table5[[#All],[Ovr]],MATCH(Batters[[#This Row],[PID]],Table5[[#All],[PID]],0))</f>
        <v/>
      </c>
      <c r="AZ364" s="47" t="str">
        <f>INDEX(Table5[[#All],[Rnd]],MATCH(Batters[[#This Row],[PID]],Table5[[#All],[PID]],0))</f>
        <v/>
      </c>
      <c r="BA364" s="47" t="str">
        <f>INDEX(Table5[[#All],[Pick]],MATCH(Batters[[#This Row],[PID]],Table5[[#All],[PID]],0))</f>
        <v/>
      </c>
      <c r="BB364" s="47" t="str">
        <f>INDEX(Table5[[#All],[Team]],MATCH(Batters[[#This Row],[PID]],Table5[[#All],[PID]],0))</f>
        <v/>
      </c>
    </row>
    <row r="365" spans="1:54" ht="15" customHeight="1" x14ac:dyDescent="0.25">
      <c r="A365" s="42">
        <v>10494</v>
      </c>
      <c r="B365" s="42" t="s">
        <v>86</v>
      </c>
      <c r="C365" s="42" t="s">
        <v>1212</v>
      </c>
      <c r="D365" s="42" t="s">
        <v>1213</v>
      </c>
      <c r="E365" s="42">
        <v>21</v>
      </c>
      <c r="F365" s="42" t="s">
        <v>62</v>
      </c>
      <c r="G365" s="42" t="s">
        <v>42</v>
      </c>
      <c r="H365" s="43" t="s">
        <v>709</v>
      </c>
      <c r="I365" s="44" t="s">
        <v>43</v>
      </c>
      <c r="J365" s="42" t="s">
        <v>43</v>
      </c>
      <c r="K365" s="43" t="s">
        <v>43</v>
      </c>
      <c r="L365" s="42">
        <v>2</v>
      </c>
      <c r="M365" s="42">
        <v>2</v>
      </c>
      <c r="N365" s="42">
        <v>2</v>
      </c>
      <c r="O365" s="42">
        <v>2</v>
      </c>
      <c r="P365" s="43">
        <v>2</v>
      </c>
      <c r="Q365" s="42">
        <v>3</v>
      </c>
      <c r="R365" s="42">
        <v>4</v>
      </c>
      <c r="S365" s="42">
        <v>3</v>
      </c>
      <c r="T365" s="42">
        <v>5</v>
      </c>
      <c r="U365" s="43">
        <v>3</v>
      </c>
      <c r="V365" s="42">
        <v>4</v>
      </c>
      <c r="W365" s="42">
        <v>4</v>
      </c>
      <c r="X365" s="42">
        <v>5</v>
      </c>
      <c r="Y365" s="43">
        <v>4</v>
      </c>
      <c r="Z365" s="42" t="s">
        <v>45</v>
      </c>
      <c r="AA365" s="42" t="s">
        <v>45</v>
      </c>
      <c r="AB365" s="42" t="s">
        <v>45</v>
      </c>
      <c r="AC365" s="42" t="s">
        <v>45</v>
      </c>
      <c r="AD365" s="42" t="s">
        <v>45</v>
      </c>
      <c r="AE365" s="42" t="s">
        <v>45</v>
      </c>
      <c r="AF365" s="42" t="s">
        <v>45</v>
      </c>
      <c r="AG365" s="43" t="s">
        <v>45</v>
      </c>
      <c r="AH365" s="42">
        <v>1</v>
      </c>
      <c r="AI365" s="42">
        <v>1</v>
      </c>
      <c r="AJ365" s="43">
        <v>1</v>
      </c>
      <c r="AK365" s="45" t="s">
        <v>45</v>
      </c>
      <c r="AL365" s="45" t="s">
        <v>47</v>
      </c>
      <c r="AM365" s="46">
        <f>($L$3*(L365-$Q$1)/$Q$2+$M$3*(M365-$R$1)/$R$2+$N$3*(N365-$S$1)/$S$2+$O$3*(O365-$T$1)/$T$2+$P$3*(P365-$U$1)/$U$2)/(SUM($L$3:$P$3))</f>
        <v>-1.4979402501556278</v>
      </c>
      <c r="AN365" s="46">
        <f>($L$3*(Q365-$Q$1)/$Q$2+$M$3*(R365-$R$1)/$R$2+$N$3*(S365-$S$1)/$S$2+$O$3*(T365-$T$1)/$T$2+$P$3*(U365-$U$1)/$U$2)/(SUM($L$3:$P$3))</f>
        <v>-0.6810581708458181</v>
      </c>
      <c r="AO365" s="47">
        <f>IF(AVERAGE(AH365:AI365)&gt;9,1,0)+IF(AVERAGE(AH365:AI365)&gt;7,1,0)+IF(AH365&gt;7,1,0)+IF(AI365&gt;7,1,0)+IF(AJ365&gt;8,1,0)+IF(AJ365&gt;6,1,0)</f>
        <v>0</v>
      </c>
      <c r="AP365" s="48">
        <f>MIN(2,IF(OR(Z365="-",X365&lt;5),0,1+IF(Y365&gt;7,0.35,IF(Y365&gt;5,0.1,0))+IF(Z365&gt;7,1+IF(X365&gt;7,0.25,0),IF(Z365&gt;4,0.5+IF(X365&gt;7,0.25,0),0+IF(X365&gt;7,0.25))))+IF(AA365="-",0,IF(AA365&gt;9,0.5,IF(AA365&gt;7,0.25,0)))+IF(AB365="-",0,IF(AB365&gt;7,1.1,IF(AB365&gt;4,0.6,0)))+IF(OR(AC365="-",V365&lt;5),0,IF(AC365&gt;7,1+IF(V365&gt;7,0.25,0),IF(AC365&gt;4,0.5+IF(V365&gt;7,0.25,0),0)))+IF(AD365="-",0,IF(AD365&gt;7,1.5,IF(AD365&gt;4,1,0)))+IF(AE365="-",0,IF(AE365&gt;9,0.5,IF(AE365&gt;7,0.25,0)))+IF(AF365="-",0,IF(AF365&gt;7,1.25,IF(AF365&gt;4,0.75,0)))+IF(OR(AG365="-",W365&lt;4),0,IF(AG365&gt;7,1+IF(W365&gt;7,0.15,0),IF(AG365&gt;4,0.5+IF(W365&gt;7,0.15,0),0))))</f>
        <v>0</v>
      </c>
      <c r="AQ365" s="46">
        <f>($AM$3*AM365+$AN$3*AN365+$AO$3*AO365+$AP$3*AP365)+$I$3*VLOOKUP(I365,COND!$A$2:$E$7,4,FALSE)+$J$3*VLOOKUP(J365,COND!$A$2:$C$7,2,FALSE)+$K$3*VLOOKUP(K365,COND!$A$2:$C$7,3,FALSE)+IF(AND($B$2&gt;0,$E365&lt;20),$B$2*25,0)</f>
        <v>36.677507924834622</v>
      </c>
      <c r="AR365" s="49">
        <f>STANDARDIZE(AQ365,AVERAGE($AQ$5:$AQ$537),STDEVP($AQ$5:$AQ$537))</f>
        <v>-0.64584220644654688</v>
      </c>
      <c r="AS365" s="47" t="str">
        <f>IF(AND(Z365&lt;&gt;"-",Y365&gt;1),"C",IF(AB365=MAX(AB365:AD365),"2B",IF(AD365=MAX(AB365:AD365),"SS",IF(OR(AC365=MAX(AA365:AD365),AND(AC365&lt;&gt;"-",AC365&gt;4,V365&gt;5)),"3B",IF(AF365=MAX(AE365:AG365),"CF",IF(AND(AG365=MAX(AE365,AG365),AND(W365&gt;5,AG365&lt;&gt;"-")),"RF",IF(AE365&lt;&gt;"-","LF",IF(AA365&lt;&gt;"-","1B","DH"))))))))</f>
        <v>DH</v>
      </c>
      <c r="AT365" s="47"/>
      <c r="AU365" s="47"/>
      <c r="AV365" s="47"/>
      <c r="AW365" s="47" t="str">
        <f>IF(AND($Q365&gt;=6,AVERAGE($S365:$T365)&gt;=6),"Likely",IF(OR($Q365&gt;6,AND($Q365=6,AVERAGE($S365:$T365)&gt;=3),AND($Q365&gt;=5,AVERAGE($S365:$T365)&gt;=5),AVERAGE($Q365,$S365:$T365)&gt;5),"Possible","Unlikely"))</f>
        <v>Unlikely</v>
      </c>
      <c r="AX365" s="47"/>
      <c r="AY365" s="47" t="str">
        <f>INDEX(Table5[[#All],[Ovr]],MATCH(Batters[[#This Row],[PID]],Table5[[#All],[PID]],0))</f>
        <v/>
      </c>
      <c r="AZ365" s="47" t="str">
        <f>INDEX(Table5[[#All],[Rnd]],MATCH(Batters[[#This Row],[PID]],Table5[[#All],[PID]],0))</f>
        <v/>
      </c>
      <c r="BA365" s="47" t="str">
        <f>INDEX(Table5[[#All],[Pick]],MATCH(Batters[[#This Row],[PID]],Table5[[#All],[PID]],0))</f>
        <v/>
      </c>
      <c r="BB365" s="47" t="str">
        <f>INDEX(Table5[[#All],[Team]],MATCH(Batters[[#This Row],[PID]],Table5[[#All],[PID]],0))</f>
        <v/>
      </c>
    </row>
    <row r="366" spans="1:54" ht="15" customHeight="1" x14ac:dyDescent="0.25">
      <c r="A366" s="42">
        <v>13252</v>
      </c>
      <c r="B366" s="42" t="s">
        <v>87</v>
      </c>
      <c r="C366" s="42" t="s">
        <v>139</v>
      </c>
      <c r="D366" s="42" t="s">
        <v>1340</v>
      </c>
      <c r="E366" s="42">
        <v>18</v>
      </c>
      <c r="F366" s="42" t="s">
        <v>42</v>
      </c>
      <c r="G366" s="42" t="s">
        <v>42</v>
      </c>
      <c r="H366" s="43" t="s">
        <v>721</v>
      </c>
      <c r="I366" s="44" t="s">
        <v>43</v>
      </c>
      <c r="J366" s="42" t="s">
        <v>43</v>
      </c>
      <c r="K366" s="43" t="s">
        <v>43</v>
      </c>
      <c r="L366" s="42">
        <v>1</v>
      </c>
      <c r="M366" s="42">
        <v>1</v>
      </c>
      <c r="N366" s="42">
        <v>2</v>
      </c>
      <c r="O366" s="42">
        <v>2</v>
      </c>
      <c r="P366" s="43">
        <v>1</v>
      </c>
      <c r="Q366" s="42">
        <v>2</v>
      </c>
      <c r="R366" s="42">
        <v>3</v>
      </c>
      <c r="S366" s="42">
        <v>3</v>
      </c>
      <c r="T366" s="42">
        <v>5</v>
      </c>
      <c r="U366" s="43">
        <v>2</v>
      </c>
      <c r="V366" s="42">
        <v>2</v>
      </c>
      <c r="W366" s="42">
        <v>1</v>
      </c>
      <c r="X366" s="42">
        <v>3</v>
      </c>
      <c r="Y366" s="43">
        <v>4</v>
      </c>
      <c r="Z366" s="42" t="s">
        <v>45</v>
      </c>
      <c r="AA366" s="42">
        <v>2</v>
      </c>
      <c r="AB366" s="42" t="s">
        <v>45</v>
      </c>
      <c r="AC366" s="42" t="s">
        <v>45</v>
      </c>
      <c r="AD366" s="42" t="s">
        <v>45</v>
      </c>
      <c r="AE366" s="42" t="s">
        <v>45</v>
      </c>
      <c r="AF366" s="42" t="s">
        <v>45</v>
      </c>
      <c r="AG366" s="43" t="s">
        <v>45</v>
      </c>
      <c r="AH366" s="42">
        <v>1</v>
      </c>
      <c r="AI366" s="42">
        <v>1</v>
      </c>
      <c r="AJ366" s="43">
        <v>1</v>
      </c>
      <c r="AK366" s="45" t="s">
        <v>718</v>
      </c>
      <c r="AL366" s="45" t="s">
        <v>47</v>
      </c>
      <c r="AM366" s="46">
        <f>($L$3*(L366-$Q$1)/$Q$2+$M$3*(M366-$R$1)/$R$2+$N$3*(N366-$S$1)/$S$2+$O$3*(O366-$T$1)/$T$2+$P$3*(P366-$U$1)/$U$2)/(SUM($L$3:$P$3))</f>
        <v>-1.9115723057940897</v>
      </c>
      <c r="AN366" s="46">
        <f>($L$3*(Q366-$Q$1)/$Q$2+$M$3*(R366-$R$1)/$R$2+$N$3*(S366-$S$1)/$S$2+$O$3*(T366-$T$1)/$T$2+$P$3*(U366-$U$1)/$U$2)/(SUM($L$3:$P$3))</f>
        <v>-1.0946902264842799</v>
      </c>
      <c r="AO366" s="47">
        <f>IF(AVERAGE(AH366:AI366)&gt;9,1,0)+IF(AVERAGE(AH366:AI366)&gt;7,1,0)+IF(AH366&gt;7,1,0)+IF(AI366&gt;7,1,0)+IF(AJ366&gt;8,1,0)+IF(AJ366&gt;6,1,0)</f>
        <v>0</v>
      </c>
      <c r="AP366" s="48">
        <f>MIN(2,IF(OR(Z366="-",X366&lt;5),0,1+IF(Y366&gt;7,0.35,IF(Y366&gt;5,0.1,0))+IF(Z366&gt;7,1+IF(X366&gt;7,0.25,0),IF(Z366&gt;4,0.5+IF(X366&gt;7,0.25,0),0+IF(X366&gt;7,0.25))))+IF(AA366="-",0,IF(AA366&gt;9,0.5,IF(AA366&gt;7,0.25,0)))+IF(AB366="-",0,IF(AB366&gt;7,1.1,IF(AB366&gt;4,0.6,0)))+IF(OR(AC366="-",V366&lt;5),0,IF(AC366&gt;7,1+IF(V366&gt;7,0.25,0),IF(AC366&gt;4,0.5+IF(V366&gt;7,0.25,0),0)))+IF(AD366="-",0,IF(AD366&gt;7,1.5,IF(AD366&gt;4,1,0)))+IF(AE366="-",0,IF(AE366&gt;9,0.5,IF(AE366&gt;7,0.25,0)))+IF(AF366="-",0,IF(AF366&gt;7,1.25,IF(AF366&gt;4,0.75,0)))+IF(OR(AG366="-",W366&lt;4),0,IF(AG366&gt;7,1+IF(W366&gt;7,0.15,0),IF(AG366&gt;4,0.5+IF(W366&gt;7,0.15,0),0))))</f>
        <v>0</v>
      </c>
      <c r="AQ366" s="46">
        <f>($AM$3*AM366+$AN$3*AN366+$AO$3*AO366+$AP$3*AP366)+$I$3*VLOOKUP(I366,COND!$A$2:$E$7,4,FALSE)+$J$3*VLOOKUP(J366,COND!$A$2:$C$7,2,FALSE)+$K$3*VLOOKUP(K366,COND!$A$2:$C$7,3,FALSE)+IF(AND($B$2&gt;0,$E366&lt;20),$B$2*25,0)</f>
        <v>36.672560051609231</v>
      </c>
      <c r="AR366" s="49">
        <f>STANDARDIZE(AQ366,AVERAGE($AQ$5:$AQ$537),STDEVP($AQ$5:$AQ$537))</f>
        <v>-0.64671275185548782</v>
      </c>
      <c r="AS366" s="47" t="str">
        <f>IF(AND(Z366&lt;&gt;"-",Y366&gt;1),"C",IF(AB366=MAX(AB366:AD366),"2B",IF(AD366=MAX(AB366:AD366),"SS",IF(OR(AC366=MAX(AA366:AD366),AND(AC366&lt;&gt;"-",AC366&gt;4,V366&gt;5)),"3B",IF(AF366=MAX(AE366:AG366),"CF",IF(AND(AG366=MAX(AE366,AG366),AND(W366&gt;5,AG366&lt;&gt;"-")),"RF",IF(AE366&lt;&gt;"-","LF",IF(AA366&lt;&gt;"-","1B","DH"))))))))</f>
        <v>1B</v>
      </c>
      <c r="AT366" s="47"/>
      <c r="AU366" s="47"/>
      <c r="AV366" s="47"/>
      <c r="AW366" s="47" t="str">
        <f>IF(AND($Q366&gt;=6,AVERAGE($S366:$T366)&gt;=6),"Likely",IF(OR($Q366&gt;6,AND($Q366=6,AVERAGE($S366:$T366)&gt;=3),AND($Q366&gt;=5,AVERAGE($S366:$T366)&gt;=5),AVERAGE($Q366,$S366:$T366)&gt;5),"Possible","Unlikely"))</f>
        <v>Unlikely</v>
      </c>
      <c r="AX366" s="47"/>
      <c r="AY366" s="47" t="str">
        <f>INDEX(Table5[[#All],[Ovr]],MATCH(Batters[[#This Row],[PID]],Table5[[#All],[PID]],0))</f>
        <v/>
      </c>
      <c r="AZ366" s="47" t="str">
        <f>INDEX(Table5[[#All],[Rnd]],MATCH(Batters[[#This Row],[PID]],Table5[[#All],[PID]],0))</f>
        <v/>
      </c>
      <c r="BA366" s="47" t="str">
        <f>INDEX(Table5[[#All],[Pick]],MATCH(Batters[[#This Row],[PID]],Table5[[#All],[PID]],0))</f>
        <v/>
      </c>
      <c r="BB366" s="47" t="str">
        <f>INDEX(Table5[[#All],[Team]],MATCH(Batters[[#This Row],[PID]],Table5[[#All],[PID]],0))</f>
        <v/>
      </c>
    </row>
    <row r="367" spans="1:54" ht="15" customHeight="1" x14ac:dyDescent="0.25">
      <c r="A367" s="42">
        <v>8338</v>
      </c>
      <c r="B367" s="42" t="s">
        <v>72</v>
      </c>
      <c r="C367" s="42" t="s">
        <v>368</v>
      </c>
      <c r="D367" s="42" t="s">
        <v>296</v>
      </c>
      <c r="E367" s="42">
        <v>22</v>
      </c>
      <c r="F367" s="42" t="s">
        <v>62</v>
      </c>
      <c r="G367" s="42" t="s">
        <v>42</v>
      </c>
      <c r="H367" s="43" t="s">
        <v>703</v>
      </c>
      <c r="I367" s="44" t="s">
        <v>43</v>
      </c>
      <c r="J367" s="42" t="s">
        <v>44</v>
      </c>
      <c r="K367" s="43" t="s">
        <v>43</v>
      </c>
      <c r="L367" s="42">
        <v>1</v>
      </c>
      <c r="M367" s="42">
        <v>3</v>
      </c>
      <c r="N367" s="42">
        <v>2</v>
      </c>
      <c r="O367" s="42">
        <v>3</v>
      </c>
      <c r="P367" s="43">
        <v>1</v>
      </c>
      <c r="Q367" s="42">
        <v>3</v>
      </c>
      <c r="R367" s="42">
        <v>4</v>
      </c>
      <c r="S367" s="42">
        <v>3</v>
      </c>
      <c r="T367" s="42">
        <v>5</v>
      </c>
      <c r="U367" s="43">
        <v>3</v>
      </c>
      <c r="V367" s="42">
        <v>8</v>
      </c>
      <c r="W367" s="42">
        <v>7</v>
      </c>
      <c r="X367" s="42">
        <v>1</v>
      </c>
      <c r="Y367" s="43">
        <v>1</v>
      </c>
      <c r="Z367" s="42" t="s">
        <v>45</v>
      </c>
      <c r="AA367" s="42" t="s">
        <v>45</v>
      </c>
      <c r="AB367" s="42" t="s">
        <v>45</v>
      </c>
      <c r="AC367" s="42" t="s">
        <v>45</v>
      </c>
      <c r="AD367" s="42">
        <v>7</v>
      </c>
      <c r="AE367" s="42" t="s">
        <v>45</v>
      </c>
      <c r="AF367" s="42">
        <v>1</v>
      </c>
      <c r="AG367" s="43" t="s">
        <v>45</v>
      </c>
      <c r="AH367" s="42">
        <v>3</v>
      </c>
      <c r="AI367" s="42">
        <v>4</v>
      </c>
      <c r="AJ367" s="43">
        <v>5</v>
      </c>
      <c r="AK367" s="45" t="s">
        <v>45</v>
      </c>
      <c r="AL367" s="45" t="s">
        <v>705</v>
      </c>
      <c r="AM367" s="46">
        <f>($L$3*(L367-$Q$1)/$Q$2+$M$3*(M367-$R$1)/$R$2+$N$3*(N367-$S$1)/$S$2+$O$3*(O367-$T$1)/$T$2+$P$3*(P367-$U$1)/$U$2)/(SUM($L$3:$P$3))</f>
        <v>-1.7197429965471014</v>
      </c>
      <c r="AN367" s="46">
        <f>($L$3*(Q367-$Q$1)/$Q$2+$M$3*(R367-$R$1)/$R$2+$N$3*(S367-$S$1)/$S$2+$O$3*(T367-$T$1)/$T$2+$P$3*(U367-$U$1)/$U$2)/(SUM($L$3:$P$3))</f>
        <v>-0.6810581708458181</v>
      </c>
      <c r="AO367" s="47">
        <f>IF(AVERAGE(AH367:AI367)&gt;9,1,0)+IF(AVERAGE(AH367:AI367)&gt;7,1,0)+IF(AH367&gt;7,1,0)+IF(AI367&gt;7,1,0)+IF(AJ367&gt;8,1,0)+IF(AJ367&gt;6,1,0)</f>
        <v>0</v>
      </c>
      <c r="AP367" s="48">
        <f>MIN(2,IF(OR(Z367="-",X367&lt;5),0,1+IF(Y367&gt;7,0.35,IF(Y367&gt;5,0.1,0))+IF(Z367&gt;7,1+IF(X367&gt;7,0.25,0),IF(Z367&gt;4,0.5+IF(X367&gt;7,0.25,0),0+IF(X367&gt;7,0.25))))+IF(AA367="-",0,IF(AA367&gt;9,0.5,IF(AA367&gt;7,0.25,0)))+IF(AB367="-",0,IF(AB367&gt;7,1.1,IF(AB367&gt;4,0.6,0)))+IF(OR(AC367="-",V367&lt;5),0,IF(AC367&gt;7,1+IF(V367&gt;7,0.25,0),IF(AC367&gt;4,0.5+IF(V367&gt;7,0.25,0),0)))+IF(AD367="-",0,IF(AD367&gt;7,1.5,IF(AD367&gt;4,1,0)))+IF(AE367="-",0,IF(AE367&gt;9,0.5,IF(AE367&gt;7,0.25,0)))+IF(AF367="-",0,IF(AF367&gt;7,1.25,IF(AF367&gt;4,0.75,0)))+IF(OR(AG367="-",W367&lt;4),0,IF(AG367&gt;7,1+IF(W367&gt;7,0.15,0),IF(AG367&gt;4,0.5+IF(W367&gt;7,0.15,0),0))))</f>
        <v>1</v>
      </c>
      <c r="AQ367" s="46">
        <f>($AM$3*AM367+$AN$3*AN367+$AO$3*AO367+$AP$3*AP367)+$I$3*VLOOKUP(I367,COND!$A$2:$E$7,4,FALSE)+$J$3*VLOOKUP(J367,COND!$A$2:$C$7,2,FALSE)+$K$3*VLOOKUP(K367,COND!$A$2:$C$7,3,FALSE)+IF(AND($B$2&gt;0,$E367&lt;20),$B$2*25,0)</f>
        <v>37.35532765019547</v>
      </c>
      <c r="AR367" s="49">
        <f>STANDARDIZE(AQ367,AVERAGE($AQ$5:$AQ$537),STDEVP($AQ$5:$AQ$537))</f>
        <v>-0.52658433076483568</v>
      </c>
      <c r="AS367" s="47" t="str">
        <f>IF(AND(Z367&lt;&gt;"-",Y367&gt;1),"C",IF(AB367=MAX(AB367:AD367),"2B",IF(AD367=MAX(AB367:AD367),"SS",IF(OR(AC367=MAX(AA367:AD367),AND(AC367&lt;&gt;"-",AC367&gt;4,V367&gt;5)),"3B",IF(AF367=MAX(AE367:AG367),"CF",IF(AND(AG367=MAX(AE367,AG367),AND(W367&gt;5,AG367&lt;&gt;"-")),"RF",IF(AE367&lt;&gt;"-","LF",IF(AA367&lt;&gt;"-","1B","DH"))))))))</f>
        <v>SS</v>
      </c>
      <c r="AT367" s="47"/>
      <c r="AU367" s="47"/>
      <c r="AV367" s="47"/>
      <c r="AW367" s="47" t="str">
        <f>IF(AND($Q367&gt;=6,AVERAGE($S367:$T367)&gt;=6),"Likely",IF(OR($Q367&gt;6,AND($Q367=6,AVERAGE($S367:$T367)&gt;=3),AND($Q367&gt;=5,AVERAGE($S367:$T367)&gt;=5),AVERAGE($Q367,$S367:$T367)&gt;5),"Possible","Unlikely"))</f>
        <v>Unlikely</v>
      </c>
      <c r="AX367" s="47"/>
      <c r="AY367" s="47" t="str">
        <f>INDEX(Table5[[#All],[Ovr]],MATCH(Batters[[#This Row],[PID]],Table5[[#All],[PID]],0))</f>
        <v/>
      </c>
      <c r="AZ367" s="47" t="str">
        <f>INDEX(Table5[[#All],[Rnd]],MATCH(Batters[[#This Row],[PID]],Table5[[#All],[PID]],0))</f>
        <v/>
      </c>
      <c r="BA367" s="47" t="str">
        <f>INDEX(Table5[[#All],[Pick]],MATCH(Batters[[#This Row],[PID]],Table5[[#All],[PID]],0))</f>
        <v/>
      </c>
      <c r="BB367" s="47" t="str">
        <f>INDEX(Table5[[#All],[Team]],MATCH(Batters[[#This Row],[PID]],Table5[[#All],[PID]],0))</f>
        <v/>
      </c>
    </row>
    <row r="368" spans="1:54" ht="15" customHeight="1" x14ac:dyDescent="0.25">
      <c r="A368" s="42">
        <v>11727</v>
      </c>
      <c r="B368" s="42" t="s">
        <v>71</v>
      </c>
      <c r="C368" s="42" t="s">
        <v>376</v>
      </c>
      <c r="D368" s="42" t="s">
        <v>879</v>
      </c>
      <c r="E368" s="42">
        <v>21</v>
      </c>
      <c r="F368" s="42" t="s">
        <v>42</v>
      </c>
      <c r="G368" s="42" t="s">
        <v>42</v>
      </c>
      <c r="H368" s="43" t="s">
        <v>709</v>
      </c>
      <c r="I368" s="44" t="s">
        <v>44</v>
      </c>
      <c r="J368" s="42" t="s">
        <v>43</v>
      </c>
      <c r="K368" s="43" t="s">
        <v>43</v>
      </c>
      <c r="L368" s="42">
        <v>1</v>
      </c>
      <c r="M368" s="42">
        <v>2</v>
      </c>
      <c r="N368" s="42">
        <v>2</v>
      </c>
      <c r="O368" s="42">
        <v>1</v>
      </c>
      <c r="P368" s="43">
        <v>1</v>
      </c>
      <c r="Q368" s="42">
        <v>4</v>
      </c>
      <c r="R368" s="42">
        <v>4</v>
      </c>
      <c r="S368" s="42">
        <v>3</v>
      </c>
      <c r="T368" s="42">
        <v>1</v>
      </c>
      <c r="U368" s="43">
        <v>3</v>
      </c>
      <c r="V368" s="42">
        <v>5</v>
      </c>
      <c r="W368" s="42">
        <v>3</v>
      </c>
      <c r="X368" s="42">
        <v>1</v>
      </c>
      <c r="Y368" s="43">
        <v>1</v>
      </c>
      <c r="Z368" s="42" t="s">
        <v>45</v>
      </c>
      <c r="AA368" s="42" t="s">
        <v>45</v>
      </c>
      <c r="AB368" s="42">
        <v>6</v>
      </c>
      <c r="AC368" s="42" t="s">
        <v>45</v>
      </c>
      <c r="AD368" s="42" t="s">
        <v>45</v>
      </c>
      <c r="AE368" s="42" t="s">
        <v>45</v>
      </c>
      <c r="AF368" s="42" t="s">
        <v>45</v>
      </c>
      <c r="AG368" s="43" t="s">
        <v>45</v>
      </c>
      <c r="AH368" s="42">
        <v>7</v>
      </c>
      <c r="AI368" s="42">
        <v>6</v>
      </c>
      <c r="AJ368" s="43">
        <v>5</v>
      </c>
      <c r="AK368" s="45" t="s">
        <v>615</v>
      </c>
      <c r="AL368" s="45" t="s">
        <v>705</v>
      </c>
      <c r="AM368" s="46">
        <f>($L$3*(L368-$Q$1)/$Q$2+$M$3*(M368-$R$1)/$R$2+$N$3*(N368-$S$1)/$S$2+$O$3*(O368-$T$1)/$T$2+$P$3*(P368-$U$1)/$U$2)/(SUM($L$3:$P$3))</f>
        <v>-1.9502219761849671</v>
      </c>
      <c r="AN368" s="46">
        <f>($L$3*(Q368-$Q$1)/$Q$2+$M$3*(R368-$R$1)/$R$2+$N$3*(S368-$S$1)/$S$2+$O$3*(T368-$T$1)/$T$2+$P$3*(U368-$U$1)/$U$2)/(SUM($L$3:$P$3))</f>
        <v>-0.71734053468146752</v>
      </c>
      <c r="AO368" s="47">
        <f>IF(AVERAGE(AH368:AI368)&gt;9,1,0)+IF(AVERAGE(AH368:AI368)&gt;7,1,0)+IF(AH368&gt;7,1,0)+IF(AI368&gt;7,1,0)+IF(AJ368&gt;8,1,0)+IF(AJ368&gt;6,1,0)</f>
        <v>0</v>
      </c>
      <c r="AP368" s="48">
        <f>MIN(2,IF(OR(Z368="-",X368&lt;5),0,1+IF(Y368&gt;7,0.35,IF(Y368&gt;5,0.1,0))+IF(Z368&gt;7,1+IF(X368&gt;7,0.25,0),IF(Z368&gt;4,0.5+IF(X368&gt;7,0.25,0),0+IF(X368&gt;7,0.25))))+IF(AA368="-",0,IF(AA368&gt;9,0.5,IF(AA368&gt;7,0.25,0)))+IF(AB368="-",0,IF(AB368&gt;7,1.1,IF(AB368&gt;4,0.6,0)))+IF(OR(AC368="-",V368&lt;5),0,IF(AC368&gt;7,1+IF(V368&gt;7,0.25,0),IF(AC368&gt;4,0.5+IF(V368&gt;7,0.25,0),0)))+IF(AD368="-",0,IF(AD368&gt;7,1.5,IF(AD368&gt;4,1,0)))+IF(AE368="-",0,IF(AE368&gt;9,0.5,IF(AE368&gt;7,0.25,0)))+IF(AF368="-",0,IF(AF368&gt;7,1.25,IF(AF368&gt;4,0.75,0)))+IF(OR(AG368="-",W368&lt;4),0,IF(AG368&gt;7,1+IF(W368&gt;7,0.15,0),IF(AG368&gt;4,0.5+IF(W368&gt;7,0.15,0),0))))</f>
        <v>0.6</v>
      </c>
      <c r="AQ368" s="46">
        <f>($AM$3*AM368+$AN$3*AN368+$AO$3*AO368+$AP$3*AP368)+$I$3*VLOOKUP(I368,COND!$A$2:$E$7,4,FALSE)+$J$3*VLOOKUP(J368,COND!$A$2:$C$7,2,FALSE)+$K$3*VLOOKUP(K368,COND!$A$2:$C$7,3,FALSE)+IF(AND($B$2&gt;0,$E368&lt;20),$B$2*25,0)</f>
        <v>36.64689138620389</v>
      </c>
      <c r="AR368" s="49">
        <f>STANDARDIZE(AQ368,AVERAGE($AQ$5:$AQ$537),STDEVP($AQ$5:$AQ$537))</f>
        <v>-0.65122898293181997</v>
      </c>
      <c r="AS368" s="47" t="str">
        <f>IF(AND(Z368&lt;&gt;"-",Y368&gt;1),"C",IF(AB368=MAX(AB368:AD368),"2B",IF(AD368=MAX(AB368:AD368),"SS",IF(OR(AC368=MAX(AA368:AD368),AND(AC368&lt;&gt;"-",AC368&gt;4,V368&gt;5)),"3B",IF(AF368=MAX(AE368:AG368),"CF",IF(AND(AG368=MAX(AE368,AG368),AND(W368&gt;5,AG368&lt;&gt;"-")),"RF",IF(AE368&lt;&gt;"-","LF",IF(AA368&lt;&gt;"-","1B","DH"))))))))</f>
        <v>2B</v>
      </c>
      <c r="AT368" s="47"/>
      <c r="AU368" s="47"/>
      <c r="AV368" s="47"/>
      <c r="AW368" s="47" t="str">
        <f>IF(AND($Q368&gt;=6,AVERAGE($S368:$T368)&gt;=6),"Likely",IF(OR($Q368&gt;6,AND($Q368=6,AVERAGE($S368:$T368)&gt;=3),AND($Q368&gt;=5,AVERAGE($S368:$T368)&gt;=5),AVERAGE($Q368,$S368:$T368)&gt;5),"Possible","Unlikely"))</f>
        <v>Unlikely</v>
      </c>
      <c r="AX368" s="47"/>
      <c r="AY368" s="47" t="str">
        <f>INDEX(Table5[[#All],[Ovr]],MATCH(Batters[[#This Row],[PID]],Table5[[#All],[PID]],0))</f>
        <v/>
      </c>
      <c r="AZ368" s="47" t="str">
        <f>INDEX(Table5[[#All],[Rnd]],MATCH(Batters[[#This Row],[PID]],Table5[[#All],[PID]],0))</f>
        <v/>
      </c>
      <c r="BA368" s="47" t="str">
        <f>INDEX(Table5[[#All],[Pick]],MATCH(Batters[[#This Row],[PID]],Table5[[#All],[PID]],0))</f>
        <v/>
      </c>
      <c r="BB368" s="47" t="str">
        <f>INDEX(Table5[[#All],[Team]],MATCH(Batters[[#This Row],[PID]],Table5[[#All],[PID]],0))</f>
        <v/>
      </c>
    </row>
    <row r="369" spans="1:54" ht="15" customHeight="1" x14ac:dyDescent="0.25">
      <c r="A369" s="42">
        <v>4882</v>
      </c>
      <c r="B369" s="42" t="s">
        <v>71</v>
      </c>
      <c r="C369" s="42" t="s">
        <v>831</v>
      </c>
      <c r="D369" s="42" t="s">
        <v>830</v>
      </c>
      <c r="E369" s="42">
        <v>22</v>
      </c>
      <c r="F369" s="42" t="s">
        <v>42</v>
      </c>
      <c r="G369" s="42" t="s">
        <v>42</v>
      </c>
      <c r="H369" s="43" t="s">
        <v>721</v>
      </c>
      <c r="I369" s="44" t="s">
        <v>43</v>
      </c>
      <c r="J369" s="42" t="s">
        <v>43</v>
      </c>
      <c r="K369" s="43" t="s">
        <v>47</v>
      </c>
      <c r="L369" s="42">
        <v>2</v>
      </c>
      <c r="M369" s="42">
        <v>2</v>
      </c>
      <c r="N369" s="42">
        <v>2</v>
      </c>
      <c r="O369" s="42">
        <v>2</v>
      </c>
      <c r="P369" s="43">
        <v>2</v>
      </c>
      <c r="Q369" s="42">
        <v>3</v>
      </c>
      <c r="R369" s="42">
        <v>3</v>
      </c>
      <c r="S369" s="42">
        <v>3</v>
      </c>
      <c r="T369" s="42">
        <v>4</v>
      </c>
      <c r="U369" s="43">
        <v>4</v>
      </c>
      <c r="V369" s="42">
        <v>6</v>
      </c>
      <c r="W369" s="42">
        <v>6</v>
      </c>
      <c r="X369" s="42">
        <v>1</v>
      </c>
      <c r="Y369" s="43">
        <v>1</v>
      </c>
      <c r="Z369" s="42" t="s">
        <v>45</v>
      </c>
      <c r="AA369" s="42" t="s">
        <v>45</v>
      </c>
      <c r="AB369" s="42">
        <v>3</v>
      </c>
      <c r="AC369" s="42" t="s">
        <v>45</v>
      </c>
      <c r="AD369" s="42" t="s">
        <v>45</v>
      </c>
      <c r="AE369" s="42">
        <v>1</v>
      </c>
      <c r="AF369" s="42" t="s">
        <v>45</v>
      </c>
      <c r="AG369" s="43" t="s">
        <v>45</v>
      </c>
      <c r="AH369" s="42">
        <v>8</v>
      </c>
      <c r="AI369" s="42">
        <v>5</v>
      </c>
      <c r="AJ369" s="43">
        <v>6</v>
      </c>
      <c r="AK369" s="45" t="s">
        <v>45</v>
      </c>
      <c r="AL369" s="45" t="s">
        <v>47</v>
      </c>
      <c r="AM369" s="46">
        <f>($L$3*(L369-$Q$1)/$Q$2+$M$3*(M369-$R$1)/$R$2+$N$3*(N369-$S$1)/$S$2+$O$3*(O369-$T$1)/$T$2+$P$3*(P369-$U$1)/$U$2)/(SUM($L$3:$P$3))</f>
        <v>-1.4979402501556278</v>
      </c>
      <c r="AN369" s="46">
        <f>($L$3*(Q369-$Q$1)/$Q$2+$M$3*(R369-$R$1)/$R$2+$N$3*(S369-$S$1)/$S$2+$O$3*(T369-$T$1)/$T$2+$P$3*(U369-$U$1)/$U$2)/(SUM($L$3:$P$3))</f>
        <v>-0.781811260657019</v>
      </c>
      <c r="AO369" s="47">
        <f>IF(AVERAGE(AH369:AI369)&gt;9,1,0)+IF(AVERAGE(AH369:AI369)&gt;7,1,0)+IF(AH369&gt;7,1,0)+IF(AI369&gt;7,1,0)+IF(AJ369&gt;8,1,0)+IF(AJ369&gt;6,1,0)</f>
        <v>1</v>
      </c>
      <c r="AP369" s="48">
        <f>MIN(2,IF(OR(Z369="-",X369&lt;5),0,1+IF(Y369&gt;7,0.35,IF(Y369&gt;5,0.1,0))+IF(Z369&gt;7,1+IF(X369&gt;7,0.25,0),IF(Z369&gt;4,0.5+IF(X369&gt;7,0.25,0),0+IF(X369&gt;7,0.25))))+IF(AA369="-",0,IF(AA369&gt;9,0.5,IF(AA369&gt;7,0.25,0)))+IF(AB369="-",0,IF(AB369&gt;7,1.1,IF(AB369&gt;4,0.6,0)))+IF(OR(AC369="-",V369&lt;5),0,IF(AC369&gt;7,1+IF(V369&gt;7,0.25,0),IF(AC369&gt;4,0.5+IF(V369&gt;7,0.25,0),0)))+IF(AD369="-",0,IF(AD369&gt;7,1.5,IF(AD369&gt;4,1,0)))+IF(AE369="-",0,IF(AE369&gt;9,0.5,IF(AE369&gt;7,0.25,0)))+IF(AF369="-",0,IF(AF369&gt;7,1.25,IF(AF369&gt;4,0.75,0)))+IF(OR(AG369="-",W369&lt;4),0,IF(AG369&gt;7,1+IF(W369&gt;7,0.15,0),IF(AG369&gt;4,0.5+IF(W369&gt;7,0.15,0),0))))</f>
        <v>0</v>
      </c>
      <c r="AQ369" s="46">
        <f>($AM$3*AM369+$AN$3*AN369+$AO$3*AO369+$AP$3*AP369)+$I$3*VLOOKUP(I369,COND!$A$2:$E$7,4,FALSE)+$J$3*VLOOKUP(J369,COND!$A$2:$C$7,2,FALSE)+$K$3*VLOOKUP(K369,COND!$A$2:$C$7,3,FALSE)+IF(AND($B$2&gt;0,$E369&lt;20),$B$2*25,0)</f>
        <v>35.935137513766875</v>
      </c>
      <c r="AR369" s="49">
        <f>STANDARDIZE(AQ369,AVERAGE($AQ$5:$AQ$537),STDEVP($AQ$5:$AQ$537))</f>
        <v>-0.77645734625494645</v>
      </c>
      <c r="AS369" s="47" t="str">
        <f>IF(AND(Z369&lt;&gt;"-",Y369&gt;1),"C",IF(AB369=MAX(AB369:AD369),"2B",IF(AD369=MAX(AB369:AD369),"SS",IF(OR(AC369=MAX(AA369:AD369),AND(AC369&lt;&gt;"-",AC369&gt;4,V369&gt;5)),"3B",IF(AF369=MAX(AE369:AG369),"CF",IF(AND(AG369=MAX(AE369,AG369),AND(W369&gt;5,AG369&lt;&gt;"-")),"RF",IF(AE369&lt;&gt;"-","LF",IF(AA369&lt;&gt;"-","1B","DH"))))))))</f>
        <v>2B</v>
      </c>
      <c r="AT369" s="47"/>
      <c r="AU369" s="47"/>
      <c r="AV369" s="47"/>
      <c r="AW369" s="47" t="str">
        <f>IF(AND($Q369&gt;=6,AVERAGE($S369:$T369)&gt;=6),"Likely",IF(OR($Q369&gt;6,AND($Q369=6,AVERAGE($S369:$T369)&gt;=3),AND($Q369&gt;=5,AVERAGE($S369:$T369)&gt;=5),AVERAGE($Q369,$S369:$T369)&gt;5),"Possible","Unlikely"))</f>
        <v>Unlikely</v>
      </c>
      <c r="AX369" s="47"/>
      <c r="AY369" s="47" t="str">
        <f>INDEX(Table5[[#All],[Ovr]],MATCH(Batters[[#This Row],[PID]],Table5[[#All],[PID]],0))</f>
        <v/>
      </c>
      <c r="AZ369" s="47" t="str">
        <f>INDEX(Table5[[#All],[Rnd]],MATCH(Batters[[#This Row],[PID]],Table5[[#All],[PID]],0))</f>
        <v/>
      </c>
      <c r="BA369" s="47" t="str">
        <f>INDEX(Table5[[#All],[Pick]],MATCH(Batters[[#This Row],[PID]],Table5[[#All],[PID]],0))</f>
        <v/>
      </c>
      <c r="BB369" s="47" t="str">
        <f>INDEX(Table5[[#All],[Team]],MATCH(Batters[[#This Row],[PID]],Table5[[#All],[PID]],0))</f>
        <v/>
      </c>
    </row>
    <row r="370" spans="1:54" ht="15" customHeight="1" x14ac:dyDescent="0.25">
      <c r="A370" s="42">
        <v>12682</v>
      </c>
      <c r="B370" s="42" t="s">
        <v>66</v>
      </c>
      <c r="C370" s="42" t="s">
        <v>1016</v>
      </c>
      <c r="D370" s="42" t="s">
        <v>1237</v>
      </c>
      <c r="E370" s="42">
        <v>21</v>
      </c>
      <c r="F370" s="42" t="s">
        <v>53</v>
      </c>
      <c r="G370" s="42" t="s">
        <v>53</v>
      </c>
      <c r="H370" s="43" t="s">
        <v>709</v>
      </c>
      <c r="I370" s="44" t="s">
        <v>43</v>
      </c>
      <c r="J370" s="42" t="s">
        <v>47</v>
      </c>
      <c r="K370" s="43" t="s">
        <v>44</v>
      </c>
      <c r="L370" s="42">
        <v>2</v>
      </c>
      <c r="M370" s="42">
        <v>2</v>
      </c>
      <c r="N370" s="42">
        <v>2</v>
      </c>
      <c r="O370" s="42">
        <v>2</v>
      </c>
      <c r="P370" s="43">
        <v>2</v>
      </c>
      <c r="Q370" s="42">
        <v>3</v>
      </c>
      <c r="R370" s="42">
        <v>3</v>
      </c>
      <c r="S370" s="42">
        <v>2</v>
      </c>
      <c r="T370" s="42">
        <v>4</v>
      </c>
      <c r="U370" s="43">
        <v>4</v>
      </c>
      <c r="V370" s="42">
        <v>8</v>
      </c>
      <c r="W370" s="42">
        <v>9</v>
      </c>
      <c r="X370" s="42">
        <v>1</v>
      </c>
      <c r="Y370" s="43">
        <v>1</v>
      </c>
      <c r="Z370" s="42" t="s">
        <v>45</v>
      </c>
      <c r="AA370" s="42" t="s">
        <v>45</v>
      </c>
      <c r="AB370" s="42" t="s">
        <v>45</v>
      </c>
      <c r="AC370" s="42" t="s">
        <v>45</v>
      </c>
      <c r="AD370" s="42" t="s">
        <v>45</v>
      </c>
      <c r="AE370" s="42">
        <v>4</v>
      </c>
      <c r="AF370" s="42" t="s">
        <v>45</v>
      </c>
      <c r="AG370" s="43">
        <v>8</v>
      </c>
      <c r="AH370" s="42">
        <v>10</v>
      </c>
      <c r="AI370" s="42">
        <v>9</v>
      </c>
      <c r="AJ370" s="43">
        <v>10</v>
      </c>
      <c r="AK370" s="45" t="s">
        <v>45</v>
      </c>
      <c r="AL370" s="45" t="s">
        <v>47</v>
      </c>
      <c r="AM370" s="46">
        <f>($L$3*(L370-$Q$1)/$Q$2+$M$3*(M370-$R$1)/$R$2+$N$3*(N370-$S$1)/$S$2+$O$3*(O370-$T$1)/$T$2+$P$3*(P370-$U$1)/$U$2)/(SUM($L$3:$P$3))</f>
        <v>-1.4979402501556278</v>
      </c>
      <c r="AN370" s="46">
        <f>($L$3*(Q370-$Q$1)/$Q$2+$M$3*(R370-$R$1)/$R$2+$N$3*(S370-$S$1)/$S$2+$O$3*(T370-$T$1)/$T$2+$P$3*(U370-$U$1)/$U$2)/(SUM($L$3:$P$3))</f>
        <v>-0.8648727546809204</v>
      </c>
      <c r="AO370" s="47">
        <f>IF(AVERAGE(AH370:AI370)&gt;9,1,0)+IF(AVERAGE(AH370:AI370)&gt;7,1,0)+IF(AH370&gt;7,1,0)+IF(AI370&gt;7,1,0)+IF(AJ370&gt;8,1,0)+IF(AJ370&gt;6,1,0)</f>
        <v>6</v>
      </c>
      <c r="AP370" s="48">
        <f>MIN(2,IF(OR(Z370="-",X370&lt;5),0,1+IF(Y370&gt;7,0.35,IF(Y370&gt;5,0.1,0))+IF(Z370&gt;7,1+IF(X370&gt;7,0.25,0),IF(Z370&gt;4,0.5+IF(X370&gt;7,0.25,0),0+IF(X370&gt;7,0.25))))+IF(AA370="-",0,IF(AA370&gt;9,0.5,IF(AA370&gt;7,0.25,0)))+IF(AB370="-",0,IF(AB370&gt;7,1.1,IF(AB370&gt;4,0.6,0)))+IF(OR(AC370="-",V370&lt;5),0,IF(AC370&gt;7,1+IF(V370&gt;7,0.25,0),IF(AC370&gt;4,0.5+IF(V370&gt;7,0.25,0),0)))+IF(AD370="-",0,IF(AD370&gt;7,1.5,IF(AD370&gt;4,1,0)))+IF(AE370="-",0,IF(AE370&gt;9,0.5,IF(AE370&gt;7,0.25,0)))+IF(AF370="-",0,IF(AF370&gt;7,1.25,IF(AF370&gt;4,0.75,0)))+IF(OR(AG370="-",W370&lt;4),0,IF(AG370&gt;7,1+IF(W370&gt;7,0.15,0),IF(AG370&gt;4,0.5+IF(W370&gt;7,0.15,0),0))))</f>
        <v>1.1499999999999999</v>
      </c>
      <c r="AQ370" s="46">
        <f>($AM$3*AM370+$AN$3*AN370+$AO$3*AO370+$AP$3*AP370)+$I$3*VLOOKUP(I370,COND!$A$2:$E$7,4,FALSE)+$J$3*VLOOKUP(J370,COND!$A$2:$C$7,2,FALSE)+$K$3*VLOOKUP(K370,COND!$A$2:$C$7,3,FALSE)+IF(AND($B$2&gt;0,$E370&lt;20),$B$2*25,0)</f>
        <v>36.621732918813393</v>
      </c>
      <c r="AR370" s="49">
        <f>STANDARDIZE(AQ370,AVERAGE($AQ$5:$AQ$537),STDEVP($AQ$5:$AQ$537))</f>
        <v>-0.65565544805837117</v>
      </c>
      <c r="AS370" s="47" t="str">
        <f>IF(AND(Z370&lt;&gt;"-",Y370&gt;1),"C",IF(AB370=MAX(AB370:AD370),"2B",IF(AD370=MAX(AB370:AD370),"SS",IF(OR(AC370=MAX(AA370:AD370),AND(AC370&lt;&gt;"-",AC370&gt;4,V370&gt;5)),"3B",IF(AF370=MAX(AE370:AG370),"CF",IF(AND(AG370=MAX(AE370,AG370),AND(W370&gt;5,AG370&lt;&gt;"-")),"RF",IF(AE370&lt;&gt;"-","LF",IF(AA370&lt;&gt;"-","1B","DH"))))))))</f>
        <v>RF</v>
      </c>
      <c r="AT370" s="47"/>
      <c r="AU370" s="47"/>
      <c r="AV370" s="47"/>
      <c r="AW370" s="47" t="str">
        <f>IF(AND($Q370&gt;=6,AVERAGE($S370:$T370)&gt;=6),"Likely",IF(OR($Q370&gt;6,AND($Q370=6,AVERAGE($S370:$T370)&gt;=3),AND($Q370&gt;=5,AVERAGE($S370:$T370)&gt;=5),AVERAGE($Q370,$S370:$T370)&gt;5),"Possible","Unlikely"))</f>
        <v>Unlikely</v>
      </c>
      <c r="AX370" s="47"/>
      <c r="AY370" s="47" t="str">
        <f>INDEX(Table5[[#All],[Ovr]],MATCH(Batters[[#This Row],[PID]],Table5[[#All],[PID]],0))</f>
        <v/>
      </c>
      <c r="AZ370" s="47" t="str">
        <f>INDEX(Table5[[#All],[Rnd]],MATCH(Batters[[#This Row],[PID]],Table5[[#All],[PID]],0))</f>
        <v/>
      </c>
      <c r="BA370" s="47" t="str">
        <f>INDEX(Table5[[#All],[Pick]],MATCH(Batters[[#This Row],[PID]],Table5[[#All],[PID]],0))</f>
        <v/>
      </c>
      <c r="BB370" s="47" t="str">
        <f>INDEX(Table5[[#All],[Team]],MATCH(Batters[[#This Row],[PID]],Table5[[#All],[PID]],0))</f>
        <v/>
      </c>
    </row>
    <row r="371" spans="1:54" ht="15" customHeight="1" x14ac:dyDescent="0.25">
      <c r="A371" s="42">
        <v>9726</v>
      </c>
      <c r="B371" s="42" t="s">
        <v>66</v>
      </c>
      <c r="C371" s="42" t="s">
        <v>831</v>
      </c>
      <c r="D371" s="42" t="s">
        <v>213</v>
      </c>
      <c r="E371" s="42">
        <v>21</v>
      </c>
      <c r="F371" s="42" t="s">
        <v>42</v>
      </c>
      <c r="G371" s="42" t="s">
        <v>53</v>
      </c>
      <c r="H371" s="43" t="s">
        <v>709</v>
      </c>
      <c r="I371" s="44" t="s">
        <v>43</v>
      </c>
      <c r="J371" s="42" t="s">
        <v>44</v>
      </c>
      <c r="K371" s="43" t="s">
        <v>43</v>
      </c>
      <c r="L371" s="42">
        <v>1</v>
      </c>
      <c r="M371" s="42">
        <v>2</v>
      </c>
      <c r="N371" s="42">
        <v>3</v>
      </c>
      <c r="O371" s="42">
        <v>2</v>
      </c>
      <c r="P371" s="43">
        <v>2</v>
      </c>
      <c r="Q371" s="42">
        <v>3</v>
      </c>
      <c r="R371" s="42">
        <v>3</v>
      </c>
      <c r="S371" s="42">
        <v>4</v>
      </c>
      <c r="T371" s="42">
        <v>4</v>
      </c>
      <c r="U371" s="43">
        <v>5</v>
      </c>
      <c r="V371" s="42">
        <v>7</v>
      </c>
      <c r="W371" s="42">
        <v>10</v>
      </c>
      <c r="X371" s="42">
        <v>1</v>
      </c>
      <c r="Y371" s="43">
        <v>1</v>
      </c>
      <c r="Z371" s="42" t="s">
        <v>45</v>
      </c>
      <c r="AA371" s="42" t="s">
        <v>45</v>
      </c>
      <c r="AB371" s="42" t="s">
        <v>45</v>
      </c>
      <c r="AC371" s="42" t="s">
        <v>45</v>
      </c>
      <c r="AD371" s="42" t="s">
        <v>45</v>
      </c>
      <c r="AE371" s="42" t="s">
        <v>45</v>
      </c>
      <c r="AF371" s="42" t="s">
        <v>45</v>
      </c>
      <c r="AG371" s="43">
        <v>5</v>
      </c>
      <c r="AH371" s="42">
        <v>6</v>
      </c>
      <c r="AI371" s="42">
        <v>3</v>
      </c>
      <c r="AJ371" s="43">
        <v>4</v>
      </c>
      <c r="AK371" s="45" t="s">
        <v>717</v>
      </c>
      <c r="AL371" s="45" t="s">
        <v>47</v>
      </c>
      <c r="AM371" s="46">
        <f>($L$3*(L371-$Q$1)/$Q$2+$M$3*(M371-$R$1)/$R$2+$N$3*(N371-$S$1)/$S$2+$O$3*(O371-$T$1)/$T$2+$P$3*(P371-$U$1)/$U$2)/(SUM($L$3:$P$3))</f>
        <v>-1.7374345923344008</v>
      </c>
      <c r="AN371" s="46">
        <f>($L$3*(Q371-$Q$1)/$Q$2+$M$3*(R371-$R$1)/$R$2+$N$3*(S371-$S$1)/$S$2+$O$3*(T371-$T$1)/$T$2+$P$3*(U371-$U$1)/$U$2)/(SUM($L$3:$P$3))</f>
        <v>-0.65873342681603408</v>
      </c>
      <c r="AO371" s="47">
        <f>IF(AVERAGE(AH371:AI371)&gt;9,1,0)+IF(AVERAGE(AH371:AI371)&gt;7,1,0)+IF(AH371&gt;7,1,0)+IF(AI371&gt;7,1,0)+IF(AJ371&gt;8,1,0)+IF(AJ371&gt;6,1,0)</f>
        <v>0</v>
      </c>
      <c r="AP371" s="48">
        <f>MIN(2,IF(OR(Z371="-",X371&lt;5),0,1+IF(Y371&gt;7,0.35,IF(Y371&gt;5,0.1,0))+IF(Z371&gt;7,1+IF(X371&gt;7,0.25,0),IF(Z371&gt;4,0.5+IF(X371&gt;7,0.25,0),0+IF(X371&gt;7,0.25))))+IF(AA371="-",0,IF(AA371&gt;9,0.5,IF(AA371&gt;7,0.25,0)))+IF(AB371="-",0,IF(AB371&gt;7,1.1,IF(AB371&gt;4,0.6,0)))+IF(OR(AC371="-",V371&lt;5),0,IF(AC371&gt;7,1+IF(V371&gt;7,0.25,0),IF(AC371&gt;4,0.5+IF(V371&gt;7,0.25,0),0)))+IF(AD371="-",0,IF(AD371&gt;7,1.5,IF(AD371&gt;4,1,0)))+IF(AE371="-",0,IF(AE371&gt;9,0.5,IF(AE371&gt;7,0.25,0)))+IF(AF371="-",0,IF(AF371&gt;7,1.25,IF(AF371&gt;4,0.75,0)))+IF(OR(AG371="-",W371&lt;4),0,IF(AG371&gt;7,1+IF(W371&gt;7,0.15,0),IF(AG371&gt;4,0.5+IF(W371&gt;7,0.15,0),0))))</f>
        <v>0.65</v>
      </c>
      <c r="AQ371" s="46">
        <f>($AM$3*AM371+$AN$3*AN371+$AO$3*AO371+$AP$3*AP371)+$I$3*VLOOKUP(I371,COND!$A$2:$E$7,4,FALSE)+$J$3*VLOOKUP(J371,COND!$A$2:$C$7,2,FALSE)+$K$3*VLOOKUP(K371,COND!$A$2:$C$7,3,FALSE)+IF(AND($B$2&gt;0,$E371&lt;20),$B$2*25,0)</f>
        <v>37.271455418974149</v>
      </c>
      <c r="AR371" s="49">
        <f>STANDARDIZE(AQ371,AVERAGE($AQ$5:$AQ$537),STDEVP($AQ$5:$AQ$537))</f>
        <v>-0.54134109240793349</v>
      </c>
      <c r="AS371" s="47" t="str">
        <f>IF(AND(Z371&lt;&gt;"-",Y371&gt;1),"C",IF(AB371=MAX(AB371:AD371),"2B",IF(AD371=MAX(AB371:AD371),"SS",IF(OR(AC371=MAX(AA371:AD371),AND(AC371&lt;&gt;"-",AC371&gt;4,V371&gt;5)),"3B",IF(AF371=MAX(AE371:AG371),"CF",IF(AND(AG371=MAX(AE371,AG371),AND(W371&gt;5,AG371&lt;&gt;"-")),"RF",IF(AE371&lt;&gt;"-","LF",IF(AA371&lt;&gt;"-","1B","DH"))))))))</f>
        <v>RF</v>
      </c>
      <c r="AT371" s="47"/>
      <c r="AU371" s="47"/>
      <c r="AV371" s="47"/>
      <c r="AW371" s="47" t="str">
        <f>IF(AND($Q371&gt;=6,AVERAGE($S371:$T371)&gt;=6),"Likely",IF(OR($Q371&gt;6,AND($Q371=6,AVERAGE($S371:$T371)&gt;=3),AND($Q371&gt;=5,AVERAGE($S371:$T371)&gt;=5),AVERAGE($Q371,$S371:$T371)&gt;5),"Possible","Unlikely"))</f>
        <v>Unlikely</v>
      </c>
      <c r="AX371" s="47"/>
      <c r="AY371" s="47" t="str">
        <f>INDEX(Table5[[#All],[Ovr]],MATCH(Batters[[#This Row],[PID]],Table5[[#All],[PID]],0))</f>
        <v/>
      </c>
      <c r="AZ371" s="47" t="str">
        <f>INDEX(Table5[[#All],[Rnd]],MATCH(Batters[[#This Row],[PID]],Table5[[#All],[PID]],0))</f>
        <v/>
      </c>
      <c r="BA371" s="47" t="str">
        <f>INDEX(Table5[[#All],[Pick]],MATCH(Batters[[#This Row],[PID]],Table5[[#All],[PID]],0))</f>
        <v/>
      </c>
      <c r="BB371" s="47" t="str">
        <f>INDEX(Table5[[#All],[Team]],MATCH(Batters[[#This Row],[PID]],Table5[[#All],[PID]],0))</f>
        <v/>
      </c>
    </row>
    <row r="372" spans="1:54" ht="15" customHeight="1" x14ac:dyDescent="0.25">
      <c r="A372" s="42">
        <v>4859</v>
      </c>
      <c r="B372" s="42" t="s">
        <v>66</v>
      </c>
      <c r="C372" s="42" t="s">
        <v>329</v>
      </c>
      <c r="D372" s="42" t="s">
        <v>582</v>
      </c>
      <c r="E372" s="42">
        <v>21</v>
      </c>
      <c r="F372" s="42" t="s">
        <v>53</v>
      </c>
      <c r="G372" s="42" t="s">
        <v>53</v>
      </c>
      <c r="H372" s="43" t="s">
        <v>711</v>
      </c>
      <c r="I372" s="44" t="s">
        <v>43</v>
      </c>
      <c r="J372" s="42" t="s">
        <v>44</v>
      </c>
      <c r="K372" s="43" t="s">
        <v>43</v>
      </c>
      <c r="L372" s="42">
        <v>2</v>
      </c>
      <c r="M372" s="42">
        <v>2</v>
      </c>
      <c r="N372" s="42">
        <v>2</v>
      </c>
      <c r="O372" s="42">
        <v>3</v>
      </c>
      <c r="P372" s="43">
        <v>2</v>
      </c>
      <c r="Q372" s="42">
        <v>3</v>
      </c>
      <c r="R372" s="42">
        <v>3</v>
      </c>
      <c r="S372" s="42">
        <v>4</v>
      </c>
      <c r="T372" s="42">
        <v>5</v>
      </c>
      <c r="U372" s="43">
        <v>4</v>
      </c>
      <c r="V372" s="42">
        <v>7</v>
      </c>
      <c r="W372" s="42">
        <v>9</v>
      </c>
      <c r="X372" s="42">
        <v>1</v>
      </c>
      <c r="Y372" s="43">
        <v>1</v>
      </c>
      <c r="Z372" s="42" t="s">
        <v>45</v>
      </c>
      <c r="AA372" s="42" t="s">
        <v>45</v>
      </c>
      <c r="AB372" s="42" t="s">
        <v>45</v>
      </c>
      <c r="AC372" s="42" t="s">
        <v>45</v>
      </c>
      <c r="AD372" s="42" t="s">
        <v>45</v>
      </c>
      <c r="AE372" s="42">
        <v>1</v>
      </c>
      <c r="AF372" s="42" t="s">
        <v>45</v>
      </c>
      <c r="AG372" s="43">
        <v>2</v>
      </c>
      <c r="AH372" s="42">
        <v>1</v>
      </c>
      <c r="AI372" s="42">
        <v>3</v>
      </c>
      <c r="AJ372" s="43">
        <v>2</v>
      </c>
      <c r="AK372" s="45" t="s">
        <v>717</v>
      </c>
      <c r="AL372" s="45" t="s">
        <v>47</v>
      </c>
      <c r="AM372" s="46">
        <f>($L$3*(L372-$Q$1)/$Q$2+$M$3*(M372-$R$1)/$R$2+$N$3*(N372-$S$1)/$S$2+$O$3*(O372-$T$1)/$T$2+$P$3*(P372-$U$1)/$U$2)/(SUM($L$3:$P$3))</f>
        <v>-1.4082307001460468</v>
      </c>
      <c r="AN372" s="46">
        <f>($L$3*(Q372-$Q$1)/$Q$2+$M$3*(R372-$R$1)/$R$2+$N$3*(S372-$S$1)/$S$2+$O$3*(T372-$T$1)/$T$2+$P$3*(U372-$U$1)/$U$2)/(SUM($L$3:$P$3))</f>
        <v>-0.60904021662353647</v>
      </c>
      <c r="AO372" s="47">
        <f>IF(AVERAGE(AH372:AI372)&gt;9,1,0)+IF(AVERAGE(AH372:AI372)&gt;7,1,0)+IF(AH372&gt;7,1,0)+IF(AI372&gt;7,1,0)+IF(AJ372&gt;8,1,0)+IF(AJ372&gt;6,1,0)</f>
        <v>0</v>
      </c>
      <c r="AP372" s="48">
        <f>MIN(2,IF(OR(Z372="-",X372&lt;5),0,1+IF(Y372&gt;7,0.35,IF(Y372&gt;5,0.1,0))+IF(Z372&gt;7,1+IF(X372&gt;7,0.25,0),IF(Z372&gt;4,0.5+IF(X372&gt;7,0.25,0),0+IF(X372&gt;7,0.25))))+IF(AA372="-",0,IF(AA372&gt;9,0.5,IF(AA372&gt;7,0.25,0)))+IF(AB372="-",0,IF(AB372&gt;7,1.1,IF(AB372&gt;4,0.6,0)))+IF(OR(AC372="-",V372&lt;5),0,IF(AC372&gt;7,1+IF(V372&gt;7,0.25,0),IF(AC372&gt;4,0.5+IF(V372&gt;7,0.25,0),0)))+IF(AD372="-",0,IF(AD372&gt;7,1.5,IF(AD372&gt;4,1,0)))+IF(AE372="-",0,IF(AE372&gt;9,0.5,IF(AE372&gt;7,0.25,0)))+IF(AF372="-",0,IF(AF372&gt;7,1.25,IF(AF372&gt;4,0.75,0)))+IF(OR(AG372="-",W372&lt;4),0,IF(AG372&gt;7,1+IF(W372&gt;7,0.15,0),IF(AG372&gt;4,0.5+IF(W372&gt;7,0.15,0),0))))</f>
        <v>0</v>
      </c>
      <c r="AQ372" s="46">
        <f>($AM$3*AM372+$AN$3*AN372+$AO$3*AO372+$AP$3*AP372)+$I$3*VLOOKUP(I372,COND!$A$2:$E$7,4,FALSE)+$J$3*VLOOKUP(J372,COND!$A$2:$C$7,2,FALSE)+$K$3*VLOOKUP(K372,COND!$A$2:$C$7,3,FALSE)+IF(AND($B$2&gt;0,$E372&lt;20),$B$2*25,0)</f>
        <v>37.250694330502952</v>
      </c>
      <c r="AR372" s="49">
        <f>STANDARDIZE(AQ372,AVERAGE($AQ$5:$AQ$537),STDEVP($AQ$5:$AQ$537))</f>
        <v>-0.54499386793994808</v>
      </c>
      <c r="AS372" s="47" t="str">
        <f>IF(AND(Z372&lt;&gt;"-",Y372&gt;1),"C",IF(AB372=MAX(AB372:AD372),"2B",IF(AD372=MAX(AB372:AD372),"SS",IF(OR(AC372=MAX(AA372:AD372),AND(AC372&lt;&gt;"-",AC372&gt;4,V372&gt;5)),"3B",IF(AF372=MAX(AE372:AG372),"CF",IF(AND(AG372=MAX(AE372,AG372),AND(W372&gt;5,AG372&lt;&gt;"-")),"RF",IF(AE372&lt;&gt;"-","LF",IF(AA372&lt;&gt;"-","1B","DH"))))))))</f>
        <v>RF</v>
      </c>
      <c r="AT372" s="47"/>
      <c r="AU372" s="47"/>
      <c r="AV372" s="47"/>
      <c r="AW372" s="47" t="str">
        <f>IF(AND($Q372&gt;=6,AVERAGE($S372:$T372)&gt;=6),"Likely",IF(OR($Q372&gt;6,AND($Q372=6,AVERAGE($S372:$T372)&gt;=3),AND($Q372&gt;=5,AVERAGE($S372:$T372)&gt;=5),AVERAGE($Q372,$S372:$T372)&gt;5),"Possible","Unlikely"))</f>
        <v>Unlikely</v>
      </c>
      <c r="AX372" s="47"/>
      <c r="AY372" s="47" t="str">
        <f>INDEX(Table5[[#All],[Ovr]],MATCH(Batters[[#This Row],[PID]],Table5[[#All],[PID]],0))</f>
        <v/>
      </c>
      <c r="AZ372" s="47" t="str">
        <f>INDEX(Table5[[#All],[Rnd]],MATCH(Batters[[#This Row],[PID]],Table5[[#All],[PID]],0))</f>
        <v/>
      </c>
      <c r="BA372" s="47" t="str">
        <f>INDEX(Table5[[#All],[Pick]],MATCH(Batters[[#This Row],[PID]],Table5[[#All],[PID]],0))</f>
        <v/>
      </c>
      <c r="BB372" s="47" t="str">
        <f>INDEX(Table5[[#All],[Team]],MATCH(Batters[[#This Row],[PID]],Table5[[#All],[PID]],0))</f>
        <v/>
      </c>
    </row>
    <row r="373" spans="1:54" ht="15" customHeight="1" x14ac:dyDescent="0.25">
      <c r="A373" s="42">
        <v>7652</v>
      </c>
      <c r="B373" s="42" t="s">
        <v>69</v>
      </c>
      <c r="C373" s="42" t="s">
        <v>1210</v>
      </c>
      <c r="D373" s="42" t="s">
        <v>1367</v>
      </c>
      <c r="E373" s="42">
        <v>18</v>
      </c>
      <c r="F373" s="42" t="s">
        <v>42</v>
      </c>
      <c r="G373" s="42" t="s">
        <v>42</v>
      </c>
      <c r="H373" s="43" t="s">
        <v>709</v>
      </c>
      <c r="I373" s="44" t="s">
        <v>43</v>
      </c>
      <c r="J373" s="42" t="s">
        <v>44</v>
      </c>
      <c r="K373" s="43" t="s">
        <v>43</v>
      </c>
      <c r="L373" s="42">
        <v>1</v>
      </c>
      <c r="M373" s="42">
        <v>1</v>
      </c>
      <c r="N373" s="42">
        <v>2</v>
      </c>
      <c r="O373" s="42">
        <v>2</v>
      </c>
      <c r="P373" s="43">
        <v>1</v>
      </c>
      <c r="Q373" s="42">
        <v>2</v>
      </c>
      <c r="R373" s="42">
        <v>2</v>
      </c>
      <c r="S373" s="42">
        <v>4</v>
      </c>
      <c r="T373" s="42">
        <v>5</v>
      </c>
      <c r="U373" s="43">
        <v>3</v>
      </c>
      <c r="V373" s="42">
        <v>9</v>
      </c>
      <c r="W373" s="42">
        <v>9</v>
      </c>
      <c r="X373" s="42">
        <v>1</v>
      </c>
      <c r="Y373" s="43">
        <v>1</v>
      </c>
      <c r="Z373" s="42" t="s">
        <v>45</v>
      </c>
      <c r="AA373" s="42" t="s">
        <v>45</v>
      </c>
      <c r="AB373" s="42" t="s">
        <v>45</v>
      </c>
      <c r="AC373" s="42">
        <v>2</v>
      </c>
      <c r="AD373" s="42" t="s">
        <v>45</v>
      </c>
      <c r="AE373" s="42" t="s">
        <v>45</v>
      </c>
      <c r="AF373" s="42" t="s">
        <v>45</v>
      </c>
      <c r="AG373" s="43" t="s">
        <v>45</v>
      </c>
      <c r="AH373" s="42">
        <v>2</v>
      </c>
      <c r="AI373" s="42">
        <v>5</v>
      </c>
      <c r="AJ373" s="43">
        <v>2</v>
      </c>
      <c r="AK373" s="45" t="s">
        <v>718</v>
      </c>
      <c r="AL373" s="45" t="s">
        <v>705</v>
      </c>
      <c r="AM373" s="46">
        <f>($L$3*(L373-$Q$1)/$Q$2+$M$3*(M373-$R$1)/$R$2+$N$3*(N373-$S$1)/$S$2+$O$3*(O373-$T$1)/$T$2+$P$3*(P373-$U$1)/$U$2)/(SUM($L$3:$P$3))</f>
        <v>-1.9115723057940897</v>
      </c>
      <c r="AN373" s="46">
        <f>($L$3*(Q373-$Q$1)/$Q$2+$M$3*(R373-$R$1)/$R$2+$N$3*(S373-$S$1)/$S$2+$O$3*(T373-$T$1)/$T$2+$P$3*(U373-$U$1)/$U$2)/(SUM($L$3:$P$3))</f>
        <v>-1.0226722722619983</v>
      </c>
      <c r="AO373" s="47">
        <f>IF(AVERAGE(AH373:AI373)&gt;9,1,0)+IF(AVERAGE(AH373:AI373)&gt;7,1,0)+IF(AH373&gt;7,1,0)+IF(AI373&gt;7,1,0)+IF(AJ373&gt;8,1,0)+IF(AJ373&gt;6,1,0)</f>
        <v>0</v>
      </c>
      <c r="AP373" s="48">
        <f>MIN(2,IF(OR(Z373="-",X373&lt;5),0,1+IF(Y373&gt;7,0.35,IF(Y373&gt;5,0.1,0))+IF(Z373&gt;7,1+IF(X373&gt;7,0.25,0),IF(Z373&gt;4,0.5+IF(X373&gt;7,0.25,0),0+IF(X373&gt;7,0.25))))+IF(AA373="-",0,IF(AA373&gt;9,0.5,IF(AA373&gt;7,0.25,0)))+IF(AB373="-",0,IF(AB373&gt;7,1.1,IF(AB373&gt;4,0.6,0)))+IF(OR(AC373="-",V373&lt;5),0,IF(AC373&gt;7,1+IF(V373&gt;7,0.25,0),IF(AC373&gt;4,0.5+IF(V373&gt;7,0.25,0),0)))+IF(AD373="-",0,IF(AD373&gt;7,1.5,IF(AD373&gt;4,1,0)))+IF(AE373="-",0,IF(AE373&gt;9,0.5,IF(AE373&gt;7,0.25,0)))+IF(AF373="-",0,IF(AF373&gt;7,1.25,IF(AF373&gt;4,0.75,0)))+IF(OR(AG373="-",W373&lt;4),0,IF(AG373&gt;7,1+IF(W373&gt;7,0.15,0),IF(AG373&gt;4,0.5+IF(W373&gt;7,0.15,0),0))))</f>
        <v>0</v>
      </c>
      <c r="AQ373" s="46">
        <f>($AM$3*AM373+$AN$3*AN373+$AO$3*AO373+$AP$3*AP373)+$I$3*VLOOKUP(I373,COND!$A$2:$E$7,4,FALSE)+$J$3*VLOOKUP(J373,COND!$A$2:$C$7,2,FALSE)+$K$3*VLOOKUP(K373,COND!$A$2:$C$7,3,FALSE)+IF(AND($B$2&gt;0,$E373&lt;20),$B$2*25,0)</f>
        <v>37.236775502276615</v>
      </c>
      <c r="AR373" s="49">
        <f>STANDARDIZE(AQ373,AVERAGE($AQ$5:$AQ$537),STDEVP($AQ$5:$AQ$537))</f>
        <v>-0.54744279325761713</v>
      </c>
      <c r="AS373" s="47" t="str">
        <f>IF(AND(Z373&lt;&gt;"-",Y373&gt;1),"C",IF(AB373=MAX(AB373:AD373),"2B",IF(AD373=MAX(AB373:AD373),"SS",IF(OR(AC373=MAX(AA373:AD373),AND(AC373&lt;&gt;"-",AC373&gt;4,V373&gt;5)),"3B",IF(AF373=MAX(AE373:AG373),"CF",IF(AND(AG373=MAX(AE373,AG373),AND(W373&gt;5,AG373&lt;&gt;"-")),"RF",IF(AE373&lt;&gt;"-","LF",IF(AA373&lt;&gt;"-","1B","DH"))))))))</f>
        <v>3B</v>
      </c>
      <c r="AT373" s="47"/>
      <c r="AU373" s="47"/>
      <c r="AV373" s="47"/>
      <c r="AW373" s="47" t="str">
        <f>IF(AND($Q373&gt;=6,AVERAGE($S373:$T373)&gt;=6),"Likely",IF(OR($Q373&gt;6,AND($Q373=6,AVERAGE($S373:$T373)&gt;=3),AND($Q373&gt;=5,AVERAGE($S373:$T373)&gt;=5),AVERAGE($Q373,$S373:$T373)&gt;5),"Possible","Unlikely"))</f>
        <v>Unlikely</v>
      </c>
      <c r="AX373" s="47"/>
      <c r="AY373" s="47" t="str">
        <f>INDEX(Table5[[#All],[Ovr]],MATCH(Batters[[#This Row],[PID]],Table5[[#All],[PID]],0))</f>
        <v/>
      </c>
      <c r="AZ373" s="47" t="str">
        <f>INDEX(Table5[[#All],[Rnd]],MATCH(Batters[[#This Row],[PID]],Table5[[#All],[PID]],0))</f>
        <v/>
      </c>
      <c r="BA373" s="47" t="str">
        <f>INDEX(Table5[[#All],[Pick]],MATCH(Batters[[#This Row],[PID]],Table5[[#All],[PID]],0))</f>
        <v/>
      </c>
      <c r="BB373" s="47" t="str">
        <f>INDEX(Table5[[#All],[Team]],MATCH(Batters[[#This Row],[PID]],Table5[[#All],[PID]],0))</f>
        <v/>
      </c>
    </row>
    <row r="374" spans="1:54" ht="15" customHeight="1" x14ac:dyDescent="0.25">
      <c r="A374" s="42">
        <v>7851</v>
      </c>
      <c r="B374" s="42" t="s">
        <v>86</v>
      </c>
      <c r="C374" s="42" t="s">
        <v>400</v>
      </c>
      <c r="D374" s="42" t="s">
        <v>790</v>
      </c>
      <c r="E374" s="42">
        <v>18</v>
      </c>
      <c r="F374" s="42" t="s">
        <v>42</v>
      </c>
      <c r="G374" s="42" t="s">
        <v>42</v>
      </c>
      <c r="H374" s="43" t="s">
        <v>711</v>
      </c>
      <c r="I374" s="44" t="s">
        <v>44</v>
      </c>
      <c r="J374" s="42" t="s">
        <v>43</v>
      </c>
      <c r="K374" s="43" t="s">
        <v>43</v>
      </c>
      <c r="L374" s="42">
        <v>1</v>
      </c>
      <c r="M374" s="42">
        <v>1</v>
      </c>
      <c r="N374" s="42">
        <v>2</v>
      </c>
      <c r="O374" s="42">
        <v>1</v>
      </c>
      <c r="P374" s="43">
        <v>1</v>
      </c>
      <c r="Q374" s="42">
        <v>2</v>
      </c>
      <c r="R374" s="42">
        <v>3</v>
      </c>
      <c r="S374" s="42">
        <v>3</v>
      </c>
      <c r="T374" s="42">
        <v>5</v>
      </c>
      <c r="U374" s="43">
        <v>2</v>
      </c>
      <c r="V374" s="42">
        <v>3</v>
      </c>
      <c r="W374" s="42">
        <v>2</v>
      </c>
      <c r="X374" s="42">
        <v>4</v>
      </c>
      <c r="Y374" s="43">
        <v>6</v>
      </c>
      <c r="Z374" s="42" t="s">
        <v>45</v>
      </c>
      <c r="AA374" s="42" t="s">
        <v>45</v>
      </c>
      <c r="AB374" s="42" t="s">
        <v>45</v>
      </c>
      <c r="AC374" s="42" t="s">
        <v>45</v>
      </c>
      <c r="AD374" s="42" t="s">
        <v>45</v>
      </c>
      <c r="AE374" s="42" t="s">
        <v>45</v>
      </c>
      <c r="AF374" s="42" t="s">
        <v>45</v>
      </c>
      <c r="AG374" s="43" t="s">
        <v>45</v>
      </c>
      <c r="AH374" s="42">
        <v>2</v>
      </c>
      <c r="AI374" s="42">
        <v>1</v>
      </c>
      <c r="AJ374" s="43">
        <v>1</v>
      </c>
      <c r="AK374" s="45" t="s">
        <v>758</v>
      </c>
      <c r="AL374" s="45" t="s">
        <v>47</v>
      </c>
      <c r="AM374" s="46">
        <f>($L$3*(L374-$Q$1)/$Q$2+$M$3*(M374-$R$1)/$R$2+$N$3*(N374-$S$1)/$S$2+$O$3*(O374-$T$1)/$T$2+$P$3*(P374-$U$1)/$U$2)/(SUM($L$3:$P$3))</f>
        <v>-2.0012818558036707</v>
      </c>
      <c r="AN374" s="46">
        <f>($L$3*(Q374-$Q$1)/$Q$2+$M$3*(R374-$R$1)/$R$2+$N$3*(S374-$S$1)/$S$2+$O$3*(T374-$T$1)/$T$2+$P$3*(U374-$U$1)/$U$2)/(SUM($L$3:$P$3))</f>
        <v>-1.0946902264842799</v>
      </c>
      <c r="AO374" s="47">
        <f>IF(AVERAGE(AH374:AI374)&gt;9,1,0)+IF(AVERAGE(AH374:AI374)&gt;7,1,0)+IF(AH374&gt;7,1,0)+IF(AI374&gt;7,1,0)+IF(AJ374&gt;8,1,0)+IF(AJ374&gt;6,1,0)</f>
        <v>0</v>
      </c>
      <c r="AP374" s="48">
        <f>MIN(2,IF(OR(Z374="-",X374&lt;5),0,1+IF(Y374&gt;7,0.35,IF(Y374&gt;5,0.1,0))+IF(Z374&gt;7,1+IF(X374&gt;7,0.25,0),IF(Z374&gt;4,0.5+IF(X374&gt;7,0.25,0),0+IF(X374&gt;7,0.25))))+IF(AA374="-",0,IF(AA374&gt;9,0.5,IF(AA374&gt;7,0.25,0)))+IF(AB374="-",0,IF(AB374&gt;7,1.1,IF(AB374&gt;4,0.6,0)))+IF(OR(AC374="-",V374&lt;5),0,IF(AC374&gt;7,1+IF(V374&gt;7,0.25,0),IF(AC374&gt;4,0.5+IF(V374&gt;7,0.25,0),0)))+IF(AD374="-",0,IF(AD374&gt;7,1.5,IF(AD374&gt;4,1,0)))+IF(AE374="-",0,IF(AE374&gt;9,0.5,IF(AE374&gt;7,0.25,0)))+IF(AF374="-",0,IF(AF374&gt;7,1.25,IF(AF374&gt;4,0.75,0)))+IF(OR(AG374="-",W374&lt;4),0,IF(AG374&gt;7,1+IF(W374&gt;7,0.15,0),IF(AG374&gt;4,0.5+IF(W374&gt;7,0.15,0),0))))</f>
        <v>0</v>
      </c>
      <c r="AQ374" s="46">
        <f>($AM$3*AM374+$AN$3*AN374+$AO$3*AO374+$AP$3*AP374)+$I$3*VLOOKUP(I374,COND!$A$2:$E$7,4,FALSE)+$J$3*VLOOKUP(J374,COND!$A$2:$C$7,2,FALSE)+$K$3*VLOOKUP(K374,COND!$A$2:$C$7,3,FALSE)+IF(AND($B$2&gt;0,$E374&lt;20),$B$2*25,0)</f>
        <v>36.513589096608271</v>
      </c>
      <c r="AR374" s="49">
        <f>STANDARDIZE(AQ374,AVERAGE($AQ$5:$AQ$537),STDEVP($AQ$5:$AQ$537))</f>
        <v>-0.6746826348187116</v>
      </c>
      <c r="AS374" s="47" t="str">
        <f>IF(AND(Z374&lt;&gt;"-",Y374&gt;1),"C",IF(AB374=MAX(AB374:AD374),"2B",IF(AD374=MAX(AB374:AD374),"SS",IF(OR(AC374=MAX(AA374:AD374),AND(AC374&lt;&gt;"-",AC374&gt;4,V374&gt;5)),"3B",IF(AF374=MAX(AE374:AG374),"CF",IF(AND(AG374=MAX(AE374,AG374),AND(W374&gt;5,AG374&lt;&gt;"-")),"RF",IF(AE374&lt;&gt;"-","LF",IF(AA374&lt;&gt;"-","1B","DH"))))))))</f>
        <v>DH</v>
      </c>
      <c r="AT374" s="47"/>
      <c r="AU374" s="47"/>
      <c r="AV374" s="47"/>
      <c r="AW374" s="47" t="str">
        <f>IF(AND($Q374&gt;=6,AVERAGE($S374:$T374)&gt;=6),"Likely",IF(OR($Q374&gt;6,AND($Q374=6,AVERAGE($S374:$T374)&gt;=3),AND($Q374&gt;=5,AVERAGE($S374:$T374)&gt;=5),AVERAGE($Q374,$S374:$T374)&gt;5),"Possible","Unlikely"))</f>
        <v>Unlikely</v>
      </c>
      <c r="AX374" s="47"/>
      <c r="AY374" s="47" t="str">
        <f>INDEX(Table5[[#All],[Ovr]],MATCH(Batters[[#This Row],[PID]],Table5[[#All],[PID]],0))</f>
        <v/>
      </c>
      <c r="AZ374" s="47" t="str">
        <f>INDEX(Table5[[#All],[Rnd]],MATCH(Batters[[#This Row],[PID]],Table5[[#All],[PID]],0))</f>
        <v/>
      </c>
      <c r="BA374" s="47" t="str">
        <f>INDEX(Table5[[#All],[Pick]],MATCH(Batters[[#This Row],[PID]],Table5[[#All],[PID]],0))</f>
        <v/>
      </c>
      <c r="BB374" s="47" t="str">
        <f>INDEX(Table5[[#All],[Team]],MATCH(Batters[[#This Row],[PID]],Table5[[#All],[PID]],0))</f>
        <v/>
      </c>
    </row>
    <row r="375" spans="1:54" ht="15" customHeight="1" x14ac:dyDescent="0.25">
      <c r="A375" s="42">
        <v>13244</v>
      </c>
      <c r="B375" s="42" t="s">
        <v>87</v>
      </c>
      <c r="C375" s="42" t="s">
        <v>163</v>
      </c>
      <c r="D375" s="42" t="s">
        <v>328</v>
      </c>
      <c r="E375" s="42">
        <v>18</v>
      </c>
      <c r="F375" s="42" t="s">
        <v>53</v>
      </c>
      <c r="G375" s="42" t="s">
        <v>42</v>
      </c>
      <c r="H375" s="43" t="s">
        <v>721</v>
      </c>
      <c r="I375" s="44" t="s">
        <v>43</v>
      </c>
      <c r="J375" s="42" t="s">
        <v>44</v>
      </c>
      <c r="K375" s="43" t="s">
        <v>44</v>
      </c>
      <c r="L375" s="42">
        <v>1</v>
      </c>
      <c r="M375" s="42">
        <v>1</v>
      </c>
      <c r="N375" s="42">
        <v>2</v>
      </c>
      <c r="O375" s="42">
        <v>1</v>
      </c>
      <c r="P375" s="43">
        <v>1</v>
      </c>
      <c r="Q375" s="42">
        <v>2</v>
      </c>
      <c r="R375" s="42">
        <v>5</v>
      </c>
      <c r="S375" s="42">
        <v>3</v>
      </c>
      <c r="T375" s="42">
        <v>6</v>
      </c>
      <c r="U375" s="43">
        <v>1</v>
      </c>
      <c r="V375" s="42">
        <v>3</v>
      </c>
      <c r="W375" s="42">
        <v>3</v>
      </c>
      <c r="X375" s="42">
        <v>3</v>
      </c>
      <c r="Y375" s="43">
        <v>2</v>
      </c>
      <c r="Z375" s="42" t="s">
        <v>45</v>
      </c>
      <c r="AA375" s="42">
        <v>1</v>
      </c>
      <c r="AB375" s="42" t="s">
        <v>45</v>
      </c>
      <c r="AC375" s="42" t="s">
        <v>45</v>
      </c>
      <c r="AD375" s="42" t="s">
        <v>45</v>
      </c>
      <c r="AE375" s="42" t="s">
        <v>45</v>
      </c>
      <c r="AF375" s="42" t="s">
        <v>45</v>
      </c>
      <c r="AG375" s="43" t="s">
        <v>45</v>
      </c>
      <c r="AH375" s="42">
        <v>1</v>
      </c>
      <c r="AI375" s="42">
        <v>6</v>
      </c>
      <c r="AJ375" s="43">
        <v>5</v>
      </c>
      <c r="AK375" s="45" t="s">
        <v>718</v>
      </c>
      <c r="AL375" s="45" t="s">
        <v>47</v>
      </c>
      <c r="AM375" s="46">
        <f>($L$3*(L375-$Q$1)/$Q$2+$M$3*(M375-$R$1)/$R$2+$N$3*(N375-$S$1)/$S$2+$O$3*(O375-$T$1)/$T$2+$P$3*(P375-$U$1)/$U$2)/(SUM($L$3:$P$3))</f>
        <v>-2.0012818558036707</v>
      </c>
      <c r="AN375" s="46">
        <f>($L$3*(Q375-$Q$1)/$Q$2+$M$3*(R375-$R$1)/$R$2+$N$3*(S375-$S$1)/$S$2+$O$3*(T375-$T$1)/$T$2+$P$3*(U375-$U$1)/$U$2)/(SUM($L$3:$P$3))</f>
        <v>-0.94287725705437508</v>
      </c>
      <c r="AO375" s="47">
        <f>IF(AVERAGE(AH375:AI375)&gt;9,1,0)+IF(AVERAGE(AH375:AI375)&gt;7,1,0)+IF(AH375&gt;7,1,0)+IF(AI375&gt;7,1,0)+IF(AJ375&gt;8,1,0)+IF(AJ375&gt;6,1,0)</f>
        <v>0</v>
      </c>
      <c r="AP375" s="48">
        <f>MIN(2,IF(OR(Z375="-",X375&lt;5),0,1+IF(Y375&gt;7,0.35,IF(Y375&gt;5,0.1,0))+IF(Z375&gt;7,1+IF(X375&gt;7,0.25,0),IF(Z375&gt;4,0.5+IF(X375&gt;7,0.25,0),0+IF(X375&gt;7,0.25))))+IF(AA375="-",0,IF(AA375&gt;9,0.5,IF(AA375&gt;7,0.25,0)))+IF(AB375="-",0,IF(AB375&gt;7,1.1,IF(AB375&gt;4,0.6,0)))+IF(OR(AC375="-",V375&lt;5),0,IF(AC375&gt;7,1+IF(V375&gt;7,0.25,0),IF(AC375&gt;4,0.5+IF(V375&gt;7,0.25,0),0)))+IF(AD375="-",0,IF(AD375&gt;7,1.5,IF(AD375&gt;4,1,0)))+IF(AE375="-",0,IF(AE375&gt;9,0.5,IF(AE375&gt;7,0.25,0)))+IF(AF375="-",0,IF(AF375&gt;7,1.25,IF(AF375&gt;4,0.75,0)))+IF(OR(AG375="-",W375&lt;4),0,IF(AG375&gt;7,1+IF(W375&gt;7,0.15,0),IF(AG375&gt;4,0.5+IF(W375&gt;7,0.15,0),0))))</f>
        <v>0</v>
      </c>
      <c r="AQ375" s="46">
        <f>($AM$3*AM375+$AN$3*AN375+$AO$3*AO375+$AP$3*AP375)+$I$3*VLOOKUP(I375,COND!$A$2:$E$7,4,FALSE)+$J$3*VLOOKUP(J375,COND!$A$2:$C$7,2,FALSE)+$K$3*VLOOKUP(K375,COND!$A$2:$C$7,3,FALSE)+IF(AND($B$2&gt;0,$E375&lt;20),$B$2*25,0)</f>
        <v>37.885344729767127</v>
      </c>
      <c r="AR375" s="49">
        <f>STANDARDIZE(AQ375,AVERAGE($AQ$5:$AQ$537),STDEVP($AQ$5:$AQ$537))</f>
        <v>-0.43333134826850883</v>
      </c>
      <c r="AS375" s="47" t="str">
        <f>IF(AND(Z375&lt;&gt;"-",Y375&gt;1),"C",IF(AB375=MAX(AB375:AD375),"2B",IF(AD375=MAX(AB375:AD375),"SS",IF(OR(AC375=MAX(AA375:AD375),AND(AC375&lt;&gt;"-",AC375&gt;4,V375&gt;5)),"3B",IF(AF375=MAX(AE375:AG375),"CF",IF(AND(AG375=MAX(AE375,AG375),AND(W375&gt;5,AG375&lt;&gt;"-")),"RF",IF(AE375&lt;&gt;"-","LF",IF(AA375&lt;&gt;"-","1B","DH"))))))))</f>
        <v>1B</v>
      </c>
      <c r="AT375" s="47"/>
      <c r="AU375" s="47"/>
      <c r="AV375" s="47"/>
      <c r="AW375" s="47" t="str">
        <f>IF(AND($Q375&gt;=6,AVERAGE($S375:$T375)&gt;=6),"Likely",IF(OR($Q375&gt;6,AND($Q375=6,AVERAGE($S375:$T375)&gt;=3),AND($Q375&gt;=5,AVERAGE($S375:$T375)&gt;=5),AVERAGE($Q375,$S375:$T375)&gt;5),"Possible","Unlikely"))</f>
        <v>Unlikely</v>
      </c>
      <c r="AX375" s="47"/>
      <c r="AY375" s="47" t="str">
        <f>INDEX(Table5[[#All],[Ovr]],MATCH(Batters[[#This Row],[PID]],Table5[[#All],[PID]],0))</f>
        <v/>
      </c>
      <c r="AZ375" s="47" t="str">
        <f>INDEX(Table5[[#All],[Rnd]],MATCH(Batters[[#This Row],[PID]],Table5[[#All],[PID]],0))</f>
        <v/>
      </c>
      <c r="BA375" s="47" t="str">
        <f>INDEX(Table5[[#All],[Pick]],MATCH(Batters[[#This Row],[PID]],Table5[[#All],[PID]],0))</f>
        <v/>
      </c>
      <c r="BB375" s="47" t="str">
        <f>INDEX(Table5[[#All],[Team]],MATCH(Batters[[#This Row],[PID]],Table5[[#All],[PID]],0))</f>
        <v/>
      </c>
    </row>
    <row r="376" spans="1:54" ht="15" customHeight="1" x14ac:dyDescent="0.25">
      <c r="A376" s="42">
        <v>13617</v>
      </c>
      <c r="B376" s="42" t="s">
        <v>71</v>
      </c>
      <c r="C376" s="42" t="s">
        <v>166</v>
      </c>
      <c r="D376" s="42" t="s">
        <v>464</v>
      </c>
      <c r="E376" s="42">
        <v>18</v>
      </c>
      <c r="F376" s="42" t="s">
        <v>62</v>
      </c>
      <c r="G376" s="42" t="s">
        <v>42</v>
      </c>
      <c r="H376" s="43" t="s">
        <v>721</v>
      </c>
      <c r="I376" s="44" t="s">
        <v>43</v>
      </c>
      <c r="J376" s="42" t="s">
        <v>43</v>
      </c>
      <c r="K376" s="43" t="s">
        <v>47</v>
      </c>
      <c r="L376" s="42">
        <v>1</v>
      </c>
      <c r="M376" s="42">
        <v>1</v>
      </c>
      <c r="N376" s="42">
        <v>2</v>
      </c>
      <c r="O376" s="42">
        <v>1</v>
      </c>
      <c r="P376" s="43">
        <v>1</v>
      </c>
      <c r="Q376" s="42">
        <v>2</v>
      </c>
      <c r="R376" s="42">
        <v>2</v>
      </c>
      <c r="S376" s="42">
        <v>3</v>
      </c>
      <c r="T376" s="42">
        <v>4</v>
      </c>
      <c r="U376" s="43">
        <v>3</v>
      </c>
      <c r="V376" s="42">
        <v>3</v>
      </c>
      <c r="W376" s="42">
        <v>2</v>
      </c>
      <c r="X376" s="42">
        <v>1</v>
      </c>
      <c r="Y376" s="43">
        <v>1</v>
      </c>
      <c r="Z376" s="42" t="s">
        <v>45</v>
      </c>
      <c r="AA376" s="42" t="s">
        <v>45</v>
      </c>
      <c r="AB376" s="42">
        <v>1</v>
      </c>
      <c r="AC376" s="42" t="s">
        <v>45</v>
      </c>
      <c r="AD376" s="42" t="s">
        <v>45</v>
      </c>
      <c r="AE376" s="42" t="s">
        <v>45</v>
      </c>
      <c r="AF376" s="42" t="s">
        <v>45</v>
      </c>
      <c r="AG376" s="43" t="s">
        <v>45</v>
      </c>
      <c r="AH376" s="42">
        <v>2</v>
      </c>
      <c r="AI376" s="42">
        <v>5</v>
      </c>
      <c r="AJ376" s="43">
        <v>2</v>
      </c>
      <c r="AK376" s="45" t="s">
        <v>718</v>
      </c>
      <c r="AL376" s="45" t="s">
        <v>47</v>
      </c>
      <c r="AM376" s="46">
        <f>($L$3*(L376-$Q$1)/$Q$2+$M$3*(M376-$R$1)/$R$2+$N$3*(N376-$S$1)/$S$2+$O$3*(O376-$T$1)/$T$2+$P$3*(P376-$U$1)/$U$2)/(SUM($L$3:$P$3))</f>
        <v>-2.0012818558036707</v>
      </c>
      <c r="AN376" s="46">
        <f>($L$3*(Q376-$Q$1)/$Q$2+$M$3*(R376-$R$1)/$R$2+$N$3*(S376-$S$1)/$S$2+$O$3*(T376-$T$1)/$T$2+$P$3*(U376-$U$1)/$U$2)/(SUM($L$3:$P$3))</f>
        <v>-1.1954433162954807</v>
      </c>
      <c r="AO376" s="47">
        <f>IF(AVERAGE(AH376:AI376)&gt;9,1,0)+IF(AVERAGE(AH376:AI376)&gt;7,1,0)+IF(AH376&gt;7,1,0)+IF(AI376&gt;7,1,0)+IF(AJ376&gt;8,1,0)+IF(AJ376&gt;6,1,0)</f>
        <v>0</v>
      </c>
      <c r="AP376" s="48">
        <f>MIN(2,IF(OR(Z376="-",X376&lt;5),0,1+IF(Y376&gt;7,0.35,IF(Y376&gt;5,0.1,0))+IF(Z376&gt;7,1+IF(X376&gt;7,0.25,0),IF(Z376&gt;4,0.5+IF(X376&gt;7,0.25,0),0+IF(X376&gt;7,0.25))))+IF(AA376="-",0,IF(AA376&gt;9,0.5,IF(AA376&gt;7,0.25,0)))+IF(AB376="-",0,IF(AB376&gt;7,1.1,IF(AB376&gt;4,0.6,0)))+IF(OR(AC376="-",V376&lt;5),0,IF(AC376&gt;7,1+IF(V376&gt;7,0.25,0),IF(AC376&gt;4,0.5+IF(V376&gt;7,0.25,0),0)))+IF(AD376="-",0,IF(AD376&gt;7,1.5,IF(AD376&gt;4,1,0)))+IF(AE376="-",0,IF(AE376&gt;9,0.5,IF(AE376&gt;7,0.25,0)))+IF(AF376="-",0,IF(AF376&gt;7,1.25,IF(AF376&gt;4,0.75,0)))+IF(OR(AG376="-",W376&lt;4),0,IF(AG376&gt;7,1+IF(W376&gt;7,0.15,0),IF(AG376&gt;4,0.5+IF(W376&gt;7,0.15,0),0))))</f>
        <v>0</v>
      </c>
      <c r="AQ376" s="46">
        <f>($AM$3*AM376+$AN$3*AN376+$AO$3*AO376+$AP$3*AP376)+$I$3*VLOOKUP(I376,COND!$A$2:$E$7,4,FALSE)+$J$3*VLOOKUP(J376,COND!$A$2:$C$7,2,FALSE)+$K$3*VLOOKUP(K376,COND!$A$2:$C$7,3,FALSE)+IF(AND($B$2&gt;0,$E376&lt;20),$B$2*25,0)</f>
        <v>35.754552018873866</v>
      </c>
      <c r="AR376" s="49">
        <f>STANDARDIZE(AQ376,AVERAGE($AQ$5:$AQ$537),STDEVP($AQ$5:$AQ$537))</f>
        <v>-0.80823016385538671</v>
      </c>
      <c r="AS376" s="47" t="str">
        <f>IF(AND(Z376&lt;&gt;"-",Y376&gt;1),"C",IF(AB376=MAX(AB376:AD376),"2B",IF(AD376=MAX(AB376:AD376),"SS",IF(OR(AC376=MAX(AA376:AD376),AND(AC376&lt;&gt;"-",AC376&gt;4,V376&gt;5)),"3B",IF(AF376=MAX(AE376:AG376),"CF",IF(AND(AG376=MAX(AE376,AG376),AND(W376&gt;5,AG376&lt;&gt;"-")),"RF",IF(AE376&lt;&gt;"-","LF",IF(AA376&lt;&gt;"-","1B","DH"))))))))</f>
        <v>2B</v>
      </c>
      <c r="AT376" s="47"/>
      <c r="AU376" s="47"/>
      <c r="AV376" s="47"/>
      <c r="AW376" s="47" t="str">
        <f>IF(AND($Q376&gt;=6,AVERAGE($S376:$T376)&gt;=6),"Likely",IF(OR($Q376&gt;6,AND($Q376=6,AVERAGE($S376:$T376)&gt;=3),AND($Q376&gt;=5,AVERAGE($S376:$T376)&gt;=5),AVERAGE($Q376,$S376:$T376)&gt;5),"Possible","Unlikely"))</f>
        <v>Unlikely</v>
      </c>
      <c r="AX376" s="47"/>
      <c r="AY376" s="47" t="str">
        <f>INDEX(Table5[[#All],[Ovr]],MATCH(Batters[[#This Row],[PID]],Table5[[#All],[PID]],0))</f>
        <v/>
      </c>
      <c r="AZ376" s="47" t="str">
        <f>INDEX(Table5[[#All],[Rnd]],MATCH(Batters[[#This Row],[PID]],Table5[[#All],[PID]],0))</f>
        <v/>
      </c>
      <c r="BA376" s="47" t="str">
        <f>INDEX(Table5[[#All],[Pick]],MATCH(Batters[[#This Row],[PID]],Table5[[#All],[PID]],0))</f>
        <v/>
      </c>
      <c r="BB376" s="47" t="str">
        <f>INDEX(Table5[[#All],[Team]],MATCH(Batters[[#This Row],[PID]],Table5[[#All],[PID]],0))</f>
        <v/>
      </c>
    </row>
    <row r="377" spans="1:54" ht="15" customHeight="1" x14ac:dyDescent="0.25">
      <c r="A377" s="42">
        <v>10426</v>
      </c>
      <c r="B377" s="42" t="s">
        <v>71</v>
      </c>
      <c r="C377" s="42" t="s">
        <v>452</v>
      </c>
      <c r="D377" s="42" t="s">
        <v>1138</v>
      </c>
      <c r="E377" s="42">
        <v>21</v>
      </c>
      <c r="F377" s="42" t="s">
        <v>42</v>
      </c>
      <c r="G377" s="42" t="s">
        <v>42</v>
      </c>
      <c r="H377" s="43" t="s">
        <v>709</v>
      </c>
      <c r="I377" s="44" t="s">
        <v>43</v>
      </c>
      <c r="J377" s="42" t="s">
        <v>44</v>
      </c>
      <c r="K377" s="43" t="s">
        <v>43</v>
      </c>
      <c r="L377" s="42">
        <v>2</v>
      </c>
      <c r="M377" s="42">
        <v>2</v>
      </c>
      <c r="N377" s="42">
        <v>2</v>
      </c>
      <c r="O377" s="42">
        <v>3</v>
      </c>
      <c r="P377" s="43">
        <v>1</v>
      </c>
      <c r="Q377" s="42">
        <v>3</v>
      </c>
      <c r="R377" s="42">
        <v>4</v>
      </c>
      <c r="S377" s="42">
        <v>3</v>
      </c>
      <c r="T377" s="42">
        <v>5</v>
      </c>
      <c r="U377" s="43">
        <v>3</v>
      </c>
      <c r="V377" s="42">
        <v>8</v>
      </c>
      <c r="W377" s="42">
        <v>8</v>
      </c>
      <c r="X377" s="42">
        <v>1</v>
      </c>
      <c r="Y377" s="43">
        <v>1</v>
      </c>
      <c r="Z377" s="42" t="s">
        <v>45</v>
      </c>
      <c r="AA377" s="42" t="s">
        <v>45</v>
      </c>
      <c r="AB377" s="42">
        <v>7</v>
      </c>
      <c r="AC377" s="42" t="s">
        <v>45</v>
      </c>
      <c r="AD377" s="42">
        <v>4</v>
      </c>
      <c r="AE377" s="42" t="s">
        <v>45</v>
      </c>
      <c r="AF377" s="42" t="s">
        <v>45</v>
      </c>
      <c r="AG377" s="43" t="s">
        <v>45</v>
      </c>
      <c r="AH377" s="42">
        <v>8</v>
      </c>
      <c r="AI377" s="42">
        <v>3</v>
      </c>
      <c r="AJ377" s="43">
        <v>3</v>
      </c>
      <c r="AK377" s="45" t="s">
        <v>615</v>
      </c>
      <c r="AL377" s="45" t="s">
        <v>705</v>
      </c>
      <c r="AM377" s="46">
        <f>($L$3*(L377-$Q$1)/$Q$2+$M$3*(M377-$R$1)/$R$2+$N$3*(N377-$S$1)/$S$2+$O$3*(O377-$T$1)/$T$2+$P$3*(P377-$U$1)/$U$2)/(SUM($L$3:$P$3))</f>
        <v>-1.4482470399631302</v>
      </c>
      <c r="AN377" s="46">
        <f>($L$3*(Q377-$Q$1)/$Q$2+$M$3*(R377-$R$1)/$R$2+$N$3*(S377-$S$1)/$S$2+$O$3*(T377-$T$1)/$T$2+$P$3*(U377-$U$1)/$U$2)/(SUM($L$3:$P$3))</f>
        <v>-0.6810581708458181</v>
      </c>
      <c r="AO377" s="47">
        <f>IF(AVERAGE(AH377:AI377)&gt;9,1,0)+IF(AVERAGE(AH377:AI377)&gt;7,1,0)+IF(AH377&gt;7,1,0)+IF(AI377&gt;7,1,0)+IF(AJ377&gt;8,1,0)+IF(AJ377&gt;6,1,0)</f>
        <v>1</v>
      </c>
      <c r="AP377" s="48">
        <f>MIN(2,IF(OR(Z377="-",X377&lt;5),0,1+IF(Y377&gt;7,0.35,IF(Y377&gt;5,0.1,0))+IF(Z377&gt;7,1+IF(X377&gt;7,0.25,0),IF(Z377&gt;4,0.5+IF(X377&gt;7,0.25,0),0+IF(X377&gt;7,0.25))))+IF(AA377="-",0,IF(AA377&gt;9,0.5,IF(AA377&gt;7,0.25,0)))+IF(AB377="-",0,IF(AB377&gt;7,1.1,IF(AB377&gt;4,0.6,0)))+IF(OR(AC377="-",V377&lt;5),0,IF(AC377&gt;7,1+IF(V377&gt;7,0.25,0),IF(AC377&gt;4,0.5+IF(V377&gt;7,0.25,0),0)))+IF(AD377="-",0,IF(AD377&gt;7,1.5,IF(AD377&gt;4,1,0)))+IF(AE377="-",0,IF(AE377&gt;9,0.5,IF(AE377&gt;7,0.25,0)))+IF(AF377="-",0,IF(AF377&gt;7,1.25,IF(AF377&gt;4,0.75,0)))+IF(OR(AG377="-",W377&lt;4),0,IF(AG377&gt;7,1+IF(W377&gt;7,0.15,0),IF(AG377&gt;4,0.5+IF(W377&gt;7,0.15,0),0))))</f>
        <v>0.6</v>
      </c>
      <c r="AQ377" s="46">
        <f>($AM$3*AM377+$AN$3*AN377+$AO$3*AO377+$AP$3*AP377)+$I$3*VLOOKUP(I377,COND!$A$2:$E$7,4,FALSE)+$J$3*VLOOKUP(J377,COND!$A$2:$C$7,2,FALSE)+$K$3*VLOOKUP(K377,COND!$A$2:$C$7,3,FALSE)+IF(AND($B$2&gt;0,$E377&lt;20),$B$2*25,0)</f>
        <v>37.149143912520536</v>
      </c>
      <c r="AR377" s="49">
        <f>STANDARDIZE(AQ377,AVERAGE($AQ$5:$AQ$537),STDEVP($AQ$5:$AQ$537))</f>
        <v>-0.56286098904906823</v>
      </c>
      <c r="AS377" s="47" t="str">
        <f>IF(AND(Z377&lt;&gt;"-",Y377&gt;1),"C",IF(AB377=MAX(AB377:AD377),"2B",IF(AD377=MAX(AB377:AD377),"SS",IF(OR(AC377=MAX(AA377:AD377),AND(AC377&lt;&gt;"-",AC377&gt;4,V377&gt;5)),"3B",IF(AF377=MAX(AE377:AG377),"CF",IF(AND(AG377=MAX(AE377,AG377),AND(W377&gt;5,AG377&lt;&gt;"-")),"RF",IF(AE377&lt;&gt;"-","LF",IF(AA377&lt;&gt;"-","1B","DH"))))))))</f>
        <v>2B</v>
      </c>
      <c r="AT377" s="47"/>
      <c r="AU377" s="47"/>
      <c r="AV377" s="47"/>
      <c r="AW377" s="47" t="str">
        <f>IF(AND($Q377&gt;=6,AVERAGE($S377:$T377)&gt;=6),"Likely",IF(OR($Q377&gt;6,AND($Q377=6,AVERAGE($S377:$T377)&gt;=3),AND($Q377&gt;=5,AVERAGE($S377:$T377)&gt;=5),AVERAGE($Q377,$S377:$T377)&gt;5),"Possible","Unlikely"))</f>
        <v>Unlikely</v>
      </c>
      <c r="AX377" s="47"/>
      <c r="AY377" s="47" t="str">
        <f>INDEX(Table5[[#All],[Ovr]],MATCH(Batters[[#This Row],[PID]],Table5[[#All],[PID]],0))</f>
        <v/>
      </c>
      <c r="AZ377" s="47" t="str">
        <f>INDEX(Table5[[#All],[Rnd]],MATCH(Batters[[#This Row],[PID]],Table5[[#All],[PID]],0))</f>
        <v/>
      </c>
      <c r="BA377" s="47" t="str">
        <f>INDEX(Table5[[#All],[Pick]],MATCH(Batters[[#This Row],[PID]],Table5[[#All],[PID]],0))</f>
        <v/>
      </c>
      <c r="BB377" s="47" t="str">
        <f>INDEX(Table5[[#All],[Team]],MATCH(Batters[[#This Row],[PID]],Table5[[#All],[PID]],0))</f>
        <v/>
      </c>
    </row>
    <row r="378" spans="1:54" ht="15" customHeight="1" x14ac:dyDescent="0.25">
      <c r="A378" s="42">
        <v>12518</v>
      </c>
      <c r="B378" s="42" t="s">
        <v>86</v>
      </c>
      <c r="C378" s="42" t="s">
        <v>444</v>
      </c>
      <c r="D378" s="42" t="s">
        <v>1326</v>
      </c>
      <c r="E378" s="42">
        <v>18</v>
      </c>
      <c r="F378" s="42" t="s">
        <v>42</v>
      </c>
      <c r="G378" s="42" t="s">
        <v>42</v>
      </c>
      <c r="H378" s="43" t="s">
        <v>711</v>
      </c>
      <c r="I378" s="44" t="s">
        <v>43</v>
      </c>
      <c r="J378" s="42" t="s">
        <v>43</v>
      </c>
      <c r="K378" s="43" t="s">
        <v>43</v>
      </c>
      <c r="L378" s="42">
        <v>1</v>
      </c>
      <c r="M378" s="42">
        <v>1</v>
      </c>
      <c r="N378" s="42">
        <v>2</v>
      </c>
      <c r="O378" s="42">
        <v>1</v>
      </c>
      <c r="P378" s="43">
        <v>1</v>
      </c>
      <c r="Q378" s="42">
        <v>2</v>
      </c>
      <c r="R378" s="42">
        <v>3</v>
      </c>
      <c r="S378" s="42">
        <v>2</v>
      </c>
      <c r="T378" s="42">
        <v>4</v>
      </c>
      <c r="U378" s="43">
        <v>3</v>
      </c>
      <c r="V378" s="42">
        <v>7</v>
      </c>
      <c r="W378" s="42">
        <v>7</v>
      </c>
      <c r="X378" s="42">
        <v>8</v>
      </c>
      <c r="Y378" s="43">
        <v>6</v>
      </c>
      <c r="Z378" s="42">
        <v>2</v>
      </c>
      <c r="AA378" s="42" t="s">
        <v>45</v>
      </c>
      <c r="AB378" s="42" t="s">
        <v>45</v>
      </c>
      <c r="AC378" s="42" t="s">
        <v>45</v>
      </c>
      <c r="AD378" s="42" t="s">
        <v>45</v>
      </c>
      <c r="AE378" s="42" t="s">
        <v>45</v>
      </c>
      <c r="AF378" s="42" t="s">
        <v>45</v>
      </c>
      <c r="AG378" s="43" t="s">
        <v>45</v>
      </c>
      <c r="AH378" s="42">
        <v>3</v>
      </c>
      <c r="AI378" s="42">
        <v>2</v>
      </c>
      <c r="AJ378" s="43">
        <v>4</v>
      </c>
      <c r="AK378" s="45" t="s">
        <v>602</v>
      </c>
      <c r="AL378" s="45" t="s">
        <v>47</v>
      </c>
      <c r="AM378" s="46">
        <f>($L$3*(L378-$Q$1)/$Q$2+$M$3*(M378-$R$1)/$R$2+$N$3*(N378-$S$1)/$S$2+$O$3*(O378-$T$1)/$T$2+$P$3*(P378-$U$1)/$U$2)/(SUM($L$3:$P$3))</f>
        <v>-2.0012818558036707</v>
      </c>
      <c r="AN378" s="46">
        <f>($L$3*(Q378-$Q$1)/$Q$2+$M$3*(R378-$R$1)/$R$2+$N$3*(S378-$S$1)/$S$2+$O$3*(T378-$T$1)/$T$2+$P$3*(U378-$U$1)/$U$2)/(SUM($L$3:$P$3))</f>
        <v>-1.2274449307006789</v>
      </c>
      <c r="AO378" s="47">
        <f>IF(AVERAGE(AH378:AI378)&gt;9,1,0)+IF(AVERAGE(AH378:AI378)&gt;7,1,0)+IF(AH378&gt;7,1,0)+IF(AI378&gt;7,1,0)+IF(AJ378&gt;8,1,0)+IF(AJ378&gt;6,1,0)</f>
        <v>0</v>
      </c>
      <c r="AP378" s="48">
        <f>MIN(2,IF(OR(Z378="-",X378&lt;5),0,1+IF(Y378&gt;7,0.35,IF(Y378&gt;5,0.1,0))+IF(Z378&gt;7,1+IF(X378&gt;7,0.25,0),IF(Z378&gt;4,0.5+IF(X378&gt;7,0.25,0),0+IF(X378&gt;7,0.25))))+IF(AA378="-",0,IF(AA378&gt;9,0.5,IF(AA378&gt;7,0.25,0)))+IF(AB378="-",0,IF(AB378&gt;7,1.1,IF(AB378&gt;4,0.6,0)))+IF(OR(AC378="-",V378&lt;5),0,IF(AC378&gt;7,1+IF(V378&gt;7,0.25,0),IF(AC378&gt;4,0.5+IF(V378&gt;7,0.25,0),0)))+IF(AD378="-",0,IF(AD378&gt;7,1.5,IF(AD378&gt;4,1,0)))+IF(AE378="-",0,IF(AE378&gt;9,0.5,IF(AE378&gt;7,0.25,0)))+IF(AF378="-",0,IF(AF378&gt;7,1.25,IF(AF378&gt;4,0.75,0)))+IF(OR(AG378="-",W378&lt;4),0,IF(AG378&gt;7,1+IF(W378&gt;7,0.15,0),IF(AG378&gt;4,0.5+IF(W378&gt;7,0.15,0),0))))</f>
        <v>1.35</v>
      </c>
      <c r="AQ378" s="46">
        <f>($AM$3*AM378+$AN$3*AN378+$AO$3*AO378+$AP$3*AP378)+$I$3*VLOOKUP(I378,COND!$A$2:$E$7,4,FALSE)+$J$3*VLOOKUP(J378,COND!$A$2:$C$7,2,FALSE)+$K$3*VLOOKUP(K378,COND!$A$2:$C$7,3,FALSE)+IF(AND($B$2&gt;0,$E378&lt;20),$B$2*25,0)</f>
        <v>36.420532646011488</v>
      </c>
      <c r="AR378" s="49">
        <f>STANDARDIZE(AQ378,AVERAGE($AQ$5:$AQ$537),STDEVP($AQ$5:$AQ$537))</f>
        <v>-0.69105529881981376</v>
      </c>
      <c r="AS378" s="47" t="str">
        <f>IF(AND(Z378&lt;&gt;"-",Y378&gt;1),"C",IF(AB378=MAX(AB378:AD378),"2B",IF(AD378=MAX(AB378:AD378),"SS",IF(OR(AC378=MAX(AA378:AD378),AND(AC378&lt;&gt;"-",AC378&gt;4,V378&gt;5)),"3B",IF(AF378=MAX(AE378:AG378),"CF",IF(AND(AG378=MAX(AE378,AG378),AND(W378&gt;5,AG378&lt;&gt;"-")),"RF",IF(AE378&lt;&gt;"-","LF",IF(AA378&lt;&gt;"-","1B","DH"))))))))</f>
        <v>C</v>
      </c>
      <c r="AT378" s="47"/>
      <c r="AU378" s="47"/>
      <c r="AV378" s="47"/>
      <c r="AW378" s="47" t="str">
        <f>IF(AND($Q378&gt;=6,AVERAGE($S378:$T378)&gt;=6),"Likely",IF(OR($Q378&gt;6,AND($Q378=6,AVERAGE($S378:$T378)&gt;=3),AND($Q378&gt;=5,AVERAGE($S378:$T378)&gt;=5),AVERAGE($Q378,$S378:$T378)&gt;5),"Possible","Unlikely"))</f>
        <v>Unlikely</v>
      </c>
      <c r="AX378" s="47"/>
      <c r="AY378" s="47" t="str">
        <f>INDEX(Table5[[#All],[Ovr]],MATCH(Batters[[#This Row],[PID]],Table5[[#All],[PID]],0))</f>
        <v/>
      </c>
      <c r="AZ378" s="47" t="str">
        <f>INDEX(Table5[[#All],[Rnd]],MATCH(Batters[[#This Row],[PID]],Table5[[#All],[PID]],0))</f>
        <v/>
      </c>
      <c r="BA378" s="47" t="str">
        <f>INDEX(Table5[[#All],[Pick]],MATCH(Batters[[#This Row],[PID]],Table5[[#All],[PID]],0))</f>
        <v/>
      </c>
      <c r="BB378" s="47" t="str">
        <f>INDEX(Table5[[#All],[Team]],MATCH(Batters[[#This Row],[PID]],Table5[[#All],[PID]],0))</f>
        <v/>
      </c>
    </row>
    <row r="379" spans="1:54" ht="15" customHeight="1" x14ac:dyDescent="0.25">
      <c r="A379" s="42">
        <v>9909</v>
      </c>
      <c r="B379" s="42" t="s">
        <v>71</v>
      </c>
      <c r="C379" s="42" t="s">
        <v>383</v>
      </c>
      <c r="D379" s="42" t="s">
        <v>810</v>
      </c>
      <c r="E379" s="42">
        <v>22</v>
      </c>
      <c r="F379" s="42" t="s">
        <v>42</v>
      </c>
      <c r="G379" s="42" t="s">
        <v>42</v>
      </c>
      <c r="H379" s="43" t="s">
        <v>709</v>
      </c>
      <c r="I379" s="44" t="s">
        <v>43</v>
      </c>
      <c r="J379" s="42" t="s">
        <v>44</v>
      </c>
      <c r="K379" s="43" t="s">
        <v>43</v>
      </c>
      <c r="L379" s="42">
        <v>2</v>
      </c>
      <c r="M379" s="42">
        <v>3</v>
      </c>
      <c r="N379" s="42">
        <v>3</v>
      </c>
      <c r="O379" s="42">
        <v>2</v>
      </c>
      <c r="P379" s="43">
        <v>1</v>
      </c>
      <c r="Q379" s="42">
        <v>3</v>
      </c>
      <c r="R379" s="42">
        <v>4</v>
      </c>
      <c r="S379" s="42">
        <v>4</v>
      </c>
      <c r="T379" s="42">
        <v>4</v>
      </c>
      <c r="U379" s="43">
        <v>3</v>
      </c>
      <c r="V379" s="42">
        <v>9</v>
      </c>
      <c r="W379" s="42">
        <v>8</v>
      </c>
      <c r="X379" s="42">
        <v>1</v>
      </c>
      <c r="Y379" s="43">
        <v>1</v>
      </c>
      <c r="Z379" s="42" t="s">
        <v>45</v>
      </c>
      <c r="AA379" s="42">
        <v>6</v>
      </c>
      <c r="AB379" s="42">
        <v>6</v>
      </c>
      <c r="AC379" s="42" t="s">
        <v>45</v>
      </c>
      <c r="AD379" s="42" t="s">
        <v>45</v>
      </c>
      <c r="AE379" s="42" t="s">
        <v>45</v>
      </c>
      <c r="AF379" s="42" t="s">
        <v>45</v>
      </c>
      <c r="AG379" s="43" t="s">
        <v>45</v>
      </c>
      <c r="AH379" s="42">
        <v>3</v>
      </c>
      <c r="AI379" s="42">
        <v>4</v>
      </c>
      <c r="AJ379" s="43">
        <v>7</v>
      </c>
      <c r="AK379" s="45" t="s">
        <v>45</v>
      </c>
      <c r="AL379" s="45" t="s">
        <v>47</v>
      </c>
      <c r="AM379" s="46">
        <f>($L$3*(L379-$Q$1)/$Q$2+$M$3*(M379-$R$1)/$R$2+$N$3*(N379-$S$1)/$S$2+$O$3*(O379-$T$1)/$T$2+$P$3*(P379-$U$1)/$U$2)/(SUM($L$3:$P$3))</f>
        <v>-1.4038352163301062</v>
      </c>
      <c r="AN379" s="46">
        <f>($L$3*(Q379-$Q$1)/$Q$2+$M$3*(R379-$R$1)/$R$2+$N$3*(S379-$S$1)/$S$2+$O$3*(T379-$T$1)/$T$2+$P$3*(U379-$U$1)/$U$2)/(SUM($L$3:$P$3))</f>
        <v>-0.68770622683149762</v>
      </c>
      <c r="AO379" s="47">
        <f>IF(AVERAGE(AH379:AI379)&gt;9,1,0)+IF(AVERAGE(AH379:AI379)&gt;7,1,0)+IF(AH379&gt;7,1,0)+IF(AI379&gt;7,1,0)+IF(AJ379&gt;8,1,0)+IF(AJ379&gt;6,1,0)</f>
        <v>1</v>
      </c>
      <c r="AP379" s="48">
        <f>MIN(2,IF(OR(Z379="-",X379&lt;5),0,1+IF(Y379&gt;7,0.35,IF(Y379&gt;5,0.1,0))+IF(Z379&gt;7,1+IF(X379&gt;7,0.25,0),IF(Z379&gt;4,0.5+IF(X379&gt;7,0.25,0),0+IF(X379&gt;7,0.25))))+IF(AA379="-",0,IF(AA379&gt;9,0.5,IF(AA379&gt;7,0.25,0)))+IF(AB379="-",0,IF(AB379&gt;7,1.1,IF(AB379&gt;4,0.6,0)))+IF(OR(AC379="-",V379&lt;5),0,IF(AC379&gt;7,1+IF(V379&gt;7,0.25,0),IF(AC379&gt;4,0.5+IF(V379&gt;7,0.25,0),0)))+IF(AD379="-",0,IF(AD379&gt;7,1.5,IF(AD379&gt;4,1,0)))+IF(AE379="-",0,IF(AE379&gt;9,0.5,IF(AE379&gt;7,0.25,0)))+IF(AF379="-",0,IF(AF379&gt;7,1.25,IF(AF379&gt;4,0.75,0)))+IF(OR(AG379="-",W379&lt;4),0,IF(AG379&gt;7,1+IF(W379&gt;7,0.15,0),IF(AG379&gt;4,0.5+IF(W379&gt;7,0.15,0),0))))</f>
        <v>0.6</v>
      </c>
      <c r="AQ379" s="46">
        <f>($AM$3*AM379+$AN$3*AN379+$AO$3*AO379+$AP$3*AP379)+$I$3*VLOOKUP(I379,COND!$A$2:$E$7,4,FALSE)+$J$3*VLOOKUP(J379,COND!$A$2:$C$7,2,FALSE)+$K$3*VLOOKUP(K379,COND!$A$2:$C$7,3,FALSE)+IF(AND($B$2&gt;0,$E379&lt;20),$B$2*25,0)</f>
        <v>37.073808423055681</v>
      </c>
      <c r="AR379" s="49">
        <f>STANDARDIZE(AQ379,AVERAGE($AQ$5:$AQ$537),STDEVP($AQ$5:$AQ$537))</f>
        <v>-0.57611576771789141</v>
      </c>
      <c r="AS379" s="47" t="str">
        <f>IF(AND(Z379&lt;&gt;"-",Y379&gt;1),"C",IF(AB379=MAX(AB379:AD379),"2B",IF(AD379=MAX(AB379:AD379),"SS",IF(OR(AC379=MAX(AA379:AD379),AND(AC379&lt;&gt;"-",AC379&gt;4,V379&gt;5)),"3B",IF(AF379=MAX(AE379:AG379),"CF",IF(AND(AG379=MAX(AE379,AG379),AND(W379&gt;5,AG379&lt;&gt;"-")),"RF",IF(AE379&lt;&gt;"-","LF",IF(AA379&lt;&gt;"-","1B","DH"))))))))</f>
        <v>2B</v>
      </c>
      <c r="AT379" s="47"/>
      <c r="AU379" s="47"/>
      <c r="AV379" s="47"/>
      <c r="AW379" s="47" t="str">
        <f>IF(AND($Q379&gt;=6,AVERAGE($S379:$T379)&gt;=6),"Likely",IF(OR($Q379&gt;6,AND($Q379=6,AVERAGE($S379:$T379)&gt;=3),AND($Q379&gt;=5,AVERAGE($S379:$T379)&gt;=5),AVERAGE($Q379,$S379:$T379)&gt;5),"Possible","Unlikely"))</f>
        <v>Unlikely</v>
      </c>
      <c r="AX379" s="47"/>
      <c r="AY379" s="47" t="str">
        <f>INDEX(Table5[[#All],[Ovr]],MATCH(Batters[[#This Row],[PID]],Table5[[#All],[PID]],0))</f>
        <v/>
      </c>
      <c r="AZ379" s="47" t="str">
        <f>INDEX(Table5[[#All],[Rnd]],MATCH(Batters[[#This Row],[PID]],Table5[[#All],[PID]],0))</f>
        <v/>
      </c>
      <c r="BA379" s="47" t="str">
        <f>INDEX(Table5[[#All],[Pick]],MATCH(Batters[[#This Row],[PID]],Table5[[#All],[PID]],0))</f>
        <v/>
      </c>
      <c r="BB379" s="47" t="str">
        <f>INDEX(Table5[[#All],[Team]],MATCH(Batters[[#This Row],[PID]],Table5[[#All],[PID]],0))</f>
        <v/>
      </c>
    </row>
    <row r="380" spans="1:54" ht="15" customHeight="1" x14ac:dyDescent="0.25">
      <c r="A380" s="42">
        <v>7832</v>
      </c>
      <c r="B380" s="42" t="s">
        <v>71</v>
      </c>
      <c r="C380" s="42" t="s">
        <v>1359</v>
      </c>
      <c r="D380" s="42" t="s">
        <v>1360</v>
      </c>
      <c r="E380" s="42">
        <v>18</v>
      </c>
      <c r="F380" s="42" t="s">
        <v>42</v>
      </c>
      <c r="G380" s="42" t="s">
        <v>42</v>
      </c>
      <c r="H380" s="43" t="s">
        <v>711</v>
      </c>
      <c r="I380" s="44" t="s">
        <v>44</v>
      </c>
      <c r="J380" s="42" t="s">
        <v>44</v>
      </c>
      <c r="K380" s="43" t="s">
        <v>43</v>
      </c>
      <c r="L380" s="42">
        <v>1</v>
      </c>
      <c r="M380" s="42">
        <v>1</v>
      </c>
      <c r="N380" s="42">
        <v>2</v>
      </c>
      <c r="O380" s="42">
        <v>2</v>
      </c>
      <c r="P380" s="43">
        <v>1</v>
      </c>
      <c r="Q380" s="42">
        <v>2</v>
      </c>
      <c r="R380" s="42">
        <v>3</v>
      </c>
      <c r="S380" s="42">
        <v>3</v>
      </c>
      <c r="T380" s="42">
        <v>5</v>
      </c>
      <c r="U380" s="43">
        <v>3</v>
      </c>
      <c r="V380" s="42">
        <v>4</v>
      </c>
      <c r="W380" s="42">
        <v>3</v>
      </c>
      <c r="X380" s="42">
        <v>1</v>
      </c>
      <c r="Y380" s="43">
        <v>1</v>
      </c>
      <c r="Z380" s="42" t="s">
        <v>45</v>
      </c>
      <c r="AA380" s="42" t="s">
        <v>45</v>
      </c>
      <c r="AB380" s="42">
        <v>2</v>
      </c>
      <c r="AC380" s="42" t="s">
        <v>45</v>
      </c>
      <c r="AD380" s="42" t="s">
        <v>45</v>
      </c>
      <c r="AE380" s="42">
        <v>1</v>
      </c>
      <c r="AF380" s="42" t="s">
        <v>45</v>
      </c>
      <c r="AG380" s="43" t="s">
        <v>45</v>
      </c>
      <c r="AH380" s="42">
        <v>10</v>
      </c>
      <c r="AI380" s="42">
        <v>6</v>
      </c>
      <c r="AJ380" s="43">
        <v>4</v>
      </c>
      <c r="AK380" s="45" t="s">
        <v>615</v>
      </c>
      <c r="AL380" s="45" t="s">
        <v>705</v>
      </c>
      <c r="AM380" s="46">
        <f>($L$3*(L380-$Q$1)/$Q$2+$M$3*(M380-$R$1)/$R$2+$N$3*(N380-$S$1)/$S$2+$O$3*(O380-$T$1)/$T$2+$P$3*(P380-$U$1)/$U$2)/(SUM($L$3:$P$3))</f>
        <v>-1.9115723057940897</v>
      </c>
      <c r="AN380" s="46">
        <f>($L$3*(Q380-$Q$1)/$Q$2+$M$3*(R380-$R$1)/$R$2+$N$3*(S380-$S$1)/$S$2+$O$3*(T380-$T$1)/$T$2+$P$3*(U380-$U$1)/$U$2)/(SUM($L$3:$P$3))</f>
        <v>-1.0546738866671965</v>
      </c>
      <c r="AO380" s="47">
        <f>IF(AVERAGE(AH380:AI380)&gt;9,1,0)+IF(AVERAGE(AH380:AI380)&gt;7,1,0)+IF(AH380&gt;7,1,0)+IF(AI380&gt;7,1,0)+IF(AJ380&gt;8,1,0)+IF(AJ380&gt;6,1,0)</f>
        <v>2</v>
      </c>
      <c r="AP380" s="48">
        <f>MIN(2,IF(OR(Z380="-",X380&lt;5),0,1+IF(Y380&gt;7,0.35,IF(Y380&gt;5,0.1,0))+IF(Z380&gt;7,1+IF(X380&gt;7,0.25,0),IF(Z380&gt;4,0.5+IF(X380&gt;7,0.25,0),0+IF(X380&gt;7,0.25))))+IF(AA380="-",0,IF(AA380&gt;9,0.5,IF(AA380&gt;7,0.25,0)))+IF(AB380="-",0,IF(AB380&gt;7,1.1,IF(AB380&gt;4,0.6,0)))+IF(OR(AC380="-",V380&lt;5),0,IF(AC380&gt;7,1+IF(V380&gt;7,0.25,0),IF(AC380&gt;4,0.5+IF(V380&gt;7,0.25,0),0)))+IF(AD380="-",0,IF(AD380&gt;7,1.5,IF(AD380&gt;4,1,0)))+IF(AE380="-",0,IF(AE380&gt;9,0.5,IF(AE380&gt;7,0.25,0)))+IF(AF380="-",0,IF(AF380&gt;7,1.25,IF(AF380&gt;4,0.75,0)))+IF(OR(AG380="-",W380&lt;4),0,IF(AG380&gt;7,1+IF(W380&gt;7,0.15,0),IF(AG380&gt;4,0.5+IF(W380&gt;7,0.15,0),0))))</f>
        <v>0</v>
      </c>
      <c r="AQ380" s="46">
        <f>($AM$3*AM380+$AN$3*AN380+$AO$3*AO380+$AP$3*AP380)+$I$3*VLOOKUP(I380,COND!$A$2:$E$7,4,FALSE)+$J$3*VLOOKUP(J380,COND!$A$2:$C$7,2,FALSE)+$K$3*VLOOKUP(K380,COND!$A$2:$C$7,3,FALSE)+IF(AND($B$2&gt;0,$E380&lt;20),$B$2*25,0)</f>
        <v>37.036089462747569</v>
      </c>
      <c r="AR380" s="49">
        <f>STANDARDIZE(AQ380,AVERAGE($AQ$5:$AQ$537),STDEVP($AQ$5:$AQ$537))</f>
        <v>-0.58275216809245045</v>
      </c>
      <c r="AS380" s="47" t="str">
        <f>IF(AND(Z380&lt;&gt;"-",Y380&gt;1),"C",IF(AB380=MAX(AB380:AD380),"2B",IF(AD380=MAX(AB380:AD380),"SS",IF(OR(AC380=MAX(AA380:AD380),AND(AC380&lt;&gt;"-",AC380&gt;4,V380&gt;5)),"3B",IF(AF380=MAX(AE380:AG380),"CF",IF(AND(AG380=MAX(AE380,AG380),AND(W380&gt;5,AG380&lt;&gt;"-")),"RF",IF(AE380&lt;&gt;"-","LF",IF(AA380&lt;&gt;"-","1B","DH"))))))))</f>
        <v>2B</v>
      </c>
      <c r="AT380" s="47"/>
      <c r="AU380" s="47"/>
      <c r="AV380" s="47"/>
      <c r="AW380" s="47" t="str">
        <f>IF(AND($Q380&gt;=6,AVERAGE($S380:$T380)&gt;=6),"Likely",IF(OR($Q380&gt;6,AND($Q380=6,AVERAGE($S380:$T380)&gt;=3),AND($Q380&gt;=5,AVERAGE($S380:$T380)&gt;=5),AVERAGE($Q380,$S380:$T380)&gt;5),"Possible","Unlikely"))</f>
        <v>Unlikely</v>
      </c>
      <c r="AX380" s="47"/>
      <c r="AY380" s="47" t="str">
        <f>INDEX(Table5[[#All],[Ovr]],MATCH(Batters[[#This Row],[PID]],Table5[[#All],[PID]],0))</f>
        <v/>
      </c>
      <c r="AZ380" s="47" t="str">
        <f>INDEX(Table5[[#All],[Rnd]],MATCH(Batters[[#This Row],[PID]],Table5[[#All],[PID]],0))</f>
        <v/>
      </c>
      <c r="BA380" s="47" t="str">
        <f>INDEX(Table5[[#All],[Pick]],MATCH(Batters[[#This Row],[PID]],Table5[[#All],[PID]],0))</f>
        <v/>
      </c>
      <c r="BB380" s="47" t="str">
        <f>INDEX(Table5[[#All],[Team]],MATCH(Batters[[#This Row],[PID]],Table5[[#All],[PID]],0))</f>
        <v/>
      </c>
    </row>
    <row r="381" spans="1:54" ht="15" customHeight="1" x14ac:dyDescent="0.25">
      <c r="A381" s="42">
        <v>15374</v>
      </c>
      <c r="B381" s="42" t="s">
        <v>86</v>
      </c>
      <c r="C381" s="42" t="s">
        <v>803</v>
      </c>
      <c r="D381" s="42" t="s">
        <v>804</v>
      </c>
      <c r="E381" s="42">
        <v>22</v>
      </c>
      <c r="F381" s="42" t="s">
        <v>42</v>
      </c>
      <c r="G381" s="42" t="s">
        <v>42</v>
      </c>
      <c r="H381" s="43" t="s">
        <v>709</v>
      </c>
      <c r="I381" s="44" t="s">
        <v>43</v>
      </c>
      <c r="J381" s="42" t="s">
        <v>44</v>
      </c>
      <c r="K381" s="43" t="s">
        <v>44</v>
      </c>
      <c r="L381" s="42">
        <v>2</v>
      </c>
      <c r="M381" s="42">
        <v>4</v>
      </c>
      <c r="N381" s="42">
        <v>3</v>
      </c>
      <c r="O381" s="42">
        <v>4</v>
      </c>
      <c r="P381" s="43">
        <v>1</v>
      </c>
      <c r="Q381" s="42">
        <v>3</v>
      </c>
      <c r="R381" s="42">
        <v>4</v>
      </c>
      <c r="S381" s="42">
        <v>4</v>
      </c>
      <c r="T381" s="42">
        <v>6</v>
      </c>
      <c r="U381" s="43">
        <v>2</v>
      </c>
      <c r="V381" s="42">
        <v>2</v>
      </c>
      <c r="W381" s="42">
        <v>2</v>
      </c>
      <c r="X381" s="42">
        <v>3</v>
      </c>
      <c r="Y381" s="43">
        <v>5</v>
      </c>
      <c r="Z381" s="42">
        <v>1</v>
      </c>
      <c r="AA381" s="42" t="s">
        <v>45</v>
      </c>
      <c r="AB381" s="42" t="s">
        <v>45</v>
      </c>
      <c r="AC381" s="42" t="s">
        <v>45</v>
      </c>
      <c r="AD381" s="42" t="s">
        <v>45</v>
      </c>
      <c r="AE381" s="42" t="s">
        <v>45</v>
      </c>
      <c r="AF381" s="42" t="s">
        <v>45</v>
      </c>
      <c r="AG381" s="43" t="s">
        <v>45</v>
      </c>
      <c r="AH381" s="42">
        <v>3</v>
      </c>
      <c r="AI381" s="42">
        <v>1</v>
      </c>
      <c r="AJ381" s="43">
        <v>1</v>
      </c>
      <c r="AK381" s="45" t="s">
        <v>45</v>
      </c>
      <c r="AL381" s="45" t="s">
        <v>47</v>
      </c>
      <c r="AM381" s="46">
        <f>($L$3*(L381-$Q$1)/$Q$2+$M$3*(M381-$R$1)/$R$2+$N$3*(N381-$S$1)/$S$2+$O$3*(O381-$T$1)/$T$2+$P$3*(P381-$U$1)/$U$2)/(SUM($L$3:$P$3))</f>
        <v>-1.1733562366922408</v>
      </c>
      <c r="AN381" s="46">
        <f>($L$3*(Q381-$Q$1)/$Q$2+$M$3*(R381-$R$1)/$R$2+$N$3*(S381-$S$1)/$S$2+$O$3*(T381-$T$1)/$T$2+$P$3*(U381-$U$1)/$U$2)/(SUM($L$3:$P$3))</f>
        <v>-0.54830346662941898</v>
      </c>
      <c r="AO381" s="47">
        <f>IF(AVERAGE(AH381:AI381)&gt;9,1,0)+IF(AVERAGE(AH381:AI381)&gt;7,1,0)+IF(AH381&gt;7,1,0)+IF(AI381&gt;7,1,0)+IF(AJ381&gt;8,1,0)+IF(AJ381&gt;6,1,0)</f>
        <v>0</v>
      </c>
      <c r="AP381" s="48">
        <f>MIN(2,IF(OR(Z381="-",X381&lt;5),0,1+IF(Y381&gt;7,0.35,IF(Y381&gt;5,0.1,0))+IF(Z381&gt;7,1+IF(X381&gt;7,0.25,0),IF(Z381&gt;4,0.5+IF(X381&gt;7,0.25,0),0+IF(X381&gt;7,0.25))))+IF(AA381="-",0,IF(AA381&gt;9,0.5,IF(AA381&gt;7,0.25,0)))+IF(AB381="-",0,IF(AB381&gt;7,1.1,IF(AB381&gt;4,0.6,0)))+IF(OR(AC381="-",V381&lt;5),0,IF(AC381&gt;7,1+IF(V381&gt;7,0.25,0),IF(AC381&gt;4,0.5+IF(V381&gt;7,0.25,0),0)))+IF(AD381="-",0,IF(AD381&gt;7,1.5,IF(AD381&gt;4,1,0)))+IF(AE381="-",0,IF(AE381&gt;9,0.5,IF(AE381&gt;7,0.25,0)))+IF(AF381="-",0,IF(AF381&gt;7,1.25,IF(AF381&gt;4,0.75,0)))+IF(OR(AG381="-",W381&lt;4),0,IF(AG381&gt;7,1+IF(W381&gt;7,0.15,0),IF(AG381&gt;4,0.5+IF(W381&gt;7,0.15,0),0))))</f>
        <v>0</v>
      </c>
      <c r="AQ381" s="46">
        <f>($AM$3*AM381+$AN$3*AN381+$AO$3*AO381+$AP$3*AP381)+$I$3*VLOOKUP(I381,COND!$A$2:$E$7,4,FALSE)+$J$3*VLOOKUP(J381,COND!$A$2:$C$7,2,FALSE)+$K$3*VLOOKUP(K381,COND!$A$2:$C$7,3,FALSE)+IF(AND($B$2&gt;0,$E381&lt;20),$B$2*25,0)</f>
        <v>37.703022776777743</v>
      </c>
      <c r="AR381" s="49">
        <f>STANDARDIZE(AQ381,AVERAGE($AQ$5:$AQ$537),STDEVP($AQ$5:$AQ$537))</f>
        <v>-0.46540968412997885</v>
      </c>
      <c r="AS381" s="47" t="str">
        <f>IF(AND(Z381&lt;&gt;"-",Y381&gt;1),"C",IF(AB381=MAX(AB381:AD381),"2B",IF(AD381=MAX(AB381:AD381),"SS",IF(OR(AC381=MAX(AA381:AD381),AND(AC381&lt;&gt;"-",AC381&gt;4,V381&gt;5)),"3B",IF(AF381=MAX(AE381:AG381),"CF",IF(AND(AG381=MAX(AE381,AG381),AND(W381&gt;5,AG381&lt;&gt;"-")),"RF",IF(AE381&lt;&gt;"-","LF",IF(AA381&lt;&gt;"-","1B","DH"))))))))</f>
        <v>C</v>
      </c>
      <c r="AT381" s="47"/>
      <c r="AU381" s="47"/>
      <c r="AV381" s="47"/>
      <c r="AW381" s="47" t="str">
        <f>IF(AND($Q381&gt;=6,AVERAGE($S381:$T381)&gt;=6),"Likely",IF(OR($Q381&gt;6,AND($Q381=6,AVERAGE($S381:$T381)&gt;=3),AND($Q381&gt;=5,AVERAGE($S381:$T381)&gt;=5),AVERAGE($Q381,$S381:$T381)&gt;5),"Possible","Unlikely"))</f>
        <v>Unlikely</v>
      </c>
      <c r="AX381" s="47"/>
      <c r="AY381" s="47" t="str">
        <f>INDEX(Table5[[#All],[Ovr]],MATCH(Batters[[#This Row],[PID]],Table5[[#All],[PID]],0))</f>
        <v/>
      </c>
      <c r="AZ381" s="47" t="str">
        <f>INDEX(Table5[[#All],[Rnd]],MATCH(Batters[[#This Row],[PID]],Table5[[#All],[PID]],0))</f>
        <v/>
      </c>
      <c r="BA381" s="47" t="str">
        <f>INDEX(Table5[[#All],[Pick]],MATCH(Batters[[#This Row],[PID]],Table5[[#All],[PID]],0))</f>
        <v/>
      </c>
      <c r="BB381" s="47" t="str">
        <f>INDEX(Table5[[#All],[Team]],MATCH(Batters[[#This Row],[PID]],Table5[[#All],[PID]],0))</f>
        <v/>
      </c>
    </row>
    <row r="382" spans="1:54" ht="15" customHeight="1" x14ac:dyDescent="0.25">
      <c r="A382" s="42">
        <v>11871</v>
      </c>
      <c r="B382" s="42" t="s">
        <v>69</v>
      </c>
      <c r="C382" s="42" t="s">
        <v>123</v>
      </c>
      <c r="D382" s="42" t="s">
        <v>1155</v>
      </c>
      <c r="E382" s="42">
        <v>21</v>
      </c>
      <c r="F382" s="42" t="s">
        <v>42</v>
      </c>
      <c r="G382" s="42" t="s">
        <v>42</v>
      </c>
      <c r="H382" s="43" t="s">
        <v>709</v>
      </c>
      <c r="I382" s="44" t="s">
        <v>43</v>
      </c>
      <c r="J382" s="42" t="s">
        <v>43</v>
      </c>
      <c r="K382" s="43" t="s">
        <v>43</v>
      </c>
      <c r="L382" s="42">
        <v>2</v>
      </c>
      <c r="M382" s="42">
        <v>2</v>
      </c>
      <c r="N382" s="42">
        <v>2</v>
      </c>
      <c r="O382" s="42">
        <v>2</v>
      </c>
      <c r="P382" s="43">
        <v>1</v>
      </c>
      <c r="Q382" s="42">
        <v>3</v>
      </c>
      <c r="R382" s="42">
        <v>3</v>
      </c>
      <c r="S382" s="42">
        <v>2</v>
      </c>
      <c r="T382" s="42">
        <v>5</v>
      </c>
      <c r="U382" s="43">
        <v>4</v>
      </c>
      <c r="V382" s="42">
        <v>10</v>
      </c>
      <c r="W382" s="42">
        <v>10</v>
      </c>
      <c r="X382" s="42">
        <v>1</v>
      </c>
      <c r="Y382" s="43">
        <v>1</v>
      </c>
      <c r="Z382" s="42" t="s">
        <v>45</v>
      </c>
      <c r="AA382" s="42" t="s">
        <v>45</v>
      </c>
      <c r="AB382" s="42" t="s">
        <v>45</v>
      </c>
      <c r="AC382" s="42">
        <v>7</v>
      </c>
      <c r="AD382" s="42" t="s">
        <v>45</v>
      </c>
      <c r="AE382" s="42" t="s">
        <v>45</v>
      </c>
      <c r="AF382" s="42" t="s">
        <v>45</v>
      </c>
      <c r="AG382" s="43" t="s">
        <v>45</v>
      </c>
      <c r="AH382" s="42">
        <v>4</v>
      </c>
      <c r="AI382" s="42">
        <v>6</v>
      </c>
      <c r="AJ382" s="43">
        <v>6</v>
      </c>
      <c r="AK382" s="45" t="s">
        <v>45</v>
      </c>
      <c r="AL382" s="45" t="s">
        <v>705</v>
      </c>
      <c r="AM382" s="46">
        <f>($L$3*(L382-$Q$1)/$Q$2+$M$3*(M382-$R$1)/$R$2+$N$3*(N382-$S$1)/$S$2+$O$3*(O382-$T$1)/$T$2+$P$3*(P382-$U$1)/$U$2)/(SUM($L$3:$P$3))</f>
        <v>-1.5379565899727115</v>
      </c>
      <c r="AN382" s="46">
        <f>($L$3*(Q382-$Q$1)/$Q$2+$M$3*(R382-$R$1)/$R$2+$N$3*(S382-$S$1)/$S$2+$O$3*(T382-$T$1)/$T$2+$P$3*(U382-$U$1)/$U$2)/(SUM($L$3:$P$3))</f>
        <v>-0.77516320467133948</v>
      </c>
      <c r="AO382" s="47">
        <f>IF(AVERAGE(AH382:AI382)&gt;9,1,0)+IF(AVERAGE(AH382:AI382)&gt;7,1,0)+IF(AH382&gt;7,1,0)+IF(AI382&gt;7,1,0)+IF(AJ382&gt;8,1,0)+IF(AJ382&gt;6,1,0)</f>
        <v>0</v>
      </c>
      <c r="AP382" s="48">
        <f>MIN(2,IF(OR(Z382="-",X382&lt;5),0,1+IF(Y382&gt;7,0.35,IF(Y382&gt;5,0.1,0))+IF(Z382&gt;7,1+IF(X382&gt;7,0.25,0),IF(Z382&gt;4,0.5+IF(X382&gt;7,0.25,0),0+IF(X382&gt;7,0.25))))+IF(AA382="-",0,IF(AA382&gt;9,0.5,IF(AA382&gt;7,0.25,0)))+IF(AB382="-",0,IF(AB382&gt;7,1.1,IF(AB382&gt;4,0.6,0)))+IF(OR(AC382="-",V382&lt;5),0,IF(AC382&gt;7,1+IF(V382&gt;7,0.25,0),IF(AC382&gt;4,0.5+IF(V382&gt;7,0.25,0),0)))+IF(AD382="-",0,IF(AD382&gt;7,1.5,IF(AD382&gt;4,1,0)))+IF(AE382="-",0,IF(AE382&gt;9,0.5,IF(AE382&gt;7,0.25,0)))+IF(AF382="-",0,IF(AF382&gt;7,1.25,IF(AF382&gt;4,0.75,0)))+IF(OR(AG382="-",W382&lt;4),0,IF(AG382&gt;7,1+IF(W382&gt;7,0.15,0),IF(AG382&gt;4,0.5+IF(W382&gt;7,0.15,0),0))))</f>
        <v>0.75</v>
      </c>
      <c r="AQ382" s="46">
        <f>($AM$3*AM382+$AN$3*AN382+$AO$3*AO382+$AP$3*AP382)+$I$3*VLOOKUP(I382,COND!$A$2:$E$7,4,FALSE)+$J$3*VLOOKUP(J382,COND!$A$2:$C$7,2,FALSE)+$K$3*VLOOKUP(K382,COND!$A$2:$C$7,3,FALSE)+IF(AND($B$2&gt;0,$E382&lt;20),$B$2*25,0)</f>
        <v>36.294245884946655</v>
      </c>
      <c r="AR382" s="49">
        <f>STANDARDIZE(AQ382,AVERAGE($AQ$5:$AQ$537),STDEVP($AQ$5:$AQ$537))</f>
        <v>-0.71327461508904455</v>
      </c>
      <c r="AS382" s="47" t="str">
        <f>IF(AND(Z382&lt;&gt;"-",Y382&gt;1),"C",IF(AB382=MAX(AB382:AD382),"2B",IF(AD382=MAX(AB382:AD382),"SS",IF(OR(AC382=MAX(AA382:AD382),AND(AC382&lt;&gt;"-",AC382&gt;4,V382&gt;5)),"3B",IF(AF382=MAX(AE382:AG382),"CF",IF(AND(AG382=MAX(AE382,AG382),AND(W382&gt;5,AG382&lt;&gt;"-")),"RF",IF(AE382&lt;&gt;"-","LF",IF(AA382&lt;&gt;"-","1B","DH"))))))))</f>
        <v>3B</v>
      </c>
      <c r="AT382" s="47"/>
      <c r="AU382" s="47"/>
      <c r="AV382" s="47"/>
      <c r="AW382" s="47" t="str">
        <f>IF(AND($Q382&gt;=6,AVERAGE($S382:$T382)&gt;=6),"Likely",IF(OR($Q382&gt;6,AND($Q382=6,AVERAGE($S382:$T382)&gt;=3),AND($Q382&gt;=5,AVERAGE($S382:$T382)&gt;=5),AVERAGE($Q382,$S382:$T382)&gt;5),"Possible","Unlikely"))</f>
        <v>Unlikely</v>
      </c>
      <c r="AX382" s="47"/>
      <c r="AY382" s="47" t="str">
        <f>INDEX(Table5[[#All],[Ovr]],MATCH(Batters[[#This Row],[PID]],Table5[[#All],[PID]],0))</f>
        <v/>
      </c>
      <c r="AZ382" s="47" t="str">
        <f>INDEX(Table5[[#All],[Rnd]],MATCH(Batters[[#This Row],[PID]],Table5[[#All],[PID]],0))</f>
        <v/>
      </c>
      <c r="BA382" s="47" t="str">
        <f>INDEX(Table5[[#All],[Pick]],MATCH(Batters[[#This Row],[PID]],Table5[[#All],[PID]],0))</f>
        <v/>
      </c>
      <c r="BB382" s="47" t="str">
        <f>INDEX(Table5[[#All],[Team]],MATCH(Batters[[#This Row],[PID]],Table5[[#All],[PID]],0))</f>
        <v/>
      </c>
    </row>
    <row r="383" spans="1:54" ht="15" customHeight="1" x14ac:dyDescent="0.25">
      <c r="A383" s="42">
        <v>7236</v>
      </c>
      <c r="B383" s="42" t="s">
        <v>87</v>
      </c>
      <c r="C383" s="42" t="s">
        <v>614</v>
      </c>
      <c r="D383" s="42" t="s">
        <v>1065</v>
      </c>
      <c r="E383" s="42">
        <v>21</v>
      </c>
      <c r="F383" s="42" t="s">
        <v>53</v>
      </c>
      <c r="G383" s="42" t="s">
        <v>42</v>
      </c>
      <c r="H383" s="43" t="s">
        <v>721</v>
      </c>
      <c r="I383" s="44" t="s">
        <v>47</v>
      </c>
      <c r="J383" s="42" t="s">
        <v>43</v>
      </c>
      <c r="K383" s="43" t="s">
        <v>43</v>
      </c>
      <c r="L383" s="42">
        <v>2</v>
      </c>
      <c r="M383" s="42">
        <v>2</v>
      </c>
      <c r="N383" s="42">
        <v>2</v>
      </c>
      <c r="O383" s="42">
        <v>2</v>
      </c>
      <c r="P383" s="43">
        <v>4</v>
      </c>
      <c r="Q383" s="42">
        <v>4</v>
      </c>
      <c r="R383" s="42">
        <v>2</v>
      </c>
      <c r="S383" s="42">
        <v>2</v>
      </c>
      <c r="T383" s="42">
        <v>2</v>
      </c>
      <c r="U383" s="43">
        <v>5</v>
      </c>
      <c r="V383" s="42">
        <v>7</v>
      </c>
      <c r="W383" s="42">
        <v>1</v>
      </c>
      <c r="X383" s="42">
        <v>1</v>
      </c>
      <c r="Y383" s="43">
        <v>1</v>
      </c>
      <c r="Z383" s="42" t="s">
        <v>45</v>
      </c>
      <c r="AA383" s="42" t="s">
        <v>45</v>
      </c>
      <c r="AB383" s="42" t="s">
        <v>45</v>
      </c>
      <c r="AC383" s="42" t="s">
        <v>45</v>
      </c>
      <c r="AD383" s="42" t="s">
        <v>45</v>
      </c>
      <c r="AE383" s="42" t="s">
        <v>45</v>
      </c>
      <c r="AF383" s="42" t="s">
        <v>45</v>
      </c>
      <c r="AG383" s="43" t="s">
        <v>45</v>
      </c>
      <c r="AH383" s="42">
        <v>1</v>
      </c>
      <c r="AI383" s="42">
        <v>1</v>
      </c>
      <c r="AJ383" s="43">
        <v>2</v>
      </c>
      <c r="AK383" s="45" t="s">
        <v>45</v>
      </c>
      <c r="AL383" s="45" t="s">
        <v>705</v>
      </c>
      <c r="AM383" s="46">
        <f>($L$3*(L383-$Q$1)/$Q$2+$M$3*(M383-$R$1)/$R$2+$N$3*(N383-$S$1)/$S$2+$O$3*(O383-$T$1)/$T$2+$P$3*(P383-$U$1)/$U$2)/(SUM($L$3:$P$3))</f>
        <v>-1.417907570521461</v>
      </c>
      <c r="AN383" s="46">
        <f>($L$3*(Q383-$Q$1)/$Q$2+$M$3*(R383-$R$1)/$R$2+$N$3*(S383-$S$1)/$S$2+$O$3*(T383-$T$1)/$T$2+$P$3*(U383-$U$1)/$U$2)/(SUM($L$3:$P$3))</f>
        <v>-0.73277955829902797</v>
      </c>
      <c r="AO383" s="47">
        <f>IF(AVERAGE(AH383:AI383)&gt;9,1,0)+IF(AVERAGE(AH383:AI383)&gt;7,1,0)+IF(AH383&gt;7,1,0)+IF(AI383&gt;7,1,0)+IF(AJ383&gt;8,1,0)+IF(AJ383&gt;6,1,0)</f>
        <v>0</v>
      </c>
      <c r="AP383" s="48">
        <f>MIN(2,IF(OR(Z383="-",X383&lt;5),0,1+IF(Y383&gt;7,0.35,IF(Y383&gt;5,0.1,0))+IF(Z383&gt;7,1+IF(X383&gt;7,0.25,0),IF(Z383&gt;4,0.5+IF(X383&gt;7,0.25,0),0+IF(X383&gt;7,0.25))))+IF(AA383="-",0,IF(AA383&gt;9,0.5,IF(AA383&gt;7,0.25,0)))+IF(AB383="-",0,IF(AB383&gt;7,1.1,IF(AB383&gt;4,0.6,0)))+IF(OR(AC383="-",V383&lt;5),0,IF(AC383&gt;7,1+IF(V383&gt;7,0.25,0),IF(AC383&gt;4,0.5+IF(V383&gt;7,0.25,0),0)))+IF(AD383="-",0,IF(AD383&gt;7,1.5,IF(AD383&gt;4,1,0)))+IF(AE383="-",0,IF(AE383&gt;9,0.5,IF(AE383&gt;7,0.25,0)))+IF(AF383="-",0,IF(AF383&gt;7,1.25,IF(AF383&gt;4,0.75,0)))+IF(OR(AG383="-",W383&lt;4),0,IF(AG383&gt;7,1+IF(W383&gt;7,0.15,0),IF(AG383&gt;4,0.5+IF(W383&gt;7,0.15,0),0))))</f>
        <v>0</v>
      </c>
      <c r="AQ383" s="46">
        <f>($AM$3*AM383+$AN$3*AN383+$AO$3*AO383+$AP$3*AP383)+$I$3*VLOOKUP(I383,COND!$A$2:$E$7,4,FALSE)+$J$3*VLOOKUP(J383,COND!$A$2:$C$7,2,FALSE)+$K$3*VLOOKUP(K383,COND!$A$2:$C$7,3,FALSE)+IF(AND($B$2&gt;0,$E383&lt;20),$B$2*25,0)</f>
        <v>36.289854543359517</v>
      </c>
      <c r="AR383" s="49">
        <f>STANDARDIZE(AQ383,AVERAGE($AQ$5:$AQ$537),STDEVP($AQ$5:$AQ$537))</f>
        <v>-0.71404724245511286</v>
      </c>
      <c r="AS383" s="47" t="str">
        <f>IF(AND(Z383&lt;&gt;"-",Y383&gt;1),"C",IF(AB383=MAX(AB383:AD383),"2B",IF(AD383=MAX(AB383:AD383),"SS",IF(OR(AC383=MAX(AA383:AD383),AND(AC383&lt;&gt;"-",AC383&gt;4,V383&gt;5)),"3B",IF(AF383=MAX(AE383:AG383),"CF",IF(AND(AG383=MAX(AE383,AG383),AND(W383&gt;5,AG383&lt;&gt;"-")),"RF",IF(AE383&lt;&gt;"-","LF",IF(AA383&lt;&gt;"-","1B","DH"))))))))</f>
        <v>DH</v>
      </c>
      <c r="AT383" s="47"/>
      <c r="AU383" s="47"/>
      <c r="AV383" s="47"/>
      <c r="AW383" s="47" t="str">
        <f>IF(AND($Q383&gt;=6,AVERAGE($S383:$T383)&gt;=6),"Likely",IF(OR($Q383&gt;6,AND($Q383=6,AVERAGE($S383:$T383)&gt;=3),AND($Q383&gt;=5,AVERAGE($S383:$T383)&gt;=5),AVERAGE($Q383,$S383:$T383)&gt;5),"Possible","Unlikely"))</f>
        <v>Unlikely</v>
      </c>
      <c r="AX383" s="47"/>
      <c r="AY383" s="47" t="str">
        <f>INDEX(Table5[[#All],[Ovr]],MATCH(Batters[[#This Row],[PID]],Table5[[#All],[PID]],0))</f>
        <v/>
      </c>
      <c r="AZ383" s="47" t="str">
        <f>INDEX(Table5[[#All],[Rnd]],MATCH(Batters[[#This Row],[PID]],Table5[[#All],[PID]],0))</f>
        <v/>
      </c>
      <c r="BA383" s="47" t="str">
        <f>INDEX(Table5[[#All],[Pick]],MATCH(Batters[[#This Row],[PID]],Table5[[#All],[PID]],0))</f>
        <v/>
      </c>
      <c r="BB383" s="47" t="str">
        <f>INDEX(Table5[[#All],[Team]],MATCH(Batters[[#This Row],[PID]],Table5[[#All],[PID]],0))</f>
        <v/>
      </c>
    </row>
    <row r="384" spans="1:54" ht="15" customHeight="1" x14ac:dyDescent="0.25">
      <c r="A384" s="42">
        <v>10194</v>
      </c>
      <c r="B384" s="42" t="s">
        <v>71</v>
      </c>
      <c r="C384" s="42" t="s">
        <v>724</v>
      </c>
      <c r="D384" s="42" t="s">
        <v>1002</v>
      </c>
      <c r="E384" s="42">
        <v>21</v>
      </c>
      <c r="F384" s="42" t="s">
        <v>42</v>
      </c>
      <c r="G384" s="42" t="s">
        <v>42</v>
      </c>
      <c r="H384" s="43" t="s">
        <v>709</v>
      </c>
      <c r="I384" s="44" t="s">
        <v>43</v>
      </c>
      <c r="J384" s="42" t="s">
        <v>43</v>
      </c>
      <c r="K384" s="43" t="s">
        <v>43</v>
      </c>
      <c r="L384" s="42">
        <v>2</v>
      </c>
      <c r="M384" s="42">
        <v>2</v>
      </c>
      <c r="N384" s="42">
        <v>2</v>
      </c>
      <c r="O384" s="42">
        <v>3</v>
      </c>
      <c r="P384" s="43">
        <v>2</v>
      </c>
      <c r="Q384" s="42">
        <v>3</v>
      </c>
      <c r="R384" s="42">
        <v>3</v>
      </c>
      <c r="S384" s="42">
        <v>2</v>
      </c>
      <c r="T384" s="42">
        <v>5</v>
      </c>
      <c r="U384" s="43">
        <v>4</v>
      </c>
      <c r="V384" s="42">
        <v>3</v>
      </c>
      <c r="W384" s="42">
        <v>2</v>
      </c>
      <c r="X384" s="42">
        <v>1</v>
      </c>
      <c r="Y384" s="43">
        <v>1</v>
      </c>
      <c r="Z384" s="42" t="s">
        <v>45</v>
      </c>
      <c r="AA384" s="42">
        <v>5</v>
      </c>
      <c r="AB384" s="42">
        <v>4</v>
      </c>
      <c r="AC384" s="42" t="s">
        <v>45</v>
      </c>
      <c r="AD384" s="42" t="s">
        <v>45</v>
      </c>
      <c r="AE384" s="42" t="s">
        <v>45</v>
      </c>
      <c r="AF384" s="42" t="s">
        <v>45</v>
      </c>
      <c r="AG384" s="43" t="s">
        <v>45</v>
      </c>
      <c r="AH384" s="42">
        <v>9</v>
      </c>
      <c r="AI384" s="42">
        <v>9</v>
      </c>
      <c r="AJ384" s="43">
        <v>8</v>
      </c>
      <c r="AK384" s="45" t="s">
        <v>45</v>
      </c>
      <c r="AL384" s="45" t="s">
        <v>47</v>
      </c>
      <c r="AM384" s="46">
        <f>($L$3*(L384-$Q$1)/$Q$2+$M$3*(M384-$R$1)/$R$2+$N$3*(N384-$S$1)/$S$2+$O$3*(O384-$T$1)/$T$2+$P$3*(P384-$U$1)/$U$2)/(SUM($L$3:$P$3))</f>
        <v>-1.4082307001460468</v>
      </c>
      <c r="AN384" s="46">
        <f>($L$3*(Q384-$Q$1)/$Q$2+$M$3*(R384-$R$1)/$R$2+$N$3*(S384-$S$1)/$S$2+$O$3*(T384-$T$1)/$T$2+$P$3*(U384-$U$1)/$U$2)/(SUM($L$3:$P$3))</f>
        <v>-0.77516320467133948</v>
      </c>
      <c r="AO384" s="47">
        <f>IF(AVERAGE(AH384:AI384)&gt;9,1,0)+IF(AVERAGE(AH384:AI384)&gt;7,1,0)+IF(AH384&gt;7,1,0)+IF(AI384&gt;7,1,0)+IF(AJ384&gt;8,1,0)+IF(AJ384&gt;6,1,0)</f>
        <v>4</v>
      </c>
      <c r="AP384" s="48">
        <f>MIN(2,IF(OR(Z384="-",X384&lt;5),0,1+IF(Y384&gt;7,0.35,IF(Y384&gt;5,0.1,0))+IF(Z384&gt;7,1+IF(X384&gt;7,0.25,0),IF(Z384&gt;4,0.5+IF(X384&gt;7,0.25,0),0+IF(X384&gt;7,0.25))))+IF(AA384="-",0,IF(AA384&gt;9,0.5,IF(AA384&gt;7,0.25,0)))+IF(AB384="-",0,IF(AB384&gt;7,1.1,IF(AB384&gt;4,0.6,0)))+IF(OR(AC384="-",V384&lt;5),0,IF(AC384&gt;7,1+IF(V384&gt;7,0.25,0),IF(AC384&gt;4,0.5+IF(V384&gt;7,0.25,0),0)))+IF(AD384="-",0,IF(AD384&gt;7,1.5,IF(AD384&gt;4,1,0)))+IF(AE384="-",0,IF(AE384&gt;9,0.5,IF(AE384&gt;7,0.25,0)))+IF(AF384="-",0,IF(AF384&gt;7,1.25,IF(AF384&gt;4,0.75,0)))+IF(OR(AG384="-",W384&lt;4),0,IF(AG384&gt;7,1+IF(W384&gt;7,0.15,0),IF(AG384&gt;4,0.5+IF(W384&gt;7,0.15,0),0))))</f>
        <v>0</v>
      </c>
      <c r="AQ384" s="46">
        <f>($AM$3*AM384+$AN$3*AN384+$AO$3*AO384+$AP$3*AP384)+$I$3*VLOOKUP(I384,COND!$A$2:$E$7,4,FALSE)+$J$3*VLOOKUP(J384,COND!$A$2:$C$7,2,FALSE)+$K$3*VLOOKUP(K384,COND!$A$2:$C$7,3,FALSE)+IF(AND($B$2&gt;0,$E384&lt;20),$B$2*25,0)</f>
        <v>36.223885140595989</v>
      </c>
      <c r="AR384" s="49">
        <f>STANDARDIZE(AQ384,AVERAGE($AQ$5:$AQ$537),STDEVP($AQ$5:$AQ$537))</f>
        <v>-0.72565412041869126</v>
      </c>
      <c r="AS384" s="47" t="str">
        <f>IF(AND(Z384&lt;&gt;"-",Y384&gt;1),"C",IF(AB384=MAX(AB384:AD384),"2B",IF(AD384=MAX(AB384:AD384),"SS",IF(OR(AC384=MAX(AA384:AD384),AND(AC384&lt;&gt;"-",AC384&gt;4,V384&gt;5)),"3B",IF(AF384=MAX(AE384:AG384),"CF",IF(AND(AG384=MAX(AE384,AG384),AND(W384&gt;5,AG384&lt;&gt;"-")),"RF",IF(AE384&lt;&gt;"-","LF",IF(AA384&lt;&gt;"-","1B","DH"))))))))</f>
        <v>2B</v>
      </c>
      <c r="AT384" s="47"/>
      <c r="AU384" s="47"/>
      <c r="AV384" s="47"/>
      <c r="AW384" s="47" t="str">
        <f>IF(AND($Q384&gt;=6,AVERAGE($S384:$T384)&gt;=6),"Likely",IF(OR($Q384&gt;6,AND($Q384=6,AVERAGE($S384:$T384)&gt;=3),AND($Q384&gt;=5,AVERAGE($S384:$T384)&gt;=5),AVERAGE($Q384,$S384:$T384)&gt;5),"Possible","Unlikely"))</f>
        <v>Unlikely</v>
      </c>
      <c r="AX384" s="47"/>
      <c r="AY384" s="47" t="str">
        <f>INDEX(Table5[[#All],[Ovr]],MATCH(Batters[[#This Row],[PID]],Table5[[#All],[PID]],0))</f>
        <v/>
      </c>
      <c r="AZ384" s="47" t="str">
        <f>INDEX(Table5[[#All],[Rnd]],MATCH(Batters[[#This Row],[PID]],Table5[[#All],[PID]],0))</f>
        <v/>
      </c>
      <c r="BA384" s="47" t="str">
        <f>INDEX(Table5[[#All],[Pick]],MATCH(Batters[[#This Row],[PID]],Table5[[#All],[PID]],0))</f>
        <v/>
      </c>
      <c r="BB384" s="47" t="str">
        <f>INDEX(Table5[[#All],[Team]],MATCH(Batters[[#This Row],[PID]],Table5[[#All],[PID]],0))</f>
        <v/>
      </c>
    </row>
    <row r="385" spans="1:54" ht="15" customHeight="1" x14ac:dyDescent="0.25">
      <c r="A385" s="42">
        <v>15267</v>
      </c>
      <c r="B385" s="42" t="s">
        <v>87</v>
      </c>
      <c r="C385" s="42" t="s">
        <v>750</v>
      </c>
      <c r="D385" s="42" t="s">
        <v>751</v>
      </c>
      <c r="E385" s="42">
        <v>22</v>
      </c>
      <c r="F385" s="42" t="s">
        <v>42</v>
      </c>
      <c r="G385" s="42" t="s">
        <v>42</v>
      </c>
      <c r="H385" s="43" t="s">
        <v>721</v>
      </c>
      <c r="I385" s="44" t="s">
        <v>43</v>
      </c>
      <c r="J385" s="42" t="s">
        <v>44</v>
      </c>
      <c r="K385" s="43" t="s">
        <v>47</v>
      </c>
      <c r="L385" s="42">
        <v>3</v>
      </c>
      <c r="M385" s="42">
        <v>3</v>
      </c>
      <c r="N385" s="42">
        <v>2</v>
      </c>
      <c r="O385" s="42">
        <v>1</v>
      </c>
      <c r="P385" s="43">
        <v>3</v>
      </c>
      <c r="Q385" s="42">
        <v>4</v>
      </c>
      <c r="R385" s="42">
        <v>3</v>
      </c>
      <c r="S385" s="42">
        <v>2</v>
      </c>
      <c r="T385" s="42">
        <v>2</v>
      </c>
      <c r="U385" s="43">
        <v>4</v>
      </c>
      <c r="V385" s="42">
        <v>6</v>
      </c>
      <c r="W385" s="42">
        <v>4</v>
      </c>
      <c r="X385" s="42">
        <v>1</v>
      </c>
      <c r="Y385" s="43">
        <v>1</v>
      </c>
      <c r="Z385" s="42" t="s">
        <v>45</v>
      </c>
      <c r="AA385" s="42" t="s">
        <v>45</v>
      </c>
      <c r="AB385" s="42" t="s">
        <v>45</v>
      </c>
      <c r="AC385" s="42" t="s">
        <v>45</v>
      </c>
      <c r="AD385" s="42" t="s">
        <v>45</v>
      </c>
      <c r="AE385" s="42" t="s">
        <v>45</v>
      </c>
      <c r="AF385" s="42" t="s">
        <v>45</v>
      </c>
      <c r="AG385" s="43" t="s">
        <v>45</v>
      </c>
      <c r="AH385" s="42">
        <v>1</v>
      </c>
      <c r="AI385" s="42">
        <v>1</v>
      </c>
      <c r="AJ385" s="43">
        <v>1</v>
      </c>
      <c r="AK385" s="45" t="s">
        <v>45</v>
      </c>
      <c r="AL385" s="45" t="s">
        <v>705</v>
      </c>
      <c r="AM385" s="46">
        <f>($L$3*(L385-$Q$1)/$Q$2+$M$3*(M385-$R$1)/$R$2+$N$3*(N385-$S$1)/$S$2+$O$3*(O385-$T$1)/$T$2+$P$3*(P385-$U$1)/$U$2)/(SUM($L$3:$P$3))</f>
        <v>-1.1740177445267472</v>
      </c>
      <c r="AN385" s="46">
        <f>($L$3*(Q385-$Q$1)/$Q$2+$M$3*(R385-$R$1)/$R$2+$N$3*(S385-$S$1)/$S$2+$O$3*(T385-$T$1)/$T$2+$P$3*(U385-$U$1)/$U$2)/(SUM($L$3:$P$3))</f>
        <v>-0.72173601849740776</v>
      </c>
      <c r="AO385" s="47">
        <f>IF(AVERAGE(AH385:AI385)&gt;9,1,0)+IF(AVERAGE(AH385:AI385)&gt;7,1,0)+IF(AH385&gt;7,1,0)+IF(AI385&gt;7,1,0)+IF(AJ385&gt;8,1,0)+IF(AJ385&gt;6,1,0)</f>
        <v>0</v>
      </c>
      <c r="AP385" s="48">
        <f>MIN(2,IF(OR(Z385="-",X385&lt;5),0,1+IF(Y385&gt;7,0.35,IF(Y385&gt;5,0.1,0))+IF(Z385&gt;7,1+IF(X385&gt;7,0.25,0),IF(Z385&gt;4,0.5+IF(X385&gt;7,0.25,0),0+IF(X385&gt;7,0.25))))+IF(AA385="-",0,IF(AA385&gt;9,0.5,IF(AA385&gt;7,0.25,0)))+IF(AB385="-",0,IF(AB385&gt;7,1.1,IF(AB385&gt;4,0.6,0)))+IF(OR(AC385="-",V385&lt;5),0,IF(AC385&gt;7,1+IF(V385&gt;7,0.25,0),IF(AC385&gt;4,0.5+IF(V385&gt;7,0.25,0),0)))+IF(AD385="-",0,IF(AD385&gt;7,1.5,IF(AD385&gt;4,1,0)))+IF(AE385="-",0,IF(AE385&gt;9,0.5,IF(AE385&gt;7,0.25,0)))+IF(AF385="-",0,IF(AF385&gt;7,1.25,IF(AF385&gt;4,0.75,0)))+IF(OR(AG385="-",W385&lt;4),0,IF(AG385&gt;7,1+IF(W385&gt;7,0.15,0),IF(AG385&gt;4,0.5+IF(W385&gt;7,0.15,0),0))))</f>
        <v>0</v>
      </c>
      <c r="AQ385" s="46">
        <f>($AM$3*AM385+$AN$3*AN385+$AO$3*AO385+$AP$3*AP385)+$I$3*VLOOKUP(I385,COND!$A$2:$E$7,4,FALSE)+$J$3*VLOOKUP(J385,COND!$A$2:$C$7,2,FALSE)+$K$3*VLOOKUP(K385,COND!$A$2:$C$7,3,FALSE)+IF(AND($B$2&gt;0,$E385&lt;20),$B$2*25,0)</f>
        <v>36.221766003578438</v>
      </c>
      <c r="AR385" s="49">
        <f>STANDARDIZE(AQ385,AVERAGE($AQ$5:$AQ$537),STDEVP($AQ$5:$AQ$537))</f>
        <v>-0.72602696849250192</v>
      </c>
      <c r="AS385" s="47" t="str">
        <f>IF(AND(Z385&lt;&gt;"-",Y385&gt;1),"C",IF(AB385=MAX(AB385:AD385),"2B",IF(AD385=MAX(AB385:AD385),"SS",IF(OR(AC385=MAX(AA385:AD385),AND(AC385&lt;&gt;"-",AC385&gt;4,V385&gt;5)),"3B",IF(AF385=MAX(AE385:AG385),"CF",IF(AND(AG385=MAX(AE385,AG385),AND(W385&gt;5,AG385&lt;&gt;"-")),"RF",IF(AE385&lt;&gt;"-","LF",IF(AA385&lt;&gt;"-","1B","DH"))))))))</f>
        <v>DH</v>
      </c>
      <c r="AT385" s="47"/>
      <c r="AU385" s="47"/>
      <c r="AV385" s="47"/>
      <c r="AW385" s="47" t="str">
        <f>IF(AND($Q385&gt;=6,AVERAGE($S385:$T385)&gt;=6),"Likely",IF(OR($Q385&gt;6,AND($Q385=6,AVERAGE($S385:$T385)&gt;=3),AND($Q385&gt;=5,AVERAGE($S385:$T385)&gt;=5),AVERAGE($Q385,$S385:$T385)&gt;5),"Possible","Unlikely"))</f>
        <v>Unlikely</v>
      </c>
      <c r="AX385" s="47"/>
      <c r="AY385" s="47" t="str">
        <f>INDEX(Table5[[#All],[Ovr]],MATCH(Batters[[#This Row],[PID]],Table5[[#All],[PID]],0))</f>
        <v/>
      </c>
      <c r="AZ385" s="47" t="str">
        <f>INDEX(Table5[[#All],[Rnd]],MATCH(Batters[[#This Row],[PID]],Table5[[#All],[PID]],0))</f>
        <v/>
      </c>
      <c r="BA385" s="47" t="str">
        <f>INDEX(Table5[[#All],[Pick]],MATCH(Batters[[#This Row],[PID]],Table5[[#All],[PID]],0))</f>
        <v/>
      </c>
      <c r="BB385" s="47" t="str">
        <f>INDEX(Table5[[#All],[Team]],MATCH(Batters[[#This Row],[PID]],Table5[[#All],[PID]],0))</f>
        <v/>
      </c>
    </row>
    <row r="386" spans="1:54" ht="15" customHeight="1" x14ac:dyDescent="0.25">
      <c r="A386" s="42">
        <v>6909</v>
      </c>
      <c r="B386" s="42" t="s">
        <v>87</v>
      </c>
      <c r="C386" s="42" t="s">
        <v>1066</v>
      </c>
      <c r="D386" s="42" t="s">
        <v>744</v>
      </c>
      <c r="E386" s="42">
        <v>21</v>
      </c>
      <c r="F386" s="42" t="s">
        <v>42</v>
      </c>
      <c r="G386" s="42" t="s">
        <v>42</v>
      </c>
      <c r="H386" s="43" t="s">
        <v>721</v>
      </c>
      <c r="I386" s="44" t="s">
        <v>43</v>
      </c>
      <c r="J386" s="42" t="s">
        <v>43</v>
      </c>
      <c r="K386" s="43" t="s">
        <v>43</v>
      </c>
      <c r="L386" s="42">
        <v>3</v>
      </c>
      <c r="M386" s="42">
        <v>2</v>
      </c>
      <c r="N386" s="42">
        <v>2</v>
      </c>
      <c r="O386" s="42">
        <v>1</v>
      </c>
      <c r="P386" s="43">
        <v>3</v>
      </c>
      <c r="Q386" s="42">
        <v>4</v>
      </c>
      <c r="R386" s="42">
        <v>3</v>
      </c>
      <c r="S386" s="42">
        <v>2</v>
      </c>
      <c r="T386" s="42">
        <v>2</v>
      </c>
      <c r="U386" s="43">
        <v>4</v>
      </c>
      <c r="V386" s="42">
        <v>6</v>
      </c>
      <c r="W386" s="42">
        <v>3</v>
      </c>
      <c r="X386" s="42">
        <v>1</v>
      </c>
      <c r="Y386" s="43">
        <v>1</v>
      </c>
      <c r="Z386" s="42" t="s">
        <v>45</v>
      </c>
      <c r="AA386" s="42">
        <v>1</v>
      </c>
      <c r="AB386" s="42" t="s">
        <v>45</v>
      </c>
      <c r="AC386" s="42" t="s">
        <v>45</v>
      </c>
      <c r="AD386" s="42" t="s">
        <v>45</v>
      </c>
      <c r="AE386" s="42" t="s">
        <v>45</v>
      </c>
      <c r="AF386" s="42" t="s">
        <v>45</v>
      </c>
      <c r="AG386" s="43" t="s">
        <v>45</v>
      </c>
      <c r="AH386" s="42">
        <v>3</v>
      </c>
      <c r="AI386" s="42">
        <v>2</v>
      </c>
      <c r="AJ386" s="43">
        <v>1</v>
      </c>
      <c r="AK386" s="45" t="s">
        <v>717</v>
      </c>
      <c r="AL386" s="45" t="s">
        <v>47</v>
      </c>
      <c r="AM386" s="46">
        <f>($L$3*(L386-$Q$1)/$Q$2+$M$3*(M386-$R$1)/$R$2+$N$3*(N386-$S$1)/$S$2+$O$3*(O386-$T$1)/$T$2+$P$3*(P386-$U$1)/$U$2)/(SUM($L$3:$P$3))</f>
        <v>-1.2250776241454506</v>
      </c>
      <c r="AN386" s="46">
        <f>($L$3*(Q386-$Q$1)/$Q$2+$M$3*(R386-$R$1)/$R$2+$N$3*(S386-$S$1)/$S$2+$O$3*(T386-$T$1)/$T$2+$P$3*(U386-$U$1)/$U$2)/(SUM($L$3:$P$3))</f>
        <v>-0.72173601849740776</v>
      </c>
      <c r="AO386" s="47">
        <f>IF(AVERAGE(AH386:AI386)&gt;9,1,0)+IF(AVERAGE(AH386:AI386)&gt;7,1,0)+IF(AH386&gt;7,1,0)+IF(AI386&gt;7,1,0)+IF(AJ386&gt;8,1,0)+IF(AJ386&gt;6,1,0)</f>
        <v>0</v>
      </c>
      <c r="AP386" s="48">
        <f>MIN(2,IF(OR(Z386="-",X386&lt;5),0,1+IF(Y386&gt;7,0.35,IF(Y386&gt;5,0.1,0))+IF(Z386&gt;7,1+IF(X386&gt;7,0.25,0),IF(Z386&gt;4,0.5+IF(X386&gt;7,0.25,0),0+IF(X386&gt;7,0.25))))+IF(AA386="-",0,IF(AA386&gt;9,0.5,IF(AA386&gt;7,0.25,0)))+IF(AB386="-",0,IF(AB386&gt;7,1.1,IF(AB386&gt;4,0.6,0)))+IF(OR(AC386="-",V386&lt;5),0,IF(AC386&gt;7,1+IF(V386&gt;7,0.25,0),IF(AC386&gt;4,0.5+IF(V386&gt;7,0.25,0),0)))+IF(AD386="-",0,IF(AD386&gt;7,1.5,IF(AD386&gt;4,1,0)))+IF(AE386="-",0,IF(AE386&gt;9,0.5,IF(AE386&gt;7,0.25,0)))+IF(AF386="-",0,IF(AF386&gt;7,1.25,IF(AF386&gt;4,0.75,0)))+IF(OR(AG386="-",W386&lt;4),0,IF(AG386&gt;7,1+IF(W386&gt;7,0.15,0),IF(AG386&gt;4,0.5+IF(W386&gt;7,0.15,0),0))))</f>
        <v>0</v>
      </c>
      <c r="AQ386" s="46">
        <f>($AM$3*AM386+$AN$3*AN386+$AO$3*AO386+$AP$3*AP386)+$I$3*VLOOKUP(I386,COND!$A$2:$E$7,4,FALSE)+$J$3*VLOOKUP(J386,COND!$A$2:$C$7,2,FALSE)+$K$3*VLOOKUP(K386,COND!$A$2:$C$7,3,FALSE)+IF(AND($B$2&gt;0,$E386&lt;20),$B$2*25,0)</f>
        <v>36.216660015616561</v>
      </c>
      <c r="AR386" s="49">
        <f>STANDARDIZE(AQ386,AVERAGE($AQ$5:$AQ$537),STDEVP($AQ$5:$AQ$537))</f>
        <v>-0.72692533313844898</v>
      </c>
      <c r="AS386" s="47" t="str">
        <f>IF(AND(Z386&lt;&gt;"-",Y386&gt;1),"C",IF(AB386=MAX(AB386:AD386),"2B",IF(AD386=MAX(AB386:AD386),"SS",IF(OR(AC386=MAX(AA386:AD386),AND(AC386&lt;&gt;"-",AC386&gt;4,V386&gt;5)),"3B",IF(AF386=MAX(AE386:AG386),"CF",IF(AND(AG386=MAX(AE386,AG386),AND(W386&gt;5,AG386&lt;&gt;"-")),"RF",IF(AE386&lt;&gt;"-","LF",IF(AA386&lt;&gt;"-","1B","DH"))))))))</f>
        <v>1B</v>
      </c>
      <c r="AT386" s="47"/>
      <c r="AU386" s="47"/>
      <c r="AV386" s="47"/>
      <c r="AW386" s="47" t="str">
        <f>IF(AND($Q386&gt;=6,AVERAGE($S386:$T386)&gt;=6),"Likely",IF(OR($Q386&gt;6,AND($Q386=6,AVERAGE($S386:$T386)&gt;=3),AND($Q386&gt;=5,AVERAGE($S386:$T386)&gt;=5),AVERAGE($Q386,$S386:$T386)&gt;5),"Possible","Unlikely"))</f>
        <v>Unlikely</v>
      </c>
      <c r="AX386" s="47"/>
      <c r="AY386" s="47" t="str">
        <f>INDEX(Table5[[#All],[Ovr]],MATCH(Batters[[#This Row],[PID]],Table5[[#All],[PID]],0))</f>
        <v/>
      </c>
      <c r="AZ386" s="47" t="str">
        <f>INDEX(Table5[[#All],[Rnd]],MATCH(Batters[[#This Row],[PID]],Table5[[#All],[PID]],0))</f>
        <v/>
      </c>
      <c r="BA386" s="47" t="str">
        <f>INDEX(Table5[[#All],[Pick]],MATCH(Batters[[#This Row],[PID]],Table5[[#All],[PID]],0))</f>
        <v/>
      </c>
      <c r="BB386" s="47" t="str">
        <f>INDEX(Table5[[#All],[Team]],MATCH(Batters[[#This Row],[PID]],Table5[[#All],[PID]],0))</f>
        <v/>
      </c>
    </row>
    <row r="387" spans="1:54" ht="15" customHeight="1" x14ac:dyDescent="0.25">
      <c r="A387" s="42">
        <v>8708</v>
      </c>
      <c r="B387" s="42" t="s">
        <v>86</v>
      </c>
      <c r="C387" s="42" t="s">
        <v>408</v>
      </c>
      <c r="D387" s="42" t="s">
        <v>763</v>
      </c>
      <c r="E387" s="42">
        <v>18</v>
      </c>
      <c r="F387" s="42" t="s">
        <v>42</v>
      </c>
      <c r="G387" s="42" t="s">
        <v>42</v>
      </c>
      <c r="H387" s="43" t="s">
        <v>711</v>
      </c>
      <c r="I387" s="44" t="s">
        <v>43</v>
      </c>
      <c r="J387" s="42" t="s">
        <v>44</v>
      </c>
      <c r="K387" s="43" t="s">
        <v>43</v>
      </c>
      <c r="L387" s="42">
        <v>1</v>
      </c>
      <c r="M387" s="42">
        <v>1</v>
      </c>
      <c r="N387" s="42">
        <v>2</v>
      </c>
      <c r="O387" s="42">
        <v>1</v>
      </c>
      <c r="P387" s="43">
        <v>1</v>
      </c>
      <c r="Q387" s="42">
        <v>2</v>
      </c>
      <c r="R387" s="42">
        <v>4</v>
      </c>
      <c r="S387" s="42">
        <v>4</v>
      </c>
      <c r="T387" s="42">
        <v>4</v>
      </c>
      <c r="U387" s="43">
        <v>2</v>
      </c>
      <c r="V387" s="42">
        <v>2</v>
      </c>
      <c r="W387" s="42">
        <v>2</v>
      </c>
      <c r="X387" s="42">
        <v>4</v>
      </c>
      <c r="Y387" s="43">
        <v>7</v>
      </c>
      <c r="Z387" s="42" t="s">
        <v>45</v>
      </c>
      <c r="AA387" s="42" t="s">
        <v>45</v>
      </c>
      <c r="AB387" s="42" t="s">
        <v>45</v>
      </c>
      <c r="AC387" s="42" t="s">
        <v>45</v>
      </c>
      <c r="AD387" s="42" t="s">
        <v>45</v>
      </c>
      <c r="AE387" s="42" t="s">
        <v>45</v>
      </c>
      <c r="AF387" s="42" t="s">
        <v>45</v>
      </c>
      <c r="AG387" s="43" t="s">
        <v>45</v>
      </c>
      <c r="AH387" s="42">
        <v>1</v>
      </c>
      <c r="AI387" s="42">
        <v>1</v>
      </c>
      <c r="AJ387" s="43">
        <v>1</v>
      </c>
      <c r="AK387" s="45" t="s">
        <v>739</v>
      </c>
      <c r="AL387" s="45" t="s">
        <v>47</v>
      </c>
      <c r="AM387" s="46">
        <f>($L$3*(L387-$Q$1)/$Q$2+$M$3*(M387-$R$1)/$R$2+$N$3*(N387-$S$1)/$S$2+$O$3*(O387-$T$1)/$T$2+$P$3*(P387-$U$1)/$U$2)/(SUM($L$3:$P$3))</f>
        <v>-2.0012818558036707</v>
      </c>
      <c r="AN387" s="46">
        <f>($L$3*(Q387-$Q$1)/$Q$2+$M$3*(R387-$R$1)/$R$2+$N$3*(S387-$S$1)/$S$2+$O$3*(T387-$T$1)/$T$2+$P$3*(U387-$U$1)/$U$2)/(SUM($L$3:$P$3))</f>
        <v>-1.0502784028512557</v>
      </c>
      <c r="AO387" s="47">
        <f>IF(AVERAGE(AH387:AI387)&gt;9,1,0)+IF(AVERAGE(AH387:AI387)&gt;7,1,0)+IF(AH387&gt;7,1,0)+IF(AI387&gt;7,1,0)+IF(AJ387&gt;8,1,0)+IF(AJ387&gt;6,1,0)</f>
        <v>0</v>
      </c>
      <c r="AP387" s="48">
        <f>MIN(2,IF(OR(Z387="-",X387&lt;5),0,1+IF(Y387&gt;7,0.35,IF(Y387&gt;5,0.1,0))+IF(Z387&gt;7,1+IF(X387&gt;7,0.25,0),IF(Z387&gt;4,0.5+IF(X387&gt;7,0.25,0),0+IF(X387&gt;7,0.25))))+IF(AA387="-",0,IF(AA387&gt;9,0.5,IF(AA387&gt;7,0.25,0)))+IF(AB387="-",0,IF(AB387&gt;7,1.1,IF(AB387&gt;4,0.6,0)))+IF(OR(AC387="-",V387&lt;5),0,IF(AC387&gt;7,1+IF(V387&gt;7,0.25,0),IF(AC387&gt;4,0.5+IF(V387&gt;7,0.25,0),0)))+IF(AD387="-",0,IF(AD387&gt;7,1.5,IF(AD387&gt;4,1,0)))+IF(AE387="-",0,IF(AE387&gt;9,0.5,IF(AE387&gt;7,0.25,0)))+IF(AF387="-",0,IF(AF387&gt;7,1.25,IF(AF387&gt;4,0.75,0)))+IF(OR(AG387="-",W387&lt;4),0,IF(AG387&gt;7,1+IF(W387&gt;7,0.15,0),IF(AG387&gt;4,0.5+IF(W387&gt;7,0.15,0),0))))</f>
        <v>0</v>
      </c>
      <c r="AQ387" s="46">
        <f>($AM$3*AM387+$AN$3*AN387+$AO$3*AO387+$AP$3*AP387)+$I$3*VLOOKUP(I387,COND!$A$2:$E$7,4,FALSE)+$J$3*VLOOKUP(J387,COND!$A$2:$C$7,2,FALSE)+$K$3*VLOOKUP(K387,COND!$A$2:$C$7,3,FALSE)+IF(AND($B$2&gt;0,$E387&lt;20),$B$2*25,0)</f>
        <v>36.896530980204567</v>
      </c>
      <c r="AR387" s="49">
        <f>STANDARDIZE(AQ387,AVERAGE($AQ$5:$AQ$537),STDEVP($AQ$5:$AQ$537))</f>
        <v>-0.60730655554787771</v>
      </c>
      <c r="AS387" s="47" t="str">
        <f>IF(AND(Z387&lt;&gt;"-",Y387&gt;1),"C",IF(AB387=MAX(AB387:AD387),"2B",IF(AD387=MAX(AB387:AD387),"SS",IF(OR(AC387=MAX(AA387:AD387),AND(AC387&lt;&gt;"-",AC387&gt;4,V387&gt;5)),"3B",IF(AF387=MAX(AE387:AG387),"CF",IF(AND(AG387=MAX(AE387,AG387),AND(W387&gt;5,AG387&lt;&gt;"-")),"RF",IF(AE387&lt;&gt;"-","LF",IF(AA387&lt;&gt;"-","1B","DH"))))))))</f>
        <v>DH</v>
      </c>
      <c r="AT387" s="47"/>
      <c r="AU387" s="47"/>
      <c r="AV387" s="47"/>
      <c r="AW387" s="47" t="str">
        <f>IF(AND($Q387&gt;=6,AVERAGE($S387:$T387)&gt;=6),"Likely",IF(OR($Q387&gt;6,AND($Q387=6,AVERAGE($S387:$T387)&gt;=3),AND($Q387&gt;=5,AVERAGE($S387:$T387)&gt;=5),AVERAGE($Q387,$S387:$T387)&gt;5),"Possible","Unlikely"))</f>
        <v>Unlikely</v>
      </c>
      <c r="AX387" s="47"/>
      <c r="AY387" s="47" t="str">
        <f>INDEX(Table5[[#All],[Ovr]],MATCH(Batters[[#This Row],[PID]],Table5[[#All],[PID]],0))</f>
        <v/>
      </c>
      <c r="AZ387" s="47" t="str">
        <f>INDEX(Table5[[#All],[Rnd]],MATCH(Batters[[#This Row],[PID]],Table5[[#All],[PID]],0))</f>
        <v/>
      </c>
      <c r="BA387" s="47" t="str">
        <f>INDEX(Table5[[#All],[Pick]],MATCH(Batters[[#This Row],[PID]],Table5[[#All],[PID]],0))</f>
        <v/>
      </c>
      <c r="BB387" s="47" t="str">
        <f>INDEX(Table5[[#All],[Team]],MATCH(Batters[[#This Row],[PID]],Table5[[#All],[PID]],0))</f>
        <v/>
      </c>
    </row>
    <row r="388" spans="1:54" ht="15" customHeight="1" x14ac:dyDescent="0.25">
      <c r="A388" s="42">
        <v>12375</v>
      </c>
      <c r="B388" s="42" t="s">
        <v>86</v>
      </c>
      <c r="C388" s="42" t="s">
        <v>1311</v>
      </c>
      <c r="D388" s="42" t="s">
        <v>1312</v>
      </c>
      <c r="E388" s="42">
        <v>21</v>
      </c>
      <c r="F388" s="42" t="s">
        <v>42</v>
      </c>
      <c r="G388" s="42" t="s">
        <v>42</v>
      </c>
      <c r="H388" s="43" t="s">
        <v>709</v>
      </c>
      <c r="I388" s="44" t="s">
        <v>43</v>
      </c>
      <c r="J388" s="42" t="s">
        <v>44</v>
      </c>
      <c r="K388" s="43" t="s">
        <v>43</v>
      </c>
      <c r="L388" s="42">
        <v>2</v>
      </c>
      <c r="M388" s="42">
        <v>4</v>
      </c>
      <c r="N388" s="42">
        <v>3</v>
      </c>
      <c r="O388" s="42">
        <v>3</v>
      </c>
      <c r="P388" s="43">
        <v>3</v>
      </c>
      <c r="Q388" s="42">
        <v>3</v>
      </c>
      <c r="R388" s="42">
        <v>4</v>
      </c>
      <c r="S388" s="42">
        <v>3</v>
      </c>
      <c r="T388" s="42">
        <v>5</v>
      </c>
      <c r="U388" s="43">
        <v>4</v>
      </c>
      <c r="V388" s="42">
        <v>3</v>
      </c>
      <c r="W388" s="42">
        <v>3</v>
      </c>
      <c r="X388" s="42">
        <v>4</v>
      </c>
      <c r="Y388" s="43">
        <v>6</v>
      </c>
      <c r="Z388" s="42" t="s">
        <v>45</v>
      </c>
      <c r="AA388" s="42" t="s">
        <v>45</v>
      </c>
      <c r="AB388" s="42" t="s">
        <v>45</v>
      </c>
      <c r="AC388" s="42" t="s">
        <v>45</v>
      </c>
      <c r="AD388" s="42" t="s">
        <v>45</v>
      </c>
      <c r="AE388" s="42" t="s">
        <v>45</v>
      </c>
      <c r="AF388" s="42" t="s">
        <v>45</v>
      </c>
      <c r="AG388" s="43" t="s">
        <v>45</v>
      </c>
      <c r="AH388" s="42">
        <v>3</v>
      </c>
      <c r="AI388" s="42">
        <v>4</v>
      </c>
      <c r="AJ388" s="43">
        <v>5</v>
      </c>
      <c r="AK388" s="45" t="s">
        <v>45</v>
      </c>
      <c r="AL388" s="45" t="s">
        <v>47</v>
      </c>
      <c r="AM388" s="46">
        <f>($L$3*(L388-$Q$1)/$Q$2+$M$3*(M388-$R$1)/$R$2+$N$3*(N388-$S$1)/$S$2+$O$3*(O388-$T$1)/$T$2+$P$3*(P388-$U$1)/$U$2)/(SUM($L$3:$P$3))</f>
        <v>-1.183033107067655</v>
      </c>
      <c r="AN388" s="46">
        <f>($L$3*(Q388-$Q$1)/$Q$2+$M$3*(R388-$R$1)/$R$2+$N$3*(S388-$S$1)/$S$2+$O$3*(T388-$T$1)/$T$2+$P$3*(U388-$U$1)/$U$2)/(SUM($L$3:$P$3))</f>
        <v>-0.64104183102873458</v>
      </c>
      <c r="AO388" s="47">
        <f>IF(AVERAGE(AH388:AI388)&gt;9,1,0)+IF(AVERAGE(AH388:AI388)&gt;7,1,0)+IF(AH388&gt;7,1,0)+IF(AI388&gt;7,1,0)+IF(AJ388&gt;8,1,0)+IF(AJ388&gt;6,1,0)</f>
        <v>0</v>
      </c>
      <c r="AP388" s="48">
        <f>MIN(2,IF(OR(Z388="-",X388&lt;5),0,1+IF(Y388&gt;7,0.35,IF(Y388&gt;5,0.1,0))+IF(Z388&gt;7,1+IF(X388&gt;7,0.25,0),IF(Z388&gt;4,0.5+IF(X388&gt;7,0.25,0),0+IF(X388&gt;7,0.25))))+IF(AA388="-",0,IF(AA388&gt;9,0.5,IF(AA388&gt;7,0.25,0)))+IF(AB388="-",0,IF(AB388&gt;7,1.1,IF(AB388&gt;4,0.6,0)))+IF(OR(AC388="-",V388&lt;5),0,IF(AC388&gt;7,1+IF(V388&gt;7,0.25,0),IF(AC388&gt;4,0.5+IF(V388&gt;7,0.25,0),0)))+IF(AD388="-",0,IF(AD388&gt;7,1.5,IF(AD388&gt;4,1,0)))+IF(AE388="-",0,IF(AE388&gt;9,0.5,IF(AE388&gt;7,0.25,0)))+IF(AF388="-",0,IF(AF388&gt;7,1.25,IF(AF388&gt;4,0.75,0)))+IF(OR(AG388="-",W388&lt;4),0,IF(AG388&gt;7,1+IF(W388&gt;7,0.15,0),IF(AG388&gt;4,0.5+IF(W388&gt;7,0.15,0),0))))</f>
        <v>0</v>
      </c>
      <c r="AQ388" s="46">
        <f>($AM$3*AM388+$AN$3*AN388+$AO$3*AO388+$AP$3*AP388)+$I$3*VLOOKUP(I388,COND!$A$2:$E$7,4,FALSE)+$J$3*VLOOKUP(J388,COND!$A$2:$C$7,2,FALSE)+$K$3*VLOOKUP(K388,COND!$A$2:$C$7,3,FALSE)+IF(AND($B$2&gt;0,$E388&lt;20),$B$2*25,0)</f>
        <v>36.889194716948424</v>
      </c>
      <c r="AR388" s="49">
        <f>STANDARDIZE(AQ388,AVERAGE($AQ$5:$AQ$537),STDEVP($AQ$5:$AQ$537))</f>
        <v>-0.60859732230876484</v>
      </c>
      <c r="AS388" s="47" t="str">
        <f>IF(AND(Z388&lt;&gt;"-",Y388&gt;1),"C",IF(AB388=MAX(AB388:AD388),"2B",IF(AD388=MAX(AB388:AD388),"SS",IF(OR(AC388=MAX(AA388:AD388),AND(AC388&lt;&gt;"-",AC388&gt;4,V388&gt;5)),"3B",IF(AF388=MAX(AE388:AG388),"CF",IF(AND(AG388=MAX(AE388,AG388),AND(W388&gt;5,AG388&lt;&gt;"-")),"RF",IF(AE388&lt;&gt;"-","LF",IF(AA388&lt;&gt;"-","1B","DH"))))))))</f>
        <v>DH</v>
      </c>
      <c r="AT388" s="47"/>
      <c r="AU388" s="47"/>
      <c r="AV388" s="47"/>
      <c r="AW388" s="47" t="str">
        <f>IF(AND($Q388&gt;=6,AVERAGE($S388:$T388)&gt;=6),"Likely",IF(OR($Q388&gt;6,AND($Q388=6,AVERAGE($S388:$T388)&gt;=3),AND($Q388&gt;=5,AVERAGE($S388:$T388)&gt;=5),AVERAGE($Q388,$S388:$T388)&gt;5),"Possible","Unlikely"))</f>
        <v>Unlikely</v>
      </c>
      <c r="AX388" s="47"/>
      <c r="AY388" s="47" t="str">
        <f>INDEX(Table5[[#All],[Ovr]],MATCH(Batters[[#This Row],[PID]],Table5[[#All],[PID]],0))</f>
        <v/>
      </c>
      <c r="AZ388" s="47" t="str">
        <f>INDEX(Table5[[#All],[Rnd]],MATCH(Batters[[#This Row],[PID]],Table5[[#All],[PID]],0))</f>
        <v/>
      </c>
      <c r="BA388" s="47" t="str">
        <f>INDEX(Table5[[#All],[Pick]],MATCH(Batters[[#This Row],[PID]],Table5[[#All],[PID]],0))</f>
        <v/>
      </c>
      <c r="BB388" s="47" t="str">
        <f>INDEX(Table5[[#All],[Team]],MATCH(Batters[[#This Row],[PID]],Table5[[#All],[PID]],0))</f>
        <v/>
      </c>
    </row>
    <row r="389" spans="1:54" ht="15" customHeight="1" x14ac:dyDescent="0.25">
      <c r="A389" s="42">
        <v>8960</v>
      </c>
      <c r="B389" s="42" t="s">
        <v>50</v>
      </c>
      <c r="C389" s="42" t="s">
        <v>410</v>
      </c>
      <c r="D389" s="42" t="s">
        <v>784</v>
      </c>
      <c r="E389" s="42">
        <v>22</v>
      </c>
      <c r="F389" s="42" t="s">
        <v>42</v>
      </c>
      <c r="G389" s="42" t="s">
        <v>42</v>
      </c>
      <c r="H389" s="43" t="s">
        <v>709</v>
      </c>
      <c r="I389" s="44" t="s">
        <v>43</v>
      </c>
      <c r="J389" s="42" t="s">
        <v>44</v>
      </c>
      <c r="K389" s="43" t="s">
        <v>43</v>
      </c>
      <c r="L389" s="42">
        <v>1</v>
      </c>
      <c r="M389" s="42">
        <v>3</v>
      </c>
      <c r="N389" s="42">
        <v>3</v>
      </c>
      <c r="O389" s="42">
        <v>3</v>
      </c>
      <c r="P389" s="43">
        <v>1</v>
      </c>
      <c r="Q389" s="42">
        <v>3</v>
      </c>
      <c r="R389" s="42">
        <v>4</v>
      </c>
      <c r="S389" s="42">
        <v>4</v>
      </c>
      <c r="T389" s="42">
        <v>5</v>
      </c>
      <c r="U389" s="43">
        <v>2</v>
      </c>
      <c r="V389" s="42">
        <v>6</v>
      </c>
      <c r="W389" s="42">
        <v>8</v>
      </c>
      <c r="X389" s="42">
        <v>1</v>
      </c>
      <c r="Y389" s="43">
        <v>1</v>
      </c>
      <c r="Z389" s="42" t="s">
        <v>45</v>
      </c>
      <c r="AA389" s="42" t="s">
        <v>45</v>
      </c>
      <c r="AB389" s="42" t="s">
        <v>45</v>
      </c>
      <c r="AC389" s="42" t="s">
        <v>45</v>
      </c>
      <c r="AD389" s="42" t="s">
        <v>45</v>
      </c>
      <c r="AE389" s="42">
        <v>5</v>
      </c>
      <c r="AF389" s="42" t="s">
        <v>45</v>
      </c>
      <c r="AG389" s="43" t="s">
        <v>45</v>
      </c>
      <c r="AH389" s="42">
        <v>7</v>
      </c>
      <c r="AI389" s="42">
        <v>5</v>
      </c>
      <c r="AJ389" s="43">
        <v>5</v>
      </c>
      <c r="AK389" s="45" t="s">
        <v>45</v>
      </c>
      <c r="AL389" s="45" t="s">
        <v>705</v>
      </c>
      <c r="AM389" s="46">
        <f>($L$3*(L389-$Q$1)/$Q$2+$M$3*(M389-$R$1)/$R$2+$N$3*(N389-$S$1)/$S$2+$O$3*(O389-$T$1)/$T$2+$P$3*(P389-$U$1)/$U$2)/(SUM($L$3:$P$3))</f>
        <v>-1.6366815025231998</v>
      </c>
      <c r="AN389" s="46">
        <f>($L$3*(Q389-$Q$1)/$Q$2+$M$3*(R389-$R$1)/$R$2+$N$3*(S389-$S$1)/$S$2+$O$3*(T389-$T$1)/$T$2+$P$3*(U389-$U$1)/$U$2)/(SUM($L$3:$P$3))</f>
        <v>-0.6380130166389999</v>
      </c>
      <c r="AO389" s="47">
        <f>IF(AVERAGE(AH389:AI389)&gt;9,1,0)+IF(AVERAGE(AH389:AI389)&gt;7,1,0)+IF(AH389&gt;7,1,0)+IF(AI389&gt;7,1,0)+IF(AJ389&gt;8,1,0)+IF(AJ389&gt;6,1,0)</f>
        <v>0</v>
      </c>
      <c r="AP389" s="48">
        <f>MIN(2,IF(OR(Z389="-",X389&lt;5),0,1+IF(Y389&gt;7,0.35,IF(Y389&gt;5,0.1,0))+IF(Z389&gt;7,1+IF(X389&gt;7,0.25,0),IF(Z389&gt;4,0.5+IF(X389&gt;7,0.25,0),0+IF(X389&gt;7,0.25))))+IF(AA389="-",0,IF(AA389&gt;9,0.5,IF(AA389&gt;7,0.25,0)))+IF(AB389="-",0,IF(AB389&gt;7,1.1,IF(AB389&gt;4,0.6,0)))+IF(OR(AC389="-",V389&lt;5),0,IF(AC389&gt;7,1+IF(V389&gt;7,0.25,0),IF(AC389&gt;4,0.5+IF(V389&gt;7,0.25,0),0)))+IF(AD389="-",0,IF(AD389&gt;7,1.5,IF(AD389&gt;4,1,0)))+IF(AE389="-",0,IF(AE389&gt;9,0.5,IF(AE389&gt;7,0.25,0)))+IF(AF389="-",0,IF(AF389&gt;7,1.25,IF(AF389&gt;4,0.75,0)))+IF(OR(AG389="-",W389&lt;4),0,IF(AG389&gt;7,1+IF(W389&gt;7,0.15,0),IF(AG389&gt;4,0.5+IF(W389&gt;7,0.15,0),0))))</f>
        <v>0</v>
      </c>
      <c r="AQ389" s="46">
        <f>($AM$3*AM389+$AN$3*AN389+$AO$3*AO389+$AP$3*AP389)+$I$3*VLOOKUP(I389,COND!$A$2:$E$7,4,FALSE)+$J$3*VLOOKUP(J389,COND!$A$2:$C$7,2,FALSE)+$K$3*VLOOKUP(K389,COND!$A$2:$C$7,3,FALSE)+IF(AND($B$2&gt;0,$E389&lt;20),$B$2*25,0)</f>
        <v>36.880175650079678</v>
      </c>
      <c r="AR389" s="49">
        <f>STANDARDIZE(AQ389,AVERAGE($AQ$5:$AQ$537),STDEVP($AQ$5:$AQ$537))</f>
        <v>-0.61018416718086599</v>
      </c>
      <c r="AS389" s="47" t="str">
        <f>IF(AND(Z389&lt;&gt;"-",Y389&gt;1),"C",IF(AB389=MAX(AB389:AD389),"2B",IF(AD389=MAX(AB389:AD389),"SS",IF(OR(AC389=MAX(AA389:AD389),AND(AC389&lt;&gt;"-",AC389&gt;4,V389&gt;5)),"3B",IF(AF389=MAX(AE389:AG389),"CF",IF(AND(AG389=MAX(AE389,AG389),AND(W389&gt;5,AG389&lt;&gt;"-")),"RF",IF(AE389&lt;&gt;"-","LF",IF(AA389&lt;&gt;"-","1B","DH"))))))))</f>
        <v>LF</v>
      </c>
      <c r="AT389" s="47"/>
      <c r="AU389" s="47"/>
      <c r="AV389" s="47"/>
      <c r="AW389" s="47" t="str">
        <f>IF(AND($Q389&gt;=6,AVERAGE($S389:$T389)&gt;=6),"Likely",IF(OR($Q389&gt;6,AND($Q389=6,AVERAGE($S389:$T389)&gt;=3),AND($Q389&gt;=5,AVERAGE($S389:$T389)&gt;=5),AVERAGE($Q389,$S389:$T389)&gt;5),"Possible","Unlikely"))</f>
        <v>Unlikely</v>
      </c>
      <c r="AX389" s="47"/>
      <c r="AY389" s="47" t="str">
        <f>INDEX(Table5[[#All],[Ovr]],MATCH(Batters[[#This Row],[PID]],Table5[[#All],[PID]],0))</f>
        <v/>
      </c>
      <c r="AZ389" s="47" t="str">
        <f>INDEX(Table5[[#All],[Rnd]],MATCH(Batters[[#This Row],[PID]],Table5[[#All],[PID]],0))</f>
        <v/>
      </c>
      <c r="BA389" s="47" t="str">
        <f>INDEX(Table5[[#All],[Pick]],MATCH(Batters[[#This Row],[PID]],Table5[[#All],[PID]],0))</f>
        <v/>
      </c>
      <c r="BB389" s="47" t="str">
        <f>INDEX(Table5[[#All],[Team]],MATCH(Batters[[#This Row],[PID]],Table5[[#All],[PID]],0))</f>
        <v/>
      </c>
    </row>
    <row r="390" spans="1:54" ht="15" customHeight="1" x14ac:dyDescent="0.25">
      <c r="A390" s="42">
        <v>7678</v>
      </c>
      <c r="B390" s="42" t="s">
        <v>87</v>
      </c>
      <c r="C390" s="42" t="s">
        <v>147</v>
      </c>
      <c r="D390" s="42" t="s">
        <v>144</v>
      </c>
      <c r="E390" s="42">
        <v>18</v>
      </c>
      <c r="F390" s="42" t="s">
        <v>62</v>
      </c>
      <c r="G390" s="42" t="s">
        <v>53</v>
      </c>
      <c r="H390" s="43" t="s">
        <v>721</v>
      </c>
      <c r="I390" s="44" t="s">
        <v>43</v>
      </c>
      <c r="J390" s="42" t="s">
        <v>43</v>
      </c>
      <c r="K390" s="43" t="s">
        <v>43</v>
      </c>
      <c r="L390" s="42">
        <v>1</v>
      </c>
      <c r="M390" s="42">
        <v>1</v>
      </c>
      <c r="N390" s="42">
        <v>2</v>
      </c>
      <c r="O390" s="42">
        <v>1</v>
      </c>
      <c r="P390" s="43">
        <v>1</v>
      </c>
      <c r="Q390" s="42">
        <v>3</v>
      </c>
      <c r="R390" s="42">
        <v>2</v>
      </c>
      <c r="S390" s="42">
        <v>2</v>
      </c>
      <c r="T390" s="42">
        <v>2</v>
      </c>
      <c r="U390" s="43">
        <v>3</v>
      </c>
      <c r="V390" s="42">
        <v>7</v>
      </c>
      <c r="W390" s="42">
        <v>3</v>
      </c>
      <c r="X390" s="42">
        <v>1</v>
      </c>
      <c r="Y390" s="43">
        <v>1</v>
      </c>
      <c r="Z390" s="42" t="s">
        <v>45</v>
      </c>
      <c r="AA390" s="42">
        <v>1</v>
      </c>
      <c r="AB390" s="42" t="s">
        <v>45</v>
      </c>
      <c r="AC390" s="42" t="s">
        <v>45</v>
      </c>
      <c r="AD390" s="42" t="s">
        <v>45</v>
      </c>
      <c r="AE390" s="42" t="s">
        <v>45</v>
      </c>
      <c r="AF390" s="42" t="s">
        <v>45</v>
      </c>
      <c r="AG390" s="43" t="s">
        <v>45</v>
      </c>
      <c r="AH390" s="42">
        <v>7</v>
      </c>
      <c r="AI390" s="42">
        <v>4</v>
      </c>
      <c r="AJ390" s="43">
        <v>5</v>
      </c>
      <c r="AK390" s="45" t="s">
        <v>739</v>
      </c>
      <c r="AL390" s="45" t="s">
        <v>47</v>
      </c>
      <c r="AM390" s="46">
        <f>($L$3*(L390-$Q$1)/$Q$2+$M$3*(M390-$R$1)/$R$2+$N$3*(N390-$S$1)/$S$2+$O$3*(O390-$T$1)/$T$2+$P$3*(P390-$U$1)/$U$2)/(SUM($L$3:$P$3))</f>
        <v>-2.0012818558036707</v>
      </c>
      <c r="AN390" s="46">
        <f>($L$3*(Q390-$Q$1)/$Q$2+$M$3*(R390-$R$1)/$R$2+$N$3*(S390-$S$1)/$S$2+$O$3*(T390-$T$1)/$T$2+$P$3*(U390-$U$1)/$U$2)/(SUM($L$3:$P$3))</f>
        <v>-1.1353680741358696</v>
      </c>
      <c r="AO390" s="47">
        <f>IF(AVERAGE(AH390:AI390)&gt;9,1,0)+IF(AVERAGE(AH390:AI390)&gt;7,1,0)+IF(AH390&gt;7,1,0)+IF(AI390&gt;7,1,0)+IF(AJ390&gt;8,1,0)+IF(AJ390&gt;6,1,0)</f>
        <v>0</v>
      </c>
      <c r="AP390" s="48">
        <f>MIN(2,IF(OR(Z390="-",X390&lt;5),0,1+IF(Y390&gt;7,0.35,IF(Y390&gt;5,0.1,0))+IF(Z390&gt;7,1+IF(X390&gt;7,0.25,0),IF(Z390&gt;4,0.5+IF(X390&gt;7,0.25,0),0+IF(X390&gt;7,0.25))))+IF(AA390="-",0,IF(AA390&gt;9,0.5,IF(AA390&gt;7,0.25,0)))+IF(AB390="-",0,IF(AB390&gt;7,1.1,IF(AB390&gt;4,0.6,0)))+IF(OR(AC390="-",V390&lt;5),0,IF(AC390&gt;7,1+IF(V390&gt;7,0.25,0),IF(AC390&gt;4,0.5+IF(V390&gt;7,0.25,0),0)))+IF(AD390="-",0,IF(AD390&gt;7,1.5,IF(AD390&gt;4,1,0)))+IF(AE390="-",0,IF(AE390&gt;9,0.5,IF(AE390&gt;7,0.25,0)))+IF(AF390="-",0,IF(AF390&gt;7,1.25,IF(AF390&gt;4,0.75,0)))+IF(OR(AG390="-",W390&lt;4),0,IF(AG390&gt;7,1+IF(W390&gt;7,0.15,0),IF(AG390&gt;4,0.5+IF(W390&gt;7,0.15,0),0))))</f>
        <v>0</v>
      </c>
      <c r="AQ390" s="46">
        <f>($AM$3*AM390+$AN$3*AN390+$AO$3*AO390+$AP$3*AP390)+$I$3*VLOOKUP(I390,COND!$A$2:$E$7,4,FALSE)+$J$3*VLOOKUP(J390,COND!$A$2:$C$7,2,FALSE)+$K$3*VLOOKUP(K390,COND!$A$2:$C$7,3,FALSE)+IF(AND($B$2&gt;0,$E390&lt;20),$B$2*25,0)</f>
        <v>36.1754549247892</v>
      </c>
      <c r="AR390" s="49">
        <f>STANDARDIZE(AQ390,AVERAGE($AQ$5:$AQ$537),STDEVP($AQ$5:$AQ$537))</f>
        <v>-0.73417509500798894</v>
      </c>
      <c r="AS390" s="47" t="str">
        <f>IF(AND(Z390&lt;&gt;"-",Y390&gt;1),"C",IF(AB390=MAX(AB390:AD390),"2B",IF(AD390=MAX(AB390:AD390),"SS",IF(OR(AC390=MAX(AA390:AD390),AND(AC390&lt;&gt;"-",AC390&gt;4,V390&gt;5)),"3B",IF(AF390=MAX(AE390:AG390),"CF",IF(AND(AG390=MAX(AE390,AG390),AND(W390&gt;5,AG390&lt;&gt;"-")),"RF",IF(AE390&lt;&gt;"-","LF",IF(AA390&lt;&gt;"-","1B","DH"))))))))</f>
        <v>1B</v>
      </c>
      <c r="AT390" s="47"/>
      <c r="AU390" s="47"/>
      <c r="AV390" s="47"/>
      <c r="AW390" s="47" t="str">
        <f>IF(AND($Q390&gt;=6,AVERAGE($S390:$T390)&gt;=6),"Likely",IF(OR($Q390&gt;6,AND($Q390=6,AVERAGE($S390:$T390)&gt;=3),AND($Q390&gt;=5,AVERAGE($S390:$T390)&gt;=5),AVERAGE($Q390,$S390:$T390)&gt;5),"Possible","Unlikely"))</f>
        <v>Unlikely</v>
      </c>
      <c r="AX390" s="47"/>
      <c r="AY390" s="47" t="str">
        <f>INDEX(Table5[[#All],[Ovr]],MATCH(Batters[[#This Row],[PID]],Table5[[#All],[PID]],0))</f>
        <v/>
      </c>
      <c r="AZ390" s="47" t="str">
        <f>INDEX(Table5[[#All],[Rnd]],MATCH(Batters[[#This Row],[PID]],Table5[[#All],[PID]],0))</f>
        <v/>
      </c>
      <c r="BA390" s="47" t="str">
        <f>INDEX(Table5[[#All],[Pick]],MATCH(Batters[[#This Row],[PID]],Table5[[#All],[PID]],0))</f>
        <v/>
      </c>
      <c r="BB390" s="47" t="str">
        <f>INDEX(Table5[[#All],[Team]],MATCH(Batters[[#This Row],[PID]],Table5[[#All],[PID]],0))</f>
        <v/>
      </c>
    </row>
    <row r="391" spans="1:54" ht="15" customHeight="1" x14ac:dyDescent="0.25">
      <c r="A391" s="42">
        <v>17905</v>
      </c>
      <c r="B391" s="42" t="s">
        <v>86</v>
      </c>
      <c r="C391" s="42" t="s">
        <v>161</v>
      </c>
      <c r="D391" s="42" t="s">
        <v>1352</v>
      </c>
      <c r="E391" s="42">
        <v>18</v>
      </c>
      <c r="F391" s="42" t="s">
        <v>42</v>
      </c>
      <c r="G391" s="42" t="s">
        <v>42</v>
      </c>
      <c r="H391" s="43" t="s">
        <v>709</v>
      </c>
      <c r="I391" s="44" t="s">
        <v>43</v>
      </c>
      <c r="J391" s="42" t="s">
        <v>43</v>
      </c>
      <c r="K391" s="43" t="s">
        <v>44</v>
      </c>
      <c r="L391" s="42">
        <v>1</v>
      </c>
      <c r="M391" s="42">
        <v>1</v>
      </c>
      <c r="N391" s="42">
        <v>2</v>
      </c>
      <c r="O391" s="42">
        <v>2</v>
      </c>
      <c r="P391" s="43">
        <v>1</v>
      </c>
      <c r="Q391" s="42">
        <v>2</v>
      </c>
      <c r="R391" s="42">
        <v>2</v>
      </c>
      <c r="S391" s="42">
        <v>3</v>
      </c>
      <c r="T391" s="42">
        <v>5</v>
      </c>
      <c r="U391" s="43">
        <v>2</v>
      </c>
      <c r="V391" s="42">
        <v>4</v>
      </c>
      <c r="W391" s="42">
        <v>3</v>
      </c>
      <c r="X391" s="42">
        <v>5</v>
      </c>
      <c r="Y391" s="43">
        <v>7</v>
      </c>
      <c r="Z391" s="42">
        <v>2</v>
      </c>
      <c r="AA391" s="42" t="s">
        <v>45</v>
      </c>
      <c r="AB391" s="42" t="s">
        <v>45</v>
      </c>
      <c r="AC391" s="42" t="s">
        <v>45</v>
      </c>
      <c r="AD391" s="42" t="s">
        <v>45</v>
      </c>
      <c r="AE391" s="42" t="s">
        <v>45</v>
      </c>
      <c r="AF391" s="42" t="s">
        <v>45</v>
      </c>
      <c r="AG391" s="43" t="s">
        <v>45</v>
      </c>
      <c r="AH391" s="42">
        <v>1</v>
      </c>
      <c r="AI391" s="42">
        <v>3</v>
      </c>
      <c r="AJ391" s="43">
        <v>2</v>
      </c>
      <c r="AK391" s="45" t="s">
        <v>733</v>
      </c>
      <c r="AL391" s="45" t="s">
        <v>705</v>
      </c>
      <c r="AM391" s="46">
        <f>($L$3*(L391-$Q$1)/$Q$2+$M$3*(M391-$R$1)/$R$2+$N$3*(N391-$S$1)/$S$2+$O$3*(O391-$T$1)/$T$2+$P$3*(P391-$U$1)/$U$2)/(SUM($L$3:$P$3))</f>
        <v>-1.9115723057940897</v>
      </c>
      <c r="AN391" s="46">
        <f>($L$3*(Q391-$Q$1)/$Q$2+$M$3*(R391-$R$1)/$R$2+$N$3*(S391-$S$1)/$S$2+$O$3*(T391-$T$1)/$T$2+$P$3*(U391-$U$1)/$U$2)/(SUM($L$3:$P$3))</f>
        <v>-1.1457501061029833</v>
      </c>
      <c r="AO391" s="47">
        <f>IF(AVERAGE(AH391:AI391)&gt;9,1,0)+IF(AVERAGE(AH391:AI391)&gt;7,1,0)+IF(AH391&gt;7,1,0)+IF(AI391&gt;7,1,0)+IF(AJ391&gt;8,1,0)+IF(AJ391&gt;6,1,0)</f>
        <v>0</v>
      </c>
      <c r="AP391" s="48">
        <f>MIN(2,IF(OR(Z391="-",X391&lt;5),0,1+IF(Y391&gt;7,0.35,IF(Y391&gt;5,0.1,0))+IF(Z391&gt;7,1+IF(X391&gt;7,0.25,0),IF(Z391&gt;4,0.5+IF(X391&gt;7,0.25,0),0+IF(X391&gt;7,0.25))))+IF(AA391="-",0,IF(AA391&gt;9,0.5,IF(AA391&gt;7,0.25,0)))+IF(AB391="-",0,IF(AB391&gt;7,1.1,IF(AB391&gt;4,0.6,0)))+IF(OR(AC391="-",V391&lt;5),0,IF(AC391&gt;7,1+IF(V391&gt;7,0.25,0),IF(AC391&gt;4,0.5+IF(V391&gt;7,0.25,0),0)))+IF(AD391="-",0,IF(AD391&gt;7,1.5,IF(AD391&gt;4,1,0)))+IF(AE391="-",0,IF(AE391&gt;9,0.5,IF(AE391&gt;7,0.25,0)))+IF(AF391="-",0,IF(AF391&gt;7,1.25,IF(AF391&gt;4,0.75,0)))+IF(OR(AG391="-",W391&lt;4),0,IF(AG391&gt;7,1+IF(W391&gt;7,0.15,0),IF(AG391&gt;4,0.5+IF(W391&gt;7,0.15,0),0))))</f>
        <v>1.1000000000000001</v>
      </c>
      <c r="AQ391" s="46">
        <f>($AM$3*AM391+$AN$3*AN391+$AO$3*AO391+$AP$3*AP391)+$I$3*VLOOKUP(I391,COND!$A$2:$E$7,4,FALSE)+$J$3*VLOOKUP(J391,COND!$A$2:$C$7,2,FALSE)+$K$3*VLOOKUP(K391,COND!$A$2:$C$7,3,FALSE)+IF(AND($B$2&gt;0,$E391&lt;20),$B$2*25,0)</f>
        <v>36.859841496184785</v>
      </c>
      <c r="AR391" s="49">
        <f>STANDARDIZE(AQ391,AVERAGE($AQ$5:$AQ$537),STDEVP($AQ$5:$AQ$537))</f>
        <v>-0.61376182641171673</v>
      </c>
      <c r="AS391" s="47" t="str">
        <f>IF(AND(Z391&lt;&gt;"-",Y391&gt;1),"C",IF(AB391=MAX(AB391:AD391),"2B",IF(AD391=MAX(AB391:AD391),"SS",IF(OR(AC391=MAX(AA391:AD391),AND(AC391&lt;&gt;"-",AC391&gt;4,V391&gt;5)),"3B",IF(AF391=MAX(AE391:AG391),"CF",IF(AND(AG391=MAX(AE391,AG391),AND(W391&gt;5,AG391&lt;&gt;"-")),"RF",IF(AE391&lt;&gt;"-","LF",IF(AA391&lt;&gt;"-","1B","DH"))))))))</f>
        <v>C</v>
      </c>
      <c r="AT391" s="47"/>
      <c r="AU391" s="47"/>
      <c r="AV391" s="47"/>
      <c r="AW391" s="47" t="str">
        <f>IF(AND($Q391&gt;=6,AVERAGE($S391:$T391)&gt;=6),"Likely",IF(OR($Q391&gt;6,AND($Q391=6,AVERAGE($S391:$T391)&gt;=3),AND($Q391&gt;=5,AVERAGE($S391:$T391)&gt;=5),AVERAGE($Q391,$S391:$T391)&gt;5),"Possible","Unlikely"))</f>
        <v>Unlikely</v>
      </c>
      <c r="AX391" s="47"/>
      <c r="AY391" s="47" t="str">
        <f>INDEX(Table5[[#All],[Ovr]],MATCH(Batters[[#This Row],[PID]],Table5[[#All],[PID]],0))</f>
        <v/>
      </c>
      <c r="AZ391" s="47" t="str">
        <f>INDEX(Table5[[#All],[Rnd]],MATCH(Batters[[#This Row],[PID]],Table5[[#All],[PID]],0))</f>
        <v/>
      </c>
      <c r="BA391" s="47" t="str">
        <f>INDEX(Table5[[#All],[Pick]],MATCH(Batters[[#This Row],[PID]],Table5[[#All],[PID]],0))</f>
        <v/>
      </c>
      <c r="BB391" s="47" t="str">
        <f>INDEX(Table5[[#All],[Team]],MATCH(Batters[[#This Row],[PID]],Table5[[#All],[PID]],0))</f>
        <v/>
      </c>
    </row>
    <row r="392" spans="1:54" ht="15" customHeight="1" x14ac:dyDescent="0.25">
      <c r="A392" s="42">
        <v>13781</v>
      </c>
      <c r="B392" s="42" t="s">
        <v>86</v>
      </c>
      <c r="C392" s="42" t="s">
        <v>142</v>
      </c>
      <c r="D392" s="42" t="s">
        <v>877</v>
      </c>
      <c r="E392" s="42">
        <v>18</v>
      </c>
      <c r="F392" s="42" t="s">
        <v>42</v>
      </c>
      <c r="G392" s="42" t="s">
        <v>42</v>
      </c>
      <c r="H392" s="43" t="s">
        <v>709</v>
      </c>
      <c r="I392" s="44" t="s">
        <v>43</v>
      </c>
      <c r="J392" s="42" t="s">
        <v>43</v>
      </c>
      <c r="K392" s="43" t="s">
        <v>44</v>
      </c>
      <c r="L392" s="42">
        <v>1</v>
      </c>
      <c r="M392" s="42">
        <v>1</v>
      </c>
      <c r="N392" s="42">
        <v>2</v>
      </c>
      <c r="O392" s="42">
        <v>3</v>
      </c>
      <c r="P392" s="43">
        <v>1</v>
      </c>
      <c r="Q392" s="42">
        <v>2</v>
      </c>
      <c r="R392" s="42">
        <v>2</v>
      </c>
      <c r="S392" s="42">
        <v>3</v>
      </c>
      <c r="T392" s="42">
        <v>6</v>
      </c>
      <c r="U392" s="43">
        <v>2</v>
      </c>
      <c r="V392" s="42">
        <v>4</v>
      </c>
      <c r="W392" s="42">
        <v>3</v>
      </c>
      <c r="X392" s="42">
        <v>5</v>
      </c>
      <c r="Y392" s="43">
        <v>7</v>
      </c>
      <c r="Z392" s="42" t="s">
        <v>45</v>
      </c>
      <c r="AA392" s="42" t="s">
        <v>45</v>
      </c>
      <c r="AB392" s="42" t="s">
        <v>45</v>
      </c>
      <c r="AC392" s="42" t="s">
        <v>45</v>
      </c>
      <c r="AD392" s="42" t="s">
        <v>45</v>
      </c>
      <c r="AE392" s="42" t="s">
        <v>45</v>
      </c>
      <c r="AF392" s="42" t="s">
        <v>45</v>
      </c>
      <c r="AG392" s="43" t="s">
        <v>45</v>
      </c>
      <c r="AH392" s="42">
        <v>5</v>
      </c>
      <c r="AI392" s="42">
        <v>6</v>
      </c>
      <c r="AJ392" s="43">
        <v>6</v>
      </c>
      <c r="AK392" s="45" t="s">
        <v>758</v>
      </c>
      <c r="AL392" s="45" t="s">
        <v>47</v>
      </c>
      <c r="AM392" s="46">
        <f>($L$3*(L392-$Q$1)/$Q$2+$M$3*(M392-$R$1)/$R$2+$N$3*(N392-$S$1)/$S$2+$O$3*(O392-$T$1)/$T$2+$P$3*(P392-$U$1)/$U$2)/(SUM($L$3:$P$3))</f>
        <v>-1.8218627557845084</v>
      </c>
      <c r="AN392" s="46">
        <f>($L$3*(Q392-$Q$1)/$Q$2+$M$3*(R392-$R$1)/$R$2+$N$3*(S392-$S$1)/$S$2+$O$3*(T392-$T$1)/$T$2+$P$3*(U392-$U$1)/$U$2)/(SUM($L$3:$P$3))</f>
        <v>-1.0560405560934021</v>
      </c>
      <c r="AO392" s="47">
        <f>IF(AVERAGE(AH392:AI392)&gt;9,1,0)+IF(AVERAGE(AH392:AI392)&gt;7,1,0)+IF(AH392&gt;7,1,0)+IF(AI392&gt;7,1,0)+IF(AJ392&gt;8,1,0)+IF(AJ392&gt;6,1,0)</f>
        <v>0</v>
      </c>
      <c r="AP392" s="48">
        <f>MIN(2,IF(OR(Z392="-",X392&lt;5),0,1+IF(Y392&gt;7,0.35,IF(Y392&gt;5,0.1,0))+IF(Z392&gt;7,1+IF(X392&gt;7,0.25,0),IF(Z392&gt;4,0.5+IF(X392&gt;7,0.25,0),0+IF(X392&gt;7,0.25))))+IF(AA392="-",0,IF(AA392&gt;9,0.5,IF(AA392&gt;7,0.25,0)))+IF(AB392="-",0,IF(AB392&gt;7,1.1,IF(AB392&gt;4,0.6,0)))+IF(OR(AC392="-",V392&lt;5),0,IF(AC392&gt;7,1+IF(V392&gt;7,0.25,0),IF(AC392&gt;4,0.5+IF(V392&gt;7,0.25,0),0)))+IF(AD392="-",0,IF(AD392&gt;7,1.5,IF(AD392&gt;4,1,0)))+IF(AE392="-",0,IF(AE392&gt;9,0.5,IF(AE392&gt;7,0.25,0)))+IF(AF392="-",0,IF(AF392&gt;7,1.25,IF(AF392&gt;4,0.75,0)))+IF(OR(AG392="-",W392&lt;4),0,IF(AG392&gt;7,1+IF(W392&gt;7,0.15,0),IF(AG392&gt;4,0.5+IF(W392&gt;7,0.15,0),0))))</f>
        <v>0</v>
      </c>
      <c r="AQ392" s="46">
        <f>($AM$3*AM392+$AN$3*AN392+$AO$3*AO392+$AP$3*AP392)+$I$3*VLOOKUP(I392,COND!$A$2:$E$7,4,FALSE)+$J$3*VLOOKUP(J392,COND!$A$2:$C$7,2,FALSE)+$K$3*VLOOKUP(K392,COND!$A$2:$C$7,3,FALSE)+IF(AND($B$2&gt;0,$E392&lt;20),$B$2*25,0)</f>
        <v>36.845327051300728</v>
      </c>
      <c r="AR392" s="49">
        <f>STANDARDIZE(AQ392,AVERAGE($AQ$5:$AQ$537),STDEVP($AQ$5:$AQ$537))</f>
        <v>-0.61631554652166254</v>
      </c>
      <c r="AS392" s="47" t="str">
        <f>IF(AND(Z392&lt;&gt;"-",Y392&gt;1),"C",IF(AB392=MAX(AB392:AD392),"2B",IF(AD392=MAX(AB392:AD392),"SS",IF(OR(AC392=MAX(AA392:AD392),AND(AC392&lt;&gt;"-",AC392&gt;4,V392&gt;5)),"3B",IF(AF392=MAX(AE392:AG392),"CF",IF(AND(AG392=MAX(AE392,AG392),AND(W392&gt;5,AG392&lt;&gt;"-")),"RF",IF(AE392&lt;&gt;"-","LF",IF(AA392&lt;&gt;"-","1B","DH"))))))))</f>
        <v>DH</v>
      </c>
      <c r="AT392" s="47"/>
      <c r="AU392" s="47"/>
      <c r="AV392" s="47"/>
      <c r="AW392" s="47" t="str">
        <f>IF(AND($Q392&gt;=6,AVERAGE($S392:$T392)&gt;=6),"Likely",IF(OR($Q392&gt;6,AND($Q392=6,AVERAGE($S392:$T392)&gt;=3),AND($Q392&gt;=5,AVERAGE($S392:$T392)&gt;=5),AVERAGE($Q392,$S392:$T392)&gt;5),"Possible","Unlikely"))</f>
        <v>Unlikely</v>
      </c>
      <c r="AX392" s="47"/>
      <c r="AY392" s="47" t="str">
        <f>INDEX(Table5[[#All],[Ovr]],MATCH(Batters[[#This Row],[PID]],Table5[[#All],[PID]],0))</f>
        <v/>
      </c>
      <c r="AZ392" s="47" t="str">
        <f>INDEX(Table5[[#All],[Rnd]],MATCH(Batters[[#This Row],[PID]],Table5[[#All],[PID]],0))</f>
        <v/>
      </c>
      <c r="BA392" s="47" t="str">
        <f>INDEX(Table5[[#All],[Pick]],MATCH(Batters[[#This Row],[PID]],Table5[[#All],[PID]],0))</f>
        <v/>
      </c>
      <c r="BB392" s="47" t="str">
        <f>INDEX(Table5[[#All],[Team]],MATCH(Batters[[#This Row],[PID]],Table5[[#All],[PID]],0))</f>
        <v/>
      </c>
    </row>
    <row r="393" spans="1:54" ht="15" customHeight="1" x14ac:dyDescent="0.25">
      <c r="A393" s="42">
        <v>9560</v>
      </c>
      <c r="B393" s="42" t="s">
        <v>86</v>
      </c>
      <c r="C393" s="42" t="s">
        <v>802</v>
      </c>
      <c r="D393" s="42" t="s">
        <v>1286</v>
      </c>
      <c r="E393" s="42">
        <v>21</v>
      </c>
      <c r="F393" s="42" t="s">
        <v>42</v>
      </c>
      <c r="G393" s="42" t="s">
        <v>42</v>
      </c>
      <c r="H393" s="43" t="s">
        <v>709</v>
      </c>
      <c r="I393" s="44" t="s">
        <v>43</v>
      </c>
      <c r="J393" s="42" t="s">
        <v>43</v>
      </c>
      <c r="K393" s="43" t="s">
        <v>43</v>
      </c>
      <c r="L393" s="42">
        <v>2</v>
      </c>
      <c r="M393" s="42">
        <v>2</v>
      </c>
      <c r="N393" s="42">
        <v>2</v>
      </c>
      <c r="O393" s="42">
        <v>3</v>
      </c>
      <c r="P393" s="43">
        <v>1</v>
      </c>
      <c r="Q393" s="42">
        <v>3</v>
      </c>
      <c r="R393" s="42">
        <v>3</v>
      </c>
      <c r="S393" s="42">
        <v>3</v>
      </c>
      <c r="T393" s="42">
        <v>5</v>
      </c>
      <c r="U393" s="43">
        <v>3</v>
      </c>
      <c r="V393" s="42">
        <v>2</v>
      </c>
      <c r="W393" s="42">
        <v>3</v>
      </c>
      <c r="X393" s="42">
        <v>4</v>
      </c>
      <c r="Y393" s="43">
        <v>9</v>
      </c>
      <c r="Z393" s="42" t="s">
        <v>45</v>
      </c>
      <c r="AA393" s="42" t="s">
        <v>45</v>
      </c>
      <c r="AB393" s="42" t="s">
        <v>45</v>
      </c>
      <c r="AC393" s="42" t="s">
        <v>45</v>
      </c>
      <c r="AD393" s="42" t="s">
        <v>45</v>
      </c>
      <c r="AE393" s="42" t="s">
        <v>45</v>
      </c>
      <c r="AF393" s="42" t="s">
        <v>45</v>
      </c>
      <c r="AG393" s="43" t="s">
        <v>45</v>
      </c>
      <c r="AH393" s="42">
        <v>1</v>
      </c>
      <c r="AI393" s="42">
        <v>1</v>
      </c>
      <c r="AJ393" s="43">
        <v>1</v>
      </c>
      <c r="AK393" s="45" t="s">
        <v>717</v>
      </c>
      <c r="AL393" s="45" t="s">
        <v>47</v>
      </c>
      <c r="AM393" s="46">
        <f>($L$3*(L393-$Q$1)/$Q$2+$M$3*(M393-$R$1)/$R$2+$N$3*(N393-$S$1)/$S$2+$O$3*(O393-$T$1)/$T$2+$P$3*(P393-$U$1)/$U$2)/(SUM($L$3:$P$3))</f>
        <v>-1.4482470399631302</v>
      </c>
      <c r="AN393" s="46">
        <f>($L$3*(Q393-$Q$1)/$Q$2+$M$3*(R393-$R$1)/$R$2+$N$3*(S393-$S$1)/$S$2+$O$3*(T393-$T$1)/$T$2+$P$3*(U393-$U$1)/$U$2)/(SUM($L$3:$P$3))</f>
        <v>-0.73211805046452161</v>
      </c>
      <c r="AO393" s="47">
        <f>IF(AVERAGE(AH393:AI393)&gt;9,1,0)+IF(AVERAGE(AH393:AI393)&gt;7,1,0)+IF(AH393&gt;7,1,0)+IF(AI393&gt;7,1,0)+IF(AJ393&gt;8,1,0)+IF(AJ393&gt;6,1,0)</f>
        <v>0</v>
      </c>
      <c r="AP393" s="48">
        <f>MIN(2,IF(OR(Z393="-",X393&lt;5),0,1+IF(Y393&gt;7,0.35,IF(Y393&gt;5,0.1,0))+IF(Z393&gt;7,1+IF(X393&gt;7,0.25,0),IF(Z393&gt;4,0.5+IF(X393&gt;7,0.25,0),0+IF(X393&gt;7,0.25))))+IF(AA393="-",0,IF(AA393&gt;9,0.5,IF(AA393&gt;7,0.25,0)))+IF(AB393="-",0,IF(AB393&gt;7,1.1,IF(AB393&gt;4,0.6,0)))+IF(OR(AC393="-",V393&lt;5),0,IF(AC393&gt;7,1+IF(V393&gt;7,0.25,0),IF(AC393&gt;4,0.5+IF(V393&gt;7,0.25,0),0)))+IF(AD393="-",0,IF(AD393&gt;7,1.5,IF(AD393&gt;4,1,0)))+IF(AE393="-",0,IF(AE393&gt;9,0.5,IF(AE393&gt;7,0.25,0)))+IF(AF393="-",0,IF(AF393&gt;7,1.25,IF(AF393&gt;4,0.75,0)))+IF(OR(AG393="-",W393&lt;4),0,IF(AG393&gt;7,1+IF(W393&gt;7,0.15,0),IF(AG393&gt;4,0.5+IF(W393&gt;7,0.15,0),0))))</f>
        <v>0</v>
      </c>
      <c r="AQ393" s="46">
        <f>($AM$3*AM393+$AN$3*AN393+$AO$3*AO393+$AP$3*AP393)+$I$3*VLOOKUP(I393,COND!$A$2:$E$7,4,FALSE)+$J$3*VLOOKUP(J393,COND!$A$2:$C$7,2,FALSE)+$K$3*VLOOKUP(K393,COND!$A$2:$C$7,3,FALSE)+IF(AND($B$2&gt;0,$E393&lt;20),$B$2*25,0)</f>
        <v>36.069758690429424</v>
      </c>
      <c r="AR393" s="49">
        <f>STANDARDIZE(AQ393,AVERAGE($AQ$5:$AQ$537),STDEVP($AQ$5:$AQ$537))</f>
        <v>-0.75277164495435211</v>
      </c>
      <c r="AS393" s="47" t="str">
        <f>IF(AND(Z393&lt;&gt;"-",Y393&gt;1),"C",IF(AB393=MAX(AB393:AD393),"2B",IF(AD393=MAX(AB393:AD393),"SS",IF(OR(AC393=MAX(AA393:AD393),AND(AC393&lt;&gt;"-",AC393&gt;4,V393&gt;5)),"3B",IF(AF393=MAX(AE393:AG393),"CF",IF(AND(AG393=MAX(AE393,AG393),AND(W393&gt;5,AG393&lt;&gt;"-")),"RF",IF(AE393&lt;&gt;"-","LF",IF(AA393&lt;&gt;"-","1B","DH"))))))))</f>
        <v>DH</v>
      </c>
      <c r="AT393" s="47"/>
      <c r="AU393" s="47"/>
      <c r="AV393" s="47"/>
      <c r="AW393" s="47" t="str">
        <f>IF(AND($Q393&gt;=6,AVERAGE($S393:$T393)&gt;=6),"Likely",IF(OR($Q393&gt;6,AND($Q393=6,AVERAGE($S393:$T393)&gt;=3),AND($Q393&gt;=5,AVERAGE($S393:$T393)&gt;=5),AVERAGE($Q393,$S393:$T393)&gt;5),"Possible","Unlikely"))</f>
        <v>Unlikely</v>
      </c>
      <c r="AX393" s="47"/>
      <c r="AY393" s="47" t="str">
        <f>INDEX(Table5[[#All],[Ovr]],MATCH(Batters[[#This Row],[PID]],Table5[[#All],[PID]],0))</f>
        <v/>
      </c>
      <c r="AZ393" s="47" t="str">
        <f>INDEX(Table5[[#All],[Rnd]],MATCH(Batters[[#This Row],[PID]],Table5[[#All],[PID]],0))</f>
        <v/>
      </c>
      <c r="BA393" s="47" t="str">
        <f>INDEX(Table5[[#All],[Pick]],MATCH(Batters[[#This Row],[PID]],Table5[[#All],[PID]],0))</f>
        <v/>
      </c>
      <c r="BB393" s="47" t="str">
        <f>INDEX(Table5[[#All],[Team]],MATCH(Batters[[#This Row],[PID]],Table5[[#All],[PID]],0))</f>
        <v/>
      </c>
    </row>
    <row r="394" spans="1:54" ht="15" customHeight="1" x14ac:dyDescent="0.25">
      <c r="A394" s="42">
        <v>9422</v>
      </c>
      <c r="B394" s="42" t="s">
        <v>87</v>
      </c>
      <c r="C394" s="42" t="s">
        <v>143</v>
      </c>
      <c r="D394" s="42" t="s">
        <v>336</v>
      </c>
      <c r="E394" s="42">
        <v>21</v>
      </c>
      <c r="F394" s="42" t="s">
        <v>42</v>
      </c>
      <c r="G394" s="42" t="s">
        <v>42</v>
      </c>
      <c r="H394" s="43" t="s">
        <v>721</v>
      </c>
      <c r="I394" s="44" t="s">
        <v>43</v>
      </c>
      <c r="J394" s="42" t="s">
        <v>43</v>
      </c>
      <c r="K394" s="43" t="s">
        <v>43</v>
      </c>
      <c r="L394" s="42">
        <v>2</v>
      </c>
      <c r="M394" s="42">
        <v>2</v>
      </c>
      <c r="N394" s="42">
        <v>2</v>
      </c>
      <c r="O394" s="42">
        <v>3</v>
      </c>
      <c r="P394" s="43">
        <v>1</v>
      </c>
      <c r="Q394" s="42">
        <v>3</v>
      </c>
      <c r="R394" s="42">
        <v>3</v>
      </c>
      <c r="S394" s="42">
        <v>3</v>
      </c>
      <c r="T394" s="42">
        <v>5</v>
      </c>
      <c r="U394" s="43">
        <v>3</v>
      </c>
      <c r="V394" s="42">
        <v>8</v>
      </c>
      <c r="W394" s="42">
        <v>8</v>
      </c>
      <c r="X394" s="42">
        <v>7</v>
      </c>
      <c r="Y394" s="43">
        <v>5</v>
      </c>
      <c r="Z394" s="42" t="s">
        <v>45</v>
      </c>
      <c r="AA394" s="42">
        <v>1</v>
      </c>
      <c r="AB394" s="42" t="s">
        <v>45</v>
      </c>
      <c r="AC394" s="42" t="s">
        <v>45</v>
      </c>
      <c r="AD394" s="42" t="s">
        <v>45</v>
      </c>
      <c r="AE394" s="42" t="s">
        <v>45</v>
      </c>
      <c r="AF394" s="42" t="s">
        <v>45</v>
      </c>
      <c r="AG394" s="43" t="s">
        <v>45</v>
      </c>
      <c r="AH394" s="42">
        <v>1</v>
      </c>
      <c r="AI394" s="42">
        <v>1</v>
      </c>
      <c r="AJ394" s="43">
        <v>1</v>
      </c>
      <c r="AK394" s="45" t="s">
        <v>717</v>
      </c>
      <c r="AL394" s="45" t="s">
        <v>705</v>
      </c>
      <c r="AM394" s="46">
        <f>($L$3*(L394-$Q$1)/$Q$2+$M$3*(M394-$R$1)/$R$2+$N$3*(N394-$S$1)/$S$2+$O$3*(O394-$T$1)/$T$2+$P$3*(P394-$U$1)/$U$2)/(SUM($L$3:$P$3))</f>
        <v>-1.4482470399631302</v>
      </c>
      <c r="AN394" s="46">
        <f>($L$3*(Q394-$Q$1)/$Q$2+$M$3*(R394-$R$1)/$R$2+$N$3*(S394-$S$1)/$S$2+$O$3*(T394-$T$1)/$T$2+$P$3*(U394-$U$1)/$U$2)/(SUM($L$3:$P$3))</f>
        <v>-0.73211805046452161</v>
      </c>
      <c r="AO394" s="47">
        <f>IF(AVERAGE(AH394:AI394)&gt;9,1,0)+IF(AVERAGE(AH394:AI394)&gt;7,1,0)+IF(AH394&gt;7,1,0)+IF(AI394&gt;7,1,0)+IF(AJ394&gt;8,1,0)+IF(AJ394&gt;6,1,0)</f>
        <v>0</v>
      </c>
      <c r="AP394" s="48">
        <f>MIN(2,IF(OR(Z394="-",X394&lt;5),0,1+IF(Y394&gt;7,0.35,IF(Y394&gt;5,0.1,0))+IF(Z394&gt;7,1+IF(X394&gt;7,0.25,0),IF(Z394&gt;4,0.5+IF(X394&gt;7,0.25,0),0+IF(X394&gt;7,0.25))))+IF(AA394="-",0,IF(AA394&gt;9,0.5,IF(AA394&gt;7,0.25,0)))+IF(AB394="-",0,IF(AB394&gt;7,1.1,IF(AB394&gt;4,0.6,0)))+IF(OR(AC394="-",V394&lt;5),0,IF(AC394&gt;7,1+IF(V394&gt;7,0.25,0),IF(AC394&gt;4,0.5+IF(V394&gt;7,0.25,0),0)))+IF(AD394="-",0,IF(AD394&gt;7,1.5,IF(AD394&gt;4,1,0)))+IF(AE394="-",0,IF(AE394&gt;9,0.5,IF(AE394&gt;7,0.25,0)))+IF(AF394="-",0,IF(AF394&gt;7,1.25,IF(AF394&gt;4,0.75,0)))+IF(OR(AG394="-",W394&lt;4),0,IF(AG394&gt;7,1+IF(W394&gt;7,0.15,0),IF(AG394&gt;4,0.5+IF(W394&gt;7,0.15,0),0))))</f>
        <v>0</v>
      </c>
      <c r="AQ394" s="46">
        <f>($AM$3*AM394+$AN$3*AN394+$AO$3*AO394+$AP$3*AP394)+$I$3*VLOOKUP(I394,COND!$A$2:$E$7,4,FALSE)+$J$3*VLOOKUP(J394,COND!$A$2:$C$7,2,FALSE)+$K$3*VLOOKUP(K394,COND!$A$2:$C$7,3,FALSE)+IF(AND($B$2&gt;0,$E394&lt;20),$B$2*25,0)</f>
        <v>36.069758690429424</v>
      </c>
      <c r="AR394" s="49">
        <f>STANDARDIZE(AQ394,AVERAGE($AQ$5:$AQ$537),STDEVP($AQ$5:$AQ$537))</f>
        <v>-0.75277164495435211</v>
      </c>
      <c r="AS394" s="47" t="str">
        <f>IF(AND(Z394&lt;&gt;"-",Y394&gt;1),"C",IF(AB394=MAX(AB394:AD394),"2B",IF(AD394=MAX(AB394:AD394),"SS",IF(OR(AC394=MAX(AA394:AD394),AND(AC394&lt;&gt;"-",AC394&gt;4,V394&gt;5)),"3B",IF(AF394=MAX(AE394:AG394),"CF",IF(AND(AG394=MAX(AE394,AG394),AND(W394&gt;5,AG394&lt;&gt;"-")),"RF",IF(AE394&lt;&gt;"-","LF",IF(AA394&lt;&gt;"-","1B","DH"))))))))</f>
        <v>1B</v>
      </c>
      <c r="AT394" s="47"/>
      <c r="AU394" s="47"/>
      <c r="AV394" s="47"/>
      <c r="AW394" s="47" t="str">
        <f>IF(AND($Q394&gt;=6,AVERAGE($S394:$T394)&gt;=6),"Likely",IF(OR($Q394&gt;6,AND($Q394=6,AVERAGE($S394:$T394)&gt;=3),AND($Q394&gt;=5,AVERAGE($S394:$T394)&gt;=5),AVERAGE($Q394,$S394:$T394)&gt;5),"Possible","Unlikely"))</f>
        <v>Unlikely</v>
      </c>
      <c r="AX394" s="47"/>
      <c r="AY394" s="47" t="str">
        <f>INDEX(Table5[[#All],[Ovr]],MATCH(Batters[[#This Row],[PID]],Table5[[#All],[PID]],0))</f>
        <v/>
      </c>
      <c r="AZ394" s="47" t="str">
        <f>INDEX(Table5[[#All],[Rnd]],MATCH(Batters[[#This Row],[PID]],Table5[[#All],[PID]],0))</f>
        <v/>
      </c>
      <c r="BA394" s="47" t="str">
        <f>INDEX(Table5[[#All],[Pick]],MATCH(Batters[[#This Row],[PID]],Table5[[#All],[PID]],0))</f>
        <v/>
      </c>
      <c r="BB394" s="47" t="str">
        <f>INDEX(Table5[[#All],[Team]],MATCH(Batters[[#This Row],[PID]],Table5[[#All],[PID]],0))</f>
        <v/>
      </c>
    </row>
    <row r="395" spans="1:54" ht="15" customHeight="1" x14ac:dyDescent="0.25">
      <c r="A395" s="42">
        <v>6675</v>
      </c>
      <c r="B395" s="42" t="s">
        <v>86</v>
      </c>
      <c r="C395" s="42" t="s">
        <v>946</v>
      </c>
      <c r="D395" s="42" t="s">
        <v>1325</v>
      </c>
      <c r="E395" s="42">
        <v>18</v>
      </c>
      <c r="F395" s="42" t="s">
        <v>42</v>
      </c>
      <c r="G395" s="42" t="s">
        <v>42</v>
      </c>
      <c r="H395" s="43" t="s">
        <v>711</v>
      </c>
      <c r="I395" s="44" t="s">
        <v>43</v>
      </c>
      <c r="J395" s="42" t="s">
        <v>43</v>
      </c>
      <c r="K395" s="43" t="s">
        <v>43</v>
      </c>
      <c r="L395" s="42">
        <v>1</v>
      </c>
      <c r="M395" s="42">
        <v>1</v>
      </c>
      <c r="N395" s="42">
        <v>2</v>
      </c>
      <c r="O395" s="42">
        <v>1</v>
      </c>
      <c r="P395" s="43">
        <v>1</v>
      </c>
      <c r="Q395" s="42">
        <v>2</v>
      </c>
      <c r="R395" s="42">
        <v>2</v>
      </c>
      <c r="S395" s="42">
        <v>3</v>
      </c>
      <c r="T395" s="42">
        <v>5</v>
      </c>
      <c r="U395" s="43">
        <v>2</v>
      </c>
      <c r="V395" s="42">
        <v>6</v>
      </c>
      <c r="W395" s="42">
        <v>7</v>
      </c>
      <c r="X395" s="42">
        <v>8</v>
      </c>
      <c r="Y395" s="43">
        <v>3</v>
      </c>
      <c r="Z395" s="42" t="s">
        <v>45</v>
      </c>
      <c r="AA395" s="42" t="s">
        <v>45</v>
      </c>
      <c r="AB395" s="42" t="s">
        <v>45</v>
      </c>
      <c r="AC395" s="42" t="s">
        <v>45</v>
      </c>
      <c r="AD395" s="42" t="s">
        <v>45</v>
      </c>
      <c r="AE395" s="42" t="s">
        <v>45</v>
      </c>
      <c r="AF395" s="42" t="s">
        <v>45</v>
      </c>
      <c r="AG395" s="43" t="s">
        <v>45</v>
      </c>
      <c r="AH395" s="42">
        <v>1</v>
      </c>
      <c r="AI395" s="42">
        <v>1</v>
      </c>
      <c r="AJ395" s="43">
        <v>1</v>
      </c>
      <c r="AK395" s="45" t="s">
        <v>733</v>
      </c>
      <c r="AL395" s="45" t="s">
        <v>705</v>
      </c>
      <c r="AM395" s="46">
        <f>($L$3*(L395-$Q$1)/$Q$2+$M$3*(M395-$R$1)/$R$2+$N$3*(N395-$S$1)/$S$2+$O$3*(O395-$T$1)/$T$2+$P$3*(P395-$U$1)/$U$2)/(SUM($L$3:$P$3))</f>
        <v>-2.0012818558036707</v>
      </c>
      <c r="AN395" s="46">
        <f>($L$3*(Q395-$Q$1)/$Q$2+$M$3*(R395-$R$1)/$R$2+$N$3*(S395-$S$1)/$S$2+$O$3*(T395-$T$1)/$T$2+$P$3*(U395-$U$1)/$U$2)/(SUM($L$3:$P$3))</f>
        <v>-1.1457501061029833</v>
      </c>
      <c r="AO395" s="47">
        <f>IF(AVERAGE(AH395:AI395)&gt;9,1,0)+IF(AVERAGE(AH395:AI395)&gt;7,1,0)+IF(AH395&gt;7,1,0)+IF(AI395&gt;7,1,0)+IF(AJ395&gt;8,1,0)+IF(AJ395&gt;6,1,0)</f>
        <v>0</v>
      </c>
      <c r="AP395" s="48">
        <f>MIN(2,IF(OR(Z395="-",X395&lt;5),0,1+IF(Y395&gt;7,0.35,IF(Y395&gt;5,0.1,0))+IF(Z395&gt;7,1+IF(X395&gt;7,0.25,0),IF(Z395&gt;4,0.5+IF(X395&gt;7,0.25,0),0+IF(X395&gt;7,0.25))))+IF(AA395="-",0,IF(AA395&gt;9,0.5,IF(AA395&gt;7,0.25,0)))+IF(AB395="-",0,IF(AB395&gt;7,1.1,IF(AB395&gt;4,0.6,0)))+IF(OR(AC395="-",V395&lt;5),0,IF(AC395&gt;7,1+IF(V395&gt;7,0.25,0),IF(AC395&gt;4,0.5+IF(V395&gt;7,0.25,0),0)))+IF(AD395="-",0,IF(AD395&gt;7,1.5,IF(AD395&gt;4,1,0)))+IF(AE395="-",0,IF(AE395&gt;9,0.5,IF(AE395&gt;7,0.25,0)))+IF(AF395="-",0,IF(AF395&gt;7,1.25,IF(AF395&gt;4,0.75,0)))+IF(OR(AG395="-",W395&lt;4),0,IF(AG395&gt;7,1+IF(W395&gt;7,0.15,0),IF(AG395&gt;4,0.5+IF(W395&gt;7,0.15,0),0))))</f>
        <v>0</v>
      </c>
      <c r="AQ395" s="46">
        <f>($AM$3*AM395+$AN$3*AN395+$AO$3*AO395+$AP$3*AP395)+$I$3*VLOOKUP(I395,COND!$A$2:$E$7,4,FALSE)+$J$3*VLOOKUP(J395,COND!$A$2:$C$7,2,FALSE)+$K$3*VLOOKUP(K395,COND!$A$2:$C$7,3,FALSE)+IF(AND($B$2&gt;0,$E395&lt;20),$B$2*25,0)</f>
        <v>36.050870541183833</v>
      </c>
      <c r="AR395" s="49">
        <f>STANDARDIZE(AQ395,AVERAGE($AQ$5:$AQ$537),STDEVP($AQ$5:$AQ$537))</f>
        <v>-0.7560948892777436</v>
      </c>
      <c r="AS395" s="47" t="str">
        <f>IF(AND(Z395&lt;&gt;"-",Y395&gt;1),"C",IF(AB395=MAX(AB395:AD395),"2B",IF(AD395=MAX(AB395:AD395),"SS",IF(OR(AC395=MAX(AA395:AD395),AND(AC395&lt;&gt;"-",AC395&gt;4,V395&gt;5)),"3B",IF(AF395=MAX(AE395:AG395),"CF",IF(AND(AG395=MAX(AE395,AG395),AND(W395&gt;5,AG395&lt;&gt;"-")),"RF",IF(AE395&lt;&gt;"-","LF",IF(AA395&lt;&gt;"-","1B","DH"))))))))</f>
        <v>DH</v>
      </c>
      <c r="AT395" s="47"/>
      <c r="AU395" s="47"/>
      <c r="AV395" s="47"/>
      <c r="AW395" s="47" t="str">
        <f>IF(AND($Q395&gt;=6,AVERAGE($S395:$T395)&gt;=6),"Likely",IF(OR($Q395&gt;6,AND($Q395=6,AVERAGE($S395:$T395)&gt;=3),AND($Q395&gt;=5,AVERAGE($S395:$T395)&gt;=5),AVERAGE($Q395,$S395:$T395)&gt;5),"Possible","Unlikely"))</f>
        <v>Unlikely</v>
      </c>
      <c r="AX395" s="47"/>
      <c r="AY395" s="47" t="str">
        <f>INDEX(Table5[[#All],[Ovr]],MATCH(Batters[[#This Row],[PID]],Table5[[#All],[PID]],0))</f>
        <v/>
      </c>
      <c r="AZ395" s="47" t="str">
        <f>INDEX(Table5[[#All],[Rnd]],MATCH(Batters[[#This Row],[PID]],Table5[[#All],[PID]],0))</f>
        <v/>
      </c>
      <c r="BA395" s="47" t="str">
        <f>INDEX(Table5[[#All],[Pick]],MATCH(Batters[[#This Row],[PID]],Table5[[#All],[PID]],0))</f>
        <v/>
      </c>
      <c r="BB395" s="47" t="str">
        <f>INDEX(Table5[[#All],[Team]],MATCH(Batters[[#This Row],[PID]],Table5[[#All],[PID]],0))</f>
        <v/>
      </c>
    </row>
    <row r="396" spans="1:54" ht="15" customHeight="1" x14ac:dyDescent="0.25">
      <c r="A396" s="42">
        <v>14426</v>
      </c>
      <c r="B396" s="42" t="s">
        <v>87</v>
      </c>
      <c r="C396" s="42" t="s">
        <v>1128</v>
      </c>
      <c r="D396" s="42" t="s">
        <v>595</v>
      </c>
      <c r="E396" s="42">
        <v>21</v>
      </c>
      <c r="F396" s="42" t="s">
        <v>53</v>
      </c>
      <c r="G396" s="42" t="s">
        <v>53</v>
      </c>
      <c r="H396" s="43" t="s">
        <v>721</v>
      </c>
      <c r="I396" s="44" t="s">
        <v>43</v>
      </c>
      <c r="J396" s="42" t="s">
        <v>43</v>
      </c>
      <c r="K396" s="43" t="s">
        <v>47</v>
      </c>
      <c r="L396" s="42">
        <v>2</v>
      </c>
      <c r="M396" s="42">
        <v>1</v>
      </c>
      <c r="N396" s="42">
        <v>2</v>
      </c>
      <c r="O396" s="42">
        <v>1</v>
      </c>
      <c r="P396" s="43">
        <v>3</v>
      </c>
      <c r="Q396" s="42">
        <v>4</v>
      </c>
      <c r="R396" s="42">
        <v>2</v>
      </c>
      <c r="S396" s="42">
        <v>2</v>
      </c>
      <c r="T396" s="42">
        <v>1</v>
      </c>
      <c r="U396" s="43">
        <v>5</v>
      </c>
      <c r="V396" s="42">
        <v>5</v>
      </c>
      <c r="W396" s="42">
        <v>3</v>
      </c>
      <c r="X396" s="42">
        <v>1</v>
      </c>
      <c r="Y396" s="43">
        <v>1</v>
      </c>
      <c r="Z396" s="42" t="s">
        <v>45</v>
      </c>
      <c r="AA396" s="42" t="s">
        <v>45</v>
      </c>
      <c r="AB396" s="42" t="s">
        <v>45</v>
      </c>
      <c r="AC396" s="42" t="s">
        <v>45</v>
      </c>
      <c r="AD396" s="42" t="s">
        <v>45</v>
      </c>
      <c r="AE396" s="42" t="s">
        <v>45</v>
      </c>
      <c r="AF396" s="42" t="s">
        <v>45</v>
      </c>
      <c r="AG396" s="43" t="s">
        <v>45</v>
      </c>
      <c r="AH396" s="42">
        <v>1</v>
      </c>
      <c r="AI396" s="42">
        <v>1</v>
      </c>
      <c r="AJ396" s="43">
        <v>1</v>
      </c>
      <c r="AK396" s="45" t="s">
        <v>45</v>
      </c>
      <c r="AL396" s="45" t="s">
        <v>47</v>
      </c>
      <c r="AM396" s="46">
        <f>($L$3*(L396-$Q$1)/$Q$2+$M$3*(M396-$R$1)/$R$2+$N$3*(N396-$S$1)/$S$2+$O$3*(O396-$T$1)/$T$2+$P$3*(P396-$U$1)/$U$2)/(SUM($L$3:$P$3))</f>
        <v>-1.5986933399668291</v>
      </c>
      <c r="AN396" s="46">
        <f>($L$3*(Q396-$Q$1)/$Q$2+$M$3*(R396-$R$1)/$R$2+$N$3*(S396-$S$1)/$S$2+$O$3*(T396-$T$1)/$T$2+$P$3*(U396-$U$1)/$U$2)/(SUM($L$3:$P$3))</f>
        <v>-0.82248910830860888</v>
      </c>
      <c r="AO396" s="47">
        <f>IF(AVERAGE(AH396:AI396)&gt;9,1,0)+IF(AVERAGE(AH396:AI396)&gt;7,1,0)+IF(AH396&gt;7,1,0)+IF(AI396&gt;7,1,0)+IF(AJ396&gt;8,1,0)+IF(AJ396&gt;6,1,0)</f>
        <v>0</v>
      </c>
      <c r="AP396" s="48">
        <f>MIN(2,IF(OR(Z396="-",X396&lt;5),0,1+IF(Y396&gt;7,0.35,IF(Y396&gt;5,0.1,0))+IF(Z396&gt;7,1+IF(X396&gt;7,0.25,0),IF(Z396&gt;4,0.5+IF(X396&gt;7,0.25,0),0+IF(X396&gt;7,0.25))))+IF(AA396="-",0,IF(AA396&gt;9,0.5,IF(AA396&gt;7,0.25,0)))+IF(AB396="-",0,IF(AB396&gt;7,1.1,IF(AB396&gt;4,0.6,0)))+IF(OR(AC396="-",V396&lt;5),0,IF(AC396&gt;7,1+IF(V396&gt;7,0.25,0),IF(AC396&gt;4,0.5+IF(V396&gt;7,0.25,0),0)))+IF(AD396="-",0,IF(AD396&gt;7,1.5,IF(AD396&gt;4,1,0)))+IF(AE396="-",0,IF(AE396&gt;9,0.5,IF(AE396&gt;7,0.25,0)))+IF(AF396="-",0,IF(AF396&gt;7,1.25,IF(AF396&gt;4,0.75,0)))+IF(OR(AG396="-",W396&lt;4),0,IF(AG396&gt;7,1+IF(W396&gt;7,0.15,0),IF(AG396&gt;4,0.5+IF(W396&gt;7,0.15,0),0))))</f>
        <v>0</v>
      </c>
      <c r="AQ396" s="46">
        <f>($AM$3*AM396+$AN$3*AN396+$AO$3*AO396+$AP$3*AP396)+$I$3*VLOOKUP(I396,COND!$A$2:$E$7,4,FALSE)+$J$3*VLOOKUP(J396,COND!$A$2:$C$7,2,FALSE)+$K$3*VLOOKUP(K396,COND!$A$2:$C$7,3,FALSE)+IF(AND($B$2&gt;0,$E396&lt;20),$B$2*25,0)</f>
        <v>35.270261366300005</v>
      </c>
      <c r="AR396" s="49">
        <f>STANDARDIZE(AQ396,AVERAGE($AQ$5:$AQ$537),STDEVP($AQ$5:$AQ$537))</f>
        <v>-0.89343788543315761</v>
      </c>
      <c r="AS396" s="47" t="str">
        <f>IF(AND(Z396&lt;&gt;"-",Y396&gt;1),"C",IF(AB396=MAX(AB396:AD396),"2B",IF(AD396=MAX(AB396:AD396),"SS",IF(OR(AC396=MAX(AA396:AD396),AND(AC396&lt;&gt;"-",AC396&gt;4,V396&gt;5)),"3B",IF(AF396=MAX(AE396:AG396),"CF",IF(AND(AG396=MAX(AE396,AG396),AND(W396&gt;5,AG396&lt;&gt;"-")),"RF",IF(AE396&lt;&gt;"-","LF",IF(AA396&lt;&gt;"-","1B","DH"))))))))</f>
        <v>DH</v>
      </c>
      <c r="AT396" s="47"/>
      <c r="AU396" s="47"/>
      <c r="AV396" s="47"/>
      <c r="AW396" s="47" t="str">
        <f>IF(AND($Q396&gt;=6,AVERAGE($S396:$T396)&gt;=6),"Likely",IF(OR($Q396&gt;6,AND($Q396=6,AVERAGE($S396:$T396)&gt;=3),AND($Q396&gt;=5,AVERAGE($S396:$T396)&gt;=5),AVERAGE($Q396,$S396:$T396)&gt;5),"Possible","Unlikely"))</f>
        <v>Unlikely</v>
      </c>
      <c r="AX396" s="47"/>
      <c r="AY396" s="47" t="str">
        <f>INDEX(Table5[[#All],[Ovr]],MATCH(Batters[[#This Row],[PID]],Table5[[#All],[PID]],0))</f>
        <v/>
      </c>
      <c r="AZ396" s="47" t="str">
        <f>INDEX(Table5[[#All],[Rnd]],MATCH(Batters[[#This Row],[PID]],Table5[[#All],[PID]],0))</f>
        <v/>
      </c>
      <c r="BA396" s="47" t="str">
        <f>INDEX(Table5[[#All],[Pick]],MATCH(Batters[[#This Row],[PID]],Table5[[#All],[PID]],0))</f>
        <v/>
      </c>
      <c r="BB396" s="47" t="str">
        <f>INDEX(Table5[[#All],[Team]],MATCH(Batters[[#This Row],[PID]],Table5[[#All],[PID]],0))</f>
        <v/>
      </c>
    </row>
    <row r="397" spans="1:54" ht="15" customHeight="1" x14ac:dyDescent="0.25">
      <c r="A397" s="42">
        <v>10339</v>
      </c>
      <c r="B397" s="42" t="s">
        <v>71</v>
      </c>
      <c r="C397" s="42" t="s">
        <v>1181</v>
      </c>
      <c r="D397" s="42" t="s">
        <v>670</v>
      </c>
      <c r="E397" s="42">
        <v>21</v>
      </c>
      <c r="F397" s="42" t="s">
        <v>42</v>
      </c>
      <c r="G397" s="42" t="s">
        <v>42</v>
      </c>
      <c r="H397" s="43" t="s">
        <v>709</v>
      </c>
      <c r="I397" s="44" t="s">
        <v>43</v>
      </c>
      <c r="J397" s="42" t="s">
        <v>44</v>
      </c>
      <c r="K397" s="43" t="s">
        <v>47</v>
      </c>
      <c r="L397" s="42">
        <v>1</v>
      </c>
      <c r="M397" s="42">
        <v>2</v>
      </c>
      <c r="N397" s="42">
        <v>3</v>
      </c>
      <c r="O397" s="42">
        <v>2</v>
      </c>
      <c r="P397" s="43">
        <v>1</v>
      </c>
      <c r="Q397" s="42">
        <v>3</v>
      </c>
      <c r="R397" s="42">
        <v>3</v>
      </c>
      <c r="S397" s="42">
        <v>4</v>
      </c>
      <c r="T397" s="42">
        <v>4</v>
      </c>
      <c r="U397" s="43">
        <v>3</v>
      </c>
      <c r="V397" s="42">
        <v>10</v>
      </c>
      <c r="W397" s="42">
        <v>9</v>
      </c>
      <c r="X397" s="42">
        <v>1</v>
      </c>
      <c r="Y397" s="43">
        <v>1</v>
      </c>
      <c r="Z397" s="42" t="s">
        <v>45</v>
      </c>
      <c r="AA397" s="42" t="s">
        <v>45</v>
      </c>
      <c r="AB397" s="42">
        <v>3</v>
      </c>
      <c r="AC397" s="42">
        <v>2</v>
      </c>
      <c r="AD397" s="42" t="s">
        <v>45</v>
      </c>
      <c r="AE397" s="42" t="s">
        <v>45</v>
      </c>
      <c r="AF397" s="42" t="s">
        <v>45</v>
      </c>
      <c r="AG397" s="43" t="s">
        <v>45</v>
      </c>
      <c r="AH397" s="42">
        <v>3</v>
      </c>
      <c r="AI397" s="42">
        <v>3</v>
      </c>
      <c r="AJ397" s="43">
        <v>2</v>
      </c>
      <c r="AK397" s="45" t="s">
        <v>45</v>
      </c>
      <c r="AL397" s="45" t="s">
        <v>705</v>
      </c>
      <c r="AM397" s="46">
        <f>($L$3*(L397-$Q$1)/$Q$2+$M$3*(M397-$R$1)/$R$2+$N$3*(N397-$S$1)/$S$2+$O$3*(O397-$T$1)/$T$2+$P$3*(P397-$U$1)/$U$2)/(SUM($L$3:$P$3))</f>
        <v>-1.7774509321514844</v>
      </c>
      <c r="AN397" s="46">
        <f>($L$3*(Q397-$Q$1)/$Q$2+$M$3*(R397-$R$1)/$R$2+$N$3*(S397-$S$1)/$S$2+$O$3*(T397-$T$1)/$T$2+$P$3*(U397-$U$1)/$U$2)/(SUM($L$3:$P$3))</f>
        <v>-0.73876610645020102</v>
      </c>
      <c r="AO397" s="47">
        <f>IF(AVERAGE(AH397:AI397)&gt;9,1,0)+IF(AVERAGE(AH397:AI397)&gt;7,1,0)+IF(AH397&gt;7,1,0)+IF(AI397&gt;7,1,0)+IF(AJ397&gt;8,1,0)+IF(AJ397&gt;6,1,0)</f>
        <v>0</v>
      </c>
      <c r="AP397" s="48">
        <f>MIN(2,IF(OR(Z397="-",X397&lt;5),0,1+IF(Y397&gt;7,0.35,IF(Y397&gt;5,0.1,0))+IF(Z397&gt;7,1+IF(X397&gt;7,0.25,0),IF(Z397&gt;4,0.5+IF(X397&gt;7,0.25,0),0+IF(X397&gt;7,0.25))))+IF(AA397="-",0,IF(AA397&gt;9,0.5,IF(AA397&gt;7,0.25,0)))+IF(AB397="-",0,IF(AB397&gt;7,1.1,IF(AB397&gt;4,0.6,0)))+IF(OR(AC397="-",V397&lt;5),0,IF(AC397&gt;7,1+IF(V397&gt;7,0.25,0),IF(AC397&gt;4,0.5+IF(V397&gt;7,0.25,0),0)))+IF(AD397="-",0,IF(AD397&gt;7,1.5,IF(AD397&gt;4,1,0)))+IF(AE397="-",0,IF(AE397&gt;9,0.5,IF(AE397&gt;7,0.25,0)))+IF(AF397="-",0,IF(AF397&gt;7,1.25,IF(AF397&gt;4,0.75,0)))+IF(OR(AG397="-",W397&lt;4),0,IF(AG397&gt;7,1+IF(W397&gt;7,0.15,0),IF(AG397&gt;4,0.5+IF(W397&gt;7,0.15,0),0))))</f>
        <v>0</v>
      </c>
      <c r="AQ397" s="46">
        <f>($AM$3*AM397+$AN$3*AN397+$AO$3*AO397+$AP$3*AP397)+$I$3*VLOOKUP(I397,COND!$A$2:$E$7,4,FALSE)+$J$3*VLOOKUP(J397,COND!$A$2:$C$7,2,FALSE)+$K$3*VLOOKUP(K397,COND!$A$2:$C$7,3,FALSE)+IF(AND($B$2&gt;0,$E397&lt;20),$B$2*25,0)</f>
        <v>35.957061629382437</v>
      </c>
      <c r="AR397" s="49">
        <f>STANDARDIZE(AQ397,AVERAGE($AQ$5:$AQ$537),STDEVP($AQ$5:$AQ$537))</f>
        <v>-0.77259994382671193</v>
      </c>
      <c r="AS397" s="47" t="str">
        <f>IF(AND(Z397&lt;&gt;"-",Y397&gt;1),"C",IF(AB397=MAX(AB397:AD397),"2B",IF(AD397=MAX(AB397:AD397),"SS",IF(OR(AC397=MAX(AA397:AD397),AND(AC397&lt;&gt;"-",AC397&gt;4,V397&gt;5)),"3B",IF(AF397=MAX(AE397:AG397),"CF",IF(AND(AG397=MAX(AE397,AG397),AND(W397&gt;5,AG397&lt;&gt;"-")),"RF",IF(AE397&lt;&gt;"-","LF",IF(AA397&lt;&gt;"-","1B","DH"))))))))</f>
        <v>2B</v>
      </c>
      <c r="AT397" s="47"/>
      <c r="AU397" s="47"/>
      <c r="AV397" s="47"/>
      <c r="AW397" s="47" t="str">
        <f>IF(AND($Q397&gt;=6,AVERAGE($S397:$T397)&gt;=6),"Likely",IF(OR($Q397&gt;6,AND($Q397=6,AVERAGE($S397:$T397)&gt;=3),AND($Q397&gt;=5,AVERAGE($S397:$T397)&gt;=5),AVERAGE($Q397,$S397:$T397)&gt;5),"Possible","Unlikely"))</f>
        <v>Unlikely</v>
      </c>
      <c r="AX397" s="47"/>
      <c r="AY397" s="47" t="str">
        <f>INDEX(Table5[[#All],[Ovr]],MATCH(Batters[[#This Row],[PID]],Table5[[#All],[PID]],0))</f>
        <v/>
      </c>
      <c r="AZ397" s="47" t="str">
        <f>INDEX(Table5[[#All],[Rnd]],MATCH(Batters[[#This Row],[PID]],Table5[[#All],[PID]],0))</f>
        <v/>
      </c>
      <c r="BA397" s="47" t="str">
        <f>INDEX(Table5[[#All],[Pick]],MATCH(Batters[[#This Row],[PID]],Table5[[#All],[PID]],0))</f>
        <v/>
      </c>
      <c r="BB397" s="47" t="str">
        <f>INDEX(Table5[[#All],[Team]],MATCH(Batters[[#This Row],[PID]],Table5[[#All],[PID]],0))</f>
        <v/>
      </c>
    </row>
    <row r="398" spans="1:54" ht="15" customHeight="1" x14ac:dyDescent="0.25">
      <c r="A398" s="42">
        <v>10046</v>
      </c>
      <c r="B398" s="42" t="s">
        <v>69</v>
      </c>
      <c r="C398" s="42" t="s">
        <v>177</v>
      </c>
      <c r="D398" s="42" t="s">
        <v>1227</v>
      </c>
      <c r="E398" s="42">
        <v>20</v>
      </c>
      <c r="F398" s="42" t="s">
        <v>53</v>
      </c>
      <c r="G398" s="42" t="s">
        <v>42</v>
      </c>
      <c r="H398" s="43" t="s">
        <v>711</v>
      </c>
      <c r="I398" s="44" t="s">
        <v>43</v>
      </c>
      <c r="J398" s="42" t="s">
        <v>44</v>
      </c>
      <c r="K398" s="43" t="s">
        <v>47</v>
      </c>
      <c r="L398" s="42">
        <v>2</v>
      </c>
      <c r="M398" s="42">
        <v>3</v>
      </c>
      <c r="N398" s="42">
        <v>2</v>
      </c>
      <c r="O398" s="42">
        <v>2</v>
      </c>
      <c r="P398" s="43">
        <v>2</v>
      </c>
      <c r="Q398" s="42">
        <v>3</v>
      </c>
      <c r="R398" s="42">
        <v>3</v>
      </c>
      <c r="S398" s="42">
        <v>3</v>
      </c>
      <c r="T398" s="42">
        <v>4</v>
      </c>
      <c r="U398" s="43">
        <v>5</v>
      </c>
      <c r="V398" s="42">
        <v>8</v>
      </c>
      <c r="W398" s="42">
        <v>7</v>
      </c>
      <c r="X398" s="42">
        <v>1</v>
      </c>
      <c r="Y398" s="43">
        <v>1</v>
      </c>
      <c r="Z398" s="42" t="s">
        <v>45</v>
      </c>
      <c r="AA398" s="42" t="s">
        <v>45</v>
      </c>
      <c r="AB398" s="42" t="s">
        <v>45</v>
      </c>
      <c r="AC398" s="42">
        <v>2</v>
      </c>
      <c r="AD398" s="42" t="s">
        <v>45</v>
      </c>
      <c r="AE398" s="42" t="s">
        <v>45</v>
      </c>
      <c r="AF398" s="42" t="s">
        <v>45</v>
      </c>
      <c r="AG398" s="43" t="s">
        <v>45</v>
      </c>
      <c r="AH398" s="42">
        <v>3</v>
      </c>
      <c r="AI398" s="42">
        <v>5</v>
      </c>
      <c r="AJ398" s="43">
        <v>6</v>
      </c>
      <c r="AK398" s="45" t="s">
        <v>45</v>
      </c>
      <c r="AL398" s="45" t="s">
        <v>47</v>
      </c>
      <c r="AM398" s="46">
        <f>($L$3*(L398-$Q$1)/$Q$2+$M$3*(M398-$R$1)/$R$2+$N$3*(N398-$S$1)/$S$2+$O$3*(O398-$T$1)/$T$2+$P$3*(P398-$U$1)/$U$2)/(SUM($L$3:$P$3))</f>
        <v>-1.4468803705369244</v>
      </c>
      <c r="AN398" s="46">
        <f>($L$3*(Q398-$Q$1)/$Q$2+$M$3*(R398-$R$1)/$R$2+$N$3*(S398-$S$1)/$S$2+$O$3*(T398-$T$1)/$T$2+$P$3*(U398-$U$1)/$U$2)/(SUM($L$3:$P$3))</f>
        <v>-0.74179492083993548</v>
      </c>
      <c r="AO398" s="47">
        <f>IF(AVERAGE(AH398:AI398)&gt;9,1,0)+IF(AVERAGE(AH398:AI398)&gt;7,1,0)+IF(AH398&gt;7,1,0)+IF(AI398&gt;7,1,0)+IF(AJ398&gt;8,1,0)+IF(AJ398&gt;6,1,0)</f>
        <v>0</v>
      </c>
      <c r="AP398" s="48">
        <f>MIN(2,IF(OR(Z398="-",X398&lt;5),0,1+IF(Y398&gt;7,0.35,IF(Y398&gt;5,0.1,0))+IF(Z398&gt;7,1+IF(X398&gt;7,0.25,0),IF(Z398&gt;4,0.5+IF(X398&gt;7,0.25,0),0+IF(X398&gt;7,0.25))))+IF(AA398="-",0,IF(AA398&gt;9,0.5,IF(AA398&gt;7,0.25,0)))+IF(AB398="-",0,IF(AB398&gt;7,1.1,IF(AB398&gt;4,0.6,0)))+IF(OR(AC398="-",V398&lt;5),0,IF(AC398&gt;7,1+IF(V398&gt;7,0.25,0),IF(AC398&gt;4,0.5+IF(V398&gt;7,0.25,0),0)))+IF(AD398="-",0,IF(AD398&gt;7,1.5,IF(AD398&gt;4,1,0)))+IF(AE398="-",0,IF(AE398&gt;9,0.5,IF(AE398&gt;7,0.25,0)))+IF(AF398="-",0,IF(AF398&gt;7,1.25,IF(AF398&gt;4,0.75,0)))+IF(OR(AG398="-",W398&lt;4),0,IF(AG398&gt;7,1+IF(W398&gt;7,0.15,0),IF(AG398&gt;4,0.5+IF(W398&gt;7,0.15,0),0))))</f>
        <v>0</v>
      </c>
      <c r="AQ398" s="46">
        <f>($AM$3*AM398+$AN$3*AN398+$AO$3*AO398+$AP$3*AP398)+$I$3*VLOOKUP(I398,COND!$A$2:$E$7,4,FALSE)+$J$3*VLOOKUP(J398,COND!$A$2:$C$7,2,FALSE)+$K$3*VLOOKUP(K398,COND!$A$2:$C$7,3,FALSE)+IF(AND($B$2&gt;0,$E398&lt;20),$B$2*25,0)</f>
        <v>35.95377291286708</v>
      </c>
      <c r="AR398" s="49">
        <f>STANDARDIZE(AQ398,AVERAGE($AQ$5:$AQ$537),STDEVP($AQ$5:$AQ$537))</f>
        <v>-0.77317857163978132</v>
      </c>
      <c r="AS398" s="47" t="str">
        <f>IF(AND(Z398&lt;&gt;"-",Y398&gt;1),"C",IF(AB398=MAX(AB398:AD398),"2B",IF(AD398=MAX(AB398:AD398),"SS",IF(OR(AC398=MAX(AA398:AD398),AND(AC398&lt;&gt;"-",AC398&gt;4,V398&gt;5)),"3B",IF(AF398=MAX(AE398:AG398),"CF",IF(AND(AG398=MAX(AE398,AG398),AND(W398&gt;5,AG398&lt;&gt;"-")),"RF",IF(AE398&lt;&gt;"-","LF",IF(AA398&lt;&gt;"-","1B","DH"))))))))</f>
        <v>3B</v>
      </c>
      <c r="AT398" s="47"/>
      <c r="AU398" s="47"/>
      <c r="AV398" s="47"/>
      <c r="AW398" s="47" t="str">
        <f>IF(AND($Q398&gt;=6,AVERAGE($S398:$T398)&gt;=6),"Likely",IF(OR($Q398&gt;6,AND($Q398=6,AVERAGE($S398:$T398)&gt;=3),AND($Q398&gt;=5,AVERAGE($S398:$T398)&gt;=5),AVERAGE($Q398,$S398:$T398)&gt;5),"Possible","Unlikely"))</f>
        <v>Unlikely</v>
      </c>
      <c r="AX398" s="47"/>
      <c r="AY398" s="47" t="str">
        <f>INDEX(Table5[[#All],[Ovr]],MATCH(Batters[[#This Row],[PID]],Table5[[#All],[PID]],0))</f>
        <v/>
      </c>
      <c r="AZ398" s="47" t="str">
        <f>INDEX(Table5[[#All],[Rnd]],MATCH(Batters[[#This Row],[PID]],Table5[[#All],[PID]],0))</f>
        <v/>
      </c>
      <c r="BA398" s="47" t="str">
        <f>INDEX(Table5[[#All],[Pick]],MATCH(Batters[[#This Row],[PID]],Table5[[#All],[PID]],0))</f>
        <v/>
      </c>
      <c r="BB398" s="47" t="str">
        <f>INDEX(Table5[[#All],[Team]],MATCH(Batters[[#This Row],[PID]],Table5[[#All],[PID]],0))</f>
        <v/>
      </c>
    </row>
    <row r="399" spans="1:54" ht="15" customHeight="1" x14ac:dyDescent="0.25">
      <c r="A399" s="42">
        <v>13559</v>
      </c>
      <c r="B399" s="42" t="s">
        <v>71</v>
      </c>
      <c r="C399" s="42" t="s">
        <v>1102</v>
      </c>
      <c r="D399" s="42" t="s">
        <v>1341</v>
      </c>
      <c r="E399" s="42">
        <v>18</v>
      </c>
      <c r="F399" s="42" t="s">
        <v>42</v>
      </c>
      <c r="G399" s="42" t="s">
        <v>42</v>
      </c>
      <c r="H399" s="43" t="s">
        <v>709</v>
      </c>
      <c r="I399" s="44" t="s">
        <v>43</v>
      </c>
      <c r="J399" s="42" t="s">
        <v>44</v>
      </c>
      <c r="K399" s="43" t="s">
        <v>43</v>
      </c>
      <c r="L399" s="42">
        <v>1</v>
      </c>
      <c r="M399" s="42">
        <v>1</v>
      </c>
      <c r="N399" s="42">
        <v>2</v>
      </c>
      <c r="O399" s="42">
        <v>1</v>
      </c>
      <c r="P399" s="43">
        <v>1</v>
      </c>
      <c r="Q399" s="42">
        <v>2</v>
      </c>
      <c r="R399" s="42">
        <v>3</v>
      </c>
      <c r="S399" s="42">
        <v>4</v>
      </c>
      <c r="T399" s="42">
        <v>4</v>
      </c>
      <c r="U399" s="43">
        <v>2</v>
      </c>
      <c r="V399" s="42">
        <v>3</v>
      </c>
      <c r="W399" s="42">
        <v>1</v>
      </c>
      <c r="X399" s="42">
        <v>1</v>
      </c>
      <c r="Y399" s="43">
        <v>1</v>
      </c>
      <c r="Z399" s="42" t="s">
        <v>45</v>
      </c>
      <c r="AA399" s="42" t="s">
        <v>45</v>
      </c>
      <c r="AB399" s="42">
        <v>3</v>
      </c>
      <c r="AC399" s="42" t="s">
        <v>45</v>
      </c>
      <c r="AD399" s="42" t="s">
        <v>45</v>
      </c>
      <c r="AE399" s="42" t="s">
        <v>45</v>
      </c>
      <c r="AF399" s="42" t="s">
        <v>45</v>
      </c>
      <c r="AG399" s="43" t="s">
        <v>45</v>
      </c>
      <c r="AH399" s="42">
        <v>10</v>
      </c>
      <c r="AI399" s="42">
        <v>7</v>
      </c>
      <c r="AJ399" s="43">
        <v>5</v>
      </c>
      <c r="AK399" s="45" t="s">
        <v>599</v>
      </c>
      <c r="AL399" s="45" t="s">
        <v>705</v>
      </c>
      <c r="AM399" s="46">
        <f>($L$3*(L399-$Q$1)/$Q$2+$M$3*(M399-$R$1)/$R$2+$N$3*(N399-$S$1)/$S$2+$O$3*(O399-$T$1)/$T$2+$P$3*(P399-$U$1)/$U$2)/(SUM($L$3:$P$3))</f>
        <v>-2.0012818558036707</v>
      </c>
      <c r="AN399" s="46">
        <f>($L$3*(Q399-$Q$1)/$Q$2+$M$3*(R399-$R$1)/$R$2+$N$3*(S399-$S$1)/$S$2+$O$3*(T399-$T$1)/$T$2+$P$3*(U399-$U$1)/$U$2)/(SUM($L$3:$P$3))</f>
        <v>-1.1013382824699594</v>
      </c>
      <c r="AO399" s="47">
        <f>IF(AVERAGE(AH399:AI399)&gt;9,1,0)+IF(AVERAGE(AH399:AI399)&gt;7,1,0)+IF(AH399&gt;7,1,0)+IF(AI399&gt;7,1,0)+IF(AJ399&gt;8,1,0)+IF(AJ399&gt;6,1,0)</f>
        <v>2</v>
      </c>
      <c r="AP399" s="48">
        <f>MIN(2,IF(OR(Z399="-",X399&lt;5),0,1+IF(Y399&gt;7,0.35,IF(Y399&gt;5,0.1,0))+IF(Z399&gt;7,1+IF(X399&gt;7,0.25,0),IF(Z399&gt;4,0.5+IF(X399&gt;7,0.25,0),0+IF(X399&gt;7,0.25))))+IF(AA399="-",0,IF(AA399&gt;9,0.5,IF(AA399&gt;7,0.25,0)))+IF(AB399="-",0,IF(AB399&gt;7,1.1,IF(AB399&gt;4,0.6,0)))+IF(OR(AC399="-",V399&lt;5),0,IF(AC399&gt;7,1+IF(V399&gt;7,0.25,0),IF(AC399&gt;4,0.5+IF(V399&gt;7,0.25,0),0)))+IF(AD399="-",0,IF(AD399&gt;7,1.5,IF(AD399&gt;4,1,0)))+IF(AE399="-",0,IF(AE399&gt;9,0.5,IF(AE399&gt;7,0.25,0)))+IF(AF399="-",0,IF(AF399&gt;7,1.25,IF(AF399&gt;4,0.75,0)))+IF(OR(AG399="-",W399&lt;4),0,IF(AG399&gt;7,1+IF(W399&gt;7,0.15,0),IF(AG399&gt;4,0.5+IF(W399&gt;7,0.15,0),0))))</f>
        <v>0</v>
      </c>
      <c r="AQ399" s="46">
        <f>($AM$3*AM399+$AN$3*AN399+$AO$3*AO399+$AP$3*AP399)+$I$3*VLOOKUP(I399,COND!$A$2:$E$7,4,FALSE)+$J$3*VLOOKUP(J399,COND!$A$2:$C$7,2,FALSE)+$K$3*VLOOKUP(K399,COND!$A$2:$C$7,3,FALSE)+IF(AND($B$2&gt;0,$E399&lt;20),$B$2*25,0)</f>
        <v>36.617145758113452</v>
      </c>
      <c r="AR399" s="49">
        <f>STANDARDIZE(AQ399,AVERAGE($AQ$5:$AQ$537),STDEVP($AQ$5:$AQ$537))</f>
        <v>-0.65646252849586417</v>
      </c>
      <c r="AS399" s="47" t="str">
        <f>IF(AND(Z399&lt;&gt;"-",Y399&gt;1),"C",IF(AB399=MAX(AB399:AD399),"2B",IF(AD399=MAX(AB399:AD399),"SS",IF(OR(AC399=MAX(AA399:AD399),AND(AC399&lt;&gt;"-",AC399&gt;4,V399&gt;5)),"3B",IF(AF399=MAX(AE399:AG399),"CF",IF(AND(AG399=MAX(AE399,AG399),AND(W399&gt;5,AG399&lt;&gt;"-")),"RF",IF(AE399&lt;&gt;"-","LF",IF(AA399&lt;&gt;"-","1B","DH"))))))))</f>
        <v>2B</v>
      </c>
      <c r="AT399" s="47"/>
      <c r="AU399" s="47"/>
      <c r="AV399" s="47"/>
      <c r="AW399" s="47" t="str">
        <f>IF(AND($Q399&gt;=6,AVERAGE($S399:$T399)&gt;=6),"Likely",IF(OR($Q399&gt;6,AND($Q399=6,AVERAGE($S399:$T399)&gt;=3),AND($Q399&gt;=5,AVERAGE($S399:$T399)&gt;=5),AVERAGE($Q399,$S399:$T399)&gt;5),"Possible","Unlikely"))</f>
        <v>Unlikely</v>
      </c>
      <c r="AX399" s="47"/>
      <c r="AY399" s="47" t="str">
        <f>INDEX(Table5[[#All],[Ovr]],MATCH(Batters[[#This Row],[PID]],Table5[[#All],[PID]],0))</f>
        <v/>
      </c>
      <c r="AZ399" s="47" t="str">
        <f>INDEX(Table5[[#All],[Rnd]],MATCH(Batters[[#This Row],[PID]],Table5[[#All],[PID]],0))</f>
        <v/>
      </c>
      <c r="BA399" s="47" t="str">
        <f>INDEX(Table5[[#All],[Pick]],MATCH(Batters[[#This Row],[PID]],Table5[[#All],[PID]],0))</f>
        <v/>
      </c>
      <c r="BB399" s="47" t="str">
        <f>INDEX(Table5[[#All],[Team]],MATCH(Batters[[#This Row],[PID]],Table5[[#All],[PID]],0))</f>
        <v/>
      </c>
    </row>
    <row r="400" spans="1:54" ht="15" customHeight="1" x14ac:dyDescent="0.25">
      <c r="A400" s="42">
        <v>12960</v>
      </c>
      <c r="B400" s="42" t="s">
        <v>86</v>
      </c>
      <c r="C400" s="42" t="s">
        <v>558</v>
      </c>
      <c r="D400" s="42" t="s">
        <v>677</v>
      </c>
      <c r="E400" s="42">
        <v>21</v>
      </c>
      <c r="F400" s="42" t="s">
        <v>42</v>
      </c>
      <c r="G400" s="42" t="s">
        <v>42</v>
      </c>
      <c r="H400" s="43" t="s">
        <v>709</v>
      </c>
      <c r="I400" s="44" t="s">
        <v>44</v>
      </c>
      <c r="J400" s="42" t="s">
        <v>44</v>
      </c>
      <c r="K400" s="43" t="s">
        <v>43</v>
      </c>
      <c r="L400" s="42">
        <v>2</v>
      </c>
      <c r="M400" s="42">
        <v>2</v>
      </c>
      <c r="N400" s="42">
        <v>3</v>
      </c>
      <c r="O400" s="42">
        <v>2</v>
      </c>
      <c r="P400" s="43">
        <v>1</v>
      </c>
      <c r="Q400" s="42">
        <v>3</v>
      </c>
      <c r="R400" s="42">
        <v>3</v>
      </c>
      <c r="S400" s="42">
        <v>4</v>
      </c>
      <c r="T400" s="42">
        <v>5</v>
      </c>
      <c r="U400" s="43">
        <v>3</v>
      </c>
      <c r="V400" s="42">
        <v>5</v>
      </c>
      <c r="W400" s="42">
        <v>5</v>
      </c>
      <c r="X400" s="42">
        <v>6</v>
      </c>
      <c r="Y400" s="43">
        <v>6</v>
      </c>
      <c r="Z400" s="42" t="s">
        <v>45</v>
      </c>
      <c r="AA400" s="42" t="s">
        <v>45</v>
      </c>
      <c r="AB400" s="42" t="s">
        <v>45</v>
      </c>
      <c r="AC400" s="42" t="s">
        <v>45</v>
      </c>
      <c r="AD400" s="42" t="s">
        <v>45</v>
      </c>
      <c r="AE400" s="42" t="s">
        <v>45</v>
      </c>
      <c r="AF400" s="42" t="s">
        <v>45</v>
      </c>
      <c r="AG400" s="43" t="s">
        <v>45</v>
      </c>
      <c r="AH400" s="42">
        <v>1</v>
      </c>
      <c r="AI400" s="42">
        <v>2</v>
      </c>
      <c r="AJ400" s="43">
        <v>1</v>
      </c>
      <c r="AK400" s="45" t="s">
        <v>45</v>
      </c>
      <c r="AL400" s="45" t="s">
        <v>47</v>
      </c>
      <c r="AM400" s="46">
        <f>($L$3*(L400-$Q$1)/$Q$2+$M$3*(M400-$R$1)/$R$2+$N$3*(N400-$S$1)/$S$2+$O$3*(O400-$T$1)/$T$2+$P$3*(P400-$U$1)/$U$2)/(SUM($L$3:$P$3))</f>
        <v>-1.4548950959488096</v>
      </c>
      <c r="AN400" s="46">
        <f>($L$3*(Q400-$Q$1)/$Q$2+$M$3*(R400-$R$1)/$R$2+$N$3*(S400-$S$1)/$S$2+$O$3*(T400-$T$1)/$T$2+$P$3*(U400-$U$1)/$U$2)/(SUM($L$3:$P$3))</f>
        <v>-0.64905655644061999</v>
      </c>
      <c r="AO400" s="47">
        <f>IF(AVERAGE(AH400:AI400)&gt;9,1,0)+IF(AVERAGE(AH400:AI400)&gt;7,1,0)+IF(AH400&gt;7,1,0)+IF(AI400&gt;7,1,0)+IF(AJ400&gt;8,1,0)+IF(AJ400&gt;6,1,0)</f>
        <v>0</v>
      </c>
      <c r="AP400" s="48">
        <f>MIN(2,IF(OR(Z400="-",X400&lt;5),0,1+IF(Y400&gt;7,0.35,IF(Y400&gt;5,0.1,0))+IF(Z400&gt;7,1+IF(X400&gt;7,0.25,0),IF(Z400&gt;4,0.5+IF(X400&gt;7,0.25,0),0+IF(X400&gt;7,0.25))))+IF(AA400="-",0,IF(AA400&gt;9,0.5,IF(AA400&gt;7,0.25,0)))+IF(AB400="-",0,IF(AB400&gt;7,1.1,IF(AB400&gt;4,0.6,0)))+IF(OR(AC400="-",V400&lt;5),0,IF(AC400&gt;7,1+IF(V400&gt;7,0.25,0),IF(AC400&gt;4,0.5+IF(V400&gt;7,0.25,0),0)))+IF(AD400="-",0,IF(AD400&gt;7,1.5,IF(AD400&gt;4,1,0)))+IF(AE400="-",0,IF(AE400&gt;9,0.5,IF(AE400&gt;7,0.25,0)))+IF(AF400="-",0,IF(AF400&gt;7,1.25,IF(AF400&gt;4,0.75,0)))+IF(OR(AG400="-",W400&lt;4),0,IF(AG400&gt;7,1+IF(W400&gt;7,0.15,0),IF(AG400&gt;4,0.5+IF(W400&gt;7,0.15,0),0))))</f>
        <v>0</v>
      </c>
      <c r="AQ400" s="46">
        <f>($AM$3*AM400+$AN$3*AN400+$AO$3*AO400+$AP$3*AP400)+$I$3*VLOOKUP(I400,COND!$A$2:$E$7,4,FALSE)+$J$3*VLOOKUP(J400,COND!$A$2:$C$7,2,FALSE)+$K$3*VLOOKUP(K400,COND!$A$2:$C$7,3,FALSE)+IF(AND($B$2&gt;0,$E400&lt;20),$B$2*25,0)</f>
        <v>36.61583181311768</v>
      </c>
      <c r="AR400" s="49">
        <f>STANDARDIZE(AQ400,AVERAGE($AQ$5:$AQ$537),STDEVP($AQ$5:$AQ$537))</f>
        <v>-0.65669370838499319</v>
      </c>
      <c r="AS400" s="47" t="str">
        <f>IF(AND(Z400&lt;&gt;"-",Y400&gt;1),"C",IF(AB400=MAX(AB400:AD400),"2B",IF(AD400=MAX(AB400:AD400),"SS",IF(OR(AC400=MAX(AA400:AD400),AND(AC400&lt;&gt;"-",AC400&gt;4,V400&gt;5)),"3B",IF(AF400=MAX(AE400:AG400),"CF",IF(AND(AG400=MAX(AE400,AG400),AND(W400&gt;5,AG400&lt;&gt;"-")),"RF",IF(AE400&lt;&gt;"-","LF",IF(AA400&lt;&gt;"-","1B","DH"))))))))</f>
        <v>DH</v>
      </c>
      <c r="AT400" s="47"/>
      <c r="AU400" s="47"/>
      <c r="AV400" s="47"/>
      <c r="AW400" s="47" t="str">
        <f>IF(AND($Q400&gt;=6,AVERAGE($S400:$T400)&gt;=6),"Likely",IF(OR($Q400&gt;6,AND($Q400=6,AVERAGE($S400:$T400)&gt;=3),AND($Q400&gt;=5,AVERAGE($S400:$T400)&gt;=5),AVERAGE($Q400,$S400:$T400)&gt;5),"Possible","Unlikely"))</f>
        <v>Unlikely</v>
      </c>
      <c r="AX400" s="47"/>
      <c r="AY400" s="47" t="str">
        <f>INDEX(Table5[[#All],[Ovr]],MATCH(Batters[[#This Row],[PID]],Table5[[#All],[PID]],0))</f>
        <v/>
      </c>
      <c r="AZ400" s="47" t="str">
        <f>INDEX(Table5[[#All],[Rnd]],MATCH(Batters[[#This Row],[PID]],Table5[[#All],[PID]],0))</f>
        <v/>
      </c>
      <c r="BA400" s="47" t="str">
        <f>INDEX(Table5[[#All],[Pick]],MATCH(Batters[[#This Row],[PID]],Table5[[#All],[PID]],0))</f>
        <v/>
      </c>
      <c r="BB400" s="47" t="str">
        <f>INDEX(Table5[[#All],[Team]],MATCH(Batters[[#This Row],[PID]],Table5[[#All],[PID]],0))</f>
        <v/>
      </c>
    </row>
    <row r="401" spans="1:54" ht="15" customHeight="1" x14ac:dyDescent="0.25">
      <c r="A401" s="42">
        <v>8356</v>
      </c>
      <c r="B401" s="42" t="s">
        <v>86</v>
      </c>
      <c r="C401" s="42" t="s">
        <v>1076</v>
      </c>
      <c r="D401" s="42" t="s">
        <v>1365</v>
      </c>
      <c r="E401" s="42">
        <v>18</v>
      </c>
      <c r="F401" s="42" t="s">
        <v>42</v>
      </c>
      <c r="G401" s="42" t="s">
        <v>42</v>
      </c>
      <c r="H401" s="43" t="s">
        <v>709</v>
      </c>
      <c r="I401" s="44" t="s">
        <v>43</v>
      </c>
      <c r="J401" s="42" t="s">
        <v>44</v>
      </c>
      <c r="K401" s="43" t="s">
        <v>44</v>
      </c>
      <c r="L401" s="42">
        <v>1</v>
      </c>
      <c r="M401" s="42">
        <v>1</v>
      </c>
      <c r="N401" s="42">
        <v>2</v>
      </c>
      <c r="O401" s="42">
        <v>2</v>
      </c>
      <c r="P401" s="43">
        <v>1</v>
      </c>
      <c r="Q401" s="42">
        <v>2</v>
      </c>
      <c r="R401" s="42">
        <v>3</v>
      </c>
      <c r="S401" s="42">
        <v>3</v>
      </c>
      <c r="T401" s="42">
        <v>6</v>
      </c>
      <c r="U401" s="43">
        <v>2</v>
      </c>
      <c r="V401" s="42">
        <v>1</v>
      </c>
      <c r="W401" s="42">
        <v>2</v>
      </c>
      <c r="X401" s="42">
        <v>3</v>
      </c>
      <c r="Y401" s="43">
        <v>3</v>
      </c>
      <c r="Z401" s="42" t="s">
        <v>45</v>
      </c>
      <c r="AA401" s="42" t="s">
        <v>45</v>
      </c>
      <c r="AB401" s="42" t="s">
        <v>45</v>
      </c>
      <c r="AC401" s="42" t="s">
        <v>45</v>
      </c>
      <c r="AD401" s="42" t="s">
        <v>45</v>
      </c>
      <c r="AE401" s="42" t="s">
        <v>45</v>
      </c>
      <c r="AF401" s="42" t="s">
        <v>45</v>
      </c>
      <c r="AG401" s="43" t="s">
        <v>45</v>
      </c>
      <c r="AH401" s="42">
        <v>1</v>
      </c>
      <c r="AI401" s="42">
        <v>4</v>
      </c>
      <c r="AJ401" s="43">
        <v>7</v>
      </c>
      <c r="AK401" s="45" t="s">
        <v>758</v>
      </c>
      <c r="AL401" s="45" t="s">
        <v>705</v>
      </c>
      <c r="AM401" s="46">
        <f>($L$3*(L401-$Q$1)/$Q$2+$M$3*(M401-$R$1)/$R$2+$N$3*(N401-$S$1)/$S$2+$O$3*(O401-$T$1)/$T$2+$P$3*(P401-$U$1)/$U$2)/(SUM($L$3:$P$3))</f>
        <v>-1.9115723057940897</v>
      </c>
      <c r="AN401" s="46">
        <f>($L$3*(Q401-$Q$1)/$Q$2+$M$3*(R401-$R$1)/$R$2+$N$3*(S401-$S$1)/$S$2+$O$3*(T401-$T$1)/$T$2+$P$3*(U401-$U$1)/$U$2)/(SUM($L$3:$P$3))</f>
        <v>-1.0049806764746987</v>
      </c>
      <c r="AO401" s="47">
        <f>IF(AVERAGE(AH401:AI401)&gt;9,1,0)+IF(AVERAGE(AH401:AI401)&gt;7,1,0)+IF(AH401&gt;7,1,0)+IF(AI401&gt;7,1,0)+IF(AJ401&gt;8,1,0)+IF(AJ401&gt;6,1,0)</f>
        <v>1</v>
      </c>
      <c r="AP401" s="48">
        <f>MIN(2,IF(OR(Z401="-",X401&lt;5),0,1+IF(Y401&gt;7,0.35,IF(Y401&gt;5,0.1,0))+IF(Z401&gt;7,1+IF(X401&gt;7,0.25,0),IF(Z401&gt;4,0.5+IF(X401&gt;7,0.25,0),0+IF(X401&gt;7,0.25))))+IF(AA401="-",0,IF(AA401&gt;9,0.5,IF(AA401&gt;7,0.25,0)))+IF(AB401="-",0,IF(AB401&gt;7,1.1,IF(AB401&gt;4,0.6,0)))+IF(OR(AC401="-",V401&lt;5),0,IF(AC401&gt;7,1+IF(V401&gt;7,0.25,0),IF(AC401&gt;4,0.5+IF(V401&gt;7,0.25,0),0)))+IF(AD401="-",0,IF(AD401&gt;7,1.5,IF(AD401&gt;4,1,0)))+IF(AE401="-",0,IF(AE401&gt;9,0.5,IF(AE401&gt;7,0.25,0)))+IF(AF401="-",0,IF(AF401&gt;7,1.25,IF(AF401&gt;4,0.75,0)))+IF(OR(AG401="-",W401&lt;4),0,IF(AG401&gt;7,1+IF(W401&gt;7,0.15,0),IF(AG401&gt;4,0.5+IF(W401&gt;7,0.15,0),0))))</f>
        <v>0</v>
      </c>
      <c r="AQ401" s="46">
        <f>($AM$3*AM401+$AN$3*AN401+$AO$3*AO401+$AP$3*AP401)+$I$3*VLOOKUP(I401,COND!$A$2:$E$7,4,FALSE)+$J$3*VLOOKUP(J401,COND!$A$2:$C$7,2,FALSE)+$K$3*VLOOKUP(K401,COND!$A$2:$C$7,3,FALSE)+IF(AND($B$2&gt;0,$E401&lt;20),$B$2*25,0)</f>
        <v>37.315741318390877</v>
      </c>
      <c r="AR401" s="49">
        <f>STANDARDIZE(AQ401,AVERAGE($AQ$5:$AQ$537),STDEVP($AQ$5:$AQ$537))</f>
        <v>-0.533549282743083</v>
      </c>
      <c r="AS401" s="47" t="str">
        <f>IF(AND(Z401&lt;&gt;"-",Y401&gt;1),"C",IF(AB401=MAX(AB401:AD401),"2B",IF(AD401=MAX(AB401:AD401),"SS",IF(OR(AC401=MAX(AA401:AD401),AND(AC401&lt;&gt;"-",AC401&gt;4,V401&gt;5)),"3B",IF(AF401=MAX(AE401:AG401),"CF",IF(AND(AG401=MAX(AE401,AG401),AND(W401&gt;5,AG401&lt;&gt;"-")),"RF",IF(AE401&lt;&gt;"-","LF",IF(AA401&lt;&gt;"-","1B","DH"))))))))</f>
        <v>DH</v>
      </c>
      <c r="AT401" s="47"/>
      <c r="AU401" s="47"/>
      <c r="AV401" s="47"/>
      <c r="AW401" s="47" t="str">
        <f>IF(AND($Q401&gt;=6,AVERAGE($S401:$T401)&gt;=6),"Likely",IF(OR($Q401&gt;6,AND($Q401=6,AVERAGE($S401:$T401)&gt;=3),AND($Q401&gt;=5,AVERAGE($S401:$T401)&gt;=5),AVERAGE($Q401,$S401:$T401)&gt;5),"Possible","Unlikely"))</f>
        <v>Unlikely</v>
      </c>
      <c r="AX401" s="47"/>
      <c r="AY401" s="47" t="str">
        <f>INDEX(Table5[[#All],[Ovr]],MATCH(Batters[[#This Row],[PID]],Table5[[#All],[PID]],0))</f>
        <v/>
      </c>
      <c r="AZ401" s="47" t="str">
        <f>INDEX(Table5[[#All],[Rnd]],MATCH(Batters[[#This Row],[PID]],Table5[[#All],[PID]],0))</f>
        <v/>
      </c>
      <c r="BA401" s="47" t="str">
        <f>INDEX(Table5[[#All],[Pick]],MATCH(Batters[[#This Row],[PID]],Table5[[#All],[PID]],0))</f>
        <v/>
      </c>
      <c r="BB401" s="47" t="str">
        <f>INDEX(Table5[[#All],[Team]],MATCH(Batters[[#This Row],[PID]],Table5[[#All],[PID]],0))</f>
        <v/>
      </c>
    </row>
    <row r="402" spans="1:54" ht="15" customHeight="1" x14ac:dyDescent="0.25">
      <c r="A402" s="42">
        <v>7050</v>
      </c>
      <c r="B402" s="42" t="s">
        <v>87</v>
      </c>
      <c r="C402" s="42" t="s">
        <v>331</v>
      </c>
      <c r="D402" s="42" t="s">
        <v>1061</v>
      </c>
      <c r="E402" s="42">
        <v>21</v>
      </c>
      <c r="F402" s="42" t="s">
        <v>42</v>
      </c>
      <c r="G402" s="42" t="s">
        <v>42</v>
      </c>
      <c r="H402" s="43" t="s">
        <v>721</v>
      </c>
      <c r="I402" s="44" t="s">
        <v>47</v>
      </c>
      <c r="J402" s="42" t="s">
        <v>43</v>
      </c>
      <c r="K402" s="43" t="s">
        <v>43</v>
      </c>
      <c r="L402" s="42">
        <v>3</v>
      </c>
      <c r="M402" s="42">
        <v>3</v>
      </c>
      <c r="N402" s="42">
        <v>2</v>
      </c>
      <c r="O402" s="42">
        <v>1</v>
      </c>
      <c r="P402" s="43">
        <v>4</v>
      </c>
      <c r="Q402" s="42">
        <v>4</v>
      </c>
      <c r="R402" s="42">
        <v>3</v>
      </c>
      <c r="S402" s="42">
        <v>2</v>
      </c>
      <c r="T402" s="42">
        <v>1</v>
      </c>
      <c r="U402" s="43">
        <v>5</v>
      </c>
      <c r="V402" s="42">
        <v>5</v>
      </c>
      <c r="W402" s="42">
        <v>4</v>
      </c>
      <c r="X402" s="42">
        <v>1</v>
      </c>
      <c r="Y402" s="43">
        <v>1</v>
      </c>
      <c r="Z402" s="42" t="s">
        <v>45</v>
      </c>
      <c r="AA402" s="42" t="s">
        <v>45</v>
      </c>
      <c r="AB402" s="42" t="s">
        <v>45</v>
      </c>
      <c r="AC402" s="42" t="s">
        <v>45</v>
      </c>
      <c r="AD402" s="42" t="s">
        <v>45</v>
      </c>
      <c r="AE402" s="42" t="s">
        <v>45</v>
      </c>
      <c r="AF402" s="42" t="s">
        <v>45</v>
      </c>
      <c r="AG402" s="43" t="s">
        <v>45</v>
      </c>
      <c r="AH402" s="42">
        <v>1</v>
      </c>
      <c r="AI402" s="42">
        <v>1</v>
      </c>
      <c r="AJ402" s="43">
        <v>1</v>
      </c>
      <c r="AK402" s="45" t="s">
        <v>45</v>
      </c>
      <c r="AL402" s="45" t="s">
        <v>47</v>
      </c>
      <c r="AM402" s="46">
        <f>($L$3*(L402-$Q$1)/$Q$2+$M$3*(M402-$R$1)/$R$2+$N$3*(N402-$S$1)/$S$2+$O$3*(O402-$T$1)/$T$2+$P$3*(P402-$U$1)/$U$2)/(SUM($L$3:$P$3))</f>
        <v>-1.1340014047096636</v>
      </c>
      <c r="AN402" s="46">
        <f>($L$3*(Q402-$Q$1)/$Q$2+$M$3*(R402-$R$1)/$R$2+$N$3*(S402-$S$1)/$S$2+$O$3*(T402-$T$1)/$T$2+$P$3*(U402-$U$1)/$U$2)/(SUM($L$3:$P$3))</f>
        <v>-0.77142922868990549</v>
      </c>
      <c r="AO402" s="47">
        <f>IF(AVERAGE(AH402:AI402)&gt;9,1,0)+IF(AVERAGE(AH402:AI402)&gt;7,1,0)+IF(AH402&gt;7,1,0)+IF(AI402&gt;7,1,0)+IF(AJ402&gt;8,1,0)+IF(AJ402&gt;6,1,0)</f>
        <v>0</v>
      </c>
      <c r="AP402" s="48">
        <f>MIN(2,IF(OR(Z402="-",X402&lt;5),0,1+IF(Y402&gt;7,0.35,IF(Y402&gt;5,0.1,0))+IF(Z402&gt;7,1+IF(X402&gt;7,0.25,0),IF(Z402&gt;4,0.5+IF(X402&gt;7,0.25,0),0+IF(X402&gt;7,0.25))))+IF(AA402="-",0,IF(AA402&gt;9,0.5,IF(AA402&gt;7,0.25,0)))+IF(AB402="-",0,IF(AB402&gt;7,1.1,IF(AB402&gt;4,0.6,0)))+IF(OR(AC402="-",V402&lt;5),0,IF(AC402&gt;7,1+IF(V402&gt;7,0.25,0),IF(AC402&gt;4,0.5+IF(V402&gt;7,0.25,0),0)))+IF(AD402="-",0,IF(AD402&gt;7,1.5,IF(AD402&gt;4,1,0)))+IF(AE402="-",0,IF(AE402&gt;9,0.5,IF(AE402&gt;7,0.25,0)))+IF(AF402="-",0,IF(AF402&gt;7,1.25,IF(AF402&gt;4,0.75,0)))+IF(OR(AG402="-",W402&lt;4),0,IF(AG402&gt;7,1+IF(W402&gt;7,0.15,0),IF(AG402&gt;4,0.5+IF(W402&gt;7,0.15,0),0))))</f>
        <v>0</v>
      </c>
      <c r="AQ402" s="46">
        <f>($AM$3*AM402+$AN$3*AN402+$AO$3*AO402+$AP$3*AP402)+$I$3*VLOOKUP(I402,COND!$A$2:$E$7,4,FALSE)+$J$3*VLOOKUP(J402,COND!$A$2:$C$7,2,FALSE)+$K$3*VLOOKUP(K402,COND!$A$2:$C$7,3,FALSE)+IF(AND($B$2&gt;0,$E402&lt;20),$B$2*25,0)</f>
        <v>35.854449115250162</v>
      </c>
      <c r="AR402" s="49">
        <f>STANDARDIZE(AQ402,AVERAGE($AQ$5:$AQ$537),STDEVP($AQ$5:$AQ$537))</f>
        <v>-0.79065393369438652</v>
      </c>
      <c r="AS402" s="47" t="str">
        <f>IF(AND(Z402&lt;&gt;"-",Y402&gt;1),"C",IF(AB402=MAX(AB402:AD402),"2B",IF(AD402=MAX(AB402:AD402),"SS",IF(OR(AC402=MAX(AA402:AD402),AND(AC402&lt;&gt;"-",AC402&gt;4,V402&gt;5)),"3B",IF(AF402=MAX(AE402:AG402),"CF",IF(AND(AG402=MAX(AE402,AG402),AND(W402&gt;5,AG402&lt;&gt;"-")),"RF",IF(AE402&lt;&gt;"-","LF",IF(AA402&lt;&gt;"-","1B","DH"))))))))</f>
        <v>DH</v>
      </c>
      <c r="AT402" s="47"/>
      <c r="AU402" s="47"/>
      <c r="AV402" s="47"/>
      <c r="AW402" s="47" t="str">
        <f>IF(AND($Q402&gt;=6,AVERAGE($S402:$T402)&gt;=6),"Likely",IF(OR($Q402&gt;6,AND($Q402=6,AVERAGE($S402:$T402)&gt;=3),AND($Q402&gt;=5,AVERAGE($S402:$T402)&gt;=5),AVERAGE($Q402,$S402:$T402)&gt;5),"Possible","Unlikely"))</f>
        <v>Unlikely</v>
      </c>
      <c r="AX402" s="47"/>
      <c r="AY402" s="47" t="str">
        <f>INDEX(Table5[[#All],[Ovr]],MATCH(Batters[[#This Row],[PID]],Table5[[#All],[PID]],0))</f>
        <v/>
      </c>
      <c r="AZ402" s="47" t="str">
        <f>INDEX(Table5[[#All],[Rnd]],MATCH(Batters[[#This Row],[PID]],Table5[[#All],[PID]],0))</f>
        <v/>
      </c>
      <c r="BA402" s="47" t="str">
        <f>INDEX(Table5[[#All],[Pick]],MATCH(Batters[[#This Row],[PID]],Table5[[#All],[PID]],0))</f>
        <v/>
      </c>
      <c r="BB402" s="47" t="str">
        <f>INDEX(Table5[[#All],[Team]],MATCH(Batters[[#This Row],[PID]],Table5[[#All],[PID]],0))</f>
        <v/>
      </c>
    </row>
    <row r="403" spans="1:54" ht="15" customHeight="1" x14ac:dyDescent="0.25">
      <c r="A403" s="42">
        <v>8563</v>
      </c>
      <c r="B403" s="42" t="s">
        <v>71</v>
      </c>
      <c r="C403" s="42" t="s">
        <v>474</v>
      </c>
      <c r="D403" s="42" t="s">
        <v>849</v>
      </c>
      <c r="E403" s="42">
        <v>22</v>
      </c>
      <c r="F403" s="42" t="s">
        <v>42</v>
      </c>
      <c r="G403" s="42" t="s">
        <v>42</v>
      </c>
      <c r="H403" s="43" t="s">
        <v>711</v>
      </c>
      <c r="I403" s="44" t="s">
        <v>44</v>
      </c>
      <c r="J403" s="42" t="s">
        <v>43</v>
      </c>
      <c r="K403" s="43" t="s">
        <v>47</v>
      </c>
      <c r="L403" s="42">
        <v>2</v>
      </c>
      <c r="M403" s="42">
        <v>2</v>
      </c>
      <c r="N403" s="42">
        <v>2</v>
      </c>
      <c r="O403" s="42">
        <v>2</v>
      </c>
      <c r="P403" s="43">
        <v>4</v>
      </c>
      <c r="Q403" s="42">
        <v>3</v>
      </c>
      <c r="R403" s="42">
        <v>3</v>
      </c>
      <c r="S403" s="42">
        <v>2</v>
      </c>
      <c r="T403" s="42">
        <v>4</v>
      </c>
      <c r="U403" s="43">
        <v>5</v>
      </c>
      <c r="V403" s="42">
        <v>3</v>
      </c>
      <c r="W403" s="42">
        <v>1</v>
      </c>
      <c r="X403" s="42">
        <v>1</v>
      </c>
      <c r="Y403" s="43">
        <v>1</v>
      </c>
      <c r="Z403" s="42" t="s">
        <v>45</v>
      </c>
      <c r="AA403" s="42" t="s">
        <v>45</v>
      </c>
      <c r="AB403" s="42">
        <v>3</v>
      </c>
      <c r="AC403" s="42" t="s">
        <v>45</v>
      </c>
      <c r="AD403" s="42" t="s">
        <v>45</v>
      </c>
      <c r="AE403" s="42" t="s">
        <v>45</v>
      </c>
      <c r="AF403" s="42" t="s">
        <v>45</v>
      </c>
      <c r="AG403" s="43" t="s">
        <v>45</v>
      </c>
      <c r="AH403" s="42">
        <v>2</v>
      </c>
      <c r="AI403" s="42">
        <v>6</v>
      </c>
      <c r="AJ403" s="43">
        <v>4</v>
      </c>
      <c r="AK403" s="45" t="s">
        <v>45</v>
      </c>
      <c r="AL403" s="45" t="s">
        <v>47</v>
      </c>
      <c r="AM403" s="46">
        <f>($L$3*(L403-$Q$1)/$Q$2+$M$3*(M403-$R$1)/$R$2+$N$3*(N403-$S$1)/$S$2+$O$3*(O403-$T$1)/$T$2+$P$3*(P403-$U$1)/$U$2)/(SUM($L$3:$P$3))</f>
        <v>-1.417907570521461</v>
      </c>
      <c r="AN403" s="46">
        <f>($L$3*(Q403-$Q$1)/$Q$2+$M$3*(R403-$R$1)/$R$2+$N$3*(S403-$S$1)/$S$2+$O$3*(T403-$T$1)/$T$2+$P$3*(U403-$U$1)/$U$2)/(SUM($L$3:$P$3))</f>
        <v>-0.82485641486383698</v>
      </c>
      <c r="AO403" s="47">
        <f>IF(AVERAGE(AH403:AI403)&gt;9,1,0)+IF(AVERAGE(AH403:AI403)&gt;7,1,0)+IF(AH403&gt;7,1,0)+IF(AI403&gt;7,1,0)+IF(AJ403&gt;8,1,0)+IF(AJ403&gt;6,1,0)</f>
        <v>0</v>
      </c>
      <c r="AP403" s="48">
        <f>MIN(2,IF(OR(Z403="-",X403&lt;5),0,1+IF(Y403&gt;7,0.35,IF(Y403&gt;5,0.1,0))+IF(Z403&gt;7,1+IF(X403&gt;7,0.25,0),IF(Z403&gt;4,0.5+IF(X403&gt;7,0.25,0),0+IF(X403&gt;7,0.25))))+IF(AA403="-",0,IF(AA403&gt;9,0.5,IF(AA403&gt;7,0.25,0)))+IF(AB403="-",0,IF(AB403&gt;7,1.1,IF(AB403&gt;4,0.6,0)))+IF(OR(AC403="-",V403&lt;5),0,IF(AC403&gt;7,1+IF(V403&gt;7,0.25,0),IF(AC403&gt;4,0.5+IF(V403&gt;7,0.25,0),0)))+IF(AD403="-",0,IF(AD403&gt;7,1.5,IF(AD403&gt;4,1,0)))+IF(AE403="-",0,IF(AE403&gt;9,0.5,IF(AE403&gt;7,0.25,0)))+IF(AF403="-",0,IF(AF403&gt;7,1.25,IF(AF403&gt;4,0.75,0)))+IF(OR(AG403="-",W403&lt;4),0,IF(AG403&gt;7,1+IF(W403&gt;7,0.15,0),IF(AG403&gt;4,0.5+IF(W403&gt;7,0.15,0),0))))</f>
        <v>0</v>
      </c>
      <c r="AQ403" s="46">
        <f>($AM$3*AM403+$AN$3*AN403+$AO$3*AO403+$AP$3*AP403)+$I$3*VLOOKUP(I403,COND!$A$2:$E$7,4,FALSE)+$J$3*VLOOKUP(J403,COND!$A$2:$C$7,2,FALSE)+$K$3*VLOOKUP(K403,COND!$A$2:$C$7,3,FALSE)+IF(AND($B$2&gt;0,$E403&lt;20),$B$2*25,0)</f>
        <v>35.109932264581815</v>
      </c>
      <c r="AR403" s="49">
        <f>STANDARDIZE(AQ403,AVERAGE($AQ$5:$AQ$537),STDEVP($AQ$5:$AQ$537))</f>
        <v>-0.92164672528462299</v>
      </c>
      <c r="AS403" s="47" t="str">
        <f>IF(AND(Z403&lt;&gt;"-",Y403&gt;1),"C",IF(AB403=MAX(AB403:AD403),"2B",IF(AD403=MAX(AB403:AD403),"SS",IF(OR(AC403=MAX(AA403:AD403),AND(AC403&lt;&gt;"-",AC403&gt;4,V403&gt;5)),"3B",IF(AF403=MAX(AE403:AG403),"CF",IF(AND(AG403=MAX(AE403,AG403),AND(W403&gt;5,AG403&lt;&gt;"-")),"RF",IF(AE403&lt;&gt;"-","LF",IF(AA403&lt;&gt;"-","1B","DH"))))))))</f>
        <v>2B</v>
      </c>
      <c r="AT403" s="47"/>
      <c r="AU403" s="47"/>
      <c r="AV403" s="47"/>
      <c r="AW403" s="47" t="str">
        <f>IF(AND($Q403&gt;=6,AVERAGE($S403:$T403)&gt;=6),"Likely",IF(OR($Q403&gt;6,AND($Q403=6,AVERAGE($S403:$T403)&gt;=3),AND($Q403&gt;=5,AVERAGE($S403:$T403)&gt;=5),AVERAGE($Q403,$S403:$T403)&gt;5),"Possible","Unlikely"))</f>
        <v>Unlikely</v>
      </c>
      <c r="AX403" s="47"/>
      <c r="AY403" s="47" t="str">
        <f>INDEX(Table5[[#All],[Ovr]],MATCH(Batters[[#This Row],[PID]],Table5[[#All],[PID]],0))</f>
        <v/>
      </c>
      <c r="AZ403" s="47" t="str">
        <f>INDEX(Table5[[#All],[Rnd]],MATCH(Batters[[#This Row],[PID]],Table5[[#All],[PID]],0))</f>
        <v/>
      </c>
      <c r="BA403" s="47" t="str">
        <f>INDEX(Table5[[#All],[Pick]],MATCH(Batters[[#This Row],[PID]],Table5[[#All],[PID]],0))</f>
        <v/>
      </c>
      <c r="BB403" s="47" t="str">
        <f>INDEX(Table5[[#All],[Team]],MATCH(Batters[[#This Row],[PID]],Table5[[#All],[PID]],0))</f>
        <v/>
      </c>
    </row>
    <row r="404" spans="1:54" ht="15" customHeight="1" x14ac:dyDescent="0.25">
      <c r="A404" s="42">
        <v>12156</v>
      </c>
      <c r="B404" s="42" t="s">
        <v>72</v>
      </c>
      <c r="C404" s="42" t="s">
        <v>598</v>
      </c>
      <c r="D404" s="42" t="s">
        <v>1234</v>
      </c>
      <c r="E404" s="42">
        <v>21</v>
      </c>
      <c r="F404" s="42" t="s">
        <v>42</v>
      </c>
      <c r="G404" s="42" t="s">
        <v>42</v>
      </c>
      <c r="H404" s="43" t="s">
        <v>709</v>
      </c>
      <c r="I404" s="44" t="s">
        <v>43</v>
      </c>
      <c r="J404" s="42" t="s">
        <v>44</v>
      </c>
      <c r="K404" s="43" t="s">
        <v>43</v>
      </c>
      <c r="L404" s="42">
        <v>1</v>
      </c>
      <c r="M404" s="42">
        <v>2</v>
      </c>
      <c r="N404" s="42">
        <v>2</v>
      </c>
      <c r="O404" s="42">
        <v>2</v>
      </c>
      <c r="P404" s="43">
        <v>1</v>
      </c>
      <c r="Q404" s="42">
        <v>3</v>
      </c>
      <c r="R404" s="42">
        <v>3</v>
      </c>
      <c r="S404" s="42">
        <v>3</v>
      </c>
      <c r="T404" s="42">
        <v>4</v>
      </c>
      <c r="U404" s="43">
        <v>3</v>
      </c>
      <c r="V404" s="42">
        <v>7</v>
      </c>
      <c r="W404" s="42">
        <v>6</v>
      </c>
      <c r="X404" s="42">
        <v>1</v>
      </c>
      <c r="Y404" s="43">
        <v>1</v>
      </c>
      <c r="Z404" s="42" t="s">
        <v>45</v>
      </c>
      <c r="AA404" s="42" t="s">
        <v>45</v>
      </c>
      <c r="AB404" s="42" t="s">
        <v>45</v>
      </c>
      <c r="AC404" s="42" t="s">
        <v>45</v>
      </c>
      <c r="AD404" s="42">
        <v>5</v>
      </c>
      <c r="AE404" s="42">
        <v>1</v>
      </c>
      <c r="AF404" s="42" t="s">
        <v>45</v>
      </c>
      <c r="AG404" s="43" t="s">
        <v>45</v>
      </c>
      <c r="AH404" s="42">
        <v>10</v>
      </c>
      <c r="AI404" s="42">
        <v>9</v>
      </c>
      <c r="AJ404" s="43">
        <v>8</v>
      </c>
      <c r="AK404" s="45" t="s">
        <v>45</v>
      </c>
      <c r="AL404" s="45" t="s">
        <v>705</v>
      </c>
      <c r="AM404" s="46">
        <f>($L$3*(L404-$Q$1)/$Q$2+$M$3*(M404-$R$1)/$R$2+$N$3*(N404-$S$1)/$S$2+$O$3*(O404-$T$1)/$T$2+$P$3*(P404-$U$1)/$U$2)/(SUM($L$3:$P$3))</f>
        <v>-1.8605124261753858</v>
      </c>
      <c r="AN404" s="46">
        <f>($L$3*(Q404-$Q$1)/$Q$2+$M$3*(R404-$R$1)/$R$2+$N$3*(S404-$S$1)/$S$2+$O$3*(T404-$T$1)/$T$2+$P$3*(U404-$U$1)/$U$2)/(SUM($L$3:$P$3))</f>
        <v>-0.82182760047410253</v>
      </c>
      <c r="AO404" s="47">
        <f>IF(AVERAGE(AH404:AI404)&gt;9,1,0)+IF(AVERAGE(AH404:AI404)&gt;7,1,0)+IF(AH404&gt;7,1,0)+IF(AI404&gt;7,1,0)+IF(AJ404&gt;8,1,0)+IF(AJ404&gt;6,1,0)</f>
        <v>5</v>
      </c>
      <c r="AP404" s="48">
        <f>MIN(2,IF(OR(Z404="-",X404&lt;5),0,1+IF(Y404&gt;7,0.35,IF(Y404&gt;5,0.1,0))+IF(Z404&gt;7,1+IF(X404&gt;7,0.25,0),IF(Z404&gt;4,0.5+IF(X404&gt;7,0.25,0),0+IF(X404&gt;7,0.25))))+IF(AA404="-",0,IF(AA404&gt;9,0.5,IF(AA404&gt;7,0.25,0)))+IF(AB404="-",0,IF(AB404&gt;7,1.1,IF(AB404&gt;4,0.6,0)))+IF(OR(AC404="-",V404&lt;5),0,IF(AC404&gt;7,1+IF(V404&gt;7,0.25,0),IF(AC404&gt;4,0.5+IF(V404&gt;7,0.25,0),0)))+IF(AD404="-",0,IF(AD404&gt;7,1.5,IF(AD404&gt;4,1,0)))+IF(AE404="-",0,IF(AE404&gt;9,0.5,IF(AE404&gt;7,0.25,0)))+IF(AF404="-",0,IF(AF404&gt;7,1.25,IF(AF404&gt;4,0.75,0)))+IF(OR(AG404="-",W404&lt;4),0,IF(AG404&gt;7,1+IF(W404&gt;7,0.15,0),IF(AG404&gt;4,0.5+IF(W404&gt;7,0.15,0),0))))</f>
        <v>1</v>
      </c>
      <c r="AQ404" s="46">
        <f>($AM$3*AM404+$AN$3*AN404+$AO$3*AO404+$AP$3*AP404)+$I$3*VLOOKUP(I404,COND!$A$2:$E$7,4,FALSE)+$J$3*VLOOKUP(J404,COND!$A$2:$C$7,2,FALSE)+$K$3*VLOOKUP(K404,COND!$A$2:$C$7,3,FALSE)+IF(AND($B$2&gt;0,$E404&lt;20),$B$2*25,0)</f>
        <v>36.485350885026563</v>
      </c>
      <c r="AR404" s="49">
        <f>STANDARDIZE(AQ404,AVERAGE($AQ$5:$AQ$537),STDEVP($AQ$5:$AQ$537))</f>
        <v>-0.67965096046679219</v>
      </c>
      <c r="AS404" s="47" t="str">
        <f>IF(AND(Z404&lt;&gt;"-",Y404&gt;1),"C",IF(AB404=MAX(AB404:AD404),"2B",IF(AD404=MAX(AB404:AD404),"SS",IF(OR(AC404=MAX(AA404:AD404),AND(AC404&lt;&gt;"-",AC404&gt;4,V404&gt;5)),"3B",IF(AF404=MAX(AE404:AG404),"CF",IF(AND(AG404=MAX(AE404,AG404),AND(W404&gt;5,AG404&lt;&gt;"-")),"RF",IF(AE404&lt;&gt;"-","LF",IF(AA404&lt;&gt;"-","1B","DH"))))))))</f>
        <v>SS</v>
      </c>
      <c r="AT404" s="47"/>
      <c r="AU404" s="47"/>
      <c r="AV404" s="47"/>
      <c r="AW404" s="47" t="str">
        <f>IF(AND($Q404&gt;=6,AVERAGE($S404:$T404)&gt;=6),"Likely",IF(OR($Q404&gt;6,AND($Q404=6,AVERAGE($S404:$T404)&gt;=3),AND($Q404&gt;=5,AVERAGE($S404:$T404)&gt;=5),AVERAGE($Q404,$S404:$T404)&gt;5),"Possible","Unlikely"))</f>
        <v>Unlikely</v>
      </c>
      <c r="AX404" s="47"/>
      <c r="AY404" s="47" t="str">
        <f>INDEX(Table5[[#All],[Ovr]],MATCH(Batters[[#This Row],[PID]],Table5[[#All],[PID]],0))</f>
        <v/>
      </c>
      <c r="AZ404" s="47" t="str">
        <f>INDEX(Table5[[#All],[Rnd]],MATCH(Batters[[#This Row],[PID]],Table5[[#All],[PID]],0))</f>
        <v/>
      </c>
      <c r="BA404" s="47" t="str">
        <f>INDEX(Table5[[#All],[Pick]],MATCH(Batters[[#This Row],[PID]],Table5[[#All],[PID]],0))</f>
        <v/>
      </c>
      <c r="BB404" s="47" t="str">
        <f>INDEX(Table5[[#All],[Team]],MATCH(Batters[[#This Row],[PID]],Table5[[#All],[PID]],0))</f>
        <v/>
      </c>
    </row>
    <row r="405" spans="1:54" ht="15" customHeight="1" x14ac:dyDescent="0.25">
      <c r="A405" s="42">
        <v>9843</v>
      </c>
      <c r="B405" s="42" t="s">
        <v>69</v>
      </c>
      <c r="C405" s="42" t="s">
        <v>920</v>
      </c>
      <c r="D405" s="42" t="s">
        <v>1136</v>
      </c>
      <c r="E405" s="42">
        <v>21</v>
      </c>
      <c r="F405" s="42" t="s">
        <v>62</v>
      </c>
      <c r="G405" s="42" t="s">
        <v>42</v>
      </c>
      <c r="H405" s="43" t="s">
        <v>709</v>
      </c>
      <c r="I405" s="44" t="s">
        <v>43</v>
      </c>
      <c r="J405" s="42" t="s">
        <v>43</v>
      </c>
      <c r="K405" s="43" t="s">
        <v>43</v>
      </c>
      <c r="L405" s="42">
        <v>1</v>
      </c>
      <c r="M405" s="42">
        <v>2</v>
      </c>
      <c r="N405" s="42">
        <v>2</v>
      </c>
      <c r="O405" s="42">
        <v>2</v>
      </c>
      <c r="P405" s="43">
        <v>1</v>
      </c>
      <c r="Q405" s="42">
        <v>3</v>
      </c>
      <c r="R405" s="42">
        <v>3</v>
      </c>
      <c r="S405" s="42">
        <v>2</v>
      </c>
      <c r="T405" s="42">
        <v>5</v>
      </c>
      <c r="U405" s="43">
        <v>3</v>
      </c>
      <c r="V405" s="42">
        <v>10</v>
      </c>
      <c r="W405" s="42">
        <v>9</v>
      </c>
      <c r="X405" s="42">
        <v>1</v>
      </c>
      <c r="Y405" s="43">
        <v>1</v>
      </c>
      <c r="Z405" s="42" t="s">
        <v>45</v>
      </c>
      <c r="AA405" s="42" t="s">
        <v>45</v>
      </c>
      <c r="AB405" s="42" t="s">
        <v>45</v>
      </c>
      <c r="AC405" s="42">
        <v>7</v>
      </c>
      <c r="AD405" s="42" t="s">
        <v>45</v>
      </c>
      <c r="AE405" s="42" t="s">
        <v>45</v>
      </c>
      <c r="AF405" s="42" t="s">
        <v>45</v>
      </c>
      <c r="AG405" s="43" t="s">
        <v>45</v>
      </c>
      <c r="AH405" s="42">
        <v>6</v>
      </c>
      <c r="AI405" s="42">
        <v>2</v>
      </c>
      <c r="AJ405" s="43">
        <v>3</v>
      </c>
      <c r="AK405" s="45" t="s">
        <v>45</v>
      </c>
      <c r="AL405" s="45" t="s">
        <v>705</v>
      </c>
      <c r="AM405" s="46">
        <f>($L$3*(L405-$Q$1)/$Q$2+$M$3*(M405-$R$1)/$R$2+$N$3*(N405-$S$1)/$S$2+$O$3*(O405-$T$1)/$T$2+$P$3*(P405-$U$1)/$U$2)/(SUM($L$3:$P$3))</f>
        <v>-1.8605124261753858</v>
      </c>
      <c r="AN405" s="46">
        <f>($L$3*(Q405-$Q$1)/$Q$2+$M$3*(R405-$R$1)/$R$2+$N$3*(S405-$S$1)/$S$2+$O$3*(T405-$T$1)/$T$2+$P$3*(U405-$U$1)/$U$2)/(SUM($L$3:$P$3))</f>
        <v>-0.815179544488423</v>
      </c>
      <c r="AO405" s="47">
        <f>IF(AVERAGE(AH405:AI405)&gt;9,1,0)+IF(AVERAGE(AH405:AI405)&gt;7,1,0)+IF(AH405&gt;7,1,0)+IF(AI405&gt;7,1,0)+IF(AJ405&gt;8,1,0)+IF(AJ405&gt;6,1,0)</f>
        <v>0</v>
      </c>
      <c r="AP405" s="48">
        <f>MIN(2,IF(OR(Z405="-",X405&lt;5),0,1+IF(Y405&gt;7,0.35,IF(Y405&gt;5,0.1,0))+IF(Z405&gt;7,1+IF(X405&gt;7,0.25,0),IF(Z405&gt;4,0.5+IF(X405&gt;7,0.25,0),0+IF(X405&gt;7,0.25))))+IF(AA405="-",0,IF(AA405&gt;9,0.5,IF(AA405&gt;7,0.25,0)))+IF(AB405="-",0,IF(AB405&gt;7,1.1,IF(AB405&gt;4,0.6,0)))+IF(OR(AC405="-",V405&lt;5),0,IF(AC405&gt;7,1+IF(V405&gt;7,0.25,0),IF(AC405&gt;4,0.5+IF(V405&gt;7,0.25,0),0)))+IF(AD405="-",0,IF(AD405&gt;7,1.5,IF(AD405&gt;4,1,0)))+IF(AE405="-",0,IF(AE405&gt;9,0.5,IF(AE405&gt;7,0.25,0)))+IF(AF405="-",0,IF(AF405&gt;7,1.25,IF(AF405&gt;4,0.75,0)))+IF(OR(AG405="-",W405&lt;4),0,IF(AG405&gt;7,1+IF(W405&gt;7,0.15,0),IF(AG405&gt;4,0.5+IF(W405&gt;7,0.15,0),0))))</f>
        <v>0.75</v>
      </c>
      <c r="AQ405" s="46">
        <f>($AM$3*AM405+$AN$3*AN405+$AO$3*AO405+$AP$3*AP405)+$I$3*VLOOKUP(I405,COND!$A$2:$E$7,4,FALSE)+$J$3*VLOOKUP(J405,COND!$A$2:$C$7,2,FALSE)+$K$3*VLOOKUP(K405,COND!$A$2:$C$7,3,FALSE)+IF(AND($B$2&gt;0,$E405&lt;20),$B$2*25,0)</f>
        <v>35.781794223521388</v>
      </c>
      <c r="AR405" s="49">
        <f>STANDARDIZE(AQ405,AVERAGE($AQ$5:$AQ$537),STDEVP($AQ$5:$AQ$537))</f>
        <v>-0.80343707900761208</v>
      </c>
      <c r="AS405" s="47" t="str">
        <f>IF(AND(Z405&lt;&gt;"-",Y405&gt;1),"C",IF(AB405=MAX(AB405:AD405),"2B",IF(AD405=MAX(AB405:AD405),"SS",IF(OR(AC405=MAX(AA405:AD405),AND(AC405&lt;&gt;"-",AC405&gt;4,V405&gt;5)),"3B",IF(AF405=MAX(AE405:AG405),"CF",IF(AND(AG405=MAX(AE405,AG405),AND(W405&gt;5,AG405&lt;&gt;"-")),"RF",IF(AE405&lt;&gt;"-","LF",IF(AA405&lt;&gt;"-","1B","DH"))))))))</f>
        <v>3B</v>
      </c>
      <c r="AT405" s="47"/>
      <c r="AU405" s="47"/>
      <c r="AV405" s="47"/>
      <c r="AW405" s="47" t="str">
        <f>IF(AND($Q405&gt;=6,AVERAGE($S405:$T405)&gt;=6),"Likely",IF(OR($Q405&gt;6,AND($Q405=6,AVERAGE($S405:$T405)&gt;=3),AND($Q405&gt;=5,AVERAGE($S405:$T405)&gt;=5),AVERAGE($Q405,$S405:$T405)&gt;5),"Possible","Unlikely"))</f>
        <v>Unlikely</v>
      </c>
      <c r="AX405" s="47"/>
      <c r="AY405" s="47" t="str">
        <f>INDEX(Table5[[#All],[Ovr]],MATCH(Batters[[#This Row],[PID]],Table5[[#All],[PID]],0))</f>
        <v/>
      </c>
      <c r="AZ405" s="47" t="str">
        <f>INDEX(Table5[[#All],[Rnd]],MATCH(Batters[[#This Row],[PID]],Table5[[#All],[PID]],0))</f>
        <v/>
      </c>
      <c r="BA405" s="47" t="str">
        <f>INDEX(Table5[[#All],[Pick]],MATCH(Batters[[#This Row],[PID]],Table5[[#All],[PID]],0))</f>
        <v/>
      </c>
      <c r="BB405" s="47" t="str">
        <f>INDEX(Table5[[#All],[Team]],MATCH(Batters[[#This Row],[PID]],Table5[[#All],[PID]],0))</f>
        <v/>
      </c>
    </row>
    <row r="406" spans="1:54" ht="15" customHeight="1" x14ac:dyDescent="0.25">
      <c r="A406" s="42">
        <v>6069</v>
      </c>
      <c r="B406" s="42" t="s">
        <v>50</v>
      </c>
      <c r="C406" s="42" t="s">
        <v>292</v>
      </c>
      <c r="D406" s="42" t="s">
        <v>144</v>
      </c>
      <c r="E406" s="42">
        <v>18</v>
      </c>
      <c r="F406" s="42" t="s">
        <v>42</v>
      </c>
      <c r="G406" s="42" t="s">
        <v>42</v>
      </c>
      <c r="H406" s="43" t="s">
        <v>711</v>
      </c>
      <c r="I406" s="44" t="s">
        <v>44</v>
      </c>
      <c r="J406" s="42" t="s">
        <v>44</v>
      </c>
      <c r="K406" s="43" t="s">
        <v>43</v>
      </c>
      <c r="L406" s="42">
        <v>1</v>
      </c>
      <c r="M406" s="42">
        <v>1</v>
      </c>
      <c r="N406" s="42">
        <v>2</v>
      </c>
      <c r="O406" s="42">
        <v>1</v>
      </c>
      <c r="P406" s="43">
        <v>1</v>
      </c>
      <c r="Q406" s="42">
        <v>2</v>
      </c>
      <c r="R406" s="42">
        <v>3</v>
      </c>
      <c r="S406" s="42">
        <v>4</v>
      </c>
      <c r="T406" s="42">
        <v>4</v>
      </c>
      <c r="U406" s="43">
        <v>2</v>
      </c>
      <c r="V406" s="42">
        <v>2</v>
      </c>
      <c r="W406" s="42">
        <v>6</v>
      </c>
      <c r="X406" s="42">
        <v>1</v>
      </c>
      <c r="Y406" s="43">
        <v>1</v>
      </c>
      <c r="Z406" s="42" t="s">
        <v>45</v>
      </c>
      <c r="AA406" s="42" t="s">
        <v>45</v>
      </c>
      <c r="AB406" s="42" t="s">
        <v>45</v>
      </c>
      <c r="AC406" s="42" t="s">
        <v>45</v>
      </c>
      <c r="AD406" s="42" t="s">
        <v>45</v>
      </c>
      <c r="AE406" s="42">
        <v>6</v>
      </c>
      <c r="AF406" s="42" t="s">
        <v>45</v>
      </c>
      <c r="AG406" s="43" t="s">
        <v>45</v>
      </c>
      <c r="AH406" s="42">
        <v>9</v>
      </c>
      <c r="AI406" s="42">
        <v>6</v>
      </c>
      <c r="AJ406" s="43">
        <v>2</v>
      </c>
      <c r="AK406" s="45" t="s">
        <v>718</v>
      </c>
      <c r="AL406" s="45" t="s">
        <v>47</v>
      </c>
      <c r="AM406" s="46">
        <f>($L$3*(L406-$Q$1)/$Q$2+$M$3*(M406-$R$1)/$R$2+$N$3*(N406-$S$1)/$S$2+$O$3*(O406-$T$1)/$T$2+$P$3*(P406-$U$1)/$U$2)/(SUM($L$3:$P$3))</f>
        <v>-2.0012818558036707</v>
      </c>
      <c r="AN406" s="46">
        <f>($L$3*(Q406-$Q$1)/$Q$2+$M$3*(R406-$R$1)/$R$2+$N$3*(S406-$S$1)/$S$2+$O$3*(T406-$T$1)/$T$2+$P$3*(U406-$U$1)/$U$2)/(SUM($L$3:$P$3))</f>
        <v>-1.1013382824699594</v>
      </c>
      <c r="AO406" s="47">
        <f>IF(AVERAGE(AH406:AI406)&gt;9,1,0)+IF(AVERAGE(AH406:AI406)&gt;7,1,0)+IF(AH406&gt;7,1,0)+IF(AI406&gt;7,1,0)+IF(AJ406&gt;8,1,0)+IF(AJ406&gt;6,1,0)</f>
        <v>2</v>
      </c>
      <c r="AP406" s="48">
        <f>MIN(2,IF(OR(Z406="-",X406&lt;5),0,1+IF(Y406&gt;7,0.35,IF(Y406&gt;5,0.1,0))+IF(Z406&gt;7,1+IF(X406&gt;7,0.25,0),IF(Z406&gt;4,0.5+IF(X406&gt;7,0.25,0),0+IF(X406&gt;7,0.25))))+IF(AA406="-",0,IF(AA406&gt;9,0.5,IF(AA406&gt;7,0.25,0)))+IF(AB406="-",0,IF(AB406&gt;7,1.1,IF(AB406&gt;4,0.6,0)))+IF(OR(AC406="-",V406&lt;5),0,IF(AC406&gt;7,1+IF(V406&gt;7,0.25,0),IF(AC406&gt;4,0.5+IF(V406&gt;7,0.25,0),0)))+IF(AD406="-",0,IF(AD406&gt;7,1.5,IF(AD406&gt;4,1,0)))+IF(AE406="-",0,IF(AE406&gt;9,0.5,IF(AE406&gt;7,0.25,0)))+IF(AF406="-",0,IF(AF406&gt;7,1.25,IF(AF406&gt;4,0.75,0)))+IF(OR(AG406="-",W406&lt;4),0,IF(AG406&gt;7,1+IF(W406&gt;7,0.15,0),IF(AG406&gt;4,0.5+IF(W406&gt;7,0.15,0),0))))</f>
        <v>0</v>
      </c>
      <c r="AQ406" s="46">
        <f>($AM$3*AM406+$AN$3*AN406+$AO$3*AO406+$AP$3*AP406)+$I$3*VLOOKUP(I406,COND!$A$2:$E$7,4,FALSE)+$J$3*VLOOKUP(J406,COND!$A$2:$C$7,2,FALSE)+$K$3*VLOOKUP(K406,COND!$A$2:$C$7,3,FALSE)+IF(AND($B$2&gt;0,$E406&lt;20),$B$2*25,0)</f>
        <v>36.467145758113453</v>
      </c>
      <c r="AR406" s="49">
        <f>STANDARDIZE(AQ406,AVERAGE($AQ$5:$AQ$537),STDEVP($AQ$5:$AQ$537))</f>
        <v>-0.68285403155035729</v>
      </c>
      <c r="AS406" s="47" t="str">
        <f>IF(AND(Z406&lt;&gt;"-",Y406&gt;1),"C",IF(AB406=MAX(AB406:AD406),"2B",IF(AD406=MAX(AB406:AD406),"SS",IF(OR(AC406=MAX(AA406:AD406),AND(AC406&lt;&gt;"-",AC406&gt;4,V406&gt;5)),"3B",IF(AF406=MAX(AE406:AG406),"CF",IF(AND(AG406=MAX(AE406,AG406),AND(W406&gt;5,AG406&lt;&gt;"-")),"RF",IF(AE406&lt;&gt;"-","LF",IF(AA406&lt;&gt;"-","1B","DH"))))))))</f>
        <v>LF</v>
      </c>
      <c r="AT406" s="47"/>
      <c r="AU406" s="47"/>
      <c r="AV406" s="47"/>
      <c r="AW406" s="47" t="str">
        <f>IF(AND($Q406&gt;=6,AVERAGE($S406:$T406)&gt;=6),"Likely",IF(OR($Q406&gt;6,AND($Q406=6,AVERAGE($S406:$T406)&gt;=3),AND($Q406&gt;=5,AVERAGE($S406:$T406)&gt;=5),AVERAGE($Q406,$S406:$T406)&gt;5),"Possible","Unlikely"))</f>
        <v>Unlikely</v>
      </c>
      <c r="AX406" s="47"/>
      <c r="AY406" s="47" t="str">
        <f>INDEX(Table5[[#All],[Ovr]],MATCH(Batters[[#This Row],[PID]],Table5[[#All],[PID]],0))</f>
        <v/>
      </c>
      <c r="AZ406" s="47" t="str">
        <f>INDEX(Table5[[#All],[Rnd]],MATCH(Batters[[#This Row],[PID]],Table5[[#All],[PID]],0))</f>
        <v/>
      </c>
      <c r="BA406" s="47" t="str">
        <f>INDEX(Table5[[#All],[Pick]],MATCH(Batters[[#This Row],[PID]],Table5[[#All],[PID]],0))</f>
        <v/>
      </c>
      <c r="BB406" s="47" t="str">
        <f>INDEX(Table5[[#All],[Team]],MATCH(Batters[[#This Row],[PID]],Table5[[#All],[PID]],0))</f>
        <v/>
      </c>
    </row>
    <row r="407" spans="1:54" ht="15" customHeight="1" x14ac:dyDescent="0.25">
      <c r="A407" s="42">
        <v>5316</v>
      </c>
      <c r="B407" s="42" t="s">
        <v>87</v>
      </c>
      <c r="C407" s="42" t="s">
        <v>347</v>
      </c>
      <c r="D407" s="42" t="s">
        <v>780</v>
      </c>
      <c r="E407" s="42">
        <v>22</v>
      </c>
      <c r="F407" s="42" t="s">
        <v>62</v>
      </c>
      <c r="G407" s="42" t="s">
        <v>42</v>
      </c>
      <c r="H407" s="43" t="s">
        <v>711</v>
      </c>
      <c r="I407" s="44" t="s">
        <v>43</v>
      </c>
      <c r="J407" s="42" t="s">
        <v>44</v>
      </c>
      <c r="K407" s="43" t="s">
        <v>43</v>
      </c>
      <c r="L407" s="42">
        <v>2</v>
      </c>
      <c r="M407" s="42">
        <v>2</v>
      </c>
      <c r="N407" s="42">
        <v>2</v>
      </c>
      <c r="O407" s="42">
        <v>2</v>
      </c>
      <c r="P407" s="43">
        <v>1</v>
      </c>
      <c r="Q407" s="42">
        <v>3</v>
      </c>
      <c r="R407" s="42">
        <v>3</v>
      </c>
      <c r="S407" s="42">
        <v>3</v>
      </c>
      <c r="T407" s="42">
        <v>5</v>
      </c>
      <c r="U407" s="43">
        <v>3</v>
      </c>
      <c r="V407" s="42">
        <v>4</v>
      </c>
      <c r="W407" s="42">
        <v>2</v>
      </c>
      <c r="X407" s="42">
        <v>1</v>
      </c>
      <c r="Y407" s="43">
        <v>1</v>
      </c>
      <c r="Z407" s="42" t="s">
        <v>45</v>
      </c>
      <c r="AA407" s="42">
        <v>6</v>
      </c>
      <c r="AB407" s="42" t="s">
        <v>45</v>
      </c>
      <c r="AC407" s="42" t="s">
        <v>45</v>
      </c>
      <c r="AD407" s="42" t="s">
        <v>45</v>
      </c>
      <c r="AE407" s="42" t="s">
        <v>45</v>
      </c>
      <c r="AF407" s="42" t="s">
        <v>45</v>
      </c>
      <c r="AG407" s="43" t="s">
        <v>45</v>
      </c>
      <c r="AH407" s="42">
        <v>9</v>
      </c>
      <c r="AI407" s="42">
        <v>9</v>
      </c>
      <c r="AJ407" s="43">
        <v>7</v>
      </c>
      <c r="AK407" s="45" t="s">
        <v>45</v>
      </c>
      <c r="AL407" s="45" t="s">
        <v>47</v>
      </c>
      <c r="AM407" s="46">
        <f>($L$3*(L407-$Q$1)/$Q$2+$M$3*(M407-$R$1)/$R$2+$N$3*(N407-$S$1)/$S$2+$O$3*(O407-$T$1)/$T$2+$P$3*(P407-$U$1)/$U$2)/(SUM($L$3:$P$3))</f>
        <v>-1.5379565899727115</v>
      </c>
      <c r="AN407" s="46">
        <f>($L$3*(Q407-$Q$1)/$Q$2+$M$3*(R407-$R$1)/$R$2+$N$3*(S407-$S$1)/$S$2+$O$3*(T407-$T$1)/$T$2+$P$3*(U407-$U$1)/$U$2)/(SUM($L$3:$P$3))</f>
        <v>-0.73211805046452161</v>
      </c>
      <c r="AO407" s="47">
        <f>IF(AVERAGE(AH407:AI407)&gt;9,1,0)+IF(AVERAGE(AH407:AI407)&gt;7,1,0)+IF(AH407&gt;7,1,0)+IF(AI407&gt;7,1,0)+IF(AJ407&gt;8,1,0)+IF(AJ407&gt;6,1,0)</f>
        <v>4</v>
      </c>
      <c r="AP407" s="48">
        <f>MIN(2,IF(OR(Z407="-",X407&lt;5),0,1+IF(Y407&gt;7,0.35,IF(Y407&gt;5,0.1,0))+IF(Z407&gt;7,1+IF(X407&gt;7,0.25,0),IF(Z407&gt;4,0.5+IF(X407&gt;7,0.25,0),0+IF(X407&gt;7,0.25))))+IF(AA407="-",0,IF(AA407&gt;9,0.5,IF(AA407&gt;7,0.25,0)))+IF(AB407="-",0,IF(AB407&gt;7,1.1,IF(AB407&gt;4,0.6,0)))+IF(OR(AC407="-",V407&lt;5),0,IF(AC407&gt;7,1+IF(V407&gt;7,0.25,0),IF(AC407&gt;4,0.5+IF(V407&gt;7,0.25,0),0)))+IF(AD407="-",0,IF(AD407&gt;7,1.5,IF(AD407&gt;4,1,0)))+IF(AE407="-",0,IF(AE407&gt;9,0.5,IF(AE407&gt;7,0.25,0)))+IF(AF407="-",0,IF(AF407&gt;7,1.25,IF(AF407&gt;4,0.75,0)))+IF(OR(AG407="-",W407&lt;4),0,IF(AG407&gt;7,1+IF(W407&gt;7,0.15,0),IF(AG407&gt;4,0.5+IF(W407&gt;7,0.15,0),0))))</f>
        <v>0</v>
      </c>
      <c r="AQ407" s="46">
        <f>($AM$3*AM407+$AN$3*AN407+$AO$3*AO407+$AP$3*AP407)+$I$3*VLOOKUP(I407,COND!$A$2:$E$7,4,FALSE)+$J$3*VLOOKUP(J407,COND!$A$2:$C$7,2,FALSE)+$K$3*VLOOKUP(K407,COND!$A$2:$C$7,3,FALSE)+IF(AND($B$2&gt;0,$E407&lt;20),$B$2*25,0)</f>
        <v>36.427454402095137</v>
      </c>
      <c r="AR407" s="49">
        <f>STANDARDIZE(AQ407,AVERAGE($AQ$5:$AQ$537),STDEVP($AQ$5:$AQ$537))</f>
        <v>-0.68983746184098649</v>
      </c>
      <c r="AS407" s="47" t="str">
        <f>IF(AND(Z407&lt;&gt;"-",Y407&gt;1),"C",IF(AB407=MAX(AB407:AD407),"2B",IF(AD407=MAX(AB407:AD407),"SS",IF(OR(AC407=MAX(AA407:AD407),AND(AC407&lt;&gt;"-",AC407&gt;4,V407&gt;5)),"3B",IF(AF407=MAX(AE407:AG407),"CF",IF(AND(AG407=MAX(AE407,AG407),AND(W407&gt;5,AG407&lt;&gt;"-")),"RF",IF(AE407&lt;&gt;"-","LF",IF(AA407&lt;&gt;"-","1B","DH"))))))))</f>
        <v>1B</v>
      </c>
      <c r="AT407" s="47"/>
      <c r="AU407" s="47"/>
      <c r="AV407" s="47"/>
      <c r="AW407" s="47" t="str">
        <f>IF(AND($Q407&gt;=6,AVERAGE($S407:$T407)&gt;=6),"Likely",IF(OR($Q407&gt;6,AND($Q407=6,AVERAGE($S407:$T407)&gt;=3),AND($Q407&gt;=5,AVERAGE($S407:$T407)&gt;=5),AVERAGE($Q407,$S407:$T407)&gt;5),"Possible","Unlikely"))</f>
        <v>Unlikely</v>
      </c>
      <c r="AX407" s="47"/>
      <c r="AY407" s="47" t="str">
        <f>INDEX(Table5[[#All],[Ovr]],MATCH(Batters[[#This Row],[PID]],Table5[[#All],[PID]],0))</f>
        <v/>
      </c>
      <c r="AZ407" s="47" t="str">
        <f>INDEX(Table5[[#All],[Rnd]],MATCH(Batters[[#This Row],[PID]],Table5[[#All],[PID]],0))</f>
        <v/>
      </c>
      <c r="BA407" s="47" t="str">
        <f>INDEX(Table5[[#All],[Pick]],MATCH(Batters[[#This Row],[PID]],Table5[[#All],[PID]],0))</f>
        <v/>
      </c>
      <c r="BB407" s="47" t="str">
        <f>INDEX(Table5[[#All],[Team]],MATCH(Batters[[#This Row],[PID]],Table5[[#All],[PID]],0))</f>
        <v/>
      </c>
    </row>
    <row r="408" spans="1:54" ht="15" customHeight="1" x14ac:dyDescent="0.25">
      <c r="A408" s="42">
        <v>11678</v>
      </c>
      <c r="B408" s="42" t="s">
        <v>87</v>
      </c>
      <c r="C408" s="42" t="s">
        <v>1255</v>
      </c>
      <c r="D408" s="42" t="s">
        <v>1256</v>
      </c>
      <c r="E408" s="42">
        <v>21</v>
      </c>
      <c r="F408" s="42" t="s">
        <v>42</v>
      </c>
      <c r="G408" s="42" t="s">
        <v>42</v>
      </c>
      <c r="H408" s="43" t="s">
        <v>709</v>
      </c>
      <c r="I408" s="44" t="s">
        <v>43</v>
      </c>
      <c r="J408" s="42" t="s">
        <v>44</v>
      </c>
      <c r="K408" s="43" t="s">
        <v>43</v>
      </c>
      <c r="L408" s="42">
        <v>2</v>
      </c>
      <c r="M408" s="42">
        <v>1</v>
      </c>
      <c r="N408" s="42">
        <v>2</v>
      </c>
      <c r="O408" s="42">
        <v>3</v>
      </c>
      <c r="P408" s="43">
        <v>2</v>
      </c>
      <c r="Q408" s="42">
        <v>3</v>
      </c>
      <c r="R408" s="42">
        <v>3</v>
      </c>
      <c r="S408" s="42">
        <v>3</v>
      </c>
      <c r="T408" s="42">
        <v>5</v>
      </c>
      <c r="U408" s="43">
        <v>4</v>
      </c>
      <c r="V408" s="42">
        <v>2</v>
      </c>
      <c r="W408" s="42">
        <v>5</v>
      </c>
      <c r="X408" s="42">
        <v>1</v>
      </c>
      <c r="Y408" s="43">
        <v>1</v>
      </c>
      <c r="Z408" s="42" t="s">
        <v>45</v>
      </c>
      <c r="AA408" s="42">
        <v>6</v>
      </c>
      <c r="AB408" s="42" t="s">
        <v>45</v>
      </c>
      <c r="AC408" s="42" t="s">
        <v>45</v>
      </c>
      <c r="AD408" s="42" t="s">
        <v>45</v>
      </c>
      <c r="AE408" s="42">
        <v>4</v>
      </c>
      <c r="AF408" s="42" t="s">
        <v>45</v>
      </c>
      <c r="AG408" s="43">
        <v>1</v>
      </c>
      <c r="AH408" s="42">
        <v>8</v>
      </c>
      <c r="AI408" s="42">
        <v>3</v>
      </c>
      <c r="AJ408" s="43">
        <v>1</v>
      </c>
      <c r="AK408" s="45" t="s">
        <v>45</v>
      </c>
      <c r="AL408" s="45" t="s">
        <v>47</v>
      </c>
      <c r="AM408" s="46">
        <f>($L$3*(L408-$Q$1)/$Q$2+$M$3*(M408-$R$1)/$R$2+$N$3*(N408-$S$1)/$S$2+$O$3*(O408-$T$1)/$T$2+$P$3*(P408-$U$1)/$U$2)/(SUM($L$3:$P$3))</f>
        <v>-1.4592905797647502</v>
      </c>
      <c r="AN408" s="46">
        <f>($L$3*(Q408-$Q$1)/$Q$2+$M$3*(R408-$R$1)/$R$2+$N$3*(S408-$S$1)/$S$2+$O$3*(T408-$T$1)/$T$2+$P$3*(U408-$U$1)/$U$2)/(SUM($L$3:$P$3))</f>
        <v>-0.69210171064743797</v>
      </c>
      <c r="AO408" s="47">
        <f>IF(AVERAGE(AH408:AI408)&gt;9,1,0)+IF(AVERAGE(AH408:AI408)&gt;7,1,0)+IF(AH408&gt;7,1,0)+IF(AI408&gt;7,1,0)+IF(AJ408&gt;8,1,0)+IF(AJ408&gt;6,1,0)</f>
        <v>1</v>
      </c>
      <c r="AP408" s="48">
        <f>MIN(2,IF(OR(Z408="-",X408&lt;5),0,1+IF(Y408&gt;7,0.35,IF(Y408&gt;5,0.1,0))+IF(Z408&gt;7,1+IF(X408&gt;7,0.25,0),IF(Z408&gt;4,0.5+IF(X408&gt;7,0.25,0),0+IF(X408&gt;7,0.25))))+IF(AA408="-",0,IF(AA408&gt;9,0.5,IF(AA408&gt;7,0.25,0)))+IF(AB408="-",0,IF(AB408&gt;7,1.1,IF(AB408&gt;4,0.6,0)))+IF(OR(AC408="-",V408&lt;5),0,IF(AC408&gt;7,1+IF(V408&gt;7,0.25,0),IF(AC408&gt;4,0.5+IF(V408&gt;7,0.25,0),0)))+IF(AD408="-",0,IF(AD408&gt;7,1.5,IF(AD408&gt;4,1,0)))+IF(AE408="-",0,IF(AE408&gt;9,0.5,IF(AE408&gt;7,0.25,0)))+IF(AF408="-",0,IF(AF408&gt;7,1.25,IF(AF408&gt;4,0.75,0)))+IF(OR(AG408="-",W408&lt;4),0,IF(AG408&gt;7,1+IF(W408&gt;7,0.15,0),IF(AG408&gt;4,0.5+IF(W408&gt;7,0.15,0),0))))</f>
        <v>0</v>
      </c>
      <c r="AQ408" s="46">
        <f>($AM$3*AM408+$AN$3*AN408+$AO$3*AO408+$AP$3*AP408)+$I$3*VLOOKUP(I408,COND!$A$2:$E$7,4,FALSE)+$J$3*VLOOKUP(J408,COND!$A$2:$C$7,2,FALSE)+$K$3*VLOOKUP(K408,COND!$A$2:$C$7,3,FALSE)+IF(AND($B$2&gt;0,$E408&lt;20),$B$2*25,0)</f>
        <v>36.415517080920935</v>
      </c>
      <c r="AR408" s="49">
        <f>STANDARDIZE(AQ408,AVERAGE($AQ$5:$AQ$537),STDEVP($AQ$5:$AQ$537))</f>
        <v>-0.69193775416252923</v>
      </c>
      <c r="AS408" s="47" t="str">
        <f>IF(AND(Z408&lt;&gt;"-",Y408&gt;1),"C",IF(AB408=MAX(AB408:AD408),"2B",IF(AD408=MAX(AB408:AD408),"SS",IF(OR(AC408=MAX(AA408:AD408),AND(AC408&lt;&gt;"-",AC408&gt;4,V408&gt;5)),"3B",IF(AF408=MAX(AE408:AG408),"CF",IF(AND(AG408=MAX(AE408,AG408),AND(W408&gt;5,AG408&lt;&gt;"-")),"RF",IF(AE408&lt;&gt;"-","LF",IF(AA408&lt;&gt;"-","1B","DH"))))))))</f>
        <v>LF</v>
      </c>
      <c r="AT408" s="47"/>
      <c r="AU408" s="47"/>
      <c r="AV408" s="47"/>
      <c r="AW408" s="47" t="str">
        <f>IF(AND($Q408&gt;=6,AVERAGE($S408:$T408)&gt;=6),"Likely",IF(OR($Q408&gt;6,AND($Q408=6,AVERAGE($S408:$T408)&gt;=3),AND($Q408&gt;=5,AVERAGE($S408:$T408)&gt;=5),AVERAGE($Q408,$S408:$T408)&gt;5),"Possible","Unlikely"))</f>
        <v>Unlikely</v>
      </c>
      <c r="AX408" s="47"/>
      <c r="AY408" s="47" t="str">
        <f>INDEX(Table5[[#All],[Ovr]],MATCH(Batters[[#This Row],[PID]],Table5[[#All],[PID]],0))</f>
        <v/>
      </c>
      <c r="AZ408" s="47" t="str">
        <f>INDEX(Table5[[#All],[Rnd]],MATCH(Batters[[#This Row],[PID]],Table5[[#All],[PID]],0))</f>
        <v/>
      </c>
      <c r="BA408" s="47" t="str">
        <f>INDEX(Table5[[#All],[Pick]],MATCH(Batters[[#This Row],[PID]],Table5[[#All],[PID]],0))</f>
        <v/>
      </c>
      <c r="BB408" s="47" t="str">
        <f>INDEX(Table5[[#All],[Team]],MATCH(Batters[[#This Row],[PID]],Table5[[#All],[PID]],0))</f>
        <v/>
      </c>
    </row>
    <row r="409" spans="1:54" ht="15" customHeight="1" x14ac:dyDescent="0.25">
      <c r="A409" s="42">
        <v>17943</v>
      </c>
      <c r="B409" s="42" t="s">
        <v>87</v>
      </c>
      <c r="C409" s="42" t="s">
        <v>1309</v>
      </c>
      <c r="D409" s="42" t="s">
        <v>1310</v>
      </c>
      <c r="E409" s="42">
        <v>18</v>
      </c>
      <c r="F409" s="42" t="s">
        <v>53</v>
      </c>
      <c r="G409" s="42" t="s">
        <v>53</v>
      </c>
      <c r="H409" s="43" t="s">
        <v>721</v>
      </c>
      <c r="I409" s="44" t="s">
        <v>47</v>
      </c>
      <c r="J409" s="42" t="s">
        <v>47</v>
      </c>
      <c r="K409" s="43" t="s">
        <v>43</v>
      </c>
      <c r="L409" s="42">
        <v>1</v>
      </c>
      <c r="M409" s="42">
        <v>1</v>
      </c>
      <c r="N409" s="42">
        <v>2</v>
      </c>
      <c r="O409" s="42">
        <v>1</v>
      </c>
      <c r="P409" s="43">
        <v>1</v>
      </c>
      <c r="Q409" s="42">
        <v>3</v>
      </c>
      <c r="R409" s="42">
        <v>1</v>
      </c>
      <c r="S409" s="42">
        <v>2</v>
      </c>
      <c r="T409" s="42">
        <v>1</v>
      </c>
      <c r="U409" s="43">
        <v>3</v>
      </c>
      <c r="V409" s="42">
        <v>6</v>
      </c>
      <c r="W409" s="42">
        <v>1</v>
      </c>
      <c r="X409" s="42">
        <v>1</v>
      </c>
      <c r="Y409" s="43">
        <v>1</v>
      </c>
      <c r="Z409" s="42" t="s">
        <v>45</v>
      </c>
      <c r="AA409" s="42" t="s">
        <v>45</v>
      </c>
      <c r="AB409" s="42" t="s">
        <v>45</v>
      </c>
      <c r="AC409" s="42" t="s">
        <v>45</v>
      </c>
      <c r="AD409" s="42" t="s">
        <v>45</v>
      </c>
      <c r="AE409" s="42" t="s">
        <v>45</v>
      </c>
      <c r="AF409" s="42" t="s">
        <v>45</v>
      </c>
      <c r="AG409" s="43" t="s">
        <v>45</v>
      </c>
      <c r="AH409" s="42">
        <v>2</v>
      </c>
      <c r="AI409" s="42">
        <v>2</v>
      </c>
      <c r="AJ409" s="43">
        <v>4</v>
      </c>
      <c r="AK409" s="45" t="s">
        <v>718</v>
      </c>
      <c r="AL409" s="45" t="s">
        <v>47</v>
      </c>
      <c r="AM409" s="46">
        <f>($L$3*(L409-$Q$1)/$Q$2+$M$3*(M409-$R$1)/$R$2+$N$3*(N409-$S$1)/$S$2+$O$3*(O409-$T$1)/$T$2+$P$3*(P409-$U$1)/$U$2)/(SUM($L$3:$P$3))</f>
        <v>-2.0012818558036707</v>
      </c>
      <c r="AN409" s="46">
        <f>($L$3*(Q409-$Q$1)/$Q$2+$M$3*(R409-$R$1)/$R$2+$N$3*(S409-$S$1)/$S$2+$O$3*(T409-$T$1)/$T$2+$P$3*(U409-$U$1)/$U$2)/(SUM($L$3:$P$3))</f>
        <v>-1.276137503764154</v>
      </c>
      <c r="AO409" s="47">
        <f>IF(AVERAGE(AH409:AI409)&gt;9,1,0)+IF(AVERAGE(AH409:AI409)&gt;7,1,0)+IF(AH409&gt;7,1,0)+IF(AI409&gt;7,1,0)+IF(AJ409&gt;8,1,0)+IF(AJ409&gt;6,1,0)</f>
        <v>0</v>
      </c>
      <c r="AP409" s="48">
        <f>MIN(2,IF(OR(Z409="-",X409&lt;5),0,1+IF(Y409&gt;7,0.35,IF(Y409&gt;5,0.1,0))+IF(Z409&gt;7,1+IF(X409&gt;7,0.25,0),IF(Z409&gt;4,0.5+IF(X409&gt;7,0.25,0),0+IF(X409&gt;7,0.25))))+IF(AA409="-",0,IF(AA409&gt;9,0.5,IF(AA409&gt;7,0.25,0)))+IF(AB409="-",0,IF(AB409&gt;7,1.1,IF(AB409&gt;4,0.6,0)))+IF(OR(AC409="-",V409&lt;5),0,IF(AC409&gt;7,1+IF(V409&gt;7,0.25,0),IF(AC409&gt;4,0.5+IF(V409&gt;7,0.25,0),0)))+IF(AD409="-",0,IF(AD409&gt;7,1.5,IF(AD409&gt;4,1,0)))+IF(AE409="-",0,IF(AE409&gt;9,0.5,IF(AE409&gt;7,0.25,0)))+IF(AF409="-",0,IF(AF409&gt;7,1.25,IF(AF409&gt;4,0.75,0)))+IF(OR(AG409="-",W409&lt;4),0,IF(AG409&gt;7,1+IF(W409&gt;7,0.15,0),IF(AG409&gt;4,0.5+IF(W409&gt;7,0.15,0),0))))</f>
        <v>0</v>
      </c>
      <c r="AQ409" s="46">
        <f>($AM$3*AM409+$AN$3*AN409+$AO$3*AO409+$AP$3*AP409)+$I$3*VLOOKUP(I409,COND!$A$2:$E$7,4,FALSE)+$J$3*VLOOKUP(J409,COND!$A$2:$C$7,2,FALSE)+$K$3*VLOOKUP(K409,COND!$A$2:$C$7,3,FALSE)+IF(AND($B$2&gt;0,$E409&lt;20),$B$2*25,0)</f>
        <v>35.011221769249786</v>
      </c>
      <c r="AR409" s="49">
        <f>STANDARDIZE(AQ409,AVERAGE($AQ$5:$AQ$537),STDEVP($AQ$5:$AQ$537))</f>
        <v>-0.93901418087839483</v>
      </c>
      <c r="AS409" s="47" t="str">
        <f>IF(AND(Z409&lt;&gt;"-",Y409&gt;1),"C",IF(AB409=MAX(AB409:AD409),"2B",IF(AD409=MAX(AB409:AD409),"SS",IF(OR(AC409=MAX(AA409:AD409),AND(AC409&lt;&gt;"-",AC409&gt;4,V409&gt;5)),"3B",IF(AF409=MAX(AE409:AG409),"CF",IF(AND(AG409=MAX(AE409,AG409),AND(W409&gt;5,AG409&lt;&gt;"-")),"RF",IF(AE409&lt;&gt;"-","LF",IF(AA409&lt;&gt;"-","1B","DH"))))))))</f>
        <v>DH</v>
      </c>
      <c r="AT409" s="47"/>
      <c r="AU409" s="47"/>
      <c r="AV409" s="47"/>
      <c r="AW409" s="47" t="str">
        <f>IF(AND($Q409&gt;=6,AVERAGE($S409:$T409)&gt;=6),"Likely",IF(OR($Q409&gt;6,AND($Q409=6,AVERAGE($S409:$T409)&gt;=3),AND($Q409&gt;=5,AVERAGE($S409:$T409)&gt;=5),AVERAGE($Q409,$S409:$T409)&gt;5),"Possible","Unlikely"))</f>
        <v>Unlikely</v>
      </c>
      <c r="AX409" s="47"/>
      <c r="AY409" s="47" t="str">
        <f>INDEX(Table5[[#All],[Ovr]],MATCH(Batters[[#This Row],[PID]],Table5[[#All],[PID]],0))</f>
        <v/>
      </c>
      <c r="AZ409" s="47" t="str">
        <f>INDEX(Table5[[#All],[Rnd]],MATCH(Batters[[#This Row],[PID]],Table5[[#All],[PID]],0))</f>
        <v/>
      </c>
      <c r="BA409" s="47" t="str">
        <f>INDEX(Table5[[#All],[Pick]],MATCH(Batters[[#This Row],[PID]],Table5[[#All],[PID]],0))</f>
        <v/>
      </c>
      <c r="BB409" s="47" t="str">
        <f>INDEX(Table5[[#All],[Team]],MATCH(Batters[[#This Row],[PID]],Table5[[#All],[PID]],0))</f>
        <v/>
      </c>
    </row>
    <row r="410" spans="1:54" ht="15" customHeight="1" x14ac:dyDescent="0.25">
      <c r="A410" s="42">
        <v>9684</v>
      </c>
      <c r="B410" s="42" t="s">
        <v>86</v>
      </c>
      <c r="C410" s="42" t="s">
        <v>134</v>
      </c>
      <c r="D410" s="42" t="s">
        <v>1013</v>
      </c>
      <c r="E410" s="42">
        <v>21</v>
      </c>
      <c r="F410" s="42" t="s">
        <v>62</v>
      </c>
      <c r="G410" s="42" t="s">
        <v>42</v>
      </c>
      <c r="H410" s="43" t="s">
        <v>709</v>
      </c>
      <c r="I410" s="44" t="s">
        <v>47</v>
      </c>
      <c r="J410" s="42" t="s">
        <v>43</v>
      </c>
      <c r="K410" s="43" t="s">
        <v>43</v>
      </c>
      <c r="L410" s="42">
        <v>2</v>
      </c>
      <c r="M410" s="42">
        <v>2</v>
      </c>
      <c r="N410" s="42">
        <v>3</v>
      </c>
      <c r="O410" s="42">
        <v>2</v>
      </c>
      <c r="P410" s="43">
        <v>2</v>
      </c>
      <c r="Q410" s="42">
        <v>3</v>
      </c>
      <c r="R410" s="42">
        <v>3</v>
      </c>
      <c r="S410" s="42">
        <v>3</v>
      </c>
      <c r="T410" s="42">
        <v>4</v>
      </c>
      <c r="U410" s="43">
        <v>4</v>
      </c>
      <c r="V410" s="42">
        <v>4</v>
      </c>
      <c r="W410" s="42">
        <v>4</v>
      </c>
      <c r="X410" s="42">
        <v>4</v>
      </c>
      <c r="Y410" s="43">
        <v>4</v>
      </c>
      <c r="Z410" s="42" t="s">
        <v>45</v>
      </c>
      <c r="AA410" s="42" t="s">
        <v>45</v>
      </c>
      <c r="AB410" s="42" t="s">
        <v>45</v>
      </c>
      <c r="AC410" s="42" t="s">
        <v>45</v>
      </c>
      <c r="AD410" s="42" t="s">
        <v>45</v>
      </c>
      <c r="AE410" s="42" t="s">
        <v>45</v>
      </c>
      <c r="AF410" s="42" t="s">
        <v>45</v>
      </c>
      <c r="AG410" s="43" t="s">
        <v>45</v>
      </c>
      <c r="AH410" s="42">
        <v>1</v>
      </c>
      <c r="AI410" s="42">
        <v>1</v>
      </c>
      <c r="AJ410" s="43">
        <v>1</v>
      </c>
      <c r="AK410" s="45" t="s">
        <v>45</v>
      </c>
      <c r="AL410" s="45" t="s">
        <v>47</v>
      </c>
      <c r="AM410" s="46">
        <f>($L$3*(L410-$Q$1)/$Q$2+$M$3*(M410-$R$1)/$R$2+$N$3*(N410-$S$1)/$S$2+$O$3*(O410-$T$1)/$T$2+$P$3*(P410-$U$1)/$U$2)/(SUM($L$3:$P$3))</f>
        <v>-1.414878756131726</v>
      </c>
      <c r="AN410" s="46">
        <f>($L$3*(Q410-$Q$1)/$Q$2+$M$3*(R410-$R$1)/$R$2+$N$3*(S410-$S$1)/$S$2+$O$3*(T410-$T$1)/$T$2+$P$3*(U410-$U$1)/$U$2)/(SUM($L$3:$P$3))</f>
        <v>-0.781811260657019</v>
      </c>
      <c r="AO410" s="47">
        <f>IF(AVERAGE(AH410:AI410)&gt;9,1,0)+IF(AVERAGE(AH410:AI410)&gt;7,1,0)+IF(AH410&gt;7,1,0)+IF(AI410&gt;7,1,0)+IF(AJ410&gt;8,1,0)+IF(AJ410&gt;6,1,0)</f>
        <v>0</v>
      </c>
      <c r="AP410" s="48">
        <f>MIN(2,IF(OR(Z410="-",X410&lt;5),0,1+IF(Y410&gt;7,0.35,IF(Y410&gt;5,0.1,0))+IF(Z410&gt;7,1+IF(X410&gt;7,0.25,0),IF(Z410&gt;4,0.5+IF(X410&gt;7,0.25,0),0+IF(X410&gt;7,0.25))))+IF(AA410="-",0,IF(AA410&gt;9,0.5,IF(AA410&gt;7,0.25,0)))+IF(AB410="-",0,IF(AB410&gt;7,1.1,IF(AB410&gt;4,0.6,0)))+IF(OR(AC410="-",V410&lt;5),0,IF(AC410&gt;7,1+IF(V410&gt;7,0.25,0),IF(AC410&gt;4,0.5+IF(V410&gt;7,0.25,0),0)))+IF(AD410="-",0,IF(AD410&gt;7,1.5,IF(AD410&gt;4,1,0)))+IF(AE410="-",0,IF(AE410&gt;9,0.5,IF(AE410&gt;7,0.25,0)))+IF(AF410="-",0,IF(AF410&gt;7,1.25,IF(AF410&gt;4,0.75,0)))+IF(OR(AG410="-",W410&lt;4),0,IF(AG410&gt;7,1+IF(W410&gt;7,0.15,0),IF(AG410&gt;4,0.5+IF(W410&gt;7,0.15,0),0))))</f>
        <v>0</v>
      </c>
      <c r="AQ410" s="46">
        <f>($AM$3*AM410+$AN$3*AN410+$AO$3*AO410+$AP$3*AP410)+$I$3*VLOOKUP(I410,COND!$A$2:$E$7,4,FALSE)+$J$3*VLOOKUP(J410,COND!$A$2:$C$7,2,FALSE)+$K$3*VLOOKUP(K410,COND!$A$2:$C$7,3,FALSE)+IF(AND($B$2&gt;0,$E410&lt;20),$B$2*25,0)</f>
        <v>35.701776996502595</v>
      </c>
      <c r="AR410" s="49">
        <f>STANDARDIZE(AQ410,AVERAGE($AQ$5:$AQ$537),STDEVP($AQ$5:$AQ$537))</f>
        <v>-0.81751557828280252</v>
      </c>
      <c r="AS410" s="47" t="str">
        <f>IF(AND(Z410&lt;&gt;"-",Y410&gt;1),"C",IF(AB410=MAX(AB410:AD410),"2B",IF(AD410=MAX(AB410:AD410),"SS",IF(OR(AC410=MAX(AA410:AD410),AND(AC410&lt;&gt;"-",AC410&gt;4,V410&gt;5)),"3B",IF(AF410=MAX(AE410:AG410),"CF",IF(AND(AG410=MAX(AE410,AG410),AND(W410&gt;5,AG410&lt;&gt;"-")),"RF",IF(AE410&lt;&gt;"-","LF",IF(AA410&lt;&gt;"-","1B","DH"))))))))</f>
        <v>DH</v>
      </c>
      <c r="AT410" s="47"/>
      <c r="AU410" s="47"/>
      <c r="AV410" s="47"/>
      <c r="AW410" s="47" t="str">
        <f>IF(AND($Q410&gt;=6,AVERAGE($S410:$T410)&gt;=6),"Likely",IF(OR($Q410&gt;6,AND($Q410=6,AVERAGE($S410:$T410)&gt;=3),AND($Q410&gt;=5,AVERAGE($S410:$T410)&gt;=5),AVERAGE($Q410,$S410:$T410)&gt;5),"Possible","Unlikely"))</f>
        <v>Unlikely</v>
      </c>
      <c r="AX410" s="47"/>
      <c r="AY410" s="47" t="str">
        <f>INDEX(Table5[[#All],[Ovr]],MATCH(Batters[[#This Row],[PID]],Table5[[#All],[PID]],0))</f>
        <v/>
      </c>
      <c r="AZ410" s="47" t="str">
        <f>INDEX(Table5[[#All],[Rnd]],MATCH(Batters[[#This Row],[PID]],Table5[[#All],[PID]],0))</f>
        <v/>
      </c>
      <c r="BA410" s="47" t="str">
        <f>INDEX(Table5[[#All],[Pick]],MATCH(Batters[[#This Row],[PID]],Table5[[#All],[PID]],0))</f>
        <v/>
      </c>
      <c r="BB410" s="47" t="str">
        <f>INDEX(Table5[[#All],[Team]],MATCH(Batters[[#This Row],[PID]],Table5[[#All],[PID]],0))</f>
        <v/>
      </c>
    </row>
    <row r="411" spans="1:54" ht="15" customHeight="1" x14ac:dyDescent="0.25">
      <c r="A411" s="42">
        <v>15085</v>
      </c>
      <c r="B411" s="42" t="s">
        <v>69</v>
      </c>
      <c r="C411" s="42" t="s">
        <v>724</v>
      </c>
      <c r="D411" s="42" t="s">
        <v>213</v>
      </c>
      <c r="E411" s="42">
        <v>21</v>
      </c>
      <c r="F411" s="42" t="s">
        <v>42</v>
      </c>
      <c r="G411" s="42" t="s">
        <v>42</v>
      </c>
      <c r="H411" s="43" t="s">
        <v>721</v>
      </c>
      <c r="I411" s="44" t="s">
        <v>43</v>
      </c>
      <c r="J411" s="42" t="s">
        <v>44</v>
      </c>
      <c r="K411" s="43" t="s">
        <v>43</v>
      </c>
      <c r="L411" s="42">
        <v>2</v>
      </c>
      <c r="M411" s="42">
        <v>2</v>
      </c>
      <c r="N411" s="42">
        <v>2</v>
      </c>
      <c r="O411" s="42">
        <v>3</v>
      </c>
      <c r="P411" s="43">
        <v>1</v>
      </c>
      <c r="Q411" s="42">
        <v>3</v>
      </c>
      <c r="R411" s="42">
        <v>4</v>
      </c>
      <c r="S411" s="42">
        <v>3</v>
      </c>
      <c r="T411" s="42">
        <v>5</v>
      </c>
      <c r="U411" s="43">
        <v>3</v>
      </c>
      <c r="V411" s="42">
        <v>5</v>
      </c>
      <c r="W411" s="42">
        <v>5</v>
      </c>
      <c r="X411" s="42">
        <v>1</v>
      </c>
      <c r="Y411" s="43">
        <v>1</v>
      </c>
      <c r="Z411" s="42" t="s">
        <v>45</v>
      </c>
      <c r="AA411" s="42" t="s">
        <v>45</v>
      </c>
      <c r="AB411" s="42" t="s">
        <v>45</v>
      </c>
      <c r="AC411" s="42">
        <v>1</v>
      </c>
      <c r="AD411" s="42" t="s">
        <v>45</v>
      </c>
      <c r="AE411" s="42" t="s">
        <v>45</v>
      </c>
      <c r="AF411" s="42" t="s">
        <v>45</v>
      </c>
      <c r="AG411" s="43" t="s">
        <v>45</v>
      </c>
      <c r="AH411" s="42">
        <v>5</v>
      </c>
      <c r="AI411" s="42">
        <v>3</v>
      </c>
      <c r="AJ411" s="43">
        <v>1</v>
      </c>
      <c r="AK411" s="45" t="s">
        <v>45</v>
      </c>
      <c r="AL411" s="45" t="s">
        <v>47</v>
      </c>
      <c r="AM411" s="46">
        <f>($L$3*(L411-$Q$1)/$Q$2+$M$3*(M411-$R$1)/$R$2+$N$3*(N411-$S$1)/$S$2+$O$3*(O411-$T$1)/$T$2+$P$3*(P411-$U$1)/$U$2)/(SUM($L$3:$P$3))</f>
        <v>-1.4482470399631302</v>
      </c>
      <c r="AN411" s="46">
        <f>($L$3*(Q411-$Q$1)/$Q$2+$M$3*(R411-$R$1)/$R$2+$N$3*(S411-$S$1)/$S$2+$O$3*(T411-$T$1)/$T$2+$P$3*(U411-$U$1)/$U$2)/(SUM($L$3:$P$3))</f>
        <v>-0.6810581708458181</v>
      </c>
      <c r="AO411" s="47">
        <f>IF(AVERAGE(AH411:AI411)&gt;9,1,0)+IF(AVERAGE(AH411:AI411)&gt;7,1,0)+IF(AH411&gt;7,1,0)+IF(AI411&gt;7,1,0)+IF(AJ411&gt;8,1,0)+IF(AJ411&gt;6,1,0)</f>
        <v>0</v>
      </c>
      <c r="AP411" s="48">
        <f>MIN(2,IF(OR(Z411="-",X411&lt;5),0,1+IF(Y411&gt;7,0.35,IF(Y411&gt;5,0.1,0))+IF(Z411&gt;7,1+IF(X411&gt;7,0.25,0),IF(Z411&gt;4,0.5+IF(X411&gt;7,0.25,0),0+IF(X411&gt;7,0.25))))+IF(AA411="-",0,IF(AA411&gt;9,0.5,IF(AA411&gt;7,0.25,0)))+IF(AB411="-",0,IF(AB411&gt;7,1.1,IF(AB411&gt;4,0.6,0)))+IF(OR(AC411="-",V411&lt;5),0,IF(AC411&gt;7,1+IF(V411&gt;7,0.25,0),IF(AC411&gt;4,0.5+IF(V411&gt;7,0.25,0),0)))+IF(AD411="-",0,IF(AD411&gt;7,1.5,IF(AD411&gt;4,1,0)))+IF(AE411="-",0,IF(AE411&gt;9,0.5,IF(AE411&gt;7,0.25,0)))+IF(AF411="-",0,IF(AF411&gt;7,1.25,IF(AF411&gt;4,0.75,0)))+IF(OR(AG411="-",W411&lt;4),0,IF(AG411&gt;7,1+IF(W411&gt;7,0.15,0),IF(AG411&gt;4,0.5+IF(W411&gt;7,0.15,0),0))))</f>
        <v>0</v>
      </c>
      <c r="AQ411" s="46">
        <f>($AM$3*AM411+$AN$3*AN411+$AO$3*AO411+$AP$3*AP411)+$I$3*VLOOKUP(I411,COND!$A$2:$E$7,4,FALSE)+$J$3*VLOOKUP(J411,COND!$A$2:$C$7,2,FALSE)+$K$3*VLOOKUP(K411,COND!$A$2:$C$7,3,FALSE)+IF(AND($B$2&gt;0,$E411&lt;20),$B$2*25,0)</f>
        <v>36.38247724585387</v>
      </c>
      <c r="AR411" s="49">
        <f>STANDARDIZE(AQ411,AVERAGE($AQ$5:$AQ$537),STDEVP($AQ$5:$AQ$537))</f>
        <v>-0.6977508935498119</v>
      </c>
      <c r="AS411" s="47" t="str">
        <f>IF(AND(Z411&lt;&gt;"-",Y411&gt;1),"C",IF(AB411=MAX(AB411:AD411),"2B",IF(AD411=MAX(AB411:AD411),"SS",IF(OR(AC411=MAX(AA411:AD411),AND(AC411&lt;&gt;"-",AC411&gt;4,V411&gt;5)),"3B",IF(AF411=MAX(AE411:AG411),"CF",IF(AND(AG411=MAX(AE411,AG411),AND(W411&gt;5,AG411&lt;&gt;"-")),"RF",IF(AE411&lt;&gt;"-","LF",IF(AA411&lt;&gt;"-","1B","DH"))))))))</f>
        <v>3B</v>
      </c>
      <c r="AT411" s="47"/>
      <c r="AU411" s="47"/>
      <c r="AV411" s="47"/>
      <c r="AW411" s="47" t="str">
        <f>IF(AND($Q411&gt;=6,AVERAGE($S411:$T411)&gt;=6),"Likely",IF(OR($Q411&gt;6,AND($Q411=6,AVERAGE($S411:$T411)&gt;=3),AND($Q411&gt;=5,AVERAGE($S411:$T411)&gt;=5),AVERAGE($Q411,$S411:$T411)&gt;5),"Possible","Unlikely"))</f>
        <v>Unlikely</v>
      </c>
      <c r="AX411" s="47"/>
      <c r="AY411" s="47" t="str">
        <f>INDEX(Table5[[#All],[Ovr]],MATCH(Batters[[#This Row],[PID]],Table5[[#All],[PID]],0))</f>
        <v/>
      </c>
      <c r="AZ411" s="47" t="str">
        <f>INDEX(Table5[[#All],[Rnd]],MATCH(Batters[[#This Row],[PID]],Table5[[#All],[PID]],0))</f>
        <v/>
      </c>
      <c r="BA411" s="47" t="str">
        <f>INDEX(Table5[[#All],[Pick]],MATCH(Batters[[#This Row],[PID]],Table5[[#All],[PID]],0))</f>
        <v/>
      </c>
      <c r="BB411" s="47" t="str">
        <f>INDEX(Table5[[#All],[Team]],MATCH(Batters[[#This Row],[PID]],Table5[[#All],[PID]],0))</f>
        <v/>
      </c>
    </row>
    <row r="412" spans="1:54" ht="15" customHeight="1" x14ac:dyDescent="0.25">
      <c r="A412" s="42">
        <v>7749</v>
      </c>
      <c r="B412" s="42" t="s">
        <v>86</v>
      </c>
      <c r="C412" s="42" t="s">
        <v>128</v>
      </c>
      <c r="D412" s="42" t="s">
        <v>559</v>
      </c>
      <c r="E412" s="42">
        <v>18</v>
      </c>
      <c r="F412" s="42" t="s">
        <v>62</v>
      </c>
      <c r="G412" s="42" t="s">
        <v>42</v>
      </c>
      <c r="H412" s="43" t="s">
        <v>721</v>
      </c>
      <c r="I412" s="44" t="s">
        <v>43</v>
      </c>
      <c r="J412" s="42" t="s">
        <v>44</v>
      </c>
      <c r="K412" s="43" t="s">
        <v>43</v>
      </c>
      <c r="L412" s="42">
        <v>1</v>
      </c>
      <c r="M412" s="42">
        <v>1</v>
      </c>
      <c r="N412" s="42">
        <v>2</v>
      </c>
      <c r="O412" s="42">
        <v>2</v>
      </c>
      <c r="P412" s="43">
        <v>1</v>
      </c>
      <c r="Q412" s="42">
        <v>2</v>
      </c>
      <c r="R412" s="42">
        <v>3</v>
      </c>
      <c r="S412" s="42">
        <v>3</v>
      </c>
      <c r="T412" s="42">
        <v>5</v>
      </c>
      <c r="U412" s="43">
        <v>2</v>
      </c>
      <c r="V412" s="42">
        <v>2</v>
      </c>
      <c r="W412" s="42">
        <v>2</v>
      </c>
      <c r="X412" s="42">
        <v>4</v>
      </c>
      <c r="Y412" s="43">
        <v>3</v>
      </c>
      <c r="Z412" s="42" t="s">
        <v>45</v>
      </c>
      <c r="AA412" s="42" t="s">
        <v>45</v>
      </c>
      <c r="AB412" s="42" t="s">
        <v>45</v>
      </c>
      <c r="AC412" s="42" t="s">
        <v>45</v>
      </c>
      <c r="AD412" s="42" t="s">
        <v>45</v>
      </c>
      <c r="AE412" s="42" t="s">
        <v>45</v>
      </c>
      <c r="AF412" s="42" t="s">
        <v>45</v>
      </c>
      <c r="AG412" s="43" t="s">
        <v>45</v>
      </c>
      <c r="AH412" s="42">
        <v>1</v>
      </c>
      <c r="AI412" s="42">
        <v>2</v>
      </c>
      <c r="AJ412" s="43">
        <v>2</v>
      </c>
      <c r="AK412" s="45" t="s">
        <v>718</v>
      </c>
      <c r="AL412" s="45" t="s">
        <v>47</v>
      </c>
      <c r="AM412" s="46">
        <f>($L$3*(L412-$Q$1)/$Q$2+$M$3*(M412-$R$1)/$R$2+$N$3*(N412-$S$1)/$S$2+$O$3*(O412-$T$1)/$T$2+$P$3*(P412-$U$1)/$U$2)/(SUM($L$3:$P$3))</f>
        <v>-1.9115723057940897</v>
      </c>
      <c r="AN412" s="46">
        <f>($L$3*(Q412-$Q$1)/$Q$2+$M$3*(R412-$R$1)/$R$2+$N$3*(S412-$S$1)/$S$2+$O$3*(T412-$T$1)/$T$2+$P$3*(U412-$U$1)/$U$2)/(SUM($L$3:$P$3))</f>
        <v>-1.0946902264842799</v>
      </c>
      <c r="AO412" s="47">
        <f>IF(AVERAGE(AH412:AI412)&gt;9,1,0)+IF(AVERAGE(AH412:AI412)&gt;7,1,0)+IF(AH412&gt;7,1,0)+IF(AI412&gt;7,1,0)+IF(AJ412&gt;8,1,0)+IF(AJ412&gt;6,1,0)</f>
        <v>0</v>
      </c>
      <c r="AP412" s="48">
        <f>MIN(2,IF(OR(Z412="-",X412&lt;5),0,1+IF(Y412&gt;7,0.35,IF(Y412&gt;5,0.1,0))+IF(Z412&gt;7,1+IF(X412&gt;7,0.25,0),IF(Z412&gt;4,0.5+IF(X412&gt;7,0.25,0),0+IF(X412&gt;7,0.25))))+IF(AA412="-",0,IF(AA412&gt;9,0.5,IF(AA412&gt;7,0.25,0)))+IF(AB412="-",0,IF(AB412&gt;7,1.1,IF(AB412&gt;4,0.6,0)))+IF(OR(AC412="-",V412&lt;5),0,IF(AC412&gt;7,1+IF(V412&gt;7,0.25,0),IF(AC412&gt;4,0.5+IF(V412&gt;7,0.25,0),0)))+IF(AD412="-",0,IF(AD412&gt;7,1.5,IF(AD412&gt;4,1,0)))+IF(AE412="-",0,IF(AE412&gt;9,0.5,IF(AE412&gt;7,0.25,0)))+IF(AF412="-",0,IF(AF412&gt;7,1.25,IF(AF412&gt;4,0.75,0)))+IF(OR(AG412="-",W412&lt;4),0,IF(AG412&gt;7,1+IF(W412&gt;7,0.15,0),IF(AG412&gt;4,0.5+IF(W412&gt;7,0.15,0),0))))</f>
        <v>0</v>
      </c>
      <c r="AQ412" s="46">
        <f>($AM$3*AM412+$AN$3*AN412+$AO$3*AO412+$AP$3*AP412)+$I$3*VLOOKUP(I412,COND!$A$2:$E$7,4,FALSE)+$J$3*VLOOKUP(J412,COND!$A$2:$C$7,2,FALSE)+$K$3*VLOOKUP(K412,COND!$A$2:$C$7,3,FALSE)+IF(AND($B$2&gt;0,$E412&lt;20),$B$2*25,0)</f>
        <v>36.372560051609234</v>
      </c>
      <c r="AR412" s="49">
        <f>STANDARDIZE(AQ412,AVERAGE($AQ$5:$AQ$537),STDEVP($AQ$5:$AQ$537))</f>
        <v>-0.69949575796447405</v>
      </c>
      <c r="AS412" s="47" t="str">
        <f>IF(AND(Z412&lt;&gt;"-",Y412&gt;1),"C",IF(AB412=MAX(AB412:AD412),"2B",IF(AD412=MAX(AB412:AD412),"SS",IF(OR(AC412=MAX(AA412:AD412),AND(AC412&lt;&gt;"-",AC412&gt;4,V412&gt;5)),"3B",IF(AF412=MAX(AE412:AG412),"CF",IF(AND(AG412=MAX(AE412,AG412),AND(W412&gt;5,AG412&lt;&gt;"-")),"RF",IF(AE412&lt;&gt;"-","LF",IF(AA412&lt;&gt;"-","1B","DH"))))))))</f>
        <v>DH</v>
      </c>
      <c r="AT412" s="47"/>
      <c r="AU412" s="47"/>
      <c r="AV412" s="47"/>
      <c r="AW412" s="47" t="str">
        <f>IF(AND($Q412&gt;=6,AVERAGE($S412:$T412)&gt;=6),"Likely",IF(OR($Q412&gt;6,AND($Q412=6,AVERAGE($S412:$T412)&gt;=3),AND($Q412&gt;=5,AVERAGE($S412:$T412)&gt;=5),AVERAGE($Q412,$S412:$T412)&gt;5),"Possible","Unlikely"))</f>
        <v>Unlikely</v>
      </c>
      <c r="AX412" s="47"/>
      <c r="AY412" s="47" t="str">
        <f>INDEX(Table5[[#All],[Ovr]],MATCH(Batters[[#This Row],[PID]],Table5[[#All],[PID]],0))</f>
        <v/>
      </c>
      <c r="AZ412" s="47" t="str">
        <f>INDEX(Table5[[#All],[Rnd]],MATCH(Batters[[#This Row],[PID]],Table5[[#All],[PID]],0))</f>
        <v/>
      </c>
      <c r="BA412" s="47" t="str">
        <f>INDEX(Table5[[#All],[Pick]],MATCH(Batters[[#This Row],[PID]],Table5[[#All],[PID]],0))</f>
        <v/>
      </c>
      <c r="BB412" s="47" t="str">
        <f>INDEX(Table5[[#All],[Team]],MATCH(Batters[[#This Row],[PID]],Table5[[#All],[PID]],0))</f>
        <v/>
      </c>
    </row>
    <row r="413" spans="1:54" ht="15" customHeight="1" x14ac:dyDescent="0.25">
      <c r="A413" s="42">
        <v>8763</v>
      </c>
      <c r="B413" s="42" t="s">
        <v>71</v>
      </c>
      <c r="C413" s="42" t="s">
        <v>383</v>
      </c>
      <c r="D413" s="42" t="s">
        <v>878</v>
      </c>
      <c r="E413" s="42">
        <v>18</v>
      </c>
      <c r="F413" s="42" t="s">
        <v>62</v>
      </c>
      <c r="G413" s="42" t="s">
        <v>42</v>
      </c>
      <c r="H413" s="43" t="s">
        <v>721</v>
      </c>
      <c r="I413" s="44" t="s">
        <v>43</v>
      </c>
      <c r="J413" s="42" t="s">
        <v>44</v>
      </c>
      <c r="K413" s="43" t="s">
        <v>44</v>
      </c>
      <c r="L413" s="42">
        <v>1</v>
      </c>
      <c r="M413" s="42">
        <v>1</v>
      </c>
      <c r="N413" s="42">
        <v>2</v>
      </c>
      <c r="O413" s="42">
        <v>1</v>
      </c>
      <c r="P413" s="43">
        <v>1</v>
      </c>
      <c r="Q413" s="42">
        <v>2</v>
      </c>
      <c r="R413" s="42">
        <v>4</v>
      </c>
      <c r="S413" s="42">
        <v>3</v>
      </c>
      <c r="T413" s="42">
        <v>4</v>
      </c>
      <c r="U413" s="43">
        <v>4</v>
      </c>
      <c r="V413" s="42">
        <v>4</v>
      </c>
      <c r="W413" s="42">
        <v>4</v>
      </c>
      <c r="X413" s="42">
        <v>1</v>
      </c>
      <c r="Y413" s="43">
        <v>1</v>
      </c>
      <c r="Z413" s="42" t="s">
        <v>45</v>
      </c>
      <c r="AA413" s="42" t="s">
        <v>45</v>
      </c>
      <c r="AB413" s="42">
        <v>4</v>
      </c>
      <c r="AC413" s="42" t="s">
        <v>45</v>
      </c>
      <c r="AD413" s="42">
        <v>1</v>
      </c>
      <c r="AE413" s="42">
        <v>1</v>
      </c>
      <c r="AF413" s="42" t="s">
        <v>45</v>
      </c>
      <c r="AG413" s="43" t="s">
        <v>45</v>
      </c>
      <c r="AH413" s="42">
        <v>8</v>
      </c>
      <c r="AI413" s="42">
        <v>7</v>
      </c>
      <c r="AJ413" s="43">
        <v>8</v>
      </c>
      <c r="AK413" s="45" t="s">
        <v>718</v>
      </c>
      <c r="AL413" s="45" t="s">
        <v>705</v>
      </c>
      <c r="AM413" s="46">
        <f>($L$3*(L413-$Q$1)/$Q$2+$M$3*(M413-$R$1)/$R$2+$N$3*(N413-$S$1)/$S$2+$O$3*(O413-$T$1)/$T$2+$P$3*(P413-$U$1)/$U$2)/(SUM($L$3:$P$3))</f>
        <v>-2.0012818558036707</v>
      </c>
      <c r="AN413" s="46">
        <f>($L$3*(Q413-$Q$1)/$Q$2+$M$3*(R413-$R$1)/$R$2+$N$3*(S413-$S$1)/$S$2+$O$3*(T413-$T$1)/$T$2+$P$3*(U413-$U$1)/$U$2)/(SUM($L$3:$P$3))</f>
        <v>-1.0533072172409903</v>
      </c>
      <c r="AO413" s="47">
        <f>IF(AVERAGE(AH413:AI413)&gt;9,1,0)+IF(AVERAGE(AH413:AI413)&gt;7,1,0)+IF(AH413&gt;7,1,0)+IF(AI413&gt;7,1,0)+IF(AJ413&gt;8,1,0)+IF(AJ413&gt;6,1,0)</f>
        <v>3</v>
      </c>
      <c r="AP413" s="48">
        <f>MIN(2,IF(OR(Z413="-",X413&lt;5),0,1+IF(Y413&gt;7,0.35,IF(Y413&gt;5,0.1,0))+IF(Z413&gt;7,1+IF(X413&gt;7,0.25,0),IF(Z413&gt;4,0.5+IF(X413&gt;7,0.25,0),0+IF(X413&gt;7,0.25))))+IF(AA413="-",0,IF(AA413&gt;9,0.5,IF(AA413&gt;7,0.25,0)))+IF(AB413="-",0,IF(AB413&gt;7,1.1,IF(AB413&gt;4,0.6,0)))+IF(OR(AC413="-",V413&lt;5),0,IF(AC413&gt;7,1+IF(V413&gt;7,0.25,0),IF(AC413&gt;4,0.5+IF(V413&gt;7,0.25,0),0)))+IF(AD413="-",0,IF(AD413&gt;7,1.5,IF(AD413&gt;4,1,0)))+IF(AE413="-",0,IF(AE413&gt;9,0.5,IF(AE413&gt;7,0.25,0)))+IF(AF413="-",0,IF(AF413&gt;7,1.25,IF(AF413&gt;4,0.75,0)))+IF(OR(AG413="-",W413&lt;4),0,IF(AG413&gt;7,1+IF(W413&gt;7,0.15,0),IF(AG413&gt;4,0.5+IF(W413&gt;7,0.15,0),0))))</f>
        <v>0</v>
      </c>
      <c r="AQ413" s="46">
        <f>($AM$3*AM413+$AN$3*AN413+$AO$3*AO413+$AP$3*AP413)+$I$3*VLOOKUP(I413,COND!$A$2:$E$7,4,FALSE)+$J$3*VLOOKUP(J413,COND!$A$2:$C$7,2,FALSE)+$K$3*VLOOKUP(K413,COND!$A$2:$C$7,3,FALSE)+IF(AND($B$2&gt;0,$E413&lt;20),$B$2*25,0)</f>
        <v>37.060185207527752</v>
      </c>
      <c r="AR413" s="49">
        <f>STANDARDIZE(AQ413,AVERAGE($AQ$5:$AQ$537),STDEVP($AQ$5:$AQ$537))</f>
        <v>-0.57851268194600713</v>
      </c>
      <c r="AS413" s="47" t="str">
        <f>IF(AND(Z413&lt;&gt;"-",Y413&gt;1),"C",IF(AB413=MAX(AB413:AD413),"2B",IF(AD413=MAX(AB413:AD413),"SS",IF(OR(AC413=MAX(AA413:AD413),AND(AC413&lt;&gt;"-",AC413&gt;4,V413&gt;5)),"3B",IF(AF413=MAX(AE413:AG413),"CF",IF(AND(AG413=MAX(AE413,AG413),AND(W413&gt;5,AG413&lt;&gt;"-")),"RF",IF(AE413&lt;&gt;"-","LF",IF(AA413&lt;&gt;"-","1B","DH"))))))))</f>
        <v>2B</v>
      </c>
      <c r="AT413" s="47"/>
      <c r="AU413" s="47"/>
      <c r="AV413" s="47"/>
      <c r="AW413" s="47" t="str">
        <f>IF(AND($Q413&gt;=6,AVERAGE($S413:$T413)&gt;=6),"Likely",IF(OR($Q413&gt;6,AND($Q413=6,AVERAGE($S413:$T413)&gt;=3),AND($Q413&gt;=5,AVERAGE($S413:$T413)&gt;=5),AVERAGE($Q413,$S413:$T413)&gt;5),"Possible","Unlikely"))</f>
        <v>Unlikely</v>
      </c>
      <c r="AX413" s="47"/>
      <c r="AY413" s="47" t="str">
        <f>INDEX(Table5[[#All],[Ovr]],MATCH(Batters[[#This Row],[PID]],Table5[[#All],[PID]],0))</f>
        <v/>
      </c>
      <c r="AZ413" s="47" t="str">
        <f>INDEX(Table5[[#All],[Rnd]],MATCH(Batters[[#This Row],[PID]],Table5[[#All],[PID]],0))</f>
        <v/>
      </c>
      <c r="BA413" s="47" t="str">
        <f>INDEX(Table5[[#All],[Pick]],MATCH(Batters[[#This Row],[PID]],Table5[[#All],[PID]],0))</f>
        <v/>
      </c>
      <c r="BB413" s="47" t="str">
        <f>INDEX(Table5[[#All],[Team]],MATCH(Batters[[#This Row],[PID]],Table5[[#All],[PID]],0))</f>
        <v/>
      </c>
    </row>
    <row r="414" spans="1:54" ht="15" customHeight="1" x14ac:dyDescent="0.25">
      <c r="A414" s="42">
        <v>11751</v>
      </c>
      <c r="B414" s="42" t="s">
        <v>74</v>
      </c>
      <c r="C414" s="42" t="s">
        <v>181</v>
      </c>
      <c r="D414" s="42" t="s">
        <v>1291</v>
      </c>
      <c r="E414" s="42">
        <v>21</v>
      </c>
      <c r="F414" s="42" t="s">
        <v>42</v>
      </c>
      <c r="G414" s="42" t="s">
        <v>42</v>
      </c>
      <c r="H414" s="43" t="s">
        <v>709</v>
      </c>
      <c r="I414" s="44" t="s">
        <v>44</v>
      </c>
      <c r="J414" s="42" t="s">
        <v>43</v>
      </c>
      <c r="K414" s="43" t="s">
        <v>43</v>
      </c>
      <c r="L414" s="42">
        <v>2</v>
      </c>
      <c r="M414" s="42">
        <v>1</v>
      </c>
      <c r="N414" s="42">
        <v>2</v>
      </c>
      <c r="O414" s="42">
        <v>2</v>
      </c>
      <c r="P414" s="43">
        <v>1</v>
      </c>
      <c r="Q414" s="42">
        <v>3</v>
      </c>
      <c r="R414" s="42">
        <v>2</v>
      </c>
      <c r="S414" s="42">
        <v>3</v>
      </c>
      <c r="T414" s="42">
        <v>4</v>
      </c>
      <c r="U414" s="43">
        <v>3</v>
      </c>
      <c r="V414" s="42">
        <v>4</v>
      </c>
      <c r="W414" s="42">
        <v>5</v>
      </c>
      <c r="X414" s="42">
        <v>1</v>
      </c>
      <c r="Y414" s="43">
        <v>1</v>
      </c>
      <c r="Z414" s="42" t="s">
        <v>45</v>
      </c>
      <c r="AA414" s="42" t="s">
        <v>45</v>
      </c>
      <c r="AB414" s="42" t="s">
        <v>45</v>
      </c>
      <c r="AC414" s="42" t="s">
        <v>45</v>
      </c>
      <c r="AD414" s="42" t="s">
        <v>45</v>
      </c>
      <c r="AE414" s="42">
        <v>6</v>
      </c>
      <c r="AF414" s="42">
        <v>7</v>
      </c>
      <c r="AG414" s="43" t="s">
        <v>45</v>
      </c>
      <c r="AH414" s="42">
        <v>10</v>
      </c>
      <c r="AI414" s="42">
        <v>7</v>
      </c>
      <c r="AJ414" s="43">
        <v>10</v>
      </c>
      <c r="AK414" s="45" t="s">
        <v>45</v>
      </c>
      <c r="AL414" s="45" t="s">
        <v>47</v>
      </c>
      <c r="AM414" s="46">
        <f>($L$3*(L414-$Q$1)/$Q$2+$M$3*(M414-$R$1)/$R$2+$N$3*(N414-$S$1)/$S$2+$O$3*(O414-$T$1)/$T$2+$P$3*(P414-$U$1)/$U$2)/(SUM($L$3:$P$3))</f>
        <v>-1.5890164695914148</v>
      </c>
      <c r="AN414" s="46">
        <f>($L$3*(Q414-$Q$1)/$Q$2+$M$3*(R414-$R$1)/$R$2+$N$3*(S414-$S$1)/$S$2+$O$3*(T414-$T$1)/$T$2+$P$3*(U414-$U$1)/$U$2)/(SUM($L$3:$P$3))</f>
        <v>-0.87288748009280615</v>
      </c>
      <c r="AO414" s="47">
        <f>IF(AVERAGE(AH414:AI414)&gt;9,1,0)+IF(AVERAGE(AH414:AI414)&gt;7,1,0)+IF(AH414&gt;7,1,0)+IF(AI414&gt;7,1,0)+IF(AJ414&gt;8,1,0)+IF(AJ414&gt;6,1,0)</f>
        <v>4</v>
      </c>
      <c r="AP414" s="48">
        <f>MIN(2,IF(OR(Z414="-",X414&lt;5),0,1+IF(Y414&gt;7,0.35,IF(Y414&gt;5,0.1,0))+IF(Z414&gt;7,1+IF(X414&gt;7,0.25,0),IF(Z414&gt;4,0.5+IF(X414&gt;7,0.25,0),0+IF(X414&gt;7,0.25))))+IF(AA414="-",0,IF(AA414&gt;9,0.5,IF(AA414&gt;7,0.25,0)))+IF(AB414="-",0,IF(AB414&gt;7,1.1,IF(AB414&gt;4,0.6,0)))+IF(OR(AC414="-",V414&lt;5),0,IF(AC414&gt;7,1+IF(V414&gt;7,0.25,0),IF(AC414&gt;4,0.5+IF(V414&gt;7,0.25,0),0)))+IF(AD414="-",0,IF(AD414&gt;7,1.5,IF(AD414&gt;4,1,0)))+IF(AE414="-",0,IF(AE414&gt;9,0.5,IF(AE414&gt;7,0.25,0)))+IF(AF414="-",0,IF(AF414&gt;7,1.25,IF(AF414&gt;4,0.75,0)))+IF(OR(AG414="-",W414&lt;4),0,IF(AG414&gt;7,1+IF(W414&gt;7,0.15,0),IF(AG414&gt;4,0.5+IF(W414&gt;7,0.15,0),0))))</f>
        <v>0.75</v>
      </c>
      <c r="AQ414" s="46">
        <f>($AM$3*AM414+$AN$3*AN414+$AO$3*AO414+$AP$3*AP414)+$I$3*VLOOKUP(I414,COND!$A$2:$E$7,4,FALSE)+$J$3*VLOOKUP(J414,COND!$A$2:$C$7,2,FALSE)+$K$3*VLOOKUP(K414,COND!$A$2:$C$7,3,FALSE)+IF(AND($B$2&gt;0,$E414&lt;20),$B$2*25,0)</f>
        <v>35.633115258593847</v>
      </c>
      <c r="AR414" s="49">
        <f>STANDARDIZE(AQ414,AVERAGE($AQ$5:$AQ$537),STDEVP($AQ$5:$AQ$537))</f>
        <v>-0.82959615472110615</v>
      </c>
      <c r="AS414" s="47" t="str">
        <f>IF(AND(Z414&lt;&gt;"-",Y414&gt;1),"C",IF(AB414=MAX(AB414:AD414),"2B",IF(AD414=MAX(AB414:AD414),"SS",IF(OR(AC414=MAX(AA414:AD414),AND(AC414&lt;&gt;"-",AC414&gt;4,V414&gt;5)),"3B",IF(AF414=MAX(AE414:AG414),"CF",IF(AND(AG414=MAX(AE414,AG414),AND(W414&gt;5,AG414&lt;&gt;"-")),"RF",IF(AE414&lt;&gt;"-","LF",IF(AA414&lt;&gt;"-","1B","DH"))))))))</f>
        <v>CF</v>
      </c>
      <c r="AT414" s="47"/>
      <c r="AU414" s="47"/>
      <c r="AV414" s="47"/>
      <c r="AW414" s="47" t="str">
        <f>IF(AND($Q414&gt;=6,AVERAGE($S414:$T414)&gt;=6),"Likely",IF(OR($Q414&gt;6,AND($Q414=6,AVERAGE($S414:$T414)&gt;=3),AND($Q414&gt;=5,AVERAGE($S414:$T414)&gt;=5),AVERAGE($Q414,$S414:$T414)&gt;5),"Possible","Unlikely"))</f>
        <v>Unlikely</v>
      </c>
      <c r="AX414" s="47"/>
      <c r="AY414" s="47" t="str">
        <f>INDEX(Table5[[#All],[Ovr]],MATCH(Batters[[#This Row],[PID]],Table5[[#All],[PID]],0))</f>
        <v/>
      </c>
      <c r="AZ414" s="47" t="str">
        <f>INDEX(Table5[[#All],[Rnd]],MATCH(Batters[[#This Row],[PID]],Table5[[#All],[PID]],0))</f>
        <v/>
      </c>
      <c r="BA414" s="47" t="str">
        <f>INDEX(Table5[[#All],[Pick]],MATCH(Batters[[#This Row],[PID]],Table5[[#All],[PID]],0))</f>
        <v/>
      </c>
      <c r="BB414" s="47" t="str">
        <f>INDEX(Table5[[#All],[Team]],MATCH(Batters[[#This Row],[PID]],Table5[[#All],[PID]],0))</f>
        <v/>
      </c>
    </row>
    <row r="415" spans="1:54" ht="15" customHeight="1" x14ac:dyDescent="0.25">
      <c r="A415" s="42">
        <v>15657</v>
      </c>
      <c r="B415" s="42" t="s">
        <v>87</v>
      </c>
      <c r="C415" s="42" t="s">
        <v>1139</v>
      </c>
      <c r="D415" s="42" t="s">
        <v>1140</v>
      </c>
      <c r="E415" s="42">
        <v>21</v>
      </c>
      <c r="F415" s="42" t="s">
        <v>42</v>
      </c>
      <c r="G415" s="42" t="s">
        <v>42</v>
      </c>
      <c r="H415" s="43" t="s">
        <v>711</v>
      </c>
      <c r="I415" s="44" t="s">
        <v>43</v>
      </c>
      <c r="J415" s="42" t="s">
        <v>44</v>
      </c>
      <c r="K415" s="43" t="s">
        <v>43</v>
      </c>
      <c r="L415" s="42">
        <v>1</v>
      </c>
      <c r="M415" s="42">
        <v>1</v>
      </c>
      <c r="N415" s="42">
        <v>3</v>
      </c>
      <c r="O415" s="42">
        <v>2</v>
      </c>
      <c r="P415" s="43">
        <v>1</v>
      </c>
      <c r="Q415" s="42">
        <v>3</v>
      </c>
      <c r="R415" s="42">
        <v>2</v>
      </c>
      <c r="S415" s="42">
        <v>4</v>
      </c>
      <c r="T415" s="42">
        <v>5</v>
      </c>
      <c r="U415" s="43">
        <v>3</v>
      </c>
      <c r="V415" s="42">
        <v>1</v>
      </c>
      <c r="W415" s="42">
        <v>1</v>
      </c>
      <c r="X415" s="42">
        <v>1</v>
      </c>
      <c r="Y415" s="43">
        <v>1</v>
      </c>
      <c r="Z415" s="42" t="s">
        <v>45</v>
      </c>
      <c r="AA415" s="42">
        <v>6</v>
      </c>
      <c r="AB415" s="42" t="s">
        <v>45</v>
      </c>
      <c r="AC415" s="42" t="s">
        <v>45</v>
      </c>
      <c r="AD415" s="42" t="s">
        <v>45</v>
      </c>
      <c r="AE415" s="42" t="s">
        <v>45</v>
      </c>
      <c r="AF415" s="42" t="s">
        <v>45</v>
      </c>
      <c r="AG415" s="43" t="s">
        <v>45</v>
      </c>
      <c r="AH415" s="42">
        <v>2</v>
      </c>
      <c r="AI415" s="42">
        <v>5</v>
      </c>
      <c r="AJ415" s="43">
        <v>7</v>
      </c>
      <c r="AK415" s="45" t="s">
        <v>45</v>
      </c>
      <c r="AL415" s="45" t="s">
        <v>705</v>
      </c>
      <c r="AM415" s="46">
        <f>($L$3*(L415-$Q$1)/$Q$2+$M$3*(M415-$R$1)/$R$2+$N$3*(N415-$S$1)/$S$2+$O$3*(O415-$T$1)/$T$2+$P$3*(P415-$U$1)/$U$2)/(SUM($L$3:$P$3))</f>
        <v>-1.828510811770188</v>
      </c>
      <c r="AN415" s="46">
        <f>($L$3*(Q415-$Q$1)/$Q$2+$M$3*(R415-$R$1)/$R$2+$N$3*(S415-$S$1)/$S$2+$O$3*(T415-$T$1)/$T$2+$P$3*(U415-$U$1)/$U$2)/(SUM($L$3:$P$3))</f>
        <v>-0.70011643605932361</v>
      </c>
      <c r="AO415" s="47">
        <f>IF(AVERAGE(AH415:AI415)&gt;9,1,0)+IF(AVERAGE(AH415:AI415)&gt;7,1,0)+IF(AH415&gt;7,1,0)+IF(AI415&gt;7,1,0)+IF(AJ415&gt;8,1,0)+IF(AJ415&gt;6,1,0)</f>
        <v>1</v>
      </c>
      <c r="AP415" s="48">
        <f>MIN(2,IF(OR(Z415="-",X415&lt;5),0,1+IF(Y415&gt;7,0.35,IF(Y415&gt;5,0.1,0))+IF(Z415&gt;7,1+IF(X415&gt;7,0.25,0),IF(Z415&gt;4,0.5+IF(X415&gt;7,0.25,0),0+IF(X415&gt;7,0.25))))+IF(AA415="-",0,IF(AA415&gt;9,0.5,IF(AA415&gt;7,0.25,0)))+IF(AB415="-",0,IF(AB415&gt;7,1.1,IF(AB415&gt;4,0.6,0)))+IF(OR(AC415="-",V415&lt;5),0,IF(AC415&gt;7,1+IF(V415&gt;7,0.25,0),IF(AC415&gt;4,0.5+IF(V415&gt;7,0.25,0),0)))+IF(AD415="-",0,IF(AD415&gt;7,1.5,IF(AD415&gt;4,1,0)))+IF(AE415="-",0,IF(AE415&gt;9,0.5,IF(AE415&gt;7,0.25,0)))+IF(AF415="-",0,IF(AF415&gt;7,1.25,IF(AF415&gt;4,0.75,0)))+IF(OR(AG415="-",W415&lt;4),0,IF(AG415&gt;7,1+IF(W415&gt;7,0.15,0),IF(AG415&gt;4,0.5+IF(W415&gt;7,0.15,0),0))))</f>
        <v>0</v>
      </c>
      <c r="AQ415" s="46">
        <f>($AM$3*AM415+$AN$3*AN415+$AO$3*AO415+$AP$3*AP415)+$I$3*VLOOKUP(I415,COND!$A$2:$E$7,4,FALSE)+$J$3*VLOOKUP(J415,COND!$A$2:$C$7,2,FALSE)+$K$3*VLOOKUP(K415,COND!$A$2:$C$7,3,FALSE)+IF(AND($B$2&gt;0,$E415&lt;20),$B$2*25,0)</f>
        <v>36.282418352777768</v>
      </c>
      <c r="AR415" s="49">
        <f>STANDARDIZE(AQ415,AVERAGE($AQ$5:$AQ$537),STDEVP($AQ$5:$AQ$537))</f>
        <v>-0.71535559076479316</v>
      </c>
      <c r="AS415" s="47" t="str">
        <f>IF(AND(Z415&lt;&gt;"-",Y415&gt;1),"C",IF(AB415=MAX(AB415:AD415),"2B",IF(AD415=MAX(AB415:AD415),"SS",IF(OR(AC415=MAX(AA415:AD415),AND(AC415&lt;&gt;"-",AC415&gt;4,V415&gt;5)),"3B",IF(AF415=MAX(AE415:AG415),"CF",IF(AND(AG415=MAX(AE415,AG415),AND(W415&gt;5,AG415&lt;&gt;"-")),"RF",IF(AE415&lt;&gt;"-","LF",IF(AA415&lt;&gt;"-","1B","DH"))))))))</f>
        <v>1B</v>
      </c>
      <c r="AT415" s="47"/>
      <c r="AU415" s="47"/>
      <c r="AV415" s="47"/>
      <c r="AW415" s="47" t="str">
        <f>IF(AND($Q415&gt;=6,AVERAGE($S415:$T415)&gt;=6),"Likely",IF(OR($Q415&gt;6,AND($Q415=6,AVERAGE($S415:$T415)&gt;=3),AND($Q415&gt;=5,AVERAGE($S415:$T415)&gt;=5),AVERAGE($Q415,$S415:$T415)&gt;5),"Possible","Unlikely"))</f>
        <v>Unlikely</v>
      </c>
      <c r="AX415" s="47"/>
      <c r="AY415" s="47" t="str">
        <f>INDEX(Table5[[#All],[Ovr]],MATCH(Batters[[#This Row],[PID]],Table5[[#All],[PID]],0))</f>
        <v/>
      </c>
      <c r="AZ415" s="47" t="str">
        <f>INDEX(Table5[[#All],[Rnd]],MATCH(Batters[[#This Row],[PID]],Table5[[#All],[PID]],0))</f>
        <v/>
      </c>
      <c r="BA415" s="47" t="str">
        <f>INDEX(Table5[[#All],[Pick]],MATCH(Batters[[#This Row],[PID]],Table5[[#All],[PID]],0))</f>
        <v/>
      </c>
      <c r="BB415" s="47" t="str">
        <f>INDEX(Table5[[#All],[Team]],MATCH(Batters[[#This Row],[PID]],Table5[[#All],[PID]],0))</f>
        <v/>
      </c>
    </row>
    <row r="416" spans="1:54" ht="15" customHeight="1" x14ac:dyDescent="0.25">
      <c r="A416" s="42">
        <v>5913</v>
      </c>
      <c r="B416" s="42" t="s">
        <v>71</v>
      </c>
      <c r="C416" s="42" t="s">
        <v>320</v>
      </c>
      <c r="D416" s="42" t="s">
        <v>187</v>
      </c>
      <c r="E416" s="42">
        <v>18</v>
      </c>
      <c r="F416" s="42" t="s">
        <v>53</v>
      </c>
      <c r="G416" s="42" t="s">
        <v>42</v>
      </c>
      <c r="H416" s="43" t="s">
        <v>721</v>
      </c>
      <c r="I416" s="44" t="s">
        <v>43</v>
      </c>
      <c r="J416" s="42" t="s">
        <v>44</v>
      </c>
      <c r="K416" s="43" t="s">
        <v>43</v>
      </c>
      <c r="L416" s="42">
        <v>1</v>
      </c>
      <c r="M416" s="42">
        <v>1</v>
      </c>
      <c r="N416" s="42">
        <v>2</v>
      </c>
      <c r="O416" s="42">
        <v>1</v>
      </c>
      <c r="P416" s="43">
        <v>1</v>
      </c>
      <c r="Q416" s="42">
        <v>2</v>
      </c>
      <c r="R416" s="42">
        <v>3</v>
      </c>
      <c r="S416" s="42">
        <v>3</v>
      </c>
      <c r="T416" s="42">
        <v>4</v>
      </c>
      <c r="U416" s="43">
        <v>3</v>
      </c>
      <c r="V416" s="42">
        <v>4</v>
      </c>
      <c r="W416" s="42">
        <v>2</v>
      </c>
      <c r="X416" s="42">
        <v>1</v>
      </c>
      <c r="Y416" s="43">
        <v>1</v>
      </c>
      <c r="Z416" s="42" t="s">
        <v>45</v>
      </c>
      <c r="AA416" s="42" t="s">
        <v>45</v>
      </c>
      <c r="AB416" s="42" t="s">
        <v>45</v>
      </c>
      <c r="AC416" s="42" t="s">
        <v>45</v>
      </c>
      <c r="AD416" s="42" t="s">
        <v>45</v>
      </c>
      <c r="AE416" s="42" t="s">
        <v>45</v>
      </c>
      <c r="AF416" s="42" t="s">
        <v>45</v>
      </c>
      <c r="AG416" s="43" t="s">
        <v>45</v>
      </c>
      <c r="AH416" s="42">
        <v>7</v>
      </c>
      <c r="AI416" s="42">
        <v>8</v>
      </c>
      <c r="AJ416" s="43">
        <v>8</v>
      </c>
      <c r="AK416" s="45" t="s">
        <v>730</v>
      </c>
      <c r="AL416" s="45" t="s">
        <v>705</v>
      </c>
      <c r="AM416" s="46">
        <f>($L$3*(L416-$Q$1)/$Q$2+$M$3*(M416-$R$1)/$R$2+$N$3*(N416-$S$1)/$S$2+$O$3*(O416-$T$1)/$T$2+$P$3*(P416-$U$1)/$U$2)/(SUM($L$3:$P$3))</f>
        <v>-2.0012818558036707</v>
      </c>
      <c r="AN416" s="46">
        <f>($L$3*(Q416-$Q$1)/$Q$2+$M$3*(R416-$R$1)/$R$2+$N$3*(S416-$S$1)/$S$2+$O$3*(T416-$T$1)/$T$2+$P$3*(U416-$U$1)/$U$2)/(SUM($L$3:$P$3))</f>
        <v>-1.1443834366767773</v>
      </c>
      <c r="AO416" s="47">
        <f>IF(AVERAGE(AH416:AI416)&gt;9,1,0)+IF(AVERAGE(AH416:AI416)&gt;7,1,0)+IF(AH416&gt;7,1,0)+IF(AI416&gt;7,1,0)+IF(AJ416&gt;8,1,0)+IF(AJ416&gt;6,1,0)</f>
        <v>3</v>
      </c>
      <c r="AP416" s="48">
        <f>MIN(2,IF(OR(Z416="-",X416&lt;5),0,1+IF(Y416&gt;7,0.35,IF(Y416&gt;5,0.1,0))+IF(Z416&gt;7,1+IF(X416&gt;7,0.25,0),IF(Z416&gt;4,0.5+IF(X416&gt;7,0.25,0),0+IF(X416&gt;7,0.25))))+IF(AA416="-",0,IF(AA416&gt;9,0.5,IF(AA416&gt;7,0.25,0)))+IF(AB416="-",0,IF(AB416&gt;7,1.1,IF(AB416&gt;4,0.6,0)))+IF(OR(AC416="-",V416&lt;5),0,IF(AC416&gt;7,1+IF(V416&gt;7,0.25,0),IF(AC416&gt;4,0.5+IF(V416&gt;7,0.25,0),0)))+IF(AD416="-",0,IF(AD416&gt;7,1.5,IF(AD416&gt;4,1,0)))+IF(AE416="-",0,IF(AE416&gt;9,0.5,IF(AE416&gt;7,0.25,0)))+IF(AF416="-",0,IF(AF416&gt;7,1.25,IF(AF416&gt;4,0.75,0)))+IF(OR(AG416="-",W416&lt;4),0,IF(AG416&gt;7,1+IF(W416&gt;7,0.15,0),IF(AG416&gt;4,0.5+IF(W416&gt;7,0.15,0),0))))</f>
        <v>0</v>
      </c>
      <c r="AQ416" s="46">
        <f>($AM$3*AM416+$AN$3*AN416+$AO$3*AO416+$AP$3*AP416)+$I$3*VLOOKUP(I416,COND!$A$2:$E$7,4,FALSE)+$J$3*VLOOKUP(J416,COND!$A$2:$C$7,2,FALSE)+$K$3*VLOOKUP(K416,COND!$A$2:$C$7,3,FALSE)+IF(AND($B$2&gt;0,$E416&lt;20),$B$2*25,0)</f>
        <v>36.267270574298308</v>
      </c>
      <c r="AR416" s="49">
        <f>STANDARDIZE(AQ416,AVERAGE($AQ$5:$AQ$537),STDEVP($AQ$5:$AQ$537))</f>
        <v>-0.71802074171152275</v>
      </c>
      <c r="AS416" s="47" t="str">
        <f>IF(AND(Z416&lt;&gt;"-",Y416&gt;1),"C",IF(AB416=MAX(AB416:AD416),"2B",IF(AD416=MAX(AB416:AD416),"SS",IF(OR(AC416=MAX(AA416:AD416),AND(AC416&lt;&gt;"-",AC416&gt;4,V416&gt;5)),"3B",IF(AF416=MAX(AE416:AG416),"CF",IF(AND(AG416=MAX(AE416,AG416),AND(W416&gt;5,AG416&lt;&gt;"-")),"RF",IF(AE416&lt;&gt;"-","LF",IF(AA416&lt;&gt;"-","1B","DH"))))))))</f>
        <v>DH</v>
      </c>
      <c r="AT416" s="47"/>
      <c r="AU416" s="47"/>
      <c r="AV416" s="47"/>
      <c r="AW416" s="47" t="str">
        <f>IF(AND($Q416&gt;=6,AVERAGE($S416:$T416)&gt;=6),"Likely",IF(OR($Q416&gt;6,AND($Q416=6,AVERAGE($S416:$T416)&gt;=3),AND($Q416&gt;=5,AVERAGE($S416:$T416)&gt;=5),AVERAGE($Q416,$S416:$T416)&gt;5),"Possible","Unlikely"))</f>
        <v>Unlikely</v>
      </c>
      <c r="AX416" s="47"/>
      <c r="AY416" s="47" t="str">
        <f>INDEX(Table5[[#All],[Ovr]],MATCH(Batters[[#This Row],[PID]],Table5[[#All],[PID]],0))</f>
        <v/>
      </c>
      <c r="AZ416" s="47" t="str">
        <f>INDEX(Table5[[#All],[Rnd]],MATCH(Batters[[#This Row],[PID]],Table5[[#All],[PID]],0))</f>
        <v/>
      </c>
      <c r="BA416" s="47" t="str">
        <f>INDEX(Table5[[#All],[Pick]],MATCH(Batters[[#This Row],[PID]],Table5[[#All],[PID]],0))</f>
        <v/>
      </c>
      <c r="BB416" s="47" t="str">
        <f>INDEX(Table5[[#All],[Team]],MATCH(Batters[[#This Row],[PID]],Table5[[#All],[PID]],0))</f>
        <v/>
      </c>
    </row>
    <row r="417" spans="1:54" ht="15" customHeight="1" x14ac:dyDescent="0.25">
      <c r="A417" s="42">
        <v>9600</v>
      </c>
      <c r="B417" s="42" t="s">
        <v>50</v>
      </c>
      <c r="C417" s="42" t="s">
        <v>836</v>
      </c>
      <c r="D417" s="42" t="s">
        <v>837</v>
      </c>
      <c r="E417" s="42">
        <v>22</v>
      </c>
      <c r="F417" s="42" t="s">
        <v>42</v>
      </c>
      <c r="G417" s="42" t="s">
        <v>42</v>
      </c>
      <c r="H417" s="43" t="s">
        <v>709</v>
      </c>
      <c r="I417" s="44" t="s">
        <v>43</v>
      </c>
      <c r="J417" s="42" t="s">
        <v>44</v>
      </c>
      <c r="K417" s="43" t="s">
        <v>43</v>
      </c>
      <c r="L417" s="42">
        <v>2</v>
      </c>
      <c r="M417" s="42">
        <v>2</v>
      </c>
      <c r="N417" s="42">
        <v>3</v>
      </c>
      <c r="O417" s="42">
        <v>3</v>
      </c>
      <c r="P417" s="43">
        <v>2</v>
      </c>
      <c r="Q417" s="42">
        <v>3</v>
      </c>
      <c r="R417" s="42">
        <v>3</v>
      </c>
      <c r="S417" s="42">
        <v>3</v>
      </c>
      <c r="T417" s="42">
        <v>5</v>
      </c>
      <c r="U417" s="43">
        <v>4</v>
      </c>
      <c r="V417" s="42">
        <v>2</v>
      </c>
      <c r="W417" s="42">
        <v>3</v>
      </c>
      <c r="X417" s="42">
        <v>3</v>
      </c>
      <c r="Y417" s="43">
        <v>3</v>
      </c>
      <c r="Z417" s="42" t="s">
        <v>45</v>
      </c>
      <c r="AA417" s="42" t="s">
        <v>45</v>
      </c>
      <c r="AB417" s="42" t="s">
        <v>45</v>
      </c>
      <c r="AC417" s="42" t="s">
        <v>45</v>
      </c>
      <c r="AD417" s="42" t="s">
        <v>45</v>
      </c>
      <c r="AE417" s="42">
        <v>1</v>
      </c>
      <c r="AF417" s="42" t="s">
        <v>45</v>
      </c>
      <c r="AG417" s="43" t="s">
        <v>45</v>
      </c>
      <c r="AH417" s="42">
        <v>1</v>
      </c>
      <c r="AI417" s="42">
        <v>3</v>
      </c>
      <c r="AJ417" s="43">
        <v>4</v>
      </c>
      <c r="AK417" s="45" t="s">
        <v>45</v>
      </c>
      <c r="AL417" s="45" t="s">
        <v>705</v>
      </c>
      <c r="AM417" s="46">
        <f>($L$3*(L417-$Q$1)/$Q$2+$M$3*(M417-$R$1)/$R$2+$N$3*(N417-$S$1)/$S$2+$O$3*(O417-$T$1)/$T$2+$P$3*(P417-$U$1)/$U$2)/(SUM($L$3:$P$3))</f>
        <v>-1.3251692061221452</v>
      </c>
      <c r="AN417" s="46">
        <f>($L$3*(Q417-$Q$1)/$Q$2+$M$3*(R417-$R$1)/$R$2+$N$3*(S417-$S$1)/$S$2+$O$3*(T417-$T$1)/$T$2+$P$3*(U417-$U$1)/$U$2)/(SUM($L$3:$P$3))</f>
        <v>-0.69210171064743797</v>
      </c>
      <c r="AO417" s="47">
        <f>IF(AVERAGE(AH417:AI417)&gt;9,1,0)+IF(AVERAGE(AH417:AI417)&gt;7,1,0)+IF(AH417&gt;7,1,0)+IF(AI417&gt;7,1,0)+IF(AJ417&gt;8,1,0)+IF(AJ417&gt;6,1,0)</f>
        <v>0</v>
      </c>
      <c r="AP417" s="48">
        <f>MIN(2,IF(OR(Z417="-",X417&lt;5),0,1+IF(Y417&gt;7,0.35,IF(Y417&gt;5,0.1,0))+IF(Z417&gt;7,1+IF(X417&gt;7,0.25,0),IF(Z417&gt;4,0.5+IF(X417&gt;7,0.25,0),0+IF(X417&gt;7,0.25))))+IF(AA417="-",0,IF(AA417&gt;9,0.5,IF(AA417&gt;7,0.25,0)))+IF(AB417="-",0,IF(AB417&gt;7,1.1,IF(AB417&gt;4,0.6,0)))+IF(OR(AC417="-",V417&lt;5),0,IF(AC417&gt;7,1+IF(V417&gt;7,0.25,0),IF(AC417&gt;4,0.5+IF(V417&gt;7,0.25,0),0)))+IF(AD417="-",0,IF(AD417&gt;7,1.5,IF(AD417&gt;4,1,0)))+IF(AE417="-",0,IF(AE417&gt;9,0.5,IF(AE417&gt;7,0.25,0)))+IF(AF417="-",0,IF(AF417&gt;7,1.25,IF(AF417&gt;4,0.75,0)))+IF(OR(AG417="-",W417&lt;4),0,IF(AG417&gt;7,1+IF(W417&gt;7,0.15,0),IF(AG417&gt;4,0.5+IF(W417&gt;7,0.15,0),0))))</f>
        <v>0</v>
      </c>
      <c r="AQ417" s="46">
        <f>($AM$3*AM417+$AN$3*AN417+$AO$3*AO417+$AP$3*AP417)+$I$3*VLOOKUP(I417,COND!$A$2:$E$7,4,FALSE)+$J$3*VLOOKUP(J417,COND!$A$2:$C$7,2,FALSE)+$K$3*VLOOKUP(K417,COND!$A$2:$C$7,3,FALSE)+IF(AND($B$2&gt;0,$E417&lt;20),$B$2*25,0)</f>
        <v>36.262262551618527</v>
      </c>
      <c r="AR417" s="49">
        <f>STANDARDIZE(AQ417,AVERAGE($AQ$5:$AQ$537),STDEVP($AQ$5:$AQ$537))</f>
        <v>-0.7189018700171923</v>
      </c>
      <c r="AS417" s="47" t="str">
        <f>IF(AND(Z417&lt;&gt;"-",Y417&gt;1),"C",IF(AB417=MAX(AB417:AD417),"2B",IF(AD417=MAX(AB417:AD417),"SS",IF(OR(AC417=MAX(AA417:AD417),AND(AC417&lt;&gt;"-",AC417&gt;4,V417&gt;5)),"3B",IF(AF417=MAX(AE417:AG417),"CF",IF(AND(AG417=MAX(AE417,AG417),AND(W417&gt;5,AG417&lt;&gt;"-")),"RF",IF(AE417&lt;&gt;"-","LF",IF(AA417&lt;&gt;"-","1B","DH"))))))))</f>
        <v>LF</v>
      </c>
      <c r="AT417" s="47"/>
      <c r="AU417" s="47"/>
      <c r="AV417" s="47"/>
      <c r="AW417" s="47" t="str">
        <f>IF(AND($Q417&gt;=6,AVERAGE($S417:$T417)&gt;=6),"Likely",IF(OR($Q417&gt;6,AND($Q417=6,AVERAGE($S417:$T417)&gt;=3),AND($Q417&gt;=5,AVERAGE($S417:$T417)&gt;=5),AVERAGE($Q417,$S417:$T417)&gt;5),"Possible","Unlikely"))</f>
        <v>Unlikely</v>
      </c>
      <c r="AX417" s="47"/>
      <c r="AY417" s="47" t="str">
        <f>INDEX(Table5[[#All],[Ovr]],MATCH(Batters[[#This Row],[PID]],Table5[[#All],[PID]],0))</f>
        <v/>
      </c>
      <c r="AZ417" s="47" t="str">
        <f>INDEX(Table5[[#All],[Rnd]],MATCH(Batters[[#This Row],[PID]],Table5[[#All],[PID]],0))</f>
        <v/>
      </c>
      <c r="BA417" s="47" t="str">
        <f>INDEX(Table5[[#All],[Pick]],MATCH(Batters[[#This Row],[PID]],Table5[[#All],[PID]],0))</f>
        <v/>
      </c>
      <c r="BB417" s="47" t="str">
        <f>INDEX(Table5[[#All],[Team]],MATCH(Batters[[#This Row],[PID]],Table5[[#All],[PID]],0))</f>
        <v/>
      </c>
    </row>
    <row r="418" spans="1:54" ht="15" customHeight="1" x14ac:dyDescent="0.25">
      <c r="A418" s="42">
        <v>2795</v>
      </c>
      <c r="B418" s="42" t="s">
        <v>86</v>
      </c>
      <c r="C418" s="42" t="s">
        <v>1253</v>
      </c>
      <c r="D418" s="42" t="s">
        <v>1101</v>
      </c>
      <c r="E418" s="42">
        <v>21</v>
      </c>
      <c r="F418" s="42" t="s">
        <v>62</v>
      </c>
      <c r="G418" s="42" t="s">
        <v>42</v>
      </c>
      <c r="H418" s="43" t="s">
        <v>709</v>
      </c>
      <c r="I418" s="44" t="s">
        <v>43</v>
      </c>
      <c r="J418" s="42" t="s">
        <v>44</v>
      </c>
      <c r="K418" s="43" t="s">
        <v>43</v>
      </c>
      <c r="L418" s="42">
        <v>2</v>
      </c>
      <c r="M418" s="42">
        <v>3</v>
      </c>
      <c r="N418" s="42">
        <v>2</v>
      </c>
      <c r="O418" s="42">
        <v>3</v>
      </c>
      <c r="P418" s="43">
        <v>2</v>
      </c>
      <c r="Q418" s="42">
        <v>3</v>
      </c>
      <c r="R418" s="42">
        <v>3</v>
      </c>
      <c r="S418" s="42">
        <v>3</v>
      </c>
      <c r="T418" s="42">
        <v>5</v>
      </c>
      <c r="U418" s="43">
        <v>4</v>
      </c>
      <c r="V418" s="42">
        <v>3</v>
      </c>
      <c r="W418" s="42">
        <v>2</v>
      </c>
      <c r="X418" s="42">
        <v>4</v>
      </c>
      <c r="Y418" s="43">
        <v>8</v>
      </c>
      <c r="Z418" s="42" t="s">
        <v>45</v>
      </c>
      <c r="AA418" s="42" t="s">
        <v>45</v>
      </c>
      <c r="AB418" s="42" t="s">
        <v>45</v>
      </c>
      <c r="AC418" s="42" t="s">
        <v>45</v>
      </c>
      <c r="AD418" s="42" t="s">
        <v>45</v>
      </c>
      <c r="AE418" s="42" t="s">
        <v>45</v>
      </c>
      <c r="AF418" s="42" t="s">
        <v>45</v>
      </c>
      <c r="AG418" s="43" t="s">
        <v>45</v>
      </c>
      <c r="AH418" s="42">
        <v>1</v>
      </c>
      <c r="AI418" s="42">
        <v>1</v>
      </c>
      <c r="AJ418" s="43">
        <v>1</v>
      </c>
      <c r="AK418" s="45" t="s">
        <v>717</v>
      </c>
      <c r="AL418" s="45" t="s">
        <v>47</v>
      </c>
      <c r="AM418" s="46">
        <f>($L$3*(L418-$Q$1)/$Q$2+$M$3*(M418-$R$1)/$R$2+$N$3*(N418-$S$1)/$S$2+$O$3*(O418-$T$1)/$T$2+$P$3*(P418-$U$1)/$U$2)/(SUM($L$3:$P$3))</f>
        <v>-1.3571708205273432</v>
      </c>
      <c r="AN418" s="46">
        <f>($L$3*(Q418-$Q$1)/$Q$2+$M$3*(R418-$R$1)/$R$2+$N$3*(S418-$S$1)/$S$2+$O$3*(T418-$T$1)/$T$2+$P$3*(U418-$U$1)/$U$2)/(SUM($L$3:$P$3))</f>
        <v>-0.69210171064743797</v>
      </c>
      <c r="AO418" s="47">
        <f>IF(AVERAGE(AH418:AI418)&gt;9,1,0)+IF(AVERAGE(AH418:AI418)&gt;7,1,0)+IF(AH418&gt;7,1,0)+IF(AI418&gt;7,1,0)+IF(AJ418&gt;8,1,0)+IF(AJ418&gt;6,1,0)</f>
        <v>0</v>
      </c>
      <c r="AP418" s="48">
        <f>MIN(2,IF(OR(Z418="-",X418&lt;5),0,1+IF(Y418&gt;7,0.35,IF(Y418&gt;5,0.1,0))+IF(Z418&gt;7,1+IF(X418&gt;7,0.25,0),IF(Z418&gt;4,0.5+IF(X418&gt;7,0.25,0),0+IF(X418&gt;7,0.25))))+IF(AA418="-",0,IF(AA418&gt;9,0.5,IF(AA418&gt;7,0.25,0)))+IF(AB418="-",0,IF(AB418&gt;7,1.1,IF(AB418&gt;4,0.6,0)))+IF(OR(AC418="-",V418&lt;5),0,IF(AC418&gt;7,1+IF(V418&gt;7,0.25,0),IF(AC418&gt;4,0.5+IF(V418&gt;7,0.25,0),0)))+IF(AD418="-",0,IF(AD418&gt;7,1.5,IF(AD418&gt;4,1,0)))+IF(AE418="-",0,IF(AE418&gt;9,0.5,IF(AE418&gt;7,0.25,0)))+IF(AF418="-",0,IF(AF418&gt;7,1.25,IF(AF418&gt;4,0.75,0)))+IF(OR(AG418="-",W418&lt;4),0,IF(AG418&gt;7,1+IF(W418&gt;7,0.15,0),IF(AG418&gt;4,0.5+IF(W418&gt;7,0.15,0),0))))</f>
        <v>0</v>
      </c>
      <c r="AQ418" s="46">
        <f>($AM$3*AM418+$AN$3*AN418+$AO$3*AO418+$AP$3*AP418)+$I$3*VLOOKUP(I418,COND!$A$2:$E$7,4,FALSE)+$J$3*VLOOKUP(J418,COND!$A$2:$C$7,2,FALSE)+$K$3*VLOOKUP(K418,COND!$A$2:$C$7,3,FALSE)+IF(AND($B$2&gt;0,$E418&lt;20),$B$2*25,0)</f>
        <v>36.259062390178009</v>
      </c>
      <c r="AR418" s="49">
        <f>STANDARDIZE(AQ418,AVERAGE($AQ$5:$AQ$537),STDEVP($AQ$5:$AQ$537))</f>
        <v>-0.71946491715340755</v>
      </c>
      <c r="AS418" s="47" t="str">
        <f>IF(AND(Z418&lt;&gt;"-",Y418&gt;1),"C",IF(AB418=MAX(AB418:AD418),"2B",IF(AD418=MAX(AB418:AD418),"SS",IF(OR(AC418=MAX(AA418:AD418),AND(AC418&lt;&gt;"-",AC418&gt;4,V418&gt;5)),"3B",IF(AF418=MAX(AE418:AG418),"CF",IF(AND(AG418=MAX(AE418,AG418),AND(W418&gt;5,AG418&lt;&gt;"-")),"RF",IF(AE418&lt;&gt;"-","LF",IF(AA418&lt;&gt;"-","1B","DH"))))))))</f>
        <v>DH</v>
      </c>
      <c r="AT418" s="47"/>
      <c r="AU418" s="47"/>
      <c r="AV418" s="47"/>
      <c r="AW418" s="47" t="str">
        <f>IF(AND($Q418&gt;=6,AVERAGE($S418:$T418)&gt;=6),"Likely",IF(OR($Q418&gt;6,AND($Q418=6,AVERAGE($S418:$T418)&gt;=3),AND($Q418&gt;=5,AVERAGE($S418:$T418)&gt;=5),AVERAGE($Q418,$S418:$T418)&gt;5),"Possible","Unlikely"))</f>
        <v>Unlikely</v>
      </c>
      <c r="AX418" s="47"/>
      <c r="AY418" s="47" t="str">
        <f>INDEX(Table5[[#All],[Ovr]],MATCH(Batters[[#This Row],[PID]],Table5[[#All],[PID]],0))</f>
        <v/>
      </c>
      <c r="AZ418" s="47" t="str">
        <f>INDEX(Table5[[#All],[Rnd]],MATCH(Batters[[#This Row],[PID]],Table5[[#All],[PID]],0))</f>
        <v/>
      </c>
      <c r="BA418" s="47" t="str">
        <f>INDEX(Table5[[#All],[Pick]],MATCH(Batters[[#This Row],[PID]],Table5[[#All],[PID]],0))</f>
        <v/>
      </c>
      <c r="BB418" s="47" t="str">
        <f>INDEX(Table5[[#All],[Team]],MATCH(Batters[[#This Row],[PID]],Table5[[#All],[PID]],0))</f>
        <v/>
      </c>
    </row>
    <row r="419" spans="1:54" ht="15" customHeight="1" x14ac:dyDescent="0.25">
      <c r="A419" s="42">
        <v>17646</v>
      </c>
      <c r="B419" s="42" t="s">
        <v>86</v>
      </c>
      <c r="C419" s="42" t="s">
        <v>996</v>
      </c>
      <c r="D419" s="42" t="s">
        <v>1343</v>
      </c>
      <c r="E419" s="42">
        <v>18</v>
      </c>
      <c r="F419" s="42" t="s">
        <v>62</v>
      </c>
      <c r="G419" s="42" t="s">
        <v>42</v>
      </c>
      <c r="H419" s="43" t="s">
        <v>709</v>
      </c>
      <c r="I419" s="44" t="s">
        <v>43</v>
      </c>
      <c r="J419" s="42" t="s">
        <v>44</v>
      </c>
      <c r="K419" s="43" t="s">
        <v>43</v>
      </c>
      <c r="L419" s="42">
        <v>1</v>
      </c>
      <c r="M419" s="42">
        <v>1</v>
      </c>
      <c r="N419" s="42">
        <v>2</v>
      </c>
      <c r="O419" s="42">
        <v>1</v>
      </c>
      <c r="P419" s="43">
        <v>1</v>
      </c>
      <c r="Q419" s="42">
        <v>2</v>
      </c>
      <c r="R419" s="42">
        <v>2</v>
      </c>
      <c r="S419" s="42">
        <v>3</v>
      </c>
      <c r="T419" s="42">
        <v>5</v>
      </c>
      <c r="U419" s="43">
        <v>3</v>
      </c>
      <c r="V419" s="42">
        <v>1</v>
      </c>
      <c r="W419" s="42">
        <v>1</v>
      </c>
      <c r="X419" s="42">
        <v>3</v>
      </c>
      <c r="Y419" s="43">
        <v>6</v>
      </c>
      <c r="Z419" s="42" t="s">
        <v>45</v>
      </c>
      <c r="AA419" s="42" t="s">
        <v>45</v>
      </c>
      <c r="AB419" s="42" t="s">
        <v>45</v>
      </c>
      <c r="AC419" s="42" t="s">
        <v>45</v>
      </c>
      <c r="AD419" s="42" t="s">
        <v>45</v>
      </c>
      <c r="AE419" s="42" t="s">
        <v>45</v>
      </c>
      <c r="AF419" s="42" t="s">
        <v>45</v>
      </c>
      <c r="AG419" s="43" t="s">
        <v>45</v>
      </c>
      <c r="AH419" s="42">
        <v>1</v>
      </c>
      <c r="AI419" s="42">
        <v>2</v>
      </c>
      <c r="AJ419" s="43">
        <v>1</v>
      </c>
      <c r="AK419" s="45" t="s">
        <v>718</v>
      </c>
      <c r="AL419" s="45" t="s">
        <v>47</v>
      </c>
      <c r="AM419" s="46">
        <f>($L$3*(L419-$Q$1)/$Q$2+$M$3*(M419-$R$1)/$R$2+$N$3*(N419-$S$1)/$S$2+$O$3*(O419-$T$1)/$T$2+$P$3*(P419-$U$1)/$U$2)/(SUM($L$3:$P$3))</f>
        <v>-2.0012818558036707</v>
      </c>
      <c r="AN419" s="46">
        <f>($L$3*(Q419-$Q$1)/$Q$2+$M$3*(R419-$R$1)/$R$2+$N$3*(S419-$S$1)/$S$2+$O$3*(T419-$T$1)/$T$2+$P$3*(U419-$U$1)/$U$2)/(SUM($L$3:$P$3))</f>
        <v>-1.1057337662858999</v>
      </c>
      <c r="AO419" s="47">
        <f>IF(AVERAGE(AH419:AI419)&gt;9,1,0)+IF(AVERAGE(AH419:AI419)&gt;7,1,0)+IF(AH419&gt;7,1,0)+IF(AI419&gt;7,1,0)+IF(AJ419&gt;8,1,0)+IF(AJ419&gt;6,1,0)</f>
        <v>0</v>
      </c>
      <c r="AP419" s="48">
        <f>MIN(2,IF(OR(Z419="-",X419&lt;5),0,1+IF(Y419&gt;7,0.35,IF(Y419&gt;5,0.1,0))+IF(Z419&gt;7,1+IF(X419&gt;7,0.25,0),IF(Z419&gt;4,0.5+IF(X419&gt;7,0.25,0),0+IF(X419&gt;7,0.25))))+IF(AA419="-",0,IF(AA419&gt;9,0.5,IF(AA419&gt;7,0.25,0)))+IF(AB419="-",0,IF(AB419&gt;7,1.1,IF(AB419&gt;4,0.6,0)))+IF(OR(AC419="-",V419&lt;5),0,IF(AC419&gt;7,1+IF(V419&gt;7,0.25,0),IF(AC419&gt;4,0.5+IF(V419&gt;7,0.25,0),0)))+IF(AD419="-",0,IF(AD419&gt;7,1.5,IF(AD419&gt;4,1,0)))+IF(AE419="-",0,IF(AE419&gt;9,0.5,IF(AE419&gt;7,0.25,0)))+IF(AF419="-",0,IF(AF419&gt;7,1.25,IF(AF419&gt;4,0.75,0)))+IF(OR(AG419="-",W419&lt;4),0,IF(AG419&gt;7,1+IF(W419&gt;7,0.15,0),IF(AG419&gt;4,0.5+IF(W419&gt;7,0.15,0),0))))</f>
        <v>0</v>
      </c>
      <c r="AQ419" s="46">
        <f>($AM$3*AM419+$AN$3*AN419+$AO$3*AO419+$AP$3*AP419)+$I$3*VLOOKUP(I419,COND!$A$2:$E$7,4,FALSE)+$J$3*VLOOKUP(J419,COND!$A$2:$C$7,2,FALSE)+$K$3*VLOOKUP(K419,COND!$A$2:$C$7,3,FALSE)+IF(AND($B$2&gt;0,$E419&lt;20),$B$2*25,0)</f>
        <v>36.231066618988834</v>
      </c>
      <c r="AR419" s="49">
        <f>STANDARDIZE(AQ419,AVERAGE($AQ$5:$AQ$537),STDEVP($AQ$5:$AQ$537))</f>
        <v>-0.72439058702575443</v>
      </c>
      <c r="AS419" s="47" t="str">
        <f>IF(AND(Z419&lt;&gt;"-",Y419&gt;1),"C",IF(AB419=MAX(AB419:AD419),"2B",IF(AD419=MAX(AB419:AD419),"SS",IF(OR(AC419=MAX(AA419:AD419),AND(AC419&lt;&gt;"-",AC419&gt;4,V419&gt;5)),"3B",IF(AF419=MAX(AE419:AG419),"CF",IF(AND(AG419=MAX(AE419,AG419),AND(W419&gt;5,AG419&lt;&gt;"-")),"RF",IF(AE419&lt;&gt;"-","LF",IF(AA419&lt;&gt;"-","1B","DH"))))))))</f>
        <v>DH</v>
      </c>
      <c r="AT419" s="47"/>
      <c r="AU419" s="47"/>
      <c r="AV419" s="47"/>
      <c r="AW419" s="47" t="str">
        <f>IF(AND($Q419&gt;=6,AVERAGE($S419:$T419)&gt;=6),"Likely",IF(OR($Q419&gt;6,AND($Q419=6,AVERAGE($S419:$T419)&gt;=3),AND($Q419&gt;=5,AVERAGE($S419:$T419)&gt;=5),AVERAGE($Q419,$S419:$T419)&gt;5),"Possible","Unlikely"))</f>
        <v>Unlikely</v>
      </c>
      <c r="AX419" s="47"/>
      <c r="AY419" s="47" t="str">
        <f>INDEX(Table5[[#All],[Ovr]],MATCH(Batters[[#This Row],[PID]],Table5[[#All],[PID]],0))</f>
        <v/>
      </c>
      <c r="AZ419" s="47" t="str">
        <f>INDEX(Table5[[#All],[Rnd]],MATCH(Batters[[#This Row],[PID]],Table5[[#All],[PID]],0))</f>
        <v/>
      </c>
      <c r="BA419" s="47" t="str">
        <f>INDEX(Table5[[#All],[Pick]],MATCH(Batters[[#This Row],[PID]],Table5[[#All],[PID]],0))</f>
        <v/>
      </c>
      <c r="BB419" s="47" t="str">
        <f>INDEX(Table5[[#All],[Team]],MATCH(Batters[[#This Row],[PID]],Table5[[#All],[PID]],0))</f>
        <v/>
      </c>
    </row>
    <row r="420" spans="1:54" ht="15" customHeight="1" x14ac:dyDescent="0.25">
      <c r="A420" s="42">
        <v>8587</v>
      </c>
      <c r="B420" s="42" t="s">
        <v>87</v>
      </c>
      <c r="C420" s="42" t="s">
        <v>189</v>
      </c>
      <c r="D420" s="42" t="s">
        <v>884</v>
      </c>
      <c r="E420" s="42">
        <v>18</v>
      </c>
      <c r="F420" s="42" t="s">
        <v>42</v>
      </c>
      <c r="G420" s="42" t="s">
        <v>42</v>
      </c>
      <c r="H420" s="43" t="s">
        <v>721</v>
      </c>
      <c r="I420" s="44" t="s">
        <v>43</v>
      </c>
      <c r="J420" s="42" t="s">
        <v>44</v>
      </c>
      <c r="K420" s="43" t="s">
        <v>43</v>
      </c>
      <c r="L420" s="42">
        <v>1</v>
      </c>
      <c r="M420" s="42">
        <v>1</v>
      </c>
      <c r="N420" s="42">
        <v>2</v>
      </c>
      <c r="O420" s="42">
        <v>1</v>
      </c>
      <c r="P420" s="43">
        <v>1</v>
      </c>
      <c r="Q420" s="42">
        <v>2</v>
      </c>
      <c r="R420" s="42">
        <v>2</v>
      </c>
      <c r="S420" s="42">
        <v>3</v>
      </c>
      <c r="T420" s="42">
        <v>5</v>
      </c>
      <c r="U420" s="43">
        <v>3</v>
      </c>
      <c r="V420" s="42">
        <v>3</v>
      </c>
      <c r="W420" s="42">
        <v>3</v>
      </c>
      <c r="X420" s="42">
        <v>5</v>
      </c>
      <c r="Y420" s="43">
        <v>4</v>
      </c>
      <c r="Z420" s="42" t="s">
        <v>45</v>
      </c>
      <c r="AA420" s="42">
        <v>1</v>
      </c>
      <c r="AB420" s="42" t="s">
        <v>45</v>
      </c>
      <c r="AC420" s="42" t="s">
        <v>45</v>
      </c>
      <c r="AD420" s="42" t="s">
        <v>45</v>
      </c>
      <c r="AE420" s="42" t="s">
        <v>45</v>
      </c>
      <c r="AF420" s="42" t="s">
        <v>45</v>
      </c>
      <c r="AG420" s="43" t="s">
        <v>45</v>
      </c>
      <c r="AH420" s="42">
        <v>1</v>
      </c>
      <c r="AI420" s="42">
        <v>1</v>
      </c>
      <c r="AJ420" s="43">
        <v>1</v>
      </c>
      <c r="AK420" s="45" t="s">
        <v>730</v>
      </c>
      <c r="AL420" s="45" t="s">
        <v>47</v>
      </c>
      <c r="AM420" s="46">
        <f>($L$3*(L420-$Q$1)/$Q$2+$M$3*(M420-$R$1)/$R$2+$N$3*(N420-$S$1)/$S$2+$O$3*(O420-$T$1)/$T$2+$P$3*(P420-$U$1)/$U$2)/(SUM($L$3:$P$3))</f>
        <v>-2.0012818558036707</v>
      </c>
      <c r="AN420" s="46">
        <f>($L$3*(Q420-$Q$1)/$Q$2+$M$3*(R420-$R$1)/$R$2+$N$3*(S420-$S$1)/$S$2+$O$3*(T420-$T$1)/$T$2+$P$3*(U420-$U$1)/$U$2)/(SUM($L$3:$P$3))</f>
        <v>-1.1057337662858999</v>
      </c>
      <c r="AO420" s="47">
        <f>IF(AVERAGE(AH420:AI420)&gt;9,1,0)+IF(AVERAGE(AH420:AI420)&gt;7,1,0)+IF(AH420&gt;7,1,0)+IF(AI420&gt;7,1,0)+IF(AJ420&gt;8,1,0)+IF(AJ420&gt;6,1,0)</f>
        <v>0</v>
      </c>
      <c r="AP420" s="48">
        <f>MIN(2,IF(OR(Z420="-",X420&lt;5),0,1+IF(Y420&gt;7,0.35,IF(Y420&gt;5,0.1,0))+IF(Z420&gt;7,1+IF(X420&gt;7,0.25,0),IF(Z420&gt;4,0.5+IF(X420&gt;7,0.25,0),0+IF(X420&gt;7,0.25))))+IF(AA420="-",0,IF(AA420&gt;9,0.5,IF(AA420&gt;7,0.25,0)))+IF(AB420="-",0,IF(AB420&gt;7,1.1,IF(AB420&gt;4,0.6,0)))+IF(OR(AC420="-",V420&lt;5),0,IF(AC420&gt;7,1+IF(V420&gt;7,0.25,0),IF(AC420&gt;4,0.5+IF(V420&gt;7,0.25,0),0)))+IF(AD420="-",0,IF(AD420&gt;7,1.5,IF(AD420&gt;4,1,0)))+IF(AE420="-",0,IF(AE420&gt;9,0.5,IF(AE420&gt;7,0.25,0)))+IF(AF420="-",0,IF(AF420&gt;7,1.25,IF(AF420&gt;4,0.75,0)))+IF(OR(AG420="-",W420&lt;4),0,IF(AG420&gt;7,1+IF(W420&gt;7,0.15,0),IF(AG420&gt;4,0.5+IF(W420&gt;7,0.15,0),0))))</f>
        <v>0</v>
      </c>
      <c r="AQ420" s="46">
        <f>($AM$3*AM420+$AN$3*AN420+$AO$3*AO420+$AP$3*AP420)+$I$3*VLOOKUP(I420,COND!$A$2:$E$7,4,FALSE)+$J$3*VLOOKUP(J420,COND!$A$2:$C$7,2,FALSE)+$K$3*VLOOKUP(K420,COND!$A$2:$C$7,3,FALSE)+IF(AND($B$2&gt;0,$E420&lt;20),$B$2*25,0)</f>
        <v>36.231066618988834</v>
      </c>
      <c r="AR420" s="49">
        <f>STANDARDIZE(AQ420,AVERAGE($AQ$5:$AQ$537),STDEVP($AQ$5:$AQ$537))</f>
        <v>-0.72439058702575443</v>
      </c>
      <c r="AS420" s="47" t="str">
        <f>IF(AND(Z420&lt;&gt;"-",Y420&gt;1),"C",IF(AB420=MAX(AB420:AD420),"2B",IF(AD420=MAX(AB420:AD420),"SS",IF(OR(AC420=MAX(AA420:AD420),AND(AC420&lt;&gt;"-",AC420&gt;4,V420&gt;5)),"3B",IF(AF420=MAX(AE420:AG420),"CF",IF(AND(AG420=MAX(AE420,AG420),AND(W420&gt;5,AG420&lt;&gt;"-")),"RF",IF(AE420&lt;&gt;"-","LF",IF(AA420&lt;&gt;"-","1B","DH"))))))))</f>
        <v>1B</v>
      </c>
      <c r="AT420" s="47"/>
      <c r="AU420" s="47"/>
      <c r="AV420" s="47"/>
      <c r="AW420" s="47" t="str">
        <f>IF(AND($Q420&gt;=6,AVERAGE($S420:$T420)&gt;=6),"Likely",IF(OR($Q420&gt;6,AND($Q420=6,AVERAGE($S420:$T420)&gt;=3),AND($Q420&gt;=5,AVERAGE($S420:$T420)&gt;=5),AVERAGE($Q420,$S420:$T420)&gt;5),"Possible","Unlikely"))</f>
        <v>Unlikely</v>
      </c>
      <c r="AX420" s="47"/>
      <c r="AY420" s="47" t="str">
        <f>INDEX(Table5[[#All],[Ovr]],MATCH(Batters[[#This Row],[PID]],Table5[[#All],[PID]],0))</f>
        <v/>
      </c>
      <c r="AZ420" s="47" t="str">
        <f>INDEX(Table5[[#All],[Rnd]],MATCH(Batters[[#This Row],[PID]],Table5[[#All],[PID]],0))</f>
        <v/>
      </c>
      <c r="BA420" s="47" t="str">
        <f>INDEX(Table5[[#All],[Pick]],MATCH(Batters[[#This Row],[PID]],Table5[[#All],[PID]],0))</f>
        <v/>
      </c>
      <c r="BB420" s="47" t="str">
        <f>INDEX(Table5[[#All],[Team]],MATCH(Batters[[#This Row],[PID]],Table5[[#All],[PID]],0))</f>
        <v/>
      </c>
    </row>
    <row r="421" spans="1:54" ht="15" customHeight="1" x14ac:dyDescent="0.25">
      <c r="A421" s="42">
        <v>10455</v>
      </c>
      <c r="B421" s="42" t="s">
        <v>87</v>
      </c>
      <c r="C421" s="42" t="s">
        <v>328</v>
      </c>
      <c r="D421" s="42" t="s">
        <v>850</v>
      </c>
      <c r="E421" s="42">
        <v>22</v>
      </c>
      <c r="F421" s="42" t="s">
        <v>42</v>
      </c>
      <c r="G421" s="42" t="s">
        <v>42</v>
      </c>
      <c r="H421" s="43" t="s">
        <v>709</v>
      </c>
      <c r="I421" s="44" t="s">
        <v>44</v>
      </c>
      <c r="J421" s="42" t="s">
        <v>44</v>
      </c>
      <c r="K421" s="43" t="s">
        <v>43</v>
      </c>
      <c r="L421" s="42">
        <v>2</v>
      </c>
      <c r="M421" s="42">
        <v>3</v>
      </c>
      <c r="N421" s="42">
        <v>2</v>
      </c>
      <c r="O421" s="42">
        <v>4</v>
      </c>
      <c r="P421" s="43">
        <v>1</v>
      </c>
      <c r="Q421" s="42">
        <v>3</v>
      </c>
      <c r="R421" s="42">
        <v>3</v>
      </c>
      <c r="S421" s="42">
        <v>3</v>
      </c>
      <c r="T421" s="42">
        <v>6</v>
      </c>
      <c r="U421" s="43">
        <v>2</v>
      </c>
      <c r="V421" s="42">
        <v>3</v>
      </c>
      <c r="W421" s="42">
        <v>2</v>
      </c>
      <c r="X421" s="42">
        <v>3</v>
      </c>
      <c r="Y421" s="43">
        <v>6</v>
      </c>
      <c r="Z421" s="42" t="s">
        <v>45</v>
      </c>
      <c r="AA421" s="42">
        <v>2</v>
      </c>
      <c r="AB421" s="42" t="s">
        <v>45</v>
      </c>
      <c r="AC421" s="42" t="s">
        <v>45</v>
      </c>
      <c r="AD421" s="42" t="s">
        <v>45</v>
      </c>
      <c r="AE421" s="42" t="s">
        <v>45</v>
      </c>
      <c r="AF421" s="42" t="s">
        <v>45</v>
      </c>
      <c r="AG421" s="43" t="s">
        <v>45</v>
      </c>
      <c r="AH421" s="42">
        <v>1</v>
      </c>
      <c r="AI421" s="42">
        <v>1</v>
      </c>
      <c r="AJ421" s="43">
        <v>1</v>
      </c>
      <c r="AK421" s="45" t="s">
        <v>45</v>
      </c>
      <c r="AL421" s="45" t="s">
        <v>705</v>
      </c>
      <c r="AM421" s="46">
        <f>($L$3*(L421-$Q$1)/$Q$2+$M$3*(M421-$R$1)/$R$2+$N$3*(N421-$S$1)/$S$2+$O$3*(O421-$T$1)/$T$2+$P$3*(P421-$U$1)/$U$2)/(SUM($L$3:$P$3))</f>
        <v>-1.3074776103348458</v>
      </c>
      <c r="AN421" s="46">
        <f>($L$3*(Q421-$Q$1)/$Q$2+$M$3*(R421-$R$1)/$R$2+$N$3*(S421-$S$1)/$S$2+$O$3*(T421-$T$1)/$T$2+$P$3*(U421-$U$1)/$U$2)/(SUM($L$3:$P$3))</f>
        <v>-0.68242484027202388</v>
      </c>
      <c r="AO421" s="47">
        <f>IF(AVERAGE(AH421:AI421)&gt;9,1,0)+IF(AVERAGE(AH421:AI421)&gt;7,1,0)+IF(AH421&gt;7,1,0)+IF(AI421&gt;7,1,0)+IF(AJ421&gt;8,1,0)+IF(AJ421&gt;6,1,0)</f>
        <v>0</v>
      </c>
      <c r="AP421" s="48">
        <f>MIN(2,IF(OR(Z421="-",X421&lt;5),0,1+IF(Y421&gt;7,0.35,IF(Y421&gt;5,0.1,0))+IF(Z421&gt;7,1+IF(X421&gt;7,0.25,0),IF(Z421&gt;4,0.5+IF(X421&gt;7,0.25,0),0+IF(X421&gt;7,0.25))))+IF(AA421="-",0,IF(AA421&gt;9,0.5,IF(AA421&gt;7,0.25,0)))+IF(AB421="-",0,IF(AB421&gt;7,1.1,IF(AB421&gt;4,0.6,0)))+IF(OR(AC421="-",V421&lt;5),0,IF(AC421&gt;7,1+IF(V421&gt;7,0.25,0),IF(AC421&gt;4,0.5+IF(V421&gt;7,0.25,0),0)))+IF(AD421="-",0,IF(AD421&gt;7,1.5,IF(AD421&gt;4,1,0)))+IF(AE421="-",0,IF(AE421&gt;9,0.5,IF(AE421&gt;7,0.25,0)))+IF(AF421="-",0,IF(AF421&gt;7,1.25,IF(AF421&gt;4,0.75,0)))+IF(OR(AG421="-",W421&lt;4),0,IF(AG421&gt;7,1+IF(W421&gt;7,0.15,0),IF(AG421&gt;4,0.5+IF(W421&gt;7,0.15,0),0))))</f>
        <v>0</v>
      </c>
      <c r="AQ421" s="46">
        <f>($AM$3*AM421+$AN$3*AN421+$AO$3*AO421+$AP$3*AP421)+$I$3*VLOOKUP(I421,COND!$A$2:$E$7,4,FALSE)+$J$3*VLOOKUP(J421,COND!$A$2:$C$7,2,FALSE)+$K$3*VLOOKUP(K421,COND!$A$2:$C$7,3,FALSE)+IF(AND($B$2&gt;0,$E421&lt;20),$B$2*25,0)</f>
        <v>36.230154155702223</v>
      </c>
      <c r="AR421" s="49">
        <f>STANDARDIZE(AQ421,AVERAGE($AQ$5:$AQ$537),STDEVP($AQ$5:$AQ$537))</f>
        <v>-0.72455112887652562</v>
      </c>
      <c r="AS421" s="47" t="str">
        <f>IF(AND(Z421&lt;&gt;"-",Y421&gt;1),"C",IF(AB421=MAX(AB421:AD421),"2B",IF(AD421=MAX(AB421:AD421),"SS",IF(OR(AC421=MAX(AA421:AD421),AND(AC421&lt;&gt;"-",AC421&gt;4,V421&gt;5)),"3B",IF(AF421=MAX(AE421:AG421),"CF",IF(AND(AG421=MAX(AE421,AG421),AND(W421&gt;5,AG421&lt;&gt;"-")),"RF",IF(AE421&lt;&gt;"-","LF",IF(AA421&lt;&gt;"-","1B","DH"))))))))</f>
        <v>1B</v>
      </c>
      <c r="AT421" s="47"/>
      <c r="AU421" s="47"/>
      <c r="AV421" s="47"/>
      <c r="AW421" s="47" t="str">
        <f>IF(AND($Q421&gt;=6,AVERAGE($S421:$T421)&gt;=6),"Likely",IF(OR($Q421&gt;6,AND($Q421=6,AVERAGE($S421:$T421)&gt;=3),AND($Q421&gt;=5,AVERAGE($S421:$T421)&gt;=5),AVERAGE($Q421,$S421:$T421)&gt;5),"Possible","Unlikely"))</f>
        <v>Unlikely</v>
      </c>
      <c r="AX421" s="47"/>
      <c r="AY421" s="47" t="str">
        <f>INDEX(Table5[[#All],[Ovr]],MATCH(Batters[[#This Row],[PID]],Table5[[#All],[PID]],0))</f>
        <v/>
      </c>
      <c r="AZ421" s="47" t="str">
        <f>INDEX(Table5[[#All],[Rnd]],MATCH(Batters[[#This Row],[PID]],Table5[[#All],[PID]],0))</f>
        <v/>
      </c>
      <c r="BA421" s="47" t="str">
        <f>INDEX(Table5[[#All],[Pick]],MATCH(Batters[[#This Row],[PID]],Table5[[#All],[PID]],0))</f>
        <v/>
      </c>
      <c r="BB421" s="47" t="str">
        <f>INDEX(Table5[[#All],[Team]],MATCH(Batters[[#This Row],[PID]],Table5[[#All],[PID]],0))</f>
        <v/>
      </c>
    </row>
    <row r="422" spans="1:54" ht="15" customHeight="1" x14ac:dyDescent="0.25">
      <c r="A422" s="42">
        <v>10296</v>
      </c>
      <c r="B422" s="42" t="s">
        <v>50</v>
      </c>
      <c r="C422" s="42" t="s">
        <v>130</v>
      </c>
      <c r="D422" s="42" t="s">
        <v>1218</v>
      </c>
      <c r="E422" s="42">
        <v>21</v>
      </c>
      <c r="F422" s="42" t="s">
        <v>42</v>
      </c>
      <c r="G422" s="42" t="s">
        <v>42</v>
      </c>
      <c r="H422" s="43" t="s">
        <v>709</v>
      </c>
      <c r="I422" s="44" t="s">
        <v>43</v>
      </c>
      <c r="J422" s="42" t="s">
        <v>43</v>
      </c>
      <c r="K422" s="43" t="s">
        <v>47</v>
      </c>
      <c r="L422" s="42">
        <v>2</v>
      </c>
      <c r="M422" s="42">
        <v>2</v>
      </c>
      <c r="N422" s="42">
        <v>2</v>
      </c>
      <c r="O422" s="42">
        <v>1</v>
      </c>
      <c r="P422" s="43">
        <v>1</v>
      </c>
      <c r="Q422" s="42">
        <v>3</v>
      </c>
      <c r="R422" s="42">
        <v>3</v>
      </c>
      <c r="S422" s="42">
        <v>2</v>
      </c>
      <c r="T422" s="42">
        <v>4</v>
      </c>
      <c r="U422" s="43">
        <v>4</v>
      </c>
      <c r="V422" s="42">
        <v>4</v>
      </c>
      <c r="W422" s="42">
        <v>4</v>
      </c>
      <c r="X422" s="42">
        <v>1</v>
      </c>
      <c r="Y422" s="43">
        <v>1</v>
      </c>
      <c r="Z422" s="42" t="s">
        <v>45</v>
      </c>
      <c r="AA422" s="42" t="s">
        <v>45</v>
      </c>
      <c r="AB422" s="42" t="s">
        <v>45</v>
      </c>
      <c r="AC422" s="42" t="s">
        <v>45</v>
      </c>
      <c r="AD422" s="42" t="s">
        <v>45</v>
      </c>
      <c r="AE422" s="42">
        <v>7</v>
      </c>
      <c r="AF422" s="42" t="s">
        <v>45</v>
      </c>
      <c r="AG422" s="43" t="s">
        <v>45</v>
      </c>
      <c r="AH422" s="42">
        <v>2</v>
      </c>
      <c r="AI422" s="42">
        <v>3</v>
      </c>
      <c r="AJ422" s="43">
        <v>2</v>
      </c>
      <c r="AK422" s="45" t="s">
        <v>45</v>
      </c>
      <c r="AL422" s="45" t="s">
        <v>47</v>
      </c>
      <c r="AM422" s="46">
        <f>($L$3*(L422-$Q$1)/$Q$2+$M$3*(M422-$R$1)/$R$2+$N$3*(N422-$S$1)/$S$2+$O$3*(O422-$T$1)/$T$2+$P$3*(P422-$U$1)/$U$2)/(SUM($L$3:$P$3))</f>
        <v>-1.6276661399822923</v>
      </c>
      <c r="AN422" s="46">
        <f>($L$3*(Q422-$Q$1)/$Q$2+$M$3*(R422-$R$1)/$R$2+$N$3*(S422-$S$1)/$S$2+$O$3*(T422-$T$1)/$T$2+$P$3*(U422-$U$1)/$U$2)/(SUM($L$3:$P$3))</f>
        <v>-0.8648727546809204</v>
      </c>
      <c r="AO422" s="47">
        <f>IF(AVERAGE(AH422:AI422)&gt;9,1,0)+IF(AVERAGE(AH422:AI422)&gt;7,1,0)+IF(AH422&gt;7,1,0)+IF(AI422&gt;7,1,0)+IF(AJ422&gt;8,1,0)+IF(AJ422&gt;6,1,0)</f>
        <v>0</v>
      </c>
      <c r="AP422" s="48">
        <f>MIN(2,IF(OR(Z422="-",X422&lt;5),0,1+IF(Y422&gt;7,0.35,IF(Y422&gt;5,0.1,0))+IF(Z422&gt;7,1+IF(X422&gt;7,0.25,0),IF(Z422&gt;4,0.5+IF(X422&gt;7,0.25,0),0+IF(X422&gt;7,0.25))))+IF(AA422="-",0,IF(AA422&gt;9,0.5,IF(AA422&gt;7,0.25,0)))+IF(AB422="-",0,IF(AB422&gt;7,1.1,IF(AB422&gt;4,0.6,0)))+IF(OR(AC422="-",V422&lt;5),0,IF(AC422&gt;7,1+IF(V422&gt;7,0.25,0),IF(AC422&gt;4,0.5+IF(V422&gt;7,0.25,0),0)))+IF(AD422="-",0,IF(AD422&gt;7,1.5,IF(AD422&gt;4,1,0)))+IF(AE422="-",0,IF(AE422&gt;9,0.5,IF(AE422&gt;7,0.25,0)))+IF(AF422="-",0,IF(AF422&gt;7,1.25,IF(AF422&gt;4,0.75,0)))+IF(OR(AG422="-",W422&lt;4),0,IF(AG422&gt;7,1+IF(W422&gt;7,0.15,0),IF(AG422&gt;4,0.5+IF(W422&gt;7,0.15,0),0))))</f>
        <v>0</v>
      </c>
      <c r="AQ422" s="46">
        <f>($AM$3*AM422+$AN$3*AN422+$AO$3*AO422+$AP$3*AP422)+$I$3*VLOOKUP(I422,COND!$A$2:$E$7,4,FALSE)+$J$3*VLOOKUP(J422,COND!$A$2:$C$7,2,FALSE)+$K$3*VLOOKUP(K422,COND!$A$2:$C$7,3,FALSE)+IF(AND($B$2&gt;0,$E422&lt;20),$B$2*25,0)</f>
        <v>34.758760329830722</v>
      </c>
      <c r="AR422" s="49">
        <f>STANDARDIZE(AQ422,AVERAGE($AQ$5:$AQ$537),STDEVP($AQ$5:$AQ$537))</f>
        <v>-0.98343309320886174</v>
      </c>
      <c r="AS422" s="47" t="str">
        <f>IF(AND(Z422&lt;&gt;"-",Y422&gt;1),"C",IF(AB422=MAX(AB422:AD422),"2B",IF(AD422=MAX(AB422:AD422),"SS",IF(OR(AC422=MAX(AA422:AD422),AND(AC422&lt;&gt;"-",AC422&gt;4,V422&gt;5)),"3B",IF(AF422=MAX(AE422:AG422),"CF",IF(AND(AG422=MAX(AE422,AG422),AND(W422&gt;5,AG422&lt;&gt;"-")),"RF",IF(AE422&lt;&gt;"-","LF",IF(AA422&lt;&gt;"-","1B","DH"))))))))</f>
        <v>LF</v>
      </c>
      <c r="AT422" s="47"/>
      <c r="AU422" s="47"/>
      <c r="AV422" s="47"/>
      <c r="AW422" s="47" t="str">
        <f>IF(AND($Q422&gt;=6,AVERAGE($S422:$T422)&gt;=6),"Likely",IF(OR($Q422&gt;6,AND($Q422=6,AVERAGE($S422:$T422)&gt;=3),AND($Q422&gt;=5,AVERAGE($S422:$T422)&gt;=5),AVERAGE($Q422,$S422:$T422)&gt;5),"Possible","Unlikely"))</f>
        <v>Unlikely</v>
      </c>
      <c r="AX422" s="47"/>
      <c r="AY422" s="47" t="str">
        <f>INDEX(Table5[[#All],[Ovr]],MATCH(Batters[[#This Row],[PID]],Table5[[#All],[PID]],0))</f>
        <v/>
      </c>
      <c r="AZ422" s="47" t="str">
        <f>INDEX(Table5[[#All],[Rnd]],MATCH(Batters[[#This Row],[PID]],Table5[[#All],[PID]],0))</f>
        <v/>
      </c>
      <c r="BA422" s="47" t="str">
        <f>INDEX(Table5[[#All],[Pick]],MATCH(Batters[[#This Row],[PID]],Table5[[#All],[PID]],0))</f>
        <v/>
      </c>
      <c r="BB422" s="47" t="str">
        <f>INDEX(Table5[[#All],[Team]],MATCH(Batters[[#This Row],[PID]],Table5[[#All],[PID]],0))</f>
        <v/>
      </c>
    </row>
    <row r="423" spans="1:54" ht="15" customHeight="1" x14ac:dyDescent="0.25">
      <c r="A423" s="42">
        <v>7419</v>
      </c>
      <c r="B423" s="42" t="s">
        <v>86</v>
      </c>
      <c r="C423" s="42" t="s">
        <v>386</v>
      </c>
      <c r="D423" s="42" t="s">
        <v>1223</v>
      </c>
      <c r="E423" s="42">
        <v>18</v>
      </c>
      <c r="F423" s="42" t="s">
        <v>42</v>
      </c>
      <c r="G423" s="42" t="s">
        <v>42</v>
      </c>
      <c r="H423" s="43" t="s">
        <v>711</v>
      </c>
      <c r="I423" s="44" t="s">
        <v>43</v>
      </c>
      <c r="J423" s="42" t="s">
        <v>43</v>
      </c>
      <c r="K423" s="43" t="s">
        <v>43</v>
      </c>
      <c r="L423" s="42">
        <v>1</v>
      </c>
      <c r="M423" s="42">
        <v>1</v>
      </c>
      <c r="N423" s="42">
        <v>2</v>
      </c>
      <c r="O423" s="42">
        <v>1</v>
      </c>
      <c r="P423" s="43">
        <v>1</v>
      </c>
      <c r="Q423" s="42">
        <v>2</v>
      </c>
      <c r="R423" s="42">
        <v>2</v>
      </c>
      <c r="S423" s="42">
        <v>3</v>
      </c>
      <c r="T423" s="42">
        <v>4</v>
      </c>
      <c r="U423" s="43">
        <v>3</v>
      </c>
      <c r="V423" s="42">
        <v>3</v>
      </c>
      <c r="W423" s="42">
        <v>2</v>
      </c>
      <c r="X423" s="42">
        <v>4</v>
      </c>
      <c r="Y423" s="43">
        <v>5</v>
      </c>
      <c r="Z423" s="42" t="s">
        <v>45</v>
      </c>
      <c r="AA423" s="42" t="s">
        <v>45</v>
      </c>
      <c r="AB423" s="42" t="s">
        <v>45</v>
      </c>
      <c r="AC423" s="42" t="s">
        <v>45</v>
      </c>
      <c r="AD423" s="42" t="s">
        <v>45</v>
      </c>
      <c r="AE423" s="42" t="s">
        <v>45</v>
      </c>
      <c r="AF423" s="42" t="s">
        <v>45</v>
      </c>
      <c r="AG423" s="43" t="s">
        <v>45</v>
      </c>
      <c r="AH423" s="42">
        <v>1</v>
      </c>
      <c r="AI423" s="42">
        <v>1</v>
      </c>
      <c r="AJ423" s="43">
        <v>1</v>
      </c>
      <c r="AK423" s="45" t="s">
        <v>434</v>
      </c>
      <c r="AL423" s="45" t="s">
        <v>47</v>
      </c>
      <c r="AM423" s="46">
        <f>($L$3*(L423-$Q$1)/$Q$2+$M$3*(M423-$R$1)/$R$2+$N$3*(N423-$S$1)/$S$2+$O$3*(O423-$T$1)/$T$2+$P$3*(P423-$U$1)/$U$2)/(SUM($L$3:$P$3))</f>
        <v>-2.0012818558036707</v>
      </c>
      <c r="AN423" s="46">
        <f>($L$3*(Q423-$Q$1)/$Q$2+$M$3*(R423-$R$1)/$R$2+$N$3*(S423-$S$1)/$S$2+$O$3*(T423-$T$1)/$T$2+$P$3*(U423-$U$1)/$U$2)/(SUM($L$3:$P$3))</f>
        <v>-1.1954433162954807</v>
      </c>
      <c r="AO423" s="47">
        <f>IF(AVERAGE(AH423:AI423)&gt;9,1,0)+IF(AVERAGE(AH423:AI423)&gt;7,1,0)+IF(AH423&gt;7,1,0)+IF(AI423&gt;7,1,0)+IF(AJ423&gt;8,1,0)+IF(AJ423&gt;6,1,0)</f>
        <v>0</v>
      </c>
      <c r="AP423" s="48">
        <f>MIN(2,IF(OR(Z423="-",X423&lt;5),0,1+IF(Y423&gt;7,0.35,IF(Y423&gt;5,0.1,0))+IF(Z423&gt;7,1+IF(X423&gt;7,0.25,0),IF(Z423&gt;4,0.5+IF(X423&gt;7,0.25,0),0+IF(X423&gt;7,0.25))))+IF(AA423="-",0,IF(AA423&gt;9,0.5,IF(AA423&gt;7,0.25,0)))+IF(AB423="-",0,IF(AB423&gt;7,1.1,IF(AB423&gt;4,0.6,0)))+IF(OR(AC423="-",V423&lt;5),0,IF(AC423&gt;7,1+IF(V423&gt;7,0.25,0),IF(AC423&gt;4,0.5+IF(V423&gt;7,0.25,0),0)))+IF(AD423="-",0,IF(AD423&gt;7,1.5,IF(AD423&gt;4,1,0)))+IF(AE423="-",0,IF(AE423&gt;9,0.5,IF(AE423&gt;7,0.25,0)))+IF(AF423="-",0,IF(AF423&gt;7,1.25,IF(AF423&gt;4,0.75,0)))+IF(OR(AG423="-",W423&lt;4),0,IF(AG423&gt;7,1+IF(W423&gt;7,0.15,0),IF(AG423&gt;4,0.5+IF(W423&gt;7,0.15,0),0))))</f>
        <v>0</v>
      </c>
      <c r="AQ423" s="46">
        <f>($AM$3*AM423+$AN$3*AN423+$AO$3*AO423+$AP$3*AP423)+$I$3*VLOOKUP(I423,COND!$A$2:$E$7,4,FALSE)+$J$3*VLOOKUP(J423,COND!$A$2:$C$7,2,FALSE)+$K$3*VLOOKUP(K423,COND!$A$2:$C$7,3,FALSE)+IF(AND($B$2&gt;0,$E423&lt;20),$B$2*25,0)</f>
        <v>35.454552018873862</v>
      </c>
      <c r="AR423" s="49">
        <f>STANDARDIZE(AQ423,AVERAGE($AQ$5:$AQ$537),STDEVP($AQ$5:$AQ$537))</f>
        <v>-0.86101316996437416</v>
      </c>
      <c r="AS423" s="47" t="str">
        <f>IF(AND(Z423&lt;&gt;"-",Y423&gt;1),"C",IF(AB423=MAX(AB423:AD423),"2B",IF(AD423=MAX(AB423:AD423),"SS",IF(OR(AC423=MAX(AA423:AD423),AND(AC423&lt;&gt;"-",AC423&gt;4,V423&gt;5)),"3B",IF(AF423=MAX(AE423:AG423),"CF",IF(AND(AG423=MAX(AE423,AG423),AND(W423&gt;5,AG423&lt;&gt;"-")),"RF",IF(AE423&lt;&gt;"-","LF",IF(AA423&lt;&gt;"-","1B","DH"))))))))</f>
        <v>DH</v>
      </c>
      <c r="AT423" s="47"/>
      <c r="AU423" s="47"/>
      <c r="AV423" s="47"/>
      <c r="AW423" s="47" t="str">
        <f>IF(AND($Q423&gt;=6,AVERAGE($S423:$T423)&gt;=6),"Likely",IF(OR($Q423&gt;6,AND($Q423=6,AVERAGE($S423:$T423)&gt;=3),AND($Q423&gt;=5,AVERAGE($S423:$T423)&gt;=5),AVERAGE($Q423,$S423:$T423)&gt;5),"Possible","Unlikely"))</f>
        <v>Unlikely</v>
      </c>
      <c r="AX423" s="47"/>
      <c r="AY423" s="47" t="str">
        <f>INDEX(Table5[[#All],[Ovr]],MATCH(Batters[[#This Row],[PID]],Table5[[#All],[PID]],0))</f>
        <v/>
      </c>
      <c r="AZ423" s="47" t="str">
        <f>INDEX(Table5[[#All],[Rnd]],MATCH(Batters[[#This Row],[PID]],Table5[[#All],[PID]],0))</f>
        <v/>
      </c>
      <c r="BA423" s="47" t="str">
        <f>INDEX(Table5[[#All],[Pick]],MATCH(Batters[[#This Row],[PID]],Table5[[#All],[PID]],0))</f>
        <v/>
      </c>
      <c r="BB423" s="47" t="str">
        <f>INDEX(Table5[[#All],[Team]],MATCH(Batters[[#This Row],[PID]],Table5[[#All],[PID]],0))</f>
        <v/>
      </c>
    </row>
    <row r="424" spans="1:54" ht="15" customHeight="1" x14ac:dyDescent="0.25">
      <c r="A424" s="42">
        <v>6697</v>
      </c>
      <c r="B424" s="42" t="s">
        <v>50</v>
      </c>
      <c r="C424" s="42" t="s">
        <v>433</v>
      </c>
      <c r="D424" s="42" t="s">
        <v>1193</v>
      </c>
      <c r="E424" s="42">
        <v>21</v>
      </c>
      <c r="F424" s="42" t="s">
        <v>53</v>
      </c>
      <c r="G424" s="42" t="s">
        <v>42</v>
      </c>
      <c r="H424" s="43" t="s">
        <v>721</v>
      </c>
      <c r="I424" s="44" t="s">
        <v>43</v>
      </c>
      <c r="J424" s="42" t="s">
        <v>44</v>
      </c>
      <c r="K424" s="43" t="s">
        <v>43</v>
      </c>
      <c r="L424" s="42">
        <v>1</v>
      </c>
      <c r="M424" s="42">
        <v>2</v>
      </c>
      <c r="N424" s="42">
        <v>3</v>
      </c>
      <c r="O424" s="42">
        <v>2</v>
      </c>
      <c r="P424" s="43">
        <v>1</v>
      </c>
      <c r="Q424" s="42">
        <v>3</v>
      </c>
      <c r="R424" s="42">
        <v>3</v>
      </c>
      <c r="S424" s="42">
        <v>4</v>
      </c>
      <c r="T424" s="42">
        <v>4</v>
      </c>
      <c r="U424" s="43">
        <v>4</v>
      </c>
      <c r="V424" s="42">
        <v>4</v>
      </c>
      <c r="W424" s="42">
        <v>5</v>
      </c>
      <c r="X424" s="42">
        <v>1</v>
      </c>
      <c r="Y424" s="43">
        <v>1</v>
      </c>
      <c r="Z424" s="42" t="s">
        <v>45</v>
      </c>
      <c r="AA424" s="42" t="s">
        <v>45</v>
      </c>
      <c r="AB424" s="42" t="s">
        <v>45</v>
      </c>
      <c r="AC424" s="42" t="s">
        <v>45</v>
      </c>
      <c r="AD424" s="42" t="s">
        <v>45</v>
      </c>
      <c r="AE424" s="42">
        <v>1</v>
      </c>
      <c r="AF424" s="42" t="s">
        <v>45</v>
      </c>
      <c r="AG424" s="43" t="s">
        <v>45</v>
      </c>
      <c r="AH424" s="42">
        <v>4</v>
      </c>
      <c r="AI424" s="42">
        <v>5</v>
      </c>
      <c r="AJ424" s="43">
        <v>4</v>
      </c>
      <c r="AK424" s="45" t="s">
        <v>717</v>
      </c>
      <c r="AL424" s="45" t="s">
        <v>47</v>
      </c>
      <c r="AM424" s="46">
        <f>($L$3*(L424-$Q$1)/$Q$2+$M$3*(M424-$R$1)/$R$2+$N$3*(N424-$S$1)/$S$2+$O$3*(O424-$T$1)/$T$2+$P$3*(P424-$U$1)/$U$2)/(SUM($L$3:$P$3))</f>
        <v>-1.7774509321514844</v>
      </c>
      <c r="AN424" s="46">
        <f>($L$3*(Q424-$Q$1)/$Q$2+$M$3*(R424-$R$1)/$R$2+$N$3*(S424-$S$1)/$S$2+$O$3*(T424-$T$1)/$T$2+$P$3*(U424-$U$1)/$U$2)/(SUM($L$3:$P$3))</f>
        <v>-0.6987497666331175</v>
      </c>
      <c r="AO424" s="47">
        <f>IF(AVERAGE(AH424:AI424)&gt;9,1,0)+IF(AVERAGE(AH424:AI424)&gt;7,1,0)+IF(AH424&gt;7,1,0)+IF(AI424&gt;7,1,0)+IF(AJ424&gt;8,1,0)+IF(AJ424&gt;6,1,0)</f>
        <v>0</v>
      </c>
      <c r="AP424" s="48">
        <f>MIN(2,IF(OR(Z424="-",X424&lt;5),0,1+IF(Y424&gt;7,0.35,IF(Y424&gt;5,0.1,0))+IF(Z424&gt;7,1+IF(X424&gt;7,0.25,0),IF(Z424&gt;4,0.5+IF(X424&gt;7,0.25,0),0+IF(X424&gt;7,0.25))))+IF(AA424="-",0,IF(AA424&gt;9,0.5,IF(AA424&gt;7,0.25,0)))+IF(AB424="-",0,IF(AB424&gt;7,1.1,IF(AB424&gt;4,0.6,0)))+IF(OR(AC424="-",V424&lt;5),0,IF(AC424&gt;7,1+IF(V424&gt;7,0.25,0),IF(AC424&gt;4,0.5+IF(V424&gt;7,0.25,0),0)))+IF(AD424="-",0,IF(AD424&gt;7,1.5,IF(AD424&gt;4,1,0)))+IF(AE424="-",0,IF(AE424&gt;9,0.5,IF(AE424&gt;7,0.25,0)))+IF(AF424="-",0,IF(AF424&gt;7,1.25,IF(AF424&gt;4,0.75,0)))+IF(OR(AG424="-",W424&lt;4),0,IF(AG424&gt;7,1+IF(W424&gt;7,0.15,0),IF(AG424&gt;4,0.5+IF(W424&gt;7,0.15,0),0))))</f>
        <v>0</v>
      </c>
      <c r="AQ424" s="46">
        <f>($AM$3*AM424+$AN$3*AN424+$AO$3*AO424+$AP$3*AP424)+$I$3*VLOOKUP(I424,COND!$A$2:$E$7,4,FALSE)+$J$3*VLOOKUP(J424,COND!$A$2:$C$7,2,FALSE)+$K$3*VLOOKUP(K424,COND!$A$2:$C$7,3,FALSE)+IF(AND($B$2&gt;0,$E424&lt;20),$B$2*25,0)</f>
        <v>36.137257707187437</v>
      </c>
      <c r="AR424" s="49">
        <f>STANDARDIZE(AQ424,AVERAGE($AQ$5:$AQ$537),STDEVP($AQ$5:$AQ$537))</f>
        <v>-0.74089564157472265</v>
      </c>
      <c r="AS424" s="47" t="str">
        <f>IF(AND(Z424&lt;&gt;"-",Y424&gt;1),"C",IF(AB424=MAX(AB424:AD424),"2B",IF(AD424=MAX(AB424:AD424),"SS",IF(OR(AC424=MAX(AA424:AD424),AND(AC424&lt;&gt;"-",AC424&gt;4,V424&gt;5)),"3B",IF(AF424=MAX(AE424:AG424),"CF",IF(AND(AG424=MAX(AE424,AG424),AND(W424&gt;5,AG424&lt;&gt;"-")),"RF",IF(AE424&lt;&gt;"-","LF",IF(AA424&lt;&gt;"-","1B","DH"))))))))</f>
        <v>LF</v>
      </c>
      <c r="AT424" s="47"/>
      <c r="AU424" s="47"/>
      <c r="AV424" s="47"/>
      <c r="AW424" s="47" t="str">
        <f>IF(AND($Q424&gt;=6,AVERAGE($S424:$T424)&gt;=6),"Likely",IF(OR($Q424&gt;6,AND($Q424=6,AVERAGE($S424:$T424)&gt;=3),AND($Q424&gt;=5,AVERAGE($S424:$T424)&gt;=5),AVERAGE($Q424,$S424:$T424)&gt;5),"Possible","Unlikely"))</f>
        <v>Unlikely</v>
      </c>
      <c r="AX424" s="47"/>
      <c r="AY424" s="47" t="str">
        <f>INDEX(Table5[[#All],[Ovr]],MATCH(Batters[[#This Row],[PID]],Table5[[#All],[PID]],0))</f>
        <v/>
      </c>
      <c r="AZ424" s="47" t="str">
        <f>INDEX(Table5[[#All],[Rnd]],MATCH(Batters[[#This Row],[PID]],Table5[[#All],[PID]],0))</f>
        <v/>
      </c>
      <c r="BA424" s="47" t="str">
        <f>INDEX(Table5[[#All],[Pick]],MATCH(Batters[[#This Row],[PID]],Table5[[#All],[PID]],0))</f>
        <v/>
      </c>
      <c r="BB424" s="47" t="str">
        <f>INDEX(Table5[[#All],[Team]],MATCH(Batters[[#This Row],[PID]],Table5[[#All],[PID]],0))</f>
        <v/>
      </c>
    </row>
    <row r="425" spans="1:54" ht="15" customHeight="1" x14ac:dyDescent="0.25">
      <c r="A425" s="42">
        <v>8987</v>
      </c>
      <c r="B425" s="42" t="s">
        <v>86</v>
      </c>
      <c r="C425" s="42" t="s">
        <v>377</v>
      </c>
      <c r="D425" s="42" t="s">
        <v>794</v>
      </c>
      <c r="E425" s="42">
        <v>22</v>
      </c>
      <c r="F425" s="42" t="s">
        <v>42</v>
      </c>
      <c r="G425" s="42" t="s">
        <v>42</v>
      </c>
      <c r="H425" s="43" t="s">
        <v>709</v>
      </c>
      <c r="I425" s="44" t="s">
        <v>43</v>
      </c>
      <c r="J425" s="42" t="s">
        <v>47</v>
      </c>
      <c r="K425" s="43" t="s">
        <v>43</v>
      </c>
      <c r="L425" s="42">
        <v>2</v>
      </c>
      <c r="M425" s="42">
        <v>2</v>
      </c>
      <c r="N425" s="42">
        <v>2</v>
      </c>
      <c r="O425" s="42">
        <v>2</v>
      </c>
      <c r="P425" s="43">
        <v>1</v>
      </c>
      <c r="Q425" s="42">
        <v>3</v>
      </c>
      <c r="R425" s="42">
        <v>2</v>
      </c>
      <c r="S425" s="42">
        <v>3</v>
      </c>
      <c r="T425" s="42">
        <v>4</v>
      </c>
      <c r="U425" s="43">
        <v>3</v>
      </c>
      <c r="V425" s="42">
        <v>2</v>
      </c>
      <c r="W425" s="42">
        <v>2</v>
      </c>
      <c r="X425" s="42">
        <v>5</v>
      </c>
      <c r="Y425" s="43">
        <v>7</v>
      </c>
      <c r="Z425" s="42" t="s">
        <v>45</v>
      </c>
      <c r="AA425" s="42" t="s">
        <v>45</v>
      </c>
      <c r="AB425" s="42" t="s">
        <v>45</v>
      </c>
      <c r="AC425" s="42" t="s">
        <v>45</v>
      </c>
      <c r="AD425" s="42" t="s">
        <v>45</v>
      </c>
      <c r="AE425" s="42" t="s">
        <v>45</v>
      </c>
      <c r="AF425" s="42" t="s">
        <v>45</v>
      </c>
      <c r="AG425" s="43" t="s">
        <v>45</v>
      </c>
      <c r="AH425" s="42">
        <v>1</v>
      </c>
      <c r="AI425" s="42">
        <v>2</v>
      </c>
      <c r="AJ425" s="43">
        <v>3</v>
      </c>
      <c r="AK425" s="45" t="s">
        <v>45</v>
      </c>
      <c r="AL425" s="45" t="s">
        <v>47</v>
      </c>
      <c r="AM425" s="46">
        <f>($L$3*(L425-$Q$1)/$Q$2+$M$3*(M425-$R$1)/$R$2+$N$3*(N425-$S$1)/$S$2+$O$3*(O425-$T$1)/$T$2+$P$3*(P425-$U$1)/$U$2)/(SUM($L$3:$P$3))</f>
        <v>-1.5379565899727115</v>
      </c>
      <c r="AN425" s="46">
        <f>($L$3*(Q425-$Q$1)/$Q$2+$M$3*(R425-$R$1)/$R$2+$N$3*(S425-$S$1)/$S$2+$O$3*(T425-$T$1)/$T$2+$P$3*(U425-$U$1)/$U$2)/(SUM($L$3:$P$3))</f>
        <v>-0.87288748009280615</v>
      </c>
      <c r="AO425" s="47">
        <f>IF(AVERAGE(AH425:AI425)&gt;9,1,0)+IF(AVERAGE(AH425:AI425)&gt;7,1,0)+IF(AH425&gt;7,1,0)+IF(AI425&gt;7,1,0)+IF(AJ425&gt;8,1,0)+IF(AJ425&gt;6,1,0)</f>
        <v>0</v>
      </c>
      <c r="AP425" s="48">
        <f>MIN(2,IF(OR(Z425="-",X425&lt;5),0,1+IF(Y425&gt;7,0.35,IF(Y425&gt;5,0.1,0))+IF(Z425&gt;7,1+IF(X425&gt;7,0.25,0),IF(Z425&gt;4,0.5+IF(X425&gt;7,0.25,0),0+IF(X425&gt;7,0.25))))+IF(AA425="-",0,IF(AA425&gt;9,0.5,IF(AA425&gt;7,0.25,0)))+IF(AB425="-",0,IF(AB425&gt;7,1.1,IF(AB425&gt;4,0.6,0)))+IF(OR(AC425="-",V425&lt;5),0,IF(AC425&gt;7,1+IF(V425&gt;7,0.25,0),IF(AC425&gt;4,0.5+IF(V425&gt;7,0.25,0),0)))+IF(AD425="-",0,IF(AD425&gt;7,1.5,IF(AD425&gt;4,1,0)))+IF(AE425="-",0,IF(AE425&gt;9,0.5,IF(AE425&gt;7,0.25,0)))+IF(AF425="-",0,IF(AF425&gt;7,1.25,IF(AF425&gt;4,0.75,0)))+IF(OR(AG425="-",W425&lt;4),0,IF(AG425&gt;7,1+IF(W425&gt;7,0.15,0),IF(AG425&gt;4,0.5+IF(W425&gt;7,0.15,0),0))))</f>
        <v>0</v>
      </c>
      <c r="AQ425" s="46">
        <f>($AM$3*AM425+$AN$3*AN425+$AO$3*AO425+$AP$3*AP425)+$I$3*VLOOKUP(I425,COND!$A$2:$E$7,4,FALSE)+$J$3*VLOOKUP(J425,COND!$A$2:$C$7,2,FALSE)+$K$3*VLOOKUP(K425,COND!$A$2:$C$7,3,FALSE)+IF(AND($B$2&gt;0,$E425&lt;20),$B$2*25,0)</f>
        <v>34.671554579889055</v>
      </c>
      <c r="AR425" s="49">
        <f>STANDARDIZE(AQ425,AVERAGE($AQ$5:$AQ$537),STDEVP($AQ$5:$AQ$537))</f>
        <v>-0.99877636531522773</v>
      </c>
      <c r="AS425" s="47" t="str">
        <f>IF(AND(Z425&lt;&gt;"-",Y425&gt;1),"C",IF(AB425=MAX(AB425:AD425),"2B",IF(AD425=MAX(AB425:AD425),"SS",IF(OR(AC425=MAX(AA425:AD425),AND(AC425&lt;&gt;"-",AC425&gt;4,V425&gt;5)),"3B",IF(AF425=MAX(AE425:AG425),"CF",IF(AND(AG425=MAX(AE425,AG425),AND(W425&gt;5,AG425&lt;&gt;"-")),"RF",IF(AE425&lt;&gt;"-","LF",IF(AA425&lt;&gt;"-","1B","DH"))))))))</f>
        <v>DH</v>
      </c>
      <c r="AT425" s="47"/>
      <c r="AU425" s="47"/>
      <c r="AV425" s="47"/>
      <c r="AW425" s="47" t="str">
        <f>IF(AND($Q425&gt;=6,AVERAGE($S425:$T425)&gt;=6),"Likely",IF(OR($Q425&gt;6,AND($Q425=6,AVERAGE($S425:$T425)&gt;=3),AND($Q425&gt;=5,AVERAGE($S425:$T425)&gt;=5),AVERAGE($Q425,$S425:$T425)&gt;5),"Possible","Unlikely"))</f>
        <v>Unlikely</v>
      </c>
      <c r="AX425" s="47"/>
      <c r="AY425" s="47" t="str">
        <f>INDEX(Table5[[#All],[Ovr]],MATCH(Batters[[#This Row],[PID]],Table5[[#All],[PID]],0))</f>
        <v/>
      </c>
      <c r="AZ425" s="47" t="str">
        <f>INDEX(Table5[[#All],[Rnd]],MATCH(Batters[[#This Row],[PID]],Table5[[#All],[PID]],0))</f>
        <v/>
      </c>
      <c r="BA425" s="47" t="str">
        <f>INDEX(Table5[[#All],[Pick]],MATCH(Batters[[#This Row],[PID]],Table5[[#All],[PID]],0))</f>
        <v/>
      </c>
      <c r="BB425" s="47" t="str">
        <f>INDEX(Table5[[#All],[Team]],MATCH(Batters[[#This Row],[PID]],Table5[[#All],[PID]],0))</f>
        <v/>
      </c>
    </row>
    <row r="426" spans="1:54" ht="15" customHeight="1" x14ac:dyDescent="0.25">
      <c r="A426" s="42">
        <v>5963</v>
      </c>
      <c r="B426" s="42" t="s">
        <v>71</v>
      </c>
      <c r="C426" s="42" t="s">
        <v>951</v>
      </c>
      <c r="D426" s="42" t="s">
        <v>740</v>
      </c>
      <c r="E426" s="42">
        <v>18</v>
      </c>
      <c r="F426" s="42" t="s">
        <v>42</v>
      </c>
      <c r="G426" s="42" t="s">
        <v>42</v>
      </c>
      <c r="H426" s="43" t="s">
        <v>721</v>
      </c>
      <c r="I426" s="44" t="s">
        <v>43</v>
      </c>
      <c r="J426" s="42" t="s">
        <v>43</v>
      </c>
      <c r="K426" s="43" t="s">
        <v>44</v>
      </c>
      <c r="L426" s="42">
        <v>1</v>
      </c>
      <c r="M426" s="42">
        <v>1</v>
      </c>
      <c r="N426" s="42">
        <v>2</v>
      </c>
      <c r="O426" s="42">
        <v>1</v>
      </c>
      <c r="P426" s="43">
        <v>1</v>
      </c>
      <c r="Q426" s="42">
        <v>2</v>
      </c>
      <c r="R426" s="42">
        <v>3</v>
      </c>
      <c r="S426" s="42">
        <v>3</v>
      </c>
      <c r="T426" s="42">
        <v>3</v>
      </c>
      <c r="U426" s="43">
        <v>4</v>
      </c>
      <c r="V426" s="42">
        <v>5</v>
      </c>
      <c r="W426" s="42">
        <v>4</v>
      </c>
      <c r="X426" s="42">
        <v>1</v>
      </c>
      <c r="Y426" s="43">
        <v>1</v>
      </c>
      <c r="Z426" s="42" t="s">
        <v>45</v>
      </c>
      <c r="AA426" s="42" t="s">
        <v>45</v>
      </c>
      <c r="AB426" s="42" t="s">
        <v>45</v>
      </c>
      <c r="AC426" s="42" t="s">
        <v>45</v>
      </c>
      <c r="AD426" s="42" t="s">
        <v>45</v>
      </c>
      <c r="AE426" s="42" t="s">
        <v>45</v>
      </c>
      <c r="AF426" s="42" t="s">
        <v>45</v>
      </c>
      <c r="AG426" s="43" t="s">
        <v>45</v>
      </c>
      <c r="AH426" s="42">
        <v>8</v>
      </c>
      <c r="AI426" s="42">
        <v>9</v>
      </c>
      <c r="AJ426" s="43">
        <v>10</v>
      </c>
      <c r="AK426" s="45" t="s">
        <v>718</v>
      </c>
      <c r="AL426" s="45" t="s">
        <v>705</v>
      </c>
      <c r="AM426" s="46">
        <f>($L$3*(L426-$Q$1)/$Q$2+$M$3*(M426-$R$1)/$R$2+$N$3*(N426-$S$1)/$S$2+$O$3*(O426-$T$1)/$T$2+$P$3*(P426-$U$1)/$U$2)/(SUM($L$3:$P$3))</f>
        <v>-2.0012818558036707</v>
      </c>
      <c r="AN426" s="46">
        <f>($L$3*(Q426-$Q$1)/$Q$2+$M$3*(R426-$R$1)/$R$2+$N$3*(S426-$S$1)/$S$2+$O$3*(T426-$T$1)/$T$2+$P$3*(U426-$U$1)/$U$2)/(SUM($L$3:$P$3))</f>
        <v>-1.1940766468692749</v>
      </c>
      <c r="AO426" s="47">
        <f>IF(AVERAGE(AH426:AI426)&gt;9,1,0)+IF(AVERAGE(AH426:AI426)&gt;7,1,0)+IF(AH426&gt;7,1,0)+IF(AI426&gt;7,1,0)+IF(AJ426&gt;8,1,0)+IF(AJ426&gt;6,1,0)</f>
        <v>5</v>
      </c>
      <c r="AP426" s="48">
        <f>MIN(2,IF(OR(Z426="-",X426&lt;5),0,1+IF(Y426&gt;7,0.35,IF(Y426&gt;5,0.1,0))+IF(Z426&gt;7,1+IF(X426&gt;7,0.25,0),IF(Z426&gt;4,0.5+IF(X426&gt;7,0.25,0),0+IF(X426&gt;7,0.25))))+IF(AA426="-",0,IF(AA426&gt;9,0.5,IF(AA426&gt;7,0.25,0)))+IF(AB426="-",0,IF(AB426&gt;7,1.1,IF(AB426&gt;4,0.6,0)))+IF(OR(AC426="-",V426&lt;5),0,IF(AC426&gt;7,1+IF(V426&gt;7,0.25,0),IF(AC426&gt;4,0.5+IF(V426&gt;7,0.25,0),0)))+IF(AD426="-",0,IF(AD426&gt;7,1.5,IF(AD426&gt;4,1,0)))+IF(AE426="-",0,IF(AE426&gt;9,0.5,IF(AE426&gt;7,0.25,0)))+IF(AF426="-",0,IF(AF426&gt;7,1.25,IF(AF426&gt;4,0.75,0)))+IF(OR(AG426="-",W426&lt;4),0,IF(AG426&gt;7,1+IF(W426&gt;7,0.15,0),IF(AG426&gt;4,0.5+IF(W426&gt;7,0.15,0),0))))</f>
        <v>0</v>
      </c>
      <c r="AQ426" s="46">
        <f>($AM$3*AM426+$AN$3*AN426+$AO$3*AO426+$AP$3*AP426)+$I$3*VLOOKUP(I426,COND!$A$2:$E$7,4,FALSE)+$J$3*VLOOKUP(J426,COND!$A$2:$C$7,2,FALSE)+$K$3*VLOOKUP(K426,COND!$A$2:$C$7,3,FALSE)+IF(AND($B$2&gt;0,$E426&lt;20),$B$2*25,0)</f>
        <v>36.004285385321666</v>
      </c>
      <c r="AR426" s="49">
        <f>STANDARDIZE(AQ426,AVERAGE($AQ$5:$AQ$537),STDEVP($AQ$5:$AQ$537))</f>
        <v>-0.76429123783261332</v>
      </c>
      <c r="AS426" s="47" t="str">
        <f>IF(AND(Z426&lt;&gt;"-",Y426&gt;1),"C",IF(AB426=MAX(AB426:AD426),"2B",IF(AD426=MAX(AB426:AD426),"SS",IF(OR(AC426=MAX(AA426:AD426),AND(AC426&lt;&gt;"-",AC426&gt;4,V426&gt;5)),"3B",IF(AF426=MAX(AE426:AG426),"CF",IF(AND(AG426=MAX(AE426,AG426),AND(W426&gt;5,AG426&lt;&gt;"-")),"RF",IF(AE426&lt;&gt;"-","LF",IF(AA426&lt;&gt;"-","1B","DH"))))))))</f>
        <v>DH</v>
      </c>
      <c r="AT426" s="47"/>
      <c r="AU426" s="47"/>
      <c r="AV426" s="47"/>
      <c r="AW426" s="47" t="str">
        <f>IF(AND($Q426&gt;=6,AVERAGE($S426:$T426)&gt;=6),"Likely",IF(OR($Q426&gt;6,AND($Q426=6,AVERAGE($S426:$T426)&gt;=3),AND($Q426&gt;=5,AVERAGE($S426:$T426)&gt;=5),AVERAGE($Q426,$S426:$T426)&gt;5),"Possible","Unlikely"))</f>
        <v>Unlikely</v>
      </c>
      <c r="AX426" s="47"/>
      <c r="AY426" s="47" t="str">
        <f>INDEX(Table5[[#All],[Ovr]],MATCH(Batters[[#This Row],[PID]],Table5[[#All],[PID]],0))</f>
        <v/>
      </c>
      <c r="AZ426" s="47" t="str">
        <f>INDEX(Table5[[#All],[Rnd]],MATCH(Batters[[#This Row],[PID]],Table5[[#All],[PID]],0))</f>
        <v/>
      </c>
      <c r="BA426" s="47" t="str">
        <f>INDEX(Table5[[#All],[Pick]],MATCH(Batters[[#This Row],[PID]],Table5[[#All],[PID]],0))</f>
        <v/>
      </c>
      <c r="BB426" s="47" t="str">
        <f>INDEX(Table5[[#All],[Team]],MATCH(Batters[[#This Row],[PID]],Table5[[#All],[PID]],0))</f>
        <v/>
      </c>
    </row>
    <row r="427" spans="1:54" ht="15" customHeight="1" x14ac:dyDescent="0.25">
      <c r="A427" s="42">
        <v>8091</v>
      </c>
      <c r="B427" s="42" t="s">
        <v>66</v>
      </c>
      <c r="C427" s="42" t="s">
        <v>382</v>
      </c>
      <c r="D427" s="42" t="s">
        <v>133</v>
      </c>
      <c r="E427" s="42">
        <v>21</v>
      </c>
      <c r="F427" s="42" t="s">
        <v>53</v>
      </c>
      <c r="G427" s="42" t="s">
        <v>53</v>
      </c>
      <c r="H427" s="43" t="s">
        <v>711</v>
      </c>
      <c r="I427" s="44" t="s">
        <v>44</v>
      </c>
      <c r="J427" s="42" t="s">
        <v>44</v>
      </c>
      <c r="K427" s="43" t="s">
        <v>43</v>
      </c>
      <c r="L427" s="42">
        <v>1</v>
      </c>
      <c r="M427" s="42">
        <v>2</v>
      </c>
      <c r="N427" s="42">
        <v>2</v>
      </c>
      <c r="O427" s="42">
        <v>2</v>
      </c>
      <c r="P427" s="43">
        <v>1</v>
      </c>
      <c r="Q427" s="42">
        <v>3</v>
      </c>
      <c r="R427" s="42">
        <v>3</v>
      </c>
      <c r="S427" s="42">
        <v>4</v>
      </c>
      <c r="T427" s="42">
        <v>4</v>
      </c>
      <c r="U427" s="43">
        <v>4</v>
      </c>
      <c r="V427" s="42">
        <v>4</v>
      </c>
      <c r="W427" s="42">
        <v>7</v>
      </c>
      <c r="X427" s="42">
        <v>1</v>
      </c>
      <c r="Y427" s="43">
        <v>1</v>
      </c>
      <c r="Z427" s="42" t="s">
        <v>45</v>
      </c>
      <c r="AA427" s="42" t="s">
        <v>45</v>
      </c>
      <c r="AB427" s="42" t="s">
        <v>45</v>
      </c>
      <c r="AC427" s="42" t="s">
        <v>45</v>
      </c>
      <c r="AD427" s="42" t="s">
        <v>45</v>
      </c>
      <c r="AE427" s="42">
        <v>2</v>
      </c>
      <c r="AF427" s="42" t="s">
        <v>45</v>
      </c>
      <c r="AG427" s="43">
        <v>2</v>
      </c>
      <c r="AH427" s="42">
        <v>2</v>
      </c>
      <c r="AI427" s="42">
        <v>6</v>
      </c>
      <c r="AJ427" s="43">
        <v>3</v>
      </c>
      <c r="AK427" s="45" t="s">
        <v>45</v>
      </c>
      <c r="AL427" s="45" t="s">
        <v>47</v>
      </c>
      <c r="AM427" s="46">
        <f>($L$3*(L427-$Q$1)/$Q$2+$M$3*(M427-$R$1)/$R$2+$N$3*(N427-$S$1)/$S$2+$O$3*(O427-$T$1)/$T$2+$P$3*(P427-$U$1)/$U$2)/(SUM($L$3:$P$3))</f>
        <v>-1.8605124261753858</v>
      </c>
      <c r="AN427" s="46">
        <f>($L$3*(Q427-$Q$1)/$Q$2+$M$3*(R427-$R$1)/$R$2+$N$3*(S427-$S$1)/$S$2+$O$3*(T427-$T$1)/$T$2+$P$3*(U427-$U$1)/$U$2)/(SUM($L$3:$P$3))</f>
        <v>-0.6987497666331175</v>
      </c>
      <c r="AO427" s="47">
        <f>IF(AVERAGE(AH427:AI427)&gt;9,1,0)+IF(AVERAGE(AH427:AI427)&gt;7,1,0)+IF(AH427&gt;7,1,0)+IF(AI427&gt;7,1,0)+IF(AJ427&gt;8,1,0)+IF(AJ427&gt;6,1,0)</f>
        <v>0</v>
      </c>
      <c r="AP427" s="48">
        <f>MIN(2,IF(OR(Z427="-",X427&lt;5),0,1+IF(Y427&gt;7,0.35,IF(Y427&gt;5,0.1,0))+IF(Z427&gt;7,1+IF(X427&gt;7,0.25,0),IF(Z427&gt;4,0.5+IF(X427&gt;7,0.25,0),0+IF(X427&gt;7,0.25))))+IF(AA427="-",0,IF(AA427&gt;9,0.5,IF(AA427&gt;7,0.25,0)))+IF(AB427="-",0,IF(AB427&gt;7,1.1,IF(AB427&gt;4,0.6,0)))+IF(OR(AC427="-",V427&lt;5),0,IF(AC427&gt;7,1+IF(V427&gt;7,0.25,0),IF(AC427&gt;4,0.5+IF(V427&gt;7,0.25,0),0)))+IF(AD427="-",0,IF(AD427&gt;7,1.5,IF(AD427&gt;4,1,0)))+IF(AE427="-",0,IF(AE427&gt;9,0.5,IF(AE427&gt;7,0.25,0)))+IF(AF427="-",0,IF(AF427&gt;7,1.25,IF(AF427&gt;4,0.75,0)))+IF(OR(AG427="-",W427&lt;4),0,IF(AG427&gt;7,1+IF(W427&gt;7,0.15,0),IF(AG427&gt;4,0.5+IF(W427&gt;7,0.15,0),0))))</f>
        <v>0</v>
      </c>
      <c r="AQ427" s="46">
        <f>($AM$3*AM427+$AN$3*AN427+$AO$3*AO427+$AP$3*AP427)+$I$3*VLOOKUP(I427,COND!$A$2:$E$7,4,FALSE)+$J$3*VLOOKUP(J427,COND!$A$2:$C$7,2,FALSE)+$K$3*VLOOKUP(K427,COND!$A$2:$C$7,3,FALSE)+IF(AND($B$2&gt;0,$E427&lt;20),$B$2*25,0)</f>
        <v>35.978951557785052</v>
      </c>
      <c r="AR427" s="49">
        <f>STANDARDIZE(AQ427,AVERAGE($AQ$5:$AQ$537),STDEVP($AQ$5:$AQ$537))</f>
        <v>-0.76874855641137696</v>
      </c>
      <c r="AS427" s="47" t="str">
        <f>IF(AND(Z427&lt;&gt;"-",Y427&gt;1),"C",IF(AB427=MAX(AB427:AD427),"2B",IF(AD427=MAX(AB427:AD427),"SS",IF(OR(AC427=MAX(AA427:AD427),AND(AC427&lt;&gt;"-",AC427&gt;4,V427&gt;5)),"3B",IF(AF427=MAX(AE427:AG427),"CF",IF(AND(AG427=MAX(AE427,AG427),AND(W427&gt;5,AG427&lt;&gt;"-")),"RF",IF(AE427&lt;&gt;"-","LF",IF(AA427&lt;&gt;"-","1B","DH"))))))))</f>
        <v>RF</v>
      </c>
      <c r="AT427" s="47"/>
      <c r="AU427" s="47"/>
      <c r="AV427" s="47"/>
      <c r="AW427" s="47" t="str">
        <f>IF(AND($Q427&gt;=6,AVERAGE($S427:$T427)&gt;=6),"Likely",IF(OR($Q427&gt;6,AND($Q427=6,AVERAGE($S427:$T427)&gt;=3),AND($Q427&gt;=5,AVERAGE($S427:$T427)&gt;=5),AVERAGE($Q427,$S427:$T427)&gt;5),"Possible","Unlikely"))</f>
        <v>Unlikely</v>
      </c>
      <c r="AX427" s="47"/>
      <c r="AY427" s="47" t="str">
        <f>INDEX(Table5[[#All],[Ovr]],MATCH(Batters[[#This Row],[PID]],Table5[[#All],[PID]],0))</f>
        <v/>
      </c>
      <c r="AZ427" s="47" t="str">
        <f>INDEX(Table5[[#All],[Rnd]],MATCH(Batters[[#This Row],[PID]],Table5[[#All],[PID]],0))</f>
        <v/>
      </c>
      <c r="BA427" s="47" t="str">
        <f>INDEX(Table5[[#All],[Pick]],MATCH(Batters[[#This Row],[PID]],Table5[[#All],[PID]],0))</f>
        <v/>
      </c>
      <c r="BB427" s="47" t="str">
        <f>INDEX(Table5[[#All],[Team]],MATCH(Batters[[#This Row],[PID]],Table5[[#All],[PID]],0))</f>
        <v/>
      </c>
    </row>
    <row r="428" spans="1:54" ht="15" customHeight="1" x14ac:dyDescent="0.25">
      <c r="A428" s="42">
        <v>8240</v>
      </c>
      <c r="B428" s="42" t="s">
        <v>71</v>
      </c>
      <c r="C428" s="42" t="s">
        <v>1232</v>
      </c>
      <c r="D428" s="42" t="s">
        <v>664</v>
      </c>
      <c r="E428" s="42">
        <v>21</v>
      </c>
      <c r="F428" s="42" t="s">
        <v>42</v>
      </c>
      <c r="G428" s="42" t="s">
        <v>42</v>
      </c>
      <c r="H428" s="43" t="s">
        <v>711</v>
      </c>
      <c r="I428" s="44" t="s">
        <v>43</v>
      </c>
      <c r="J428" s="42" t="s">
        <v>44</v>
      </c>
      <c r="K428" s="43" t="s">
        <v>43</v>
      </c>
      <c r="L428" s="42">
        <v>1</v>
      </c>
      <c r="M428" s="42">
        <v>2</v>
      </c>
      <c r="N428" s="42">
        <v>2</v>
      </c>
      <c r="O428" s="42">
        <v>2</v>
      </c>
      <c r="P428" s="43">
        <v>1</v>
      </c>
      <c r="Q428" s="42">
        <v>3</v>
      </c>
      <c r="R428" s="42">
        <v>3</v>
      </c>
      <c r="S428" s="42">
        <v>3</v>
      </c>
      <c r="T428" s="42">
        <v>4</v>
      </c>
      <c r="U428" s="43">
        <v>3</v>
      </c>
      <c r="V428" s="42">
        <v>4</v>
      </c>
      <c r="W428" s="42">
        <v>1</v>
      </c>
      <c r="X428" s="42">
        <v>1</v>
      </c>
      <c r="Y428" s="43">
        <v>1</v>
      </c>
      <c r="Z428" s="42" t="s">
        <v>45</v>
      </c>
      <c r="AA428" s="42" t="s">
        <v>45</v>
      </c>
      <c r="AB428" s="42">
        <v>5</v>
      </c>
      <c r="AC428" s="42" t="s">
        <v>45</v>
      </c>
      <c r="AD428" s="42" t="s">
        <v>45</v>
      </c>
      <c r="AE428" s="42" t="s">
        <v>45</v>
      </c>
      <c r="AF428" s="42" t="s">
        <v>45</v>
      </c>
      <c r="AG428" s="43" t="s">
        <v>45</v>
      </c>
      <c r="AH428" s="42">
        <v>8</v>
      </c>
      <c r="AI428" s="42">
        <v>8</v>
      </c>
      <c r="AJ428" s="43">
        <v>8</v>
      </c>
      <c r="AK428" s="45" t="s">
        <v>45</v>
      </c>
      <c r="AL428" s="45" t="s">
        <v>47</v>
      </c>
      <c r="AM428" s="46">
        <f>($L$3*(L428-$Q$1)/$Q$2+$M$3*(M428-$R$1)/$R$2+$N$3*(N428-$S$1)/$S$2+$O$3*(O428-$T$1)/$T$2+$P$3*(P428-$U$1)/$U$2)/(SUM($L$3:$P$3))</f>
        <v>-1.8605124261753858</v>
      </c>
      <c r="AN428" s="46">
        <f>($L$3*(Q428-$Q$1)/$Q$2+$M$3*(R428-$R$1)/$R$2+$N$3*(S428-$S$1)/$S$2+$O$3*(T428-$T$1)/$T$2+$P$3*(U428-$U$1)/$U$2)/(SUM($L$3:$P$3))</f>
        <v>-0.82182760047410253</v>
      </c>
      <c r="AO428" s="47">
        <f>IF(AVERAGE(AH428:AI428)&gt;9,1,0)+IF(AVERAGE(AH428:AI428)&gt;7,1,0)+IF(AH428&gt;7,1,0)+IF(AI428&gt;7,1,0)+IF(AJ428&gt;8,1,0)+IF(AJ428&gt;6,1,0)</f>
        <v>4</v>
      </c>
      <c r="AP428" s="48">
        <f>MIN(2,IF(OR(Z428="-",X428&lt;5),0,1+IF(Y428&gt;7,0.35,IF(Y428&gt;5,0.1,0))+IF(Z428&gt;7,1+IF(X428&gt;7,0.25,0),IF(Z428&gt;4,0.5+IF(X428&gt;7,0.25,0),0+IF(X428&gt;7,0.25))))+IF(AA428="-",0,IF(AA428&gt;9,0.5,IF(AA428&gt;7,0.25,0)))+IF(AB428="-",0,IF(AB428&gt;7,1.1,IF(AB428&gt;4,0.6,0)))+IF(OR(AC428="-",V428&lt;5),0,IF(AC428&gt;7,1+IF(V428&gt;7,0.25,0),IF(AC428&gt;4,0.5+IF(V428&gt;7,0.25,0),0)))+IF(AD428="-",0,IF(AD428&gt;7,1.5,IF(AD428&gt;4,1,0)))+IF(AE428="-",0,IF(AE428&gt;9,0.5,IF(AE428&gt;7,0.25,0)))+IF(AF428="-",0,IF(AF428&gt;7,1.25,IF(AF428&gt;4,0.75,0)))+IF(OR(AG428="-",W428&lt;4),0,IF(AG428&gt;7,1+IF(W428&gt;7,0.15,0),IF(AG428&gt;4,0.5+IF(W428&gt;7,0.15,0),0))))</f>
        <v>0.6</v>
      </c>
      <c r="AQ428" s="46">
        <f>($AM$3*AM428+$AN$3*AN428+$AO$3*AO428+$AP$3*AP428)+$I$3*VLOOKUP(I428,COND!$A$2:$E$7,4,FALSE)+$J$3*VLOOKUP(J428,COND!$A$2:$C$7,2,FALSE)+$K$3*VLOOKUP(K428,COND!$A$2:$C$7,3,FALSE)+IF(AND($B$2&gt;0,$E428&lt;20),$B$2*25,0)</f>
        <v>35.918684218359893</v>
      </c>
      <c r="AR428" s="49">
        <f>STANDARDIZE(AQ428,AVERAGE($AQ$5:$AQ$537),STDEVP($AQ$5:$AQ$537))</f>
        <v>-0.77935219422821211</v>
      </c>
      <c r="AS428" s="47" t="str">
        <f>IF(AND(Z428&lt;&gt;"-",Y428&gt;1),"C",IF(AB428=MAX(AB428:AD428),"2B",IF(AD428=MAX(AB428:AD428),"SS",IF(OR(AC428=MAX(AA428:AD428),AND(AC428&lt;&gt;"-",AC428&gt;4,V428&gt;5)),"3B",IF(AF428=MAX(AE428:AG428),"CF",IF(AND(AG428=MAX(AE428,AG428),AND(W428&gt;5,AG428&lt;&gt;"-")),"RF",IF(AE428&lt;&gt;"-","LF",IF(AA428&lt;&gt;"-","1B","DH"))))))))</f>
        <v>2B</v>
      </c>
      <c r="AT428" s="47"/>
      <c r="AU428" s="47"/>
      <c r="AV428" s="47"/>
      <c r="AW428" s="47" t="str">
        <f>IF(AND($Q428&gt;=6,AVERAGE($S428:$T428)&gt;=6),"Likely",IF(OR($Q428&gt;6,AND($Q428=6,AVERAGE($S428:$T428)&gt;=3),AND($Q428&gt;=5,AVERAGE($S428:$T428)&gt;=5),AVERAGE($Q428,$S428:$T428)&gt;5),"Possible","Unlikely"))</f>
        <v>Unlikely</v>
      </c>
      <c r="AX428" s="47"/>
      <c r="AY428" s="47" t="str">
        <f>INDEX(Table5[[#All],[Ovr]],MATCH(Batters[[#This Row],[PID]],Table5[[#All],[PID]],0))</f>
        <v/>
      </c>
      <c r="AZ428" s="47" t="str">
        <f>INDEX(Table5[[#All],[Rnd]],MATCH(Batters[[#This Row],[PID]],Table5[[#All],[PID]],0))</f>
        <v/>
      </c>
      <c r="BA428" s="47" t="str">
        <f>INDEX(Table5[[#All],[Pick]],MATCH(Batters[[#This Row],[PID]],Table5[[#All],[PID]],0))</f>
        <v/>
      </c>
      <c r="BB428" s="47" t="str">
        <f>INDEX(Table5[[#All],[Team]],MATCH(Batters[[#This Row],[PID]],Table5[[#All],[PID]],0))</f>
        <v/>
      </c>
    </row>
    <row r="429" spans="1:54" ht="15" customHeight="1" x14ac:dyDescent="0.25">
      <c r="A429" s="42">
        <v>12608</v>
      </c>
      <c r="B429" s="42" t="s">
        <v>87</v>
      </c>
      <c r="C429" s="42" t="s">
        <v>143</v>
      </c>
      <c r="D429" s="42" t="s">
        <v>781</v>
      </c>
      <c r="E429" s="42">
        <v>18</v>
      </c>
      <c r="F429" s="42" t="s">
        <v>42</v>
      </c>
      <c r="G429" s="42" t="s">
        <v>42</v>
      </c>
      <c r="H429" s="43" t="s">
        <v>721</v>
      </c>
      <c r="I429" s="44" t="s">
        <v>43</v>
      </c>
      <c r="J429" s="42" t="s">
        <v>44</v>
      </c>
      <c r="K429" s="43" t="s">
        <v>43</v>
      </c>
      <c r="L429" s="42">
        <v>1</v>
      </c>
      <c r="M429" s="42">
        <v>2</v>
      </c>
      <c r="N429" s="42">
        <v>2</v>
      </c>
      <c r="O429" s="42">
        <v>1</v>
      </c>
      <c r="P429" s="43">
        <v>1</v>
      </c>
      <c r="Q429" s="42">
        <v>3</v>
      </c>
      <c r="R429" s="42">
        <v>3</v>
      </c>
      <c r="S429" s="42">
        <v>2</v>
      </c>
      <c r="T429" s="42">
        <v>1</v>
      </c>
      <c r="U429" s="43">
        <v>4</v>
      </c>
      <c r="V429" s="42">
        <v>7</v>
      </c>
      <c r="W429" s="42">
        <v>2</v>
      </c>
      <c r="X429" s="42">
        <v>1</v>
      </c>
      <c r="Y429" s="43">
        <v>1</v>
      </c>
      <c r="Z429" s="42" t="s">
        <v>45</v>
      </c>
      <c r="AA429" s="42">
        <v>1</v>
      </c>
      <c r="AB429" s="42" t="s">
        <v>45</v>
      </c>
      <c r="AC429" s="42" t="s">
        <v>45</v>
      </c>
      <c r="AD429" s="42" t="s">
        <v>45</v>
      </c>
      <c r="AE429" s="42" t="s">
        <v>45</v>
      </c>
      <c r="AF429" s="42" t="s">
        <v>45</v>
      </c>
      <c r="AG429" s="43" t="s">
        <v>45</v>
      </c>
      <c r="AH429" s="42">
        <v>1</v>
      </c>
      <c r="AI429" s="42">
        <v>1</v>
      </c>
      <c r="AJ429" s="43">
        <v>1</v>
      </c>
      <c r="AK429" s="45" t="s">
        <v>718</v>
      </c>
      <c r="AL429" s="45" t="s">
        <v>705</v>
      </c>
      <c r="AM429" s="46">
        <f>($L$3*(L429-$Q$1)/$Q$2+$M$3*(M429-$R$1)/$R$2+$N$3*(N429-$S$1)/$S$2+$O$3*(O429-$T$1)/$T$2+$P$3*(P429-$U$1)/$U$2)/(SUM($L$3:$P$3))</f>
        <v>-1.9502219761849671</v>
      </c>
      <c r="AN429" s="46">
        <f>($L$3*(Q429-$Q$1)/$Q$2+$M$3*(R429-$R$1)/$R$2+$N$3*(S429-$S$1)/$S$2+$O$3*(T429-$T$1)/$T$2+$P$3*(U429-$U$1)/$U$2)/(SUM($L$3:$P$3))</f>
        <v>-1.1340014047096636</v>
      </c>
      <c r="AO429" s="47">
        <f>IF(AVERAGE(AH429:AI429)&gt;9,1,0)+IF(AVERAGE(AH429:AI429)&gt;7,1,0)+IF(AH429&gt;7,1,0)+IF(AI429&gt;7,1,0)+IF(AJ429&gt;8,1,0)+IF(AJ429&gt;6,1,0)</f>
        <v>0</v>
      </c>
      <c r="AP429" s="48">
        <f>MIN(2,IF(OR(Z429="-",X429&lt;5),0,1+IF(Y429&gt;7,0.35,IF(Y429&gt;5,0.1,0))+IF(Z429&gt;7,1+IF(X429&gt;7,0.25,0),IF(Z429&gt;4,0.5+IF(X429&gt;7,0.25,0),0+IF(X429&gt;7,0.25))))+IF(AA429="-",0,IF(AA429&gt;9,0.5,IF(AA429&gt;7,0.25,0)))+IF(AB429="-",0,IF(AB429&gt;7,1.1,IF(AB429&gt;4,0.6,0)))+IF(OR(AC429="-",V429&lt;5),0,IF(AC429&gt;7,1+IF(V429&gt;7,0.25,0),IF(AC429&gt;4,0.5+IF(V429&gt;7,0.25,0),0)))+IF(AD429="-",0,IF(AD429&gt;7,1.5,IF(AD429&gt;4,1,0)))+IF(AE429="-",0,IF(AE429&gt;9,0.5,IF(AE429&gt;7,0.25,0)))+IF(AF429="-",0,IF(AF429&gt;7,1.25,IF(AF429&gt;4,0.75,0)))+IF(OR(AG429="-",W429&lt;4),0,IF(AG429&gt;7,1+IF(W429&gt;7,0.15,0),IF(AG429&gt;4,0.5+IF(W429&gt;7,0.15,0),0))))</f>
        <v>0</v>
      </c>
      <c r="AQ429" s="46">
        <f>($AM$3*AM429+$AN$3*AN429+$AO$3*AO429+$AP$3*AP429)+$I$3*VLOOKUP(I429,COND!$A$2:$E$7,4,FALSE)+$J$3*VLOOKUP(J429,COND!$A$2:$C$7,2,FALSE)+$K$3*VLOOKUP(K429,COND!$A$2:$C$7,3,FALSE)+IF(AND($B$2&gt;0,$E429&lt;20),$B$2*25,0)</f>
        <v>35.896960945865537</v>
      </c>
      <c r="AR429" s="49">
        <f>STANDARDIZE(AQ429,AVERAGE($AQ$5:$AQ$537),STDEVP($AQ$5:$AQ$537))</f>
        <v>-0.78317425964413467</v>
      </c>
      <c r="AS429" s="47" t="str">
        <f>IF(AND(Z429&lt;&gt;"-",Y429&gt;1),"C",IF(AB429=MAX(AB429:AD429),"2B",IF(AD429=MAX(AB429:AD429),"SS",IF(OR(AC429=MAX(AA429:AD429),AND(AC429&lt;&gt;"-",AC429&gt;4,V429&gt;5)),"3B",IF(AF429=MAX(AE429:AG429),"CF",IF(AND(AG429=MAX(AE429,AG429),AND(W429&gt;5,AG429&lt;&gt;"-")),"RF",IF(AE429&lt;&gt;"-","LF",IF(AA429&lt;&gt;"-","1B","DH"))))))))</f>
        <v>1B</v>
      </c>
      <c r="AT429" s="47"/>
      <c r="AU429" s="47"/>
      <c r="AV429" s="47"/>
      <c r="AW429" s="47" t="str">
        <f>IF(AND($Q429&gt;=6,AVERAGE($S429:$T429)&gt;=6),"Likely",IF(OR($Q429&gt;6,AND($Q429=6,AVERAGE($S429:$T429)&gt;=3),AND($Q429&gt;=5,AVERAGE($S429:$T429)&gt;=5),AVERAGE($Q429,$S429:$T429)&gt;5),"Possible","Unlikely"))</f>
        <v>Unlikely</v>
      </c>
      <c r="AX429" s="47"/>
      <c r="AY429" s="47" t="str">
        <f>INDEX(Table5[[#All],[Ovr]],MATCH(Batters[[#This Row],[PID]],Table5[[#All],[PID]],0))</f>
        <v/>
      </c>
      <c r="AZ429" s="47" t="str">
        <f>INDEX(Table5[[#All],[Rnd]],MATCH(Batters[[#This Row],[PID]],Table5[[#All],[PID]],0))</f>
        <v/>
      </c>
      <c r="BA429" s="47" t="str">
        <f>INDEX(Table5[[#All],[Pick]],MATCH(Batters[[#This Row],[PID]],Table5[[#All],[PID]],0))</f>
        <v/>
      </c>
      <c r="BB429" s="47" t="str">
        <f>INDEX(Table5[[#All],[Team]],MATCH(Batters[[#This Row],[PID]],Table5[[#All],[PID]],0))</f>
        <v/>
      </c>
    </row>
    <row r="430" spans="1:54" ht="15" customHeight="1" x14ac:dyDescent="0.25">
      <c r="A430" s="42">
        <v>8515</v>
      </c>
      <c r="B430" s="42" t="s">
        <v>69</v>
      </c>
      <c r="C430" s="42" t="s">
        <v>134</v>
      </c>
      <c r="D430" s="42" t="s">
        <v>819</v>
      </c>
      <c r="E430" s="42">
        <v>22</v>
      </c>
      <c r="F430" s="42" t="s">
        <v>42</v>
      </c>
      <c r="G430" s="42" t="s">
        <v>42</v>
      </c>
      <c r="H430" s="43" t="s">
        <v>709</v>
      </c>
      <c r="I430" s="44" t="s">
        <v>43</v>
      </c>
      <c r="J430" s="42" t="s">
        <v>44</v>
      </c>
      <c r="K430" s="43" t="s">
        <v>43</v>
      </c>
      <c r="L430" s="42">
        <v>2</v>
      </c>
      <c r="M430" s="42">
        <v>4</v>
      </c>
      <c r="N430" s="42">
        <v>2</v>
      </c>
      <c r="O430" s="42">
        <v>3</v>
      </c>
      <c r="P430" s="43">
        <v>1</v>
      </c>
      <c r="Q430" s="42">
        <v>3</v>
      </c>
      <c r="R430" s="42">
        <v>4</v>
      </c>
      <c r="S430" s="42">
        <v>2</v>
      </c>
      <c r="T430" s="42">
        <v>5</v>
      </c>
      <c r="U430" s="43">
        <v>3</v>
      </c>
      <c r="V430" s="42">
        <v>10</v>
      </c>
      <c r="W430" s="42">
        <v>9</v>
      </c>
      <c r="X430" s="42">
        <v>1</v>
      </c>
      <c r="Y430" s="43">
        <v>1</v>
      </c>
      <c r="Z430" s="42" t="s">
        <v>45</v>
      </c>
      <c r="AA430" s="42" t="s">
        <v>45</v>
      </c>
      <c r="AB430" s="42" t="s">
        <v>45</v>
      </c>
      <c r="AC430" s="42">
        <v>2</v>
      </c>
      <c r="AD430" s="42" t="s">
        <v>45</v>
      </c>
      <c r="AE430" s="42" t="s">
        <v>45</v>
      </c>
      <c r="AF430" s="42" t="s">
        <v>45</v>
      </c>
      <c r="AG430" s="43" t="s">
        <v>45</v>
      </c>
      <c r="AH430" s="42">
        <v>7</v>
      </c>
      <c r="AI430" s="42">
        <v>8</v>
      </c>
      <c r="AJ430" s="43">
        <v>8</v>
      </c>
      <c r="AK430" s="45" t="s">
        <v>45</v>
      </c>
      <c r="AL430" s="45" t="s">
        <v>47</v>
      </c>
      <c r="AM430" s="46">
        <f>($L$3*(L430-$Q$1)/$Q$2+$M$3*(M430-$R$1)/$R$2+$N$3*(N430-$S$1)/$S$2+$O$3*(O430-$T$1)/$T$2+$P$3*(P430-$U$1)/$U$2)/(SUM($L$3:$P$3))</f>
        <v>-1.3461272807257232</v>
      </c>
      <c r="AN430" s="46">
        <f>($L$3*(Q430-$Q$1)/$Q$2+$M$3*(R430-$R$1)/$R$2+$N$3*(S430-$S$1)/$S$2+$O$3*(T430-$T$1)/$T$2+$P$3*(U430-$U$1)/$U$2)/(SUM($L$3:$P$3))</f>
        <v>-0.76411966486971961</v>
      </c>
      <c r="AO430" s="47">
        <f>IF(AVERAGE(AH430:AI430)&gt;9,1,0)+IF(AVERAGE(AH430:AI430)&gt;7,1,0)+IF(AH430&gt;7,1,0)+IF(AI430&gt;7,1,0)+IF(AJ430&gt;8,1,0)+IF(AJ430&gt;6,1,0)</f>
        <v>3</v>
      </c>
      <c r="AP430" s="48">
        <f>MIN(2,IF(OR(Z430="-",X430&lt;5),0,1+IF(Y430&gt;7,0.35,IF(Y430&gt;5,0.1,0))+IF(Z430&gt;7,1+IF(X430&gt;7,0.25,0),IF(Z430&gt;4,0.5+IF(X430&gt;7,0.25,0),0+IF(X430&gt;7,0.25))))+IF(AA430="-",0,IF(AA430&gt;9,0.5,IF(AA430&gt;7,0.25,0)))+IF(AB430="-",0,IF(AB430&gt;7,1.1,IF(AB430&gt;4,0.6,0)))+IF(OR(AC430="-",V430&lt;5),0,IF(AC430&gt;7,1+IF(V430&gt;7,0.25,0),IF(AC430&gt;4,0.5+IF(V430&gt;7,0.25,0),0)))+IF(AD430="-",0,IF(AD430&gt;7,1.5,IF(AD430&gt;4,1,0)))+IF(AE430="-",0,IF(AE430&gt;9,0.5,IF(AE430&gt;7,0.25,0)))+IF(AF430="-",0,IF(AF430&gt;7,1.25,IF(AF430&gt;4,0.75,0)))+IF(OR(AG430="-",W430&lt;4),0,IF(AG430&gt;7,1+IF(W430&gt;7,0.15,0),IF(AG430&gt;4,0.5+IF(W430&gt;7,0.15,0),0))))</f>
        <v>0</v>
      </c>
      <c r="AQ430" s="46">
        <f>($AM$3*AM430+$AN$3*AN430+$AO$3*AO430+$AP$3*AP430)+$I$3*VLOOKUP(I430,COND!$A$2:$E$7,4,FALSE)+$J$3*VLOOKUP(J430,COND!$A$2:$C$7,2,FALSE)+$K$3*VLOOKUP(K430,COND!$A$2:$C$7,3,FALSE)+IF(AND($B$2&gt;0,$E430&lt;20),$B$2*25,0)</f>
        <v>35.895951293490796</v>
      </c>
      <c r="AR430" s="49">
        <f>STANDARDIZE(AQ430,AVERAGE($AQ$5:$AQ$537),STDEVP($AQ$5:$AQ$537))</f>
        <v>-0.78335190126901433</v>
      </c>
      <c r="AS430" s="47" t="str">
        <f>IF(AND(Z430&lt;&gt;"-",Y430&gt;1),"C",IF(AB430=MAX(AB430:AD430),"2B",IF(AD430=MAX(AB430:AD430),"SS",IF(OR(AC430=MAX(AA430:AD430),AND(AC430&lt;&gt;"-",AC430&gt;4,V430&gt;5)),"3B",IF(AF430=MAX(AE430:AG430),"CF",IF(AND(AG430=MAX(AE430,AG430),AND(W430&gt;5,AG430&lt;&gt;"-")),"RF",IF(AE430&lt;&gt;"-","LF",IF(AA430&lt;&gt;"-","1B","DH"))))))))</f>
        <v>3B</v>
      </c>
      <c r="AT430" s="47"/>
      <c r="AU430" s="47"/>
      <c r="AV430" s="47"/>
      <c r="AW430" s="47" t="str">
        <f>IF(AND($Q430&gt;=6,AVERAGE($S430:$T430)&gt;=6),"Likely",IF(OR($Q430&gt;6,AND($Q430=6,AVERAGE($S430:$T430)&gt;=3),AND($Q430&gt;=5,AVERAGE($S430:$T430)&gt;=5),AVERAGE($Q430,$S430:$T430)&gt;5),"Possible","Unlikely"))</f>
        <v>Unlikely</v>
      </c>
      <c r="AX430" s="47"/>
      <c r="AY430" s="47" t="str">
        <f>INDEX(Table5[[#All],[Ovr]],MATCH(Batters[[#This Row],[PID]],Table5[[#All],[PID]],0))</f>
        <v/>
      </c>
      <c r="AZ430" s="47" t="str">
        <f>INDEX(Table5[[#All],[Rnd]],MATCH(Batters[[#This Row],[PID]],Table5[[#All],[PID]],0))</f>
        <v/>
      </c>
      <c r="BA430" s="47" t="str">
        <f>INDEX(Table5[[#All],[Pick]],MATCH(Batters[[#This Row],[PID]],Table5[[#All],[PID]],0))</f>
        <v/>
      </c>
      <c r="BB430" s="47" t="str">
        <f>INDEX(Table5[[#All],[Team]],MATCH(Batters[[#This Row],[PID]],Table5[[#All],[PID]],0))</f>
        <v/>
      </c>
    </row>
    <row r="431" spans="1:54" ht="15" customHeight="1" x14ac:dyDescent="0.25">
      <c r="A431" s="42">
        <v>5291</v>
      </c>
      <c r="B431" s="42" t="s">
        <v>87</v>
      </c>
      <c r="C431" s="42" t="s">
        <v>169</v>
      </c>
      <c r="D431" s="42" t="s">
        <v>1176</v>
      </c>
      <c r="E431" s="42">
        <v>18</v>
      </c>
      <c r="F431" s="42" t="s">
        <v>42</v>
      </c>
      <c r="G431" s="42" t="s">
        <v>53</v>
      </c>
      <c r="H431" s="43" t="s">
        <v>721</v>
      </c>
      <c r="I431" s="44" t="s">
        <v>43</v>
      </c>
      <c r="J431" s="42" t="s">
        <v>44</v>
      </c>
      <c r="K431" s="43" t="s">
        <v>43</v>
      </c>
      <c r="L431" s="42">
        <v>1</v>
      </c>
      <c r="M431" s="42">
        <v>1</v>
      </c>
      <c r="N431" s="42">
        <v>2</v>
      </c>
      <c r="O431" s="42">
        <v>1</v>
      </c>
      <c r="P431" s="43">
        <v>1</v>
      </c>
      <c r="Q431" s="42">
        <v>3</v>
      </c>
      <c r="R431" s="42">
        <v>2</v>
      </c>
      <c r="S431" s="42">
        <v>2</v>
      </c>
      <c r="T431" s="42">
        <v>2</v>
      </c>
      <c r="U431" s="43">
        <v>3</v>
      </c>
      <c r="V431" s="42">
        <v>7</v>
      </c>
      <c r="W431" s="42">
        <v>4</v>
      </c>
      <c r="X431" s="42">
        <v>1</v>
      </c>
      <c r="Y431" s="43">
        <v>1</v>
      </c>
      <c r="Z431" s="42" t="s">
        <v>45</v>
      </c>
      <c r="AA431" s="42" t="s">
        <v>45</v>
      </c>
      <c r="AB431" s="42" t="s">
        <v>45</v>
      </c>
      <c r="AC431" s="42" t="s">
        <v>45</v>
      </c>
      <c r="AD431" s="42" t="s">
        <v>45</v>
      </c>
      <c r="AE431" s="42" t="s">
        <v>45</v>
      </c>
      <c r="AF431" s="42" t="s">
        <v>45</v>
      </c>
      <c r="AG431" s="43" t="s">
        <v>45</v>
      </c>
      <c r="AH431" s="42">
        <v>1</v>
      </c>
      <c r="AI431" s="42">
        <v>1</v>
      </c>
      <c r="AJ431" s="43">
        <v>2</v>
      </c>
      <c r="AK431" s="45" t="s">
        <v>718</v>
      </c>
      <c r="AL431" s="45" t="s">
        <v>705</v>
      </c>
      <c r="AM431" s="46">
        <f>($L$3*(L431-$Q$1)/$Q$2+$M$3*(M431-$R$1)/$R$2+$N$3*(N431-$S$1)/$S$2+$O$3*(O431-$T$1)/$T$2+$P$3*(P431-$U$1)/$U$2)/(SUM($L$3:$P$3))</f>
        <v>-2.0012818558036707</v>
      </c>
      <c r="AN431" s="46">
        <f>($L$3*(Q431-$Q$1)/$Q$2+$M$3*(R431-$R$1)/$R$2+$N$3*(S431-$S$1)/$S$2+$O$3*(T431-$T$1)/$T$2+$P$3*(U431-$U$1)/$U$2)/(SUM($L$3:$P$3))</f>
        <v>-1.1353680741358696</v>
      </c>
      <c r="AO431" s="47">
        <f>IF(AVERAGE(AH431:AI431)&gt;9,1,0)+IF(AVERAGE(AH431:AI431)&gt;7,1,0)+IF(AH431&gt;7,1,0)+IF(AI431&gt;7,1,0)+IF(AJ431&gt;8,1,0)+IF(AJ431&gt;6,1,0)</f>
        <v>0</v>
      </c>
      <c r="AP431" s="48">
        <f>MIN(2,IF(OR(Z431="-",X431&lt;5),0,1+IF(Y431&gt;7,0.35,IF(Y431&gt;5,0.1,0))+IF(Z431&gt;7,1+IF(X431&gt;7,0.25,0),IF(Z431&gt;4,0.5+IF(X431&gt;7,0.25,0),0+IF(X431&gt;7,0.25))))+IF(AA431="-",0,IF(AA431&gt;9,0.5,IF(AA431&gt;7,0.25,0)))+IF(AB431="-",0,IF(AB431&gt;7,1.1,IF(AB431&gt;4,0.6,0)))+IF(OR(AC431="-",V431&lt;5),0,IF(AC431&gt;7,1+IF(V431&gt;7,0.25,0),IF(AC431&gt;4,0.5+IF(V431&gt;7,0.25,0),0)))+IF(AD431="-",0,IF(AD431&gt;7,1.5,IF(AD431&gt;4,1,0)))+IF(AE431="-",0,IF(AE431&gt;9,0.5,IF(AE431&gt;7,0.25,0)))+IF(AF431="-",0,IF(AF431&gt;7,1.25,IF(AF431&gt;4,0.75,0)))+IF(OR(AG431="-",W431&lt;4),0,IF(AG431&gt;7,1+IF(W431&gt;7,0.15,0),IF(AG431&gt;4,0.5+IF(W431&gt;7,0.15,0),0))))</f>
        <v>0</v>
      </c>
      <c r="AQ431" s="46">
        <f>($AM$3*AM431+$AN$3*AN431+$AO$3*AO431+$AP$3*AP431)+$I$3*VLOOKUP(I431,COND!$A$2:$E$7,4,FALSE)+$J$3*VLOOKUP(J431,COND!$A$2:$C$7,2,FALSE)+$K$3*VLOOKUP(K431,COND!$A$2:$C$7,3,FALSE)+IF(AND($B$2&gt;0,$E431&lt;20),$B$2*25,0)</f>
        <v>35.875454924789196</v>
      </c>
      <c r="AR431" s="49">
        <f>STANDARDIZE(AQ431,AVERAGE($AQ$5:$AQ$537),STDEVP($AQ$5:$AQ$537))</f>
        <v>-0.78695810111697639</v>
      </c>
      <c r="AS431" s="47" t="str">
        <f>IF(AND(Z431&lt;&gt;"-",Y431&gt;1),"C",IF(AB431=MAX(AB431:AD431),"2B",IF(AD431=MAX(AB431:AD431),"SS",IF(OR(AC431=MAX(AA431:AD431),AND(AC431&lt;&gt;"-",AC431&gt;4,V431&gt;5)),"3B",IF(AF431=MAX(AE431:AG431),"CF",IF(AND(AG431=MAX(AE431,AG431),AND(W431&gt;5,AG431&lt;&gt;"-")),"RF",IF(AE431&lt;&gt;"-","LF",IF(AA431&lt;&gt;"-","1B","DH"))))))))</f>
        <v>DH</v>
      </c>
      <c r="AT431" s="47"/>
      <c r="AU431" s="47"/>
      <c r="AV431" s="47"/>
      <c r="AW431" s="47" t="str">
        <f>IF(AND($Q431&gt;=6,AVERAGE($S431:$T431)&gt;=6),"Likely",IF(OR($Q431&gt;6,AND($Q431=6,AVERAGE($S431:$T431)&gt;=3),AND($Q431&gt;=5,AVERAGE($S431:$T431)&gt;=5),AVERAGE($Q431,$S431:$T431)&gt;5),"Possible","Unlikely"))</f>
        <v>Unlikely</v>
      </c>
      <c r="AX431" s="47"/>
      <c r="AY431" s="47" t="str">
        <f>INDEX(Table5[[#All],[Ovr]],MATCH(Batters[[#This Row],[PID]],Table5[[#All],[PID]],0))</f>
        <v/>
      </c>
      <c r="AZ431" s="47" t="str">
        <f>INDEX(Table5[[#All],[Rnd]],MATCH(Batters[[#This Row],[PID]],Table5[[#All],[PID]],0))</f>
        <v/>
      </c>
      <c r="BA431" s="47" t="str">
        <f>INDEX(Table5[[#All],[Pick]],MATCH(Batters[[#This Row],[PID]],Table5[[#All],[PID]],0))</f>
        <v/>
      </c>
      <c r="BB431" s="47" t="str">
        <f>INDEX(Table5[[#All],[Team]],MATCH(Batters[[#This Row],[PID]],Table5[[#All],[PID]],0))</f>
        <v/>
      </c>
    </row>
    <row r="432" spans="1:54" ht="15" customHeight="1" x14ac:dyDescent="0.25">
      <c r="A432" s="42">
        <v>17571</v>
      </c>
      <c r="B432" s="42" t="s">
        <v>86</v>
      </c>
      <c r="C432" s="42" t="s">
        <v>934</v>
      </c>
      <c r="D432" s="42" t="s">
        <v>1323</v>
      </c>
      <c r="E432" s="42">
        <v>18</v>
      </c>
      <c r="F432" s="42" t="s">
        <v>42</v>
      </c>
      <c r="G432" s="42" t="s">
        <v>42</v>
      </c>
      <c r="H432" s="43" t="s">
        <v>711</v>
      </c>
      <c r="I432" s="44" t="s">
        <v>43</v>
      </c>
      <c r="J432" s="42" t="s">
        <v>43</v>
      </c>
      <c r="K432" s="43" t="s">
        <v>44</v>
      </c>
      <c r="L432" s="42">
        <v>1</v>
      </c>
      <c r="M432" s="42">
        <v>1</v>
      </c>
      <c r="N432" s="42">
        <v>2</v>
      </c>
      <c r="O432" s="42">
        <v>1</v>
      </c>
      <c r="P432" s="43">
        <v>1</v>
      </c>
      <c r="Q432" s="42">
        <v>2</v>
      </c>
      <c r="R432" s="42">
        <v>3</v>
      </c>
      <c r="S432" s="42">
        <v>2</v>
      </c>
      <c r="T432" s="42">
        <v>4</v>
      </c>
      <c r="U432" s="43">
        <v>3</v>
      </c>
      <c r="V432" s="42">
        <v>4</v>
      </c>
      <c r="W432" s="42">
        <v>4</v>
      </c>
      <c r="X432" s="42">
        <v>6</v>
      </c>
      <c r="Y432" s="43">
        <v>7</v>
      </c>
      <c r="Z432" s="42">
        <v>2</v>
      </c>
      <c r="AA432" s="42" t="s">
        <v>45</v>
      </c>
      <c r="AB432" s="42" t="s">
        <v>45</v>
      </c>
      <c r="AC432" s="42" t="s">
        <v>45</v>
      </c>
      <c r="AD432" s="42" t="s">
        <v>45</v>
      </c>
      <c r="AE432" s="42" t="s">
        <v>45</v>
      </c>
      <c r="AF432" s="42" t="s">
        <v>45</v>
      </c>
      <c r="AG432" s="43" t="s">
        <v>45</v>
      </c>
      <c r="AH432" s="42">
        <v>1</v>
      </c>
      <c r="AI432" s="42">
        <v>1</v>
      </c>
      <c r="AJ432" s="43">
        <v>1</v>
      </c>
      <c r="AK432" s="45" t="s">
        <v>718</v>
      </c>
      <c r="AL432" s="45" t="s">
        <v>705</v>
      </c>
      <c r="AM432" s="46">
        <f>($L$3*(L432-$Q$1)/$Q$2+$M$3*(M432-$R$1)/$R$2+$N$3*(N432-$S$1)/$S$2+$O$3*(O432-$T$1)/$T$2+$P$3*(P432-$U$1)/$U$2)/(SUM($L$3:$P$3))</f>
        <v>-2.0012818558036707</v>
      </c>
      <c r="AN432" s="46">
        <f>($L$3*(Q432-$Q$1)/$Q$2+$M$3*(R432-$R$1)/$R$2+$N$3*(S432-$S$1)/$S$2+$O$3*(T432-$T$1)/$T$2+$P$3*(U432-$U$1)/$U$2)/(SUM($L$3:$P$3))</f>
        <v>-1.2274449307006789</v>
      </c>
      <c r="AO432" s="47">
        <f>IF(AVERAGE(AH432:AI432)&gt;9,1,0)+IF(AVERAGE(AH432:AI432)&gt;7,1,0)+IF(AH432&gt;7,1,0)+IF(AI432&gt;7,1,0)+IF(AJ432&gt;8,1,0)+IF(AJ432&gt;6,1,0)</f>
        <v>0</v>
      </c>
      <c r="AP432" s="48">
        <f>MIN(2,IF(OR(Z432="-",X432&lt;5),0,1+IF(Y432&gt;7,0.35,IF(Y432&gt;5,0.1,0))+IF(Z432&gt;7,1+IF(X432&gt;7,0.25,0),IF(Z432&gt;4,0.5+IF(X432&gt;7,0.25,0),0+IF(X432&gt;7,0.25))))+IF(AA432="-",0,IF(AA432&gt;9,0.5,IF(AA432&gt;7,0.25,0)))+IF(AB432="-",0,IF(AB432&gt;7,1.1,IF(AB432&gt;4,0.6,0)))+IF(OR(AC432="-",V432&lt;5),0,IF(AC432&gt;7,1+IF(V432&gt;7,0.25,0),IF(AC432&gt;4,0.5+IF(V432&gt;7,0.25,0),0)))+IF(AD432="-",0,IF(AD432&gt;7,1.5,IF(AD432&gt;4,1,0)))+IF(AE432="-",0,IF(AE432&gt;9,0.5,IF(AE432&gt;7,0.25,0)))+IF(AF432="-",0,IF(AF432&gt;7,1.25,IF(AF432&gt;4,0.75,0)))+IF(OR(AG432="-",W432&lt;4),0,IF(AG432&gt;7,1+IF(W432&gt;7,0.15,0),IF(AG432&gt;4,0.5+IF(W432&gt;7,0.15,0),0))))</f>
        <v>1.1000000000000001</v>
      </c>
      <c r="AQ432" s="46">
        <f>($AM$3*AM432+$AN$3*AN432+$AO$3*AO432+$AP$3*AP432)+$I$3*VLOOKUP(I432,COND!$A$2:$E$7,4,FALSE)+$J$3*VLOOKUP(J432,COND!$A$2:$C$7,2,FALSE)+$K$3*VLOOKUP(K432,COND!$A$2:$C$7,3,FALSE)+IF(AND($B$2&gt;0,$E432&lt;20),$B$2*25,0)</f>
        <v>35.870532646011483</v>
      </c>
      <c r="AR432" s="49">
        <f>STANDARDIZE(AQ432,AVERAGE($AQ$5:$AQ$537),STDEVP($AQ$5:$AQ$537))</f>
        <v>-0.78782414335295692</v>
      </c>
      <c r="AS432" s="47" t="str">
        <f>IF(AND(Z432&lt;&gt;"-",Y432&gt;1),"C",IF(AB432=MAX(AB432:AD432),"2B",IF(AD432=MAX(AB432:AD432),"SS",IF(OR(AC432=MAX(AA432:AD432),AND(AC432&lt;&gt;"-",AC432&gt;4,V432&gt;5)),"3B",IF(AF432=MAX(AE432:AG432),"CF",IF(AND(AG432=MAX(AE432,AG432),AND(W432&gt;5,AG432&lt;&gt;"-")),"RF",IF(AE432&lt;&gt;"-","LF",IF(AA432&lt;&gt;"-","1B","DH"))))))))</f>
        <v>C</v>
      </c>
      <c r="AT432" s="47"/>
      <c r="AU432" s="47"/>
      <c r="AV432" s="47"/>
      <c r="AW432" s="47" t="str">
        <f>IF(AND($Q432&gt;=6,AVERAGE($S432:$T432)&gt;=6),"Likely",IF(OR($Q432&gt;6,AND($Q432=6,AVERAGE($S432:$T432)&gt;=3),AND($Q432&gt;=5,AVERAGE($S432:$T432)&gt;=5),AVERAGE($Q432,$S432:$T432)&gt;5),"Possible","Unlikely"))</f>
        <v>Unlikely</v>
      </c>
      <c r="AX432" s="47"/>
      <c r="AY432" s="47" t="str">
        <f>INDEX(Table5[[#All],[Ovr]],MATCH(Batters[[#This Row],[PID]],Table5[[#All],[PID]],0))</f>
        <v/>
      </c>
      <c r="AZ432" s="47" t="str">
        <f>INDEX(Table5[[#All],[Rnd]],MATCH(Batters[[#This Row],[PID]],Table5[[#All],[PID]],0))</f>
        <v/>
      </c>
      <c r="BA432" s="47" t="str">
        <f>INDEX(Table5[[#All],[Pick]],MATCH(Batters[[#This Row],[PID]],Table5[[#All],[PID]],0))</f>
        <v/>
      </c>
      <c r="BB432" s="47" t="str">
        <f>INDEX(Table5[[#All],[Team]],MATCH(Batters[[#This Row],[PID]],Table5[[#All],[PID]],0))</f>
        <v/>
      </c>
    </row>
    <row r="433" spans="1:54" ht="15" customHeight="1" x14ac:dyDescent="0.25">
      <c r="A433" s="42">
        <v>6425</v>
      </c>
      <c r="B433" s="42" t="s">
        <v>87</v>
      </c>
      <c r="C433" s="42" t="s">
        <v>433</v>
      </c>
      <c r="D433" s="42" t="s">
        <v>783</v>
      </c>
      <c r="E433" s="42">
        <v>22</v>
      </c>
      <c r="F433" s="42" t="s">
        <v>42</v>
      </c>
      <c r="G433" s="42" t="s">
        <v>42</v>
      </c>
      <c r="H433" s="43" t="s">
        <v>721</v>
      </c>
      <c r="I433" s="44" t="s">
        <v>43</v>
      </c>
      <c r="J433" s="42" t="s">
        <v>43</v>
      </c>
      <c r="K433" s="43" t="s">
        <v>43</v>
      </c>
      <c r="L433" s="42">
        <v>3</v>
      </c>
      <c r="M433" s="42">
        <v>2</v>
      </c>
      <c r="N433" s="42">
        <v>2</v>
      </c>
      <c r="O433" s="42">
        <v>1</v>
      </c>
      <c r="P433" s="43">
        <v>3</v>
      </c>
      <c r="Q433" s="42">
        <v>4</v>
      </c>
      <c r="R433" s="42">
        <v>3</v>
      </c>
      <c r="S433" s="42">
        <v>2</v>
      </c>
      <c r="T433" s="42">
        <v>1</v>
      </c>
      <c r="U433" s="43">
        <v>4</v>
      </c>
      <c r="V433" s="42">
        <v>3</v>
      </c>
      <c r="W433" s="42">
        <v>1</v>
      </c>
      <c r="X433" s="42">
        <v>1</v>
      </c>
      <c r="Y433" s="43">
        <v>1</v>
      </c>
      <c r="Z433" s="42" t="s">
        <v>45</v>
      </c>
      <c r="AA433" s="42">
        <v>6</v>
      </c>
      <c r="AB433" s="42" t="s">
        <v>45</v>
      </c>
      <c r="AC433" s="42" t="s">
        <v>45</v>
      </c>
      <c r="AD433" s="42" t="s">
        <v>45</v>
      </c>
      <c r="AE433" s="42" t="s">
        <v>45</v>
      </c>
      <c r="AF433" s="42" t="s">
        <v>45</v>
      </c>
      <c r="AG433" s="43" t="s">
        <v>45</v>
      </c>
      <c r="AH433" s="42">
        <v>1</v>
      </c>
      <c r="AI433" s="42">
        <v>1</v>
      </c>
      <c r="AJ433" s="43">
        <v>1</v>
      </c>
      <c r="AK433" s="45" t="s">
        <v>45</v>
      </c>
      <c r="AL433" s="45" t="s">
        <v>47</v>
      </c>
      <c r="AM433" s="46">
        <f>($L$3*(L433-$Q$1)/$Q$2+$M$3*(M433-$R$1)/$R$2+$N$3*(N433-$S$1)/$S$2+$O$3*(O433-$T$1)/$T$2+$P$3*(P433-$U$1)/$U$2)/(SUM($L$3:$P$3))</f>
        <v>-1.2250776241454506</v>
      </c>
      <c r="AN433" s="46">
        <f>($L$3*(Q433-$Q$1)/$Q$2+$M$3*(R433-$R$1)/$R$2+$N$3*(S433-$S$1)/$S$2+$O$3*(T433-$T$1)/$T$2+$P$3*(U433-$U$1)/$U$2)/(SUM($L$3:$P$3))</f>
        <v>-0.8114455685069889</v>
      </c>
      <c r="AO433" s="47">
        <f>IF(AVERAGE(AH433:AI433)&gt;9,1,0)+IF(AVERAGE(AH433:AI433)&gt;7,1,0)+IF(AH433&gt;7,1,0)+IF(AI433&gt;7,1,0)+IF(AJ433&gt;8,1,0)+IF(AJ433&gt;6,1,0)</f>
        <v>0</v>
      </c>
      <c r="AP433" s="48">
        <f>MIN(2,IF(OR(Z433="-",X433&lt;5),0,1+IF(Y433&gt;7,0.35,IF(Y433&gt;5,0.1,0))+IF(Z433&gt;7,1+IF(X433&gt;7,0.25,0),IF(Z433&gt;4,0.5+IF(X433&gt;7,0.25,0),0+IF(X433&gt;7,0.25))))+IF(AA433="-",0,IF(AA433&gt;9,0.5,IF(AA433&gt;7,0.25,0)))+IF(AB433="-",0,IF(AB433&gt;7,1.1,IF(AB433&gt;4,0.6,0)))+IF(OR(AC433="-",V433&lt;5),0,IF(AC433&gt;7,1+IF(V433&gt;7,0.25,0),IF(AC433&gt;4,0.5+IF(V433&gt;7,0.25,0),0)))+IF(AD433="-",0,IF(AD433&gt;7,1.5,IF(AD433&gt;4,1,0)))+IF(AE433="-",0,IF(AE433&gt;9,0.5,IF(AE433&gt;7,0.25,0)))+IF(AF433="-",0,IF(AF433&gt;7,1.25,IF(AF433&gt;4,0.75,0)))+IF(OR(AG433="-",W433&lt;4),0,IF(AG433&gt;7,1+IF(W433&gt;7,0.15,0),IF(AG433&gt;4,0.5+IF(W433&gt;7,0.15,0),0))))</f>
        <v>0</v>
      </c>
      <c r="AQ433" s="46">
        <f>($AM$3*AM433+$AN$3*AN433+$AO$3*AO433+$AP$3*AP433)+$I$3*VLOOKUP(I433,COND!$A$2:$E$7,4,FALSE)+$J$3*VLOOKUP(J433,COND!$A$2:$C$7,2,FALSE)+$K$3*VLOOKUP(K433,COND!$A$2:$C$7,3,FALSE)+IF(AND($B$2&gt;0,$E433&lt;20),$B$2*25,0)</f>
        <v>35.140145415501593</v>
      </c>
      <c r="AR433" s="49">
        <f>STANDARDIZE(AQ433,AVERAGE($AQ$5:$AQ$537),STDEVP($AQ$5:$AQ$537))</f>
        <v>-0.91633092218605505</v>
      </c>
      <c r="AS433" s="47" t="str">
        <f>IF(AND(Z433&lt;&gt;"-",Y433&gt;1),"C",IF(AB433=MAX(AB433:AD433),"2B",IF(AD433=MAX(AB433:AD433),"SS",IF(OR(AC433=MAX(AA433:AD433),AND(AC433&lt;&gt;"-",AC433&gt;4,V433&gt;5)),"3B",IF(AF433=MAX(AE433:AG433),"CF",IF(AND(AG433=MAX(AE433,AG433),AND(W433&gt;5,AG433&lt;&gt;"-")),"RF",IF(AE433&lt;&gt;"-","LF",IF(AA433&lt;&gt;"-","1B","DH"))))))))</f>
        <v>1B</v>
      </c>
      <c r="AT433" s="47"/>
      <c r="AU433" s="47"/>
      <c r="AV433" s="47"/>
      <c r="AW433" s="47" t="str">
        <f>IF(AND($Q433&gt;=6,AVERAGE($S433:$T433)&gt;=6),"Likely",IF(OR($Q433&gt;6,AND($Q433=6,AVERAGE($S433:$T433)&gt;=3),AND($Q433&gt;=5,AVERAGE($S433:$T433)&gt;=5),AVERAGE($Q433,$S433:$T433)&gt;5),"Possible","Unlikely"))</f>
        <v>Unlikely</v>
      </c>
      <c r="AX433" s="47"/>
      <c r="AY433" s="47" t="str">
        <f>INDEX(Table5[[#All],[Ovr]],MATCH(Batters[[#This Row],[PID]],Table5[[#All],[PID]],0))</f>
        <v/>
      </c>
      <c r="AZ433" s="47" t="str">
        <f>INDEX(Table5[[#All],[Rnd]],MATCH(Batters[[#This Row],[PID]],Table5[[#All],[PID]],0))</f>
        <v/>
      </c>
      <c r="BA433" s="47" t="str">
        <f>INDEX(Table5[[#All],[Pick]],MATCH(Batters[[#This Row],[PID]],Table5[[#All],[PID]],0))</f>
        <v/>
      </c>
      <c r="BB433" s="47" t="str">
        <f>INDEX(Table5[[#All],[Team]],MATCH(Batters[[#This Row],[PID]],Table5[[#All],[PID]],0))</f>
        <v/>
      </c>
    </row>
    <row r="434" spans="1:54" ht="15" customHeight="1" x14ac:dyDescent="0.25">
      <c r="A434" s="42">
        <v>9715</v>
      </c>
      <c r="B434" s="42" t="s">
        <v>87</v>
      </c>
      <c r="C434" s="42" t="s">
        <v>1094</v>
      </c>
      <c r="D434" s="42" t="s">
        <v>822</v>
      </c>
      <c r="E434" s="42">
        <v>20</v>
      </c>
      <c r="F434" s="42" t="s">
        <v>62</v>
      </c>
      <c r="G434" s="42" t="s">
        <v>42</v>
      </c>
      <c r="H434" s="43" t="s">
        <v>721</v>
      </c>
      <c r="I434" s="44" t="s">
        <v>43</v>
      </c>
      <c r="J434" s="42" t="s">
        <v>43</v>
      </c>
      <c r="K434" s="43" t="s">
        <v>43</v>
      </c>
      <c r="L434" s="42">
        <v>3</v>
      </c>
      <c r="M434" s="42">
        <v>2</v>
      </c>
      <c r="N434" s="42">
        <v>2</v>
      </c>
      <c r="O434" s="42">
        <v>1</v>
      </c>
      <c r="P434" s="43">
        <v>2</v>
      </c>
      <c r="Q434" s="42">
        <v>4</v>
      </c>
      <c r="R434" s="42">
        <v>3</v>
      </c>
      <c r="S434" s="42">
        <v>2</v>
      </c>
      <c r="T434" s="42">
        <v>1</v>
      </c>
      <c r="U434" s="43">
        <v>4</v>
      </c>
      <c r="V434" s="42">
        <v>5</v>
      </c>
      <c r="W434" s="42">
        <v>5</v>
      </c>
      <c r="X434" s="42">
        <v>1</v>
      </c>
      <c r="Y434" s="43">
        <v>1</v>
      </c>
      <c r="Z434" s="42" t="s">
        <v>45</v>
      </c>
      <c r="AA434" s="42">
        <v>1</v>
      </c>
      <c r="AB434" s="42" t="s">
        <v>45</v>
      </c>
      <c r="AC434" s="42" t="s">
        <v>45</v>
      </c>
      <c r="AD434" s="42" t="s">
        <v>45</v>
      </c>
      <c r="AE434" s="42" t="s">
        <v>45</v>
      </c>
      <c r="AF434" s="42" t="s">
        <v>45</v>
      </c>
      <c r="AG434" s="43" t="s">
        <v>45</v>
      </c>
      <c r="AH434" s="42">
        <v>1</v>
      </c>
      <c r="AI434" s="42">
        <v>1</v>
      </c>
      <c r="AJ434" s="43">
        <v>1</v>
      </c>
      <c r="AK434" s="45" t="s">
        <v>717</v>
      </c>
      <c r="AL434" s="45" t="s">
        <v>47</v>
      </c>
      <c r="AM434" s="46">
        <f>($L$3*(L434-$Q$1)/$Q$2+$M$3*(M434-$R$1)/$R$2+$N$3*(N434-$S$1)/$S$2+$O$3*(O434-$T$1)/$T$2+$P$3*(P434-$U$1)/$U$2)/(SUM($L$3:$P$3))</f>
        <v>-1.265093963962534</v>
      </c>
      <c r="AN434" s="46">
        <f>($L$3*(Q434-$Q$1)/$Q$2+$M$3*(R434-$R$1)/$R$2+$N$3*(S434-$S$1)/$S$2+$O$3*(T434-$T$1)/$T$2+$P$3*(U434-$U$1)/$U$2)/(SUM($L$3:$P$3))</f>
        <v>-0.8114455685069889</v>
      </c>
      <c r="AO434" s="47">
        <f>IF(AVERAGE(AH434:AI434)&gt;9,1,0)+IF(AVERAGE(AH434:AI434)&gt;7,1,0)+IF(AH434&gt;7,1,0)+IF(AI434&gt;7,1,0)+IF(AJ434&gt;8,1,0)+IF(AJ434&gt;6,1,0)</f>
        <v>0</v>
      </c>
      <c r="AP434" s="48">
        <f>MIN(2,IF(OR(Z434="-",X434&lt;5),0,1+IF(Y434&gt;7,0.35,IF(Y434&gt;5,0.1,0))+IF(Z434&gt;7,1+IF(X434&gt;7,0.25,0),IF(Z434&gt;4,0.5+IF(X434&gt;7,0.25,0),0+IF(X434&gt;7,0.25))))+IF(AA434="-",0,IF(AA434&gt;9,0.5,IF(AA434&gt;7,0.25,0)))+IF(AB434="-",0,IF(AB434&gt;7,1.1,IF(AB434&gt;4,0.6,0)))+IF(OR(AC434="-",V434&lt;5),0,IF(AC434&gt;7,1+IF(V434&gt;7,0.25,0),IF(AC434&gt;4,0.5+IF(V434&gt;7,0.25,0),0)))+IF(AD434="-",0,IF(AD434&gt;7,1.5,IF(AD434&gt;4,1,0)))+IF(AE434="-",0,IF(AE434&gt;9,0.5,IF(AE434&gt;7,0.25,0)))+IF(AF434="-",0,IF(AF434&gt;7,1.25,IF(AF434&gt;4,0.75,0)))+IF(OR(AG434="-",W434&lt;4),0,IF(AG434&gt;7,1+IF(W434&gt;7,0.15,0),IF(AG434&gt;4,0.5+IF(W434&gt;7,0.15,0),0))))</f>
        <v>0</v>
      </c>
      <c r="AQ434" s="46">
        <f>($AM$3*AM434+$AN$3*AN434+$AO$3*AO434+$AP$3*AP434)+$I$3*VLOOKUP(I434,COND!$A$2:$E$7,4,FALSE)+$J$3*VLOOKUP(J434,COND!$A$2:$C$7,2,FALSE)+$K$3*VLOOKUP(K434,COND!$A$2:$C$7,3,FALSE)+IF(AND($B$2&gt;0,$E434&lt;20),$B$2*25,0)</f>
        <v>35.136143781519877</v>
      </c>
      <c r="AR434" s="49">
        <f>STANDARDIZE(AQ434,AVERAGE($AQ$5:$AQ$537),STDEVP($AQ$5:$AQ$537))</f>
        <v>-0.9170349830890645</v>
      </c>
      <c r="AS434" s="47" t="str">
        <f>IF(AND(Z434&lt;&gt;"-",Y434&gt;1),"C",IF(AB434=MAX(AB434:AD434),"2B",IF(AD434=MAX(AB434:AD434),"SS",IF(OR(AC434=MAX(AA434:AD434),AND(AC434&lt;&gt;"-",AC434&gt;4,V434&gt;5)),"3B",IF(AF434=MAX(AE434:AG434),"CF",IF(AND(AG434=MAX(AE434,AG434),AND(W434&gt;5,AG434&lt;&gt;"-")),"RF",IF(AE434&lt;&gt;"-","LF",IF(AA434&lt;&gt;"-","1B","DH"))))))))</f>
        <v>1B</v>
      </c>
      <c r="AT434" s="47"/>
      <c r="AU434" s="47"/>
      <c r="AV434" s="47"/>
      <c r="AW434" s="47" t="str">
        <f>IF(AND($Q434&gt;=6,AVERAGE($S434:$T434)&gt;=6),"Likely",IF(OR($Q434&gt;6,AND($Q434=6,AVERAGE($S434:$T434)&gt;=3),AND($Q434&gt;=5,AVERAGE($S434:$T434)&gt;=5),AVERAGE($Q434,$S434:$T434)&gt;5),"Possible","Unlikely"))</f>
        <v>Unlikely</v>
      </c>
      <c r="AX434" s="47"/>
      <c r="AY434" s="47" t="str">
        <f>INDEX(Table5[[#All],[Ovr]],MATCH(Batters[[#This Row],[PID]],Table5[[#All],[PID]],0))</f>
        <v/>
      </c>
      <c r="AZ434" s="47" t="str">
        <f>INDEX(Table5[[#All],[Rnd]],MATCH(Batters[[#This Row],[PID]],Table5[[#All],[PID]],0))</f>
        <v/>
      </c>
      <c r="BA434" s="47" t="str">
        <f>INDEX(Table5[[#All],[Pick]],MATCH(Batters[[#This Row],[PID]],Table5[[#All],[PID]],0))</f>
        <v/>
      </c>
      <c r="BB434" s="47" t="str">
        <f>INDEX(Table5[[#All],[Team]],MATCH(Batters[[#This Row],[PID]],Table5[[#All],[PID]],0))</f>
        <v/>
      </c>
    </row>
    <row r="435" spans="1:54" ht="15" customHeight="1" x14ac:dyDescent="0.25">
      <c r="A435" s="42">
        <v>12388</v>
      </c>
      <c r="B435" s="42" t="s">
        <v>87</v>
      </c>
      <c r="C435" s="42" t="s">
        <v>1082</v>
      </c>
      <c r="D435" s="42" t="s">
        <v>1083</v>
      </c>
      <c r="E435" s="42">
        <v>21</v>
      </c>
      <c r="F435" s="42" t="s">
        <v>42</v>
      </c>
      <c r="G435" s="42" t="s">
        <v>42</v>
      </c>
      <c r="H435" s="43" t="s">
        <v>721</v>
      </c>
      <c r="I435" s="44" t="s">
        <v>43</v>
      </c>
      <c r="J435" s="42" t="s">
        <v>43</v>
      </c>
      <c r="K435" s="43" t="s">
        <v>43</v>
      </c>
      <c r="L435" s="42">
        <v>2</v>
      </c>
      <c r="M435" s="42">
        <v>2</v>
      </c>
      <c r="N435" s="42">
        <v>2</v>
      </c>
      <c r="O435" s="42">
        <v>1</v>
      </c>
      <c r="P435" s="43">
        <v>3</v>
      </c>
      <c r="Q435" s="42">
        <v>4</v>
      </c>
      <c r="R435" s="42">
        <v>3</v>
      </c>
      <c r="S435" s="42">
        <v>2</v>
      </c>
      <c r="T435" s="42">
        <v>1</v>
      </c>
      <c r="U435" s="43">
        <v>4</v>
      </c>
      <c r="V435" s="42">
        <v>5</v>
      </c>
      <c r="W435" s="42">
        <v>3</v>
      </c>
      <c r="X435" s="42">
        <v>1</v>
      </c>
      <c r="Y435" s="43">
        <v>1</v>
      </c>
      <c r="Z435" s="42" t="s">
        <v>45</v>
      </c>
      <c r="AA435" s="42" t="s">
        <v>45</v>
      </c>
      <c r="AB435" s="42" t="s">
        <v>45</v>
      </c>
      <c r="AC435" s="42" t="s">
        <v>45</v>
      </c>
      <c r="AD435" s="42" t="s">
        <v>45</v>
      </c>
      <c r="AE435" s="42" t="s">
        <v>45</v>
      </c>
      <c r="AF435" s="42" t="s">
        <v>45</v>
      </c>
      <c r="AG435" s="43" t="s">
        <v>45</v>
      </c>
      <c r="AH435" s="42">
        <v>1</v>
      </c>
      <c r="AI435" s="42">
        <v>1</v>
      </c>
      <c r="AJ435" s="43">
        <v>1</v>
      </c>
      <c r="AK435" s="45" t="s">
        <v>717</v>
      </c>
      <c r="AL435" s="45" t="s">
        <v>47</v>
      </c>
      <c r="AM435" s="46">
        <f>($L$3*(L435-$Q$1)/$Q$2+$M$3*(M435-$R$1)/$R$2+$N$3*(N435-$S$1)/$S$2+$O$3*(O435-$T$1)/$T$2+$P$3*(P435-$U$1)/$U$2)/(SUM($L$3:$P$3))</f>
        <v>-1.5476334603481254</v>
      </c>
      <c r="AN435" s="46">
        <f>($L$3*(Q435-$Q$1)/$Q$2+$M$3*(R435-$R$1)/$R$2+$N$3*(S435-$S$1)/$S$2+$O$3*(T435-$T$1)/$T$2+$P$3*(U435-$U$1)/$U$2)/(SUM($L$3:$P$3))</f>
        <v>-0.8114455685069889</v>
      </c>
      <c r="AO435" s="47">
        <f>IF(AVERAGE(AH435:AI435)&gt;9,1,0)+IF(AVERAGE(AH435:AI435)&gt;7,1,0)+IF(AH435&gt;7,1,0)+IF(AI435&gt;7,1,0)+IF(AJ435&gt;8,1,0)+IF(AJ435&gt;6,1,0)</f>
        <v>0</v>
      </c>
      <c r="AP435" s="48">
        <f>MIN(2,IF(OR(Z435="-",X435&lt;5),0,1+IF(Y435&gt;7,0.35,IF(Y435&gt;5,0.1,0))+IF(Z435&gt;7,1+IF(X435&gt;7,0.25,0),IF(Z435&gt;4,0.5+IF(X435&gt;7,0.25,0),0+IF(X435&gt;7,0.25))))+IF(AA435="-",0,IF(AA435&gt;9,0.5,IF(AA435&gt;7,0.25,0)))+IF(AB435="-",0,IF(AB435&gt;7,1.1,IF(AB435&gt;4,0.6,0)))+IF(OR(AC435="-",V435&lt;5),0,IF(AC435&gt;7,1+IF(V435&gt;7,0.25,0),IF(AC435&gt;4,0.5+IF(V435&gt;7,0.25,0),0)))+IF(AD435="-",0,IF(AD435&gt;7,1.5,IF(AD435&gt;4,1,0)))+IF(AE435="-",0,IF(AE435&gt;9,0.5,IF(AE435&gt;7,0.25,0)))+IF(AF435="-",0,IF(AF435&gt;7,1.25,IF(AF435&gt;4,0.75,0)))+IF(OR(AG435="-",W435&lt;4),0,IF(AG435&gt;7,1+IF(W435&gt;7,0.15,0),IF(AG435&gt;4,0.5+IF(W435&gt;7,0.15,0),0))))</f>
        <v>0</v>
      </c>
      <c r="AQ435" s="46">
        <f>($AM$3*AM435+$AN$3*AN435+$AO$3*AO435+$AP$3*AP435)+$I$3*VLOOKUP(I435,COND!$A$2:$E$7,4,FALSE)+$J$3*VLOOKUP(J435,COND!$A$2:$C$7,2,FALSE)+$K$3*VLOOKUP(K435,COND!$A$2:$C$7,3,FALSE)+IF(AND($B$2&gt;0,$E435&lt;20),$B$2*25,0)</f>
        <v>35.107889831881323</v>
      </c>
      <c r="AR435" s="49">
        <f>STANDARDIZE(AQ435,AVERAGE($AQ$5:$AQ$537),STDEVP($AQ$5:$AQ$537))</f>
        <v>-0.92200607774364718</v>
      </c>
      <c r="AS435" s="47" t="str">
        <f>IF(AND(Z435&lt;&gt;"-",Y435&gt;1),"C",IF(AB435=MAX(AB435:AD435),"2B",IF(AD435=MAX(AB435:AD435),"SS",IF(OR(AC435=MAX(AA435:AD435),AND(AC435&lt;&gt;"-",AC435&gt;4,V435&gt;5)),"3B",IF(AF435=MAX(AE435:AG435),"CF",IF(AND(AG435=MAX(AE435,AG435),AND(W435&gt;5,AG435&lt;&gt;"-")),"RF",IF(AE435&lt;&gt;"-","LF",IF(AA435&lt;&gt;"-","1B","DH"))))))))</f>
        <v>DH</v>
      </c>
      <c r="AT435" s="47"/>
      <c r="AU435" s="47"/>
      <c r="AV435" s="47"/>
      <c r="AW435" s="47" t="str">
        <f>IF(AND($Q435&gt;=6,AVERAGE($S435:$T435)&gt;=6),"Likely",IF(OR($Q435&gt;6,AND($Q435=6,AVERAGE($S435:$T435)&gt;=3),AND($Q435&gt;=5,AVERAGE($S435:$T435)&gt;=5),AVERAGE($Q435,$S435:$T435)&gt;5),"Possible","Unlikely"))</f>
        <v>Unlikely</v>
      </c>
      <c r="AX435" s="47"/>
      <c r="AY435" s="47" t="str">
        <f>INDEX(Table5[[#All],[Ovr]],MATCH(Batters[[#This Row],[PID]],Table5[[#All],[PID]],0))</f>
        <v/>
      </c>
      <c r="AZ435" s="47" t="str">
        <f>INDEX(Table5[[#All],[Rnd]],MATCH(Batters[[#This Row],[PID]],Table5[[#All],[PID]],0))</f>
        <v/>
      </c>
      <c r="BA435" s="47" t="str">
        <f>INDEX(Table5[[#All],[Pick]],MATCH(Batters[[#This Row],[PID]],Table5[[#All],[PID]],0))</f>
        <v/>
      </c>
      <c r="BB435" s="47" t="str">
        <f>INDEX(Table5[[#All],[Team]],MATCH(Batters[[#This Row],[PID]],Table5[[#All],[PID]],0))</f>
        <v/>
      </c>
    </row>
    <row r="436" spans="1:54" ht="15" customHeight="1" x14ac:dyDescent="0.25">
      <c r="A436" s="42">
        <v>7283</v>
      </c>
      <c r="B436" s="42" t="s">
        <v>72</v>
      </c>
      <c r="C436" s="42" t="s">
        <v>549</v>
      </c>
      <c r="D436" s="42" t="s">
        <v>420</v>
      </c>
      <c r="E436" s="42">
        <v>21</v>
      </c>
      <c r="F436" s="42" t="s">
        <v>62</v>
      </c>
      <c r="G436" s="42" t="s">
        <v>42</v>
      </c>
      <c r="H436" s="43" t="s">
        <v>703</v>
      </c>
      <c r="I436" s="44" t="s">
        <v>44</v>
      </c>
      <c r="J436" s="42" t="s">
        <v>43</v>
      </c>
      <c r="K436" s="43" t="s">
        <v>43</v>
      </c>
      <c r="L436" s="42">
        <v>2</v>
      </c>
      <c r="M436" s="42">
        <v>3</v>
      </c>
      <c r="N436" s="42">
        <v>2</v>
      </c>
      <c r="O436" s="42">
        <v>4</v>
      </c>
      <c r="P436" s="43">
        <v>1</v>
      </c>
      <c r="Q436" s="42">
        <v>2</v>
      </c>
      <c r="R436" s="42">
        <v>4</v>
      </c>
      <c r="S436" s="42">
        <v>3</v>
      </c>
      <c r="T436" s="42">
        <v>6</v>
      </c>
      <c r="U436" s="43">
        <v>2</v>
      </c>
      <c r="V436" s="42">
        <v>9</v>
      </c>
      <c r="W436" s="42">
        <v>8</v>
      </c>
      <c r="X436" s="42">
        <v>1</v>
      </c>
      <c r="Y436" s="43">
        <v>1</v>
      </c>
      <c r="Z436" s="42" t="s">
        <v>45</v>
      </c>
      <c r="AA436" s="42" t="s">
        <v>45</v>
      </c>
      <c r="AB436" s="42" t="s">
        <v>45</v>
      </c>
      <c r="AC436" s="42" t="s">
        <v>45</v>
      </c>
      <c r="AD436" s="42">
        <v>7</v>
      </c>
      <c r="AE436" s="42" t="s">
        <v>45</v>
      </c>
      <c r="AF436" s="42" t="s">
        <v>45</v>
      </c>
      <c r="AG436" s="43" t="s">
        <v>45</v>
      </c>
      <c r="AH436" s="42">
        <v>9</v>
      </c>
      <c r="AI436" s="42">
        <v>9</v>
      </c>
      <c r="AJ436" s="43">
        <v>10</v>
      </c>
      <c r="AK436" s="45" t="s">
        <v>45</v>
      </c>
      <c r="AL436" s="45" t="s">
        <v>47</v>
      </c>
      <c r="AM436" s="46">
        <f>($L$3*(L436-$Q$1)/$Q$2+$M$3*(M436-$R$1)/$R$2+$N$3*(N436-$S$1)/$S$2+$O$3*(O436-$T$1)/$T$2+$P$3*(P436-$U$1)/$U$2)/(SUM($L$3:$P$3))</f>
        <v>-1.3074776103348458</v>
      </c>
      <c r="AN436" s="46">
        <f>($L$3*(Q436-$Q$1)/$Q$2+$M$3*(R436-$R$1)/$R$2+$N$3*(S436-$S$1)/$S$2+$O$3*(T436-$T$1)/$T$2+$P$3*(U436-$U$1)/$U$2)/(SUM($L$3:$P$3))</f>
        <v>-0.95392079685599518</v>
      </c>
      <c r="AO436" s="47">
        <f>IF(AVERAGE(AH436:AI436)&gt;9,1,0)+IF(AVERAGE(AH436:AI436)&gt;7,1,0)+IF(AH436&gt;7,1,0)+IF(AI436&gt;7,1,0)+IF(AJ436&gt;8,1,0)+IF(AJ436&gt;6,1,0)</f>
        <v>5</v>
      </c>
      <c r="AP436" s="48">
        <f>MIN(2,IF(OR(Z436="-",X436&lt;5),0,1+IF(Y436&gt;7,0.35,IF(Y436&gt;5,0.1,0))+IF(Z436&gt;7,1+IF(X436&gt;7,0.25,0),IF(Z436&gt;4,0.5+IF(X436&gt;7,0.25,0),0+IF(X436&gt;7,0.25))))+IF(AA436="-",0,IF(AA436&gt;9,0.5,IF(AA436&gt;7,0.25,0)))+IF(AB436="-",0,IF(AB436&gt;7,1.1,IF(AB436&gt;4,0.6,0)))+IF(OR(AC436="-",V436&lt;5),0,IF(AC436&gt;7,1+IF(V436&gt;7,0.25,0),IF(AC436&gt;4,0.5+IF(V436&gt;7,0.25,0),0)))+IF(AD436="-",0,IF(AD436&gt;7,1.5,IF(AD436&gt;4,1,0)))+IF(AE436="-",0,IF(AE436&gt;9,0.5,IF(AE436&gt;7,0.25,0)))+IF(AF436="-",0,IF(AF436&gt;7,1.25,IF(AF436&gt;4,0.75,0)))+IF(OR(AG436="-",W436&lt;4),0,IF(AG436&gt;7,1+IF(W436&gt;7,0.15,0),IF(AG436&gt;4,0.5+IF(W436&gt;7,0.15,0),0))))</f>
        <v>1</v>
      </c>
      <c r="AQ436" s="46">
        <f>($AM$3*AM436+$AN$3*AN436+$AO$3*AO436+$AP$3*AP436)+$I$3*VLOOKUP(I436,COND!$A$2:$E$7,4,FALSE)+$J$3*VLOOKUP(J436,COND!$A$2:$C$7,2,FALSE)+$K$3*VLOOKUP(K436,COND!$A$2:$C$7,3,FALSE)+IF(AND($B$2&gt;0,$E436&lt;20),$B$2*25,0)</f>
        <v>35.105536010027905</v>
      </c>
      <c r="AR436" s="49">
        <f>STANDARDIZE(AQ436,AVERAGE($AQ$5:$AQ$537),STDEVP($AQ$5:$AQ$537))</f>
        <v>-0.92242021705454202</v>
      </c>
      <c r="AS436" s="47" t="str">
        <f>IF(AND(Z436&lt;&gt;"-",Y436&gt;1),"C",IF(AB436=MAX(AB436:AD436),"2B",IF(AD436=MAX(AB436:AD436),"SS",IF(OR(AC436=MAX(AA436:AD436),AND(AC436&lt;&gt;"-",AC436&gt;4,V436&gt;5)),"3B",IF(AF436=MAX(AE436:AG436),"CF",IF(AND(AG436=MAX(AE436,AG436),AND(W436&gt;5,AG436&lt;&gt;"-")),"RF",IF(AE436&lt;&gt;"-","LF",IF(AA436&lt;&gt;"-","1B","DH"))))))))</f>
        <v>SS</v>
      </c>
      <c r="AT436" s="47"/>
      <c r="AU436" s="47"/>
      <c r="AV436" s="47"/>
      <c r="AW436" s="47" t="str">
        <f>IF(AND($Q436&gt;=6,AVERAGE($S436:$T436)&gt;=6),"Likely",IF(OR($Q436&gt;6,AND($Q436=6,AVERAGE($S436:$T436)&gt;=3),AND($Q436&gt;=5,AVERAGE($S436:$T436)&gt;=5),AVERAGE($Q436,$S436:$T436)&gt;5),"Possible","Unlikely"))</f>
        <v>Unlikely</v>
      </c>
      <c r="AX436" s="47"/>
      <c r="AY436" s="47" t="str">
        <f>INDEX(Table5[[#All],[Ovr]],MATCH(Batters[[#This Row],[PID]],Table5[[#All],[PID]],0))</f>
        <v/>
      </c>
      <c r="AZ436" s="47" t="str">
        <f>INDEX(Table5[[#All],[Rnd]],MATCH(Batters[[#This Row],[PID]],Table5[[#All],[PID]],0))</f>
        <v/>
      </c>
      <c r="BA436" s="47" t="str">
        <f>INDEX(Table5[[#All],[Pick]],MATCH(Batters[[#This Row],[PID]],Table5[[#All],[PID]],0))</f>
        <v/>
      </c>
      <c r="BB436" s="47" t="str">
        <f>INDEX(Table5[[#All],[Team]],MATCH(Batters[[#This Row],[PID]],Table5[[#All],[PID]],0))</f>
        <v/>
      </c>
    </row>
    <row r="437" spans="1:54" ht="15" customHeight="1" x14ac:dyDescent="0.25">
      <c r="A437" s="42">
        <v>15658</v>
      </c>
      <c r="B437" s="42" t="s">
        <v>87</v>
      </c>
      <c r="C437" s="42" t="s">
        <v>1230</v>
      </c>
      <c r="D437" s="42" t="s">
        <v>976</v>
      </c>
      <c r="E437" s="42">
        <v>18</v>
      </c>
      <c r="F437" s="42" t="s">
        <v>42</v>
      </c>
      <c r="G437" s="42" t="s">
        <v>42</v>
      </c>
      <c r="H437" s="43" t="s">
        <v>721</v>
      </c>
      <c r="I437" s="44" t="s">
        <v>43</v>
      </c>
      <c r="J437" s="42" t="s">
        <v>43</v>
      </c>
      <c r="K437" s="43" t="s">
        <v>43</v>
      </c>
      <c r="L437" s="42">
        <v>1</v>
      </c>
      <c r="M437" s="42">
        <v>1</v>
      </c>
      <c r="N437" s="42">
        <v>2</v>
      </c>
      <c r="O437" s="42">
        <v>1</v>
      </c>
      <c r="P437" s="43">
        <v>1</v>
      </c>
      <c r="Q437" s="42">
        <v>3</v>
      </c>
      <c r="R437" s="42">
        <v>2</v>
      </c>
      <c r="S437" s="42">
        <v>2</v>
      </c>
      <c r="T437" s="42">
        <v>1</v>
      </c>
      <c r="U437" s="43">
        <v>3</v>
      </c>
      <c r="V437" s="42">
        <v>5</v>
      </c>
      <c r="W437" s="42">
        <v>2</v>
      </c>
      <c r="X437" s="42">
        <v>1</v>
      </c>
      <c r="Y437" s="43">
        <v>1</v>
      </c>
      <c r="Z437" s="42" t="s">
        <v>45</v>
      </c>
      <c r="AA437" s="42">
        <v>2</v>
      </c>
      <c r="AB437" s="42" t="s">
        <v>45</v>
      </c>
      <c r="AC437" s="42" t="s">
        <v>45</v>
      </c>
      <c r="AD437" s="42" t="s">
        <v>45</v>
      </c>
      <c r="AE437" s="42" t="s">
        <v>45</v>
      </c>
      <c r="AF437" s="42" t="s">
        <v>45</v>
      </c>
      <c r="AG437" s="43" t="s">
        <v>45</v>
      </c>
      <c r="AH437" s="42">
        <v>7</v>
      </c>
      <c r="AI437" s="42">
        <v>5</v>
      </c>
      <c r="AJ437" s="43">
        <v>3</v>
      </c>
      <c r="AK437" s="45" t="s">
        <v>718</v>
      </c>
      <c r="AL437" s="45" t="s">
        <v>47</v>
      </c>
      <c r="AM437" s="46">
        <f>($L$3*(L437-$Q$1)/$Q$2+$M$3*(M437-$R$1)/$R$2+$N$3*(N437-$S$1)/$S$2+$O$3*(O437-$T$1)/$T$2+$P$3*(P437-$U$1)/$U$2)/(SUM($L$3:$P$3))</f>
        <v>-2.0012818558036707</v>
      </c>
      <c r="AN437" s="46">
        <f>($L$3*(Q437-$Q$1)/$Q$2+$M$3*(R437-$R$1)/$R$2+$N$3*(S437-$S$1)/$S$2+$O$3*(T437-$T$1)/$T$2+$P$3*(U437-$U$1)/$U$2)/(SUM($L$3:$P$3))</f>
        <v>-1.2250776241454506</v>
      </c>
      <c r="AO437" s="47">
        <f>IF(AVERAGE(AH437:AI437)&gt;9,1,0)+IF(AVERAGE(AH437:AI437)&gt;7,1,0)+IF(AH437&gt;7,1,0)+IF(AI437&gt;7,1,0)+IF(AJ437&gt;8,1,0)+IF(AJ437&gt;6,1,0)</f>
        <v>0</v>
      </c>
      <c r="AP437" s="48">
        <f>MIN(2,IF(OR(Z437="-",X437&lt;5),0,1+IF(Y437&gt;7,0.35,IF(Y437&gt;5,0.1,0))+IF(Z437&gt;7,1+IF(X437&gt;7,0.25,0),IF(Z437&gt;4,0.5+IF(X437&gt;7,0.25,0),0+IF(X437&gt;7,0.25))))+IF(AA437="-",0,IF(AA437&gt;9,0.5,IF(AA437&gt;7,0.25,0)))+IF(AB437="-",0,IF(AB437&gt;7,1.1,IF(AB437&gt;4,0.6,0)))+IF(OR(AC437="-",V437&lt;5),0,IF(AC437&gt;7,1+IF(V437&gt;7,0.25,0),IF(AC437&gt;4,0.5+IF(V437&gt;7,0.25,0),0)))+IF(AD437="-",0,IF(AD437&gt;7,1.5,IF(AD437&gt;4,1,0)))+IF(AE437="-",0,IF(AE437&gt;9,0.5,IF(AE437&gt;7,0.25,0)))+IF(AF437="-",0,IF(AF437&gt;7,1.25,IF(AF437&gt;4,0.75,0)))+IF(OR(AG437="-",W437&lt;4),0,IF(AG437&gt;7,1+IF(W437&gt;7,0.15,0),IF(AG437&gt;4,0.5+IF(W437&gt;7,0.15,0),0))))</f>
        <v>0</v>
      </c>
      <c r="AQ437" s="46">
        <f>($AM$3*AM437+$AN$3*AN437+$AO$3*AO437+$AP$3*AP437)+$I$3*VLOOKUP(I437,COND!$A$2:$E$7,4,FALSE)+$J$3*VLOOKUP(J437,COND!$A$2:$C$7,2,FALSE)+$K$3*VLOOKUP(K437,COND!$A$2:$C$7,3,FALSE)+IF(AND($B$2&gt;0,$E437&lt;20),$B$2*25,0)</f>
        <v>35.098940324674224</v>
      </c>
      <c r="AR437" s="49">
        <f>STANDARDIZE(AQ437,AVERAGE($AQ$5:$AQ$537),STDEVP($AQ$5:$AQ$537))</f>
        <v>-0.92358068405559623</v>
      </c>
      <c r="AS437" s="47" t="str">
        <f>IF(AND(Z437&lt;&gt;"-",Y437&gt;1),"C",IF(AB437=MAX(AB437:AD437),"2B",IF(AD437=MAX(AB437:AD437),"SS",IF(OR(AC437=MAX(AA437:AD437),AND(AC437&lt;&gt;"-",AC437&gt;4,V437&gt;5)),"3B",IF(AF437=MAX(AE437:AG437),"CF",IF(AND(AG437=MAX(AE437,AG437),AND(W437&gt;5,AG437&lt;&gt;"-")),"RF",IF(AE437&lt;&gt;"-","LF",IF(AA437&lt;&gt;"-","1B","DH"))))))))</f>
        <v>1B</v>
      </c>
      <c r="AT437" s="47"/>
      <c r="AU437" s="47"/>
      <c r="AV437" s="47"/>
      <c r="AW437" s="47" t="str">
        <f>IF(AND($Q437&gt;=6,AVERAGE($S437:$T437)&gt;=6),"Likely",IF(OR($Q437&gt;6,AND($Q437=6,AVERAGE($S437:$T437)&gt;=3),AND($Q437&gt;=5,AVERAGE($S437:$T437)&gt;=5),AVERAGE($Q437,$S437:$T437)&gt;5),"Possible","Unlikely"))</f>
        <v>Unlikely</v>
      </c>
      <c r="AX437" s="47"/>
      <c r="AY437" s="47" t="str">
        <f>INDEX(Table5[[#All],[Ovr]],MATCH(Batters[[#This Row],[PID]],Table5[[#All],[PID]],0))</f>
        <v/>
      </c>
      <c r="AZ437" s="47" t="str">
        <f>INDEX(Table5[[#All],[Rnd]],MATCH(Batters[[#This Row],[PID]],Table5[[#All],[PID]],0))</f>
        <v/>
      </c>
      <c r="BA437" s="47" t="str">
        <f>INDEX(Table5[[#All],[Pick]],MATCH(Batters[[#This Row],[PID]],Table5[[#All],[PID]],0))</f>
        <v/>
      </c>
      <c r="BB437" s="47" t="str">
        <f>INDEX(Table5[[#All],[Team]],MATCH(Batters[[#This Row],[PID]],Table5[[#All],[PID]],0))</f>
        <v/>
      </c>
    </row>
    <row r="438" spans="1:54" ht="15" customHeight="1" x14ac:dyDescent="0.25">
      <c r="A438" s="42">
        <v>9346</v>
      </c>
      <c r="B438" s="42" t="s">
        <v>87</v>
      </c>
      <c r="C438" s="42" t="s">
        <v>173</v>
      </c>
      <c r="D438" s="42" t="s">
        <v>1111</v>
      </c>
      <c r="E438" s="42">
        <v>21</v>
      </c>
      <c r="F438" s="42" t="s">
        <v>53</v>
      </c>
      <c r="G438" s="42" t="s">
        <v>53</v>
      </c>
      <c r="H438" s="43" t="s">
        <v>711</v>
      </c>
      <c r="I438" s="44" t="s">
        <v>43</v>
      </c>
      <c r="J438" s="42" t="s">
        <v>44</v>
      </c>
      <c r="K438" s="43" t="s">
        <v>43</v>
      </c>
      <c r="L438" s="42">
        <v>3</v>
      </c>
      <c r="M438" s="42">
        <v>2</v>
      </c>
      <c r="N438" s="42">
        <v>2</v>
      </c>
      <c r="O438" s="42">
        <v>1</v>
      </c>
      <c r="P438" s="43">
        <v>2</v>
      </c>
      <c r="Q438" s="42">
        <v>4</v>
      </c>
      <c r="R438" s="42">
        <v>2</v>
      </c>
      <c r="S438" s="42">
        <v>2</v>
      </c>
      <c r="T438" s="42">
        <v>2</v>
      </c>
      <c r="U438" s="43">
        <v>5</v>
      </c>
      <c r="V438" s="42">
        <v>8</v>
      </c>
      <c r="W438" s="42">
        <v>6</v>
      </c>
      <c r="X438" s="42">
        <v>1</v>
      </c>
      <c r="Y438" s="43">
        <v>1</v>
      </c>
      <c r="Z438" s="42" t="s">
        <v>45</v>
      </c>
      <c r="AA438" s="42">
        <v>2</v>
      </c>
      <c r="AB438" s="42" t="s">
        <v>45</v>
      </c>
      <c r="AC438" s="42" t="s">
        <v>45</v>
      </c>
      <c r="AD438" s="42" t="s">
        <v>45</v>
      </c>
      <c r="AE438" s="42" t="s">
        <v>45</v>
      </c>
      <c r="AF438" s="42" t="s">
        <v>45</v>
      </c>
      <c r="AG438" s="43" t="s">
        <v>45</v>
      </c>
      <c r="AH438" s="42">
        <v>1</v>
      </c>
      <c r="AI438" s="42">
        <v>1</v>
      </c>
      <c r="AJ438" s="43">
        <v>1</v>
      </c>
      <c r="AK438" s="45" t="s">
        <v>717</v>
      </c>
      <c r="AL438" s="45" t="s">
        <v>47</v>
      </c>
      <c r="AM438" s="46">
        <f>($L$3*(L438-$Q$1)/$Q$2+$M$3*(M438-$R$1)/$R$2+$N$3*(N438-$S$1)/$S$2+$O$3*(O438-$T$1)/$T$2+$P$3*(P438-$U$1)/$U$2)/(SUM($L$3:$P$3))</f>
        <v>-1.265093963962534</v>
      </c>
      <c r="AN438" s="46">
        <f>($L$3*(Q438-$Q$1)/$Q$2+$M$3*(R438-$R$1)/$R$2+$N$3*(S438-$S$1)/$S$2+$O$3*(T438-$T$1)/$T$2+$P$3*(U438-$U$1)/$U$2)/(SUM($L$3:$P$3))</f>
        <v>-0.73277955829902797</v>
      </c>
      <c r="AO438" s="47">
        <f>IF(AVERAGE(AH438:AI438)&gt;9,1,0)+IF(AVERAGE(AH438:AI438)&gt;7,1,0)+IF(AH438&gt;7,1,0)+IF(AI438&gt;7,1,0)+IF(AJ438&gt;8,1,0)+IF(AJ438&gt;6,1,0)</f>
        <v>0</v>
      </c>
      <c r="AP438" s="48">
        <f>MIN(2,IF(OR(Z438="-",X438&lt;5),0,1+IF(Y438&gt;7,0.35,IF(Y438&gt;5,0.1,0))+IF(Z438&gt;7,1+IF(X438&gt;7,0.25,0),IF(Z438&gt;4,0.5+IF(X438&gt;7,0.25,0),0+IF(X438&gt;7,0.25))))+IF(AA438="-",0,IF(AA438&gt;9,0.5,IF(AA438&gt;7,0.25,0)))+IF(AB438="-",0,IF(AB438&gt;7,1.1,IF(AB438&gt;4,0.6,0)))+IF(OR(AC438="-",V438&lt;5),0,IF(AC438&gt;7,1+IF(V438&gt;7,0.25,0),IF(AC438&gt;4,0.5+IF(V438&gt;7,0.25,0),0)))+IF(AD438="-",0,IF(AD438&gt;7,1.5,IF(AD438&gt;4,1,0)))+IF(AE438="-",0,IF(AE438&gt;9,0.5,IF(AE438&gt;7,0.25,0)))+IF(AF438="-",0,IF(AF438&gt;7,1.25,IF(AF438&gt;4,0.75,0)))+IF(OR(AG438="-",W438&lt;4),0,IF(AG438&gt;7,1+IF(W438&gt;7,0.15,0),IF(AG438&gt;4,0.5+IF(W438&gt;7,0.15,0),0))))</f>
        <v>0</v>
      </c>
      <c r="AQ438" s="46">
        <f>($AM$3*AM438+$AN$3*AN438+$AO$3*AO438+$AP$3*AP438)+$I$3*VLOOKUP(I438,COND!$A$2:$E$7,4,FALSE)+$J$3*VLOOKUP(J438,COND!$A$2:$C$7,2,FALSE)+$K$3*VLOOKUP(K438,COND!$A$2:$C$7,3,FALSE)+IF(AND($B$2&gt;0,$E438&lt;20),$B$2*25,0)</f>
        <v>35.78013590401541</v>
      </c>
      <c r="AR438" s="49">
        <f>STANDARDIZE(AQ438,AVERAGE($AQ$5:$AQ$537),STDEVP($AQ$5:$AQ$537))</f>
        <v>-0.80372884930299437</v>
      </c>
      <c r="AS438" s="47" t="str">
        <f>IF(AND(Z438&lt;&gt;"-",Y438&gt;1),"C",IF(AB438=MAX(AB438:AD438),"2B",IF(AD438=MAX(AB438:AD438),"SS",IF(OR(AC438=MAX(AA438:AD438),AND(AC438&lt;&gt;"-",AC438&gt;4,V438&gt;5)),"3B",IF(AF438=MAX(AE438:AG438),"CF",IF(AND(AG438=MAX(AE438,AG438),AND(W438&gt;5,AG438&lt;&gt;"-")),"RF",IF(AE438&lt;&gt;"-","LF",IF(AA438&lt;&gt;"-","1B","DH"))))))))</f>
        <v>1B</v>
      </c>
      <c r="AT438" s="47"/>
      <c r="AU438" s="47"/>
      <c r="AV438" s="47"/>
      <c r="AW438" s="47" t="str">
        <f>IF(AND($Q438&gt;=6,AVERAGE($S438:$T438)&gt;=6),"Likely",IF(OR($Q438&gt;6,AND($Q438=6,AVERAGE($S438:$T438)&gt;=3),AND($Q438&gt;=5,AVERAGE($S438:$T438)&gt;=5),AVERAGE($Q438,$S438:$T438)&gt;5),"Possible","Unlikely"))</f>
        <v>Unlikely</v>
      </c>
      <c r="AX438" s="47"/>
      <c r="AY438" s="47" t="str">
        <f>INDEX(Table5[[#All],[Ovr]],MATCH(Batters[[#This Row],[PID]],Table5[[#All],[PID]],0))</f>
        <v/>
      </c>
      <c r="AZ438" s="47" t="str">
        <f>INDEX(Table5[[#All],[Rnd]],MATCH(Batters[[#This Row],[PID]],Table5[[#All],[PID]],0))</f>
        <v/>
      </c>
      <c r="BA438" s="47" t="str">
        <f>INDEX(Table5[[#All],[Pick]],MATCH(Batters[[#This Row],[PID]],Table5[[#All],[PID]],0))</f>
        <v/>
      </c>
      <c r="BB438" s="47" t="str">
        <f>INDEX(Table5[[#All],[Team]],MATCH(Batters[[#This Row],[PID]],Table5[[#All],[PID]],0))</f>
        <v/>
      </c>
    </row>
    <row r="439" spans="1:54" ht="15" customHeight="1" x14ac:dyDescent="0.25">
      <c r="A439" s="42">
        <v>7449</v>
      </c>
      <c r="B439" s="42" t="s">
        <v>50</v>
      </c>
      <c r="C439" s="42" t="s">
        <v>1361</v>
      </c>
      <c r="D439" s="42" t="s">
        <v>1362</v>
      </c>
      <c r="E439" s="42">
        <v>18</v>
      </c>
      <c r="F439" s="42" t="s">
        <v>62</v>
      </c>
      <c r="G439" s="42" t="s">
        <v>42</v>
      </c>
      <c r="H439" s="43" t="s">
        <v>721</v>
      </c>
      <c r="I439" s="44" t="s">
        <v>43</v>
      </c>
      <c r="J439" s="42" t="s">
        <v>44</v>
      </c>
      <c r="K439" s="43" t="s">
        <v>43</v>
      </c>
      <c r="L439" s="42">
        <v>1</v>
      </c>
      <c r="M439" s="42">
        <v>1</v>
      </c>
      <c r="N439" s="42">
        <v>2</v>
      </c>
      <c r="O439" s="42">
        <v>1</v>
      </c>
      <c r="P439" s="43">
        <v>1</v>
      </c>
      <c r="Q439" s="42">
        <v>2</v>
      </c>
      <c r="R439" s="42">
        <v>3</v>
      </c>
      <c r="S439" s="42">
        <v>3</v>
      </c>
      <c r="T439" s="42">
        <v>4</v>
      </c>
      <c r="U439" s="43">
        <v>3</v>
      </c>
      <c r="V439" s="42">
        <v>4</v>
      </c>
      <c r="W439" s="42">
        <v>6</v>
      </c>
      <c r="X439" s="42">
        <v>1</v>
      </c>
      <c r="Y439" s="43">
        <v>1</v>
      </c>
      <c r="Z439" s="42" t="s">
        <v>45</v>
      </c>
      <c r="AA439" s="42" t="s">
        <v>45</v>
      </c>
      <c r="AB439" s="42" t="s">
        <v>45</v>
      </c>
      <c r="AC439" s="42" t="s">
        <v>45</v>
      </c>
      <c r="AD439" s="42" t="s">
        <v>45</v>
      </c>
      <c r="AE439" s="42">
        <v>1</v>
      </c>
      <c r="AF439" s="42" t="s">
        <v>45</v>
      </c>
      <c r="AG439" s="43" t="s">
        <v>45</v>
      </c>
      <c r="AH439" s="42">
        <v>1</v>
      </c>
      <c r="AI439" s="42">
        <v>7</v>
      </c>
      <c r="AJ439" s="43">
        <v>5</v>
      </c>
      <c r="AK439" s="45" t="s">
        <v>718</v>
      </c>
      <c r="AL439" s="45" t="s">
        <v>705</v>
      </c>
      <c r="AM439" s="46">
        <f>($L$3*(L439-$Q$1)/$Q$2+$M$3*(M439-$R$1)/$R$2+$N$3*(N439-$S$1)/$S$2+$O$3*(O439-$T$1)/$T$2+$P$3*(P439-$U$1)/$U$2)/(SUM($L$3:$P$3))</f>
        <v>-2.0012818558036707</v>
      </c>
      <c r="AN439" s="46">
        <f>($L$3*(Q439-$Q$1)/$Q$2+$M$3*(R439-$R$1)/$R$2+$N$3*(S439-$S$1)/$S$2+$O$3*(T439-$T$1)/$T$2+$P$3*(U439-$U$1)/$U$2)/(SUM($L$3:$P$3))</f>
        <v>-1.1443834366767773</v>
      </c>
      <c r="AO439" s="47">
        <f>IF(AVERAGE(AH439:AI439)&gt;9,1,0)+IF(AVERAGE(AH439:AI439)&gt;7,1,0)+IF(AH439&gt;7,1,0)+IF(AI439&gt;7,1,0)+IF(AJ439&gt;8,1,0)+IF(AJ439&gt;6,1,0)</f>
        <v>0</v>
      </c>
      <c r="AP439" s="48">
        <f>MIN(2,IF(OR(Z439="-",X439&lt;5),0,1+IF(Y439&gt;7,0.35,IF(Y439&gt;5,0.1,0))+IF(Z439&gt;7,1+IF(X439&gt;7,0.25,0),IF(Z439&gt;4,0.5+IF(X439&gt;7,0.25,0),0+IF(X439&gt;7,0.25))))+IF(AA439="-",0,IF(AA439&gt;9,0.5,IF(AA439&gt;7,0.25,0)))+IF(AB439="-",0,IF(AB439&gt;7,1.1,IF(AB439&gt;4,0.6,0)))+IF(OR(AC439="-",V439&lt;5),0,IF(AC439&gt;7,1+IF(V439&gt;7,0.25,0),IF(AC439&gt;4,0.5+IF(V439&gt;7,0.25,0),0)))+IF(AD439="-",0,IF(AD439&gt;7,1.5,IF(AD439&gt;4,1,0)))+IF(AE439="-",0,IF(AE439&gt;9,0.5,IF(AE439&gt;7,0.25,0)))+IF(AF439="-",0,IF(AF439&gt;7,1.25,IF(AF439&gt;4,0.75,0)))+IF(OR(AG439="-",W439&lt;4),0,IF(AG439&gt;7,1+IF(W439&gt;7,0.15,0),IF(AG439&gt;4,0.5+IF(W439&gt;7,0.15,0),0))))</f>
        <v>0</v>
      </c>
      <c r="AQ439" s="46">
        <f>($AM$3*AM439+$AN$3*AN439+$AO$3*AO439+$AP$3*AP439)+$I$3*VLOOKUP(I439,COND!$A$2:$E$7,4,FALSE)+$J$3*VLOOKUP(J439,COND!$A$2:$C$7,2,FALSE)+$K$3*VLOOKUP(K439,COND!$A$2:$C$7,3,FALSE)+IF(AND($B$2&gt;0,$E439&lt;20),$B$2*25,0)</f>
        <v>35.767270574298308</v>
      </c>
      <c r="AR439" s="49">
        <f>STANDARDIZE(AQ439,AVERAGE($AQ$5:$AQ$537),STDEVP($AQ$5:$AQ$537))</f>
        <v>-0.80599241855983395</v>
      </c>
      <c r="AS439" s="47" t="str">
        <f>IF(AND(Z439&lt;&gt;"-",Y439&gt;1),"C",IF(AB439=MAX(AB439:AD439),"2B",IF(AD439=MAX(AB439:AD439),"SS",IF(OR(AC439=MAX(AA439:AD439),AND(AC439&lt;&gt;"-",AC439&gt;4,V439&gt;5)),"3B",IF(AF439=MAX(AE439:AG439),"CF",IF(AND(AG439=MAX(AE439,AG439),AND(W439&gt;5,AG439&lt;&gt;"-")),"RF",IF(AE439&lt;&gt;"-","LF",IF(AA439&lt;&gt;"-","1B","DH"))))))))</f>
        <v>LF</v>
      </c>
      <c r="AT439" s="47"/>
      <c r="AU439" s="47"/>
      <c r="AV439" s="47"/>
      <c r="AW439" s="47" t="str">
        <f>IF(AND($Q439&gt;=6,AVERAGE($S439:$T439)&gt;=6),"Likely",IF(OR($Q439&gt;6,AND($Q439=6,AVERAGE($S439:$T439)&gt;=3),AND($Q439&gt;=5,AVERAGE($S439:$T439)&gt;=5),AVERAGE($Q439,$S439:$T439)&gt;5),"Possible","Unlikely"))</f>
        <v>Unlikely</v>
      </c>
      <c r="AX439" s="47"/>
      <c r="AY439" s="47" t="str">
        <f>INDEX(Table5[[#All],[Ovr]],MATCH(Batters[[#This Row],[PID]],Table5[[#All],[PID]],0))</f>
        <v/>
      </c>
      <c r="AZ439" s="47" t="str">
        <f>INDEX(Table5[[#All],[Rnd]],MATCH(Batters[[#This Row],[PID]],Table5[[#All],[PID]],0))</f>
        <v/>
      </c>
      <c r="BA439" s="47" t="str">
        <f>INDEX(Table5[[#All],[Pick]],MATCH(Batters[[#This Row],[PID]],Table5[[#All],[PID]],0))</f>
        <v/>
      </c>
      <c r="BB439" s="47" t="str">
        <f>INDEX(Table5[[#All],[Team]],MATCH(Batters[[#This Row],[PID]],Table5[[#All],[PID]],0))</f>
        <v/>
      </c>
    </row>
    <row r="440" spans="1:54" ht="15" customHeight="1" x14ac:dyDescent="0.25">
      <c r="A440" s="42">
        <v>6108</v>
      </c>
      <c r="B440" s="42" t="s">
        <v>86</v>
      </c>
      <c r="C440" s="42" t="s">
        <v>185</v>
      </c>
      <c r="D440" s="42" t="s">
        <v>1345</v>
      </c>
      <c r="E440" s="42">
        <v>18</v>
      </c>
      <c r="F440" s="42" t="s">
        <v>42</v>
      </c>
      <c r="G440" s="42" t="s">
        <v>42</v>
      </c>
      <c r="H440" s="43" t="s">
        <v>721</v>
      </c>
      <c r="I440" s="44" t="s">
        <v>43</v>
      </c>
      <c r="J440" s="42" t="s">
        <v>43</v>
      </c>
      <c r="K440" s="43" t="s">
        <v>43</v>
      </c>
      <c r="L440" s="42">
        <v>1</v>
      </c>
      <c r="M440" s="42">
        <v>1</v>
      </c>
      <c r="N440" s="42">
        <v>2</v>
      </c>
      <c r="O440" s="42">
        <v>1</v>
      </c>
      <c r="P440" s="43">
        <v>1</v>
      </c>
      <c r="Q440" s="42">
        <v>2</v>
      </c>
      <c r="R440" s="42">
        <v>2</v>
      </c>
      <c r="S440" s="42">
        <v>2</v>
      </c>
      <c r="T440" s="42">
        <v>5</v>
      </c>
      <c r="U440" s="43">
        <v>2</v>
      </c>
      <c r="V440" s="42">
        <v>3</v>
      </c>
      <c r="W440" s="42">
        <v>3</v>
      </c>
      <c r="X440" s="42">
        <v>5</v>
      </c>
      <c r="Y440" s="43">
        <v>6</v>
      </c>
      <c r="Z440" s="42" t="s">
        <v>45</v>
      </c>
      <c r="AA440" s="42" t="s">
        <v>45</v>
      </c>
      <c r="AB440" s="42" t="s">
        <v>45</v>
      </c>
      <c r="AC440" s="42" t="s">
        <v>45</v>
      </c>
      <c r="AD440" s="42" t="s">
        <v>45</v>
      </c>
      <c r="AE440" s="42" t="s">
        <v>45</v>
      </c>
      <c r="AF440" s="42" t="s">
        <v>45</v>
      </c>
      <c r="AG440" s="43" t="s">
        <v>45</v>
      </c>
      <c r="AH440" s="42">
        <v>1</v>
      </c>
      <c r="AI440" s="42">
        <v>1</v>
      </c>
      <c r="AJ440" s="43">
        <v>1</v>
      </c>
      <c r="AK440" s="45" t="s">
        <v>718</v>
      </c>
      <c r="AL440" s="45" t="s">
        <v>47</v>
      </c>
      <c r="AM440" s="46">
        <f>($L$3*(L440-$Q$1)/$Q$2+$M$3*(M440-$R$1)/$R$2+$N$3*(N440-$S$1)/$S$2+$O$3*(O440-$T$1)/$T$2+$P$3*(P440-$U$1)/$U$2)/(SUM($L$3:$P$3))</f>
        <v>-2.0012818558036707</v>
      </c>
      <c r="AN440" s="46">
        <f>($L$3*(Q440-$Q$1)/$Q$2+$M$3*(R440-$R$1)/$R$2+$N$3*(S440-$S$1)/$S$2+$O$3*(T440-$T$1)/$T$2+$P$3*(U440-$U$1)/$U$2)/(SUM($L$3:$P$3))</f>
        <v>-1.2288116001268847</v>
      </c>
      <c r="AO440" s="47">
        <f>IF(AVERAGE(AH440:AI440)&gt;9,1,0)+IF(AVERAGE(AH440:AI440)&gt;7,1,0)+IF(AH440&gt;7,1,0)+IF(AI440&gt;7,1,0)+IF(AJ440&gt;8,1,0)+IF(AJ440&gt;6,1,0)</f>
        <v>0</v>
      </c>
      <c r="AP440" s="48">
        <f>MIN(2,IF(OR(Z440="-",X440&lt;5),0,1+IF(Y440&gt;7,0.35,IF(Y440&gt;5,0.1,0))+IF(Z440&gt;7,1+IF(X440&gt;7,0.25,0),IF(Z440&gt;4,0.5+IF(X440&gt;7,0.25,0),0+IF(X440&gt;7,0.25))))+IF(AA440="-",0,IF(AA440&gt;9,0.5,IF(AA440&gt;7,0.25,0)))+IF(AB440="-",0,IF(AB440&gt;7,1.1,IF(AB440&gt;4,0.6,0)))+IF(OR(AC440="-",V440&lt;5),0,IF(AC440&gt;7,1+IF(V440&gt;7,0.25,0),IF(AC440&gt;4,0.5+IF(V440&gt;7,0.25,0),0)))+IF(AD440="-",0,IF(AD440&gt;7,1.5,IF(AD440&gt;4,1,0)))+IF(AE440="-",0,IF(AE440&gt;9,0.5,IF(AE440&gt;7,0.25,0)))+IF(AF440="-",0,IF(AF440&gt;7,1.25,IF(AF440&gt;4,0.75,0)))+IF(OR(AG440="-",W440&lt;4),0,IF(AG440&gt;7,1+IF(W440&gt;7,0.15,0),IF(AG440&gt;4,0.5+IF(W440&gt;7,0.15,0),0))))</f>
        <v>0</v>
      </c>
      <c r="AQ440" s="46">
        <f>($AM$3*AM440+$AN$3*AN440+$AO$3*AO440+$AP$3*AP440)+$I$3*VLOOKUP(I440,COND!$A$2:$E$7,4,FALSE)+$J$3*VLOOKUP(J440,COND!$A$2:$C$7,2,FALSE)+$K$3*VLOOKUP(K440,COND!$A$2:$C$7,3,FALSE)+IF(AND($B$2&gt;0,$E440&lt;20),$B$2*25,0)</f>
        <v>35.054132612897014</v>
      </c>
      <c r="AR440" s="49">
        <f>STANDARDIZE(AQ440,AVERAGE($AQ$5:$AQ$537),STDEVP($AQ$5:$AQ$537))</f>
        <v>-0.93146430313715023</v>
      </c>
      <c r="AS440" s="47" t="str">
        <f>IF(AND(Z440&lt;&gt;"-",Y440&gt;1),"C",IF(AB440=MAX(AB440:AD440),"2B",IF(AD440=MAX(AB440:AD440),"SS",IF(OR(AC440=MAX(AA440:AD440),AND(AC440&lt;&gt;"-",AC440&gt;4,V440&gt;5)),"3B",IF(AF440=MAX(AE440:AG440),"CF",IF(AND(AG440=MAX(AE440,AG440),AND(W440&gt;5,AG440&lt;&gt;"-")),"RF",IF(AE440&lt;&gt;"-","LF",IF(AA440&lt;&gt;"-","1B","DH"))))))))</f>
        <v>DH</v>
      </c>
      <c r="AT440" s="47"/>
      <c r="AU440" s="47"/>
      <c r="AV440" s="47"/>
      <c r="AW440" s="47" t="str">
        <f>IF(AND($Q440&gt;=6,AVERAGE($S440:$T440)&gt;=6),"Likely",IF(OR($Q440&gt;6,AND($Q440=6,AVERAGE($S440:$T440)&gt;=3),AND($Q440&gt;=5,AVERAGE($S440:$T440)&gt;=5),AVERAGE($Q440,$S440:$T440)&gt;5),"Possible","Unlikely"))</f>
        <v>Unlikely</v>
      </c>
      <c r="AX440" s="47"/>
      <c r="AY440" s="47" t="str">
        <f>INDEX(Table5[[#All],[Ovr]],MATCH(Batters[[#This Row],[PID]],Table5[[#All],[PID]],0))</f>
        <v/>
      </c>
      <c r="AZ440" s="47" t="str">
        <f>INDEX(Table5[[#All],[Rnd]],MATCH(Batters[[#This Row],[PID]],Table5[[#All],[PID]],0))</f>
        <v/>
      </c>
      <c r="BA440" s="47" t="str">
        <f>INDEX(Table5[[#All],[Pick]],MATCH(Batters[[#This Row],[PID]],Table5[[#All],[PID]],0))</f>
        <v/>
      </c>
      <c r="BB440" s="47" t="str">
        <f>INDEX(Table5[[#All],[Team]],MATCH(Batters[[#This Row],[PID]],Table5[[#All],[PID]],0))</f>
        <v/>
      </c>
    </row>
    <row r="441" spans="1:54" ht="15" customHeight="1" x14ac:dyDescent="0.25">
      <c r="A441" s="42">
        <v>15080</v>
      </c>
      <c r="B441" s="42" t="s">
        <v>50</v>
      </c>
      <c r="C441" s="42" t="s">
        <v>1210</v>
      </c>
      <c r="D441" s="42" t="s">
        <v>1211</v>
      </c>
      <c r="E441" s="42">
        <v>21</v>
      </c>
      <c r="F441" s="42" t="s">
        <v>42</v>
      </c>
      <c r="G441" s="42" t="s">
        <v>42</v>
      </c>
      <c r="H441" s="43" t="s">
        <v>711</v>
      </c>
      <c r="I441" s="44" t="s">
        <v>43</v>
      </c>
      <c r="J441" s="42" t="s">
        <v>44</v>
      </c>
      <c r="K441" s="43" t="s">
        <v>47</v>
      </c>
      <c r="L441" s="42">
        <v>1</v>
      </c>
      <c r="M441" s="42">
        <v>2</v>
      </c>
      <c r="N441" s="42">
        <v>2</v>
      </c>
      <c r="O441" s="42">
        <v>2</v>
      </c>
      <c r="P441" s="43">
        <v>2</v>
      </c>
      <c r="Q441" s="42">
        <v>3</v>
      </c>
      <c r="R441" s="42">
        <v>4</v>
      </c>
      <c r="S441" s="42">
        <v>2</v>
      </c>
      <c r="T441" s="42">
        <v>4</v>
      </c>
      <c r="U441" s="43">
        <v>4</v>
      </c>
      <c r="V441" s="42">
        <v>1</v>
      </c>
      <c r="W441" s="42">
        <v>4</v>
      </c>
      <c r="X441" s="42">
        <v>1</v>
      </c>
      <c r="Y441" s="43">
        <v>1</v>
      </c>
      <c r="Z441" s="42" t="s">
        <v>45</v>
      </c>
      <c r="AA441" s="42" t="s">
        <v>45</v>
      </c>
      <c r="AB441" s="42" t="s">
        <v>45</v>
      </c>
      <c r="AC441" s="42" t="s">
        <v>45</v>
      </c>
      <c r="AD441" s="42" t="s">
        <v>45</v>
      </c>
      <c r="AE441" s="42">
        <v>4</v>
      </c>
      <c r="AF441" s="42" t="s">
        <v>45</v>
      </c>
      <c r="AG441" s="43" t="s">
        <v>45</v>
      </c>
      <c r="AH441" s="42">
        <v>4</v>
      </c>
      <c r="AI441" s="42">
        <v>2</v>
      </c>
      <c r="AJ441" s="43">
        <v>2</v>
      </c>
      <c r="AK441" s="45" t="s">
        <v>45</v>
      </c>
      <c r="AL441" s="45" t="s">
        <v>47</v>
      </c>
      <c r="AM441" s="46">
        <f>($L$3*(L441-$Q$1)/$Q$2+$M$3*(M441-$R$1)/$R$2+$N$3*(N441-$S$1)/$S$2+$O$3*(O441-$T$1)/$T$2+$P$3*(P441-$U$1)/$U$2)/(SUM($L$3:$P$3))</f>
        <v>-1.8204960863583022</v>
      </c>
      <c r="AN441" s="46">
        <f>($L$3*(Q441-$Q$1)/$Q$2+$M$3*(R441-$R$1)/$R$2+$N$3*(S441-$S$1)/$S$2+$O$3*(T441-$T$1)/$T$2+$P$3*(U441-$U$1)/$U$2)/(SUM($L$3:$P$3))</f>
        <v>-0.813812875062217</v>
      </c>
      <c r="AO441" s="47">
        <f>IF(AVERAGE(AH441:AI441)&gt;9,1,0)+IF(AVERAGE(AH441:AI441)&gt;7,1,0)+IF(AH441&gt;7,1,0)+IF(AI441&gt;7,1,0)+IF(AJ441&gt;8,1,0)+IF(AJ441&gt;6,1,0)</f>
        <v>0</v>
      </c>
      <c r="AP441" s="48">
        <f>MIN(2,IF(OR(Z441="-",X441&lt;5),0,1+IF(Y441&gt;7,0.35,IF(Y441&gt;5,0.1,0))+IF(Z441&gt;7,1+IF(X441&gt;7,0.25,0),IF(Z441&gt;4,0.5+IF(X441&gt;7,0.25,0),0+IF(X441&gt;7,0.25))))+IF(AA441="-",0,IF(AA441&gt;9,0.5,IF(AA441&gt;7,0.25,0)))+IF(AB441="-",0,IF(AB441&gt;7,1.1,IF(AB441&gt;4,0.6,0)))+IF(OR(AC441="-",V441&lt;5),0,IF(AC441&gt;7,1+IF(V441&gt;7,0.25,0),IF(AC441&gt;4,0.5+IF(V441&gt;7,0.25,0),0)))+IF(AD441="-",0,IF(AD441&gt;7,1.5,IF(AD441&gt;4,1,0)))+IF(AE441="-",0,IF(AE441&gt;9,0.5,IF(AE441&gt;7,0.25,0)))+IF(AF441="-",0,IF(AF441&gt;7,1.25,IF(AF441&gt;4,0.75,0)))+IF(OR(AG441="-",W441&lt;4),0,IF(AG441&gt;7,1+IF(W441&gt;7,0.15,0),IF(AG441&gt;4,0.5+IF(W441&gt;7,0.15,0),0))))</f>
        <v>0</v>
      </c>
      <c r="AQ441" s="46">
        <f>($AM$3*AM441+$AN$3*AN441+$AO$3*AO441+$AP$3*AP441)+$I$3*VLOOKUP(I441,COND!$A$2:$E$7,4,FALSE)+$J$3*VLOOKUP(J441,COND!$A$2:$C$7,2,FALSE)+$K$3*VLOOKUP(K441,COND!$A$2:$C$7,3,FALSE)+IF(AND($B$2&gt;0,$E441&lt;20),$B$2*25,0)</f>
        <v>35.052195890617568</v>
      </c>
      <c r="AR441" s="49">
        <f>STANDARDIZE(AQ441,AVERAGE($AQ$5:$AQ$537),STDEVP($AQ$5:$AQ$537))</f>
        <v>-0.93180505655017487</v>
      </c>
      <c r="AS441" s="47" t="str">
        <f>IF(AND(Z441&lt;&gt;"-",Y441&gt;1),"C",IF(AB441=MAX(AB441:AD441),"2B",IF(AD441=MAX(AB441:AD441),"SS",IF(OR(AC441=MAX(AA441:AD441),AND(AC441&lt;&gt;"-",AC441&gt;4,V441&gt;5)),"3B",IF(AF441=MAX(AE441:AG441),"CF",IF(AND(AG441=MAX(AE441,AG441),AND(W441&gt;5,AG441&lt;&gt;"-")),"RF",IF(AE441&lt;&gt;"-","LF",IF(AA441&lt;&gt;"-","1B","DH"))))))))</f>
        <v>LF</v>
      </c>
      <c r="AT441" s="47"/>
      <c r="AU441" s="47"/>
      <c r="AV441" s="47"/>
      <c r="AW441" s="47" t="str">
        <f>IF(AND($Q441&gt;=6,AVERAGE($S441:$T441)&gt;=6),"Likely",IF(OR($Q441&gt;6,AND($Q441=6,AVERAGE($S441:$T441)&gt;=3),AND($Q441&gt;=5,AVERAGE($S441:$T441)&gt;=5),AVERAGE($Q441,$S441:$T441)&gt;5),"Possible","Unlikely"))</f>
        <v>Unlikely</v>
      </c>
      <c r="AX441" s="47"/>
      <c r="AY441" s="47" t="str">
        <f>INDEX(Table5[[#All],[Ovr]],MATCH(Batters[[#This Row],[PID]],Table5[[#All],[PID]],0))</f>
        <v/>
      </c>
      <c r="AZ441" s="47" t="str">
        <f>INDEX(Table5[[#All],[Rnd]],MATCH(Batters[[#This Row],[PID]],Table5[[#All],[PID]],0))</f>
        <v/>
      </c>
      <c r="BA441" s="47" t="str">
        <f>INDEX(Table5[[#All],[Pick]],MATCH(Batters[[#This Row],[PID]],Table5[[#All],[PID]],0))</f>
        <v/>
      </c>
      <c r="BB441" s="47" t="str">
        <f>INDEX(Table5[[#All],[Team]],MATCH(Batters[[#This Row],[PID]],Table5[[#All],[PID]],0))</f>
        <v/>
      </c>
    </row>
    <row r="442" spans="1:54" ht="15" customHeight="1" x14ac:dyDescent="0.25">
      <c r="A442" s="42">
        <v>12143</v>
      </c>
      <c r="B442" s="42" t="s">
        <v>87</v>
      </c>
      <c r="C442" s="42" t="s">
        <v>147</v>
      </c>
      <c r="D442" s="42" t="s">
        <v>837</v>
      </c>
      <c r="E442" s="42">
        <v>21</v>
      </c>
      <c r="F442" s="42" t="s">
        <v>53</v>
      </c>
      <c r="G442" s="42" t="s">
        <v>53</v>
      </c>
      <c r="H442" s="43" t="s">
        <v>721</v>
      </c>
      <c r="I442" s="44" t="s">
        <v>43</v>
      </c>
      <c r="J442" s="42" t="s">
        <v>43</v>
      </c>
      <c r="K442" s="43" t="s">
        <v>43</v>
      </c>
      <c r="L442" s="42">
        <v>1</v>
      </c>
      <c r="M442" s="42">
        <v>2</v>
      </c>
      <c r="N442" s="42">
        <v>2</v>
      </c>
      <c r="O442" s="42">
        <v>1</v>
      </c>
      <c r="P442" s="43">
        <v>1</v>
      </c>
      <c r="Q442" s="42">
        <v>3</v>
      </c>
      <c r="R442" s="42">
        <v>3</v>
      </c>
      <c r="S442" s="42">
        <v>4</v>
      </c>
      <c r="T442" s="42">
        <v>3</v>
      </c>
      <c r="U442" s="43">
        <v>3</v>
      </c>
      <c r="V442" s="42">
        <v>3</v>
      </c>
      <c r="W442" s="42">
        <v>5</v>
      </c>
      <c r="X442" s="42">
        <v>1</v>
      </c>
      <c r="Y442" s="43">
        <v>1</v>
      </c>
      <c r="Z442" s="42" t="s">
        <v>45</v>
      </c>
      <c r="AA442" s="42">
        <v>3</v>
      </c>
      <c r="AB442" s="42" t="s">
        <v>45</v>
      </c>
      <c r="AC442" s="42" t="s">
        <v>45</v>
      </c>
      <c r="AD442" s="42" t="s">
        <v>45</v>
      </c>
      <c r="AE442" s="42" t="s">
        <v>45</v>
      </c>
      <c r="AF442" s="42" t="s">
        <v>45</v>
      </c>
      <c r="AG442" s="43">
        <v>1</v>
      </c>
      <c r="AH442" s="42">
        <v>8</v>
      </c>
      <c r="AI442" s="42">
        <v>2</v>
      </c>
      <c r="AJ442" s="43">
        <v>1</v>
      </c>
      <c r="AK442" s="45" t="s">
        <v>45</v>
      </c>
      <c r="AL442" s="45" t="s">
        <v>705</v>
      </c>
      <c r="AM442" s="46">
        <f>($L$3*(L442-$Q$1)/$Q$2+$M$3*(M442-$R$1)/$R$2+$N$3*(N442-$S$1)/$S$2+$O$3*(O442-$T$1)/$T$2+$P$3*(P442-$U$1)/$U$2)/(SUM($L$3:$P$3))</f>
        <v>-1.9502219761849671</v>
      </c>
      <c r="AN442" s="46">
        <f>($L$3*(Q442-$Q$1)/$Q$2+$M$3*(R442-$R$1)/$R$2+$N$3*(S442-$S$1)/$S$2+$O$3*(T442-$T$1)/$T$2+$P$3*(U442-$U$1)/$U$2)/(SUM($L$3:$P$3))</f>
        <v>-0.82847565645978216</v>
      </c>
      <c r="AO442" s="47">
        <f>IF(AVERAGE(AH442:AI442)&gt;9,1,0)+IF(AVERAGE(AH442:AI442)&gt;7,1,0)+IF(AH442&gt;7,1,0)+IF(AI442&gt;7,1,0)+IF(AJ442&gt;8,1,0)+IF(AJ442&gt;6,1,0)</f>
        <v>1</v>
      </c>
      <c r="AP442" s="48">
        <f>MIN(2,IF(OR(Z442="-",X442&lt;5),0,1+IF(Y442&gt;7,0.35,IF(Y442&gt;5,0.1,0))+IF(Z442&gt;7,1+IF(X442&gt;7,0.25,0),IF(Z442&gt;4,0.5+IF(X442&gt;7,0.25,0),0+IF(X442&gt;7,0.25))))+IF(AA442="-",0,IF(AA442&gt;9,0.5,IF(AA442&gt;7,0.25,0)))+IF(AB442="-",0,IF(AB442&gt;7,1.1,IF(AB442&gt;4,0.6,0)))+IF(OR(AC442="-",V442&lt;5),0,IF(AC442&gt;7,1+IF(V442&gt;7,0.25,0),IF(AC442&gt;4,0.5+IF(V442&gt;7,0.25,0),0)))+IF(AD442="-",0,IF(AD442&gt;7,1.5,IF(AD442&gt;4,1,0)))+IF(AE442="-",0,IF(AE442&gt;9,0.5,IF(AE442&gt;7,0.25,0)))+IF(AF442="-",0,IF(AF442&gt;7,1.25,IF(AF442&gt;4,0.75,0)))+IF(OR(AG442="-",W442&lt;4),0,IF(AG442&gt;7,1+IF(W442&gt;7,0.15,0),IF(AG442&gt;4,0.5+IF(W442&gt;7,0.15,0),0))))</f>
        <v>0</v>
      </c>
      <c r="AQ442" s="46">
        <f>($AM$3*AM442+$AN$3*AN442+$AO$3*AO442+$AP$3*AP442)+$I$3*VLOOKUP(I442,COND!$A$2:$E$7,4,FALSE)+$J$3*VLOOKUP(J442,COND!$A$2:$C$7,2,FALSE)+$K$3*VLOOKUP(K442,COND!$A$2:$C$7,3,FALSE)+IF(AND($B$2&gt;0,$E442&lt;20),$B$2*25,0)</f>
        <v>35.029936591530785</v>
      </c>
      <c r="AR442" s="49">
        <f>STANDARDIZE(AQ442,AVERAGE($AQ$5:$AQ$537),STDEVP($AQ$5:$AQ$537))</f>
        <v>-0.93572143228243976</v>
      </c>
      <c r="AS442" s="47" t="str">
        <f>IF(AND(Z442&lt;&gt;"-",Y442&gt;1),"C",IF(AB442=MAX(AB442:AD442),"2B",IF(AD442=MAX(AB442:AD442),"SS",IF(OR(AC442=MAX(AA442:AD442),AND(AC442&lt;&gt;"-",AC442&gt;4,V442&gt;5)),"3B",IF(AF442=MAX(AE442:AG442),"CF",IF(AND(AG442=MAX(AE442,AG442),AND(W442&gt;5,AG442&lt;&gt;"-")),"RF",IF(AE442&lt;&gt;"-","LF",IF(AA442&lt;&gt;"-","1B","DH"))))))))</f>
        <v>1B</v>
      </c>
      <c r="AT442" s="47"/>
      <c r="AU442" s="47"/>
      <c r="AV442" s="47"/>
      <c r="AW442" s="47" t="str">
        <f>IF(AND($Q442&gt;=6,AVERAGE($S442:$T442)&gt;=6),"Likely",IF(OR($Q442&gt;6,AND($Q442=6,AVERAGE($S442:$T442)&gt;=3),AND($Q442&gt;=5,AVERAGE($S442:$T442)&gt;=5),AVERAGE($Q442,$S442:$T442)&gt;5),"Possible","Unlikely"))</f>
        <v>Unlikely</v>
      </c>
      <c r="AX442" s="47"/>
      <c r="AY442" s="47" t="str">
        <f>INDEX(Table5[[#All],[Ovr]],MATCH(Batters[[#This Row],[PID]],Table5[[#All],[PID]],0))</f>
        <v/>
      </c>
      <c r="AZ442" s="47" t="str">
        <f>INDEX(Table5[[#All],[Rnd]],MATCH(Batters[[#This Row],[PID]],Table5[[#All],[PID]],0))</f>
        <v/>
      </c>
      <c r="BA442" s="47" t="str">
        <f>INDEX(Table5[[#All],[Pick]],MATCH(Batters[[#This Row],[PID]],Table5[[#All],[PID]],0))</f>
        <v/>
      </c>
      <c r="BB442" s="47" t="str">
        <f>INDEX(Table5[[#All],[Team]],MATCH(Batters[[#This Row],[PID]],Table5[[#All],[PID]],0))</f>
        <v/>
      </c>
    </row>
    <row r="443" spans="1:54" ht="15" customHeight="1" x14ac:dyDescent="0.25">
      <c r="A443" s="42">
        <v>6929</v>
      </c>
      <c r="B443" s="42" t="s">
        <v>87</v>
      </c>
      <c r="C443" s="42" t="s">
        <v>590</v>
      </c>
      <c r="D443" s="42" t="s">
        <v>727</v>
      </c>
      <c r="E443" s="42">
        <v>21</v>
      </c>
      <c r="F443" s="42" t="s">
        <v>42</v>
      </c>
      <c r="G443" s="42" t="s">
        <v>42</v>
      </c>
      <c r="H443" s="43" t="s">
        <v>721</v>
      </c>
      <c r="I443" s="44" t="s">
        <v>43</v>
      </c>
      <c r="J443" s="42" t="s">
        <v>43</v>
      </c>
      <c r="K443" s="43" t="s">
        <v>43</v>
      </c>
      <c r="L443" s="42">
        <v>3</v>
      </c>
      <c r="M443" s="42">
        <v>2</v>
      </c>
      <c r="N443" s="42">
        <v>2</v>
      </c>
      <c r="O443" s="42">
        <v>1</v>
      </c>
      <c r="P443" s="43">
        <v>4</v>
      </c>
      <c r="Q443" s="42">
        <v>4</v>
      </c>
      <c r="R443" s="42">
        <v>2</v>
      </c>
      <c r="S443" s="42">
        <v>2</v>
      </c>
      <c r="T443" s="42">
        <v>1</v>
      </c>
      <c r="U443" s="43">
        <v>5</v>
      </c>
      <c r="V443" s="42">
        <v>5</v>
      </c>
      <c r="W443" s="42">
        <v>3</v>
      </c>
      <c r="X443" s="42">
        <v>1</v>
      </c>
      <c r="Y443" s="43">
        <v>1</v>
      </c>
      <c r="Z443" s="42" t="s">
        <v>45</v>
      </c>
      <c r="AA443" s="42" t="s">
        <v>45</v>
      </c>
      <c r="AB443" s="42" t="s">
        <v>45</v>
      </c>
      <c r="AC443" s="42" t="s">
        <v>45</v>
      </c>
      <c r="AD443" s="42" t="s">
        <v>45</v>
      </c>
      <c r="AE443" s="42" t="s">
        <v>45</v>
      </c>
      <c r="AF443" s="42" t="s">
        <v>45</v>
      </c>
      <c r="AG443" s="43" t="s">
        <v>45</v>
      </c>
      <c r="AH443" s="42">
        <v>1</v>
      </c>
      <c r="AI443" s="42">
        <v>1</v>
      </c>
      <c r="AJ443" s="43">
        <v>1</v>
      </c>
      <c r="AK443" s="45" t="s">
        <v>717</v>
      </c>
      <c r="AL443" s="45" t="s">
        <v>47</v>
      </c>
      <c r="AM443" s="46">
        <f>($L$3*(L443-$Q$1)/$Q$2+$M$3*(M443-$R$1)/$R$2+$N$3*(N443-$S$1)/$S$2+$O$3*(O443-$T$1)/$T$2+$P$3*(P443-$U$1)/$U$2)/(SUM($L$3:$P$3))</f>
        <v>-1.185061284328367</v>
      </c>
      <c r="AN443" s="46">
        <f>($L$3*(Q443-$Q$1)/$Q$2+$M$3*(R443-$R$1)/$R$2+$N$3*(S443-$S$1)/$S$2+$O$3*(T443-$T$1)/$T$2+$P$3*(U443-$U$1)/$U$2)/(SUM($L$3:$P$3))</f>
        <v>-0.82248910830860888</v>
      </c>
      <c r="AO443" s="47">
        <f>IF(AVERAGE(AH443:AI443)&gt;9,1,0)+IF(AVERAGE(AH443:AI443)&gt;7,1,0)+IF(AH443&gt;7,1,0)+IF(AI443&gt;7,1,0)+IF(AJ443&gt;8,1,0)+IF(AJ443&gt;6,1,0)</f>
        <v>0</v>
      </c>
      <c r="AP443" s="48">
        <f>MIN(2,IF(OR(Z443="-",X443&lt;5),0,1+IF(Y443&gt;7,0.35,IF(Y443&gt;5,0.1,0))+IF(Z443&gt;7,1+IF(X443&gt;7,0.25,0),IF(Z443&gt;4,0.5+IF(X443&gt;7,0.25,0),0+IF(X443&gt;7,0.25))))+IF(AA443="-",0,IF(AA443&gt;9,0.5,IF(AA443&gt;7,0.25,0)))+IF(AB443="-",0,IF(AB443&gt;7,1.1,IF(AB443&gt;4,0.6,0)))+IF(OR(AC443="-",V443&lt;5),0,IF(AC443&gt;7,1+IF(V443&gt;7,0.25,0),IF(AC443&gt;4,0.5+IF(V443&gt;7,0.25,0),0)))+IF(AD443="-",0,IF(AD443&gt;7,1.5,IF(AD443&gt;4,1,0)))+IF(AE443="-",0,IF(AE443&gt;9,0.5,IF(AE443&gt;7,0.25,0)))+IF(AF443="-",0,IF(AF443&gt;7,1.25,IF(AF443&gt;4,0.75,0)))+IF(OR(AG443="-",W443&lt;4),0,IF(AG443&gt;7,1+IF(W443&gt;7,0.15,0),IF(AG443&gt;4,0.5+IF(W443&gt;7,0.15,0),0))))</f>
        <v>0</v>
      </c>
      <c r="AQ443" s="46">
        <f>($AM$3*AM443+$AN$3*AN443+$AO$3*AO443+$AP$3*AP443)+$I$3*VLOOKUP(I443,COND!$A$2:$E$7,4,FALSE)+$J$3*VLOOKUP(J443,COND!$A$2:$C$7,2,FALSE)+$K$3*VLOOKUP(K443,COND!$A$2:$C$7,3,FALSE)+IF(AND($B$2&gt;0,$E443&lt;20),$B$2*25,0)</f>
        <v>35.011624571863855</v>
      </c>
      <c r="AR443" s="49">
        <f>STANDARDIZE(AQ443,AVERAGE($AQ$5:$AQ$537),STDEVP($AQ$5:$AQ$537))</f>
        <v>-0.93894331043559776</v>
      </c>
      <c r="AS443" s="47" t="str">
        <f>IF(AND(Z443&lt;&gt;"-",Y443&gt;1),"C",IF(AB443=MAX(AB443:AD443),"2B",IF(AD443=MAX(AB443:AD443),"SS",IF(OR(AC443=MAX(AA443:AD443),AND(AC443&lt;&gt;"-",AC443&gt;4,V443&gt;5)),"3B",IF(AF443=MAX(AE443:AG443),"CF",IF(AND(AG443=MAX(AE443,AG443),AND(W443&gt;5,AG443&lt;&gt;"-")),"RF",IF(AE443&lt;&gt;"-","LF",IF(AA443&lt;&gt;"-","1B","DH"))))))))</f>
        <v>DH</v>
      </c>
      <c r="AT443" s="47"/>
      <c r="AU443" s="47"/>
      <c r="AV443" s="47"/>
      <c r="AW443" s="47" t="str">
        <f>IF(AND($Q443&gt;=6,AVERAGE($S443:$T443)&gt;=6),"Likely",IF(OR($Q443&gt;6,AND($Q443=6,AVERAGE($S443:$T443)&gt;=3),AND($Q443&gt;=5,AVERAGE($S443:$T443)&gt;=5),AVERAGE($Q443,$S443:$T443)&gt;5),"Possible","Unlikely"))</f>
        <v>Unlikely</v>
      </c>
      <c r="AX443" s="47"/>
      <c r="AY443" s="47" t="str">
        <f>INDEX(Table5[[#All],[Ovr]],MATCH(Batters[[#This Row],[PID]],Table5[[#All],[PID]],0))</f>
        <v/>
      </c>
      <c r="AZ443" s="47" t="str">
        <f>INDEX(Table5[[#All],[Rnd]],MATCH(Batters[[#This Row],[PID]],Table5[[#All],[PID]],0))</f>
        <v/>
      </c>
      <c r="BA443" s="47" t="str">
        <f>INDEX(Table5[[#All],[Pick]],MATCH(Batters[[#This Row],[PID]],Table5[[#All],[PID]],0))</f>
        <v/>
      </c>
      <c r="BB443" s="47" t="str">
        <f>INDEX(Table5[[#All],[Team]],MATCH(Batters[[#This Row],[PID]],Table5[[#All],[PID]],0))</f>
        <v/>
      </c>
    </row>
    <row r="444" spans="1:54" ht="15" customHeight="1" x14ac:dyDescent="0.25">
      <c r="A444" s="42">
        <v>18052</v>
      </c>
      <c r="B444" s="42" t="s">
        <v>66</v>
      </c>
      <c r="C444" s="42" t="s">
        <v>137</v>
      </c>
      <c r="D444" s="42" t="s">
        <v>777</v>
      </c>
      <c r="E444" s="42">
        <v>21</v>
      </c>
      <c r="F444" s="42" t="s">
        <v>62</v>
      </c>
      <c r="G444" s="42" t="s">
        <v>42</v>
      </c>
      <c r="H444" s="43" t="s">
        <v>711</v>
      </c>
      <c r="I444" s="44" t="s">
        <v>43</v>
      </c>
      <c r="J444" s="42" t="s">
        <v>44</v>
      </c>
      <c r="K444" s="43" t="s">
        <v>43</v>
      </c>
      <c r="L444" s="42">
        <v>2</v>
      </c>
      <c r="M444" s="42">
        <v>2</v>
      </c>
      <c r="N444" s="42">
        <v>2</v>
      </c>
      <c r="O444" s="42">
        <v>2</v>
      </c>
      <c r="P444" s="43">
        <v>2</v>
      </c>
      <c r="Q444" s="42">
        <v>3</v>
      </c>
      <c r="R444" s="42">
        <v>3</v>
      </c>
      <c r="S444" s="42">
        <v>3</v>
      </c>
      <c r="T444" s="42">
        <v>4</v>
      </c>
      <c r="U444" s="43">
        <v>3</v>
      </c>
      <c r="V444" s="42">
        <v>6</v>
      </c>
      <c r="W444" s="42">
        <v>9</v>
      </c>
      <c r="X444" s="42">
        <v>1</v>
      </c>
      <c r="Y444" s="43">
        <v>1</v>
      </c>
      <c r="Z444" s="42" t="s">
        <v>45</v>
      </c>
      <c r="AA444" s="42" t="s">
        <v>45</v>
      </c>
      <c r="AB444" s="42" t="s">
        <v>45</v>
      </c>
      <c r="AC444" s="42" t="s">
        <v>45</v>
      </c>
      <c r="AD444" s="42" t="s">
        <v>45</v>
      </c>
      <c r="AE444" s="42" t="s">
        <v>45</v>
      </c>
      <c r="AF444" s="42">
        <v>1</v>
      </c>
      <c r="AG444" s="43">
        <v>7</v>
      </c>
      <c r="AH444" s="42">
        <v>9</v>
      </c>
      <c r="AI444" s="42">
        <v>6</v>
      </c>
      <c r="AJ444" s="43">
        <v>4</v>
      </c>
      <c r="AK444" s="45" t="s">
        <v>45</v>
      </c>
      <c r="AL444" s="45" t="s">
        <v>705</v>
      </c>
      <c r="AM444" s="46">
        <f>($L$3*(L444-$Q$1)/$Q$2+$M$3*(M444-$R$1)/$R$2+$N$3*(N444-$S$1)/$S$2+$O$3*(O444-$T$1)/$T$2+$P$3*(P444-$U$1)/$U$2)/(SUM($L$3:$P$3))</f>
        <v>-1.4979402501556278</v>
      </c>
      <c r="AN444" s="46">
        <f>($L$3*(Q444-$Q$1)/$Q$2+$M$3*(R444-$R$1)/$R$2+$N$3*(S444-$S$1)/$S$2+$O$3*(T444-$T$1)/$T$2+$P$3*(U444-$U$1)/$U$2)/(SUM($L$3:$P$3))</f>
        <v>-0.82182760047410253</v>
      </c>
      <c r="AO444" s="47">
        <f>IF(AVERAGE(AH444:AI444)&gt;9,1,0)+IF(AVERAGE(AH444:AI444)&gt;7,1,0)+IF(AH444&gt;7,1,0)+IF(AI444&gt;7,1,0)+IF(AJ444&gt;8,1,0)+IF(AJ444&gt;6,1,0)</f>
        <v>2</v>
      </c>
      <c r="AP444" s="48">
        <f>MIN(2,IF(OR(Z444="-",X444&lt;5),0,1+IF(Y444&gt;7,0.35,IF(Y444&gt;5,0.1,0))+IF(Z444&gt;7,1+IF(X444&gt;7,0.25,0),IF(Z444&gt;4,0.5+IF(X444&gt;7,0.25,0),0+IF(X444&gt;7,0.25))))+IF(AA444="-",0,IF(AA444&gt;9,0.5,IF(AA444&gt;7,0.25,0)))+IF(AB444="-",0,IF(AB444&gt;7,1.1,IF(AB444&gt;4,0.6,0)))+IF(OR(AC444="-",V444&lt;5),0,IF(AC444&gt;7,1+IF(V444&gt;7,0.25,0),IF(AC444&gt;4,0.5+IF(V444&gt;7,0.25,0),0)))+IF(AD444="-",0,IF(AD444&gt;7,1.5,IF(AD444&gt;4,1,0)))+IF(AE444="-",0,IF(AE444&gt;9,0.5,IF(AE444&gt;7,0.25,0)))+IF(AF444="-",0,IF(AF444&gt;7,1.25,IF(AF444&gt;4,0.75,0)))+IF(OR(AG444="-",W444&lt;4),0,IF(AG444&gt;7,1+IF(W444&gt;7,0.15,0),IF(AG444&gt;4,0.5+IF(W444&gt;7,0.15,0),0))))</f>
        <v>0.65</v>
      </c>
      <c r="AQ444" s="46">
        <f>($AM$3*AM444+$AN$3*AN444+$AO$3*AO444+$AP$3*AP444)+$I$3*VLOOKUP(I444,COND!$A$2:$E$7,4,FALSE)+$J$3*VLOOKUP(J444,COND!$A$2:$C$7,2,FALSE)+$K$3*VLOOKUP(K444,COND!$A$2:$C$7,3,FALSE)+IF(AND($B$2&gt;0,$E444&lt;20),$B$2*25,0)</f>
        <v>35.671608102628539</v>
      </c>
      <c r="AR444" s="49">
        <f>STANDARDIZE(AQ444,AVERAGE($AQ$5:$AQ$537),STDEVP($AQ$5:$AQ$537))</f>
        <v>-0.82282359464832122</v>
      </c>
      <c r="AS444" s="47" t="str">
        <f>IF(AND(Z444&lt;&gt;"-",Y444&gt;1),"C",IF(AB444=MAX(AB444:AD444),"2B",IF(AD444=MAX(AB444:AD444),"SS",IF(OR(AC444=MAX(AA444:AD444),AND(AC444&lt;&gt;"-",AC444&gt;4,V444&gt;5)),"3B",IF(AF444=MAX(AE444:AG444),"CF",IF(AND(AG444=MAX(AE444,AG444),AND(W444&gt;5,AG444&lt;&gt;"-")),"RF",IF(AE444&lt;&gt;"-","LF",IF(AA444&lt;&gt;"-","1B","DH"))))))))</f>
        <v>RF</v>
      </c>
      <c r="AT444" s="47"/>
      <c r="AU444" s="47"/>
      <c r="AV444" s="47"/>
      <c r="AW444" s="47" t="str">
        <f>IF(AND($Q444&gt;=6,AVERAGE($S444:$T444)&gt;=6),"Likely",IF(OR($Q444&gt;6,AND($Q444=6,AVERAGE($S444:$T444)&gt;=3),AND($Q444&gt;=5,AVERAGE($S444:$T444)&gt;=5),AVERAGE($Q444,$S444:$T444)&gt;5),"Possible","Unlikely"))</f>
        <v>Unlikely</v>
      </c>
      <c r="AX444" s="47"/>
      <c r="AY444" s="47" t="str">
        <f>INDEX(Table5[[#All],[Ovr]],MATCH(Batters[[#This Row],[PID]],Table5[[#All],[PID]],0))</f>
        <v/>
      </c>
      <c r="AZ444" s="47" t="str">
        <f>INDEX(Table5[[#All],[Rnd]],MATCH(Batters[[#This Row],[PID]],Table5[[#All],[PID]],0))</f>
        <v/>
      </c>
      <c r="BA444" s="47" t="str">
        <f>INDEX(Table5[[#All],[Pick]],MATCH(Batters[[#This Row],[PID]],Table5[[#All],[PID]],0))</f>
        <v/>
      </c>
      <c r="BB444" s="47" t="str">
        <f>INDEX(Table5[[#All],[Team]],MATCH(Batters[[#This Row],[PID]],Table5[[#All],[PID]],0))</f>
        <v/>
      </c>
    </row>
    <row r="445" spans="1:54" ht="15" customHeight="1" x14ac:dyDescent="0.25">
      <c r="A445" s="42">
        <v>8077</v>
      </c>
      <c r="B445" s="42" t="s">
        <v>86</v>
      </c>
      <c r="C445" s="42" t="s">
        <v>169</v>
      </c>
      <c r="D445" s="42" t="s">
        <v>774</v>
      </c>
      <c r="E445" s="42">
        <v>18</v>
      </c>
      <c r="F445" s="42" t="s">
        <v>62</v>
      </c>
      <c r="G445" s="42" t="s">
        <v>42</v>
      </c>
      <c r="H445" s="43" t="s">
        <v>721</v>
      </c>
      <c r="I445" s="44" t="s">
        <v>43</v>
      </c>
      <c r="J445" s="42" t="s">
        <v>43</v>
      </c>
      <c r="K445" s="43" t="s">
        <v>43</v>
      </c>
      <c r="L445" s="42">
        <v>1</v>
      </c>
      <c r="M445" s="42">
        <v>1</v>
      </c>
      <c r="N445" s="42">
        <v>2</v>
      </c>
      <c r="O445" s="42">
        <v>2</v>
      </c>
      <c r="P445" s="43">
        <v>1</v>
      </c>
      <c r="Q445" s="42">
        <v>2</v>
      </c>
      <c r="R445" s="42">
        <v>1</v>
      </c>
      <c r="S445" s="42">
        <v>3</v>
      </c>
      <c r="T445" s="42">
        <v>5</v>
      </c>
      <c r="U445" s="43">
        <v>1</v>
      </c>
      <c r="V445" s="42">
        <v>4</v>
      </c>
      <c r="W445" s="42">
        <v>3</v>
      </c>
      <c r="X445" s="42">
        <v>5</v>
      </c>
      <c r="Y445" s="43">
        <v>8</v>
      </c>
      <c r="Z445" s="42" t="s">
        <v>45</v>
      </c>
      <c r="AA445" s="42" t="s">
        <v>45</v>
      </c>
      <c r="AB445" s="42" t="s">
        <v>45</v>
      </c>
      <c r="AC445" s="42" t="s">
        <v>45</v>
      </c>
      <c r="AD445" s="42" t="s">
        <v>45</v>
      </c>
      <c r="AE445" s="42" t="s">
        <v>45</v>
      </c>
      <c r="AF445" s="42" t="s">
        <v>45</v>
      </c>
      <c r="AG445" s="43" t="s">
        <v>45</v>
      </c>
      <c r="AH445" s="42">
        <v>1</v>
      </c>
      <c r="AI445" s="42">
        <v>1</v>
      </c>
      <c r="AJ445" s="43">
        <v>1</v>
      </c>
      <c r="AK445" s="45" t="s">
        <v>718</v>
      </c>
      <c r="AL445" s="45" t="s">
        <v>47</v>
      </c>
      <c r="AM445" s="46">
        <f>($L$3*(L445-$Q$1)/$Q$2+$M$3*(M445-$R$1)/$R$2+$N$3*(N445-$S$1)/$S$2+$O$3*(O445-$T$1)/$T$2+$P$3*(P445-$U$1)/$U$2)/(SUM($L$3:$P$3))</f>
        <v>-1.9115723057940897</v>
      </c>
      <c r="AN445" s="46">
        <f>($L$3*(Q445-$Q$1)/$Q$2+$M$3*(R445-$R$1)/$R$2+$N$3*(S445-$S$1)/$S$2+$O$3*(T445-$T$1)/$T$2+$P$3*(U445-$U$1)/$U$2)/(SUM($L$3:$P$3))</f>
        <v>-1.2368263255387701</v>
      </c>
      <c r="AO445" s="47">
        <f>IF(AVERAGE(AH445:AI445)&gt;9,1,0)+IF(AVERAGE(AH445:AI445)&gt;7,1,0)+IF(AH445&gt;7,1,0)+IF(AI445&gt;7,1,0)+IF(AJ445&gt;8,1,0)+IF(AJ445&gt;6,1,0)</f>
        <v>0</v>
      </c>
      <c r="AP445" s="48">
        <f>MIN(2,IF(OR(Z445="-",X445&lt;5),0,1+IF(Y445&gt;7,0.35,IF(Y445&gt;5,0.1,0))+IF(Z445&gt;7,1+IF(X445&gt;7,0.25,0),IF(Z445&gt;4,0.5+IF(X445&gt;7,0.25,0),0+IF(X445&gt;7,0.25))))+IF(AA445="-",0,IF(AA445&gt;9,0.5,IF(AA445&gt;7,0.25,0)))+IF(AB445="-",0,IF(AB445&gt;7,1.1,IF(AB445&gt;4,0.6,0)))+IF(OR(AC445="-",V445&lt;5),0,IF(AC445&gt;7,1+IF(V445&gt;7,0.25,0),IF(AC445&gt;4,0.5+IF(V445&gt;7,0.25,0),0)))+IF(AD445="-",0,IF(AD445&gt;7,1.5,IF(AD445&gt;4,1,0)))+IF(AE445="-",0,IF(AE445&gt;9,0.5,IF(AE445&gt;7,0.25,0)))+IF(AF445="-",0,IF(AF445&gt;7,1.25,IF(AF445&gt;4,0.75,0)))+IF(OR(AG445="-",W445&lt;4),0,IF(AG445&gt;7,1+IF(W445&gt;7,0.15,0),IF(AG445&gt;4,0.5+IF(W445&gt;7,0.15,0),0))))</f>
        <v>0</v>
      </c>
      <c r="AQ445" s="46">
        <f>($AM$3*AM445+$AN$3*AN445+$AO$3*AO445+$AP$3*AP445)+$I$3*VLOOKUP(I445,COND!$A$2:$E$7,4,FALSE)+$J$3*VLOOKUP(J445,COND!$A$2:$C$7,2,FALSE)+$K$3*VLOOKUP(K445,COND!$A$2:$C$7,3,FALSE)+IF(AND($B$2&gt;0,$E445&lt;20),$B$2*25,0)</f>
        <v>34.966926862955347</v>
      </c>
      <c r="AR445" s="49">
        <f>STANDARDIZE(AQ445,AVERAGE($AQ$5:$AQ$537),STDEVP($AQ$5:$AQ$537))</f>
        <v>-0.94680757524351611</v>
      </c>
      <c r="AS445" s="47" t="str">
        <f>IF(AND(Z445&lt;&gt;"-",Y445&gt;1),"C",IF(AB445=MAX(AB445:AD445),"2B",IF(AD445=MAX(AB445:AD445),"SS",IF(OR(AC445=MAX(AA445:AD445),AND(AC445&lt;&gt;"-",AC445&gt;4,V445&gt;5)),"3B",IF(AF445=MAX(AE445:AG445),"CF",IF(AND(AG445=MAX(AE445,AG445),AND(W445&gt;5,AG445&lt;&gt;"-")),"RF",IF(AE445&lt;&gt;"-","LF",IF(AA445&lt;&gt;"-","1B","DH"))))))))</f>
        <v>DH</v>
      </c>
      <c r="AT445" s="47"/>
      <c r="AU445" s="47"/>
      <c r="AV445" s="47"/>
      <c r="AW445" s="47" t="str">
        <f>IF(AND($Q445&gt;=6,AVERAGE($S445:$T445)&gt;=6),"Likely",IF(OR($Q445&gt;6,AND($Q445=6,AVERAGE($S445:$T445)&gt;=3),AND($Q445&gt;=5,AVERAGE($S445:$T445)&gt;=5),AVERAGE($Q445,$S445:$T445)&gt;5),"Possible","Unlikely"))</f>
        <v>Unlikely</v>
      </c>
      <c r="AX445" s="47"/>
      <c r="AY445" s="47" t="str">
        <f>INDEX(Table5[[#All],[Ovr]],MATCH(Batters[[#This Row],[PID]],Table5[[#All],[PID]],0))</f>
        <v/>
      </c>
      <c r="AZ445" s="47" t="str">
        <f>INDEX(Table5[[#All],[Rnd]],MATCH(Batters[[#This Row],[PID]],Table5[[#All],[PID]],0))</f>
        <v/>
      </c>
      <c r="BA445" s="47" t="str">
        <f>INDEX(Table5[[#All],[Pick]],MATCH(Batters[[#This Row],[PID]],Table5[[#All],[PID]],0))</f>
        <v/>
      </c>
      <c r="BB445" s="47" t="str">
        <f>INDEX(Table5[[#All],[Team]],MATCH(Batters[[#This Row],[PID]],Table5[[#All],[PID]],0))</f>
        <v/>
      </c>
    </row>
    <row r="446" spans="1:54" ht="15" customHeight="1" x14ac:dyDescent="0.25">
      <c r="A446" s="42">
        <v>18064</v>
      </c>
      <c r="B446" s="42" t="s">
        <v>66</v>
      </c>
      <c r="C446" s="42" t="s">
        <v>333</v>
      </c>
      <c r="D446" s="42" t="s">
        <v>1254</v>
      </c>
      <c r="E446" s="42">
        <v>21</v>
      </c>
      <c r="F446" s="42" t="s">
        <v>42</v>
      </c>
      <c r="G446" s="42" t="s">
        <v>53</v>
      </c>
      <c r="H446" s="43" t="s">
        <v>709</v>
      </c>
      <c r="I446" s="44" t="s">
        <v>44</v>
      </c>
      <c r="J446" s="42" t="s">
        <v>44</v>
      </c>
      <c r="K446" s="43" t="s">
        <v>43</v>
      </c>
      <c r="L446" s="42">
        <v>1</v>
      </c>
      <c r="M446" s="42">
        <v>2</v>
      </c>
      <c r="N446" s="42">
        <v>3</v>
      </c>
      <c r="O446" s="42">
        <v>2</v>
      </c>
      <c r="P446" s="43">
        <v>1</v>
      </c>
      <c r="Q446" s="42">
        <v>3</v>
      </c>
      <c r="R446" s="42">
        <v>4</v>
      </c>
      <c r="S446" s="42">
        <v>4</v>
      </c>
      <c r="T446" s="42">
        <v>4</v>
      </c>
      <c r="U446" s="43">
        <v>2</v>
      </c>
      <c r="V446" s="42">
        <v>8</v>
      </c>
      <c r="W446" s="42">
        <v>10</v>
      </c>
      <c r="X446" s="42">
        <v>1</v>
      </c>
      <c r="Y446" s="43">
        <v>1</v>
      </c>
      <c r="Z446" s="42" t="s">
        <v>45</v>
      </c>
      <c r="AA446" s="42">
        <v>3</v>
      </c>
      <c r="AB446" s="42" t="s">
        <v>45</v>
      </c>
      <c r="AC446" s="42" t="s">
        <v>45</v>
      </c>
      <c r="AD446" s="42" t="s">
        <v>45</v>
      </c>
      <c r="AE446" s="42" t="s">
        <v>45</v>
      </c>
      <c r="AF446" s="42" t="s">
        <v>45</v>
      </c>
      <c r="AG446" s="43">
        <v>4</v>
      </c>
      <c r="AH446" s="42">
        <v>2</v>
      </c>
      <c r="AI446" s="42">
        <v>3</v>
      </c>
      <c r="AJ446" s="43">
        <v>2</v>
      </c>
      <c r="AK446" s="45" t="s">
        <v>615</v>
      </c>
      <c r="AL446" s="45" t="s">
        <v>47</v>
      </c>
      <c r="AM446" s="46">
        <f>($L$3*(L446-$Q$1)/$Q$2+$M$3*(M446-$R$1)/$R$2+$N$3*(N446-$S$1)/$S$2+$O$3*(O446-$T$1)/$T$2+$P$3*(P446-$U$1)/$U$2)/(SUM($L$3:$P$3))</f>
        <v>-1.7774509321514844</v>
      </c>
      <c r="AN446" s="46">
        <f>($L$3*(Q446-$Q$1)/$Q$2+$M$3*(R446-$R$1)/$R$2+$N$3*(S446-$S$1)/$S$2+$O$3*(T446-$T$1)/$T$2+$P$3*(U446-$U$1)/$U$2)/(SUM($L$3:$P$3))</f>
        <v>-0.72772256664858104</v>
      </c>
      <c r="AO446" s="47">
        <f>IF(AVERAGE(AH446:AI446)&gt;9,1,0)+IF(AVERAGE(AH446:AI446)&gt;7,1,0)+IF(AH446&gt;7,1,0)+IF(AI446&gt;7,1,0)+IF(AJ446&gt;8,1,0)+IF(AJ446&gt;6,1,0)</f>
        <v>0</v>
      </c>
      <c r="AP446" s="48">
        <f>MIN(2,IF(OR(Z446="-",X446&lt;5),0,1+IF(Y446&gt;7,0.35,IF(Y446&gt;5,0.1,0))+IF(Z446&gt;7,1+IF(X446&gt;7,0.25,0),IF(Z446&gt;4,0.5+IF(X446&gt;7,0.25,0),0+IF(X446&gt;7,0.25))))+IF(AA446="-",0,IF(AA446&gt;9,0.5,IF(AA446&gt;7,0.25,0)))+IF(AB446="-",0,IF(AB446&gt;7,1.1,IF(AB446&gt;4,0.6,0)))+IF(OR(AC446="-",V446&lt;5),0,IF(AC446&gt;7,1+IF(V446&gt;7,0.25,0),IF(AC446&gt;4,0.5+IF(V446&gt;7,0.25,0),0)))+IF(AD446="-",0,IF(AD446&gt;7,1.5,IF(AD446&gt;4,1,0)))+IF(AE446="-",0,IF(AE446&gt;9,0.5,IF(AE446&gt;7,0.25,0)))+IF(AF446="-",0,IF(AF446&gt;7,1.25,IF(AF446&gt;4,0.75,0)))+IF(OR(AG446="-",W446&lt;4),0,IF(AG446&gt;7,1+IF(W446&gt;7,0.15,0),IF(AG446&gt;4,0.5+IF(W446&gt;7,0.15,0),0))))</f>
        <v>0</v>
      </c>
      <c r="AQ446" s="46">
        <f>($AM$3*AM446+$AN$3*AN446+$AO$3*AO446+$AP$3*AP446)+$I$3*VLOOKUP(I446,COND!$A$2:$E$7,4,FALSE)+$J$3*VLOOKUP(J446,COND!$A$2:$C$7,2,FALSE)+$K$3*VLOOKUP(K446,COND!$A$2:$C$7,3,FALSE)+IF(AND($B$2&gt;0,$E446&lt;20),$B$2*25,0)</f>
        <v>35.63958410700188</v>
      </c>
      <c r="AR446" s="49">
        <f>STANDARDIZE(AQ446,AVERAGE($AQ$5:$AQ$537),STDEVP($AQ$5:$AQ$537))</f>
        <v>-0.82845800383764168</v>
      </c>
      <c r="AS446" s="47" t="str">
        <f>IF(AND(Z446&lt;&gt;"-",Y446&gt;1),"C",IF(AB446=MAX(AB446:AD446),"2B",IF(AD446=MAX(AB446:AD446),"SS",IF(OR(AC446=MAX(AA446:AD446),AND(AC446&lt;&gt;"-",AC446&gt;4,V446&gt;5)),"3B",IF(AF446=MAX(AE446:AG446),"CF",IF(AND(AG446=MAX(AE446,AG446),AND(W446&gt;5,AG446&lt;&gt;"-")),"RF",IF(AE446&lt;&gt;"-","LF",IF(AA446&lt;&gt;"-","1B","DH"))))))))</f>
        <v>RF</v>
      </c>
      <c r="AT446" s="47"/>
      <c r="AU446" s="47"/>
      <c r="AV446" s="47"/>
      <c r="AW446" s="47" t="str">
        <f>IF(AND($Q446&gt;=6,AVERAGE($S446:$T446)&gt;=6),"Likely",IF(OR($Q446&gt;6,AND($Q446=6,AVERAGE($S446:$T446)&gt;=3),AND($Q446&gt;=5,AVERAGE($S446:$T446)&gt;=5),AVERAGE($Q446,$S446:$T446)&gt;5),"Possible","Unlikely"))</f>
        <v>Unlikely</v>
      </c>
      <c r="AX446" s="47"/>
      <c r="AY446" s="47" t="str">
        <f>INDEX(Table5[[#All],[Ovr]],MATCH(Batters[[#This Row],[PID]],Table5[[#All],[PID]],0))</f>
        <v/>
      </c>
      <c r="AZ446" s="47" t="str">
        <f>INDEX(Table5[[#All],[Rnd]],MATCH(Batters[[#This Row],[PID]],Table5[[#All],[PID]],0))</f>
        <v/>
      </c>
      <c r="BA446" s="47" t="str">
        <f>INDEX(Table5[[#All],[Pick]],MATCH(Batters[[#This Row],[PID]],Table5[[#All],[PID]],0))</f>
        <v/>
      </c>
      <c r="BB446" s="47" t="str">
        <f>INDEX(Table5[[#All],[Team]],MATCH(Batters[[#This Row],[PID]],Table5[[#All],[PID]],0))</f>
        <v/>
      </c>
    </row>
    <row r="447" spans="1:54" ht="15" customHeight="1" x14ac:dyDescent="0.25">
      <c r="A447" s="42">
        <v>9682</v>
      </c>
      <c r="B447" s="42" t="s">
        <v>87</v>
      </c>
      <c r="C447" s="42" t="s">
        <v>167</v>
      </c>
      <c r="D447" s="42" t="s">
        <v>1298</v>
      </c>
      <c r="E447" s="42">
        <v>21</v>
      </c>
      <c r="F447" s="42" t="s">
        <v>42</v>
      </c>
      <c r="G447" s="42" t="s">
        <v>42</v>
      </c>
      <c r="H447" s="43" t="s">
        <v>721</v>
      </c>
      <c r="I447" s="44" t="s">
        <v>43</v>
      </c>
      <c r="J447" s="42" t="s">
        <v>44</v>
      </c>
      <c r="K447" s="43" t="s">
        <v>43</v>
      </c>
      <c r="L447" s="42">
        <v>1</v>
      </c>
      <c r="M447" s="42">
        <v>1</v>
      </c>
      <c r="N447" s="42">
        <v>2</v>
      </c>
      <c r="O447" s="42">
        <v>1</v>
      </c>
      <c r="P447" s="43">
        <v>1</v>
      </c>
      <c r="Q447" s="42">
        <v>3</v>
      </c>
      <c r="R447" s="42">
        <v>3</v>
      </c>
      <c r="S447" s="42">
        <v>4</v>
      </c>
      <c r="T447" s="42">
        <v>4</v>
      </c>
      <c r="U447" s="43">
        <v>3</v>
      </c>
      <c r="V447" s="42">
        <v>1</v>
      </c>
      <c r="W447" s="42">
        <v>2</v>
      </c>
      <c r="X447" s="42">
        <v>1</v>
      </c>
      <c r="Y447" s="43">
        <v>1</v>
      </c>
      <c r="Z447" s="42" t="s">
        <v>45</v>
      </c>
      <c r="AA447" s="42">
        <v>1</v>
      </c>
      <c r="AB447" s="42" t="s">
        <v>45</v>
      </c>
      <c r="AC447" s="42" t="s">
        <v>45</v>
      </c>
      <c r="AD447" s="42" t="s">
        <v>45</v>
      </c>
      <c r="AE447" s="42" t="s">
        <v>45</v>
      </c>
      <c r="AF447" s="42" t="s">
        <v>45</v>
      </c>
      <c r="AG447" s="43" t="s">
        <v>45</v>
      </c>
      <c r="AH447" s="42">
        <v>1</v>
      </c>
      <c r="AI447" s="42">
        <v>5</v>
      </c>
      <c r="AJ447" s="43">
        <v>2</v>
      </c>
      <c r="AK447" s="45" t="s">
        <v>723</v>
      </c>
      <c r="AL447" s="45" t="s">
        <v>705</v>
      </c>
      <c r="AM447" s="46">
        <f>($L$3*(L447-$Q$1)/$Q$2+$M$3*(M447-$R$1)/$R$2+$N$3*(N447-$S$1)/$S$2+$O$3*(O447-$T$1)/$T$2+$P$3*(P447-$U$1)/$U$2)/(SUM($L$3:$P$3))</f>
        <v>-2.0012818558036707</v>
      </c>
      <c r="AN447" s="46">
        <f>($L$3*(Q447-$Q$1)/$Q$2+$M$3*(R447-$R$1)/$R$2+$N$3*(S447-$S$1)/$S$2+$O$3*(T447-$T$1)/$T$2+$P$3*(U447-$U$1)/$U$2)/(SUM($L$3:$P$3))</f>
        <v>-0.73876610645020102</v>
      </c>
      <c r="AO447" s="47">
        <f>IF(AVERAGE(AH447:AI447)&gt;9,1,0)+IF(AVERAGE(AH447:AI447)&gt;7,1,0)+IF(AH447&gt;7,1,0)+IF(AI447&gt;7,1,0)+IF(AJ447&gt;8,1,0)+IF(AJ447&gt;6,1,0)</f>
        <v>0</v>
      </c>
      <c r="AP447" s="48">
        <f>MIN(2,IF(OR(Z447="-",X447&lt;5),0,1+IF(Y447&gt;7,0.35,IF(Y447&gt;5,0.1,0))+IF(Z447&gt;7,1+IF(X447&gt;7,0.25,0),IF(Z447&gt;4,0.5+IF(X447&gt;7,0.25,0),0+IF(X447&gt;7,0.25))))+IF(AA447="-",0,IF(AA447&gt;9,0.5,IF(AA447&gt;7,0.25,0)))+IF(AB447="-",0,IF(AB447&gt;7,1.1,IF(AB447&gt;4,0.6,0)))+IF(OR(AC447="-",V447&lt;5),0,IF(AC447&gt;7,1+IF(V447&gt;7,0.25,0),IF(AC447&gt;4,0.5+IF(V447&gt;7,0.25,0),0)))+IF(AD447="-",0,IF(AD447&gt;7,1.5,IF(AD447&gt;4,1,0)))+IF(AE447="-",0,IF(AE447&gt;9,0.5,IF(AE447&gt;7,0.25,0)))+IF(AF447="-",0,IF(AF447&gt;7,1.25,IF(AF447&gt;4,0.75,0)))+IF(OR(AG447="-",W447&lt;4),0,IF(AG447&gt;7,1+IF(W447&gt;7,0.15,0),IF(AG447&gt;4,0.5+IF(W447&gt;7,0.15,0),0))))</f>
        <v>0</v>
      </c>
      <c r="AQ447" s="46">
        <f>($AM$3*AM447+$AN$3*AN447+$AO$3*AO447+$AP$3*AP447)+$I$3*VLOOKUP(I447,COND!$A$2:$E$7,4,FALSE)+$J$3*VLOOKUP(J447,COND!$A$2:$C$7,2,FALSE)+$K$3*VLOOKUP(K447,COND!$A$2:$C$7,3,FALSE)+IF(AND($B$2&gt;0,$E447&lt;20),$B$2*25,0)</f>
        <v>35.634678537017223</v>
      </c>
      <c r="AR447" s="49">
        <f>STANDARDIZE(AQ447,AVERAGE($AQ$5:$AQ$537),STDEVP($AQ$5:$AQ$537))</f>
        <v>-0.82932110627253575</v>
      </c>
      <c r="AS447" s="47" t="str">
        <f>IF(AND(Z447&lt;&gt;"-",Y447&gt;1),"C",IF(AB447=MAX(AB447:AD447),"2B",IF(AD447=MAX(AB447:AD447),"SS",IF(OR(AC447=MAX(AA447:AD447),AND(AC447&lt;&gt;"-",AC447&gt;4,V447&gt;5)),"3B",IF(AF447=MAX(AE447:AG447),"CF",IF(AND(AG447=MAX(AE447,AG447),AND(W447&gt;5,AG447&lt;&gt;"-")),"RF",IF(AE447&lt;&gt;"-","LF",IF(AA447&lt;&gt;"-","1B","DH"))))))))</f>
        <v>1B</v>
      </c>
      <c r="AT447" s="47"/>
      <c r="AU447" s="47"/>
      <c r="AV447" s="47"/>
      <c r="AW447" s="47" t="str">
        <f>IF(AND($Q447&gt;=6,AVERAGE($S447:$T447)&gt;=6),"Likely",IF(OR($Q447&gt;6,AND($Q447=6,AVERAGE($S447:$T447)&gt;=3),AND($Q447&gt;=5,AVERAGE($S447:$T447)&gt;=5),AVERAGE($Q447,$S447:$T447)&gt;5),"Possible","Unlikely"))</f>
        <v>Unlikely</v>
      </c>
      <c r="AX447" s="47"/>
      <c r="AY447" s="47" t="str">
        <f>INDEX(Table5[[#All],[Ovr]],MATCH(Batters[[#This Row],[PID]],Table5[[#All],[PID]],0))</f>
        <v/>
      </c>
      <c r="AZ447" s="47" t="str">
        <f>INDEX(Table5[[#All],[Rnd]],MATCH(Batters[[#This Row],[PID]],Table5[[#All],[PID]],0))</f>
        <v/>
      </c>
      <c r="BA447" s="47" t="str">
        <f>INDEX(Table5[[#All],[Pick]],MATCH(Batters[[#This Row],[PID]],Table5[[#All],[PID]],0))</f>
        <v/>
      </c>
      <c r="BB447" s="47" t="str">
        <f>INDEX(Table5[[#All],[Team]],MATCH(Batters[[#This Row],[PID]],Table5[[#All],[PID]],0))</f>
        <v/>
      </c>
    </row>
    <row r="448" spans="1:54" ht="15" customHeight="1" x14ac:dyDescent="0.25">
      <c r="A448" s="42">
        <v>9130</v>
      </c>
      <c r="B448" s="42" t="s">
        <v>87</v>
      </c>
      <c r="C448" s="42" t="s">
        <v>210</v>
      </c>
      <c r="D448" s="42" t="s">
        <v>165</v>
      </c>
      <c r="E448" s="42">
        <v>21</v>
      </c>
      <c r="F448" s="42" t="s">
        <v>53</v>
      </c>
      <c r="G448" s="42" t="s">
        <v>42</v>
      </c>
      <c r="H448" s="43" t="s">
        <v>721</v>
      </c>
      <c r="I448" s="44" t="s">
        <v>43</v>
      </c>
      <c r="J448" s="42" t="s">
        <v>44</v>
      </c>
      <c r="K448" s="43" t="s">
        <v>47</v>
      </c>
      <c r="L448" s="42">
        <v>1</v>
      </c>
      <c r="M448" s="42">
        <v>2</v>
      </c>
      <c r="N448" s="42">
        <v>2</v>
      </c>
      <c r="O448" s="42">
        <v>2</v>
      </c>
      <c r="P448" s="43">
        <v>2</v>
      </c>
      <c r="Q448" s="42">
        <v>3</v>
      </c>
      <c r="R448" s="42">
        <v>4</v>
      </c>
      <c r="S448" s="42">
        <v>2</v>
      </c>
      <c r="T448" s="42">
        <v>3</v>
      </c>
      <c r="U448" s="43">
        <v>4</v>
      </c>
      <c r="V448" s="42">
        <v>4</v>
      </c>
      <c r="W448" s="42">
        <v>3</v>
      </c>
      <c r="X448" s="42">
        <v>1</v>
      </c>
      <c r="Y448" s="43">
        <v>1</v>
      </c>
      <c r="Z448" s="42" t="s">
        <v>45</v>
      </c>
      <c r="AA448" s="42">
        <v>8</v>
      </c>
      <c r="AB448" s="42" t="s">
        <v>45</v>
      </c>
      <c r="AC448" s="42" t="s">
        <v>45</v>
      </c>
      <c r="AD448" s="42" t="s">
        <v>45</v>
      </c>
      <c r="AE448" s="42" t="s">
        <v>45</v>
      </c>
      <c r="AF448" s="42" t="s">
        <v>45</v>
      </c>
      <c r="AG448" s="43" t="s">
        <v>45</v>
      </c>
      <c r="AH448" s="42">
        <v>7</v>
      </c>
      <c r="AI448" s="42">
        <v>10</v>
      </c>
      <c r="AJ448" s="43">
        <v>10</v>
      </c>
      <c r="AK448" s="45" t="s">
        <v>45</v>
      </c>
      <c r="AL448" s="45" t="s">
        <v>705</v>
      </c>
      <c r="AM448" s="46">
        <f>($L$3*(L448-$Q$1)/$Q$2+$M$3*(M448-$R$1)/$R$2+$N$3*(N448-$S$1)/$S$2+$O$3*(O448-$T$1)/$T$2+$P$3*(P448-$U$1)/$U$2)/(SUM($L$3:$P$3))</f>
        <v>-1.8204960863583022</v>
      </c>
      <c r="AN448" s="46">
        <f>($L$3*(Q448-$Q$1)/$Q$2+$M$3*(R448-$R$1)/$R$2+$N$3*(S448-$S$1)/$S$2+$O$3*(T448-$T$1)/$T$2+$P$3*(U448-$U$1)/$U$2)/(SUM($L$3:$P$3))</f>
        <v>-0.90352242507179814</v>
      </c>
      <c r="AO448" s="47">
        <f>IF(AVERAGE(AH448:AI448)&gt;9,1,0)+IF(AVERAGE(AH448:AI448)&gt;7,1,0)+IF(AH448&gt;7,1,0)+IF(AI448&gt;7,1,0)+IF(AJ448&gt;8,1,0)+IF(AJ448&gt;6,1,0)</f>
        <v>4</v>
      </c>
      <c r="AP448" s="48">
        <f>MIN(2,IF(OR(Z448="-",X448&lt;5),0,1+IF(Y448&gt;7,0.35,IF(Y448&gt;5,0.1,0))+IF(Z448&gt;7,1+IF(X448&gt;7,0.25,0),IF(Z448&gt;4,0.5+IF(X448&gt;7,0.25,0),0+IF(X448&gt;7,0.25))))+IF(AA448="-",0,IF(AA448&gt;9,0.5,IF(AA448&gt;7,0.25,0)))+IF(AB448="-",0,IF(AB448&gt;7,1.1,IF(AB448&gt;4,0.6,0)))+IF(OR(AC448="-",V448&lt;5),0,IF(AC448&gt;7,1+IF(V448&gt;7,0.25,0),IF(AC448&gt;4,0.5+IF(V448&gt;7,0.25,0),0)))+IF(AD448="-",0,IF(AD448&gt;7,1.5,IF(AD448&gt;4,1,0)))+IF(AE448="-",0,IF(AE448&gt;9,0.5,IF(AE448&gt;7,0.25,0)))+IF(AF448="-",0,IF(AF448&gt;7,1.25,IF(AF448&gt;4,0.75,0)))+IF(OR(AG448="-",W448&lt;4),0,IF(AG448&gt;7,1+IF(W448&gt;7,0.15,0),IF(AG448&gt;4,0.5+IF(W448&gt;7,0.15,0),0))))</f>
        <v>0.25</v>
      </c>
      <c r="AQ448" s="46">
        <f>($AM$3*AM448+$AN$3*AN448+$AO$3*AO448+$AP$3*AP448)+$I$3*VLOOKUP(I448,COND!$A$2:$E$7,4,FALSE)+$J$3*VLOOKUP(J448,COND!$A$2:$C$7,2,FALSE)+$K$3*VLOOKUP(K448,COND!$A$2:$C$7,3,FALSE)+IF(AND($B$2&gt;0,$E448&lt;20),$B$2*25,0)</f>
        <v>34.892347957169257</v>
      </c>
      <c r="AR448" s="49">
        <f>STANDARDIZE(AQ448,AVERAGE($AQ$5:$AQ$537),STDEVP($AQ$5:$AQ$537))</f>
        <v>-0.95992923804254526</v>
      </c>
      <c r="AS448" s="47" t="str">
        <f>IF(AND(Z448&lt;&gt;"-",Y448&gt;1),"C",IF(AB448=MAX(AB448:AD448),"2B",IF(AD448=MAX(AB448:AD448),"SS",IF(OR(AC448=MAX(AA448:AD448),AND(AC448&lt;&gt;"-",AC448&gt;4,V448&gt;5)),"3B",IF(AF448=MAX(AE448:AG448),"CF",IF(AND(AG448=MAX(AE448,AG448),AND(W448&gt;5,AG448&lt;&gt;"-")),"RF",IF(AE448&lt;&gt;"-","LF",IF(AA448&lt;&gt;"-","1B","DH"))))))))</f>
        <v>1B</v>
      </c>
      <c r="AT448" s="47"/>
      <c r="AU448" s="47"/>
      <c r="AV448" s="47"/>
      <c r="AW448" s="47" t="str">
        <f>IF(AND($Q448&gt;=6,AVERAGE($S448:$T448)&gt;=6),"Likely",IF(OR($Q448&gt;6,AND($Q448=6,AVERAGE($S448:$T448)&gt;=3),AND($Q448&gt;=5,AVERAGE($S448:$T448)&gt;=5),AVERAGE($Q448,$S448:$T448)&gt;5),"Possible","Unlikely"))</f>
        <v>Unlikely</v>
      </c>
      <c r="AX448" s="47"/>
      <c r="AY448" s="47" t="str">
        <f>INDEX(Table5[[#All],[Ovr]],MATCH(Batters[[#This Row],[PID]],Table5[[#All],[PID]],0))</f>
        <v/>
      </c>
      <c r="AZ448" s="47" t="str">
        <f>INDEX(Table5[[#All],[Rnd]],MATCH(Batters[[#This Row],[PID]],Table5[[#All],[PID]],0))</f>
        <v/>
      </c>
      <c r="BA448" s="47" t="str">
        <f>INDEX(Table5[[#All],[Pick]],MATCH(Batters[[#This Row],[PID]],Table5[[#All],[PID]],0))</f>
        <v/>
      </c>
      <c r="BB448" s="47" t="str">
        <f>INDEX(Table5[[#All],[Team]],MATCH(Batters[[#This Row],[PID]],Table5[[#All],[PID]],0))</f>
        <v/>
      </c>
    </row>
    <row r="449" spans="1:54" ht="15" customHeight="1" x14ac:dyDescent="0.25">
      <c r="A449" s="42">
        <v>14702</v>
      </c>
      <c r="B449" s="42" t="s">
        <v>87</v>
      </c>
      <c r="C449" s="42" t="s">
        <v>652</v>
      </c>
      <c r="D449" s="42" t="s">
        <v>1240</v>
      </c>
      <c r="E449" s="42">
        <v>21</v>
      </c>
      <c r="F449" s="42" t="s">
        <v>42</v>
      </c>
      <c r="G449" s="42" t="s">
        <v>42</v>
      </c>
      <c r="H449" s="43" t="s">
        <v>721</v>
      </c>
      <c r="I449" s="44" t="s">
        <v>47</v>
      </c>
      <c r="J449" s="42" t="s">
        <v>43</v>
      </c>
      <c r="K449" s="43" t="s">
        <v>43</v>
      </c>
      <c r="L449" s="42">
        <v>1</v>
      </c>
      <c r="M449" s="42">
        <v>3</v>
      </c>
      <c r="N449" s="42">
        <v>2</v>
      </c>
      <c r="O449" s="42">
        <v>2</v>
      </c>
      <c r="P449" s="43">
        <v>1</v>
      </c>
      <c r="Q449" s="42">
        <v>3</v>
      </c>
      <c r="R449" s="42">
        <v>5</v>
      </c>
      <c r="S449" s="42">
        <v>3</v>
      </c>
      <c r="T449" s="42">
        <v>3</v>
      </c>
      <c r="U449" s="43">
        <v>2</v>
      </c>
      <c r="V449" s="42">
        <v>3</v>
      </c>
      <c r="W449" s="42">
        <v>1</v>
      </c>
      <c r="X449" s="42">
        <v>4</v>
      </c>
      <c r="Y449" s="43">
        <v>9</v>
      </c>
      <c r="Z449" s="42" t="s">
        <v>45</v>
      </c>
      <c r="AA449" s="42">
        <v>1</v>
      </c>
      <c r="AB449" s="42" t="s">
        <v>45</v>
      </c>
      <c r="AC449" s="42" t="s">
        <v>45</v>
      </c>
      <c r="AD449" s="42" t="s">
        <v>45</v>
      </c>
      <c r="AE449" s="42" t="s">
        <v>45</v>
      </c>
      <c r="AF449" s="42" t="s">
        <v>45</v>
      </c>
      <c r="AG449" s="43" t="s">
        <v>45</v>
      </c>
      <c r="AH449" s="42">
        <v>5</v>
      </c>
      <c r="AI449" s="42">
        <v>5</v>
      </c>
      <c r="AJ449" s="43">
        <v>3</v>
      </c>
      <c r="AK449" s="45" t="s">
        <v>717</v>
      </c>
      <c r="AL449" s="45" t="s">
        <v>47</v>
      </c>
      <c r="AM449" s="46">
        <f>($L$3*(L449-$Q$1)/$Q$2+$M$3*(M449-$R$1)/$R$2+$N$3*(N449-$S$1)/$S$2+$O$3*(O449-$T$1)/$T$2+$P$3*(P449-$U$1)/$U$2)/(SUM($L$3:$P$3))</f>
        <v>-1.8094525465566824</v>
      </c>
      <c r="AN449" s="46">
        <f>($L$3*(Q449-$Q$1)/$Q$2+$M$3*(R449-$R$1)/$R$2+$N$3*(S449-$S$1)/$S$2+$O$3*(T449-$T$1)/$T$2+$P$3*(U449-$U$1)/$U$2)/(SUM($L$3:$P$3))</f>
        <v>-0.84943373106336018</v>
      </c>
      <c r="AO449" s="47">
        <f>IF(AVERAGE(AH449:AI449)&gt;9,1,0)+IF(AVERAGE(AH449:AI449)&gt;7,1,0)+IF(AH449&gt;7,1,0)+IF(AI449&gt;7,1,0)+IF(AJ449&gt;8,1,0)+IF(AJ449&gt;6,1,0)</f>
        <v>0</v>
      </c>
      <c r="AP449" s="48">
        <f>MIN(2,IF(OR(Z449="-",X449&lt;5),0,1+IF(Y449&gt;7,0.35,IF(Y449&gt;5,0.1,0))+IF(Z449&gt;7,1+IF(X449&gt;7,0.25,0),IF(Z449&gt;4,0.5+IF(X449&gt;7,0.25,0),0+IF(X449&gt;7,0.25))))+IF(AA449="-",0,IF(AA449&gt;9,0.5,IF(AA449&gt;7,0.25,0)))+IF(AB449="-",0,IF(AB449&gt;7,1.1,IF(AB449&gt;4,0.6,0)))+IF(OR(AC449="-",V449&lt;5),0,IF(AC449&gt;7,1+IF(V449&gt;7,0.25,0),IF(AC449&gt;4,0.5+IF(V449&gt;7,0.25,0),0)))+IF(AD449="-",0,IF(AD449&gt;7,1.5,IF(AD449&gt;4,1,0)))+IF(AE449="-",0,IF(AE449&gt;9,0.5,IF(AE449&gt;7,0.25,0)))+IF(AF449="-",0,IF(AF449&gt;7,1.25,IF(AF449&gt;4,0.75,0)))+IF(OR(AG449="-",W449&lt;4),0,IF(AG449&gt;7,1+IF(W449&gt;7,0.15,0),IF(AG449&gt;4,0.5+IF(W449&gt;7,0.15,0),0))))</f>
        <v>0</v>
      </c>
      <c r="AQ449" s="46">
        <f>($AM$3*AM449+$AN$3*AN449+$AO$3*AO449+$AP$3*AP449)+$I$3*VLOOKUP(I449,COND!$A$2:$E$7,4,FALSE)+$J$3*VLOOKUP(J449,COND!$A$2:$C$7,2,FALSE)+$K$3*VLOOKUP(K449,COND!$A$2:$C$7,3,FALSE)+IF(AND($B$2&gt;0,$E449&lt;20),$B$2*25,0)</f>
        <v>34.850849972584008</v>
      </c>
      <c r="AR449" s="49">
        <f>STANDARDIZE(AQ449,AVERAGE($AQ$5:$AQ$537),STDEVP($AQ$5:$AQ$537))</f>
        <v>-0.96723053262212466</v>
      </c>
      <c r="AS449" s="47" t="str">
        <f>IF(AND(Z449&lt;&gt;"-",Y449&gt;1),"C",IF(AB449=MAX(AB449:AD449),"2B",IF(AD449=MAX(AB449:AD449),"SS",IF(OR(AC449=MAX(AA449:AD449),AND(AC449&lt;&gt;"-",AC449&gt;4,V449&gt;5)),"3B",IF(AF449=MAX(AE449:AG449),"CF",IF(AND(AG449=MAX(AE449,AG449),AND(W449&gt;5,AG449&lt;&gt;"-")),"RF",IF(AE449&lt;&gt;"-","LF",IF(AA449&lt;&gt;"-","1B","DH"))))))))</f>
        <v>1B</v>
      </c>
      <c r="AT449" s="47"/>
      <c r="AU449" s="47"/>
      <c r="AV449" s="47"/>
      <c r="AW449" s="47" t="str">
        <f>IF(AND($Q449&gt;=6,AVERAGE($S449:$T449)&gt;=6),"Likely",IF(OR($Q449&gt;6,AND($Q449=6,AVERAGE($S449:$T449)&gt;=3),AND($Q449&gt;=5,AVERAGE($S449:$T449)&gt;=5),AVERAGE($Q449,$S449:$T449)&gt;5),"Possible","Unlikely"))</f>
        <v>Unlikely</v>
      </c>
      <c r="AX449" s="47"/>
      <c r="AY449" s="47" t="str">
        <f>INDEX(Table5[[#All],[Ovr]],MATCH(Batters[[#This Row],[PID]],Table5[[#All],[PID]],0))</f>
        <v/>
      </c>
      <c r="AZ449" s="47" t="str">
        <f>INDEX(Table5[[#All],[Rnd]],MATCH(Batters[[#This Row],[PID]],Table5[[#All],[PID]],0))</f>
        <v/>
      </c>
      <c r="BA449" s="47" t="str">
        <f>INDEX(Table5[[#All],[Pick]],MATCH(Batters[[#This Row],[PID]],Table5[[#All],[PID]],0))</f>
        <v/>
      </c>
      <c r="BB449" s="47" t="str">
        <f>INDEX(Table5[[#All],[Team]],MATCH(Batters[[#This Row],[PID]],Table5[[#All],[PID]],0))</f>
        <v/>
      </c>
    </row>
    <row r="450" spans="1:54" ht="15" customHeight="1" x14ac:dyDescent="0.25">
      <c r="A450" s="42">
        <v>11805</v>
      </c>
      <c r="B450" s="42" t="s">
        <v>71</v>
      </c>
      <c r="C450" s="42" t="s">
        <v>909</v>
      </c>
      <c r="D450" s="42" t="s">
        <v>572</v>
      </c>
      <c r="E450" s="42">
        <v>21</v>
      </c>
      <c r="F450" s="42" t="s">
        <v>42</v>
      </c>
      <c r="G450" s="42" t="s">
        <v>42</v>
      </c>
      <c r="H450" s="43" t="s">
        <v>709</v>
      </c>
      <c r="I450" s="44" t="s">
        <v>43</v>
      </c>
      <c r="J450" s="42" t="s">
        <v>44</v>
      </c>
      <c r="K450" s="43" t="s">
        <v>43</v>
      </c>
      <c r="L450" s="42">
        <v>1</v>
      </c>
      <c r="M450" s="42">
        <v>2</v>
      </c>
      <c r="N450" s="42">
        <v>2</v>
      </c>
      <c r="O450" s="42">
        <v>2</v>
      </c>
      <c r="P450" s="43">
        <v>2</v>
      </c>
      <c r="Q450" s="42">
        <v>3</v>
      </c>
      <c r="R450" s="42">
        <v>3</v>
      </c>
      <c r="S450" s="42">
        <v>2</v>
      </c>
      <c r="T450" s="42">
        <v>5</v>
      </c>
      <c r="U450" s="43">
        <v>4</v>
      </c>
      <c r="V450" s="42">
        <v>8</v>
      </c>
      <c r="W450" s="42">
        <v>7</v>
      </c>
      <c r="X450" s="42">
        <v>1</v>
      </c>
      <c r="Y450" s="43">
        <v>1</v>
      </c>
      <c r="Z450" s="42" t="s">
        <v>45</v>
      </c>
      <c r="AA450" s="42" t="s">
        <v>45</v>
      </c>
      <c r="AB450" s="42">
        <v>4</v>
      </c>
      <c r="AC450" s="42" t="s">
        <v>45</v>
      </c>
      <c r="AD450" s="42" t="s">
        <v>45</v>
      </c>
      <c r="AE450" s="42" t="s">
        <v>45</v>
      </c>
      <c r="AF450" s="42" t="s">
        <v>45</v>
      </c>
      <c r="AG450" s="43" t="s">
        <v>45</v>
      </c>
      <c r="AH450" s="42">
        <v>9</v>
      </c>
      <c r="AI450" s="42">
        <v>6</v>
      </c>
      <c r="AJ450" s="43">
        <v>6</v>
      </c>
      <c r="AK450" s="45" t="s">
        <v>717</v>
      </c>
      <c r="AL450" s="45" t="s">
        <v>47</v>
      </c>
      <c r="AM450" s="46">
        <f>($L$3*(L450-$Q$1)/$Q$2+$M$3*(M450-$R$1)/$R$2+$N$3*(N450-$S$1)/$S$2+$O$3*(O450-$T$1)/$T$2+$P$3*(P450-$U$1)/$U$2)/(SUM($L$3:$P$3))</f>
        <v>-1.8204960863583022</v>
      </c>
      <c r="AN450" s="46">
        <f>($L$3*(Q450-$Q$1)/$Q$2+$M$3*(R450-$R$1)/$R$2+$N$3*(S450-$S$1)/$S$2+$O$3*(T450-$T$1)/$T$2+$P$3*(U450-$U$1)/$U$2)/(SUM($L$3:$P$3))</f>
        <v>-0.77516320467133948</v>
      </c>
      <c r="AO450" s="47">
        <f>IF(AVERAGE(AH450:AI450)&gt;9,1,0)+IF(AVERAGE(AH450:AI450)&gt;7,1,0)+IF(AH450&gt;7,1,0)+IF(AI450&gt;7,1,0)+IF(AJ450&gt;8,1,0)+IF(AJ450&gt;6,1,0)</f>
        <v>2</v>
      </c>
      <c r="AP450" s="48">
        <f>MIN(2,IF(OR(Z450="-",X450&lt;5),0,1+IF(Y450&gt;7,0.35,IF(Y450&gt;5,0.1,0))+IF(Z450&gt;7,1+IF(X450&gt;7,0.25,0),IF(Z450&gt;4,0.5+IF(X450&gt;7,0.25,0),0+IF(X450&gt;7,0.25))))+IF(AA450="-",0,IF(AA450&gt;9,0.5,IF(AA450&gt;7,0.25,0)))+IF(AB450="-",0,IF(AB450&gt;7,1.1,IF(AB450&gt;4,0.6,0)))+IF(OR(AC450="-",V450&lt;5),0,IF(AC450&gt;7,1+IF(V450&gt;7,0.25,0),IF(AC450&gt;4,0.5+IF(V450&gt;7,0.25,0),0)))+IF(AD450="-",0,IF(AD450&gt;7,1.5,IF(AD450&gt;4,1,0)))+IF(AE450="-",0,IF(AE450&gt;9,0.5,IF(AE450&gt;7,0.25,0)))+IF(AF450="-",0,IF(AF450&gt;7,1.25,IF(AF450&gt;4,0.75,0)))+IF(OR(AG450="-",W450&lt;4),0,IF(AG450&gt;7,1+IF(W450&gt;7,0.15,0),IF(AG450&gt;4,0.5+IF(W450&gt;7,0.15,0),0))))</f>
        <v>0</v>
      </c>
      <c r="AQ450" s="46">
        <f>($AM$3*AM450+$AN$3*AN450+$AO$3*AO450+$AP$3*AP450)+$I$3*VLOOKUP(I450,COND!$A$2:$E$7,4,FALSE)+$J$3*VLOOKUP(J450,COND!$A$2:$C$7,2,FALSE)+$K$3*VLOOKUP(K450,COND!$A$2:$C$7,3,FALSE)+IF(AND($B$2&gt;0,$E450&lt;20),$B$2*25,0)</f>
        <v>35.549325268641425</v>
      </c>
      <c r="AR450" s="49">
        <f>STANDARDIZE(AQ450,AVERAGE($AQ$5:$AQ$537),STDEVP($AQ$5:$AQ$537))</f>
        <v>-0.84433844655954149</v>
      </c>
      <c r="AS450" s="47" t="str">
        <f>IF(AND(Z450&lt;&gt;"-",Y450&gt;1),"C",IF(AB450=MAX(AB450:AD450),"2B",IF(AD450=MAX(AB450:AD450),"SS",IF(OR(AC450=MAX(AA450:AD450),AND(AC450&lt;&gt;"-",AC450&gt;4,V450&gt;5)),"3B",IF(AF450=MAX(AE450:AG450),"CF",IF(AND(AG450=MAX(AE450,AG450),AND(W450&gt;5,AG450&lt;&gt;"-")),"RF",IF(AE450&lt;&gt;"-","LF",IF(AA450&lt;&gt;"-","1B","DH"))))))))</f>
        <v>2B</v>
      </c>
      <c r="AT450" s="47"/>
      <c r="AU450" s="47"/>
      <c r="AV450" s="47"/>
      <c r="AW450" s="47" t="str">
        <f>IF(AND($Q450&gt;=6,AVERAGE($S450:$T450)&gt;=6),"Likely",IF(OR($Q450&gt;6,AND($Q450=6,AVERAGE($S450:$T450)&gt;=3),AND($Q450&gt;=5,AVERAGE($S450:$T450)&gt;=5),AVERAGE($Q450,$S450:$T450)&gt;5),"Possible","Unlikely"))</f>
        <v>Unlikely</v>
      </c>
      <c r="AX450" s="47"/>
      <c r="AY450" s="47" t="str">
        <f>INDEX(Table5[[#All],[Ovr]],MATCH(Batters[[#This Row],[PID]],Table5[[#All],[PID]],0))</f>
        <v/>
      </c>
      <c r="AZ450" s="47" t="str">
        <f>INDEX(Table5[[#All],[Rnd]],MATCH(Batters[[#This Row],[PID]],Table5[[#All],[PID]],0))</f>
        <v/>
      </c>
      <c r="BA450" s="47" t="str">
        <f>INDEX(Table5[[#All],[Pick]],MATCH(Batters[[#This Row],[PID]],Table5[[#All],[PID]],0))</f>
        <v/>
      </c>
      <c r="BB450" s="47" t="str">
        <f>INDEX(Table5[[#All],[Team]],MATCH(Batters[[#This Row],[PID]],Table5[[#All],[PID]],0))</f>
        <v/>
      </c>
    </row>
    <row r="451" spans="1:54" ht="15" customHeight="1" x14ac:dyDescent="0.25">
      <c r="A451" s="42">
        <v>12257</v>
      </c>
      <c r="B451" s="42" t="s">
        <v>50</v>
      </c>
      <c r="C451" s="42" t="s">
        <v>768</v>
      </c>
      <c r="D451" s="42" t="s">
        <v>769</v>
      </c>
      <c r="E451" s="42">
        <v>22</v>
      </c>
      <c r="F451" s="42" t="s">
        <v>42</v>
      </c>
      <c r="G451" s="42" t="s">
        <v>42</v>
      </c>
      <c r="H451" s="43" t="s">
        <v>721</v>
      </c>
      <c r="I451" s="44" t="s">
        <v>43</v>
      </c>
      <c r="J451" s="42" t="s">
        <v>47</v>
      </c>
      <c r="K451" s="43" t="s">
        <v>47</v>
      </c>
      <c r="L451" s="42">
        <v>2</v>
      </c>
      <c r="M451" s="42">
        <v>2</v>
      </c>
      <c r="N451" s="42">
        <v>2</v>
      </c>
      <c r="O451" s="42">
        <v>2</v>
      </c>
      <c r="P451" s="43">
        <v>4</v>
      </c>
      <c r="Q451" s="42">
        <v>3</v>
      </c>
      <c r="R451" s="42">
        <v>2</v>
      </c>
      <c r="S451" s="42">
        <v>2</v>
      </c>
      <c r="T451" s="42">
        <v>3</v>
      </c>
      <c r="U451" s="43">
        <v>4</v>
      </c>
      <c r="V451" s="42">
        <v>7</v>
      </c>
      <c r="W451" s="42">
        <v>3</v>
      </c>
      <c r="X451" s="42">
        <v>1</v>
      </c>
      <c r="Y451" s="43">
        <v>1</v>
      </c>
      <c r="Z451" s="42" t="s">
        <v>45</v>
      </c>
      <c r="AA451" s="42" t="s">
        <v>45</v>
      </c>
      <c r="AB451" s="42" t="s">
        <v>45</v>
      </c>
      <c r="AC451" s="42" t="s">
        <v>45</v>
      </c>
      <c r="AD451" s="42" t="s">
        <v>45</v>
      </c>
      <c r="AE451" s="42">
        <v>1</v>
      </c>
      <c r="AF451" s="42" t="s">
        <v>45</v>
      </c>
      <c r="AG451" s="43" t="s">
        <v>45</v>
      </c>
      <c r="AH451" s="42">
        <v>1</v>
      </c>
      <c r="AI451" s="42">
        <v>1</v>
      </c>
      <c r="AJ451" s="43">
        <v>1</v>
      </c>
      <c r="AK451" s="45" t="s">
        <v>45</v>
      </c>
      <c r="AL451" s="45" t="s">
        <v>705</v>
      </c>
      <c r="AM451" s="46">
        <f>($L$3*(L451-$Q$1)/$Q$2+$M$3*(M451-$R$1)/$R$2+$N$3*(N451-$S$1)/$S$2+$O$3*(O451-$T$1)/$T$2+$P$3*(P451-$U$1)/$U$2)/(SUM($L$3:$P$3))</f>
        <v>-1.417907570521461</v>
      </c>
      <c r="AN451" s="46">
        <f>($L$3*(Q451-$Q$1)/$Q$2+$M$3*(R451-$R$1)/$R$2+$N$3*(S451-$S$1)/$S$2+$O$3*(T451-$T$1)/$T$2+$P$3*(U451-$U$1)/$U$2)/(SUM($L$3:$P$3))</f>
        <v>-1.0056421843092052</v>
      </c>
      <c r="AO451" s="47">
        <f>IF(AVERAGE(AH451:AI451)&gt;9,1,0)+IF(AVERAGE(AH451:AI451)&gt;7,1,0)+IF(AH451&gt;7,1,0)+IF(AI451&gt;7,1,0)+IF(AJ451&gt;8,1,0)+IF(AJ451&gt;6,1,0)</f>
        <v>0</v>
      </c>
      <c r="AP451" s="48">
        <f>MIN(2,IF(OR(Z451="-",X451&lt;5),0,1+IF(Y451&gt;7,0.35,IF(Y451&gt;5,0.1,0))+IF(Z451&gt;7,1+IF(X451&gt;7,0.25,0),IF(Z451&gt;4,0.5+IF(X451&gt;7,0.25,0),0+IF(X451&gt;7,0.25))))+IF(AA451="-",0,IF(AA451&gt;9,0.5,IF(AA451&gt;7,0.25,0)))+IF(AB451="-",0,IF(AB451&gt;7,1.1,IF(AB451&gt;4,0.6,0)))+IF(OR(AC451="-",V451&lt;5),0,IF(AC451&gt;7,1+IF(V451&gt;7,0.25,0),IF(AC451&gt;4,0.5+IF(V451&gt;7,0.25,0),0)))+IF(AD451="-",0,IF(AD451&gt;7,1.5,IF(AD451&gt;4,1,0)))+IF(AE451="-",0,IF(AE451&gt;9,0.5,IF(AE451&gt;7,0.25,0)))+IF(AF451="-",0,IF(AF451&gt;7,1.25,IF(AF451&gt;4,0.75,0)))+IF(OR(AG451="-",W451&lt;4),0,IF(AG451&gt;7,1+IF(W451&gt;7,0.15,0),IF(AG451&gt;4,0.5+IF(W451&gt;7,0.15,0),0))))</f>
        <v>0</v>
      </c>
      <c r="AQ451" s="46">
        <f>($AM$3*AM451+$AN$3*AN451+$AO$3*AO451+$AP$3*AP451)+$I$3*VLOOKUP(I451,COND!$A$2:$E$7,4,FALSE)+$J$3*VLOOKUP(J451,COND!$A$2:$C$7,2,FALSE)+$K$3*VLOOKUP(K451,COND!$A$2:$C$7,3,FALSE)+IF(AND($B$2&gt;0,$E451&lt;20),$B$2*25,0)</f>
        <v>33.390503031237394</v>
      </c>
      <c r="AR451" s="49">
        <f>STANDARDIZE(AQ451,AVERAGE($AQ$5:$AQ$537),STDEVP($AQ$5:$AQ$537))</f>
        <v>-1.2241688710432528</v>
      </c>
      <c r="AS451" s="47" t="str">
        <f>IF(AND(Z451&lt;&gt;"-",Y451&gt;1),"C",IF(AB451=MAX(AB451:AD451),"2B",IF(AD451=MAX(AB451:AD451),"SS",IF(OR(AC451=MAX(AA451:AD451),AND(AC451&lt;&gt;"-",AC451&gt;4,V451&gt;5)),"3B",IF(AF451=MAX(AE451:AG451),"CF",IF(AND(AG451=MAX(AE451,AG451),AND(W451&gt;5,AG451&lt;&gt;"-")),"RF",IF(AE451&lt;&gt;"-","LF",IF(AA451&lt;&gt;"-","1B","DH"))))))))</f>
        <v>LF</v>
      </c>
      <c r="AT451" s="47"/>
      <c r="AU451" s="47"/>
      <c r="AV451" s="47"/>
      <c r="AW451" s="47" t="str">
        <f>IF(AND($Q451&gt;=6,AVERAGE($S451:$T451)&gt;=6),"Likely",IF(OR($Q451&gt;6,AND($Q451=6,AVERAGE($S451:$T451)&gt;=3),AND($Q451&gt;=5,AVERAGE($S451:$T451)&gt;=5),AVERAGE($Q451,$S451:$T451)&gt;5),"Possible","Unlikely"))</f>
        <v>Unlikely</v>
      </c>
      <c r="AX451" s="47"/>
      <c r="AY451" s="47" t="str">
        <f>INDEX(Table5[[#All],[Ovr]],MATCH(Batters[[#This Row],[PID]],Table5[[#All],[PID]],0))</f>
        <v/>
      </c>
      <c r="AZ451" s="47" t="str">
        <f>INDEX(Table5[[#All],[Rnd]],MATCH(Batters[[#This Row],[PID]],Table5[[#All],[PID]],0))</f>
        <v/>
      </c>
      <c r="BA451" s="47" t="str">
        <f>INDEX(Table5[[#All],[Pick]],MATCH(Batters[[#This Row],[PID]],Table5[[#All],[PID]],0))</f>
        <v/>
      </c>
      <c r="BB451" s="47" t="str">
        <f>INDEX(Table5[[#All],[Team]],MATCH(Batters[[#This Row],[PID]],Table5[[#All],[PID]],0))</f>
        <v/>
      </c>
    </row>
    <row r="452" spans="1:54" ht="15" customHeight="1" x14ac:dyDescent="0.25">
      <c r="A452" s="42">
        <v>8302</v>
      </c>
      <c r="B452" s="42" t="s">
        <v>87</v>
      </c>
      <c r="C452" s="42" t="s">
        <v>126</v>
      </c>
      <c r="D452" s="42" t="s">
        <v>461</v>
      </c>
      <c r="E452" s="42">
        <v>22</v>
      </c>
      <c r="F452" s="42" t="s">
        <v>42</v>
      </c>
      <c r="G452" s="42" t="s">
        <v>42</v>
      </c>
      <c r="H452" s="43" t="s">
        <v>721</v>
      </c>
      <c r="I452" s="44" t="s">
        <v>43</v>
      </c>
      <c r="J452" s="42" t="s">
        <v>43</v>
      </c>
      <c r="K452" s="43" t="s">
        <v>43</v>
      </c>
      <c r="L452" s="42">
        <v>2</v>
      </c>
      <c r="M452" s="42">
        <v>1</v>
      </c>
      <c r="N452" s="42">
        <v>3</v>
      </c>
      <c r="O452" s="42">
        <v>2</v>
      </c>
      <c r="P452" s="43">
        <v>1</v>
      </c>
      <c r="Q452" s="42">
        <v>3</v>
      </c>
      <c r="R452" s="42">
        <v>1</v>
      </c>
      <c r="S452" s="42">
        <v>4</v>
      </c>
      <c r="T452" s="42">
        <v>4</v>
      </c>
      <c r="U452" s="43">
        <v>3</v>
      </c>
      <c r="V452" s="42">
        <v>3</v>
      </c>
      <c r="W452" s="42">
        <v>3</v>
      </c>
      <c r="X452" s="42">
        <v>3</v>
      </c>
      <c r="Y452" s="43">
        <v>3</v>
      </c>
      <c r="Z452" s="42" t="s">
        <v>45</v>
      </c>
      <c r="AA452" s="42">
        <v>1</v>
      </c>
      <c r="AB452" s="42" t="s">
        <v>45</v>
      </c>
      <c r="AC452" s="42" t="s">
        <v>45</v>
      </c>
      <c r="AD452" s="42" t="s">
        <v>45</v>
      </c>
      <c r="AE452" s="42" t="s">
        <v>45</v>
      </c>
      <c r="AF452" s="42" t="s">
        <v>45</v>
      </c>
      <c r="AG452" s="43" t="s">
        <v>45</v>
      </c>
      <c r="AH452" s="42">
        <v>1</v>
      </c>
      <c r="AI452" s="42">
        <v>4</v>
      </c>
      <c r="AJ452" s="43">
        <v>1</v>
      </c>
      <c r="AK452" s="45" t="s">
        <v>45</v>
      </c>
      <c r="AL452" s="45" t="s">
        <v>47</v>
      </c>
      <c r="AM452" s="46">
        <f>($L$3*(L452-$Q$1)/$Q$2+$M$3*(M452-$R$1)/$R$2+$N$3*(N452-$S$1)/$S$2+$O$3*(O452-$T$1)/$T$2+$P$3*(P452-$U$1)/$U$2)/(SUM($L$3:$P$3))</f>
        <v>-1.505954975567513</v>
      </c>
      <c r="AN452" s="46">
        <f>($L$3*(Q452-$Q$1)/$Q$2+$M$3*(R452-$R$1)/$R$2+$N$3*(S452-$S$1)/$S$2+$O$3*(T452-$T$1)/$T$2+$P$3*(U452-$U$1)/$U$2)/(SUM($L$3:$P$3))</f>
        <v>-0.84088586568760804</v>
      </c>
      <c r="AO452" s="47">
        <f>IF(AVERAGE(AH452:AI452)&gt;9,1,0)+IF(AVERAGE(AH452:AI452)&gt;7,1,0)+IF(AH452&gt;7,1,0)+IF(AI452&gt;7,1,0)+IF(AJ452&gt;8,1,0)+IF(AJ452&gt;6,1,0)</f>
        <v>0</v>
      </c>
      <c r="AP452" s="48">
        <f>MIN(2,IF(OR(Z452="-",X452&lt;5),0,1+IF(Y452&gt;7,0.35,IF(Y452&gt;5,0.1,0))+IF(Z452&gt;7,1+IF(X452&gt;7,0.25,0),IF(Z452&gt;4,0.5+IF(X452&gt;7,0.25,0),0+IF(X452&gt;7,0.25))))+IF(AA452="-",0,IF(AA452&gt;9,0.5,IF(AA452&gt;7,0.25,0)))+IF(AB452="-",0,IF(AB452&gt;7,1.1,IF(AB452&gt;4,0.6,0)))+IF(OR(AC452="-",V452&lt;5),0,IF(AC452&gt;7,1+IF(V452&gt;7,0.25,0),IF(AC452&gt;4,0.5+IF(V452&gt;7,0.25,0),0)))+IF(AD452="-",0,IF(AD452&gt;7,1.5,IF(AD452&gt;4,1,0)))+IF(AE452="-",0,IF(AE452&gt;9,0.5,IF(AE452&gt;7,0.25,0)))+IF(AF452="-",0,IF(AF452&gt;7,1.25,IF(AF452&gt;4,0.75,0)))+IF(OR(AG452="-",W452&lt;4),0,IF(AG452&gt;7,1+IF(W452&gt;7,0.15,0),IF(AG452&gt;4,0.5+IF(W452&gt;7,0.15,0),0))))</f>
        <v>0</v>
      </c>
      <c r="AQ452" s="46">
        <f>($AM$3*AM452+$AN$3*AN452+$AO$3*AO452+$AP$3*AP452)+$I$3*VLOOKUP(I452,COND!$A$2:$E$7,4,FALSE)+$J$3*VLOOKUP(J452,COND!$A$2:$C$7,2,FALSE)+$K$3*VLOOKUP(K452,COND!$A$2:$C$7,3,FALSE)+IF(AND($B$2&gt;0,$E452&lt;20),$B$2*25,0)</f>
        <v>34.758774114191951</v>
      </c>
      <c r="AR452" s="49">
        <f>STANDARDIZE(AQ452,AVERAGE($AQ$5:$AQ$537),STDEVP($AQ$5:$AQ$537))</f>
        <v>-0.98343066794211853</v>
      </c>
      <c r="AS452" s="47" t="str">
        <f>IF(AND(Z452&lt;&gt;"-",Y452&gt;1),"C",IF(AB452=MAX(AB452:AD452),"2B",IF(AD452=MAX(AB452:AD452),"SS",IF(OR(AC452=MAX(AA452:AD452),AND(AC452&lt;&gt;"-",AC452&gt;4,V452&gt;5)),"3B",IF(AF452=MAX(AE452:AG452),"CF",IF(AND(AG452=MAX(AE452,AG452),AND(W452&gt;5,AG452&lt;&gt;"-")),"RF",IF(AE452&lt;&gt;"-","LF",IF(AA452&lt;&gt;"-","1B","DH"))))))))</f>
        <v>1B</v>
      </c>
      <c r="AT452" s="47"/>
      <c r="AU452" s="47"/>
      <c r="AV452" s="47"/>
      <c r="AW452" s="47" t="str">
        <f>IF(AND($Q452&gt;=6,AVERAGE($S452:$T452)&gt;=6),"Likely",IF(OR($Q452&gt;6,AND($Q452=6,AVERAGE($S452:$T452)&gt;=3),AND($Q452&gt;=5,AVERAGE($S452:$T452)&gt;=5),AVERAGE($Q452,$S452:$T452)&gt;5),"Possible","Unlikely"))</f>
        <v>Unlikely</v>
      </c>
      <c r="AX452" s="47"/>
      <c r="AY452" s="47" t="str">
        <f>INDEX(Table5[[#All],[Ovr]],MATCH(Batters[[#This Row],[PID]],Table5[[#All],[PID]],0))</f>
        <v/>
      </c>
      <c r="AZ452" s="47" t="str">
        <f>INDEX(Table5[[#All],[Rnd]],MATCH(Batters[[#This Row],[PID]],Table5[[#All],[PID]],0))</f>
        <v/>
      </c>
      <c r="BA452" s="47" t="str">
        <f>INDEX(Table5[[#All],[Pick]],MATCH(Batters[[#This Row],[PID]],Table5[[#All],[PID]],0))</f>
        <v/>
      </c>
      <c r="BB452" s="47" t="str">
        <f>INDEX(Table5[[#All],[Team]],MATCH(Batters[[#This Row],[PID]],Table5[[#All],[PID]],0))</f>
        <v/>
      </c>
    </row>
    <row r="453" spans="1:54" ht="15" customHeight="1" x14ac:dyDescent="0.25">
      <c r="A453" s="42">
        <v>11839</v>
      </c>
      <c r="B453" s="42" t="s">
        <v>87</v>
      </c>
      <c r="C453" s="42" t="s">
        <v>433</v>
      </c>
      <c r="D453" s="42" t="s">
        <v>726</v>
      </c>
      <c r="E453" s="42">
        <v>22</v>
      </c>
      <c r="F453" s="42" t="s">
        <v>53</v>
      </c>
      <c r="G453" s="42" t="s">
        <v>53</v>
      </c>
      <c r="H453" s="43" t="s">
        <v>721</v>
      </c>
      <c r="I453" s="44" t="s">
        <v>47</v>
      </c>
      <c r="J453" s="42" t="s">
        <v>43</v>
      </c>
      <c r="K453" s="43" t="s">
        <v>43</v>
      </c>
      <c r="L453" s="42">
        <v>3</v>
      </c>
      <c r="M453" s="42">
        <v>2</v>
      </c>
      <c r="N453" s="42">
        <v>2</v>
      </c>
      <c r="O453" s="42">
        <v>1</v>
      </c>
      <c r="P453" s="43">
        <v>3</v>
      </c>
      <c r="Q453" s="42">
        <v>4</v>
      </c>
      <c r="R453" s="42">
        <v>2</v>
      </c>
      <c r="S453" s="42">
        <v>2</v>
      </c>
      <c r="T453" s="42">
        <v>1</v>
      </c>
      <c r="U453" s="43">
        <v>4</v>
      </c>
      <c r="V453" s="42">
        <v>7</v>
      </c>
      <c r="W453" s="42">
        <v>1</v>
      </c>
      <c r="X453" s="42">
        <v>1</v>
      </c>
      <c r="Y453" s="43">
        <v>1</v>
      </c>
      <c r="Z453" s="42" t="s">
        <v>45</v>
      </c>
      <c r="AA453" s="42" t="s">
        <v>45</v>
      </c>
      <c r="AB453" s="42" t="s">
        <v>45</v>
      </c>
      <c r="AC453" s="42" t="s">
        <v>45</v>
      </c>
      <c r="AD453" s="42" t="s">
        <v>45</v>
      </c>
      <c r="AE453" s="42" t="s">
        <v>45</v>
      </c>
      <c r="AF453" s="42" t="s">
        <v>45</v>
      </c>
      <c r="AG453" s="43" t="s">
        <v>45</v>
      </c>
      <c r="AH453" s="42">
        <v>2</v>
      </c>
      <c r="AI453" s="42">
        <v>1</v>
      </c>
      <c r="AJ453" s="43">
        <v>3</v>
      </c>
      <c r="AK453" s="45" t="s">
        <v>45</v>
      </c>
      <c r="AL453" s="45" t="s">
        <v>705</v>
      </c>
      <c r="AM453" s="46">
        <f>($L$3*(L453-$Q$1)/$Q$2+$M$3*(M453-$R$1)/$R$2+$N$3*(N453-$S$1)/$S$2+$O$3*(O453-$T$1)/$T$2+$P$3*(P453-$U$1)/$U$2)/(SUM($L$3:$P$3))</f>
        <v>-1.2250776241454506</v>
      </c>
      <c r="AN453" s="46">
        <f>($L$3*(Q453-$Q$1)/$Q$2+$M$3*(R453-$R$1)/$R$2+$N$3*(S453-$S$1)/$S$2+$O$3*(T453-$T$1)/$T$2+$P$3*(U453-$U$1)/$U$2)/(SUM($L$3:$P$3))</f>
        <v>-0.86250544812569241</v>
      </c>
      <c r="AO453" s="47">
        <f>IF(AVERAGE(AH453:AI453)&gt;9,1,0)+IF(AVERAGE(AH453:AI453)&gt;7,1,0)+IF(AH453&gt;7,1,0)+IF(AI453&gt;7,1,0)+IF(AJ453&gt;8,1,0)+IF(AJ453&gt;6,1,0)</f>
        <v>0</v>
      </c>
      <c r="AP453" s="48">
        <f>MIN(2,IF(OR(Z453="-",X453&lt;5),0,1+IF(Y453&gt;7,0.35,IF(Y453&gt;5,0.1,0))+IF(Z453&gt;7,1+IF(X453&gt;7,0.25,0),IF(Z453&gt;4,0.5+IF(X453&gt;7,0.25,0),0+IF(X453&gt;7,0.25))))+IF(AA453="-",0,IF(AA453&gt;9,0.5,IF(AA453&gt;7,0.25,0)))+IF(AB453="-",0,IF(AB453&gt;7,1.1,IF(AB453&gt;4,0.6,0)))+IF(OR(AC453="-",V453&lt;5),0,IF(AC453&gt;7,1+IF(V453&gt;7,0.25,0),IF(AC453&gt;4,0.5+IF(V453&gt;7,0.25,0),0)))+IF(AD453="-",0,IF(AD453&gt;7,1.5,IF(AD453&gt;4,1,0)))+IF(AE453="-",0,IF(AE453&gt;9,0.5,IF(AE453&gt;7,0.25,0)))+IF(AF453="-",0,IF(AF453&gt;7,1.25,IF(AF453&gt;4,0.75,0)))+IF(OR(AG453="-",W453&lt;4),0,IF(AG453&gt;7,1+IF(W453&gt;7,0.15,0),IF(AG453&gt;4,0.5+IF(W453&gt;7,0.15,0),0))))</f>
        <v>0</v>
      </c>
      <c r="AQ453" s="46">
        <f>($AM$3*AM453+$AN$3*AN453+$AO$3*AO453+$AP$3*AP453)+$I$3*VLOOKUP(I453,COND!$A$2:$E$7,4,FALSE)+$J$3*VLOOKUP(J453,COND!$A$2:$C$7,2,FALSE)+$K$3*VLOOKUP(K453,COND!$A$2:$C$7,3,FALSE)+IF(AND($B$2&gt;0,$E453&lt;20),$B$2*25,0)</f>
        <v>34.752426860077144</v>
      </c>
      <c r="AR453" s="49">
        <f>STANDARDIZE(AQ453,AVERAGE($AQ$5:$AQ$537),STDEVP($AQ$5:$AQ$537))</f>
        <v>-0.98454742511784243</v>
      </c>
      <c r="AS453" s="47" t="str">
        <f>IF(AND(Z453&lt;&gt;"-",Y453&gt;1),"C",IF(AB453=MAX(AB453:AD453),"2B",IF(AD453=MAX(AB453:AD453),"SS",IF(OR(AC453=MAX(AA453:AD453),AND(AC453&lt;&gt;"-",AC453&gt;4,V453&gt;5)),"3B",IF(AF453=MAX(AE453:AG453),"CF",IF(AND(AG453=MAX(AE453,AG453),AND(W453&gt;5,AG453&lt;&gt;"-")),"RF",IF(AE453&lt;&gt;"-","LF",IF(AA453&lt;&gt;"-","1B","DH"))))))))</f>
        <v>DH</v>
      </c>
      <c r="AT453" s="47"/>
      <c r="AU453" s="47"/>
      <c r="AV453" s="47"/>
      <c r="AW453" s="47" t="str">
        <f>IF(AND($Q453&gt;=6,AVERAGE($S453:$T453)&gt;=6),"Likely",IF(OR($Q453&gt;6,AND($Q453=6,AVERAGE($S453:$T453)&gt;=3),AND($Q453&gt;=5,AVERAGE($S453:$T453)&gt;=5),AVERAGE($Q453,$S453:$T453)&gt;5),"Possible","Unlikely"))</f>
        <v>Unlikely</v>
      </c>
      <c r="AX453" s="47"/>
      <c r="AY453" s="47" t="str">
        <f>INDEX(Table5[[#All],[Ovr]],MATCH(Batters[[#This Row],[PID]],Table5[[#All],[PID]],0))</f>
        <v/>
      </c>
      <c r="AZ453" s="47" t="str">
        <f>INDEX(Table5[[#All],[Rnd]],MATCH(Batters[[#This Row],[PID]],Table5[[#All],[PID]],0))</f>
        <v/>
      </c>
      <c r="BA453" s="47" t="str">
        <f>INDEX(Table5[[#All],[Pick]],MATCH(Batters[[#This Row],[PID]],Table5[[#All],[PID]],0))</f>
        <v/>
      </c>
      <c r="BB453" s="47" t="str">
        <f>INDEX(Table5[[#All],[Team]],MATCH(Batters[[#This Row],[PID]],Table5[[#All],[PID]],0))</f>
        <v/>
      </c>
    </row>
    <row r="454" spans="1:54" ht="15" customHeight="1" x14ac:dyDescent="0.25">
      <c r="A454" s="42">
        <v>11955</v>
      </c>
      <c r="B454" s="42" t="s">
        <v>69</v>
      </c>
      <c r="C454" s="42" t="s">
        <v>326</v>
      </c>
      <c r="D454" s="42" t="s">
        <v>875</v>
      </c>
      <c r="E454" s="42">
        <v>21</v>
      </c>
      <c r="F454" s="42" t="s">
        <v>42</v>
      </c>
      <c r="G454" s="42" t="s">
        <v>42</v>
      </c>
      <c r="H454" s="43" t="s">
        <v>709</v>
      </c>
      <c r="I454" s="44" t="s">
        <v>43</v>
      </c>
      <c r="J454" s="42" t="s">
        <v>44</v>
      </c>
      <c r="K454" s="43" t="s">
        <v>43</v>
      </c>
      <c r="L454" s="42">
        <v>2</v>
      </c>
      <c r="M454" s="42">
        <v>2</v>
      </c>
      <c r="N454" s="42">
        <v>2</v>
      </c>
      <c r="O454" s="42">
        <v>2</v>
      </c>
      <c r="P454" s="43">
        <v>2</v>
      </c>
      <c r="Q454" s="42">
        <v>3</v>
      </c>
      <c r="R454" s="42">
        <v>3</v>
      </c>
      <c r="S454" s="42">
        <v>3</v>
      </c>
      <c r="T454" s="42">
        <v>4</v>
      </c>
      <c r="U454" s="43">
        <v>3</v>
      </c>
      <c r="V454" s="42">
        <v>10</v>
      </c>
      <c r="W454" s="42">
        <v>9</v>
      </c>
      <c r="X454" s="42">
        <v>1</v>
      </c>
      <c r="Y454" s="43">
        <v>1</v>
      </c>
      <c r="Z454" s="42" t="s">
        <v>45</v>
      </c>
      <c r="AA454" s="42" t="s">
        <v>45</v>
      </c>
      <c r="AB454" s="42" t="s">
        <v>45</v>
      </c>
      <c r="AC454" s="42">
        <v>6</v>
      </c>
      <c r="AD454" s="42" t="s">
        <v>45</v>
      </c>
      <c r="AE454" s="42" t="s">
        <v>45</v>
      </c>
      <c r="AF454" s="42" t="s">
        <v>45</v>
      </c>
      <c r="AG454" s="43" t="s">
        <v>45</v>
      </c>
      <c r="AH454" s="42">
        <v>4</v>
      </c>
      <c r="AI454" s="42">
        <v>4</v>
      </c>
      <c r="AJ454" s="43">
        <v>3</v>
      </c>
      <c r="AK454" s="45" t="s">
        <v>45</v>
      </c>
      <c r="AL454" s="45" t="s">
        <v>47</v>
      </c>
      <c r="AM454" s="46">
        <f>($L$3*(L454-$Q$1)/$Q$2+$M$3*(M454-$R$1)/$R$2+$N$3*(N454-$S$1)/$S$2+$O$3*(O454-$T$1)/$T$2+$P$3*(P454-$U$1)/$U$2)/(SUM($L$3:$P$3))</f>
        <v>-1.4979402501556278</v>
      </c>
      <c r="AN454" s="46">
        <f>($L$3*(Q454-$Q$1)/$Q$2+$M$3*(R454-$R$1)/$R$2+$N$3*(S454-$S$1)/$S$2+$O$3*(T454-$T$1)/$T$2+$P$3*(U454-$U$1)/$U$2)/(SUM($L$3:$P$3))</f>
        <v>-0.82182760047410253</v>
      </c>
      <c r="AO454" s="47">
        <f>IF(AVERAGE(AH454:AI454)&gt;9,1,0)+IF(AVERAGE(AH454:AI454)&gt;7,1,0)+IF(AH454&gt;7,1,0)+IF(AI454&gt;7,1,0)+IF(AJ454&gt;8,1,0)+IF(AJ454&gt;6,1,0)</f>
        <v>0</v>
      </c>
      <c r="AP454" s="48">
        <f>MIN(2,IF(OR(Z454="-",X454&lt;5),0,1+IF(Y454&gt;7,0.35,IF(Y454&gt;5,0.1,0))+IF(Z454&gt;7,1+IF(X454&gt;7,0.25,0),IF(Z454&gt;4,0.5+IF(X454&gt;7,0.25,0),0+IF(X454&gt;7,0.25))))+IF(AA454="-",0,IF(AA454&gt;9,0.5,IF(AA454&gt;7,0.25,0)))+IF(AB454="-",0,IF(AB454&gt;7,1.1,IF(AB454&gt;4,0.6,0)))+IF(OR(AC454="-",V454&lt;5),0,IF(AC454&gt;7,1+IF(V454&gt;7,0.25,0),IF(AC454&gt;4,0.5+IF(V454&gt;7,0.25,0),0)))+IF(AD454="-",0,IF(AD454&gt;7,1.5,IF(AD454&gt;4,1,0)))+IF(AE454="-",0,IF(AE454&gt;9,0.5,IF(AE454&gt;7,0.25,0)))+IF(AF454="-",0,IF(AF454&gt;7,1.25,IF(AF454&gt;4,0.75,0)))+IF(OR(AG454="-",W454&lt;4),0,IF(AG454&gt;7,1+IF(W454&gt;7,0.15,0),IF(AG454&gt;4,0.5+IF(W454&gt;7,0.15,0),0))))</f>
        <v>0.75</v>
      </c>
      <c r="AQ454" s="46">
        <f>($AM$3*AM454+$AN$3*AN454+$AO$3*AO454+$AP$3*AP454)+$I$3*VLOOKUP(I454,COND!$A$2:$E$7,4,FALSE)+$J$3*VLOOKUP(J454,COND!$A$2:$C$7,2,FALSE)+$K$3*VLOOKUP(K454,COND!$A$2:$C$7,3,FALSE)+IF(AND($B$2&gt;0,$E454&lt;20),$B$2*25,0)</f>
        <v>35.438274769295205</v>
      </c>
      <c r="AR454" s="49">
        <f>STANDARDIZE(AQ454,AVERAGE($AQ$5:$AQ$537),STDEVP($AQ$5:$AQ$537))</f>
        <v>-0.86387704384420005</v>
      </c>
      <c r="AS454" s="47" t="str">
        <f>IF(AND(Z454&lt;&gt;"-",Y454&gt;1),"C",IF(AB454=MAX(AB454:AD454),"2B",IF(AD454=MAX(AB454:AD454),"SS",IF(OR(AC454=MAX(AA454:AD454),AND(AC454&lt;&gt;"-",AC454&gt;4,V454&gt;5)),"3B",IF(AF454=MAX(AE454:AG454),"CF",IF(AND(AG454=MAX(AE454,AG454),AND(W454&gt;5,AG454&lt;&gt;"-")),"RF",IF(AE454&lt;&gt;"-","LF",IF(AA454&lt;&gt;"-","1B","DH"))))))))</f>
        <v>3B</v>
      </c>
      <c r="AT454" s="47"/>
      <c r="AU454" s="47"/>
      <c r="AV454" s="47"/>
      <c r="AW454" s="47" t="str">
        <f>IF(AND($Q454&gt;=6,AVERAGE($S454:$T454)&gt;=6),"Likely",IF(OR($Q454&gt;6,AND($Q454=6,AVERAGE($S454:$T454)&gt;=3),AND($Q454&gt;=5,AVERAGE($S454:$T454)&gt;=5),AVERAGE($Q454,$S454:$T454)&gt;5),"Possible","Unlikely"))</f>
        <v>Unlikely</v>
      </c>
      <c r="AX454" s="47"/>
      <c r="AY454" s="47" t="str">
        <f>INDEX(Table5[[#All],[Ovr]],MATCH(Batters[[#This Row],[PID]],Table5[[#All],[PID]],0))</f>
        <v/>
      </c>
      <c r="AZ454" s="47" t="str">
        <f>INDEX(Table5[[#All],[Rnd]],MATCH(Batters[[#This Row],[PID]],Table5[[#All],[PID]],0))</f>
        <v/>
      </c>
      <c r="BA454" s="47" t="str">
        <f>INDEX(Table5[[#All],[Pick]],MATCH(Batters[[#This Row],[PID]],Table5[[#All],[PID]],0))</f>
        <v/>
      </c>
      <c r="BB454" s="47" t="str">
        <f>INDEX(Table5[[#All],[Team]],MATCH(Batters[[#This Row],[PID]],Table5[[#All],[PID]],0))</f>
        <v/>
      </c>
    </row>
    <row r="455" spans="1:54" ht="15" customHeight="1" x14ac:dyDescent="0.25">
      <c r="A455" s="42">
        <v>12542</v>
      </c>
      <c r="B455" s="42" t="s">
        <v>69</v>
      </c>
      <c r="C455" s="42" t="s">
        <v>1199</v>
      </c>
      <c r="D455" s="42" t="s">
        <v>882</v>
      </c>
      <c r="E455" s="42">
        <v>21</v>
      </c>
      <c r="F455" s="42" t="s">
        <v>42</v>
      </c>
      <c r="G455" s="42" t="s">
        <v>42</v>
      </c>
      <c r="H455" s="43" t="s">
        <v>709</v>
      </c>
      <c r="I455" s="44" t="s">
        <v>43</v>
      </c>
      <c r="J455" s="42" t="s">
        <v>43</v>
      </c>
      <c r="K455" s="43" t="s">
        <v>43</v>
      </c>
      <c r="L455" s="42">
        <v>2</v>
      </c>
      <c r="M455" s="42">
        <v>2</v>
      </c>
      <c r="N455" s="42">
        <v>2</v>
      </c>
      <c r="O455" s="42">
        <v>1</v>
      </c>
      <c r="P455" s="43">
        <v>1</v>
      </c>
      <c r="Q455" s="42">
        <v>3</v>
      </c>
      <c r="R455" s="42">
        <v>3</v>
      </c>
      <c r="S455" s="42">
        <v>3</v>
      </c>
      <c r="T455" s="42">
        <v>3</v>
      </c>
      <c r="U455" s="43">
        <v>3</v>
      </c>
      <c r="V455" s="42">
        <v>10</v>
      </c>
      <c r="W455" s="42">
        <v>9</v>
      </c>
      <c r="X455" s="42">
        <v>1</v>
      </c>
      <c r="Y455" s="43">
        <v>1</v>
      </c>
      <c r="Z455" s="42" t="s">
        <v>45</v>
      </c>
      <c r="AA455" s="42" t="s">
        <v>45</v>
      </c>
      <c r="AB455" s="42" t="s">
        <v>45</v>
      </c>
      <c r="AC455" s="42">
        <v>5</v>
      </c>
      <c r="AD455" s="42" t="s">
        <v>45</v>
      </c>
      <c r="AE455" s="42" t="s">
        <v>45</v>
      </c>
      <c r="AF455" s="42" t="s">
        <v>45</v>
      </c>
      <c r="AG455" s="43" t="s">
        <v>45</v>
      </c>
      <c r="AH455" s="42">
        <v>4</v>
      </c>
      <c r="AI455" s="42">
        <v>4</v>
      </c>
      <c r="AJ455" s="43">
        <v>1</v>
      </c>
      <c r="AK455" s="45" t="s">
        <v>45</v>
      </c>
      <c r="AL455" s="45" t="s">
        <v>47</v>
      </c>
      <c r="AM455" s="46">
        <f>($L$3*(L455-$Q$1)/$Q$2+$M$3*(M455-$R$1)/$R$2+$N$3*(N455-$S$1)/$S$2+$O$3*(O455-$T$1)/$T$2+$P$3*(P455-$U$1)/$U$2)/(SUM($L$3:$P$3))</f>
        <v>-1.6276661399822923</v>
      </c>
      <c r="AN455" s="46">
        <f>($L$3*(Q455-$Q$1)/$Q$2+$M$3*(R455-$R$1)/$R$2+$N$3*(S455-$S$1)/$S$2+$O$3*(T455-$T$1)/$T$2+$P$3*(U455-$U$1)/$U$2)/(SUM($L$3:$P$3))</f>
        <v>-0.91153715048368367</v>
      </c>
      <c r="AO455" s="47">
        <f>IF(AVERAGE(AH455:AI455)&gt;9,1,0)+IF(AVERAGE(AH455:AI455)&gt;7,1,0)+IF(AH455&gt;7,1,0)+IF(AI455&gt;7,1,0)+IF(AJ455&gt;8,1,0)+IF(AJ455&gt;6,1,0)</f>
        <v>0</v>
      </c>
      <c r="AP455" s="48">
        <f>MIN(2,IF(OR(Z455="-",X455&lt;5),0,1+IF(Y455&gt;7,0.35,IF(Y455&gt;5,0.1,0))+IF(Z455&gt;7,1+IF(X455&gt;7,0.25,0),IF(Z455&gt;4,0.5+IF(X455&gt;7,0.25,0),0+IF(X455&gt;7,0.25))))+IF(AA455="-",0,IF(AA455&gt;9,0.5,IF(AA455&gt;7,0.25,0)))+IF(AB455="-",0,IF(AB455&gt;7,1.1,IF(AB455&gt;4,0.6,0)))+IF(OR(AC455="-",V455&lt;5),0,IF(AC455&gt;7,1+IF(V455&gt;7,0.25,0),IF(AC455&gt;4,0.5+IF(V455&gt;7,0.25,0),0)))+IF(AD455="-",0,IF(AD455&gt;7,1.5,IF(AD455&gt;4,1,0)))+IF(AE455="-",0,IF(AE455&gt;9,0.5,IF(AE455&gt;7,0.25,0)))+IF(AF455="-",0,IF(AF455&gt;7,1.25,IF(AF455&gt;4,0.75,0)))+IF(OR(AG455="-",W455&lt;4),0,IF(AG455&gt;7,1+IF(W455&gt;7,0.15,0),IF(AG455&gt;4,0.5+IF(W455&gt;7,0.15,0),0))))</f>
        <v>0.75</v>
      </c>
      <c r="AQ455" s="46">
        <f>($AM$3*AM455+$AN$3*AN455+$AO$3*AO455+$AP$3*AP455)+$I$3*VLOOKUP(I455,COND!$A$2:$E$7,4,FALSE)+$J$3*VLOOKUP(J455,COND!$A$2:$C$7,2,FALSE)+$K$3*VLOOKUP(K455,COND!$A$2:$C$7,3,FALSE)+IF(AND($B$2&gt;0,$E455&lt;20),$B$2*25,0)</f>
        <v>34.648787580197563</v>
      </c>
      <c r="AR455" s="49">
        <f>STANDARDIZE(AQ455,AVERAGE($AQ$5:$AQ$537),STDEVP($AQ$5:$AQ$537))</f>
        <v>-1.0027820675945587</v>
      </c>
      <c r="AS455" s="47" t="str">
        <f>IF(AND(Z455&lt;&gt;"-",Y455&gt;1),"C",IF(AB455=MAX(AB455:AD455),"2B",IF(AD455=MAX(AB455:AD455),"SS",IF(OR(AC455=MAX(AA455:AD455),AND(AC455&lt;&gt;"-",AC455&gt;4,V455&gt;5)),"3B",IF(AF455=MAX(AE455:AG455),"CF",IF(AND(AG455=MAX(AE455,AG455),AND(W455&gt;5,AG455&lt;&gt;"-")),"RF",IF(AE455&lt;&gt;"-","LF",IF(AA455&lt;&gt;"-","1B","DH"))))))))</f>
        <v>3B</v>
      </c>
      <c r="AT455" s="47"/>
      <c r="AU455" s="47"/>
      <c r="AV455" s="47"/>
      <c r="AW455" s="47" t="str">
        <f>IF(AND($Q455&gt;=6,AVERAGE($S455:$T455)&gt;=6),"Likely",IF(OR($Q455&gt;6,AND($Q455=6,AVERAGE($S455:$T455)&gt;=3),AND($Q455&gt;=5,AVERAGE($S455:$T455)&gt;=5),AVERAGE($Q455,$S455:$T455)&gt;5),"Possible","Unlikely"))</f>
        <v>Unlikely</v>
      </c>
      <c r="AX455" s="47"/>
      <c r="AY455" s="47" t="str">
        <f>INDEX(Table5[[#All],[Ovr]],MATCH(Batters[[#This Row],[PID]],Table5[[#All],[PID]],0))</f>
        <v/>
      </c>
      <c r="AZ455" s="47" t="str">
        <f>INDEX(Table5[[#All],[Rnd]],MATCH(Batters[[#This Row],[PID]],Table5[[#All],[PID]],0))</f>
        <v/>
      </c>
      <c r="BA455" s="47" t="str">
        <f>INDEX(Table5[[#All],[Pick]],MATCH(Batters[[#This Row],[PID]],Table5[[#All],[PID]],0))</f>
        <v/>
      </c>
      <c r="BB455" s="47" t="str">
        <f>INDEX(Table5[[#All],[Team]],MATCH(Batters[[#This Row],[PID]],Table5[[#All],[PID]],0))</f>
        <v/>
      </c>
    </row>
    <row r="456" spans="1:54" ht="15" customHeight="1" x14ac:dyDescent="0.25">
      <c r="A456" s="42">
        <v>10015</v>
      </c>
      <c r="B456" s="42" t="s">
        <v>86</v>
      </c>
      <c r="C456" s="42" t="s">
        <v>183</v>
      </c>
      <c r="D456" s="42" t="s">
        <v>671</v>
      </c>
      <c r="E456" s="42">
        <v>21</v>
      </c>
      <c r="F456" s="42" t="s">
        <v>42</v>
      </c>
      <c r="G456" s="42" t="s">
        <v>42</v>
      </c>
      <c r="H456" s="43" t="s">
        <v>709</v>
      </c>
      <c r="I456" s="44" t="s">
        <v>43</v>
      </c>
      <c r="J456" s="42" t="s">
        <v>43</v>
      </c>
      <c r="K456" s="43" t="s">
        <v>43</v>
      </c>
      <c r="L456" s="42">
        <v>1</v>
      </c>
      <c r="M456" s="42">
        <v>2</v>
      </c>
      <c r="N456" s="42">
        <v>3</v>
      </c>
      <c r="O456" s="42">
        <v>3</v>
      </c>
      <c r="P456" s="43">
        <v>1</v>
      </c>
      <c r="Q456" s="42">
        <v>2</v>
      </c>
      <c r="R456" s="42">
        <v>3</v>
      </c>
      <c r="S456" s="42">
        <v>4</v>
      </c>
      <c r="T456" s="42">
        <v>6</v>
      </c>
      <c r="U456" s="43">
        <v>1</v>
      </c>
      <c r="V456" s="42">
        <v>5</v>
      </c>
      <c r="W456" s="42">
        <v>5</v>
      </c>
      <c r="X456" s="42">
        <v>6</v>
      </c>
      <c r="Y456" s="43">
        <v>8</v>
      </c>
      <c r="Z456" s="42">
        <v>3</v>
      </c>
      <c r="AA456" s="42" t="s">
        <v>45</v>
      </c>
      <c r="AB456" s="42" t="s">
        <v>45</v>
      </c>
      <c r="AC456" s="42" t="s">
        <v>45</v>
      </c>
      <c r="AD456" s="42" t="s">
        <v>45</v>
      </c>
      <c r="AE456" s="42" t="s">
        <v>45</v>
      </c>
      <c r="AF456" s="42" t="s">
        <v>45</v>
      </c>
      <c r="AG456" s="43" t="s">
        <v>45</v>
      </c>
      <c r="AH456" s="42">
        <v>1</v>
      </c>
      <c r="AI456" s="42">
        <v>1</v>
      </c>
      <c r="AJ456" s="43">
        <v>1</v>
      </c>
      <c r="AK456" s="45" t="s">
        <v>45</v>
      </c>
      <c r="AL456" s="45" t="s">
        <v>47</v>
      </c>
      <c r="AM456" s="46">
        <f>($L$3*(L456-$Q$1)/$Q$2+$M$3*(M456-$R$1)/$R$2+$N$3*(N456-$S$1)/$S$2+$O$3*(O456-$T$1)/$T$2+$P$3*(P456-$U$1)/$U$2)/(SUM($L$3:$P$3))</f>
        <v>-1.6877413821419032</v>
      </c>
      <c r="AN456" s="46">
        <f>($L$3*(Q456-$Q$1)/$Q$2+$M$3*(R456-$R$1)/$R$2+$N$3*(S456-$S$1)/$S$2+$O$3*(T456-$T$1)/$T$2+$P$3*(U456-$U$1)/$U$2)/(SUM($L$3:$P$3))</f>
        <v>-0.9619355222678807</v>
      </c>
      <c r="AO456" s="47">
        <f>IF(AVERAGE(AH456:AI456)&gt;9,1,0)+IF(AVERAGE(AH456:AI456)&gt;7,1,0)+IF(AH456&gt;7,1,0)+IF(AI456&gt;7,1,0)+IF(AJ456&gt;8,1,0)+IF(AJ456&gt;6,1,0)</f>
        <v>0</v>
      </c>
      <c r="AP456" s="48">
        <f>MIN(2,IF(OR(Z456="-",X456&lt;5),0,1+IF(Y456&gt;7,0.35,IF(Y456&gt;5,0.1,0))+IF(Z456&gt;7,1+IF(X456&gt;7,0.25,0),IF(Z456&gt;4,0.5+IF(X456&gt;7,0.25,0),0+IF(X456&gt;7,0.25))))+IF(AA456="-",0,IF(AA456&gt;9,0.5,IF(AA456&gt;7,0.25,0)))+IF(AB456="-",0,IF(AB456&gt;7,1.1,IF(AB456&gt;4,0.6,0)))+IF(OR(AC456="-",V456&lt;5),0,IF(AC456&gt;7,1+IF(V456&gt;7,0.25,0),IF(AC456&gt;4,0.5+IF(V456&gt;7,0.25,0),0)))+IF(AD456="-",0,IF(AD456&gt;7,1.5,IF(AD456&gt;4,1,0)))+IF(AE456="-",0,IF(AE456&gt;9,0.5,IF(AE456&gt;7,0.25,0)))+IF(AF456="-",0,IF(AF456&gt;7,1.25,IF(AF456&gt;4,0.75,0)))+IF(OR(AG456="-",W456&lt;4),0,IF(AG456&gt;7,1+IF(W456&gt;7,0.15,0),IF(AG456&gt;4,0.5+IF(W456&gt;7,0.15,0),0))))</f>
        <v>1.35</v>
      </c>
      <c r="AQ456" s="46">
        <f>($AM$3*AM456+$AN$3*AN456+$AO$3*AO456+$AP$3*AP456)+$I$3*VLOOKUP(I456,COND!$A$2:$E$7,4,FALSE)+$J$3*VLOOKUP(J456,COND!$A$2:$C$7,2,FALSE)+$K$3*VLOOKUP(K456,COND!$A$2:$C$7,3,FALSE)+IF(AND($B$2&gt;0,$E456&lt;20),$B$2*25,0)</f>
        <v>34.637999594571241</v>
      </c>
      <c r="AR456" s="49">
        <f>STANDARDIZE(AQ456,AVERAGE($AQ$5:$AQ$537),STDEVP($AQ$5:$AQ$537))</f>
        <v>-1.0046801419652849</v>
      </c>
      <c r="AS456" s="47" t="str">
        <f>IF(AND(Z456&lt;&gt;"-",Y456&gt;1),"C",IF(AB456=MAX(AB456:AD456),"2B",IF(AD456=MAX(AB456:AD456),"SS",IF(OR(AC456=MAX(AA456:AD456),AND(AC456&lt;&gt;"-",AC456&gt;4,V456&gt;5)),"3B",IF(AF456=MAX(AE456:AG456),"CF",IF(AND(AG456=MAX(AE456,AG456),AND(W456&gt;5,AG456&lt;&gt;"-")),"RF",IF(AE456&lt;&gt;"-","LF",IF(AA456&lt;&gt;"-","1B","DH"))))))))</f>
        <v>C</v>
      </c>
      <c r="AT456" s="47"/>
      <c r="AU456" s="47"/>
      <c r="AV456" s="47"/>
      <c r="AW456" s="47" t="str">
        <f>IF(AND($Q456&gt;=6,AVERAGE($S456:$T456)&gt;=6),"Likely",IF(OR($Q456&gt;6,AND($Q456=6,AVERAGE($S456:$T456)&gt;=3),AND($Q456&gt;=5,AVERAGE($S456:$T456)&gt;=5),AVERAGE($Q456,$S456:$T456)&gt;5),"Possible","Unlikely"))</f>
        <v>Unlikely</v>
      </c>
      <c r="AX456" s="47"/>
      <c r="AY456" s="47" t="str">
        <f>INDEX(Table5[[#All],[Ovr]],MATCH(Batters[[#This Row],[PID]],Table5[[#All],[PID]],0))</f>
        <v/>
      </c>
      <c r="AZ456" s="47" t="str">
        <f>INDEX(Table5[[#All],[Rnd]],MATCH(Batters[[#This Row],[PID]],Table5[[#All],[PID]],0))</f>
        <v/>
      </c>
      <c r="BA456" s="47" t="str">
        <f>INDEX(Table5[[#All],[Pick]],MATCH(Batters[[#This Row],[PID]],Table5[[#All],[PID]],0))</f>
        <v/>
      </c>
      <c r="BB456" s="47" t="str">
        <f>INDEX(Table5[[#All],[Team]],MATCH(Batters[[#This Row],[PID]],Table5[[#All],[PID]],0))</f>
        <v/>
      </c>
    </row>
    <row r="457" spans="1:54" ht="15" customHeight="1" x14ac:dyDescent="0.25">
      <c r="A457" s="42">
        <v>11812</v>
      </c>
      <c r="B457" s="42" t="s">
        <v>87</v>
      </c>
      <c r="C457" s="42" t="s">
        <v>400</v>
      </c>
      <c r="D457" s="42" t="s">
        <v>470</v>
      </c>
      <c r="E457" s="42">
        <v>18</v>
      </c>
      <c r="F457" s="42" t="s">
        <v>42</v>
      </c>
      <c r="G457" s="42" t="s">
        <v>42</v>
      </c>
      <c r="H457" s="43" t="s">
        <v>721</v>
      </c>
      <c r="I457" s="44" t="s">
        <v>43</v>
      </c>
      <c r="J457" s="42" t="s">
        <v>44</v>
      </c>
      <c r="K457" s="43" t="s">
        <v>43</v>
      </c>
      <c r="L457" s="42">
        <v>1</v>
      </c>
      <c r="M457" s="42">
        <v>1</v>
      </c>
      <c r="N457" s="42">
        <v>2</v>
      </c>
      <c r="O457" s="42">
        <v>1</v>
      </c>
      <c r="P457" s="43">
        <v>1</v>
      </c>
      <c r="Q457" s="42">
        <v>3</v>
      </c>
      <c r="R457" s="42">
        <v>2</v>
      </c>
      <c r="S457" s="42">
        <v>2</v>
      </c>
      <c r="T457" s="42">
        <v>1</v>
      </c>
      <c r="U457" s="43">
        <v>4</v>
      </c>
      <c r="V457" s="42">
        <v>6</v>
      </c>
      <c r="W457" s="42">
        <v>3</v>
      </c>
      <c r="X457" s="42">
        <v>1</v>
      </c>
      <c r="Y457" s="43">
        <v>1</v>
      </c>
      <c r="Z457" s="42" t="s">
        <v>45</v>
      </c>
      <c r="AA457" s="42" t="s">
        <v>45</v>
      </c>
      <c r="AB457" s="42" t="s">
        <v>45</v>
      </c>
      <c r="AC457" s="42" t="s">
        <v>45</v>
      </c>
      <c r="AD457" s="42" t="s">
        <v>45</v>
      </c>
      <c r="AE457" s="42" t="s">
        <v>45</v>
      </c>
      <c r="AF457" s="42" t="s">
        <v>45</v>
      </c>
      <c r="AG457" s="43" t="s">
        <v>45</v>
      </c>
      <c r="AH457" s="42">
        <v>1</v>
      </c>
      <c r="AI457" s="42">
        <v>3</v>
      </c>
      <c r="AJ457" s="43">
        <v>4</v>
      </c>
      <c r="AK457" s="45" t="s">
        <v>606</v>
      </c>
      <c r="AL457" s="45" t="s">
        <v>705</v>
      </c>
      <c r="AM457" s="46">
        <f>($L$3*(L457-$Q$1)/$Q$2+$M$3*(M457-$R$1)/$R$2+$N$3*(N457-$S$1)/$S$2+$O$3*(O457-$T$1)/$T$2+$P$3*(P457-$U$1)/$U$2)/(SUM($L$3:$P$3))</f>
        <v>-2.0012818558036707</v>
      </c>
      <c r="AN457" s="46">
        <f>($L$3*(Q457-$Q$1)/$Q$2+$M$3*(R457-$R$1)/$R$2+$N$3*(S457-$S$1)/$S$2+$O$3*(T457-$T$1)/$T$2+$P$3*(U457-$U$1)/$U$2)/(SUM($L$3:$P$3))</f>
        <v>-1.185061284328367</v>
      </c>
      <c r="AO457" s="47">
        <f>IF(AVERAGE(AH457:AI457)&gt;9,1,0)+IF(AVERAGE(AH457:AI457)&gt;7,1,0)+IF(AH457&gt;7,1,0)+IF(AI457&gt;7,1,0)+IF(AJ457&gt;8,1,0)+IF(AJ457&gt;6,1,0)</f>
        <v>0</v>
      </c>
      <c r="AP457" s="48">
        <f>MIN(2,IF(OR(Z457="-",X457&lt;5),0,1+IF(Y457&gt;7,0.35,IF(Y457&gt;5,0.1,0))+IF(Z457&gt;7,1+IF(X457&gt;7,0.25,0),IF(Z457&gt;4,0.5+IF(X457&gt;7,0.25,0),0+IF(X457&gt;7,0.25))))+IF(AA457="-",0,IF(AA457&gt;9,0.5,IF(AA457&gt;7,0.25,0)))+IF(AB457="-",0,IF(AB457&gt;7,1.1,IF(AB457&gt;4,0.6,0)))+IF(OR(AC457="-",V457&lt;5),0,IF(AC457&gt;7,1+IF(V457&gt;7,0.25,0),IF(AC457&gt;4,0.5+IF(V457&gt;7,0.25,0),0)))+IF(AD457="-",0,IF(AD457&gt;7,1.5,IF(AD457&gt;4,1,0)))+IF(AE457="-",0,IF(AE457&gt;9,0.5,IF(AE457&gt;7,0.25,0)))+IF(AF457="-",0,IF(AF457&gt;7,1.25,IF(AF457&gt;4,0.75,0)))+IF(OR(AG457="-",W457&lt;4),0,IF(AG457&gt;7,1+IF(W457&gt;7,0.15,0),IF(AG457&gt;4,0.5+IF(W457&gt;7,0.15,0),0))))</f>
        <v>0</v>
      </c>
      <c r="AQ457" s="46">
        <f>($AM$3*AM457+$AN$3*AN457+$AO$3*AO457+$AP$3*AP457)+$I$3*VLOOKUP(I457,COND!$A$2:$E$7,4,FALSE)+$J$3*VLOOKUP(J457,COND!$A$2:$C$7,2,FALSE)+$K$3*VLOOKUP(K457,COND!$A$2:$C$7,3,FALSE)+IF(AND($B$2&gt;0,$E457&lt;20),$B$2*25,0)</f>
        <v>35.279136402479232</v>
      </c>
      <c r="AR457" s="49">
        <f>STANDARDIZE(AQ457,AVERAGE($AQ$5:$AQ$537),STDEVP($AQ$5:$AQ$537))</f>
        <v>-0.89187638180360573</v>
      </c>
      <c r="AS457" s="47" t="str">
        <f>IF(AND(Z457&lt;&gt;"-",Y457&gt;1),"C",IF(AB457=MAX(AB457:AD457),"2B",IF(AD457=MAX(AB457:AD457),"SS",IF(OR(AC457=MAX(AA457:AD457),AND(AC457&lt;&gt;"-",AC457&gt;4,V457&gt;5)),"3B",IF(AF457=MAX(AE457:AG457),"CF",IF(AND(AG457=MAX(AE457,AG457),AND(W457&gt;5,AG457&lt;&gt;"-")),"RF",IF(AE457&lt;&gt;"-","LF",IF(AA457&lt;&gt;"-","1B","DH"))))))))</f>
        <v>DH</v>
      </c>
      <c r="AT457" s="47"/>
      <c r="AU457" s="47"/>
      <c r="AV457" s="47"/>
      <c r="AW457" s="47" t="str">
        <f>IF(AND($Q457&gt;=6,AVERAGE($S457:$T457)&gt;=6),"Likely",IF(OR($Q457&gt;6,AND($Q457=6,AVERAGE($S457:$T457)&gt;=3),AND($Q457&gt;=5,AVERAGE($S457:$T457)&gt;=5),AVERAGE($Q457,$S457:$T457)&gt;5),"Possible","Unlikely"))</f>
        <v>Unlikely</v>
      </c>
      <c r="AX457" s="47"/>
      <c r="AY457" s="47" t="str">
        <f>INDEX(Table5[[#All],[Ovr]],MATCH(Batters[[#This Row],[PID]],Table5[[#All],[PID]],0))</f>
        <v/>
      </c>
      <c r="AZ457" s="47" t="str">
        <f>INDEX(Table5[[#All],[Rnd]],MATCH(Batters[[#This Row],[PID]],Table5[[#All],[PID]],0))</f>
        <v/>
      </c>
      <c r="BA457" s="47" t="str">
        <f>INDEX(Table5[[#All],[Pick]],MATCH(Batters[[#This Row],[PID]],Table5[[#All],[PID]],0))</f>
        <v/>
      </c>
      <c r="BB457" s="47" t="str">
        <f>INDEX(Table5[[#All],[Team]],MATCH(Batters[[#This Row],[PID]],Table5[[#All],[PID]],0))</f>
        <v/>
      </c>
    </row>
    <row r="458" spans="1:54" ht="15" customHeight="1" x14ac:dyDescent="0.25">
      <c r="A458" s="42">
        <v>11558</v>
      </c>
      <c r="B458" s="42" t="s">
        <v>87</v>
      </c>
      <c r="C458" s="42" t="s">
        <v>1010</v>
      </c>
      <c r="D458" s="42" t="s">
        <v>656</v>
      </c>
      <c r="E458" s="42">
        <v>22</v>
      </c>
      <c r="F458" s="42" t="s">
        <v>53</v>
      </c>
      <c r="G458" s="42" t="s">
        <v>53</v>
      </c>
      <c r="H458" s="43" t="s">
        <v>721</v>
      </c>
      <c r="I458" s="44" t="s">
        <v>43</v>
      </c>
      <c r="J458" s="42" t="s">
        <v>43</v>
      </c>
      <c r="K458" s="43" t="s">
        <v>43</v>
      </c>
      <c r="L458" s="42">
        <v>3</v>
      </c>
      <c r="M458" s="42">
        <v>2</v>
      </c>
      <c r="N458" s="42">
        <v>2</v>
      </c>
      <c r="O458" s="42">
        <v>1</v>
      </c>
      <c r="P458" s="43">
        <v>2</v>
      </c>
      <c r="Q458" s="42">
        <v>4</v>
      </c>
      <c r="R458" s="42">
        <v>2</v>
      </c>
      <c r="S458" s="42">
        <v>2</v>
      </c>
      <c r="T458" s="42">
        <v>1</v>
      </c>
      <c r="U458" s="43">
        <v>4</v>
      </c>
      <c r="V458" s="42">
        <v>5</v>
      </c>
      <c r="W458" s="42">
        <v>1</v>
      </c>
      <c r="X458" s="42">
        <v>1</v>
      </c>
      <c r="Y458" s="43">
        <v>1</v>
      </c>
      <c r="Z458" s="42" t="s">
        <v>45</v>
      </c>
      <c r="AA458" s="42">
        <v>3</v>
      </c>
      <c r="AB458" s="42" t="s">
        <v>45</v>
      </c>
      <c r="AC458" s="42" t="s">
        <v>45</v>
      </c>
      <c r="AD458" s="42" t="s">
        <v>45</v>
      </c>
      <c r="AE458" s="42" t="s">
        <v>45</v>
      </c>
      <c r="AF458" s="42" t="s">
        <v>45</v>
      </c>
      <c r="AG458" s="43" t="s">
        <v>45</v>
      </c>
      <c r="AH458" s="42">
        <v>1</v>
      </c>
      <c r="AI458" s="42">
        <v>4</v>
      </c>
      <c r="AJ458" s="43">
        <v>4</v>
      </c>
      <c r="AK458" s="45" t="s">
        <v>45</v>
      </c>
      <c r="AL458" s="45" t="s">
        <v>47</v>
      </c>
      <c r="AM458" s="46">
        <f>($L$3*(L458-$Q$1)/$Q$2+$M$3*(M458-$R$1)/$R$2+$N$3*(N458-$S$1)/$S$2+$O$3*(O458-$T$1)/$T$2+$P$3*(P458-$U$1)/$U$2)/(SUM($L$3:$P$3))</f>
        <v>-1.265093963962534</v>
      </c>
      <c r="AN458" s="46">
        <f>($L$3*(Q458-$Q$1)/$Q$2+$M$3*(R458-$R$1)/$R$2+$N$3*(S458-$S$1)/$S$2+$O$3*(T458-$T$1)/$T$2+$P$3*(U458-$U$1)/$U$2)/(SUM($L$3:$P$3))</f>
        <v>-0.86250544812569241</v>
      </c>
      <c r="AO458" s="47">
        <f>IF(AVERAGE(AH458:AI458)&gt;9,1,0)+IF(AVERAGE(AH458:AI458)&gt;7,1,0)+IF(AH458&gt;7,1,0)+IF(AI458&gt;7,1,0)+IF(AJ458&gt;8,1,0)+IF(AJ458&gt;6,1,0)</f>
        <v>0</v>
      </c>
      <c r="AP458" s="48">
        <f>MIN(2,IF(OR(Z458="-",X458&lt;5),0,1+IF(Y458&gt;7,0.35,IF(Y458&gt;5,0.1,0))+IF(Z458&gt;7,1+IF(X458&gt;7,0.25,0),IF(Z458&gt;4,0.5+IF(X458&gt;7,0.25,0),0+IF(X458&gt;7,0.25))))+IF(AA458="-",0,IF(AA458&gt;9,0.5,IF(AA458&gt;7,0.25,0)))+IF(AB458="-",0,IF(AB458&gt;7,1.1,IF(AB458&gt;4,0.6,0)))+IF(OR(AC458="-",V458&lt;5),0,IF(AC458&gt;7,1+IF(V458&gt;7,0.25,0),IF(AC458&gt;4,0.5+IF(V458&gt;7,0.25,0),0)))+IF(AD458="-",0,IF(AD458&gt;7,1.5,IF(AD458&gt;4,1,0)))+IF(AE458="-",0,IF(AE458&gt;9,0.5,IF(AE458&gt;7,0.25,0)))+IF(AF458="-",0,IF(AF458&gt;7,1.25,IF(AF458&gt;4,0.75,0)))+IF(OR(AG458="-",W458&lt;4),0,IF(AG458&gt;7,1+IF(W458&gt;7,0.15,0),IF(AG458&gt;4,0.5+IF(W458&gt;7,0.15,0),0))))</f>
        <v>0</v>
      </c>
      <c r="AQ458" s="46">
        <f>($AM$3*AM458+$AN$3*AN458+$AO$3*AO458+$AP$3*AP458)+$I$3*VLOOKUP(I458,COND!$A$2:$E$7,4,FALSE)+$J$3*VLOOKUP(J458,COND!$A$2:$C$7,2,FALSE)+$K$3*VLOOKUP(K458,COND!$A$2:$C$7,3,FALSE)+IF(AND($B$2&gt;0,$E458&lt;20),$B$2*25,0)</f>
        <v>34.523425226095441</v>
      </c>
      <c r="AR458" s="49">
        <f>STANDARDIZE(AQ458,AVERAGE($AQ$5:$AQ$537),STDEVP($AQ$5:$AQ$537))</f>
        <v>-1.0248387406025896</v>
      </c>
      <c r="AS458" s="47" t="str">
        <f>IF(AND(Z458&lt;&gt;"-",Y458&gt;1),"C",IF(AB458=MAX(AB458:AD458),"2B",IF(AD458=MAX(AB458:AD458),"SS",IF(OR(AC458=MAX(AA458:AD458),AND(AC458&lt;&gt;"-",AC458&gt;4,V458&gt;5)),"3B",IF(AF458=MAX(AE458:AG458),"CF",IF(AND(AG458=MAX(AE458,AG458),AND(W458&gt;5,AG458&lt;&gt;"-")),"RF",IF(AE458&lt;&gt;"-","LF",IF(AA458&lt;&gt;"-","1B","DH"))))))))</f>
        <v>1B</v>
      </c>
      <c r="AT458" s="47"/>
      <c r="AU458" s="47"/>
      <c r="AV458" s="47"/>
      <c r="AW458" s="47" t="str">
        <f>IF(AND($Q458&gt;=6,AVERAGE($S458:$T458)&gt;=6),"Likely",IF(OR($Q458&gt;6,AND($Q458=6,AVERAGE($S458:$T458)&gt;=3),AND($Q458&gt;=5,AVERAGE($S458:$T458)&gt;=5),AVERAGE($Q458,$S458:$T458)&gt;5),"Possible","Unlikely"))</f>
        <v>Unlikely</v>
      </c>
      <c r="AX458" s="47"/>
      <c r="AY458" s="47" t="str">
        <f>INDEX(Table5[[#All],[Ovr]],MATCH(Batters[[#This Row],[PID]],Table5[[#All],[PID]],0))</f>
        <v/>
      </c>
      <c r="AZ458" s="47" t="str">
        <f>INDEX(Table5[[#All],[Rnd]],MATCH(Batters[[#This Row],[PID]],Table5[[#All],[PID]],0))</f>
        <v/>
      </c>
      <c r="BA458" s="47" t="str">
        <f>INDEX(Table5[[#All],[Pick]],MATCH(Batters[[#This Row],[PID]],Table5[[#All],[PID]],0))</f>
        <v/>
      </c>
      <c r="BB458" s="47" t="str">
        <f>INDEX(Table5[[#All],[Team]],MATCH(Batters[[#This Row],[PID]],Table5[[#All],[PID]],0))</f>
        <v/>
      </c>
    </row>
    <row r="459" spans="1:54" ht="15" customHeight="1" x14ac:dyDescent="0.25">
      <c r="A459" s="42">
        <v>7144</v>
      </c>
      <c r="B459" s="42" t="s">
        <v>86</v>
      </c>
      <c r="C459" s="42" t="s">
        <v>395</v>
      </c>
      <c r="D459" s="42" t="s">
        <v>731</v>
      </c>
      <c r="E459" s="42">
        <v>22</v>
      </c>
      <c r="F459" s="42" t="s">
        <v>62</v>
      </c>
      <c r="G459" s="42" t="s">
        <v>42</v>
      </c>
      <c r="H459" s="43" t="s">
        <v>709</v>
      </c>
      <c r="I459" s="44" t="s">
        <v>43</v>
      </c>
      <c r="J459" s="42" t="s">
        <v>44</v>
      </c>
      <c r="K459" s="43" t="s">
        <v>43</v>
      </c>
      <c r="L459" s="42">
        <v>2</v>
      </c>
      <c r="M459" s="42">
        <v>3</v>
      </c>
      <c r="N459" s="42">
        <v>3</v>
      </c>
      <c r="O459" s="42">
        <v>3</v>
      </c>
      <c r="P459" s="43">
        <v>1</v>
      </c>
      <c r="Q459" s="42">
        <v>3</v>
      </c>
      <c r="R459" s="42">
        <v>3</v>
      </c>
      <c r="S459" s="42">
        <v>4</v>
      </c>
      <c r="T459" s="42">
        <v>4</v>
      </c>
      <c r="U459" s="43">
        <v>2</v>
      </c>
      <c r="V459" s="42">
        <v>2</v>
      </c>
      <c r="W459" s="42">
        <v>2</v>
      </c>
      <c r="X459" s="42">
        <v>4</v>
      </c>
      <c r="Y459" s="43">
        <v>5</v>
      </c>
      <c r="Z459" s="42">
        <v>2</v>
      </c>
      <c r="AA459" s="42" t="s">
        <v>45</v>
      </c>
      <c r="AB459" s="42" t="s">
        <v>45</v>
      </c>
      <c r="AC459" s="42" t="s">
        <v>45</v>
      </c>
      <c r="AD459" s="42" t="s">
        <v>45</v>
      </c>
      <c r="AE459" s="42" t="s">
        <v>45</v>
      </c>
      <c r="AF459" s="42" t="s">
        <v>45</v>
      </c>
      <c r="AG459" s="43" t="s">
        <v>45</v>
      </c>
      <c r="AH459" s="42">
        <v>1</v>
      </c>
      <c r="AI459" s="42">
        <v>1</v>
      </c>
      <c r="AJ459" s="43">
        <v>5</v>
      </c>
      <c r="AK459" s="45" t="s">
        <v>45</v>
      </c>
      <c r="AL459" s="45" t="s">
        <v>705</v>
      </c>
      <c r="AM459" s="46">
        <f>($L$3*(L459-$Q$1)/$Q$2+$M$3*(M459-$R$1)/$R$2+$N$3*(N459-$S$1)/$S$2+$O$3*(O459-$T$1)/$T$2+$P$3*(P459-$U$1)/$U$2)/(SUM($L$3:$P$3))</f>
        <v>-1.3141256663205254</v>
      </c>
      <c r="AN459" s="46">
        <f>($L$3*(Q459-$Q$1)/$Q$2+$M$3*(R459-$R$1)/$R$2+$N$3*(S459-$S$1)/$S$2+$O$3*(T459-$T$1)/$T$2+$P$3*(U459-$U$1)/$U$2)/(SUM($L$3:$P$3))</f>
        <v>-0.77878244626728443</v>
      </c>
      <c r="AO459" s="47">
        <f>IF(AVERAGE(AH459:AI459)&gt;9,1,0)+IF(AVERAGE(AH459:AI459)&gt;7,1,0)+IF(AH459&gt;7,1,0)+IF(AI459&gt;7,1,0)+IF(AJ459&gt;8,1,0)+IF(AJ459&gt;6,1,0)</f>
        <v>0</v>
      </c>
      <c r="AP459" s="48">
        <f>MIN(2,IF(OR(Z459="-",X459&lt;5),0,1+IF(Y459&gt;7,0.35,IF(Y459&gt;5,0.1,0))+IF(Z459&gt;7,1+IF(X459&gt;7,0.25,0),IF(Z459&gt;4,0.5+IF(X459&gt;7,0.25,0),0+IF(X459&gt;7,0.25))))+IF(AA459="-",0,IF(AA459&gt;9,0.5,IF(AA459&gt;7,0.25,0)))+IF(AB459="-",0,IF(AB459&gt;7,1.1,IF(AB459&gt;4,0.6,0)))+IF(OR(AC459="-",V459&lt;5),0,IF(AC459&gt;7,1+IF(V459&gt;7,0.25,0),IF(AC459&gt;4,0.5+IF(V459&gt;7,0.25,0),0)))+IF(AD459="-",0,IF(AD459&gt;7,1.5,IF(AD459&gt;4,1,0)))+IF(AE459="-",0,IF(AE459&gt;9,0.5,IF(AE459&gt;7,0.25,0)))+IF(AF459="-",0,IF(AF459&gt;7,1.25,IF(AF459&gt;4,0.75,0)))+IF(OR(AG459="-",W459&lt;4),0,IF(AG459&gt;7,1+IF(W459&gt;7,0.15,0),IF(AG459&gt;4,0.5+IF(W459&gt;7,0.15,0),0))))</f>
        <v>0</v>
      </c>
      <c r="AQ459" s="46">
        <f>($AM$3*AM459+$AN$3*AN459+$AO$3*AO459+$AP$3*AP459)+$I$3*VLOOKUP(I459,COND!$A$2:$E$7,4,FALSE)+$J$3*VLOOKUP(J459,COND!$A$2:$C$7,2,FALSE)+$K$3*VLOOKUP(K459,COND!$A$2:$C$7,3,FALSE)+IF(AND($B$2&gt;0,$E459&lt;20),$B$2*25,0)</f>
        <v>35.223198078160536</v>
      </c>
      <c r="AR459" s="49">
        <f>STANDARDIZE(AQ459,AVERAGE($AQ$5:$AQ$537),STDEVP($AQ$5:$AQ$537))</f>
        <v>-0.90171835818440638</v>
      </c>
      <c r="AS459" s="47" t="str">
        <f>IF(AND(Z459&lt;&gt;"-",Y459&gt;1),"C",IF(AB459=MAX(AB459:AD459),"2B",IF(AD459=MAX(AB459:AD459),"SS",IF(OR(AC459=MAX(AA459:AD459),AND(AC459&lt;&gt;"-",AC459&gt;4,V459&gt;5)),"3B",IF(AF459=MAX(AE459:AG459),"CF",IF(AND(AG459=MAX(AE459,AG459),AND(W459&gt;5,AG459&lt;&gt;"-")),"RF",IF(AE459&lt;&gt;"-","LF",IF(AA459&lt;&gt;"-","1B","DH"))))))))</f>
        <v>C</v>
      </c>
      <c r="AT459" s="47"/>
      <c r="AU459" s="47"/>
      <c r="AV459" s="47"/>
      <c r="AW459" s="47" t="str">
        <f>IF(AND($Q459&gt;=6,AVERAGE($S459:$T459)&gt;=6),"Likely",IF(OR($Q459&gt;6,AND($Q459=6,AVERAGE($S459:$T459)&gt;=3),AND($Q459&gt;=5,AVERAGE($S459:$T459)&gt;=5),AVERAGE($Q459,$S459:$T459)&gt;5),"Possible","Unlikely"))</f>
        <v>Unlikely</v>
      </c>
      <c r="AX459" s="47"/>
      <c r="AY459" s="47" t="str">
        <f>INDEX(Table5[[#All],[Ovr]],MATCH(Batters[[#This Row],[PID]],Table5[[#All],[PID]],0))</f>
        <v/>
      </c>
      <c r="AZ459" s="47" t="str">
        <f>INDEX(Table5[[#All],[Rnd]],MATCH(Batters[[#This Row],[PID]],Table5[[#All],[PID]],0))</f>
        <v/>
      </c>
      <c r="BA459" s="47" t="str">
        <f>INDEX(Table5[[#All],[Pick]],MATCH(Batters[[#This Row],[PID]],Table5[[#All],[PID]],0))</f>
        <v/>
      </c>
      <c r="BB459" s="47" t="str">
        <f>INDEX(Table5[[#All],[Team]],MATCH(Batters[[#This Row],[PID]],Table5[[#All],[PID]],0))</f>
        <v/>
      </c>
    </row>
    <row r="460" spans="1:54" ht="15" customHeight="1" x14ac:dyDescent="0.25">
      <c r="A460" s="42">
        <v>11065</v>
      </c>
      <c r="B460" s="42" t="s">
        <v>69</v>
      </c>
      <c r="C460" s="42" t="s">
        <v>1377</v>
      </c>
      <c r="D460" s="42" t="s">
        <v>420</v>
      </c>
      <c r="E460" s="42">
        <v>18</v>
      </c>
      <c r="F460" s="42" t="s">
        <v>42</v>
      </c>
      <c r="G460" s="42" t="s">
        <v>42</v>
      </c>
      <c r="H460" s="43" t="s">
        <v>721</v>
      </c>
      <c r="I460" s="44" t="s">
        <v>43</v>
      </c>
      <c r="J460" s="42" t="s">
        <v>44</v>
      </c>
      <c r="K460" s="43" t="s">
        <v>43</v>
      </c>
      <c r="L460" s="42">
        <v>1</v>
      </c>
      <c r="M460" s="42">
        <v>1</v>
      </c>
      <c r="N460" s="42">
        <v>2</v>
      </c>
      <c r="O460" s="42">
        <v>1</v>
      </c>
      <c r="P460" s="43">
        <v>1</v>
      </c>
      <c r="Q460" s="42">
        <v>2</v>
      </c>
      <c r="R460" s="42">
        <v>3</v>
      </c>
      <c r="S460" s="42">
        <v>4</v>
      </c>
      <c r="T460" s="42">
        <v>3</v>
      </c>
      <c r="U460" s="43">
        <v>2</v>
      </c>
      <c r="V460" s="42">
        <v>8</v>
      </c>
      <c r="W460" s="42">
        <v>8</v>
      </c>
      <c r="X460" s="42">
        <v>1</v>
      </c>
      <c r="Y460" s="43">
        <v>1</v>
      </c>
      <c r="Z460" s="42" t="s">
        <v>45</v>
      </c>
      <c r="AA460" s="42" t="s">
        <v>45</v>
      </c>
      <c r="AB460" s="42" t="s">
        <v>45</v>
      </c>
      <c r="AC460" s="42" t="s">
        <v>45</v>
      </c>
      <c r="AD460" s="42" t="s">
        <v>45</v>
      </c>
      <c r="AE460" s="42" t="s">
        <v>45</v>
      </c>
      <c r="AF460" s="42" t="s">
        <v>45</v>
      </c>
      <c r="AG460" s="43" t="s">
        <v>45</v>
      </c>
      <c r="AH460" s="42">
        <v>3</v>
      </c>
      <c r="AI460" s="42">
        <v>3</v>
      </c>
      <c r="AJ460" s="43">
        <v>1</v>
      </c>
      <c r="AK460" s="45" t="s">
        <v>718</v>
      </c>
      <c r="AL460" s="45" t="s">
        <v>705</v>
      </c>
      <c r="AM460" s="46">
        <f>($L$3*(L460-$Q$1)/$Q$2+$M$3*(M460-$R$1)/$R$2+$N$3*(N460-$S$1)/$S$2+$O$3*(O460-$T$1)/$T$2+$P$3*(P460-$U$1)/$U$2)/(SUM($L$3:$P$3))</f>
        <v>-2.0012818558036707</v>
      </c>
      <c r="AN460" s="46">
        <f>($L$3*(Q460-$Q$1)/$Q$2+$M$3*(R460-$R$1)/$R$2+$N$3*(S460-$S$1)/$S$2+$O$3*(T460-$T$1)/$T$2+$P$3*(U460-$U$1)/$U$2)/(SUM($L$3:$P$3))</f>
        <v>-1.1910478324795404</v>
      </c>
      <c r="AO460" s="47">
        <f>IF(AVERAGE(AH460:AI460)&gt;9,1,0)+IF(AVERAGE(AH460:AI460)&gt;7,1,0)+IF(AH460&gt;7,1,0)+IF(AI460&gt;7,1,0)+IF(AJ460&gt;8,1,0)+IF(AJ460&gt;6,1,0)</f>
        <v>0</v>
      </c>
      <c r="AP460" s="48">
        <f>MIN(2,IF(OR(Z460="-",X460&lt;5),0,1+IF(Y460&gt;7,0.35,IF(Y460&gt;5,0.1,0))+IF(Z460&gt;7,1+IF(X460&gt;7,0.25,0),IF(Z460&gt;4,0.5+IF(X460&gt;7,0.25,0),0+IF(X460&gt;7,0.25))))+IF(AA460="-",0,IF(AA460&gt;9,0.5,IF(AA460&gt;7,0.25,0)))+IF(AB460="-",0,IF(AB460&gt;7,1.1,IF(AB460&gt;4,0.6,0)))+IF(OR(AC460="-",V460&lt;5),0,IF(AC460&gt;7,1+IF(V460&gt;7,0.25,0),IF(AC460&gt;4,0.5+IF(V460&gt;7,0.25,0),0)))+IF(AD460="-",0,IF(AD460&gt;7,1.5,IF(AD460&gt;4,1,0)))+IF(AE460="-",0,IF(AE460&gt;9,0.5,IF(AE460&gt;7,0.25,0)))+IF(AF460="-",0,IF(AF460&gt;7,1.25,IF(AF460&gt;4,0.75,0)))+IF(OR(AG460="-",W460&lt;4),0,IF(AG460&gt;7,1+IF(W460&gt;7,0.15,0),IF(AG460&gt;4,0.5+IF(W460&gt;7,0.15,0),0))))</f>
        <v>0</v>
      </c>
      <c r="AQ460" s="46">
        <f>($AM$3*AM460+$AN$3*AN460+$AO$3*AO460+$AP$3*AP460)+$I$3*VLOOKUP(I460,COND!$A$2:$E$7,4,FALSE)+$J$3*VLOOKUP(J460,COND!$A$2:$C$7,2,FALSE)+$K$3*VLOOKUP(K460,COND!$A$2:$C$7,3,FALSE)+IF(AND($B$2&gt;0,$E460&lt;20),$B$2*25,0)</f>
        <v>35.207297824665147</v>
      </c>
      <c r="AR460" s="49">
        <f>STANDARDIZE(AQ460,AVERAGE($AQ$5:$AQ$537),STDEVP($AQ$5:$AQ$537))</f>
        <v>-0.90451590210901145</v>
      </c>
      <c r="AS460" s="47" t="str">
        <f>IF(AND(Z460&lt;&gt;"-",Y460&gt;1),"C",IF(AB460=MAX(AB460:AD460),"2B",IF(AD460=MAX(AB460:AD460),"SS",IF(OR(AC460=MAX(AA460:AD460),AND(AC460&lt;&gt;"-",AC460&gt;4,V460&gt;5)),"3B",IF(AF460=MAX(AE460:AG460),"CF",IF(AND(AG460=MAX(AE460,AG460),AND(W460&gt;5,AG460&lt;&gt;"-")),"RF",IF(AE460&lt;&gt;"-","LF",IF(AA460&lt;&gt;"-","1B","DH"))))))))</f>
        <v>DH</v>
      </c>
      <c r="AT460" s="47"/>
      <c r="AU460" s="47"/>
      <c r="AV460" s="47"/>
      <c r="AW460" s="47" t="str">
        <f>IF(AND($Q460&gt;=6,AVERAGE($S460:$T460)&gt;=6),"Likely",IF(OR($Q460&gt;6,AND($Q460=6,AVERAGE($S460:$T460)&gt;=3),AND($Q460&gt;=5,AVERAGE($S460:$T460)&gt;=5),AVERAGE($Q460,$S460:$T460)&gt;5),"Possible","Unlikely"))</f>
        <v>Unlikely</v>
      </c>
      <c r="AX460" s="47"/>
      <c r="AY460" s="47" t="str">
        <f>INDEX(Table5[[#All],[Ovr]],MATCH(Batters[[#This Row],[PID]],Table5[[#All],[PID]],0))</f>
        <v/>
      </c>
      <c r="AZ460" s="47" t="str">
        <f>INDEX(Table5[[#All],[Rnd]],MATCH(Batters[[#This Row],[PID]],Table5[[#All],[PID]],0))</f>
        <v/>
      </c>
      <c r="BA460" s="47" t="str">
        <f>INDEX(Table5[[#All],[Pick]],MATCH(Batters[[#This Row],[PID]],Table5[[#All],[PID]],0))</f>
        <v/>
      </c>
      <c r="BB460" s="47" t="str">
        <f>INDEX(Table5[[#All],[Team]],MATCH(Batters[[#This Row],[PID]],Table5[[#All],[PID]],0))</f>
        <v/>
      </c>
    </row>
    <row r="461" spans="1:54" ht="15" customHeight="1" x14ac:dyDescent="0.25">
      <c r="A461" s="42">
        <v>9620</v>
      </c>
      <c r="B461" s="42" t="s">
        <v>86</v>
      </c>
      <c r="C461" s="42" t="s">
        <v>411</v>
      </c>
      <c r="D461" s="42" t="s">
        <v>1200</v>
      </c>
      <c r="E461" s="42">
        <v>21</v>
      </c>
      <c r="F461" s="42" t="s">
        <v>42</v>
      </c>
      <c r="G461" s="42" t="s">
        <v>42</v>
      </c>
      <c r="H461" s="43" t="s">
        <v>709</v>
      </c>
      <c r="I461" s="44" t="s">
        <v>43</v>
      </c>
      <c r="J461" s="42" t="s">
        <v>44</v>
      </c>
      <c r="K461" s="43" t="s">
        <v>43</v>
      </c>
      <c r="L461" s="42">
        <v>2</v>
      </c>
      <c r="M461" s="42">
        <v>2</v>
      </c>
      <c r="N461" s="42">
        <v>2</v>
      </c>
      <c r="O461" s="42">
        <v>2</v>
      </c>
      <c r="P461" s="43">
        <v>1</v>
      </c>
      <c r="Q461" s="42">
        <v>3</v>
      </c>
      <c r="R461" s="42">
        <v>3</v>
      </c>
      <c r="S461" s="42">
        <v>3</v>
      </c>
      <c r="T461" s="42">
        <v>4</v>
      </c>
      <c r="U461" s="43">
        <v>4</v>
      </c>
      <c r="V461" s="42">
        <v>2</v>
      </c>
      <c r="W461" s="42">
        <v>2</v>
      </c>
      <c r="X461" s="42">
        <v>3</v>
      </c>
      <c r="Y461" s="43">
        <v>8</v>
      </c>
      <c r="Z461" s="42">
        <v>2</v>
      </c>
      <c r="AA461" s="42" t="s">
        <v>45</v>
      </c>
      <c r="AB461" s="42" t="s">
        <v>45</v>
      </c>
      <c r="AC461" s="42" t="s">
        <v>45</v>
      </c>
      <c r="AD461" s="42" t="s">
        <v>45</v>
      </c>
      <c r="AE461" s="42" t="s">
        <v>45</v>
      </c>
      <c r="AF461" s="42" t="s">
        <v>45</v>
      </c>
      <c r="AG461" s="43" t="s">
        <v>45</v>
      </c>
      <c r="AH461" s="42">
        <v>5</v>
      </c>
      <c r="AI461" s="42">
        <v>1</v>
      </c>
      <c r="AJ461" s="43">
        <v>1</v>
      </c>
      <c r="AK461" s="45" t="s">
        <v>45</v>
      </c>
      <c r="AL461" s="45" t="s">
        <v>47</v>
      </c>
      <c r="AM461" s="46">
        <f>($L$3*(L461-$Q$1)/$Q$2+$M$3*(M461-$R$1)/$R$2+$N$3*(N461-$S$1)/$S$2+$O$3*(O461-$T$1)/$T$2+$P$3*(P461-$U$1)/$U$2)/(SUM($L$3:$P$3))</f>
        <v>-1.5379565899727115</v>
      </c>
      <c r="AN461" s="46">
        <f>($L$3*(Q461-$Q$1)/$Q$2+$M$3*(R461-$R$1)/$R$2+$N$3*(S461-$S$1)/$S$2+$O$3*(T461-$T$1)/$T$2+$P$3*(U461-$U$1)/$U$2)/(SUM($L$3:$P$3))</f>
        <v>-0.781811260657019</v>
      </c>
      <c r="AO461" s="47">
        <f>IF(AVERAGE(AH461:AI461)&gt;9,1,0)+IF(AVERAGE(AH461:AI461)&gt;7,1,0)+IF(AH461&gt;7,1,0)+IF(AI461&gt;7,1,0)+IF(AJ461&gt;8,1,0)+IF(AJ461&gt;6,1,0)</f>
        <v>0</v>
      </c>
      <c r="AP461" s="48">
        <f>MIN(2,IF(OR(Z461="-",X461&lt;5),0,1+IF(Y461&gt;7,0.35,IF(Y461&gt;5,0.1,0))+IF(Z461&gt;7,1+IF(X461&gt;7,0.25,0),IF(Z461&gt;4,0.5+IF(X461&gt;7,0.25,0),0+IF(X461&gt;7,0.25))))+IF(AA461="-",0,IF(AA461&gt;9,0.5,IF(AA461&gt;7,0.25,0)))+IF(AB461="-",0,IF(AB461&gt;7,1.1,IF(AB461&gt;4,0.6,0)))+IF(OR(AC461="-",V461&lt;5),0,IF(AC461&gt;7,1+IF(V461&gt;7,0.25,0),IF(AC461&gt;4,0.5+IF(V461&gt;7,0.25,0),0)))+IF(AD461="-",0,IF(AD461&gt;7,1.5,IF(AD461&gt;4,1,0)))+IF(AE461="-",0,IF(AE461&gt;9,0.5,IF(AE461&gt;7,0.25,0)))+IF(AF461="-",0,IF(AF461&gt;7,1.25,IF(AF461&gt;4,0.75,0)))+IF(OR(AG461="-",W461&lt;4),0,IF(AG461&gt;7,1+IF(W461&gt;7,0.15,0),IF(AG461&gt;4,0.5+IF(W461&gt;7,0.15,0),0))))</f>
        <v>0</v>
      </c>
      <c r="AQ461" s="46">
        <f>($AM$3*AM461+$AN$3*AN461+$AO$3*AO461+$AP$3*AP461)+$I$3*VLOOKUP(I461,COND!$A$2:$E$7,4,FALSE)+$J$3*VLOOKUP(J461,COND!$A$2:$C$7,2,FALSE)+$K$3*VLOOKUP(K461,COND!$A$2:$C$7,3,FALSE)+IF(AND($B$2&gt;0,$E461&lt;20),$B$2*25,0)</f>
        <v>35.164469213118501</v>
      </c>
      <c r="AR461" s="49">
        <f>STANDARDIZE(AQ461,AVERAGE($AQ$5:$AQ$537),STDEVP($AQ$5:$AQ$537))</f>
        <v>-0.91205131165869824</v>
      </c>
      <c r="AS461" s="47" t="str">
        <f>IF(AND(Z461&lt;&gt;"-",Y461&gt;1),"C",IF(AB461=MAX(AB461:AD461),"2B",IF(AD461=MAX(AB461:AD461),"SS",IF(OR(AC461=MAX(AA461:AD461),AND(AC461&lt;&gt;"-",AC461&gt;4,V461&gt;5)),"3B",IF(AF461=MAX(AE461:AG461),"CF",IF(AND(AG461=MAX(AE461,AG461),AND(W461&gt;5,AG461&lt;&gt;"-")),"RF",IF(AE461&lt;&gt;"-","LF",IF(AA461&lt;&gt;"-","1B","DH"))))))))</f>
        <v>C</v>
      </c>
      <c r="AT461" s="47"/>
      <c r="AU461" s="47"/>
      <c r="AV461" s="47"/>
      <c r="AW461" s="47" t="str">
        <f>IF(AND($Q461&gt;=6,AVERAGE($S461:$T461)&gt;=6),"Likely",IF(OR($Q461&gt;6,AND($Q461=6,AVERAGE($S461:$T461)&gt;=3),AND($Q461&gt;=5,AVERAGE($S461:$T461)&gt;=5),AVERAGE($Q461,$S461:$T461)&gt;5),"Possible","Unlikely"))</f>
        <v>Unlikely</v>
      </c>
      <c r="AX461" s="47"/>
      <c r="AY461" s="47" t="str">
        <f>INDEX(Table5[[#All],[Ovr]],MATCH(Batters[[#This Row],[PID]],Table5[[#All],[PID]],0))</f>
        <v/>
      </c>
      <c r="AZ461" s="47" t="str">
        <f>INDEX(Table5[[#All],[Rnd]],MATCH(Batters[[#This Row],[PID]],Table5[[#All],[PID]],0))</f>
        <v/>
      </c>
      <c r="BA461" s="47" t="str">
        <f>INDEX(Table5[[#All],[Pick]],MATCH(Batters[[#This Row],[PID]],Table5[[#All],[PID]],0))</f>
        <v/>
      </c>
      <c r="BB461" s="47" t="str">
        <f>INDEX(Table5[[#All],[Team]],MATCH(Batters[[#This Row],[PID]],Table5[[#All],[PID]],0))</f>
        <v/>
      </c>
    </row>
    <row r="462" spans="1:54" ht="15" customHeight="1" x14ac:dyDescent="0.25">
      <c r="A462" s="42">
        <v>3413</v>
      </c>
      <c r="B462" s="42" t="s">
        <v>87</v>
      </c>
      <c r="C462" s="42" t="s">
        <v>188</v>
      </c>
      <c r="D462" s="42" t="s">
        <v>1289</v>
      </c>
      <c r="E462" s="42">
        <v>21</v>
      </c>
      <c r="F462" s="42" t="s">
        <v>42</v>
      </c>
      <c r="G462" s="42" t="s">
        <v>42</v>
      </c>
      <c r="H462" s="43" t="s">
        <v>711</v>
      </c>
      <c r="I462" s="44" t="s">
        <v>43</v>
      </c>
      <c r="J462" s="42" t="s">
        <v>44</v>
      </c>
      <c r="K462" s="43" t="s">
        <v>43</v>
      </c>
      <c r="L462" s="42">
        <v>2</v>
      </c>
      <c r="M462" s="42">
        <v>2</v>
      </c>
      <c r="N462" s="42">
        <v>2</v>
      </c>
      <c r="O462" s="42">
        <v>2</v>
      </c>
      <c r="P462" s="43">
        <v>4</v>
      </c>
      <c r="Q462" s="42">
        <v>3</v>
      </c>
      <c r="R462" s="42">
        <v>3</v>
      </c>
      <c r="S462" s="42">
        <v>2</v>
      </c>
      <c r="T462" s="42">
        <v>4</v>
      </c>
      <c r="U462" s="43">
        <v>5</v>
      </c>
      <c r="V462" s="42">
        <v>5</v>
      </c>
      <c r="W462" s="42">
        <v>3</v>
      </c>
      <c r="X462" s="42">
        <v>1</v>
      </c>
      <c r="Y462" s="43">
        <v>1</v>
      </c>
      <c r="Z462" s="42" t="s">
        <v>45</v>
      </c>
      <c r="AA462" s="42">
        <v>5</v>
      </c>
      <c r="AB462" s="42">
        <v>1</v>
      </c>
      <c r="AC462" s="42" t="s">
        <v>45</v>
      </c>
      <c r="AD462" s="42" t="s">
        <v>45</v>
      </c>
      <c r="AE462" s="42" t="s">
        <v>45</v>
      </c>
      <c r="AF462" s="42" t="s">
        <v>45</v>
      </c>
      <c r="AG462" s="43" t="s">
        <v>45</v>
      </c>
      <c r="AH462" s="42">
        <v>8</v>
      </c>
      <c r="AI462" s="42">
        <v>7</v>
      </c>
      <c r="AJ462" s="43">
        <v>8</v>
      </c>
      <c r="AK462" s="45" t="s">
        <v>45</v>
      </c>
      <c r="AL462" s="45" t="s">
        <v>705</v>
      </c>
      <c r="AM462" s="46">
        <f>($L$3*(L462-$Q$1)/$Q$2+$M$3*(M462-$R$1)/$R$2+$N$3*(N462-$S$1)/$S$2+$O$3*(O462-$T$1)/$T$2+$P$3*(P462-$U$1)/$U$2)/(SUM($L$3:$P$3))</f>
        <v>-1.417907570521461</v>
      </c>
      <c r="AN462" s="46">
        <f>($L$3*(Q462-$Q$1)/$Q$2+$M$3*(R462-$R$1)/$R$2+$N$3*(S462-$S$1)/$S$2+$O$3*(T462-$T$1)/$T$2+$P$3*(U462-$U$1)/$U$2)/(SUM($L$3:$P$3))</f>
        <v>-0.82485641486383698</v>
      </c>
      <c r="AO462" s="47">
        <f>IF(AVERAGE(AH462:AI462)&gt;9,1,0)+IF(AVERAGE(AH462:AI462)&gt;7,1,0)+IF(AH462&gt;7,1,0)+IF(AI462&gt;7,1,0)+IF(AJ462&gt;8,1,0)+IF(AJ462&gt;6,1,0)</f>
        <v>3</v>
      </c>
      <c r="AP462" s="48">
        <f>MIN(2,IF(OR(Z462="-",X462&lt;5),0,1+IF(Y462&gt;7,0.35,IF(Y462&gt;5,0.1,0))+IF(Z462&gt;7,1+IF(X462&gt;7,0.25,0),IF(Z462&gt;4,0.5+IF(X462&gt;7,0.25,0),0+IF(X462&gt;7,0.25))))+IF(AA462="-",0,IF(AA462&gt;9,0.5,IF(AA462&gt;7,0.25,0)))+IF(AB462="-",0,IF(AB462&gt;7,1.1,IF(AB462&gt;4,0.6,0)))+IF(OR(AC462="-",V462&lt;5),0,IF(AC462&gt;7,1+IF(V462&gt;7,0.25,0),IF(AC462&gt;4,0.5+IF(V462&gt;7,0.25,0),0)))+IF(AD462="-",0,IF(AD462&gt;7,1.5,IF(AD462&gt;4,1,0)))+IF(AE462="-",0,IF(AE462&gt;9,0.5,IF(AE462&gt;7,0.25,0)))+IF(AF462="-",0,IF(AF462&gt;7,1.25,IF(AF462&gt;4,0.75,0)))+IF(OR(AG462="-",W462&lt;4),0,IF(AG462&gt;7,1+IF(W462&gt;7,0.15,0),IF(AG462&gt;4,0.5+IF(W462&gt;7,0.15,0),0))))</f>
        <v>0</v>
      </c>
      <c r="AQ462" s="46">
        <f>($AM$3*AM462+$AN$3*AN462+$AO$3*AO462+$AP$3*AP462)+$I$3*VLOOKUP(I462,COND!$A$2:$E$7,4,FALSE)+$J$3*VLOOKUP(J462,COND!$A$2:$C$7,2,FALSE)+$K$3*VLOOKUP(K462,COND!$A$2:$C$7,3,FALSE)+IF(AND($B$2&gt;0,$E462&lt;20),$B$2*25,0)</f>
        <v>35.159932264581812</v>
      </c>
      <c r="AR462" s="49">
        <f>STANDARDIZE(AQ462,AVERAGE($AQ$5:$AQ$537),STDEVP($AQ$5:$AQ$537))</f>
        <v>-0.91284955759979236</v>
      </c>
      <c r="AS462" s="47" t="str">
        <f>IF(AND(Z462&lt;&gt;"-",Y462&gt;1),"C",IF(AB462=MAX(AB462:AD462),"2B",IF(AD462=MAX(AB462:AD462),"SS",IF(OR(AC462=MAX(AA462:AD462),AND(AC462&lt;&gt;"-",AC462&gt;4,V462&gt;5)),"3B",IF(AF462=MAX(AE462:AG462),"CF",IF(AND(AG462=MAX(AE462,AG462),AND(W462&gt;5,AG462&lt;&gt;"-")),"RF",IF(AE462&lt;&gt;"-","LF",IF(AA462&lt;&gt;"-","1B","DH"))))))))</f>
        <v>2B</v>
      </c>
      <c r="AT462" s="47"/>
      <c r="AU462" s="47"/>
      <c r="AV462" s="47"/>
      <c r="AW462" s="47" t="str">
        <f>IF(AND($Q462&gt;=6,AVERAGE($S462:$T462)&gt;=6),"Likely",IF(OR($Q462&gt;6,AND($Q462=6,AVERAGE($S462:$T462)&gt;=3),AND($Q462&gt;=5,AVERAGE($S462:$T462)&gt;=5),AVERAGE($Q462,$S462:$T462)&gt;5),"Possible","Unlikely"))</f>
        <v>Unlikely</v>
      </c>
      <c r="AX462" s="47"/>
      <c r="AY462" s="47" t="str">
        <f>INDEX(Table5[[#All],[Ovr]],MATCH(Batters[[#This Row],[PID]],Table5[[#All],[PID]],0))</f>
        <v/>
      </c>
      <c r="AZ462" s="47" t="str">
        <f>INDEX(Table5[[#All],[Rnd]],MATCH(Batters[[#This Row],[PID]],Table5[[#All],[PID]],0))</f>
        <v/>
      </c>
      <c r="BA462" s="47" t="str">
        <f>INDEX(Table5[[#All],[Pick]],MATCH(Batters[[#This Row],[PID]],Table5[[#All],[PID]],0))</f>
        <v/>
      </c>
      <c r="BB462" s="47" t="str">
        <f>INDEX(Table5[[#All],[Team]],MATCH(Batters[[#This Row],[PID]],Table5[[#All],[PID]],0))</f>
        <v/>
      </c>
    </row>
    <row r="463" spans="1:54" ht="15" customHeight="1" x14ac:dyDescent="0.25">
      <c r="A463" s="42">
        <v>14085</v>
      </c>
      <c r="B463" s="42" t="s">
        <v>86</v>
      </c>
      <c r="C463" s="42" t="s">
        <v>805</v>
      </c>
      <c r="D463" s="42" t="s">
        <v>806</v>
      </c>
      <c r="E463" s="42">
        <v>22</v>
      </c>
      <c r="F463" s="42" t="s">
        <v>42</v>
      </c>
      <c r="G463" s="42" t="s">
        <v>42</v>
      </c>
      <c r="H463" s="43" t="s">
        <v>709</v>
      </c>
      <c r="I463" s="44" t="s">
        <v>44</v>
      </c>
      <c r="J463" s="42" t="s">
        <v>44</v>
      </c>
      <c r="K463" s="43" t="s">
        <v>43</v>
      </c>
      <c r="L463" s="42">
        <v>2</v>
      </c>
      <c r="M463" s="42">
        <v>3</v>
      </c>
      <c r="N463" s="42">
        <v>3</v>
      </c>
      <c r="O463" s="42">
        <v>3</v>
      </c>
      <c r="P463" s="43">
        <v>1</v>
      </c>
      <c r="Q463" s="42">
        <v>3</v>
      </c>
      <c r="R463" s="42">
        <v>3</v>
      </c>
      <c r="S463" s="42">
        <v>3</v>
      </c>
      <c r="T463" s="42">
        <v>5</v>
      </c>
      <c r="U463" s="43">
        <v>2</v>
      </c>
      <c r="V463" s="42">
        <v>3</v>
      </c>
      <c r="W463" s="42">
        <v>2</v>
      </c>
      <c r="X463" s="42">
        <v>3</v>
      </c>
      <c r="Y463" s="43">
        <v>6</v>
      </c>
      <c r="Z463" s="42">
        <v>2</v>
      </c>
      <c r="AA463" s="42" t="s">
        <v>45</v>
      </c>
      <c r="AB463" s="42">
        <v>1</v>
      </c>
      <c r="AC463" s="42" t="s">
        <v>45</v>
      </c>
      <c r="AD463" s="42" t="s">
        <v>45</v>
      </c>
      <c r="AE463" s="42" t="s">
        <v>45</v>
      </c>
      <c r="AF463" s="42" t="s">
        <v>45</v>
      </c>
      <c r="AG463" s="43" t="s">
        <v>45</v>
      </c>
      <c r="AH463" s="42">
        <v>2</v>
      </c>
      <c r="AI463" s="42">
        <v>2</v>
      </c>
      <c r="AJ463" s="43">
        <v>2</v>
      </c>
      <c r="AK463" s="45" t="s">
        <v>45</v>
      </c>
      <c r="AL463" s="45" t="s">
        <v>47</v>
      </c>
      <c r="AM463" s="46">
        <f>($L$3*(L463-$Q$1)/$Q$2+$M$3*(M463-$R$1)/$R$2+$N$3*(N463-$S$1)/$S$2+$O$3*(O463-$T$1)/$T$2+$P$3*(P463-$U$1)/$U$2)/(SUM($L$3:$P$3))</f>
        <v>-1.3141256663205254</v>
      </c>
      <c r="AN463" s="46">
        <f>($L$3*(Q463-$Q$1)/$Q$2+$M$3*(R463-$R$1)/$R$2+$N$3*(S463-$S$1)/$S$2+$O$3*(T463-$T$1)/$T$2+$P$3*(U463-$U$1)/$U$2)/(SUM($L$3:$P$3))</f>
        <v>-0.77213439028160502</v>
      </c>
      <c r="AO463" s="47">
        <f>IF(AVERAGE(AH463:AI463)&gt;9,1,0)+IF(AVERAGE(AH463:AI463)&gt;7,1,0)+IF(AH463&gt;7,1,0)+IF(AI463&gt;7,1,0)+IF(AJ463&gt;8,1,0)+IF(AJ463&gt;6,1,0)</f>
        <v>0</v>
      </c>
      <c r="AP463" s="48">
        <f>MIN(2,IF(OR(Z463="-",X463&lt;5),0,1+IF(Y463&gt;7,0.35,IF(Y463&gt;5,0.1,0))+IF(Z463&gt;7,1+IF(X463&gt;7,0.25,0),IF(Z463&gt;4,0.5+IF(X463&gt;7,0.25,0),0+IF(X463&gt;7,0.25))))+IF(AA463="-",0,IF(AA463&gt;9,0.5,IF(AA463&gt;7,0.25,0)))+IF(AB463="-",0,IF(AB463&gt;7,1.1,IF(AB463&gt;4,0.6,0)))+IF(OR(AC463="-",V463&lt;5),0,IF(AC463&gt;7,1+IF(V463&gt;7,0.25,0),IF(AC463&gt;4,0.5+IF(V463&gt;7,0.25,0),0)))+IF(AD463="-",0,IF(AD463&gt;7,1.5,IF(AD463&gt;4,1,0)))+IF(AE463="-",0,IF(AE463&gt;9,0.5,IF(AE463&gt;7,0.25,0)))+IF(AF463="-",0,IF(AF463&gt;7,1.25,IF(AF463&gt;4,0.75,0)))+IF(OR(AG463="-",W463&lt;4),0,IF(AG463&gt;7,1+IF(W463&gt;7,0.15,0),IF(AG463&gt;4,0.5+IF(W463&gt;7,0.15,0),0))))</f>
        <v>0</v>
      </c>
      <c r="AQ463" s="46">
        <f>($AM$3*AM463+$AN$3*AN463+$AO$3*AO463+$AP$3*AP463)+$I$3*VLOOKUP(I463,COND!$A$2:$E$7,4,FALSE)+$J$3*VLOOKUP(J463,COND!$A$2:$C$7,2,FALSE)+$K$3*VLOOKUP(K463,COND!$A$2:$C$7,3,FALSE)+IF(AND($B$2&gt;0,$E463&lt;20),$B$2*25,0)</f>
        <v>35.152974749988687</v>
      </c>
      <c r="AR463" s="49">
        <f>STANDARDIZE(AQ463,AVERAGE($AQ$5:$AQ$537),STDEVP($AQ$5:$AQ$537))</f>
        <v>-0.91407368605070005</v>
      </c>
      <c r="AS463" s="47" t="str">
        <f>IF(AND(Z463&lt;&gt;"-",Y463&gt;1),"C",IF(AB463=MAX(AB463:AD463),"2B",IF(AD463=MAX(AB463:AD463),"SS",IF(OR(AC463=MAX(AA463:AD463),AND(AC463&lt;&gt;"-",AC463&gt;4,V463&gt;5)),"3B",IF(AF463=MAX(AE463:AG463),"CF",IF(AND(AG463=MAX(AE463,AG463),AND(W463&gt;5,AG463&lt;&gt;"-")),"RF",IF(AE463&lt;&gt;"-","LF",IF(AA463&lt;&gt;"-","1B","DH"))))))))</f>
        <v>C</v>
      </c>
      <c r="AT463" s="47"/>
      <c r="AU463" s="47"/>
      <c r="AV463" s="47"/>
      <c r="AW463" s="47" t="str">
        <f>IF(AND($Q463&gt;=6,AVERAGE($S463:$T463)&gt;=6),"Likely",IF(OR($Q463&gt;6,AND($Q463=6,AVERAGE($S463:$T463)&gt;=3),AND($Q463&gt;=5,AVERAGE($S463:$T463)&gt;=5),AVERAGE($Q463,$S463:$T463)&gt;5),"Possible","Unlikely"))</f>
        <v>Unlikely</v>
      </c>
      <c r="AX463" s="47"/>
      <c r="AY463" s="47" t="str">
        <f>INDEX(Table5[[#All],[Ovr]],MATCH(Batters[[#This Row],[PID]],Table5[[#All],[PID]],0))</f>
        <v/>
      </c>
      <c r="AZ463" s="47" t="str">
        <f>INDEX(Table5[[#All],[Rnd]],MATCH(Batters[[#This Row],[PID]],Table5[[#All],[PID]],0))</f>
        <v/>
      </c>
      <c r="BA463" s="47" t="str">
        <f>INDEX(Table5[[#All],[Pick]],MATCH(Batters[[#This Row],[PID]],Table5[[#All],[PID]],0))</f>
        <v/>
      </c>
      <c r="BB463" s="47" t="str">
        <f>INDEX(Table5[[#All],[Team]],MATCH(Batters[[#This Row],[PID]],Table5[[#All],[PID]],0))</f>
        <v/>
      </c>
    </row>
    <row r="464" spans="1:54" ht="15" customHeight="1" x14ac:dyDescent="0.25">
      <c r="A464" s="42">
        <v>12099</v>
      </c>
      <c r="B464" s="42" t="s">
        <v>69</v>
      </c>
      <c r="C464" s="42" t="s">
        <v>1329</v>
      </c>
      <c r="D464" s="42" t="s">
        <v>864</v>
      </c>
      <c r="E464" s="42">
        <v>21</v>
      </c>
      <c r="F464" s="42" t="s">
        <v>42</v>
      </c>
      <c r="G464" s="42" t="s">
        <v>42</v>
      </c>
      <c r="H464" s="43" t="s">
        <v>709</v>
      </c>
      <c r="I464" s="44" t="s">
        <v>43</v>
      </c>
      <c r="J464" s="42" t="s">
        <v>43</v>
      </c>
      <c r="K464" s="43" t="s">
        <v>43</v>
      </c>
      <c r="L464" s="42">
        <v>1</v>
      </c>
      <c r="M464" s="42">
        <v>2</v>
      </c>
      <c r="N464" s="42">
        <v>3</v>
      </c>
      <c r="O464" s="42">
        <v>3</v>
      </c>
      <c r="P464" s="43">
        <v>1</v>
      </c>
      <c r="Q464" s="42">
        <v>2</v>
      </c>
      <c r="R464" s="42">
        <v>3</v>
      </c>
      <c r="S464" s="42">
        <v>5</v>
      </c>
      <c r="T464" s="42">
        <v>5</v>
      </c>
      <c r="U464" s="43">
        <v>2</v>
      </c>
      <c r="V464" s="42">
        <v>9</v>
      </c>
      <c r="W464" s="42">
        <v>8</v>
      </c>
      <c r="X464" s="42">
        <v>1</v>
      </c>
      <c r="Y464" s="43">
        <v>1</v>
      </c>
      <c r="Z464" s="42" t="s">
        <v>45</v>
      </c>
      <c r="AA464" s="42" t="s">
        <v>45</v>
      </c>
      <c r="AB464" s="42" t="s">
        <v>45</v>
      </c>
      <c r="AC464" s="42">
        <v>5</v>
      </c>
      <c r="AD464" s="42" t="s">
        <v>45</v>
      </c>
      <c r="AE464" s="42" t="s">
        <v>45</v>
      </c>
      <c r="AF464" s="42" t="s">
        <v>45</v>
      </c>
      <c r="AG464" s="43" t="s">
        <v>45</v>
      </c>
      <c r="AH464" s="42">
        <v>3</v>
      </c>
      <c r="AI464" s="42">
        <v>1</v>
      </c>
      <c r="AJ464" s="43">
        <v>1</v>
      </c>
      <c r="AK464" s="45" t="s">
        <v>717</v>
      </c>
      <c r="AL464" s="45" t="s">
        <v>47</v>
      </c>
      <c r="AM464" s="46">
        <f>($L$3*(L464-$Q$1)/$Q$2+$M$3*(M464-$R$1)/$R$2+$N$3*(N464-$S$1)/$S$2+$O$3*(O464-$T$1)/$T$2+$P$3*(P464-$U$1)/$U$2)/(SUM($L$3:$P$3))</f>
        <v>-1.6877413821419032</v>
      </c>
      <c r="AN464" s="46">
        <f>($L$3*(Q464-$Q$1)/$Q$2+$M$3*(R464-$R$1)/$R$2+$N$3*(S464-$S$1)/$S$2+$O$3*(T464-$T$1)/$T$2+$P$3*(U464-$U$1)/$U$2)/(SUM($L$3:$P$3))</f>
        <v>-0.92856723843647693</v>
      </c>
      <c r="AO464" s="47">
        <f>IF(AVERAGE(AH464:AI464)&gt;9,1,0)+IF(AVERAGE(AH464:AI464)&gt;7,1,0)+IF(AH464&gt;7,1,0)+IF(AI464&gt;7,1,0)+IF(AJ464&gt;8,1,0)+IF(AJ464&gt;6,1,0)</f>
        <v>0</v>
      </c>
      <c r="AP464" s="48">
        <f>MIN(2,IF(OR(Z464="-",X464&lt;5),0,1+IF(Y464&gt;7,0.35,IF(Y464&gt;5,0.1,0))+IF(Z464&gt;7,1+IF(X464&gt;7,0.25,0),IF(Z464&gt;4,0.5+IF(X464&gt;7,0.25,0),0+IF(X464&gt;7,0.25))))+IF(AA464="-",0,IF(AA464&gt;9,0.5,IF(AA464&gt;7,0.25,0)))+IF(AB464="-",0,IF(AB464&gt;7,1.1,IF(AB464&gt;4,0.6,0)))+IF(OR(AC464="-",V464&lt;5),0,IF(AC464&gt;7,1+IF(V464&gt;7,0.25,0),IF(AC464&gt;4,0.5+IF(V464&gt;7,0.25,0),0)))+IF(AD464="-",0,IF(AD464&gt;7,1.5,IF(AD464&gt;4,1,0)))+IF(AE464="-",0,IF(AE464&gt;9,0.5,IF(AE464&gt;7,0.25,0)))+IF(AF464="-",0,IF(AF464&gt;7,1.25,IF(AF464&gt;4,0.75,0)))+IF(OR(AG464="-",W464&lt;4),0,IF(AG464&gt;7,1+IF(W464&gt;7,0.15,0),IF(AG464&gt;4,0.5+IF(W464&gt;7,0.15,0),0))))</f>
        <v>0.75</v>
      </c>
      <c r="AQ464" s="46">
        <f>($AM$3*AM464+$AN$3*AN464+$AO$3*AO464+$AP$3*AP464)+$I$3*VLOOKUP(I464,COND!$A$2:$E$7,4,FALSE)+$J$3*VLOOKUP(J464,COND!$A$2:$C$7,2,FALSE)+$K$3*VLOOKUP(K464,COND!$A$2:$C$7,3,FALSE)+IF(AND($B$2&gt;0,$E464&lt;20),$B$2*25,0)</f>
        <v>34.438419000548087</v>
      </c>
      <c r="AR464" s="49">
        <f>STANDARDIZE(AQ464,AVERAGE($AQ$5:$AQ$537),STDEVP($AQ$5:$AQ$537))</f>
        <v>-1.0397950210104825</v>
      </c>
      <c r="AS464" s="47" t="str">
        <f>IF(AND(Z464&lt;&gt;"-",Y464&gt;1),"C",IF(AB464=MAX(AB464:AD464),"2B",IF(AD464=MAX(AB464:AD464),"SS",IF(OR(AC464=MAX(AA464:AD464),AND(AC464&lt;&gt;"-",AC464&gt;4,V464&gt;5)),"3B",IF(AF464=MAX(AE464:AG464),"CF",IF(AND(AG464=MAX(AE464,AG464),AND(W464&gt;5,AG464&lt;&gt;"-")),"RF",IF(AE464&lt;&gt;"-","LF",IF(AA464&lt;&gt;"-","1B","DH"))))))))</f>
        <v>3B</v>
      </c>
      <c r="AT464" s="47"/>
      <c r="AU464" s="47"/>
      <c r="AV464" s="47"/>
      <c r="AW464" s="47" t="str">
        <f>IF(AND($Q464&gt;=6,AVERAGE($S464:$T464)&gt;=6),"Likely",IF(OR($Q464&gt;6,AND($Q464=6,AVERAGE($S464:$T464)&gt;=3),AND($Q464&gt;=5,AVERAGE($S464:$T464)&gt;=5),AVERAGE($Q464,$S464:$T464)&gt;5),"Possible","Unlikely"))</f>
        <v>Unlikely</v>
      </c>
      <c r="AX464" s="47"/>
      <c r="AY464" s="47" t="str">
        <f>INDEX(Table5[[#All],[Ovr]],MATCH(Batters[[#This Row],[PID]],Table5[[#All],[PID]],0))</f>
        <v/>
      </c>
      <c r="AZ464" s="47" t="str">
        <f>INDEX(Table5[[#All],[Rnd]],MATCH(Batters[[#This Row],[PID]],Table5[[#All],[PID]],0))</f>
        <v/>
      </c>
      <c r="BA464" s="47" t="str">
        <f>INDEX(Table5[[#All],[Pick]],MATCH(Batters[[#This Row],[PID]],Table5[[#All],[PID]],0))</f>
        <v/>
      </c>
      <c r="BB464" s="47" t="str">
        <f>INDEX(Table5[[#All],[Team]],MATCH(Batters[[#This Row],[PID]],Table5[[#All],[PID]],0))</f>
        <v/>
      </c>
    </row>
    <row r="465" spans="1:54" ht="15" customHeight="1" x14ac:dyDescent="0.25">
      <c r="A465" s="42">
        <v>5513</v>
      </c>
      <c r="B465" s="42" t="s">
        <v>71</v>
      </c>
      <c r="C465" s="42" t="s">
        <v>1113</v>
      </c>
      <c r="D465" s="42" t="s">
        <v>340</v>
      </c>
      <c r="E465" s="42">
        <v>18</v>
      </c>
      <c r="F465" s="42" t="s">
        <v>42</v>
      </c>
      <c r="G465" s="42" t="s">
        <v>42</v>
      </c>
      <c r="H465" s="43" t="s">
        <v>721</v>
      </c>
      <c r="I465" s="44" t="s">
        <v>44</v>
      </c>
      <c r="J465" s="42" t="s">
        <v>44</v>
      </c>
      <c r="K465" s="43" t="s">
        <v>43</v>
      </c>
      <c r="L465" s="42">
        <v>1</v>
      </c>
      <c r="M465" s="42">
        <v>1</v>
      </c>
      <c r="N465" s="42">
        <v>2</v>
      </c>
      <c r="O465" s="42">
        <v>1</v>
      </c>
      <c r="P465" s="43">
        <v>1</v>
      </c>
      <c r="Q465" s="42">
        <v>2</v>
      </c>
      <c r="R465" s="42">
        <v>2</v>
      </c>
      <c r="S465" s="42">
        <v>2</v>
      </c>
      <c r="T465" s="42">
        <v>5</v>
      </c>
      <c r="U465" s="43">
        <v>3</v>
      </c>
      <c r="V465" s="42">
        <v>7</v>
      </c>
      <c r="W465" s="42">
        <v>5</v>
      </c>
      <c r="X465" s="42">
        <v>1</v>
      </c>
      <c r="Y465" s="43">
        <v>1</v>
      </c>
      <c r="Z465" s="42" t="s">
        <v>45</v>
      </c>
      <c r="AA465" s="42" t="s">
        <v>45</v>
      </c>
      <c r="AB465" s="42">
        <v>3</v>
      </c>
      <c r="AC465" s="42" t="s">
        <v>45</v>
      </c>
      <c r="AD465" s="42" t="s">
        <v>45</v>
      </c>
      <c r="AE465" s="42" t="s">
        <v>45</v>
      </c>
      <c r="AF465" s="42" t="s">
        <v>45</v>
      </c>
      <c r="AG465" s="43" t="s">
        <v>45</v>
      </c>
      <c r="AH465" s="42">
        <v>4</v>
      </c>
      <c r="AI465" s="42">
        <v>4</v>
      </c>
      <c r="AJ465" s="43">
        <v>5</v>
      </c>
      <c r="AK465" s="45" t="s">
        <v>606</v>
      </c>
      <c r="AL465" s="45" t="s">
        <v>47</v>
      </c>
      <c r="AM465" s="46">
        <f>($L$3*(L465-$Q$1)/$Q$2+$M$3*(M465-$R$1)/$R$2+$N$3*(N465-$S$1)/$S$2+$O$3*(O465-$T$1)/$T$2+$P$3*(P465-$U$1)/$U$2)/(SUM($L$3:$P$3))</f>
        <v>-2.0012818558036707</v>
      </c>
      <c r="AN465" s="46">
        <f>($L$3*(Q465-$Q$1)/$Q$2+$M$3*(R465-$R$1)/$R$2+$N$3*(S465-$S$1)/$S$2+$O$3*(T465-$T$1)/$T$2+$P$3*(U465-$U$1)/$U$2)/(SUM($L$3:$P$3))</f>
        <v>-1.1887952603098013</v>
      </c>
      <c r="AO465" s="47">
        <f>IF(AVERAGE(AH465:AI465)&gt;9,1,0)+IF(AVERAGE(AH465:AI465)&gt;7,1,0)+IF(AH465&gt;7,1,0)+IF(AI465&gt;7,1,0)+IF(AJ465&gt;8,1,0)+IF(AJ465&gt;6,1,0)</f>
        <v>0</v>
      </c>
      <c r="AP465" s="48">
        <f>MIN(2,IF(OR(Z465="-",X465&lt;5),0,1+IF(Y465&gt;7,0.35,IF(Y465&gt;5,0.1,0))+IF(Z465&gt;7,1+IF(X465&gt;7,0.25,0),IF(Z465&gt;4,0.5+IF(X465&gt;7,0.25,0),0+IF(X465&gt;7,0.25))))+IF(AA465="-",0,IF(AA465&gt;9,0.5,IF(AA465&gt;7,0.25,0)))+IF(AB465="-",0,IF(AB465&gt;7,1.1,IF(AB465&gt;4,0.6,0)))+IF(OR(AC465="-",V465&lt;5),0,IF(AC465&gt;7,1+IF(V465&gt;7,0.25,0),IF(AC465&gt;4,0.5+IF(V465&gt;7,0.25,0),0)))+IF(AD465="-",0,IF(AD465&gt;7,1.5,IF(AD465&gt;4,1,0)))+IF(AE465="-",0,IF(AE465&gt;9,0.5,IF(AE465&gt;7,0.25,0)))+IF(AF465="-",0,IF(AF465&gt;7,1.25,IF(AF465&gt;4,0.75,0)))+IF(OR(AG465="-",W465&lt;4),0,IF(AG465&gt;7,1+IF(W465&gt;7,0.15,0),IF(AG465&gt;4,0.5+IF(W465&gt;7,0.15,0),0))))</f>
        <v>0</v>
      </c>
      <c r="AQ465" s="46">
        <f>($AM$3*AM465+$AN$3*AN465+$AO$3*AO465+$AP$3*AP465)+$I$3*VLOOKUP(I465,COND!$A$2:$E$7,4,FALSE)+$J$3*VLOOKUP(J465,COND!$A$2:$C$7,2,FALSE)+$K$3*VLOOKUP(K465,COND!$A$2:$C$7,3,FALSE)+IF(AND($B$2&gt;0,$E465&lt;20),$B$2*25,0)</f>
        <v>35.084328690702016</v>
      </c>
      <c r="AR465" s="49">
        <f>STANDARDIZE(AQ465,AVERAGE($AQ$5:$AQ$537),STDEVP($AQ$5:$AQ$537))</f>
        <v>-0.92615150393965406</v>
      </c>
      <c r="AS465" s="47" t="str">
        <f>IF(AND(Z465&lt;&gt;"-",Y465&gt;1),"C",IF(AB465=MAX(AB465:AD465),"2B",IF(AD465=MAX(AB465:AD465),"SS",IF(OR(AC465=MAX(AA465:AD465),AND(AC465&lt;&gt;"-",AC465&gt;4,V465&gt;5)),"3B",IF(AF465=MAX(AE465:AG465),"CF",IF(AND(AG465=MAX(AE465,AG465),AND(W465&gt;5,AG465&lt;&gt;"-")),"RF",IF(AE465&lt;&gt;"-","LF",IF(AA465&lt;&gt;"-","1B","DH"))))))))</f>
        <v>2B</v>
      </c>
      <c r="AT465" s="47"/>
      <c r="AU465" s="47"/>
      <c r="AV465" s="47"/>
      <c r="AW465" s="47" t="str">
        <f>IF(AND($Q465&gt;=6,AVERAGE($S465:$T465)&gt;=6),"Likely",IF(OR($Q465&gt;6,AND($Q465=6,AVERAGE($S465:$T465)&gt;=3),AND($Q465&gt;=5,AVERAGE($S465:$T465)&gt;=5),AVERAGE($Q465,$S465:$T465)&gt;5),"Possible","Unlikely"))</f>
        <v>Unlikely</v>
      </c>
      <c r="AX465" s="47"/>
      <c r="AY465" s="47" t="str">
        <f>INDEX(Table5[[#All],[Ovr]],MATCH(Batters[[#This Row],[PID]],Table5[[#All],[PID]],0))</f>
        <v/>
      </c>
      <c r="AZ465" s="47" t="str">
        <f>INDEX(Table5[[#All],[Rnd]],MATCH(Batters[[#This Row],[PID]],Table5[[#All],[PID]],0))</f>
        <v/>
      </c>
      <c r="BA465" s="47" t="str">
        <f>INDEX(Table5[[#All],[Pick]],MATCH(Batters[[#This Row],[PID]],Table5[[#All],[PID]],0))</f>
        <v/>
      </c>
      <c r="BB465" s="47" t="str">
        <f>INDEX(Table5[[#All],[Team]],MATCH(Batters[[#This Row],[PID]],Table5[[#All],[PID]],0))</f>
        <v/>
      </c>
    </row>
    <row r="466" spans="1:54" ht="15" customHeight="1" x14ac:dyDescent="0.25">
      <c r="A466" s="42">
        <v>4779</v>
      </c>
      <c r="B466" s="42" t="s">
        <v>74</v>
      </c>
      <c r="C466" s="42" t="s">
        <v>377</v>
      </c>
      <c r="D466" s="42" t="s">
        <v>827</v>
      </c>
      <c r="E466" s="42">
        <v>22</v>
      </c>
      <c r="F466" s="42" t="s">
        <v>42</v>
      </c>
      <c r="G466" s="42" t="s">
        <v>42</v>
      </c>
      <c r="H466" s="43" t="s">
        <v>711</v>
      </c>
      <c r="I466" s="44" t="s">
        <v>43</v>
      </c>
      <c r="J466" s="42" t="s">
        <v>43</v>
      </c>
      <c r="K466" s="43" t="s">
        <v>43</v>
      </c>
      <c r="L466" s="42">
        <v>1</v>
      </c>
      <c r="M466" s="42">
        <v>2</v>
      </c>
      <c r="N466" s="42">
        <v>2</v>
      </c>
      <c r="O466" s="42">
        <v>2</v>
      </c>
      <c r="P466" s="43">
        <v>1</v>
      </c>
      <c r="Q466" s="42">
        <v>3</v>
      </c>
      <c r="R466" s="42">
        <v>3</v>
      </c>
      <c r="S466" s="42">
        <v>3</v>
      </c>
      <c r="T466" s="42">
        <v>3</v>
      </c>
      <c r="U466" s="43">
        <v>2</v>
      </c>
      <c r="V466" s="42">
        <v>3</v>
      </c>
      <c r="W466" s="42">
        <v>5</v>
      </c>
      <c r="X466" s="42">
        <v>1</v>
      </c>
      <c r="Y466" s="43">
        <v>1</v>
      </c>
      <c r="Z466" s="42" t="s">
        <v>45</v>
      </c>
      <c r="AA466" s="42" t="s">
        <v>45</v>
      </c>
      <c r="AB466" s="42">
        <v>4</v>
      </c>
      <c r="AC466" s="42" t="s">
        <v>45</v>
      </c>
      <c r="AD466" s="42" t="s">
        <v>45</v>
      </c>
      <c r="AE466" s="42" t="s">
        <v>45</v>
      </c>
      <c r="AF466" s="42">
        <v>5</v>
      </c>
      <c r="AG466" s="43">
        <v>2</v>
      </c>
      <c r="AH466" s="42">
        <v>6</v>
      </c>
      <c r="AI466" s="42">
        <v>7</v>
      </c>
      <c r="AJ466" s="43">
        <v>8</v>
      </c>
      <c r="AK466" s="45" t="s">
        <v>45</v>
      </c>
      <c r="AL466" s="45" t="s">
        <v>47</v>
      </c>
      <c r="AM466" s="46">
        <f>($L$3*(L466-$Q$1)/$Q$2+$M$3*(M466-$R$1)/$R$2+$N$3*(N466-$S$1)/$S$2+$O$3*(O466-$T$1)/$T$2+$P$3*(P466-$U$1)/$U$2)/(SUM($L$3:$P$3))</f>
        <v>-1.8605124261753858</v>
      </c>
      <c r="AN466" s="46">
        <f>($L$3*(Q466-$Q$1)/$Q$2+$M$3*(R466-$R$1)/$R$2+$N$3*(S466-$S$1)/$S$2+$O$3*(T466-$T$1)/$T$2+$P$3*(U466-$U$1)/$U$2)/(SUM($L$3:$P$3))</f>
        <v>-0.95155349030076708</v>
      </c>
      <c r="AO466" s="47">
        <f>IF(AVERAGE(AH466:AI466)&gt;9,1,0)+IF(AVERAGE(AH466:AI466)&gt;7,1,0)+IF(AH466&gt;7,1,0)+IF(AI466&gt;7,1,0)+IF(AJ466&gt;8,1,0)+IF(AJ466&gt;6,1,0)</f>
        <v>1</v>
      </c>
      <c r="AP466" s="48">
        <f>MIN(2,IF(OR(Z466="-",X466&lt;5),0,1+IF(Y466&gt;7,0.35,IF(Y466&gt;5,0.1,0))+IF(Z466&gt;7,1+IF(X466&gt;7,0.25,0),IF(Z466&gt;4,0.5+IF(X466&gt;7,0.25,0),0+IF(X466&gt;7,0.25))))+IF(AA466="-",0,IF(AA466&gt;9,0.5,IF(AA466&gt;7,0.25,0)))+IF(AB466="-",0,IF(AB466&gt;7,1.1,IF(AB466&gt;4,0.6,0)))+IF(OR(AC466="-",V466&lt;5),0,IF(AC466&gt;7,1+IF(V466&gt;7,0.25,0),IF(AC466&gt;4,0.5+IF(V466&gt;7,0.25,0),0)))+IF(AD466="-",0,IF(AD466&gt;7,1.5,IF(AD466&gt;4,1,0)))+IF(AE466="-",0,IF(AE466&gt;9,0.5,IF(AE466&gt;7,0.25,0)))+IF(AF466="-",0,IF(AF466&gt;7,1.25,IF(AF466&gt;4,0.75,0)))+IF(OR(AG466="-",W466&lt;4),0,IF(AG466&gt;7,1+IF(W466&gt;7,0.15,0),IF(AG466&gt;4,0.5+IF(W466&gt;7,0.15,0),0))))</f>
        <v>0.75</v>
      </c>
      <c r="AQ466" s="46">
        <f>($AM$3*AM466+$AN$3*AN466+$AO$3*AO466+$AP$3*AP466)+$I$3*VLOOKUP(I466,COND!$A$2:$E$7,4,FALSE)+$J$3*VLOOKUP(J466,COND!$A$2:$C$7,2,FALSE)+$K$3*VLOOKUP(K466,COND!$A$2:$C$7,3,FALSE)+IF(AND($B$2&gt;0,$E466&lt;20),$B$2*25,0)</f>
        <v>34.311973540439922</v>
      </c>
      <c r="AR466" s="49">
        <f>STANDARDIZE(AQ466,AVERAGE($AQ$5:$AQ$537),STDEVP($AQ$5:$AQ$537))</f>
        <v>-1.0620422593216257</v>
      </c>
      <c r="AS466" s="47" t="str">
        <f>IF(AND(Z466&lt;&gt;"-",Y466&gt;1),"C",IF(AB466=MAX(AB466:AD466),"2B",IF(AD466=MAX(AB466:AD466),"SS",IF(OR(AC466=MAX(AA466:AD466),AND(AC466&lt;&gt;"-",AC466&gt;4,V466&gt;5)),"3B",IF(AF466=MAX(AE466:AG466),"CF",IF(AND(AG466=MAX(AE466,AG466),AND(W466&gt;5,AG466&lt;&gt;"-")),"RF",IF(AE466&lt;&gt;"-","LF",IF(AA466&lt;&gt;"-","1B","DH"))))))))</f>
        <v>2B</v>
      </c>
      <c r="AT466" s="47"/>
      <c r="AU466" s="47"/>
      <c r="AV466" s="47"/>
      <c r="AW466" s="47" t="str">
        <f>IF(AND($Q466&gt;=6,AVERAGE($S466:$T466)&gt;=6),"Likely",IF(OR($Q466&gt;6,AND($Q466=6,AVERAGE($S466:$T466)&gt;=3),AND($Q466&gt;=5,AVERAGE($S466:$T466)&gt;=5),AVERAGE($Q466,$S466:$T466)&gt;5),"Possible","Unlikely"))</f>
        <v>Unlikely</v>
      </c>
      <c r="AX466" s="47"/>
      <c r="AY466" s="47" t="str">
        <f>INDEX(Table5[[#All],[Ovr]],MATCH(Batters[[#This Row],[PID]],Table5[[#All],[PID]],0))</f>
        <v/>
      </c>
      <c r="AZ466" s="47" t="str">
        <f>INDEX(Table5[[#All],[Rnd]],MATCH(Batters[[#This Row],[PID]],Table5[[#All],[PID]],0))</f>
        <v/>
      </c>
      <c r="BA466" s="47" t="str">
        <f>INDEX(Table5[[#All],[Pick]],MATCH(Batters[[#This Row],[PID]],Table5[[#All],[PID]],0))</f>
        <v/>
      </c>
      <c r="BB466" s="47" t="str">
        <f>INDEX(Table5[[#All],[Team]],MATCH(Batters[[#This Row],[PID]],Table5[[#All],[PID]],0))</f>
        <v/>
      </c>
    </row>
    <row r="467" spans="1:54" ht="15" customHeight="1" x14ac:dyDescent="0.25">
      <c r="A467" s="42">
        <v>15034</v>
      </c>
      <c r="B467" s="42" t="s">
        <v>72</v>
      </c>
      <c r="C467" s="42" t="s">
        <v>915</v>
      </c>
      <c r="D467" s="42" t="s">
        <v>727</v>
      </c>
      <c r="E467" s="42">
        <v>18</v>
      </c>
      <c r="F467" s="42" t="s">
        <v>62</v>
      </c>
      <c r="G467" s="42" t="s">
        <v>42</v>
      </c>
      <c r="H467" s="43" t="s">
        <v>709</v>
      </c>
      <c r="I467" s="44" t="s">
        <v>43</v>
      </c>
      <c r="J467" s="42" t="s">
        <v>44</v>
      </c>
      <c r="K467" s="43" t="s">
        <v>44</v>
      </c>
      <c r="L467" s="42">
        <v>1</v>
      </c>
      <c r="M467" s="42">
        <v>2</v>
      </c>
      <c r="N467" s="42">
        <v>2</v>
      </c>
      <c r="O467" s="42">
        <v>2</v>
      </c>
      <c r="P467" s="43">
        <v>1</v>
      </c>
      <c r="Q467" s="42">
        <v>2</v>
      </c>
      <c r="R467" s="42">
        <v>3</v>
      </c>
      <c r="S467" s="42">
        <v>3</v>
      </c>
      <c r="T467" s="42">
        <v>4</v>
      </c>
      <c r="U467" s="43">
        <v>3</v>
      </c>
      <c r="V467" s="42">
        <v>8</v>
      </c>
      <c r="W467" s="42">
        <v>7</v>
      </c>
      <c r="X467" s="42">
        <v>1</v>
      </c>
      <c r="Y467" s="43">
        <v>1</v>
      </c>
      <c r="Z467" s="42" t="s">
        <v>45</v>
      </c>
      <c r="AA467" s="42" t="s">
        <v>45</v>
      </c>
      <c r="AB467" s="42" t="s">
        <v>45</v>
      </c>
      <c r="AC467" s="42">
        <v>3</v>
      </c>
      <c r="AD467" s="42">
        <v>4</v>
      </c>
      <c r="AE467" s="42" t="s">
        <v>45</v>
      </c>
      <c r="AF467" s="42" t="s">
        <v>45</v>
      </c>
      <c r="AG467" s="43" t="s">
        <v>45</v>
      </c>
      <c r="AH467" s="42">
        <v>8</v>
      </c>
      <c r="AI467" s="42">
        <v>3</v>
      </c>
      <c r="AJ467" s="43">
        <v>1</v>
      </c>
      <c r="AK467" s="45" t="s">
        <v>599</v>
      </c>
      <c r="AL467" s="45" t="s">
        <v>47</v>
      </c>
      <c r="AM467" s="46">
        <f>($L$3*(L467-$Q$1)/$Q$2+$M$3*(M467-$R$1)/$R$2+$N$3*(N467-$S$1)/$S$2+$O$3*(O467-$T$1)/$T$2+$P$3*(P467-$U$1)/$U$2)/(SUM($L$3:$P$3))</f>
        <v>-1.8605124261753858</v>
      </c>
      <c r="AN467" s="46">
        <f>($L$3*(Q467-$Q$1)/$Q$2+$M$3*(R467-$R$1)/$R$2+$N$3*(S467-$S$1)/$S$2+$O$3*(T467-$T$1)/$T$2+$P$3*(U467-$U$1)/$U$2)/(SUM($L$3:$P$3))</f>
        <v>-1.1443834366767773</v>
      </c>
      <c r="AO467" s="47">
        <f>IF(AVERAGE(AH467:AI467)&gt;9,1,0)+IF(AVERAGE(AH467:AI467)&gt;7,1,0)+IF(AH467&gt;7,1,0)+IF(AI467&gt;7,1,0)+IF(AJ467&gt;8,1,0)+IF(AJ467&gt;6,1,0)</f>
        <v>1</v>
      </c>
      <c r="AP467" s="48">
        <f>MIN(2,IF(OR(Z467="-",X467&lt;5),0,1+IF(Y467&gt;7,0.35,IF(Y467&gt;5,0.1,0))+IF(Z467&gt;7,1+IF(X467&gt;7,0.25,0),IF(Z467&gt;4,0.5+IF(X467&gt;7,0.25,0),0+IF(X467&gt;7,0.25))))+IF(AA467="-",0,IF(AA467&gt;9,0.5,IF(AA467&gt;7,0.25,0)))+IF(AB467="-",0,IF(AB467&gt;7,1.1,IF(AB467&gt;4,0.6,0)))+IF(OR(AC467="-",V467&lt;5),0,IF(AC467&gt;7,1+IF(V467&gt;7,0.25,0),IF(AC467&gt;4,0.5+IF(V467&gt;7,0.25,0),0)))+IF(AD467="-",0,IF(AD467&gt;7,1.5,IF(AD467&gt;4,1,0)))+IF(AE467="-",0,IF(AE467&gt;9,0.5,IF(AE467&gt;7,0.25,0)))+IF(AF467="-",0,IF(AF467&gt;7,1.25,IF(AF467&gt;4,0.75,0)))+IF(OR(AG467="-",W467&lt;4),0,IF(AG467&gt;7,1+IF(W467&gt;7,0.15,0),IF(AG467&gt;4,0.5+IF(W467&gt;7,0.15,0),0))))</f>
        <v>0</v>
      </c>
      <c r="AQ467" s="46">
        <f>($AM$3*AM467+$AN$3*AN467+$AO$3*AO467+$AP$3*AP467)+$I$3*VLOOKUP(I467,COND!$A$2:$E$7,4,FALSE)+$J$3*VLOOKUP(J467,COND!$A$2:$C$7,2,FALSE)+$K$3*VLOOKUP(K467,COND!$A$2:$C$7,3,FALSE)+IF(AND($B$2&gt;0,$E467&lt;20),$B$2*25,0)</f>
        <v>35.648014183927799</v>
      </c>
      <c r="AR467" s="49">
        <f>STANDARDIZE(AQ467,AVERAGE($AQ$5:$AQ$537),STDEVP($AQ$5:$AQ$537))</f>
        <v>-0.82697478783137501</v>
      </c>
      <c r="AS467" s="47" t="str">
        <f>IF(AND(Z467&lt;&gt;"-",Y467&gt;1),"C",IF(AB467=MAX(AB467:AD467),"2B",IF(AD467=MAX(AB467:AD467),"SS",IF(OR(AC467=MAX(AA467:AD467),AND(AC467&lt;&gt;"-",AC467&gt;4,V467&gt;5)),"3B",IF(AF467=MAX(AE467:AG467),"CF",IF(AND(AG467=MAX(AE467,AG467),AND(W467&gt;5,AG467&lt;&gt;"-")),"RF",IF(AE467&lt;&gt;"-","LF",IF(AA467&lt;&gt;"-","1B","DH"))))))))</f>
        <v>SS</v>
      </c>
      <c r="AT467" s="47"/>
      <c r="AU467" s="47"/>
      <c r="AV467" s="47"/>
      <c r="AW467" s="47" t="str">
        <f>IF(AND($Q467&gt;=6,AVERAGE($S467:$T467)&gt;=6),"Likely",IF(OR($Q467&gt;6,AND($Q467=6,AVERAGE($S467:$T467)&gt;=3),AND($Q467&gt;=5,AVERAGE($S467:$T467)&gt;=5),AVERAGE($Q467,$S467:$T467)&gt;5),"Possible","Unlikely"))</f>
        <v>Unlikely</v>
      </c>
      <c r="AX467" s="47"/>
      <c r="AY467" s="47" t="str">
        <f>INDEX(Table5[[#All],[Ovr]],MATCH(Batters[[#This Row],[PID]],Table5[[#All],[PID]],0))</f>
        <v/>
      </c>
      <c r="AZ467" s="47" t="str">
        <f>INDEX(Table5[[#All],[Rnd]],MATCH(Batters[[#This Row],[PID]],Table5[[#All],[PID]],0))</f>
        <v/>
      </c>
      <c r="BA467" s="47" t="str">
        <f>INDEX(Table5[[#All],[Pick]],MATCH(Batters[[#This Row],[PID]],Table5[[#All],[PID]],0))</f>
        <v/>
      </c>
      <c r="BB467" s="47" t="str">
        <f>INDEX(Table5[[#All],[Team]],MATCH(Batters[[#This Row],[PID]],Table5[[#All],[PID]],0))</f>
        <v/>
      </c>
    </row>
    <row r="468" spans="1:54" ht="15" customHeight="1" x14ac:dyDescent="0.25">
      <c r="A468" s="42">
        <v>4884</v>
      </c>
      <c r="B468" s="42" t="s">
        <v>71</v>
      </c>
      <c r="C468" s="42" t="s">
        <v>370</v>
      </c>
      <c r="D468" s="42" t="s">
        <v>826</v>
      </c>
      <c r="E468" s="42">
        <v>22</v>
      </c>
      <c r="F468" s="42" t="s">
        <v>42</v>
      </c>
      <c r="G468" s="42" t="s">
        <v>42</v>
      </c>
      <c r="H468" s="43" t="s">
        <v>709</v>
      </c>
      <c r="I468" s="44" t="s">
        <v>43</v>
      </c>
      <c r="J468" s="42" t="s">
        <v>44</v>
      </c>
      <c r="K468" s="43" t="s">
        <v>43</v>
      </c>
      <c r="L468" s="42">
        <v>2</v>
      </c>
      <c r="M468" s="42">
        <v>2</v>
      </c>
      <c r="N468" s="42">
        <v>2</v>
      </c>
      <c r="O468" s="42">
        <v>2</v>
      </c>
      <c r="P468" s="43">
        <v>2</v>
      </c>
      <c r="Q468" s="42">
        <v>3</v>
      </c>
      <c r="R468" s="42">
        <v>3</v>
      </c>
      <c r="S468" s="42">
        <v>2</v>
      </c>
      <c r="T468" s="42">
        <v>4</v>
      </c>
      <c r="U468" s="43">
        <v>4</v>
      </c>
      <c r="V468" s="42">
        <v>2</v>
      </c>
      <c r="W468" s="42">
        <v>4</v>
      </c>
      <c r="X468" s="42">
        <v>1</v>
      </c>
      <c r="Y468" s="43">
        <v>1</v>
      </c>
      <c r="Z468" s="42" t="s">
        <v>45</v>
      </c>
      <c r="AA468" s="42" t="s">
        <v>45</v>
      </c>
      <c r="AB468" s="42">
        <v>6</v>
      </c>
      <c r="AC468" s="42" t="s">
        <v>45</v>
      </c>
      <c r="AD468" s="42" t="s">
        <v>45</v>
      </c>
      <c r="AE468" s="42" t="s">
        <v>45</v>
      </c>
      <c r="AF468" s="42">
        <v>1</v>
      </c>
      <c r="AG468" s="43" t="s">
        <v>45</v>
      </c>
      <c r="AH468" s="42">
        <v>8</v>
      </c>
      <c r="AI468" s="42">
        <v>1</v>
      </c>
      <c r="AJ468" s="43">
        <v>1</v>
      </c>
      <c r="AK468" s="45" t="s">
        <v>45</v>
      </c>
      <c r="AL468" s="45" t="s">
        <v>47</v>
      </c>
      <c r="AM468" s="46">
        <f>($L$3*(L468-$Q$1)/$Q$2+$M$3*(M468-$R$1)/$R$2+$N$3*(N468-$S$1)/$S$2+$O$3*(O468-$T$1)/$T$2+$P$3*(P468-$U$1)/$U$2)/(SUM($L$3:$P$3))</f>
        <v>-1.4979402501556278</v>
      </c>
      <c r="AN468" s="46">
        <f>($L$3*(Q468-$Q$1)/$Q$2+$M$3*(R468-$R$1)/$R$2+$N$3*(S468-$S$1)/$S$2+$O$3*(T468-$T$1)/$T$2+$P$3*(U468-$U$1)/$U$2)/(SUM($L$3:$P$3))</f>
        <v>-0.8648727546809204</v>
      </c>
      <c r="AO468" s="47">
        <f>IF(AVERAGE(AH468:AI468)&gt;9,1,0)+IF(AVERAGE(AH468:AI468)&gt;7,1,0)+IF(AH468&gt;7,1,0)+IF(AI468&gt;7,1,0)+IF(AJ468&gt;8,1,0)+IF(AJ468&gt;6,1,0)</f>
        <v>1</v>
      </c>
      <c r="AP468" s="48">
        <f>MIN(2,IF(OR(Z468="-",X468&lt;5),0,1+IF(Y468&gt;7,0.35,IF(Y468&gt;5,0.1,0))+IF(Z468&gt;7,1+IF(X468&gt;7,0.25,0),IF(Z468&gt;4,0.5+IF(X468&gt;7,0.25,0),0+IF(X468&gt;7,0.25))))+IF(AA468="-",0,IF(AA468&gt;9,0.5,IF(AA468&gt;7,0.25,0)))+IF(AB468="-",0,IF(AB468&gt;7,1.1,IF(AB468&gt;4,0.6,0)))+IF(OR(AC468="-",V468&lt;5),0,IF(AC468&gt;7,1+IF(V468&gt;7,0.25,0),IF(AC468&gt;4,0.5+IF(V468&gt;7,0.25,0),0)))+IF(AD468="-",0,IF(AD468&gt;7,1.5,IF(AD468&gt;4,1,0)))+IF(AE468="-",0,IF(AE468&gt;9,0.5,IF(AE468&gt;7,0.25,0)))+IF(AF468="-",0,IF(AF468&gt;7,1.25,IF(AF468&gt;4,0.75,0)))+IF(OR(AG468="-",W468&lt;4),0,IF(AG468&gt;7,1+IF(W468&gt;7,0.15,0),IF(AG468&gt;4,0.5+IF(W468&gt;7,0.15,0),0))))</f>
        <v>0.6</v>
      </c>
      <c r="AQ468" s="46">
        <f>($AM$3*AM468+$AN$3*AN468+$AO$3*AO468+$AP$3*AP468)+$I$3*VLOOKUP(I468,COND!$A$2:$E$7,4,FALSE)+$J$3*VLOOKUP(J468,COND!$A$2:$C$7,2,FALSE)+$K$3*VLOOKUP(K468,COND!$A$2:$C$7,3,FALSE)+IF(AND($B$2&gt;0,$E468&lt;20),$B$2*25,0)</f>
        <v>34.938399585480056</v>
      </c>
      <c r="AR468" s="49">
        <f>STANDARDIZE(AQ468,AVERAGE($AQ$5:$AQ$537),STDEVP($AQ$5:$AQ$537))</f>
        <v>-0.95182676011435297</v>
      </c>
      <c r="AS468" s="47" t="str">
        <f>IF(AND(Z468&lt;&gt;"-",Y468&gt;1),"C",IF(AB468=MAX(AB468:AD468),"2B",IF(AD468=MAX(AB468:AD468),"SS",IF(OR(AC468=MAX(AA468:AD468),AND(AC468&lt;&gt;"-",AC468&gt;4,V468&gt;5)),"3B",IF(AF468=MAX(AE468:AG468),"CF",IF(AND(AG468=MAX(AE468,AG468),AND(W468&gt;5,AG468&lt;&gt;"-")),"RF",IF(AE468&lt;&gt;"-","LF",IF(AA468&lt;&gt;"-","1B","DH"))))))))</f>
        <v>2B</v>
      </c>
      <c r="AT468" s="47"/>
      <c r="AU468" s="47"/>
      <c r="AV468" s="47"/>
      <c r="AW468" s="47" t="str">
        <f>IF(AND($Q468&gt;=6,AVERAGE($S468:$T468)&gt;=6),"Likely",IF(OR($Q468&gt;6,AND($Q468=6,AVERAGE($S468:$T468)&gt;=3),AND($Q468&gt;=5,AVERAGE($S468:$T468)&gt;=5),AVERAGE($Q468,$S468:$T468)&gt;5),"Possible","Unlikely"))</f>
        <v>Unlikely</v>
      </c>
      <c r="AX468" s="47"/>
      <c r="AY468" s="47" t="str">
        <f>INDEX(Table5[[#All],[Ovr]],MATCH(Batters[[#This Row],[PID]],Table5[[#All],[PID]],0))</f>
        <v/>
      </c>
      <c r="AZ468" s="47" t="str">
        <f>INDEX(Table5[[#All],[Rnd]],MATCH(Batters[[#This Row],[PID]],Table5[[#All],[PID]],0))</f>
        <v/>
      </c>
      <c r="BA468" s="47" t="str">
        <f>INDEX(Table5[[#All],[Pick]],MATCH(Batters[[#This Row],[PID]],Table5[[#All],[PID]],0))</f>
        <v/>
      </c>
      <c r="BB468" s="47" t="str">
        <f>INDEX(Table5[[#All],[Team]],MATCH(Batters[[#This Row],[PID]],Table5[[#All],[PID]],0))</f>
        <v/>
      </c>
    </row>
    <row r="469" spans="1:54" ht="15" customHeight="1" x14ac:dyDescent="0.25">
      <c r="A469" s="42">
        <v>12927</v>
      </c>
      <c r="B469" s="42" t="s">
        <v>74</v>
      </c>
      <c r="C469" s="42" t="s">
        <v>798</v>
      </c>
      <c r="D469" s="42" t="s">
        <v>1334</v>
      </c>
      <c r="E469" s="42">
        <v>21</v>
      </c>
      <c r="F469" s="42" t="s">
        <v>62</v>
      </c>
      <c r="G469" s="42" t="s">
        <v>53</v>
      </c>
      <c r="H469" s="43" t="s">
        <v>709</v>
      </c>
      <c r="I469" s="44" t="s">
        <v>43</v>
      </c>
      <c r="J469" s="42" t="s">
        <v>47</v>
      </c>
      <c r="K469" s="43" t="s">
        <v>43</v>
      </c>
      <c r="L469" s="42">
        <v>1</v>
      </c>
      <c r="M469" s="42">
        <v>2</v>
      </c>
      <c r="N469" s="42">
        <v>2</v>
      </c>
      <c r="O469" s="42">
        <v>3</v>
      </c>
      <c r="P469" s="43">
        <v>1</v>
      </c>
      <c r="Q469" s="42">
        <v>2</v>
      </c>
      <c r="R469" s="42">
        <v>2</v>
      </c>
      <c r="S469" s="42">
        <v>3</v>
      </c>
      <c r="T469" s="42">
        <v>5</v>
      </c>
      <c r="U469" s="43">
        <v>3</v>
      </c>
      <c r="V469" s="42">
        <v>5</v>
      </c>
      <c r="W469" s="42">
        <v>8</v>
      </c>
      <c r="X469" s="42">
        <v>1</v>
      </c>
      <c r="Y469" s="43">
        <v>1</v>
      </c>
      <c r="Z469" s="42" t="s">
        <v>45</v>
      </c>
      <c r="AA469" s="42" t="s">
        <v>45</v>
      </c>
      <c r="AB469" s="42" t="s">
        <v>45</v>
      </c>
      <c r="AC469" s="42" t="s">
        <v>45</v>
      </c>
      <c r="AD469" s="42" t="s">
        <v>45</v>
      </c>
      <c r="AE469" s="42" t="s">
        <v>45</v>
      </c>
      <c r="AF469" s="42">
        <v>7</v>
      </c>
      <c r="AG469" s="43" t="s">
        <v>45</v>
      </c>
      <c r="AH469" s="42">
        <v>10</v>
      </c>
      <c r="AI469" s="42">
        <v>9</v>
      </c>
      <c r="AJ469" s="43">
        <v>7</v>
      </c>
      <c r="AK469" s="45" t="s">
        <v>45</v>
      </c>
      <c r="AL469" s="45" t="s">
        <v>705</v>
      </c>
      <c r="AM469" s="46">
        <f>($L$3*(L469-$Q$1)/$Q$2+$M$3*(M469-$R$1)/$R$2+$N$3*(N469-$S$1)/$S$2+$O$3*(O469-$T$1)/$T$2+$P$3*(P469-$U$1)/$U$2)/(SUM($L$3:$P$3))</f>
        <v>-1.7708028761658048</v>
      </c>
      <c r="AN469" s="46">
        <f>($L$3*(Q469-$Q$1)/$Q$2+$M$3*(R469-$R$1)/$R$2+$N$3*(S469-$S$1)/$S$2+$O$3*(T469-$T$1)/$T$2+$P$3*(U469-$U$1)/$U$2)/(SUM($L$3:$P$3))</f>
        <v>-1.1057337662858999</v>
      </c>
      <c r="AO469" s="47">
        <f>IF(AVERAGE(AH469:AI469)&gt;9,1,0)+IF(AVERAGE(AH469:AI469)&gt;7,1,0)+IF(AH469&gt;7,1,0)+IF(AI469&gt;7,1,0)+IF(AJ469&gt;8,1,0)+IF(AJ469&gt;6,1,0)</f>
        <v>5</v>
      </c>
      <c r="AP469" s="48">
        <f>MIN(2,IF(OR(Z469="-",X469&lt;5),0,1+IF(Y469&gt;7,0.35,IF(Y469&gt;5,0.1,0))+IF(Z469&gt;7,1+IF(X469&gt;7,0.25,0),IF(Z469&gt;4,0.5+IF(X469&gt;7,0.25,0),0+IF(X469&gt;7,0.25))))+IF(AA469="-",0,IF(AA469&gt;9,0.5,IF(AA469&gt;7,0.25,0)))+IF(AB469="-",0,IF(AB469&gt;7,1.1,IF(AB469&gt;4,0.6,0)))+IF(OR(AC469="-",V469&lt;5),0,IF(AC469&gt;7,1+IF(V469&gt;7,0.25,0),IF(AC469&gt;4,0.5+IF(V469&gt;7,0.25,0),0)))+IF(AD469="-",0,IF(AD469&gt;7,1.5,IF(AD469&gt;4,1,0)))+IF(AE469="-",0,IF(AE469&gt;9,0.5,IF(AE469&gt;7,0.25,0)))+IF(AF469="-",0,IF(AF469&gt;7,1.25,IF(AF469&gt;4,0.75,0)))+IF(OR(AG469="-",W469&lt;4),0,IF(AG469&gt;7,1+IF(W469&gt;7,0.15,0),IF(AG469&gt;4,0.5+IF(W469&gt;7,0.15,0),0))))</f>
        <v>0.75</v>
      </c>
      <c r="AQ469" s="46">
        <f>($AM$3*AM469+$AN$3*AN469+$AO$3*AO469+$AP$3*AP469)+$I$3*VLOOKUP(I469,COND!$A$2:$E$7,4,FALSE)+$J$3*VLOOKUP(J469,COND!$A$2:$C$7,2,FALSE)+$K$3*VLOOKUP(K469,COND!$A$2:$C$7,3,FALSE)+IF(AND($B$2&gt;0,$E469&lt;20),$B$2*25,0)</f>
        <v>33.437447850285956</v>
      </c>
      <c r="AR469" s="49">
        <f>STANDARDIZE(AQ469,AVERAGE($AQ$5:$AQ$537),STDEVP($AQ$5:$AQ$537))</f>
        <v>-1.2159092421411677</v>
      </c>
      <c r="AS469" s="47" t="str">
        <f>IF(AND(Z469&lt;&gt;"-",Y469&gt;1),"C",IF(AB469=MAX(AB469:AD469),"2B",IF(AD469=MAX(AB469:AD469),"SS",IF(OR(AC469=MAX(AA469:AD469),AND(AC469&lt;&gt;"-",AC469&gt;4,V469&gt;5)),"3B",IF(AF469=MAX(AE469:AG469),"CF",IF(AND(AG469=MAX(AE469,AG469),AND(W469&gt;5,AG469&lt;&gt;"-")),"RF",IF(AE469&lt;&gt;"-","LF",IF(AA469&lt;&gt;"-","1B","DH"))))))))</f>
        <v>CF</v>
      </c>
      <c r="AT469" s="47"/>
      <c r="AU469" s="47"/>
      <c r="AV469" s="47"/>
      <c r="AW469" s="47" t="str">
        <f>IF(AND($Q469&gt;=6,AVERAGE($S469:$T469)&gt;=6),"Likely",IF(OR($Q469&gt;6,AND($Q469=6,AVERAGE($S469:$T469)&gt;=3),AND($Q469&gt;=5,AVERAGE($S469:$T469)&gt;=5),AVERAGE($Q469,$S469:$T469)&gt;5),"Possible","Unlikely"))</f>
        <v>Unlikely</v>
      </c>
      <c r="AX469" s="47"/>
      <c r="AY469" s="47" t="str">
        <f>INDEX(Table5[[#All],[Ovr]],MATCH(Batters[[#This Row],[PID]],Table5[[#All],[PID]],0))</f>
        <v/>
      </c>
      <c r="AZ469" s="47" t="str">
        <f>INDEX(Table5[[#All],[Rnd]],MATCH(Batters[[#This Row],[PID]],Table5[[#All],[PID]],0))</f>
        <v/>
      </c>
      <c r="BA469" s="47" t="str">
        <f>INDEX(Table5[[#All],[Pick]],MATCH(Batters[[#This Row],[PID]],Table5[[#All],[PID]],0))</f>
        <v/>
      </c>
      <c r="BB469" s="47" t="str">
        <f>INDEX(Table5[[#All],[Team]],MATCH(Batters[[#This Row],[PID]],Table5[[#All],[PID]],0))</f>
        <v/>
      </c>
    </row>
    <row r="470" spans="1:54" ht="15" customHeight="1" x14ac:dyDescent="0.25">
      <c r="A470" s="42">
        <v>5729</v>
      </c>
      <c r="B470" s="42" t="s">
        <v>66</v>
      </c>
      <c r="C470" s="42" t="s">
        <v>412</v>
      </c>
      <c r="D470" s="42" t="s">
        <v>196</v>
      </c>
      <c r="E470" s="42">
        <v>22</v>
      </c>
      <c r="F470" s="42" t="s">
        <v>42</v>
      </c>
      <c r="G470" s="42" t="s">
        <v>42</v>
      </c>
      <c r="H470" s="43" t="s">
        <v>711</v>
      </c>
      <c r="I470" s="44" t="s">
        <v>43</v>
      </c>
      <c r="J470" s="42" t="s">
        <v>43</v>
      </c>
      <c r="K470" s="43" t="s">
        <v>43</v>
      </c>
      <c r="L470" s="42">
        <v>1</v>
      </c>
      <c r="M470" s="42">
        <v>3</v>
      </c>
      <c r="N470" s="42">
        <v>2</v>
      </c>
      <c r="O470" s="42">
        <v>3</v>
      </c>
      <c r="P470" s="43">
        <v>1</v>
      </c>
      <c r="Q470" s="42">
        <v>2</v>
      </c>
      <c r="R470" s="42">
        <v>4</v>
      </c>
      <c r="S470" s="42">
        <v>3</v>
      </c>
      <c r="T470" s="42">
        <v>5</v>
      </c>
      <c r="U470" s="43">
        <v>3</v>
      </c>
      <c r="V470" s="42">
        <v>9</v>
      </c>
      <c r="W470" s="42">
        <v>10</v>
      </c>
      <c r="X470" s="42">
        <v>1</v>
      </c>
      <c r="Y470" s="43">
        <v>1</v>
      </c>
      <c r="Z470" s="42" t="s">
        <v>45</v>
      </c>
      <c r="AA470" s="42" t="s">
        <v>45</v>
      </c>
      <c r="AB470" s="42" t="s">
        <v>45</v>
      </c>
      <c r="AC470" s="42" t="s">
        <v>45</v>
      </c>
      <c r="AD470" s="42">
        <v>1</v>
      </c>
      <c r="AE470" s="42" t="s">
        <v>45</v>
      </c>
      <c r="AF470" s="42" t="s">
        <v>45</v>
      </c>
      <c r="AG470" s="43">
        <v>8</v>
      </c>
      <c r="AH470" s="42">
        <v>9</v>
      </c>
      <c r="AI470" s="42">
        <v>4</v>
      </c>
      <c r="AJ470" s="43">
        <v>3</v>
      </c>
      <c r="AK470" s="45" t="s">
        <v>45</v>
      </c>
      <c r="AL470" s="45" t="s">
        <v>47</v>
      </c>
      <c r="AM470" s="46">
        <f>($L$3*(L470-$Q$1)/$Q$2+$M$3*(M470-$R$1)/$R$2+$N$3*(N470-$S$1)/$S$2+$O$3*(O470-$T$1)/$T$2+$P$3*(P470-$U$1)/$U$2)/(SUM($L$3:$P$3))</f>
        <v>-1.7197429965471014</v>
      </c>
      <c r="AN470" s="46">
        <f>($L$3*(Q470-$Q$1)/$Q$2+$M$3*(R470-$R$1)/$R$2+$N$3*(S470-$S$1)/$S$2+$O$3*(T470-$T$1)/$T$2+$P$3*(U470-$U$1)/$U$2)/(SUM($L$3:$P$3))</f>
        <v>-1.0036140070484929</v>
      </c>
      <c r="AO470" s="47">
        <f>IF(AVERAGE(AH470:AI470)&gt;9,1,0)+IF(AVERAGE(AH470:AI470)&gt;7,1,0)+IF(AH470&gt;7,1,0)+IF(AI470&gt;7,1,0)+IF(AJ470&gt;8,1,0)+IF(AJ470&gt;6,1,0)</f>
        <v>1</v>
      </c>
      <c r="AP470" s="48">
        <f>MIN(2,IF(OR(Z470="-",X470&lt;5),0,1+IF(Y470&gt;7,0.35,IF(Y470&gt;5,0.1,0))+IF(Z470&gt;7,1+IF(X470&gt;7,0.25,0),IF(Z470&gt;4,0.5+IF(X470&gt;7,0.25,0),0+IF(X470&gt;7,0.25))))+IF(AA470="-",0,IF(AA470&gt;9,0.5,IF(AA470&gt;7,0.25,0)))+IF(AB470="-",0,IF(AB470&gt;7,1.1,IF(AB470&gt;4,0.6,0)))+IF(OR(AC470="-",V470&lt;5),0,IF(AC470&gt;7,1+IF(V470&gt;7,0.25,0),IF(AC470&gt;4,0.5+IF(V470&gt;7,0.25,0),0)))+IF(AD470="-",0,IF(AD470&gt;7,1.5,IF(AD470&gt;4,1,0)))+IF(AE470="-",0,IF(AE470&gt;9,0.5,IF(AE470&gt;7,0.25,0)))+IF(AF470="-",0,IF(AF470&gt;7,1.25,IF(AF470&gt;4,0.75,0)))+IF(OR(AG470="-",W470&lt;4),0,IF(AG470&gt;7,1+IF(W470&gt;7,0.15,0),IF(AG470&gt;4,0.5+IF(W470&gt;7,0.15,0),0))))</f>
        <v>1.1499999999999999</v>
      </c>
      <c r="AQ470" s="46">
        <f>($AM$3*AM470+$AN$3*AN470+$AO$3*AO470+$AP$3*AP470)+$I$3*VLOOKUP(I470,COND!$A$2:$E$7,4,FALSE)+$J$3*VLOOKUP(J470,COND!$A$2:$C$7,2,FALSE)+$K$3*VLOOKUP(K470,COND!$A$2:$C$7,3,FALSE)+IF(AND($B$2&gt;0,$E470&lt;20),$B$2*25,0)</f>
        <v>34.101324282430042</v>
      </c>
      <c r="AR470" s="49">
        <f>STANDARDIZE(AQ470,AVERAGE($AQ$5:$AQ$537),STDEVP($AQ$5:$AQ$537))</f>
        <v>-1.0991045962295889</v>
      </c>
      <c r="AS470" s="47" t="str">
        <f>IF(AND(Z470&lt;&gt;"-",Y470&gt;1),"C",IF(AB470=MAX(AB470:AD470),"2B",IF(AD470=MAX(AB470:AD470),"SS",IF(OR(AC470=MAX(AA470:AD470),AND(AC470&lt;&gt;"-",AC470&gt;4,V470&gt;5)),"3B",IF(AF470=MAX(AE470:AG470),"CF",IF(AND(AG470=MAX(AE470,AG470),AND(W470&gt;5,AG470&lt;&gt;"-")),"RF",IF(AE470&lt;&gt;"-","LF",IF(AA470&lt;&gt;"-","1B","DH"))))))))</f>
        <v>SS</v>
      </c>
      <c r="AT470" s="47"/>
      <c r="AU470" s="47"/>
      <c r="AV470" s="47"/>
      <c r="AW470" s="47" t="str">
        <f>IF(AND($Q470&gt;=6,AVERAGE($S470:$T470)&gt;=6),"Likely",IF(OR($Q470&gt;6,AND($Q470=6,AVERAGE($S470:$T470)&gt;=3),AND($Q470&gt;=5,AVERAGE($S470:$T470)&gt;=5),AVERAGE($Q470,$S470:$T470)&gt;5),"Possible","Unlikely"))</f>
        <v>Unlikely</v>
      </c>
      <c r="AX470" s="47"/>
      <c r="AY470" s="47" t="str">
        <f>INDEX(Table5[[#All],[Ovr]],MATCH(Batters[[#This Row],[PID]],Table5[[#All],[PID]],0))</f>
        <v/>
      </c>
      <c r="AZ470" s="47" t="str">
        <f>INDEX(Table5[[#All],[Rnd]],MATCH(Batters[[#This Row],[PID]],Table5[[#All],[PID]],0))</f>
        <v/>
      </c>
      <c r="BA470" s="47" t="str">
        <f>INDEX(Table5[[#All],[Pick]],MATCH(Batters[[#This Row],[PID]],Table5[[#All],[PID]],0))</f>
        <v/>
      </c>
      <c r="BB470" s="47" t="str">
        <f>INDEX(Table5[[#All],[Team]],MATCH(Batters[[#This Row],[PID]],Table5[[#All],[PID]],0))</f>
        <v/>
      </c>
    </row>
    <row r="471" spans="1:54" ht="15" customHeight="1" x14ac:dyDescent="0.25">
      <c r="A471" s="42">
        <v>12223</v>
      </c>
      <c r="B471" s="42" t="s">
        <v>71</v>
      </c>
      <c r="C471" s="42" t="s">
        <v>143</v>
      </c>
      <c r="D471" s="42" t="s">
        <v>204</v>
      </c>
      <c r="E471" s="42">
        <v>21</v>
      </c>
      <c r="F471" s="42" t="s">
        <v>42</v>
      </c>
      <c r="G471" s="42" t="s">
        <v>42</v>
      </c>
      <c r="H471" s="43" t="s">
        <v>711</v>
      </c>
      <c r="I471" s="44" t="s">
        <v>43</v>
      </c>
      <c r="J471" s="42" t="s">
        <v>44</v>
      </c>
      <c r="K471" s="43" t="s">
        <v>43</v>
      </c>
      <c r="L471" s="42">
        <v>2</v>
      </c>
      <c r="M471" s="42">
        <v>2</v>
      </c>
      <c r="N471" s="42">
        <v>2</v>
      </c>
      <c r="O471" s="42">
        <v>2</v>
      </c>
      <c r="P471" s="43">
        <v>2</v>
      </c>
      <c r="Q471" s="42">
        <v>3</v>
      </c>
      <c r="R471" s="42">
        <v>4</v>
      </c>
      <c r="S471" s="42">
        <v>2</v>
      </c>
      <c r="T471" s="42">
        <v>4</v>
      </c>
      <c r="U471" s="43">
        <v>4</v>
      </c>
      <c r="V471" s="42">
        <v>2</v>
      </c>
      <c r="W471" s="42">
        <v>1</v>
      </c>
      <c r="X471" s="42">
        <v>1</v>
      </c>
      <c r="Y471" s="43">
        <v>1</v>
      </c>
      <c r="Z471" s="42" t="s">
        <v>45</v>
      </c>
      <c r="AA471" s="42" t="s">
        <v>45</v>
      </c>
      <c r="AB471" s="42">
        <v>2</v>
      </c>
      <c r="AC471" s="42" t="s">
        <v>45</v>
      </c>
      <c r="AD471" s="42" t="s">
        <v>45</v>
      </c>
      <c r="AE471" s="42" t="s">
        <v>45</v>
      </c>
      <c r="AF471" s="42" t="s">
        <v>45</v>
      </c>
      <c r="AG471" s="43" t="s">
        <v>45</v>
      </c>
      <c r="AH471" s="42">
        <v>3</v>
      </c>
      <c r="AI471" s="42">
        <v>6</v>
      </c>
      <c r="AJ471" s="43">
        <v>4</v>
      </c>
      <c r="AK471" s="45" t="s">
        <v>615</v>
      </c>
      <c r="AL471" s="45" t="s">
        <v>705</v>
      </c>
      <c r="AM471" s="46">
        <f>($L$3*(L471-$Q$1)/$Q$2+$M$3*(M471-$R$1)/$R$2+$N$3*(N471-$S$1)/$S$2+$O$3*(O471-$T$1)/$T$2+$P$3*(P471-$U$1)/$U$2)/(SUM($L$3:$P$3))</f>
        <v>-1.4979402501556278</v>
      </c>
      <c r="AN471" s="46">
        <f>($L$3*(Q471-$Q$1)/$Q$2+$M$3*(R471-$R$1)/$R$2+$N$3*(S471-$S$1)/$S$2+$O$3*(T471-$T$1)/$T$2+$P$3*(U471-$U$1)/$U$2)/(SUM($L$3:$P$3))</f>
        <v>-0.813812875062217</v>
      </c>
      <c r="AO471" s="47">
        <f>IF(AVERAGE(AH471:AI471)&gt;9,1,0)+IF(AVERAGE(AH471:AI471)&gt;7,1,0)+IF(AH471&gt;7,1,0)+IF(AI471&gt;7,1,0)+IF(AJ471&gt;8,1,0)+IF(AJ471&gt;6,1,0)</f>
        <v>0</v>
      </c>
      <c r="AP471" s="48">
        <f>MIN(2,IF(OR(Z471="-",X471&lt;5),0,1+IF(Y471&gt;7,0.35,IF(Y471&gt;5,0.1,0))+IF(Z471&gt;7,1+IF(X471&gt;7,0.25,0),IF(Z471&gt;4,0.5+IF(X471&gt;7,0.25,0),0+IF(X471&gt;7,0.25))))+IF(AA471="-",0,IF(AA471&gt;9,0.5,IF(AA471&gt;7,0.25,0)))+IF(AB471="-",0,IF(AB471&gt;7,1.1,IF(AB471&gt;4,0.6,0)))+IF(OR(AC471="-",V471&lt;5),0,IF(AC471&gt;7,1+IF(V471&gt;7,0.25,0),IF(AC471&gt;4,0.5+IF(V471&gt;7,0.25,0),0)))+IF(AD471="-",0,IF(AD471&gt;7,1.5,IF(AD471&gt;4,1,0)))+IF(AE471="-",0,IF(AE471&gt;9,0.5,IF(AE471&gt;7,0.25,0)))+IF(AF471="-",0,IF(AF471&gt;7,1.25,IF(AF471&gt;4,0.75,0)))+IF(OR(AG471="-",W471&lt;4),0,IF(AG471&gt;7,1+IF(W471&gt;7,0.15,0),IF(AG471&gt;4,0.5+IF(W471&gt;7,0.15,0),0))))</f>
        <v>0</v>
      </c>
      <c r="AQ471" s="46">
        <f>($AM$3*AM471+$AN$3*AN471+$AO$3*AO471+$AP$3*AP471)+$I$3*VLOOKUP(I471,COND!$A$2:$E$7,4,FALSE)+$J$3*VLOOKUP(J471,COND!$A$2:$C$7,2,FALSE)+$K$3*VLOOKUP(K471,COND!$A$2:$C$7,3,FALSE)+IF(AND($B$2&gt;0,$E471&lt;20),$B$2*25,0)</f>
        <v>34.784451474237834</v>
      </c>
      <c r="AR471" s="49">
        <f>STANDARDIZE(AQ471,AVERAGE($AQ$5:$AQ$537),STDEVP($AQ$5:$AQ$537))</f>
        <v>-0.97891290710157031</v>
      </c>
      <c r="AS471" s="47" t="str">
        <f>IF(AND(Z471&lt;&gt;"-",Y471&gt;1),"C",IF(AB471=MAX(AB471:AD471),"2B",IF(AD471=MAX(AB471:AD471),"SS",IF(OR(AC471=MAX(AA471:AD471),AND(AC471&lt;&gt;"-",AC471&gt;4,V471&gt;5)),"3B",IF(AF471=MAX(AE471:AG471),"CF",IF(AND(AG471=MAX(AE471,AG471),AND(W471&gt;5,AG471&lt;&gt;"-")),"RF",IF(AE471&lt;&gt;"-","LF",IF(AA471&lt;&gt;"-","1B","DH"))))))))</f>
        <v>2B</v>
      </c>
      <c r="AT471" s="47"/>
      <c r="AU471" s="47"/>
      <c r="AV471" s="47"/>
      <c r="AW471" s="47" t="str">
        <f>IF(AND($Q471&gt;=6,AVERAGE($S471:$T471)&gt;=6),"Likely",IF(OR($Q471&gt;6,AND($Q471=6,AVERAGE($S471:$T471)&gt;=3),AND($Q471&gt;=5,AVERAGE($S471:$T471)&gt;=5),AVERAGE($Q471,$S471:$T471)&gt;5),"Possible","Unlikely"))</f>
        <v>Unlikely</v>
      </c>
      <c r="AX471" s="47"/>
      <c r="AY471" s="47" t="str">
        <f>INDEX(Table5[[#All],[Ovr]],MATCH(Batters[[#This Row],[PID]],Table5[[#All],[PID]],0))</f>
        <v/>
      </c>
      <c r="AZ471" s="47" t="str">
        <f>INDEX(Table5[[#All],[Rnd]],MATCH(Batters[[#This Row],[PID]],Table5[[#All],[PID]],0))</f>
        <v/>
      </c>
      <c r="BA471" s="47" t="str">
        <f>INDEX(Table5[[#All],[Pick]],MATCH(Batters[[#This Row],[PID]],Table5[[#All],[PID]],0))</f>
        <v/>
      </c>
      <c r="BB471" s="47" t="str">
        <f>INDEX(Table5[[#All],[Team]],MATCH(Batters[[#This Row],[PID]],Table5[[#All],[PID]],0))</f>
        <v/>
      </c>
    </row>
    <row r="472" spans="1:54" ht="15" customHeight="1" x14ac:dyDescent="0.25">
      <c r="A472" s="42">
        <v>9722</v>
      </c>
      <c r="B472" s="42" t="s">
        <v>50</v>
      </c>
      <c r="C472" s="42" t="s">
        <v>129</v>
      </c>
      <c r="D472" s="42" t="s">
        <v>1231</v>
      </c>
      <c r="E472" s="42">
        <v>21</v>
      </c>
      <c r="F472" s="42" t="s">
        <v>53</v>
      </c>
      <c r="G472" s="42" t="s">
        <v>53</v>
      </c>
      <c r="H472" s="43" t="s">
        <v>709</v>
      </c>
      <c r="I472" s="44" t="s">
        <v>43</v>
      </c>
      <c r="J472" s="42" t="s">
        <v>44</v>
      </c>
      <c r="K472" s="43" t="s">
        <v>44</v>
      </c>
      <c r="L472" s="42">
        <v>2</v>
      </c>
      <c r="M472" s="42">
        <v>3</v>
      </c>
      <c r="N472" s="42">
        <v>3</v>
      </c>
      <c r="O472" s="42">
        <v>3</v>
      </c>
      <c r="P472" s="43">
        <v>1</v>
      </c>
      <c r="Q472" s="42">
        <v>3</v>
      </c>
      <c r="R472" s="42">
        <v>3</v>
      </c>
      <c r="S472" s="42">
        <v>3</v>
      </c>
      <c r="T472" s="42">
        <v>5</v>
      </c>
      <c r="U472" s="43">
        <v>3</v>
      </c>
      <c r="V472" s="42">
        <v>5</v>
      </c>
      <c r="W472" s="42">
        <v>6</v>
      </c>
      <c r="X472" s="42">
        <v>1</v>
      </c>
      <c r="Y472" s="43">
        <v>1</v>
      </c>
      <c r="Z472" s="42" t="s">
        <v>45</v>
      </c>
      <c r="AA472" s="42" t="s">
        <v>45</v>
      </c>
      <c r="AB472" s="42" t="s">
        <v>45</v>
      </c>
      <c r="AC472" s="42" t="s">
        <v>45</v>
      </c>
      <c r="AD472" s="42" t="s">
        <v>45</v>
      </c>
      <c r="AE472" s="42">
        <v>1</v>
      </c>
      <c r="AF472" s="42" t="s">
        <v>45</v>
      </c>
      <c r="AG472" s="43">
        <v>1</v>
      </c>
      <c r="AH472" s="42">
        <v>5</v>
      </c>
      <c r="AI472" s="42">
        <v>2</v>
      </c>
      <c r="AJ472" s="43">
        <v>2</v>
      </c>
      <c r="AK472" s="45" t="s">
        <v>45</v>
      </c>
      <c r="AL472" s="45" t="s">
        <v>47</v>
      </c>
      <c r="AM472" s="46">
        <f>($L$3*(L472-$Q$1)/$Q$2+$M$3*(M472-$R$1)/$R$2+$N$3*(N472-$S$1)/$S$2+$O$3*(O472-$T$1)/$T$2+$P$3*(P472-$U$1)/$U$2)/(SUM($L$3:$P$3))</f>
        <v>-1.3141256663205254</v>
      </c>
      <c r="AN472" s="46">
        <f>($L$3*(Q472-$Q$1)/$Q$2+$M$3*(R472-$R$1)/$R$2+$N$3*(S472-$S$1)/$S$2+$O$3*(T472-$T$1)/$T$2+$P$3*(U472-$U$1)/$U$2)/(SUM($L$3:$P$3))</f>
        <v>-0.73211805046452161</v>
      </c>
      <c r="AO472" s="47">
        <f>IF(AVERAGE(AH472:AI472)&gt;9,1,0)+IF(AVERAGE(AH472:AI472)&gt;7,1,0)+IF(AH472&gt;7,1,0)+IF(AI472&gt;7,1,0)+IF(AJ472&gt;8,1,0)+IF(AJ472&gt;6,1,0)</f>
        <v>0</v>
      </c>
      <c r="AP472" s="48">
        <f>MIN(2,IF(OR(Z472="-",X472&lt;5),0,1+IF(Y472&gt;7,0.35,IF(Y472&gt;5,0.1,0))+IF(Z472&gt;7,1+IF(X472&gt;7,0.25,0),IF(Z472&gt;4,0.5+IF(X472&gt;7,0.25,0),0+IF(X472&gt;7,0.25))))+IF(AA472="-",0,IF(AA472&gt;9,0.5,IF(AA472&gt;7,0.25,0)))+IF(AB472="-",0,IF(AB472&gt;7,1.1,IF(AB472&gt;4,0.6,0)))+IF(OR(AC472="-",V472&lt;5),0,IF(AC472&gt;7,1+IF(V472&gt;7,0.25,0),IF(AC472&gt;4,0.5+IF(V472&gt;7,0.25,0),0)))+IF(AD472="-",0,IF(AD472&gt;7,1.5,IF(AD472&gt;4,1,0)))+IF(AE472="-",0,IF(AE472&gt;9,0.5,IF(AE472&gt;7,0.25,0)))+IF(AF472="-",0,IF(AF472&gt;7,1.25,IF(AF472&gt;4,0.75,0)))+IF(OR(AG472="-",W472&lt;4),0,IF(AG472&gt;7,1+IF(W472&gt;7,0.15,0),IF(AG472&gt;4,0.5+IF(W472&gt;7,0.15,0),0))))</f>
        <v>0</v>
      </c>
      <c r="AQ472" s="46">
        <f>($AM$3*AM472+$AN$3*AN472+$AO$3*AO472+$AP$3*AP472)+$I$3*VLOOKUP(I472,COND!$A$2:$E$7,4,FALSE)+$J$3*VLOOKUP(J472,COND!$A$2:$C$7,2,FALSE)+$K$3*VLOOKUP(K472,COND!$A$2:$C$7,3,FALSE)+IF(AND($B$2&gt;0,$E472&lt;20),$B$2*25,0)</f>
        <v>35.483170827793685</v>
      </c>
      <c r="AR472" s="49">
        <f>STANDARDIZE(AQ472,AVERAGE($AQ$5:$AQ$537),STDEVP($AQ$5:$AQ$537))</f>
        <v>-0.85597788074421766</v>
      </c>
      <c r="AS472" s="47" t="str">
        <f>IF(AND(Z472&lt;&gt;"-",Y472&gt;1),"C",IF(AB472=MAX(AB472:AD472),"2B",IF(AD472=MAX(AB472:AD472),"SS",IF(OR(AC472=MAX(AA472:AD472),AND(AC472&lt;&gt;"-",AC472&gt;4,V472&gt;5)),"3B",IF(AF472=MAX(AE472:AG472),"CF",IF(AND(AG472=MAX(AE472,AG472),AND(W472&gt;5,AG472&lt;&gt;"-")),"RF",IF(AE472&lt;&gt;"-","LF",IF(AA472&lt;&gt;"-","1B","DH"))))))))</f>
        <v>RF</v>
      </c>
      <c r="AT472" s="47"/>
      <c r="AU472" s="47"/>
      <c r="AV472" s="47"/>
      <c r="AW472" s="47" t="str">
        <f>IF(AND($Q472&gt;=6,AVERAGE($S472:$T472)&gt;=6),"Likely",IF(OR($Q472&gt;6,AND($Q472=6,AVERAGE($S472:$T472)&gt;=3),AND($Q472&gt;=5,AVERAGE($S472:$T472)&gt;=5),AVERAGE($Q472,$S472:$T472)&gt;5),"Possible","Unlikely"))</f>
        <v>Unlikely</v>
      </c>
      <c r="AX472" s="47"/>
      <c r="AY472" s="47" t="str">
        <f>INDEX(Table5[[#All],[Ovr]],MATCH(Batters[[#This Row],[PID]],Table5[[#All],[PID]],0))</f>
        <v/>
      </c>
      <c r="AZ472" s="47" t="str">
        <f>INDEX(Table5[[#All],[Rnd]],MATCH(Batters[[#This Row],[PID]],Table5[[#All],[PID]],0))</f>
        <v/>
      </c>
      <c r="BA472" s="47" t="str">
        <f>INDEX(Table5[[#All],[Pick]],MATCH(Batters[[#This Row],[PID]],Table5[[#All],[PID]],0))</f>
        <v/>
      </c>
      <c r="BB472" s="47" t="str">
        <f>INDEX(Table5[[#All],[Team]],MATCH(Batters[[#This Row],[PID]],Table5[[#All],[PID]],0))</f>
        <v/>
      </c>
    </row>
    <row r="473" spans="1:54" ht="15" customHeight="1" x14ac:dyDescent="0.25">
      <c r="A473" s="42">
        <v>12079</v>
      </c>
      <c r="B473" s="42" t="s">
        <v>87</v>
      </c>
      <c r="C473" s="42" t="s">
        <v>1391</v>
      </c>
      <c r="D473" s="42" t="s">
        <v>1392</v>
      </c>
      <c r="E473" s="42">
        <v>21</v>
      </c>
      <c r="F473" s="42" t="s">
        <v>42</v>
      </c>
      <c r="G473" s="42" t="s">
        <v>42</v>
      </c>
      <c r="H473" s="43" t="s">
        <v>721</v>
      </c>
      <c r="I473" s="44" t="s">
        <v>47</v>
      </c>
      <c r="J473" s="42" t="s">
        <v>47</v>
      </c>
      <c r="K473" s="43" t="s">
        <v>43</v>
      </c>
      <c r="L473" s="42">
        <v>1</v>
      </c>
      <c r="M473" s="42">
        <v>2</v>
      </c>
      <c r="N473" s="42">
        <v>2</v>
      </c>
      <c r="O473" s="42">
        <v>3</v>
      </c>
      <c r="P473" s="43">
        <v>1</v>
      </c>
      <c r="Q473" s="42">
        <v>2</v>
      </c>
      <c r="R473" s="42">
        <v>3</v>
      </c>
      <c r="S473" s="42">
        <v>3</v>
      </c>
      <c r="T473" s="42">
        <v>6</v>
      </c>
      <c r="U473" s="43">
        <v>2</v>
      </c>
      <c r="V473" s="42">
        <v>2</v>
      </c>
      <c r="W473" s="42">
        <v>2</v>
      </c>
      <c r="X473" s="42">
        <v>4</v>
      </c>
      <c r="Y473" s="43">
        <v>3</v>
      </c>
      <c r="Z473" s="42" t="s">
        <v>45</v>
      </c>
      <c r="AA473" s="42">
        <v>1</v>
      </c>
      <c r="AB473" s="42" t="s">
        <v>45</v>
      </c>
      <c r="AC473" s="42" t="s">
        <v>45</v>
      </c>
      <c r="AD473" s="42" t="s">
        <v>45</v>
      </c>
      <c r="AE473" s="42" t="s">
        <v>45</v>
      </c>
      <c r="AF473" s="42" t="s">
        <v>45</v>
      </c>
      <c r="AG473" s="43" t="s">
        <v>45</v>
      </c>
      <c r="AH473" s="42">
        <v>3</v>
      </c>
      <c r="AI473" s="42">
        <v>3</v>
      </c>
      <c r="AJ473" s="43">
        <v>4</v>
      </c>
      <c r="AK473" s="45" t="s">
        <v>45</v>
      </c>
      <c r="AL473" s="45" t="s">
        <v>47</v>
      </c>
      <c r="AM473" s="46">
        <f>($L$3*(L473-$Q$1)/$Q$2+$M$3*(M473-$R$1)/$R$2+$N$3*(N473-$S$1)/$S$2+$O$3*(O473-$T$1)/$T$2+$P$3*(P473-$U$1)/$U$2)/(SUM($L$3:$P$3))</f>
        <v>-1.7708028761658048</v>
      </c>
      <c r="AN473" s="46">
        <f>($L$3*(Q473-$Q$1)/$Q$2+$M$3*(R473-$R$1)/$R$2+$N$3*(S473-$S$1)/$S$2+$O$3*(T473-$T$1)/$T$2+$P$3*(U473-$U$1)/$U$2)/(SUM($L$3:$P$3))</f>
        <v>-1.0049806764746987</v>
      </c>
      <c r="AO473" s="47">
        <f>IF(AVERAGE(AH473:AI473)&gt;9,1,0)+IF(AVERAGE(AH473:AI473)&gt;7,1,0)+IF(AH473&gt;7,1,0)+IF(AI473&gt;7,1,0)+IF(AJ473&gt;8,1,0)+IF(AJ473&gt;6,1,0)</f>
        <v>0</v>
      </c>
      <c r="AP473" s="48">
        <f>MIN(2,IF(OR(Z473="-",X473&lt;5),0,1+IF(Y473&gt;7,0.35,IF(Y473&gt;5,0.1,0))+IF(Z473&gt;7,1+IF(X473&gt;7,0.25,0),IF(Z473&gt;4,0.5+IF(X473&gt;7,0.25,0),0+IF(X473&gt;7,0.25))))+IF(AA473="-",0,IF(AA473&gt;9,0.5,IF(AA473&gt;7,0.25,0)))+IF(AB473="-",0,IF(AB473&gt;7,1.1,IF(AB473&gt;4,0.6,0)))+IF(OR(AC473="-",V473&lt;5),0,IF(AC473&gt;7,1+IF(V473&gt;7,0.25,0),IF(AC473&gt;4,0.5+IF(V473&gt;7,0.25,0),0)))+IF(AD473="-",0,IF(AD473&gt;7,1.5,IF(AD473&gt;4,1,0)))+IF(AE473="-",0,IF(AE473&gt;9,0.5,IF(AE473&gt;7,0.25,0)))+IF(AF473="-",0,IF(AF473&gt;7,1.25,IF(AF473&gt;4,0.75,0)))+IF(OR(AG473="-",W473&lt;4),0,IF(AG473&gt;7,1+IF(W473&gt;7,0.15,0),IF(AG473&gt;4,0.5+IF(W473&gt;7,0.15,0),0))))</f>
        <v>0</v>
      </c>
      <c r="AQ473" s="46">
        <f>($AM$3*AM473+$AN$3*AN473+$AO$3*AO473+$AP$3*AP473)+$I$3*VLOOKUP(I473,COND!$A$2:$E$7,4,FALSE)+$J$3*VLOOKUP(J473,COND!$A$2:$C$7,2,FALSE)+$K$3*VLOOKUP(K473,COND!$A$2:$C$7,3,FALSE)+IF(AND($B$2&gt;0,$E473&lt;20),$B$2*25,0)</f>
        <v>33.288151594687037</v>
      </c>
      <c r="AR473" s="49">
        <f>STANDARDIZE(AQ473,AVERAGE($AQ$5:$AQ$537),STDEVP($AQ$5:$AQ$537))</f>
        <v>-1.2421769260455897</v>
      </c>
      <c r="AS473" s="47" t="str">
        <f>IF(AND(Z473&lt;&gt;"-",Y473&gt;1),"C",IF(AB473=MAX(AB473:AD473),"2B",IF(AD473=MAX(AB473:AD473),"SS",IF(OR(AC473=MAX(AA473:AD473),AND(AC473&lt;&gt;"-",AC473&gt;4,V473&gt;5)),"3B",IF(AF473=MAX(AE473:AG473),"CF",IF(AND(AG473=MAX(AE473,AG473),AND(W473&gt;5,AG473&lt;&gt;"-")),"RF",IF(AE473&lt;&gt;"-","LF",IF(AA473&lt;&gt;"-","1B","DH"))))))))</f>
        <v>1B</v>
      </c>
      <c r="AT473" s="47"/>
      <c r="AU473" s="47"/>
      <c r="AV473" s="47"/>
      <c r="AW473" s="47" t="str">
        <f>IF(AND($Q473&gt;=6,AVERAGE($S473:$T473)&gt;=6),"Likely",IF(OR($Q473&gt;6,AND($Q473=6,AVERAGE($S473:$T473)&gt;=3),AND($Q473&gt;=5,AVERAGE($S473:$T473)&gt;=5),AVERAGE($Q473,$S473:$T473)&gt;5),"Possible","Unlikely"))</f>
        <v>Unlikely</v>
      </c>
      <c r="AX473" s="47"/>
      <c r="AY473" s="47" t="str">
        <f>INDEX(Table5[[#All],[Ovr]],MATCH(Batters[[#This Row],[PID]],Table5[[#All],[PID]],0))</f>
        <v/>
      </c>
      <c r="AZ473" s="47" t="str">
        <f>INDEX(Table5[[#All],[Rnd]],MATCH(Batters[[#This Row],[PID]],Table5[[#All],[PID]],0))</f>
        <v/>
      </c>
      <c r="BA473" s="47" t="str">
        <f>INDEX(Table5[[#All],[Pick]],MATCH(Batters[[#This Row],[PID]],Table5[[#All],[PID]],0))</f>
        <v/>
      </c>
      <c r="BB473" s="47" t="str">
        <f>INDEX(Table5[[#All],[Team]],MATCH(Batters[[#This Row],[PID]],Table5[[#All],[PID]],0))</f>
        <v/>
      </c>
    </row>
    <row r="474" spans="1:54" ht="15" customHeight="1" x14ac:dyDescent="0.25">
      <c r="A474" s="42">
        <v>3459</v>
      </c>
      <c r="B474" s="42" t="s">
        <v>86</v>
      </c>
      <c r="C474" s="42" t="s">
        <v>381</v>
      </c>
      <c r="D474" s="42" t="s">
        <v>1375</v>
      </c>
      <c r="E474" s="42">
        <v>21</v>
      </c>
      <c r="F474" s="42" t="s">
        <v>53</v>
      </c>
      <c r="G474" s="42" t="s">
        <v>42</v>
      </c>
      <c r="H474" s="43" t="s">
        <v>709</v>
      </c>
      <c r="I474" s="44" t="s">
        <v>43</v>
      </c>
      <c r="J474" s="42" t="s">
        <v>44</v>
      </c>
      <c r="K474" s="43" t="s">
        <v>47</v>
      </c>
      <c r="L474" s="42">
        <v>2</v>
      </c>
      <c r="M474" s="42">
        <v>4</v>
      </c>
      <c r="N474" s="42">
        <v>3</v>
      </c>
      <c r="O474" s="42">
        <v>4</v>
      </c>
      <c r="P474" s="43">
        <v>1</v>
      </c>
      <c r="Q474" s="42">
        <v>2</v>
      </c>
      <c r="R474" s="42">
        <v>4</v>
      </c>
      <c r="S474" s="42">
        <v>3</v>
      </c>
      <c r="T474" s="42">
        <v>6</v>
      </c>
      <c r="U474" s="43">
        <v>3</v>
      </c>
      <c r="V474" s="42">
        <v>2</v>
      </c>
      <c r="W474" s="42">
        <v>1</v>
      </c>
      <c r="X474" s="42">
        <v>4</v>
      </c>
      <c r="Y474" s="43">
        <v>8</v>
      </c>
      <c r="Z474" s="42" t="s">
        <v>45</v>
      </c>
      <c r="AA474" s="42" t="s">
        <v>45</v>
      </c>
      <c r="AB474" s="42" t="s">
        <v>45</v>
      </c>
      <c r="AC474" s="42" t="s">
        <v>45</v>
      </c>
      <c r="AD474" s="42" t="s">
        <v>45</v>
      </c>
      <c r="AE474" s="42" t="s">
        <v>45</v>
      </c>
      <c r="AF474" s="42" t="s">
        <v>45</v>
      </c>
      <c r="AG474" s="43" t="s">
        <v>45</v>
      </c>
      <c r="AH474" s="42">
        <v>5</v>
      </c>
      <c r="AI474" s="42">
        <v>3</v>
      </c>
      <c r="AJ474" s="43">
        <v>2</v>
      </c>
      <c r="AK474" s="45" t="s">
        <v>45</v>
      </c>
      <c r="AL474" s="45" t="s">
        <v>47</v>
      </c>
      <c r="AM474" s="46">
        <f>($L$3*(L474-$Q$1)/$Q$2+$M$3*(M474-$R$1)/$R$2+$N$3*(N474-$S$1)/$S$2+$O$3*(O474-$T$1)/$T$2+$P$3*(P474-$U$1)/$U$2)/(SUM($L$3:$P$3))</f>
        <v>-1.1733562366922408</v>
      </c>
      <c r="AN474" s="46">
        <f>($L$3*(Q474-$Q$1)/$Q$2+$M$3*(R474-$R$1)/$R$2+$N$3*(S474-$S$1)/$S$2+$O$3*(T474-$T$1)/$T$2+$P$3*(U474-$U$1)/$U$2)/(SUM($L$3:$P$3))</f>
        <v>-0.91390445703891177</v>
      </c>
      <c r="AO474" s="47">
        <f>IF(AVERAGE(AH474:AI474)&gt;9,1,0)+IF(AVERAGE(AH474:AI474)&gt;7,1,0)+IF(AH474&gt;7,1,0)+IF(AI474&gt;7,1,0)+IF(AJ474&gt;8,1,0)+IF(AJ474&gt;6,1,0)</f>
        <v>0</v>
      </c>
      <c r="AP474" s="48">
        <f>MIN(2,IF(OR(Z474="-",X474&lt;5),0,1+IF(Y474&gt;7,0.35,IF(Y474&gt;5,0.1,0))+IF(Z474&gt;7,1+IF(X474&gt;7,0.25,0),IF(Z474&gt;4,0.5+IF(X474&gt;7,0.25,0),0+IF(X474&gt;7,0.25))))+IF(AA474="-",0,IF(AA474&gt;9,0.5,IF(AA474&gt;7,0.25,0)))+IF(AB474="-",0,IF(AB474&gt;7,1.1,IF(AB474&gt;4,0.6,0)))+IF(OR(AC474="-",V474&lt;5),0,IF(AC474&gt;7,1+IF(V474&gt;7,0.25,0),IF(AC474&gt;4,0.5+IF(V474&gt;7,0.25,0),0)))+IF(AD474="-",0,IF(AD474&gt;7,1.5,IF(AD474&gt;4,1,0)))+IF(AE474="-",0,IF(AE474&gt;9,0.5,IF(AE474&gt;7,0.25,0)))+IF(AF474="-",0,IF(AF474&gt;7,1.25,IF(AF474&gt;4,0.75,0)))+IF(OR(AG474="-",W474&lt;4),0,IF(AG474&gt;7,1+IF(W474&gt;7,0.15,0),IF(AG474&gt;4,0.5+IF(W474&gt;7,0.15,0),0))))</f>
        <v>0</v>
      </c>
      <c r="AQ474" s="46">
        <f>($AM$3*AM474+$AN$3*AN474+$AO$3*AO474+$AP$3*AP474)+$I$3*VLOOKUP(I474,COND!$A$2:$E$7,4,FALSE)+$J$3*VLOOKUP(J474,COND!$A$2:$C$7,2,FALSE)+$K$3*VLOOKUP(K474,COND!$A$2:$C$7,3,FALSE)+IF(AND($B$2&gt;0,$E474&lt;20),$B$2*25,0)</f>
        <v>33.915810891863835</v>
      </c>
      <c r="AR474" s="49">
        <f>STANDARDIZE(AQ474,AVERAGE($AQ$5:$AQ$537),STDEVP($AQ$5:$AQ$537))</f>
        <v>-1.1317444443214388</v>
      </c>
      <c r="AS474" s="47" t="str">
        <f>IF(AND(Z474&lt;&gt;"-",Y474&gt;1),"C",IF(AB474=MAX(AB474:AD474),"2B",IF(AD474=MAX(AB474:AD474),"SS",IF(OR(AC474=MAX(AA474:AD474),AND(AC474&lt;&gt;"-",AC474&gt;4,V474&gt;5)),"3B",IF(AF474=MAX(AE474:AG474),"CF",IF(AND(AG474=MAX(AE474,AG474),AND(W474&gt;5,AG474&lt;&gt;"-")),"RF",IF(AE474&lt;&gt;"-","LF",IF(AA474&lt;&gt;"-","1B","DH"))))))))</f>
        <v>DH</v>
      </c>
      <c r="AT474" s="47"/>
      <c r="AU474" s="47"/>
      <c r="AV474" s="47"/>
      <c r="AW474" s="47" t="str">
        <f>IF(AND($Q474&gt;=6,AVERAGE($S474:$T474)&gt;=6),"Likely",IF(OR($Q474&gt;6,AND($Q474=6,AVERAGE($S474:$T474)&gt;=3),AND($Q474&gt;=5,AVERAGE($S474:$T474)&gt;=5),AVERAGE($Q474,$S474:$T474)&gt;5),"Possible","Unlikely"))</f>
        <v>Unlikely</v>
      </c>
      <c r="AX474" s="47"/>
      <c r="AY474" s="47" t="str">
        <f>INDEX(Table5[[#All],[Ovr]],MATCH(Batters[[#This Row],[PID]],Table5[[#All],[PID]],0))</f>
        <v/>
      </c>
      <c r="AZ474" s="47" t="str">
        <f>INDEX(Table5[[#All],[Rnd]],MATCH(Batters[[#This Row],[PID]],Table5[[#All],[PID]],0))</f>
        <v/>
      </c>
      <c r="BA474" s="47" t="str">
        <f>INDEX(Table5[[#All],[Pick]],MATCH(Batters[[#This Row],[PID]],Table5[[#All],[PID]],0))</f>
        <v/>
      </c>
      <c r="BB474" s="47" t="str">
        <f>INDEX(Table5[[#All],[Team]],MATCH(Batters[[#This Row],[PID]],Table5[[#All],[PID]],0))</f>
        <v/>
      </c>
    </row>
    <row r="475" spans="1:54" ht="15" customHeight="1" x14ac:dyDescent="0.25">
      <c r="A475" s="42">
        <v>7298</v>
      </c>
      <c r="B475" s="42" t="s">
        <v>87</v>
      </c>
      <c r="C475" s="42" t="s">
        <v>173</v>
      </c>
      <c r="D475" s="42" t="s">
        <v>1158</v>
      </c>
      <c r="E475" s="42">
        <v>21</v>
      </c>
      <c r="F475" s="42" t="s">
        <v>62</v>
      </c>
      <c r="G475" s="42" t="s">
        <v>42</v>
      </c>
      <c r="H475" s="43" t="s">
        <v>721</v>
      </c>
      <c r="I475" s="44" t="s">
        <v>43</v>
      </c>
      <c r="J475" s="42" t="s">
        <v>44</v>
      </c>
      <c r="K475" s="43" t="s">
        <v>43</v>
      </c>
      <c r="L475" s="42">
        <v>2</v>
      </c>
      <c r="M475" s="42">
        <v>2</v>
      </c>
      <c r="N475" s="42">
        <v>2</v>
      </c>
      <c r="O475" s="42">
        <v>1</v>
      </c>
      <c r="P475" s="43">
        <v>3</v>
      </c>
      <c r="Q475" s="42">
        <v>3</v>
      </c>
      <c r="R475" s="42">
        <v>3</v>
      </c>
      <c r="S475" s="42">
        <v>3</v>
      </c>
      <c r="T475" s="42">
        <v>3</v>
      </c>
      <c r="U475" s="43">
        <v>5</v>
      </c>
      <c r="V475" s="42">
        <v>2</v>
      </c>
      <c r="W475" s="42">
        <v>1</v>
      </c>
      <c r="X475" s="42">
        <v>1</v>
      </c>
      <c r="Y475" s="43">
        <v>1</v>
      </c>
      <c r="Z475" s="42" t="s">
        <v>45</v>
      </c>
      <c r="AA475" s="42">
        <v>1</v>
      </c>
      <c r="AB475" s="42" t="s">
        <v>45</v>
      </c>
      <c r="AC475" s="42" t="s">
        <v>45</v>
      </c>
      <c r="AD475" s="42" t="s">
        <v>45</v>
      </c>
      <c r="AE475" s="42" t="s">
        <v>45</v>
      </c>
      <c r="AF475" s="42" t="s">
        <v>45</v>
      </c>
      <c r="AG475" s="43" t="s">
        <v>45</v>
      </c>
      <c r="AH475" s="42">
        <v>1</v>
      </c>
      <c r="AI475" s="42">
        <v>2</v>
      </c>
      <c r="AJ475" s="43">
        <v>1</v>
      </c>
      <c r="AK475" s="45" t="s">
        <v>45</v>
      </c>
      <c r="AL475" s="45" t="s">
        <v>47</v>
      </c>
      <c r="AM475" s="46">
        <f>($L$3*(L475-$Q$1)/$Q$2+$M$3*(M475-$R$1)/$R$2+$N$3*(N475-$S$1)/$S$2+$O$3*(O475-$T$1)/$T$2+$P$3*(P475-$U$1)/$U$2)/(SUM($L$3:$P$3))</f>
        <v>-1.5476334603481254</v>
      </c>
      <c r="AN475" s="46">
        <f>($L$3*(Q475-$Q$1)/$Q$2+$M$3*(R475-$R$1)/$R$2+$N$3*(S475-$S$1)/$S$2+$O$3*(T475-$T$1)/$T$2+$P$3*(U475-$U$1)/$U$2)/(SUM($L$3:$P$3))</f>
        <v>-0.83150447084951662</v>
      </c>
      <c r="AO475" s="47">
        <f>IF(AVERAGE(AH475:AI475)&gt;9,1,0)+IF(AVERAGE(AH475:AI475)&gt;7,1,0)+IF(AH475&gt;7,1,0)+IF(AI475&gt;7,1,0)+IF(AJ475&gt;8,1,0)+IF(AJ475&gt;6,1,0)</f>
        <v>0</v>
      </c>
      <c r="AP475" s="48">
        <f>MIN(2,IF(OR(Z475="-",X475&lt;5),0,1+IF(Y475&gt;7,0.35,IF(Y475&gt;5,0.1,0))+IF(Z475&gt;7,1+IF(X475&gt;7,0.25,0),IF(Z475&gt;4,0.5+IF(X475&gt;7,0.25,0),0+IF(X475&gt;7,0.25))))+IF(AA475="-",0,IF(AA475&gt;9,0.5,IF(AA475&gt;7,0.25,0)))+IF(AB475="-",0,IF(AB475&gt;7,1.1,IF(AB475&gt;4,0.6,0)))+IF(OR(AC475="-",V475&lt;5),0,IF(AC475&gt;7,1+IF(V475&gt;7,0.25,0),IF(AC475&gt;4,0.5+IF(V475&gt;7,0.25,0),0)))+IF(AD475="-",0,IF(AD475&gt;7,1.5,IF(AD475&gt;4,1,0)))+IF(AE475="-",0,IF(AE475&gt;9,0.5,IF(AE475&gt;7,0.25,0)))+IF(AF475="-",0,IF(AF475&gt;7,1.25,IF(AF475&gt;4,0.75,0)))+IF(OR(AG475="-",W475&lt;4),0,IF(AG475&gt;7,1+IF(W475&gt;7,0.15,0),IF(AG475&gt;4,0.5+IF(W475&gt;7,0.15,0),0))))</f>
        <v>0</v>
      </c>
      <c r="AQ475" s="46">
        <f>($AM$3*AM475+$AN$3*AN475+$AO$3*AO475+$AP$3*AP475)+$I$3*VLOOKUP(I475,COND!$A$2:$E$7,4,FALSE)+$J$3*VLOOKUP(J475,COND!$A$2:$C$7,2,FALSE)+$K$3*VLOOKUP(K475,COND!$A$2:$C$7,3,FALSE)+IF(AND($B$2&gt;0,$E475&lt;20),$B$2*25,0)</f>
        <v>34.567183003770985</v>
      </c>
      <c r="AR475" s="49">
        <f>STANDARDIZE(AQ475,AVERAGE($AQ$5:$AQ$537),STDEVP($AQ$5:$AQ$537))</f>
        <v>-1.0171398504480431</v>
      </c>
      <c r="AS475" s="47" t="str">
        <f>IF(AND(Z475&lt;&gt;"-",Y475&gt;1),"C",IF(AB475=MAX(AB475:AD475),"2B",IF(AD475=MAX(AB475:AD475),"SS",IF(OR(AC475=MAX(AA475:AD475),AND(AC475&lt;&gt;"-",AC475&gt;4,V475&gt;5)),"3B",IF(AF475=MAX(AE475:AG475),"CF",IF(AND(AG475=MAX(AE475,AG475),AND(W475&gt;5,AG475&lt;&gt;"-")),"RF",IF(AE475&lt;&gt;"-","LF",IF(AA475&lt;&gt;"-","1B","DH"))))))))</f>
        <v>1B</v>
      </c>
      <c r="AT475" s="47"/>
      <c r="AU475" s="47"/>
      <c r="AV475" s="47"/>
      <c r="AW475" s="47" t="str">
        <f>IF(AND($Q475&gt;=6,AVERAGE($S475:$T475)&gt;=6),"Likely",IF(OR($Q475&gt;6,AND($Q475=6,AVERAGE($S475:$T475)&gt;=3),AND($Q475&gt;=5,AVERAGE($S475:$T475)&gt;=5),AVERAGE($Q475,$S475:$T475)&gt;5),"Possible","Unlikely"))</f>
        <v>Unlikely</v>
      </c>
      <c r="AX475" s="47"/>
      <c r="AY475" s="47" t="str">
        <f>INDEX(Table5[[#All],[Ovr]],MATCH(Batters[[#This Row],[PID]],Table5[[#All],[PID]],0))</f>
        <v/>
      </c>
      <c r="AZ475" s="47" t="str">
        <f>INDEX(Table5[[#All],[Rnd]],MATCH(Batters[[#This Row],[PID]],Table5[[#All],[PID]],0))</f>
        <v/>
      </c>
      <c r="BA475" s="47" t="str">
        <f>INDEX(Table5[[#All],[Pick]],MATCH(Batters[[#This Row],[PID]],Table5[[#All],[PID]],0))</f>
        <v/>
      </c>
      <c r="BB475" s="47" t="str">
        <f>INDEX(Table5[[#All],[Team]],MATCH(Batters[[#This Row],[PID]],Table5[[#All],[PID]],0))</f>
        <v/>
      </c>
    </row>
    <row r="476" spans="1:54" ht="15" customHeight="1" x14ac:dyDescent="0.25">
      <c r="A476" s="42">
        <v>6404</v>
      </c>
      <c r="B476" s="42" t="s">
        <v>87</v>
      </c>
      <c r="C476" s="42" t="s">
        <v>747</v>
      </c>
      <c r="D476" s="42" t="s">
        <v>663</v>
      </c>
      <c r="E476" s="42">
        <v>22</v>
      </c>
      <c r="F476" s="42" t="s">
        <v>42</v>
      </c>
      <c r="G476" s="42" t="s">
        <v>42</v>
      </c>
      <c r="H476" s="43" t="s">
        <v>711</v>
      </c>
      <c r="I476" s="44" t="s">
        <v>43</v>
      </c>
      <c r="J476" s="42" t="s">
        <v>44</v>
      </c>
      <c r="K476" s="43" t="s">
        <v>47</v>
      </c>
      <c r="L476" s="42">
        <v>2</v>
      </c>
      <c r="M476" s="42">
        <v>3</v>
      </c>
      <c r="N476" s="42">
        <v>4</v>
      </c>
      <c r="O476" s="42">
        <v>4</v>
      </c>
      <c r="P476" s="43">
        <v>1</v>
      </c>
      <c r="Q476" s="42">
        <v>2</v>
      </c>
      <c r="R476" s="42">
        <v>3</v>
      </c>
      <c r="S476" s="42">
        <v>4</v>
      </c>
      <c r="T476" s="42">
        <v>6</v>
      </c>
      <c r="U476" s="43">
        <v>2</v>
      </c>
      <c r="V476" s="42">
        <v>3</v>
      </c>
      <c r="W476" s="42">
        <v>3</v>
      </c>
      <c r="X476" s="42">
        <v>4</v>
      </c>
      <c r="Y476" s="43">
        <v>6</v>
      </c>
      <c r="Z476" s="42" t="s">
        <v>45</v>
      </c>
      <c r="AA476" s="42">
        <v>3</v>
      </c>
      <c r="AB476" s="42" t="s">
        <v>45</v>
      </c>
      <c r="AC476" s="42" t="s">
        <v>45</v>
      </c>
      <c r="AD476" s="42" t="s">
        <v>45</v>
      </c>
      <c r="AE476" s="42" t="s">
        <v>45</v>
      </c>
      <c r="AF476" s="42" t="s">
        <v>45</v>
      </c>
      <c r="AG476" s="43" t="s">
        <v>45</v>
      </c>
      <c r="AH476" s="42">
        <v>3</v>
      </c>
      <c r="AI476" s="42">
        <v>1</v>
      </c>
      <c r="AJ476" s="43">
        <v>1</v>
      </c>
      <c r="AK476" s="45" t="s">
        <v>45</v>
      </c>
      <c r="AL476" s="45" t="s">
        <v>47</v>
      </c>
      <c r="AM476" s="46">
        <f>($L$3*(L476-$Q$1)/$Q$2+$M$3*(M476-$R$1)/$R$2+$N$3*(N476-$S$1)/$S$2+$O$3*(O476-$T$1)/$T$2+$P$3*(P476-$U$1)/$U$2)/(SUM($L$3:$P$3))</f>
        <v>-1.1413546222870428</v>
      </c>
      <c r="AN476" s="46">
        <f>($L$3*(Q476-$Q$1)/$Q$2+$M$3*(R476-$R$1)/$R$2+$N$3*(S476-$S$1)/$S$2+$O$3*(T476-$T$1)/$T$2+$P$3*(U476-$U$1)/$U$2)/(SUM($L$3:$P$3))</f>
        <v>-0.92191918245079729</v>
      </c>
      <c r="AO476" s="47">
        <f>IF(AVERAGE(AH476:AI476)&gt;9,1,0)+IF(AVERAGE(AH476:AI476)&gt;7,1,0)+IF(AH476&gt;7,1,0)+IF(AI476&gt;7,1,0)+IF(AJ476&gt;8,1,0)+IF(AJ476&gt;6,1,0)</f>
        <v>0</v>
      </c>
      <c r="AP476" s="48">
        <f>MIN(2,IF(OR(Z476="-",X476&lt;5),0,1+IF(Y476&gt;7,0.35,IF(Y476&gt;5,0.1,0))+IF(Z476&gt;7,1+IF(X476&gt;7,0.25,0),IF(Z476&gt;4,0.5+IF(X476&gt;7,0.25,0),0+IF(X476&gt;7,0.25))))+IF(AA476="-",0,IF(AA476&gt;9,0.5,IF(AA476&gt;7,0.25,0)))+IF(AB476="-",0,IF(AB476&gt;7,1.1,IF(AB476&gt;4,0.6,0)))+IF(OR(AC476="-",V476&lt;5),0,IF(AC476&gt;7,1+IF(V476&gt;7,0.25,0),IF(AC476&gt;4,0.5+IF(V476&gt;7,0.25,0),0)))+IF(AD476="-",0,IF(AD476&gt;7,1.5,IF(AD476&gt;4,1,0)))+IF(AE476="-",0,IF(AE476&gt;9,0.5,IF(AE476&gt;7,0.25,0)))+IF(AF476="-",0,IF(AF476&gt;7,1.25,IF(AF476&gt;4,0.75,0)))+IF(OR(AG476="-",W476&lt;4),0,IF(AG476&gt;7,1+IF(W476&gt;7,0.15,0),IF(AG476&gt;4,0.5+IF(W476&gt;7,0.15,0),0))))</f>
        <v>0</v>
      </c>
      <c r="AQ476" s="46">
        <f>($AM$3*AM476+$AN$3*AN476+$AO$3*AO476+$AP$3*AP476)+$I$3*VLOOKUP(I476,COND!$A$2:$E$7,4,FALSE)+$J$3*VLOOKUP(J476,COND!$A$2:$C$7,2,FALSE)+$K$3*VLOOKUP(K476,COND!$A$2:$C$7,3,FALSE)+IF(AND($B$2&gt;0,$E476&lt;20),$B$2*25,0)</f>
        <v>33.822834348361724</v>
      </c>
      <c r="AR476" s="49">
        <f>STANDARDIZE(AQ476,AVERAGE($AQ$5:$AQ$537),STDEVP($AQ$5:$AQ$537))</f>
        <v>-1.1481030492003201</v>
      </c>
      <c r="AS476" s="47" t="str">
        <f>IF(AND(Z476&lt;&gt;"-",Y476&gt;1),"C",IF(AB476=MAX(AB476:AD476),"2B",IF(AD476=MAX(AB476:AD476),"SS",IF(OR(AC476=MAX(AA476:AD476),AND(AC476&lt;&gt;"-",AC476&gt;4,V476&gt;5)),"3B",IF(AF476=MAX(AE476:AG476),"CF",IF(AND(AG476=MAX(AE476,AG476),AND(W476&gt;5,AG476&lt;&gt;"-")),"RF",IF(AE476&lt;&gt;"-","LF",IF(AA476&lt;&gt;"-","1B","DH"))))))))</f>
        <v>1B</v>
      </c>
      <c r="AT476" s="47"/>
      <c r="AU476" s="47"/>
      <c r="AV476" s="47"/>
      <c r="AW476" s="47" t="str">
        <f>IF(AND($Q476&gt;=6,AVERAGE($S476:$T476)&gt;=6),"Likely",IF(OR($Q476&gt;6,AND($Q476=6,AVERAGE($S476:$T476)&gt;=3),AND($Q476&gt;=5,AVERAGE($S476:$T476)&gt;=5),AVERAGE($Q476,$S476:$T476)&gt;5),"Possible","Unlikely"))</f>
        <v>Unlikely</v>
      </c>
      <c r="AX476" s="47"/>
      <c r="AY476" s="47" t="str">
        <f>INDEX(Table5[[#All],[Ovr]],MATCH(Batters[[#This Row],[PID]],Table5[[#All],[PID]],0))</f>
        <v/>
      </c>
      <c r="AZ476" s="47" t="str">
        <f>INDEX(Table5[[#All],[Rnd]],MATCH(Batters[[#This Row],[PID]],Table5[[#All],[PID]],0))</f>
        <v/>
      </c>
      <c r="BA476" s="47" t="str">
        <f>INDEX(Table5[[#All],[Pick]],MATCH(Batters[[#This Row],[PID]],Table5[[#All],[PID]],0))</f>
        <v/>
      </c>
      <c r="BB476" s="47" t="str">
        <f>INDEX(Table5[[#All],[Team]],MATCH(Batters[[#This Row],[PID]],Table5[[#All],[PID]],0))</f>
        <v/>
      </c>
    </row>
    <row r="477" spans="1:54" ht="15" customHeight="1" x14ac:dyDescent="0.25">
      <c r="A477" s="42">
        <v>9570</v>
      </c>
      <c r="B477" s="42" t="s">
        <v>66</v>
      </c>
      <c r="C477" s="42" t="s">
        <v>154</v>
      </c>
      <c r="D477" s="42" t="s">
        <v>1264</v>
      </c>
      <c r="E477" s="42">
        <v>21</v>
      </c>
      <c r="F477" s="42" t="s">
        <v>53</v>
      </c>
      <c r="G477" s="42" t="s">
        <v>42</v>
      </c>
      <c r="H477" s="43" t="s">
        <v>721</v>
      </c>
      <c r="I477" s="44" t="s">
        <v>43</v>
      </c>
      <c r="J477" s="42" t="s">
        <v>43</v>
      </c>
      <c r="K477" s="43" t="s">
        <v>43</v>
      </c>
      <c r="L477" s="42">
        <v>2</v>
      </c>
      <c r="M477" s="42">
        <v>1</v>
      </c>
      <c r="N477" s="42">
        <v>2</v>
      </c>
      <c r="O477" s="42">
        <v>1</v>
      </c>
      <c r="P477" s="43">
        <v>2</v>
      </c>
      <c r="Q477" s="42">
        <v>3</v>
      </c>
      <c r="R477" s="42">
        <v>2</v>
      </c>
      <c r="S477" s="42">
        <v>3</v>
      </c>
      <c r="T477" s="42">
        <v>3</v>
      </c>
      <c r="U477" s="43">
        <v>4</v>
      </c>
      <c r="V477" s="42">
        <v>7</v>
      </c>
      <c r="W477" s="42">
        <v>9</v>
      </c>
      <c r="X477" s="42">
        <v>1</v>
      </c>
      <c r="Y477" s="43">
        <v>1</v>
      </c>
      <c r="Z477" s="42" t="s">
        <v>45</v>
      </c>
      <c r="AA477" s="42" t="s">
        <v>45</v>
      </c>
      <c r="AB477" s="42" t="s">
        <v>45</v>
      </c>
      <c r="AC477" s="42" t="s">
        <v>45</v>
      </c>
      <c r="AD477" s="42" t="s">
        <v>45</v>
      </c>
      <c r="AE477" s="42" t="s">
        <v>45</v>
      </c>
      <c r="AF477" s="42" t="s">
        <v>45</v>
      </c>
      <c r="AG477" s="43">
        <v>1</v>
      </c>
      <c r="AH477" s="42">
        <v>2</v>
      </c>
      <c r="AI477" s="42">
        <v>1</v>
      </c>
      <c r="AJ477" s="43">
        <v>1</v>
      </c>
      <c r="AK477" s="45" t="s">
        <v>45</v>
      </c>
      <c r="AL477" s="45" t="s">
        <v>47</v>
      </c>
      <c r="AM477" s="46">
        <f>($L$3*(L477-$Q$1)/$Q$2+$M$3*(M477-$R$1)/$R$2+$N$3*(N477-$S$1)/$S$2+$O$3*(O477-$T$1)/$T$2+$P$3*(P477-$U$1)/$U$2)/(SUM($L$3:$P$3))</f>
        <v>-1.6387096797839125</v>
      </c>
      <c r="AN477" s="46">
        <f>($L$3*(Q477-$Q$1)/$Q$2+$M$3*(R477-$R$1)/$R$2+$N$3*(S477-$S$1)/$S$2+$O$3*(T477-$T$1)/$T$2+$P$3*(U477-$U$1)/$U$2)/(SUM($L$3:$P$3))</f>
        <v>-0.92258069028530365</v>
      </c>
      <c r="AO477" s="47">
        <f>IF(AVERAGE(AH477:AI477)&gt;9,1,0)+IF(AVERAGE(AH477:AI477)&gt;7,1,0)+IF(AH477&gt;7,1,0)+IF(AI477&gt;7,1,0)+IF(AJ477&gt;8,1,0)+IF(AJ477&gt;6,1,0)</f>
        <v>0</v>
      </c>
      <c r="AP477" s="48">
        <f>MIN(2,IF(OR(Z477="-",X477&lt;5),0,1+IF(Y477&gt;7,0.35,IF(Y477&gt;5,0.1,0))+IF(Z477&gt;7,1+IF(X477&gt;7,0.25,0),IF(Z477&gt;4,0.5+IF(X477&gt;7,0.25,0),0+IF(X477&gt;7,0.25))))+IF(AA477="-",0,IF(AA477&gt;9,0.5,IF(AA477&gt;7,0.25,0)))+IF(AB477="-",0,IF(AB477&gt;7,1.1,IF(AB477&gt;4,0.6,0)))+IF(OR(AC477="-",V477&lt;5),0,IF(AC477&gt;7,1+IF(V477&gt;7,0.25,0),IF(AC477&gt;4,0.5+IF(V477&gt;7,0.25,0),0)))+IF(AD477="-",0,IF(AD477&gt;7,1.5,IF(AD477&gt;4,1,0)))+IF(AE477="-",0,IF(AE477&gt;9,0.5,IF(AE477&gt;7,0.25,0)))+IF(AF477="-",0,IF(AF477&gt;7,1.25,IF(AF477&gt;4,0.75,0)))+IF(OR(AG477="-",W477&lt;4),0,IF(AG477&gt;7,1+IF(W477&gt;7,0.15,0),IF(AG477&gt;4,0.5+IF(W477&gt;7,0.15,0),0))))</f>
        <v>0</v>
      </c>
      <c r="AQ477" s="46">
        <f>($AM$3*AM477+$AN$3*AN477+$AO$3*AO477+$AP$3*AP477)+$I$3*VLOOKUP(I477,COND!$A$2:$E$7,4,FALSE)+$J$3*VLOOKUP(J477,COND!$A$2:$C$7,2,FALSE)+$K$3*VLOOKUP(K477,COND!$A$2:$C$7,3,FALSE)+IF(AND($B$2&gt;0,$E477&lt;20),$B$2*25,0)</f>
        <v>33.765160748597964</v>
      </c>
      <c r="AR477" s="49">
        <f>STANDARDIZE(AQ477,AVERAGE($AQ$5:$AQ$537),STDEVP($AQ$5:$AQ$537))</f>
        <v>-1.1582503357625129</v>
      </c>
      <c r="AS477" s="47" t="str">
        <f>IF(AND(Z477&lt;&gt;"-",Y477&gt;1),"C",IF(AB477=MAX(AB477:AD477),"2B",IF(AD477=MAX(AB477:AD477),"SS",IF(OR(AC477=MAX(AA477:AD477),AND(AC477&lt;&gt;"-",AC477&gt;4,V477&gt;5)),"3B",IF(AF477=MAX(AE477:AG477),"CF",IF(AND(AG477=MAX(AE477,AG477),AND(W477&gt;5,AG477&lt;&gt;"-")),"RF",IF(AE477&lt;&gt;"-","LF",IF(AA477&lt;&gt;"-","1B","DH"))))))))</f>
        <v>RF</v>
      </c>
      <c r="AT477" s="47"/>
      <c r="AU477" s="47"/>
      <c r="AV477" s="47"/>
      <c r="AW477" s="47" t="str">
        <f>IF(AND($Q477&gt;=6,AVERAGE($S477:$T477)&gt;=6),"Likely",IF(OR($Q477&gt;6,AND($Q477=6,AVERAGE($S477:$T477)&gt;=3),AND($Q477&gt;=5,AVERAGE($S477:$T477)&gt;=5),AVERAGE($Q477,$S477:$T477)&gt;5),"Possible","Unlikely"))</f>
        <v>Unlikely</v>
      </c>
      <c r="AX477" s="47"/>
      <c r="AY477" s="47" t="str">
        <f>INDEX(Table5[[#All],[Ovr]],MATCH(Batters[[#This Row],[PID]],Table5[[#All],[PID]],0))</f>
        <v/>
      </c>
      <c r="AZ477" s="47" t="str">
        <f>INDEX(Table5[[#All],[Rnd]],MATCH(Batters[[#This Row],[PID]],Table5[[#All],[PID]],0))</f>
        <v/>
      </c>
      <c r="BA477" s="47" t="str">
        <f>INDEX(Table5[[#All],[Pick]],MATCH(Batters[[#This Row],[PID]],Table5[[#All],[PID]],0))</f>
        <v/>
      </c>
      <c r="BB477" s="47" t="str">
        <f>INDEX(Table5[[#All],[Team]],MATCH(Batters[[#This Row],[PID]],Table5[[#All],[PID]],0))</f>
        <v/>
      </c>
    </row>
    <row r="478" spans="1:54" ht="15" customHeight="1" x14ac:dyDescent="0.25">
      <c r="A478" s="42">
        <v>13008</v>
      </c>
      <c r="B478" s="42" t="s">
        <v>86</v>
      </c>
      <c r="C478" s="42" t="s">
        <v>179</v>
      </c>
      <c r="D478" s="42" t="s">
        <v>880</v>
      </c>
      <c r="E478" s="42">
        <v>22</v>
      </c>
      <c r="F478" s="42" t="s">
        <v>62</v>
      </c>
      <c r="G478" s="42" t="s">
        <v>42</v>
      </c>
      <c r="H478" s="43" t="s">
        <v>709</v>
      </c>
      <c r="I478" s="44" t="s">
        <v>43</v>
      </c>
      <c r="J478" s="42" t="s">
        <v>44</v>
      </c>
      <c r="K478" s="43" t="s">
        <v>43</v>
      </c>
      <c r="L478" s="42">
        <v>2</v>
      </c>
      <c r="M478" s="42">
        <v>3</v>
      </c>
      <c r="N478" s="42">
        <v>3</v>
      </c>
      <c r="O478" s="42">
        <v>4</v>
      </c>
      <c r="P478" s="43">
        <v>2</v>
      </c>
      <c r="Q478" s="42">
        <v>2</v>
      </c>
      <c r="R478" s="42">
        <v>3</v>
      </c>
      <c r="S478" s="42">
        <v>3</v>
      </c>
      <c r="T478" s="42">
        <v>6</v>
      </c>
      <c r="U478" s="43">
        <v>3</v>
      </c>
      <c r="V478" s="42">
        <v>6</v>
      </c>
      <c r="W478" s="42">
        <v>6</v>
      </c>
      <c r="X478" s="42">
        <v>8</v>
      </c>
      <c r="Y478" s="43">
        <v>6</v>
      </c>
      <c r="Z478" s="42">
        <v>3</v>
      </c>
      <c r="AA478" s="42" t="s">
        <v>45</v>
      </c>
      <c r="AB478" s="42" t="s">
        <v>45</v>
      </c>
      <c r="AC478" s="42" t="s">
        <v>45</v>
      </c>
      <c r="AD478" s="42" t="s">
        <v>45</v>
      </c>
      <c r="AE478" s="42" t="s">
        <v>45</v>
      </c>
      <c r="AF478" s="42" t="s">
        <v>45</v>
      </c>
      <c r="AG478" s="43" t="s">
        <v>45</v>
      </c>
      <c r="AH478" s="42">
        <v>5</v>
      </c>
      <c r="AI478" s="42">
        <v>5</v>
      </c>
      <c r="AJ478" s="43">
        <v>4</v>
      </c>
      <c r="AK478" s="45" t="s">
        <v>45</v>
      </c>
      <c r="AL478" s="45" t="s">
        <v>705</v>
      </c>
      <c r="AM478" s="46">
        <f>($L$3*(L478-$Q$1)/$Q$2+$M$3*(M478-$R$1)/$R$2+$N$3*(N478-$S$1)/$S$2+$O$3*(O478-$T$1)/$T$2+$P$3*(P478-$U$1)/$U$2)/(SUM($L$3:$P$3))</f>
        <v>-1.1843997764938607</v>
      </c>
      <c r="AN478" s="46">
        <f>($L$3*(Q478-$Q$1)/$Q$2+$M$3*(R478-$R$1)/$R$2+$N$3*(S478-$S$1)/$S$2+$O$3*(T478-$T$1)/$T$2+$P$3*(U478-$U$1)/$U$2)/(SUM($L$3:$P$3))</f>
        <v>-0.96496433665761527</v>
      </c>
      <c r="AO478" s="47">
        <f>IF(AVERAGE(AH478:AI478)&gt;9,1,0)+IF(AVERAGE(AH478:AI478)&gt;7,1,0)+IF(AH478&gt;7,1,0)+IF(AI478&gt;7,1,0)+IF(AJ478&gt;8,1,0)+IF(AJ478&gt;6,1,0)</f>
        <v>0</v>
      </c>
      <c r="AP478" s="48">
        <f>MIN(2,IF(OR(Z478="-",X478&lt;5),0,1+IF(Y478&gt;7,0.35,IF(Y478&gt;5,0.1,0))+IF(Z478&gt;7,1+IF(X478&gt;7,0.25,0),IF(Z478&gt;4,0.5+IF(X478&gt;7,0.25,0),0+IF(X478&gt;7,0.25))))+IF(AA478="-",0,IF(AA478&gt;9,0.5,IF(AA478&gt;7,0.25,0)))+IF(AB478="-",0,IF(AB478&gt;7,1.1,IF(AB478&gt;4,0.6,0)))+IF(OR(AC478="-",V478&lt;5),0,IF(AC478&gt;7,1+IF(V478&gt;7,0.25,0),IF(AC478&gt;4,0.5+IF(V478&gt;7,0.25,0),0)))+IF(AD478="-",0,IF(AD478&gt;7,1.5,IF(AD478&gt;4,1,0)))+IF(AE478="-",0,IF(AE478&gt;9,0.5,IF(AE478&gt;7,0.25,0)))+IF(AF478="-",0,IF(AF478&gt;7,1.25,IF(AF478&gt;4,0.75,0)))+IF(OR(AG478="-",W478&lt;4),0,IF(AG478&gt;7,1+IF(W478&gt;7,0.15,0),IF(AG478&gt;4,0.5+IF(W478&gt;7,0.15,0),0))))</f>
        <v>1.35</v>
      </c>
      <c r="AQ478" s="46">
        <f>($AM$3*AM478+$AN$3*AN478+$AO$3*AO478+$AP$3*AP478)+$I$3*VLOOKUP(I478,COND!$A$2:$E$7,4,FALSE)+$J$3*VLOOKUP(J478,COND!$A$2:$C$7,2,FALSE)+$K$3*VLOOKUP(K478,COND!$A$2:$C$7,3,FALSE)+IF(AND($B$2&gt;0,$E478&lt;20),$B$2*25,0)</f>
        <v>34.351987982459228</v>
      </c>
      <c r="AR478" s="49">
        <f>STANDARDIZE(AQ478,AVERAGE($AQ$5:$AQ$537),STDEVP($AQ$5:$AQ$537))</f>
        <v>-1.0550019841964497</v>
      </c>
      <c r="AS478" s="47" t="str">
        <f>IF(AND(Z478&lt;&gt;"-",Y478&gt;1),"C",IF(AB478=MAX(AB478:AD478),"2B",IF(AD478=MAX(AB478:AD478),"SS",IF(OR(AC478=MAX(AA478:AD478),AND(AC478&lt;&gt;"-",AC478&gt;4,V478&gt;5)),"3B",IF(AF478=MAX(AE478:AG478),"CF",IF(AND(AG478=MAX(AE478,AG478),AND(W478&gt;5,AG478&lt;&gt;"-")),"RF",IF(AE478&lt;&gt;"-","LF",IF(AA478&lt;&gt;"-","1B","DH"))))))))</f>
        <v>C</v>
      </c>
      <c r="AT478" s="47"/>
      <c r="AU478" s="47"/>
      <c r="AV478" s="47"/>
      <c r="AW478" s="47" t="str">
        <f>IF(AND($Q478&gt;=6,AVERAGE($S478:$T478)&gt;=6),"Likely",IF(OR($Q478&gt;6,AND($Q478=6,AVERAGE($S478:$T478)&gt;=3),AND($Q478&gt;=5,AVERAGE($S478:$T478)&gt;=5),AVERAGE($Q478,$S478:$T478)&gt;5),"Possible","Unlikely"))</f>
        <v>Unlikely</v>
      </c>
      <c r="AX478" s="47"/>
      <c r="AY478" s="47" t="str">
        <f>INDEX(Table5[[#All],[Ovr]],MATCH(Batters[[#This Row],[PID]],Table5[[#All],[PID]],0))</f>
        <v/>
      </c>
      <c r="AZ478" s="47" t="str">
        <f>INDEX(Table5[[#All],[Rnd]],MATCH(Batters[[#This Row],[PID]],Table5[[#All],[PID]],0))</f>
        <v/>
      </c>
      <c r="BA478" s="47" t="str">
        <f>INDEX(Table5[[#All],[Pick]],MATCH(Batters[[#This Row],[PID]],Table5[[#All],[PID]],0))</f>
        <v/>
      </c>
      <c r="BB478" s="47" t="str">
        <f>INDEX(Table5[[#All],[Team]],MATCH(Batters[[#This Row],[PID]],Table5[[#All],[PID]],0))</f>
        <v/>
      </c>
    </row>
    <row r="479" spans="1:54" ht="15" customHeight="1" x14ac:dyDescent="0.25">
      <c r="A479" s="42">
        <v>12745</v>
      </c>
      <c r="B479" s="42" t="s">
        <v>71</v>
      </c>
      <c r="C479" s="42" t="s">
        <v>894</v>
      </c>
      <c r="D479" s="42" t="s">
        <v>1314</v>
      </c>
      <c r="E479" s="42">
        <v>21</v>
      </c>
      <c r="F479" s="42" t="s">
        <v>42</v>
      </c>
      <c r="G479" s="42" t="s">
        <v>42</v>
      </c>
      <c r="H479" s="43" t="s">
        <v>709</v>
      </c>
      <c r="I479" s="44" t="s">
        <v>43</v>
      </c>
      <c r="J479" s="42" t="s">
        <v>44</v>
      </c>
      <c r="K479" s="43" t="s">
        <v>43</v>
      </c>
      <c r="L479" s="42">
        <v>1</v>
      </c>
      <c r="M479" s="42">
        <v>3</v>
      </c>
      <c r="N479" s="42">
        <v>2</v>
      </c>
      <c r="O479" s="42">
        <v>3</v>
      </c>
      <c r="P479" s="43">
        <v>1</v>
      </c>
      <c r="Q479" s="42">
        <v>3</v>
      </c>
      <c r="R479" s="42">
        <v>3</v>
      </c>
      <c r="S479" s="42">
        <v>2</v>
      </c>
      <c r="T479" s="42">
        <v>4</v>
      </c>
      <c r="U479" s="43">
        <v>3</v>
      </c>
      <c r="V479" s="42">
        <v>3</v>
      </c>
      <c r="W479" s="42">
        <v>2</v>
      </c>
      <c r="X479" s="42">
        <v>1</v>
      </c>
      <c r="Y479" s="43">
        <v>1</v>
      </c>
      <c r="Z479" s="42" t="s">
        <v>45</v>
      </c>
      <c r="AA479" s="42" t="s">
        <v>45</v>
      </c>
      <c r="AB479" s="42">
        <v>5</v>
      </c>
      <c r="AC479" s="42" t="s">
        <v>45</v>
      </c>
      <c r="AD479" s="42" t="s">
        <v>45</v>
      </c>
      <c r="AE479" s="42" t="s">
        <v>45</v>
      </c>
      <c r="AF479" s="42" t="s">
        <v>45</v>
      </c>
      <c r="AG479" s="43" t="s">
        <v>45</v>
      </c>
      <c r="AH479" s="42">
        <v>3</v>
      </c>
      <c r="AI479" s="42">
        <v>4</v>
      </c>
      <c r="AJ479" s="43">
        <v>4</v>
      </c>
      <c r="AK479" s="45" t="s">
        <v>45</v>
      </c>
      <c r="AL479" s="45" t="s">
        <v>705</v>
      </c>
      <c r="AM479" s="46">
        <f>($L$3*(L479-$Q$1)/$Q$2+$M$3*(M479-$R$1)/$R$2+$N$3*(N479-$S$1)/$S$2+$O$3*(O479-$T$1)/$T$2+$P$3*(P479-$U$1)/$U$2)/(SUM($L$3:$P$3))</f>
        <v>-1.7197429965471014</v>
      </c>
      <c r="AN479" s="46">
        <f>($L$3*(Q479-$Q$1)/$Q$2+$M$3*(R479-$R$1)/$R$2+$N$3*(S479-$S$1)/$S$2+$O$3*(T479-$T$1)/$T$2+$P$3*(U479-$U$1)/$U$2)/(SUM($L$3:$P$3))</f>
        <v>-0.90488909449800403</v>
      </c>
      <c r="AO479" s="47">
        <f>IF(AVERAGE(AH479:AI479)&gt;9,1,0)+IF(AVERAGE(AH479:AI479)&gt;7,1,0)+IF(AH479&gt;7,1,0)+IF(AI479&gt;7,1,0)+IF(AJ479&gt;8,1,0)+IF(AJ479&gt;6,1,0)</f>
        <v>0</v>
      </c>
      <c r="AP479" s="48">
        <f>MIN(2,IF(OR(Z479="-",X479&lt;5),0,1+IF(Y479&gt;7,0.35,IF(Y479&gt;5,0.1,0))+IF(Z479&gt;7,1+IF(X479&gt;7,0.25,0),IF(Z479&gt;4,0.5+IF(X479&gt;7,0.25,0),0+IF(X479&gt;7,0.25))))+IF(AA479="-",0,IF(AA479&gt;9,0.5,IF(AA479&gt;7,0.25,0)))+IF(AB479="-",0,IF(AB479&gt;7,1.1,IF(AB479&gt;4,0.6,0)))+IF(OR(AC479="-",V479&lt;5),0,IF(AC479&gt;7,1+IF(V479&gt;7,0.25,0),IF(AC479&gt;4,0.5+IF(V479&gt;7,0.25,0),0)))+IF(AD479="-",0,IF(AD479&gt;7,1.5,IF(AD479&gt;4,1,0)))+IF(AE479="-",0,IF(AE479&gt;9,0.5,IF(AE479&gt;7,0.25,0)))+IF(AF479="-",0,IF(AF479&gt;7,1.25,IF(AF479&gt;4,0.75,0)))+IF(OR(AG479="-",W479&lt;4),0,IF(AG479&gt;7,1+IF(W479&gt;7,0.15,0),IF(AG479&gt;4,0.5+IF(W479&gt;7,0.15,0),0))))</f>
        <v>0.6</v>
      </c>
      <c r="AQ479" s="46">
        <f>($AM$3*AM479+$AN$3*AN479+$AO$3*AO479+$AP$3*AP479)+$I$3*VLOOKUP(I479,COND!$A$2:$E$7,4,FALSE)+$J$3*VLOOKUP(J479,COND!$A$2:$C$7,2,FALSE)+$K$3*VLOOKUP(K479,COND!$A$2:$C$7,3,FALSE)+IF(AND($B$2&gt;0,$E479&lt;20),$B$2*25,0)</f>
        <v>34.26935656636924</v>
      </c>
      <c r="AR479" s="49">
        <f>STANDARDIZE(AQ479,AVERAGE($AQ$5:$AQ$537),STDEVP($AQ$5:$AQ$537))</f>
        <v>-1.0695404326640234</v>
      </c>
      <c r="AS479" s="47" t="str">
        <f>IF(AND(Z479&lt;&gt;"-",Y479&gt;1),"C",IF(AB479=MAX(AB479:AD479),"2B",IF(AD479=MAX(AB479:AD479),"SS",IF(OR(AC479=MAX(AA479:AD479),AND(AC479&lt;&gt;"-",AC479&gt;4,V479&gt;5)),"3B",IF(AF479=MAX(AE479:AG479),"CF",IF(AND(AG479=MAX(AE479,AG479),AND(W479&gt;5,AG479&lt;&gt;"-")),"RF",IF(AE479&lt;&gt;"-","LF",IF(AA479&lt;&gt;"-","1B","DH"))))))))</f>
        <v>2B</v>
      </c>
      <c r="AT479" s="47"/>
      <c r="AU479" s="47"/>
      <c r="AV479" s="47"/>
      <c r="AW479" s="47" t="str">
        <f>IF(AND($Q479&gt;=6,AVERAGE($S479:$T479)&gt;=6),"Likely",IF(OR($Q479&gt;6,AND($Q479=6,AVERAGE($S479:$T479)&gt;=3),AND($Q479&gt;=5,AVERAGE($S479:$T479)&gt;=5),AVERAGE($Q479,$S479:$T479)&gt;5),"Possible","Unlikely"))</f>
        <v>Unlikely</v>
      </c>
      <c r="AX479" s="47"/>
      <c r="AY479" s="47" t="str">
        <f>INDEX(Table5[[#All],[Ovr]],MATCH(Batters[[#This Row],[PID]],Table5[[#All],[PID]],0))</f>
        <v/>
      </c>
      <c r="AZ479" s="47" t="str">
        <f>INDEX(Table5[[#All],[Rnd]],MATCH(Batters[[#This Row],[PID]],Table5[[#All],[PID]],0))</f>
        <v/>
      </c>
      <c r="BA479" s="47" t="str">
        <f>INDEX(Table5[[#All],[Pick]],MATCH(Batters[[#This Row],[PID]],Table5[[#All],[PID]],0))</f>
        <v/>
      </c>
      <c r="BB479" s="47" t="str">
        <f>INDEX(Table5[[#All],[Team]],MATCH(Batters[[#This Row],[PID]],Table5[[#All],[PID]],0))</f>
        <v/>
      </c>
    </row>
    <row r="480" spans="1:54" ht="15" customHeight="1" x14ac:dyDescent="0.25">
      <c r="A480" s="42">
        <v>17989</v>
      </c>
      <c r="B480" s="42" t="s">
        <v>66</v>
      </c>
      <c r="C480" s="42" t="s">
        <v>152</v>
      </c>
      <c r="D480" s="42" t="s">
        <v>432</v>
      </c>
      <c r="E480" s="42">
        <v>20</v>
      </c>
      <c r="F480" s="42" t="s">
        <v>42</v>
      </c>
      <c r="G480" s="42" t="s">
        <v>42</v>
      </c>
      <c r="H480" s="43" t="s">
        <v>711</v>
      </c>
      <c r="I480" s="44" t="s">
        <v>47</v>
      </c>
      <c r="J480" s="42" t="s">
        <v>47</v>
      </c>
      <c r="K480" s="43" t="s">
        <v>43</v>
      </c>
      <c r="L480" s="42">
        <v>1</v>
      </c>
      <c r="M480" s="42">
        <v>2</v>
      </c>
      <c r="N480" s="42">
        <v>2</v>
      </c>
      <c r="O480" s="42">
        <v>1</v>
      </c>
      <c r="P480" s="43">
        <v>1</v>
      </c>
      <c r="Q480" s="42">
        <v>2</v>
      </c>
      <c r="R480" s="42">
        <v>5</v>
      </c>
      <c r="S480" s="42">
        <v>4</v>
      </c>
      <c r="T480" s="42">
        <v>4</v>
      </c>
      <c r="U480" s="43">
        <v>1</v>
      </c>
      <c r="V480" s="42">
        <v>3</v>
      </c>
      <c r="W480" s="42">
        <v>6</v>
      </c>
      <c r="X480" s="42">
        <v>1</v>
      </c>
      <c r="Y480" s="43">
        <v>1</v>
      </c>
      <c r="Z480" s="42" t="s">
        <v>45</v>
      </c>
      <c r="AA480" s="42">
        <v>2</v>
      </c>
      <c r="AB480" s="42" t="s">
        <v>45</v>
      </c>
      <c r="AC480" s="42" t="s">
        <v>45</v>
      </c>
      <c r="AD480" s="42" t="s">
        <v>45</v>
      </c>
      <c r="AE480" s="42">
        <v>3</v>
      </c>
      <c r="AF480" s="42" t="s">
        <v>45</v>
      </c>
      <c r="AG480" s="43">
        <v>3</v>
      </c>
      <c r="AH480" s="42">
        <v>3</v>
      </c>
      <c r="AI480" s="42">
        <v>3</v>
      </c>
      <c r="AJ480" s="43">
        <v>2</v>
      </c>
      <c r="AK480" s="45" t="s">
        <v>45</v>
      </c>
      <c r="AL480" s="45" t="s">
        <v>705</v>
      </c>
      <c r="AM480" s="46">
        <f>($L$3*(L480-$Q$1)/$Q$2+$M$3*(M480-$R$1)/$R$2+$N$3*(N480-$S$1)/$S$2+$O$3*(O480-$T$1)/$T$2+$P$3*(P480-$U$1)/$U$2)/(SUM($L$3:$P$3))</f>
        <v>-1.9502219761849671</v>
      </c>
      <c r="AN480" s="46">
        <f>($L$3*(Q480-$Q$1)/$Q$2+$M$3*(R480-$R$1)/$R$2+$N$3*(S480-$S$1)/$S$2+$O$3*(T480-$T$1)/$T$2+$P$3*(U480-$U$1)/$U$2)/(SUM($L$3:$P$3))</f>
        <v>-1.0392348630496357</v>
      </c>
      <c r="AO480" s="47">
        <f>IF(AVERAGE(AH480:AI480)&gt;9,1,0)+IF(AVERAGE(AH480:AI480)&gt;7,1,0)+IF(AH480&gt;7,1,0)+IF(AI480&gt;7,1,0)+IF(AJ480&gt;8,1,0)+IF(AJ480&gt;6,1,0)</f>
        <v>0</v>
      </c>
      <c r="AP480" s="48">
        <f>MIN(2,IF(OR(Z480="-",X480&lt;5),0,1+IF(Y480&gt;7,0.35,IF(Y480&gt;5,0.1,0))+IF(Z480&gt;7,1+IF(X480&gt;7,0.25,0),IF(Z480&gt;4,0.5+IF(X480&gt;7,0.25,0),0+IF(X480&gt;7,0.25))))+IF(AA480="-",0,IF(AA480&gt;9,0.5,IF(AA480&gt;7,0.25,0)))+IF(AB480="-",0,IF(AB480&gt;7,1.1,IF(AB480&gt;4,0.6,0)))+IF(OR(AC480="-",V480&lt;5),0,IF(AC480&gt;7,1+IF(V480&gt;7,0.25,0),IF(AC480&gt;4,0.5+IF(V480&gt;7,0.25,0),0)))+IF(AD480="-",0,IF(AD480&gt;7,1.5,IF(AD480&gt;4,1,0)))+IF(AE480="-",0,IF(AE480&gt;9,0.5,IF(AE480&gt;7,0.25,0)))+IF(AF480="-",0,IF(AF480&gt;7,1.25,IF(AF480&gt;4,0.75,0)))+IF(OR(AG480="-",W480&lt;4),0,IF(AG480&gt;7,1+IF(W480&gt;7,0.15,0),IF(AG480&gt;4,0.5+IF(W480&gt;7,0.15,0),0))))</f>
        <v>0</v>
      </c>
      <c r="AQ480" s="46">
        <f>($AM$3*AM480+$AN$3*AN480+$AO$3*AO480+$AP$3*AP480)+$I$3*VLOOKUP(I480,COND!$A$2:$E$7,4,FALSE)+$J$3*VLOOKUP(J480,COND!$A$2:$C$7,2,FALSE)+$K$3*VLOOKUP(K480,COND!$A$2:$C$7,3,FALSE)+IF(AND($B$2&gt;0,$E480&lt;20),$B$2*25,0)</f>
        <v>32.85915944578587</v>
      </c>
      <c r="AR480" s="49">
        <f>STANDARDIZE(AQ480,AVERAGE($AQ$5:$AQ$537),STDEVP($AQ$5:$AQ$537))</f>
        <v>-1.3176552434327817</v>
      </c>
      <c r="AS480" s="47" t="str">
        <f>IF(AND(Z480&lt;&gt;"-",Y480&gt;1),"C",IF(AB480=MAX(AB480:AD480),"2B",IF(AD480=MAX(AB480:AD480),"SS",IF(OR(AC480=MAX(AA480:AD480),AND(AC480&lt;&gt;"-",AC480&gt;4,V480&gt;5)),"3B",IF(AF480=MAX(AE480:AG480),"CF",IF(AND(AG480=MAX(AE480,AG480),AND(W480&gt;5,AG480&lt;&gt;"-")),"RF",IF(AE480&lt;&gt;"-","LF",IF(AA480&lt;&gt;"-","1B","DH"))))))))</f>
        <v>RF</v>
      </c>
      <c r="AT480" s="47"/>
      <c r="AU480" s="47"/>
      <c r="AV480" s="47"/>
      <c r="AW480" s="47" t="str">
        <f>IF(AND($Q480&gt;=6,AVERAGE($S480:$T480)&gt;=6),"Likely",IF(OR($Q480&gt;6,AND($Q480=6,AVERAGE($S480:$T480)&gt;=3),AND($Q480&gt;=5,AVERAGE($S480:$T480)&gt;=5),AVERAGE($Q480,$S480:$T480)&gt;5),"Possible","Unlikely"))</f>
        <v>Unlikely</v>
      </c>
      <c r="AX480" s="47"/>
      <c r="AY480" s="47" t="str">
        <f>INDEX(Table5[[#All],[Ovr]],MATCH(Batters[[#This Row],[PID]],Table5[[#All],[PID]],0))</f>
        <v/>
      </c>
      <c r="AZ480" s="47" t="str">
        <f>INDEX(Table5[[#All],[Rnd]],MATCH(Batters[[#This Row],[PID]],Table5[[#All],[PID]],0))</f>
        <v/>
      </c>
      <c r="BA480" s="47" t="str">
        <f>INDEX(Table5[[#All],[Pick]],MATCH(Batters[[#This Row],[PID]],Table5[[#All],[PID]],0))</f>
        <v/>
      </c>
      <c r="BB480" s="47" t="str">
        <f>INDEX(Table5[[#All],[Team]],MATCH(Batters[[#This Row],[PID]],Table5[[#All],[PID]],0))</f>
        <v/>
      </c>
    </row>
    <row r="481" spans="1:54" ht="15" customHeight="1" x14ac:dyDescent="0.25">
      <c r="A481" s="42">
        <v>18045</v>
      </c>
      <c r="B481" s="42" t="s">
        <v>86</v>
      </c>
      <c r="C481" s="42" t="s">
        <v>1215</v>
      </c>
      <c r="D481" s="42" t="s">
        <v>816</v>
      </c>
      <c r="E481" s="42">
        <v>21</v>
      </c>
      <c r="F481" s="42" t="s">
        <v>42</v>
      </c>
      <c r="G481" s="42" t="s">
        <v>42</v>
      </c>
      <c r="H481" s="43" t="s">
        <v>709</v>
      </c>
      <c r="I481" s="44" t="s">
        <v>44</v>
      </c>
      <c r="J481" s="42" t="s">
        <v>43</v>
      </c>
      <c r="K481" s="43" t="s">
        <v>43</v>
      </c>
      <c r="L481" s="42">
        <v>1</v>
      </c>
      <c r="M481" s="42">
        <v>2</v>
      </c>
      <c r="N481" s="42">
        <v>2</v>
      </c>
      <c r="O481" s="42">
        <v>2</v>
      </c>
      <c r="P481" s="43">
        <v>1</v>
      </c>
      <c r="Q481" s="42">
        <v>2</v>
      </c>
      <c r="R481" s="42">
        <v>4</v>
      </c>
      <c r="S481" s="42">
        <v>3</v>
      </c>
      <c r="T481" s="42">
        <v>5</v>
      </c>
      <c r="U481" s="43">
        <v>2</v>
      </c>
      <c r="V481" s="42">
        <v>4</v>
      </c>
      <c r="W481" s="42">
        <v>5</v>
      </c>
      <c r="X481" s="42">
        <v>6</v>
      </c>
      <c r="Y481" s="43">
        <v>8</v>
      </c>
      <c r="Z481" s="42">
        <v>3</v>
      </c>
      <c r="AA481" s="42" t="s">
        <v>45</v>
      </c>
      <c r="AB481" s="42" t="s">
        <v>45</v>
      </c>
      <c r="AC481" s="42" t="s">
        <v>45</v>
      </c>
      <c r="AD481" s="42" t="s">
        <v>45</v>
      </c>
      <c r="AE481" s="42" t="s">
        <v>45</v>
      </c>
      <c r="AF481" s="42" t="s">
        <v>45</v>
      </c>
      <c r="AG481" s="43" t="s">
        <v>45</v>
      </c>
      <c r="AH481" s="42">
        <v>2</v>
      </c>
      <c r="AI481" s="42">
        <v>4</v>
      </c>
      <c r="AJ481" s="43">
        <v>4</v>
      </c>
      <c r="AK481" s="45" t="s">
        <v>45</v>
      </c>
      <c r="AL481" s="45" t="s">
        <v>47</v>
      </c>
      <c r="AM481" s="46">
        <f>($L$3*(L481-$Q$1)/$Q$2+$M$3*(M481-$R$1)/$R$2+$N$3*(N481-$S$1)/$S$2+$O$3*(O481-$T$1)/$T$2+$P$3*(P481-$U$1)/$U$2)/(SUM($L$3:$P$3))</f>
        <v>-1.8605124261753858</v>
      </c>
      <c r="AN481" s="46">
        <f>($L$3*(Q481-$Q$1)/$Q$2+$M$3*(R481-$R$1)/$R$2+$N$3*(S481-$S$1)/$S$2+$O$3*(T481-$T$1)/$T$2+$P$3*(U481-$U$1)/$U$2)/(SUM($L$3:$P$3))</f>
        <v>-1.0436303468655763</v>
      </c>
      <c r="AO481" s="47">
        <f>IF(AVERAGE(AH481:AI481)&gt;9,1,0)+IF(AVERAGE(AH481:AI481)&gt;7,1,0)+IF(AH481&gt;7,1,0)+IF(AI481&gt;7,1,0)+IF(AJ481&gt;8,1,0)+IF(AJ481&gt;6,1,0)</f>
        <v>0</v>
      </c>
      <c r="AP481" s="48">
        <f>MIN(2,IF(OR(Z481="-",X481&lt;5),0,1+IF(Y481&gt;7,0.35,IF(Y481&gt;5,0.1,0))+IF(Z481&gt;7,1+IF(X481&gt;7,0.25,0),IF(Z481&gt;4,0.5+IF(X481&gt;7,0.25,0),0+IF(X481&gt;7,0.25))))+IF(AA481="-",0,IF(AA481&gt;9,0.5,IF(AA481&gt;7,0.25,0)))+IF(AB481="-",0,IF(AB481&gt;7,1.1,IF(AB481&gt;4,0.6,0)))+IF(OR(AC481="-",V481&lt;5),0,IF(AC481&gt;7,1+IF(V481&gt;7,0.25,0),IF(AC481&gt;4,0.5+IF(V481&gt;7,0.25,0),0)))+IF(AD481="-",0,IF(AD481&gt;7,1.5,IF(AD481&gt;4,1,0)))+IF(AE481="-",0,IF(AE481&gt;9,0.5,IF(AE481&gt;7,0.25,0)))+IF(AF481="-",0,IF(AF481&gt;7,1.25,IF(AF481&gt;4,0.75,0)))+IF(OR(AG481="-",W481&lt;4),0,IF(AG481&gt;7,1+IF(W481&gt;7,0.15,0),IF(AG481&gt;4,0.5+IF(W481&gt;7,0.15,0),0))))</f>
        <v>1.35</v>
      </c>
      <c r="AQ481" s="46">
        <f>($AM$3*AM481+$AN$3*AN481+$AO$3*AO481+$AP$3*AP481)+$I$3*VLOOKUP(I481,COND!$A$2:$E$7,4,FALSE)+$J$3*VLOOKUP(J481,COND!$A$2:$C$7,2,FALSE)+$K$3*VLOOKUP(K481,COND!$A$2:$C$7,3,FALSE)+IF(AND($B$2&gt;0,$E481&lt;20),$B$2*25,0)</f>
        <v>33.490384594995547</v>
      </c>
      <c r="AR481" s="49">
        <f>STANDARDIZE(AQ481,AVERAGE($AQ$5:$AQ$537),STDEVP($AQ$5:$AQ$537))</f>
        <v>-1.2065953737431803</v>
      </c>
      <c r="AS481" s="47" t="str">
        <f>IF(AND(Z481&lt;&gt;"-",Y481&gt;1),"C",IF(AB481=MAX(AB481:AD481),"2B",IF(AD481=MAX(AB481:AD481),"SS",IF(OR(AC481=MAX(AA481:AD481),AND(AC481&lt;&gt;"-",AC481&gt;4,V481&gt;5)),"3B",IF(AF481=MAX(AE481:AG481),"CF",IF(AND(AG481=MAX(AE481,AG481),AND(W481&gt;5,AG481&lt;&gt;"-")),"RF",IF(AE481&lt;&gt;"-","LF",IF(AA481&lt;&gt;"-","1B","DH"))))))))</f>
        <v>C</v>
      </c>
      <c r="AT481" s="47"/>
      <c r="AU481" s="47"/>
      <c r="AV481" s="47"/>
      <c r="AW481" s="47" t="str">
        <f>IF(AND($Q481&gt;=6,AVERAGE($S481:$T481)&gt;=6),"Likely",IF(OR($Q481&gt;6,AND($Q481=6,AVERAGE($S481:$T481)&gt;=3),AND($Q481&gt;=5,AVERAGE($S481:$T481)&gt;=5),AVERAGE($Q481,$S481:$T481)&gt;5),"Possible","Unlikely"))</f>
        <v>Unlikely</v>
      </c>
      <c r="AX481" s="47"/>
      <c r="AY481" s="47" t="str">
        <f>INDEX(Table5[[#All],[Ovr]],MATCH(Batters[[#This Row],[PID]],Table5[[#All],[PID]],0))</f>
        <v/>
      </c>
      <c r="AZ481" s="47" t="str">
        <f>INDEX(Table5[[#All],[Rnd]],MATCH(Batters[[#This Row],[PID]],Table5[[#All],[PID]],0))</f>
        <v/>
      </c>
      <c r="BA481" s="47" t="str">
        <f>INDEX(Table5[[#All],[Pick]],MATCH(Batters[[#This Row],[PID]],Table5[[#All],[PID]],0))</f>
        <v/>
      </c>
      <c r="BB481" s="47" t="str">
        <f>INDEX(Table5[[#All],[Team]],MATCH(Batters[[#This Row],[PID]],Table5[[#All],[PID]],0))</f>
        <v/>
      </c>
    </row>
    <row r="482" spans="1:54" ht="15" customHeight="1" x14ac:dyDescent="0.25">
      <c r="A482" s="42">
        <v>9585</v>
      </c>
      <c r="B482" s="42" t="s">
        <v>50</v>
      </c>
      <c r="C482" s="42" t="s">
        <v>137</v>
      </c>
      <c r="D482" s="42" t="s">
        <v>776</v>
      </c>
      <c r="E482" s="42">
        <v>22</v>
      </c>
      <c r="F482" s="42" t="s">
        <v>42</v>
      </c>
      <c r="G482" s="42" t="s">
        <v>42</v>
      </c>
      <c r="H482" s="43" t="s">
        <v>711</v>
      </c>
      <c r="I482" s="44" t="s">
        <v>43</v>
      </c>
      <c r="J482" s="42" t="s">
        <v>44</v>
      </c>
      <c r="K482" s="43" t="s">
        <v>43</v>
      </c>
      <c r="L482" s="42">
        <v>2</v>
      </c>
      <c r="M482" s="42">
        <v>2</v>
      </c>
      <c r="N482" s="42">
        <v>2</v>
      </c>
      <c r="O482" s="42">
        <v>2</v>
      </c>
      <c r="P482" s="43">
        <v>3</v>
      </c>
      <c r="Q482" s="42">
        <v>3</v>
      </c>
      <c r="R482" s="42">
        <v>3</v>
      </c>
      <c r="S482" s="42">
        <v>3</v>
      </c>
      <c r="T482" s="42">
        <v>3</v>
      </c>
      <c r="U482" s="43">
        <v>4</v>
      </c>
      <c r="V482" s="42">
        <v>5</v>
      </c>
      <c r="W482" s="42">
        <v>8</v>
      </c>
      <c r="X482" s="42">
        <v>1</v>
      </c>
      <c r="Y482" s="43">
        <v>1</v>
      </c>
      <c r="Z482" s="42" t="s">
        <v>45</v>
      </c>
      <c r="AA482" s="42" t="s">
        <v>45</v>
      </c>
      <c r="AB482" s="42" t="s">
        <v>45</v>
      </c>
      <c r="AC482" s="42" t="s">
        <v>45</v>
      </c>
      <c r="AD482" s="42" t="s">
        <v>45</v>
      </c>
      <c r="AE482" s="42">
        <v>1</v>
      </c>
      <c r="AF482" s="42" t="s">
        <v>45</v>
      </c>
      <c r="AG482" s="43" t="s">
        <v>45</v>
      </c>
      <c r="AH482" s="42">
        <v>2</v>
      </c>
      <c r="AI482" s="42">
        <v>2</v>
      </c>
      <c r="AJ482" s="43">
        <v>1</v>
      </c>
      <c r="AK482" s="45" t="s">
        <v>45</v>
      </c>
      <c r="AL482" s="45" t="s">
        <v>705</v>
      </c>
      <c r="AM482" s="46">
        <f>($L$3*(L482-$Q$1)/$Q$2+$M$3*(M482-$R$1)/$R$2+$N$3*(N482-$S$1)/$S$2+$O$3*(O482-$T$1)/$T$2+$P$3*(P482-$U$1)/$U$2)/(SUM($L$3:$P$3))</f>
        <v>-1.4579239103385446</v>
      </c>
      <c r="AN482" s="46">
        <f>($L$3*(Q482-$Q$1)/$Q$2+$M$3*(R482-$R$1)/$R$2+$N$3*(S482-$S$1)/$S$2+$O$3*(T482-$T$1)/$T$2+$P$3*(U482-$U$1)/$U$2)/(SUM($L$3:$P$3))</f>
        <v>-0.87152081066660003</v>
      </c>
      <c r="AO482" s="47">
        <f>IF(AVERAGE(AH482:AI482)&gt;9,1,0)+IF(AVERAGE(AH482:AI482)&gt;7,1,0)+IF(AH482&gt;7,1,0)+IF(AI482&gt;7,1,0)+IF(AJ482&gt;8,1,0)+IF(AJ482&gt;6,1,0)</f>
        <v>0</v>
      </c>
      <c r="AP482" s="48">
        <f>MIN(2,IF(OR(Z482="-",X482&lt;5),0,1+IF(Y482&gt;7,0.35,IF(Y482&gt;5,0.1,0))+IF(Z482&gt;7,1+IF(X482&gt;7,0.25,0),IF(Z482&gt;4,0.5+IF(X482&gt;7,0.25,0),0+IF(X482&gt;7,0.25))))+IF(AA482="-",0,IF(AA482&gt;9,0.5,IF(AA482&gt;7,0.25,0)))+IF(AB482="-",0,IF(AB482&gt;7,1.1,IF(AB482&gt;4,0.6,0)))+IF(OR(AC482="-",V482&lt;5),0,IF(AC482&gt;7,1+IF(V482&gt;7,0.25,0),IF(AC482&gt;4,0.5+IF(V482&gt;7,0.25,0),0)))+IF(AD482="-",0,IF(AD482&gt;7,1.5,IF(AD482&gt;4,1,0)))+IF(AE482="-",0,IF(AE482&gt;9,0.5,IF(AE482&gt;7,0.25,0)))+IF(AF482="-",0,IF(AF482&gt;7,1.25,IF(AF482&gt;4,0.75,0)))+IF(OR(AG482="-",W482&lt;4),0,IF(AG482&gt;7,1+IF(W482&gt;7,0.15,0),IF(AG482&gt;4,0.5+IF(W482&gt;7,0.15,0),0))))</f>
        <v>0</v>
      </c>
      <c r="AQ482" s="46">
        <f>($AM$3*AM482+$AN$3*AN482+$AO$3*AO482+$AP$3*AP482)+$I$3*VLOOKUP(I482,COND!$A$2:$E$7,4,FALSE)+$J$3*VLOOKUP(J482,COND!$A$2:$C$7,2,FALSE)+$K$3*VLOOKUP(K482,COND!$A$2:$C$7,3,FALSE)+IF(AND($B$2&gt;0,$E482&lt;20),$B$2*25,0)</f>
        <v>34.095957880966942</v>
      </c>
      <c r="AR482" s="49">
        <f>STANDARDIZE(AQ482,AVERAGE($AQ$5:$AQ$537),STDEVP($AQ$5:$AQ$537))</f>
        <v>-1.1000487789002893</v>
      </c>
      <c r="AS482" s="47" t="str">
        <f>IF(AND(Z482&lt;&gt;"-",Y482&gt;1),"C",IF(AB482=MAX(AB482:AD482),"2B",IF(AD482=MAX(AB482:AD482),"SS",IF(OR(AC482=MAX(AA482:AD482),AND(AC482&lt;&gt;"-",AC482&gt;4,V482&gt;5)),"3B",IF(AF482=MAX(AE482:AG482),"CF",IF(AND(AG482=MAX(AE482,AG482),AND(W482&gt;5,AG482&lt;&gt;"-")),"RF",IF(AE482&lt;&gt;"-","LF",IF(AA482&lt;&gt;"-","1B","DH"))))))))</f>
        <v>LF</v>
      </c>
      <c r="AT482" s="47"/>
      <c r="AU482" s="47"/>
      <c r="AV482" s="47"/>
      <c r="AW482" s="47" t="str">
        <f>IF(AND($Q482&gt;=6,AVERAGE($S482:$T482)&gt;=6),"Likely",IF(OR($Q482&gt;6,AND($Q482=6,AVERAGE($S482:$T482)&gt;=3),AND($Q482&gt;=5,AVERAGE($S482:$T482)&gt;=5),AVERAGE($Q482,$S482:$T482)&gt;5),"Possible","Unlikely"))</f>
        <v>Unlikely</v>
      </c>
      <c r="AX482" s="47"/>
      <c r="AY482" s="47" t="str">
        <f>INDEX(Table5[[#All],[Ovr]],MATCH(Batters[[#This Row],[PID]],Table5[[#All],[PID]],0))</f>
        <v/>
      </c>
      <c r="AZ482" s="47" t="str">
        <f>INDEX(Table5[[#All],[Rnd]],MATCH(Batters[[#This Row],[PID]],Table5[[#All],[PID]],0))</f>
        <v/>
      </c>
      <c r="BA482" s="47" t="str">
        <f>INDEX(Table5[[#All],[Pick]],MATCH(Batters[[#This Row],[PID]],Table5[[#All],[PID]],0))</f>
        <v/>
      </c>
      <c r="BB482" s="47" t="str">
        <f>INDEX(Table5[[#All],[Team]],MATCH(Batters[[#This Row],[PID]],Table5[[#All],[PID]],0))</f>
        <v/>
      </c>
    </row>
    <row r="483" spans="1:54" ht="15" customHeight="1" x14ac:dyDescent="0.25">
      <c r="A483" s="42">
        <v>1242</v>
      </c>
      <c r="B483" s="42" t="s">
        <v>87</v>
      </c>
      <c r="C483" s="42" t="s">
        <v>1368</v>
      </c>
      <c r="D483" s="42" t="s">
        <v>1369</v>
      </c>
      <c r="E483" s="42">
        <v>18</v>
      </c>
      <c r="F483" s="42" t="s">
        <v>42</v>
      </c>
      <c r="G483" s="42" t="s">
        <v>42</v>
      </c>
      <c r="H483" s="43" t="s">
        <v>721</v>
      </c>
      <c r="I483" s="44" t="s">
        <v>43</v>
      </c>
      <c r="J483" s="42" t="s">
        <v>43</v>
      </c>
      <c r="K483" s="43" t="s">
        <v>44</v>
      </c>
      <c r="L483" s="42">
        <v>1</v>
      </c>
      <c r="M483" s="42">
        <v>1</v>
      </c>
      <c r="N483" s="42">
        <v>2</v>
      </c>
      <c r="O483" s="42">
        <v>1</v>
      </c>
      <c r="P483" s="43">
        <v>1</v>
      </c>
      <c r="Q483" s="42">
        <v>2</v>
      </c>
      <c r="R483" s="42">
        <v>2</v>
      </c>
      <c r="S483" s="42">
        <v>3</v>
      </c>
      <c r="T483" s="42">
        <v>3</v>
      </c>
      <c r="U483" s="43">
        <v>3</v>
      </c>
      <c r="V483" s="42">
        <v>4</v>
      </c>
      <c r="W483" s="42">
        <v>3</v>
      </c>
      <c r="X483" s="42">
        <v>1</v>
      </c>
      <c r="Y483" s="43">
        <v>1</v>
      </c>
      <c r="Z483" s="42" t="s">
        <v>45</v>
      </c>
      <c r="AA483" s="42">
        <v>5</v>
      </c>
      <c r="AB483" s="42">
        <v>1</v>
      </c>
      <c r="AC483" s="42" t="s">
        <v>45</v>
      </c>
      <c r="AD483" s="42" t="s">
        <v>45</v>
      </c>
      <c r="AE483" s="42" t="s">
        <v>45</v>
      </c>
      <c r="AF483" s="42" t="s">
        <v>45</v>
      </c>
      <c r="AG483" s="43" t="s">
        <v>45</v>
      </c>
      <c r="AH483" s="42">
        <v>7</v>
      </c>
      <c r="AI483" s="42">
        <v>6</v>
      </c>
      <c r="AJ483" s="43">
        <v>6</v>
      </c>
      <c r="AK483" s="45" t="s">
        <v>718</v>
      </c>
      <c r="AL483" s="45" t="s">
        <v>705</v>
      </c>
      <c r="AM483" s="46">
        <f>($L$3*(L483-$Q$1)/$Q$2+$M$3*(M483-$R$1)/$R$2+$N$3*(N483-$S$1)/$S$2+$O$3*(O483-$T$1)/$T$2+$P$3*(P483-$U$1)/$U$2)/(SUM($L$3:$P$3))</f>
        <v>-2.0012818558036707</v>
      </c>
      <c r="AN483" s="46">
        <f>($L$3*(Q483-$Q$1)/$Q$2+$M$3*(R483-$R$1)/$R$2+$N$3*(S483-$S$1)/$S$2+$O$3*(T483-$T$1)/$T$2+$P$3*(U483-$U$1)/$U$2)/(SUM($L$3:$P$3))</f>
        <v>-1.285152866305062</v>
      </c>
      <c r="AO483" s="47">
        <f>IF(AVERAGE(AH483:AI483)&gt;9,1,0)+IF(AVERAGE(AH483:AI483)&gt;7,1,0)+IF(AH483&gt;7,1,0)+IF(AI483&gt;7,1,0)+IF(AJ483&gt;8,1,0)+IF(AJ483&gt;6,1,0)</f>
        <v>0</v>
      </c>
      <c r="AP483" s="48">
        <f>MIN(2,IF(OR(Z483="-",X483&lt;5),0,1+IF(Y483&gt;7,0.35,IF(Y483&gt;5,0.1,0))+IF(Z483&gt;7,1+IF(X483&gt;7,0.25,0),IF(Z483&gt;4,0.5+IF(X483&gt;7,0.25,0),0+IF(X483&gt;7,0.25))))+IF(AA483="-",0,IF(AA483&gt;9,0.5,IF(AA483&gt;7,0.25,0)))+IF(AB483="-",0,IF(AB483&gt;7,1.1,IF(AB483&gt;4,0.6,0)))+IF(OR(AC483="-",V483&lt;5),0,IF(AC483&gt;7,1+IF(V483&gt;7,0.25,0),IF(AC483&gt;4,0.5+IF(V483&gt;7,0.25,0),0)))+IF(AD483="-",0,IF(AD483&gt;7,1.5,IF(AD483&gt;4,1,0)))+IF(AE483="-",0,IF(AE483&gt;9,0.5,IF(AE483&gt;7,0.25,0)))+IF(AF483="-",0,IF(AF483&gt;7,1.25,IF(AF483&gt;4,0.75,0)))+IF(OR(AG483="-",W483&lt;4),0,IF(AG483&gt;7,1+IF(W483&gt;7,0.15,0),IF(AG483&gt;4,0.5+IF(W483&gt;7,0.15,0),0))))</f>
        <v>0</v>
      </c>
      <c r="AQ483" s="46">
        <f>($AM$3*AM483+$AN$3*AN483+$AO$3*AO483+$AP$3*AP483)+$I$3*VLOOKUP(I483,COND!$A$2:$E$7,4,FALSE)+$J$3*VLOOKUP(J483,COND!$A$2:$C$7,2,FALSE)+$K$3*VLOOKUP(K483,COND!$A$2:$C$7,3,FALSE)+IF(AND($B$2&gt;0,$E483&lt;20),$B$2*25,0)</f>
        <v>34.078037418758889</v>
      </c>
      <c r="AR483" s="49">
        <f>STANDARDIZE(AQ483,AVERAGE($AQ$5:$AQ$537),STDEVP($AQ$5:$AQ$537))</f>
        <v>-1.1032017651209678</v>
      </c>
      <c r="AS483" s="47" t="str">
        <f>IF(AND(Z483&lt;&gt;"-",Y483&gt;1),"C",IF(AB483=MAX(AB483:AD483),"2B",IF(AD483=MAX(AB483:AD483),"SS",IF(OR(AC483=MAX(AA483:AD483),AND(AC483&lt;&gt;"-",AC483&gt;4,V483&gt;5)),"3B",IF(AF483=MAX(AE483:AG483),"CF",IF(AND(AG483=MAX(AE483,AG483),AND(W483&gt;5,AG483&lt;&gt;"-")),"RF",IF(AE483&lt;&gt;"-","LF",IF(AA483&lt;&gt;"-","1B","DH"))))))))</f>
        <v>2B</v>
      </c>
      <c r="AT483" s="47"/>
      <c r="AU483" s="47"/>
      <c r="AV483" s="47"/>
      <c r="AW483" s="47" t="str">
        <f>IF(AND($Q483&gt;=6,AVERAGE($S483:$T483)&gt;=6),"Likely",IF(OR($Q483&gt;6,AND($Q483=6,AVERAGE($S483:$T483)&gt;=3),AND($Q483&gt;=5,AVERAGE($S483:$T483)&gt;=5),AVERAGE($Q483,$S483:$T483)&gt;5),"Possible","Unlikely"))</f>
        <v>Unlikely</v>
      </c>
      <c r="AX483" s="47"/>
      <c r="AY483" s="47" t="str">
        <f>INDEX(Table5[[#All],[Ovr]],MATCH(Batters[[#This Row],[PID]],Table5[[#All],[PID]],0))</f>
        <v/>
      </c>
      <c r="AZ483" s="47" t="str">
        <f>INDEX(Table5[[#All],[Rnd]],MATCH(Batters[[#This Row],[PID]],Table5[[#All],[PID]],0))</f>
        <v/>
      </c>
      <c r="BA483" s="47" t="str">
        <f>INDEX(Table5[[#All],[Pick]],MATCH(Batters[[#This Row],[PID]],Table5[[#All],[PID]],0))</f>
        <v/>
      </c>
      <c r="BB483" s="47" t="str">
        <f>INDEX(Table5[[#All],[Team]],MATCH(Batters[[#This Row],[PID]],Table5[[#All],[PID]],0))</f>
        <v/>
      </c>
    </row>
    <row r="484" spans="1:54" ht="15" customHeight="1" x14ac:dyDescent="0.25">
      <c r="A484" s="42">
        <v>12599</v>
      </c>
      <c r="B484" s="42" t="s">
        <v>86</v>
      </c>
      <c r="C484" s="42" t="s">
        <v>1384</v>
      </c>
      <c r="D484" s="42" t="s">
        <v>1385</v>
      </c>
      <c r="E484" s="42">
        <v>21</v>
      </c>
      <c r="F484" s="42" t="s">
        <v>42</v>
      </c>
      <c r="G484" s="42" t="s">
        <v>42</v>
      </c>
      <c r="H484" s="43" t="s">
        <v>709</v>
      </c>
      <c r="I484" s="44" t="s">
        <v>43</v>
      </c>
      <c r="J484" s="42" t="s">
        <v>47</v>
      </c>
      <c r="K484" s="43" t="s">
        <v>43</v>
      </c>
      <c r="L484" s="42">
        <v>2</v>
      </c>
      <c r="M484" s="42">
        <v>3</v>
      </c>
      <c r="N484" s="42">
        <v>2</v>
      </c>
      <c r="O484" s="42">
        <v>1</v>
      </c>
      <c r="P484" s="43">
        <v>1</v>
      </c>
      <c r="Q484" s="42">
        <v>2</v>
      </c>
      <c r="R484" s="42">
        <v>4</v>
      </c>
      <c r="S484" s="42">
        <v>3</v>
      </c>
      <c r="T484" s="42">
        <v>4</v>
      </c>
      <c r="U484" s="43">
        <v>2</v>
      </c>
      <c r="V484" s="42">
        <v>4</v>
      </c>
      <c r="W484" s="42">
        <v>4</v>
      </c>
      <c r="X484" s="42">
        <v>7</v>
      </c>
      <c r="Y484" s="43">
        <v>6</v>
      </c>
      <c r="Z484" s="42">
        <v>3</v>
      </c>
      <c r="AA484" s="42" t="s">
        <v>45</v>
      </c>
      <c r="AB484" s="42" t="s">
        <v>45</v>
      </c>
      <c r="AC484" s="42" t="s">
        <v>45</v>
      </c>
      <c r="AD484" s="42" t="s">
        <v>45</v>
      </c>
      <c r="AE484" s="42" t="s">
        <v>45</v>
      </c>
      <c r="AF484" s="42" t="s">
        <v>45</v>
      </c>
      <c r="AG484" s="43" t="s">
        <v>45</v>
      </c>
      <c r="AH484" s="42">
        <v>2</v>
      </c>
      <c r="AI484" s="42">
        <v>5</v>
      </c>
      <c r="AJ484" s="43">
        <v>3</v>
      </c>
      <c r="AK484" s="45" t="s">
        <v>717</v>
      </c>
      <c r="AL484" s="45" t="s">
        <v>705</v>
      </c>
      <c r="AM484" s="46">
        <f>($L$3*(L484-$Q$1)/$Q$2+$M$3*(M484-$R$1)/$R$2+$N$3*(N484-$S$1)/$S$2+$O$3*(O484-$T$1)/$T$2+$P$3*(P484-$U$1)/$U$2)/(SUM($L$3:$P$3))</f>
        <v>-1.5766062603635889</v>
      </c>
      <c r="AN484" s="46">
        <f>($L$3*(Q484-$Q$1)/$Q$2+$M$3*(R484-$R$1)/$R$2+$N$3*(S484-$S$1)/$S$2+$O$3*(T484-$T$1)/$T$2+$P$3*(U484-$U$1)/$U$2)/(SUM($L$3:$P$3))</f>
        <v>-1.1333398968751573</v>
      </c>
      <c r="AO484" s="47">
        <f>IF(AVERAGE(AH484:AI484)&gt;9,1,0)+IF(AVERAGE(AH484:AI484)&gt;7,1,0)+IF(AH484&gt;7,1,0)+IF(AI484&gt;7,1,0)+IF(AJ484&gt;8,1,0)+IF(AJ484&gt;6,1,0)</f>
        <v>0</v>
      </c>
      <c r="AP484" s="48">
        <f>MIN(2,IF(OR(Z484="-",X484&lt;5),0,1+IF(Y484&gt;7,0.35,IF(Y484&gt;5,0.1,0))+IF(Z484&gt;7,1+IF(X484&gt;7,0.25,0),IF(Z484&gt;4,0.5+IF(X484&gt;7,0.25,0),0+IF(X484&gt;7,0.25))))+IF(AA484="-",0,IF(AA484&gt;9,0.5,IF(AA484&gt;7,0.25,0)))+IF(AB484="-",0,IF(AB484&gt;7,1.1,IF(AB484&gt;4,0.6,0)))+IF(OR(AC484="-",V484&lt;5),0,IF(AC484&gt;7,1+IF(V484&gt;7,0.25,0),IF(AC484&gt;4,0.5+IF(V484&gt;7,0.25,0),0)))+IF(AD484="-",0,IF(AD484&gt;7,1.5,IF(AD484&gt;4,1,0)))+IF(AE484="-",0,IF(AE484&gt;9,0.5,IF(AE484&gt;7,0.25,0)))+IF(AF484="-",0,IF(AF484&gt;7,1.25,IF(AF484&gt;4,0.75,0)))+IF(OR(AG484="-",W484&lt;4),0,IF(AG484&gt;7,1+IF(W484&gt;7,0.15,0),IF(AG484&gt;4,0.5+IF(W484&gt;7,0.15,0),0))))</f>
        <v>1.1000000000000001</v>
      </c>
      <c r="AQ484" s="46">
        <f>($AM$3*AM484+$AN$3*AN484+$AO$3*AO484+$AP$3*AP484)+$I$3*VLOOKUP(I484,COND!$A$2:$E$7,4,FALSE)+$J$3*VLOOKUP(J484,COND!$A$2:$C$7,2,FALSE)+$K$3*VLOOKUP(K484,COND!$A$2:$C$7,3,FALSE)+IF(AND($B$2&gt;0,$E484&lt;20),$B$2*25,0)</f>
        <v>32.642260611461751</v>
      </c>
      <c r="AR484" s="49">
        <f>STANDARDIZE(AQ484,AVERAGE($AQ$5:$AQ$537),STDEVP($AQ$5:$AQ$537))</f>
        <v>-1.3558171517566553</v>
      </c>
      <c r="AS484" s="47" t="str">
        <f>IF(AND(Z484&lt;&gt;"-",Y484&gt;1),"C",IF(AB484=MAX(AB484:AD484),"2B",IF(AD484=MAX(AB484:AD484),"SS",IF(OR(AC484=MAX(AA484:AD484),AND(AC484&lt;&gt;"-",AC484&gt;4,V484&gt;5)),"3B",IF(AF484=MAX(AE484:AG484),"CF",IF(AND(AG484=MAX(AE484,AG484),AND(W484&gt;5,AG484&lt;&gt;"-")),"RF",IF(AE484&lt;&gt;"-","LF",IF(AA484&lt;&gt;"-","1B","DH"))))))))</f>
        <v>C</v>
      </c>
      <c r="AT484" s="47"/>
      <c r="AU484" s="47"/>
      <c r="AV484" s="47"/>
      <c r="AW484" s="47" t="str">
        <f>IF(AND($Q484&gt;=6,AVERAGE($S484:$T484)&gt;=6),"Likely",IF(OR($Q484&gt;6,AND($Q484=6,AVERAGE($S484:$T484)&gt;=3),AND($Q484&gt;=5,AVERAGE($S484:$T484)&gt;=5),AVERAGE($Q484,$S484:$T484)&gt;5),"Possible","Unlikely"))</f>
        <v>Unlikely</v>
      </c>
      <c r="AX484" s="47"/>
      <c r="AY484" s="47" t="str">
        <f>INDEX(Table5[[#All],[Ovr]],MATCH(Batters[[#This Row],[PID]],Table5[[#All],[PID]],0))</f>
        <v/>
      </c>
      <c r="AZ484" s="47" t="str">
        <f>INDEX(Table5[[#All],[Rnd]],MATCH(Batters[[#This Row],[PID]],Table5[[#All],[PID]],0))</f>
        <v/>
      </c>
      <c r="BA484" s="47" t="str">
        <f>INDEX(Table5[[#All],[Pick]],MATCH(Batters[[#This Row],[PID]],Table5[[#All],[PID]],0))</f>
        <v/>
      </c>
      <c r="BB484" s="47" t="str">
        <f>INDEX(Table5[[#All],[Team]],MATCH(Batters[[#This Row],[PID]],Table5[[#All],[PID]],0))</f>
        <v/>
      </c>
    </row>
    <row r="485" spans="1:54" ht="15" customHeight="1" x14ac:dyDescent="0.25">
      <c r="A485" s="42">
        <v>8864</v>
      </c>
      <c r="B485" s="42" t="s">
        <v>86</v>
      </c>
      <c r="C485" s="42" t="s">
        <v>199</v>
      </c>
      <c r="D485" s="42" t="s">
        <v>889</v>
      </c>
      <c r="E485" s="42">
        <v>22</v>
      </c>
      <c r="F485" s="42" t="s">
        <v>42</v>
      </c>
      <c r="G485" s="42" t="s">
        <v>42</v>
      </c>
      <c r="H485" s="43" t="s">
        <v>711</v>
      </c>
      <c r="I485" s="44" t="s">
        <v>43</v>
      </c>
      <c r="J485" s="42" t="s">
        <v>43</v>
      </c>
      <c r="K485" s="43" t="s">
        <v>43</v>
      </c>
      <c r="L485" s="42">
        <v>1</v>
      </c>
      <c r="M485" s="42">
        <v>3</v>
      </c>
      <c r="N485" s="42">
        <v>3</v>
      </c>
      <c r="O485" s="42">
        <v>3</v>
      </c>
      <c r="P485" s="43">
        <v>1</v>
      </c>
      <c r="Q485" s="42">
        <v>2</v>
      </c>
      <c r="R485" s="42">
        <v>3</v>
      </c>
      <c r="S485" s="42">
        <v>3</v>
      </c>
      <c r="T485" s="42">
        <v>5</v>
      </c>
      <c r="U485" s="43">
        <v>2</v>
      </c>
      <c r="V485" s="42">
        <v>3</v>
      </c>
      <c r="W485" s="42">
        <v>2</v>
      </c>
      <c r="X485" s="42">
        <v>8</v>
      </c>
      <c r="Y485" s="43">
        <v>5</v>
      </c>
      <c r="Z485" s="42">
        <v>3</v>
      </c>
      <c r="AA485" s="42" t="s">
        <v>45</v>
      </c>
      <c r="AB485" s="42" t="s">
        <v>45</v>
      </c>
      <c r="AC485" s="42" t="s">
        <v>45</v>
      </c>
      <c r="AD485" s="42" t="s">
        <v>45</v>
      </c>
      <c r="AE485" s="42" t="s">
        <v>45</v>
      </c>
      <c r="AF485" s="42" t="s">
        <v>45</v>
      </c>
      <c r="AG485" s="43" t="s">
        <v>45</v>
      </c>
      <c r="AH485" s="42">
        <v>1</v>
      </c>
      <c r="AI485" s="42">
        <v>1</v>
      </c>
      <c r="AJ485" s="43">
        <v>3</v>
      </c>
      <c r="AK485" s="45" t="s">
        <v>45</v>
      </c>
      <c r="AL485" s="45" t="s">
        <v>705</v>
      </c>
      <c r="AM485" s="46">
        <f>($L$3*(L485-$Q$1)/$Q$2+$M$3*(M485-$R$1)/$R$2+$N$3*(N485-$S$1)/$S$2+$O$3*(O485-$T$1)/$T$2+$P$3*(P485-$U$1)/$U$2)/(SUM($L$3:$P$3))</f>
        <v>-1.6366815025231998</v>
      </c>
      <c r="AN485" s="46">
        <f>($L$3*(Q485-$Q$1)/$Q$2+$M$3*(R485-$R$1)/$R$2+$N$3*(S485-$S$1)/$S$2+$O$3*(T485-$T$1)/$T$2+$P$3*(U485-$U$1)/$U$2)/(SUM($L$3:$P$3))</f>
        <v>-1.0946902264842799</v>
      </c>
      <c r="AO485" s="47">
        <f>IF(AVERAGE(AH485:AI485)&gt;9,1,0)+IF(AVERAGE(AH485:AI485)&gt;7,1,0)+IF(AH485&gt;7,1,0)+IF(AI485&gt;7,1,0)+IF(AJ485&gt;8,1,0)+IF(AJ485&gt;6,1,0)</f>
        <v>0</v>
      </c>
      <c r="AP485" s="48">
        <f>MIN(2,IF(OR(Z485="-",X485&lt;5),0,1+IF(Y485&gt;7,0.35,IF(Y485&gt;5,0.1,0))+IF(Z485&gt;7,1+IF(X485&gt;7,0.25,0),IF(Z485&gt;4,0.5+IF(X485&gt;7,0.25,0),0+IF(X485&gt;7,0.25))))+IF(AA485="-",0,IF(AA485&gt;9,0.5,IF(AA485&gt;7,0.25,0)))+IF(AB485="-",0,IF(AB485&gt;7,1.1,IF(AB485&gt;4,0.6,0)))+IF(OR(AC485="-",V485&lt;5),0,IF(AC485&gt;7,1+IF(V485&gt;7,0.25,0),IF(AC485&gt;4,0.5+IF(V485&gt;7,0.25,0),0)))+IF(AD485="-",0,IF(AD485&gt;7,1.5,IF(AD485&gt;4,1,0)))+IF(AE485="-",0,IF(AE485&gt;9,0.5,IF(AE485&gt;7,0.25,0)))+IF(AF485="-",0,IF(AF485&gt;7,1.25,IF(AF485&gt;4,0.75,0)))+IF(OR(AG485="-",W485&lt;4),0,IF(AG485&gt;7,1+IF(W485&gt;7,0.15,0),IF(AG485&gt;4,0.5+IF(W485&gt;7,0.15,0),0))))</f>
        <v>1.25</v>
      </c>
      <c r="AQ485" s="46">
        <f>($AM$3*AM485+$AN$3*AN485+$AO$3*AO485+$AP$3*AP485)+$I$3*VLOOKUP(I485,COND!$A$2:$E$7,4,FALSE)+$J$3*VLOOKUP(J485,COND!$A$2:$C$7,2,FALSE)+$K$3*VLOOKUP(K485,COND!$A$2:$C$7,3,FALSE)+IF(AND($B$2&gt;0,$E485&lt;20),$B$2*25,0)</f>
        <v>32.950049131936325</v>
      </c>
      <c r="AR485" s="49">
        <f>STANDARDIZE(AQ485,AVERAGE($AQ$5:$AQ$537),STDEVP($AQ$5:$AQ$537))</f>
        <v>-1.3016638072350373</v>
      </c>
      <c r="AS485" s="47" t="str">
        <f>IF(AND(Z485&lt;&gt;"-",Y485&gt;1),"C",IF(AB485=MAX(AB485:AD485),"2B",IF(AD485=MAX(AB485:AD485),"SS",IF(OR(AC485=MAX(AA485:AD485),AND(AC485&lt;&gt;"-",AC485&gt;4,V485&gt;5)),"3B",IF(AF485=MAX(AE485:AG485),"CF",IF(AND(AG485=MAX(AE485,AG485),AND(W485&gt;5,AG485&lt;&gt;"-")),"RF",IF(AE485&lt;&gt;"-","LF",IF(AA485&lt;&gt;"-","1B","DH"))))))))</f>
        <v>C</v>
      </c>
      <c r="AT485" s="47"/>
      <c r="AU485" s="47"/>
      <c r="AV485" s="47"/>
      <c r="AW485" s="47" t="str">
        <f>IF(AND($Q485&gt;=6,AVERAGE($S485:$T485)&gt;=6),"Likely",IF(OR($Q485&gt;6,AND($Q485=6,AVERAGE($S485:$T485)&gt;=3),AND($Q485&gt;=5,AVERAGE($S485:$T485)&gt;=5),AVERAGE($Q485,$S485:$T485)&gt;5),"Possible","Unlikely"))</f>
        <v>Unlikely</v>
      </c>
      <c r="AX485" s="47"/>
      <c r="AY485" s="47" t="str">
        <f>INDEX(Table5[[#All],[Ovr]],MATCH(Batters[[#This Row],[PID]],Table5[[#All],[PID]],0))</f>
        <v/>
      </c>
      <c r="AZ485" s="47" t="str">
        <f>INDEX(Table5[[#All],[Rnd]],MATCH(Batters[[#This Row],[PID]],Table5[[#All],[PID]],0))</f>
        <v/>
      </c>
      <c r="BA485" s="47" t="str">
        <f>INDEX(Table5[[#All],[Pick]],MATCH(Batters[[#This Row],[PID]],Table5[[#All],[PID]],0))</f>
        <v/>
      </c>
      <c r="BB485" s="47" t="str">
        <f>INDEX(Table5[[#All],[Team]],MATCH(Batters[[#This Row],[PID]],Table5[[#All],[PID]],0))</f>
        <v/>
      </c>
    </row>
    <row r="486" spans="1:54" ht="15" customHeight="1" x14ac:dyDescent="0.25">
      <c r="A486" s="42">
        <v>8200</v>
      </c>
      <c r="B486" s="42" t="s">
        <v>86</v>
      </c>
      <c r="C486" s="42" t="s">
        <v>639</v>
      </c>
      <c r="D486" s="42" t="s">
        <v>706</v>
      </c>
      <c r="E486" s="42">
        <v>18</v>
      </c>
      <c r="F486" s="42" t="s">
        <v>42</v>
      </c>
      <c r="G486" s="42" t="s">
        <v>42</v>
      </c>
      <c r="H486" s="43" t="s">
        <v>711</v>
      </c>
      <c r="I486" s="44" t="s">
        <v>43</v>
      </c>
      <c r="J486" s="42" t="s">
        <v>44</v>
      </c>
      <c r="K486" s="43" t="s">
        <v>43</v>
      </c>
      <c r="L486" s="42">
        <v>1</v>
      </c>
      <c r="M486" s="42">
        <v>1</v>
      </c>
      <c r="N486" s="42">
        <v>2</v>
      </c>
      <c r="O486" s="42">
        <v>1</v>
      </c>
      <c r="P486" s="43">
        <v>1</v>
      </c>
      <c r="Q486" s="42">
        <v>2</v>
      </c>
      <c r="R486" s="42">
        <v>2</v>
      </c>
      <c r="S486" s="42">
        <v>3</v>
      </c>
      <c r="T486" s="42">
        <v>3</v>
      </c>
      <c r="U486" s="43">
        <v>2</v>
      </c>
      <c r="V486" s="42">
        <v>3</v>
      </c>
      <c r="W486" s="42">
        <v>4</v>
      </c>
      <c r="X486" s="42">
        <v>5</v>
      </c>
      <c r="Y486" s="43">
        <v>6</v>
      </c>
      <c r="Z486" s="42" t="s">
        <v>45</v>
      </c>
      <c r="AA486" s="42" t="s">
        <v>45</v>
      </c>
      <c r="AB486" s="42" t="s">
        <v>45</v>
      </c>
      <c r="AC486" s="42" t="s">
        <v>45</v>
      </c>
      <c r="AD486" s="42" t="s">
        <v>45</v>
      </c>
      <c r="AE486" s="42" t="s">
        <v>45</v>
      </c>
      <c r="AF486" s="42" t="s">
        <v>45</v>
      </c>
      <c r="AG486" s="43" t="s">
        <v>45</v>
      </c>
      <c r="AH486" s="42">
        <v>5</v>
      </c>
      <c r="AI486" s="42">
        <v>4</v>
      </c>
      <c r="AJ486" s="43">
        <v>2</v>
      </c>
      <c r="AK486" s="45" t="s">
        <v>730</v>
      </c>
      <c r="AL486" s="45" t="s">
        <v>47</v>
      </c>
      <c r="AM486" s="46">
        <f>($L$3*(L486-$Q$1)/$Q$2+$M$3*(M486-$R$1)/$R$2+$N$3*(N486-$S$1)/$S$2+$O$3*(O486-$T$1)/$T$2+$P$3*(P486-$U$1)/$U$2)/(SUM($L$3:$P$3))</f>
        <v>-2.0012818558036707</v>
      </c>
      <c r="AN486" s="46">
        <f>($L$3*(Q486-$Q$1)/$Q$2+$M$3*(R486-$R$1)/$R$2+$N$3*(S486-$S$1)/$S$2+$O$3*(T486-$T$1)/$T$2+$P$3*(U486-$U$1)/$U$2)/(SUM($L$3:$P$3))</f>
        <v>-1.3251692061221452</v>
      </c>
      <c r="AO486" s="47">
        <f>IF(AVERAGE(AH486:AI486)&gt;9,1,0)+IF(AVERAGE(AH486:AI486)&gt;7,1,0)+IF(AH486&gt;7,1,0)+IF(AI486&gt;7,1,0)+IF(AJ486&gt;8,1,0)+IF(AJ486&gt;6,1,0)</f>
        <v>0</v>
      </c>
      <c r="AP486" s="48">
        <f>MIN(2,IF(OR(Z486="-",X486&lt;5),0,1+IF(Y486&gt;7,0.35,IF(Y486&gt;5,0.1,0))+IF(Z486&gt;7,1+IF(X486&gt;7,0.25,0),IF(Z486&gt;4,0.5+IF(X486&gt;7,0.25,0),0+IF(X486&gt;7,0.25))))+IF(AA486="-",0,IF(AA486&gt;9,0.5,IF(AA486&gt;7,0.25,0)))+IF(AB486="-",0,IF(AB486&gt;7,1.1,IF(AB486&gt;4,0.6,0)))+IF(OR(AC486="-",V486&lt;5),0,IF(AC486&gt;7,1+IF(V486&gt;7,0.25,0),IF(AC486&gt;4,0.5+IF(V486&gt;7,0.25,0),0)))+IF(AD486="-",0,IF(AD486&gt;7,1.5,IF(AD486&gt;4,1,0)))+IF(AE486="-",0,IF(AE486&gt;9,0.5,IF(AE486&gt;7,0.25,0)))+IF(AF486="-",0,IF(AF486&gt;7,1.25,IF(AF486&gt;4,0.75,0)))+IF(OR(AG486="-",W486&lt;4),0,IF(AG486&gt;7,1+IF(W486&gt;7,0.15,0),IF(AG486&gt;4,0.5+IF(W486&gt;7,0.15,0),0))))</f>
        <v>0</v>
      </c>
      <c r="AQ486" s="46">
        <f>($AM$3*AM486+$AN$3*AN486+$AO$3*AO486+$AP$3*AP486)+$I$3*VLOOKUP(I486,COND!$A$2:$E$7,4,FALSE)+$J$3*VLOOKUP(J486,COND!$A$2:$C$7,2,FALSE)+$K$3*VLOOKUP(K486,COND!$A$2:$C$7,3,FALSE)+IF(AND($B$2&gt;0,$E486&lt;20),$B$2*25,0)</f>
        <v>33.597841340953892</v>
      </c>
      <c r="AR486" s="49">
        <f>STANDARDIZE(AQ486,AVERAGE($AQ$5:$AQ$537),STDEVP($AQ$5:$AQ$537))</f>
        <v>-1.1876890734819432</v>
      </c>
      <c r="AS486" s="47" t="str">
        <f>IF(AND(Z486&lt;&gt;"-",Y486&gt;1),"C",IF(AB486=MAX(AB486:AD486),"2B",IF(AD486=MAX(AB486:AD486),"SS",IF(OR(AC486=MAX(AA486:AD486),AND(AC486&lt;&gt;"-",AC486&gt;4,V486&gt;5)),"3B",IF(AF486=MAX(AE486:AG486),"CF",IF(AND(AG486=MAX(AE486,AG486),AND(W486&gt;5,AG486&lt;&gt;"-")),"RF",IF(AE486&lt;&gt;"-","LF",IF(AA486&lt;&gt;"-","1B","DH"))))))))</f>
        <v>DH</v>
      </c>
      <c r="AT486" s="47"/>
      <c r="AU486" s="47"/>
      <c r="AV486" s="47"/>
      <c r="AW486" s="47" t="str">
        <f>IF(AND($Q486&gt;=6,AVERAGE($S486:$T486)&gt;=6),"Likely",IF(OR($Q486&gt;6,AND($Q486=6,AVERAGE($S486:$T486)&gt;=3),AND($Q486&gt;=5,AVERAGE($S486:$T486)&gt;=5),AVERAGE($Q486,$S486:$T486)&gt;5),"Possible","Unlikely"))</f>
        <v>Unlikely</v>
      </c>
      <c r="AX486" s="47"/>
      <c r="AY486" s="47" t="str">
        <f>INDEX(Table5[[#All],[Ovr]],MATCH(Batters[[#This Row],[PID]],Table5[[#All],[PID]],0))</f>
        <v/>
      </c>
      <c r="AZ486" s="47" t="str">
        <f>INDEX(Table5[[#All],[Rnd]],MATCH(Batters[[#This Row],[PID]],Table5[[#All],[PID]],0))</f>
        <v/>
      </c>
      <c r="BA486" s="47" t="str">
        <f>INDEX(Table5[[#All],[Pick]],MATCH(Batters[[#This Row],[PID]],Table5[[#All],[PID]],0))</f>
        <v/>
      </c>
      <c r="BB486" s="47" t="str">
        <f>INDEX(Table5[[#All],[Team]],MATCH(Batters[[#This Row],[PID]],Table5[[#All],[PID]],0))</f>
        <v/>
      </c>
    </row>
    <row r="487" spans="1:54" ht="15" customHeight="1" x14ac:dyDescent="0.25">
      <c r="A487" s="42">
        <v>10533</v>
      </c>
      <c r="B487" s="42" t="s">
        <v>86</v>
      </c>
      <c r="C487" s="42" t="s">
        <v>372</v>
      </c>
      <c r="D487" s="42" t="s">
        <v>1344</v>
      </c>
      <c r="E487" s="42">
        <v>21</v>
      </c>
      <c r="F487" s="42" t="s">
        <v>42</v>
      </c>
      <c r="G487" s="42" t="s">
        <v>42</v>
      </c>
      <c r="H487" s="43" t="s">
        <v>709</v>
      </c>
      <c r="I487" s="44" t="s">
        <v>43</v>
      </c>
      <c r="J487" s="42" t="s">
        <v>43</v>
      </c>
      <c r="K487" s="43" t="s">
        <v>43</v>
      </c>
      <c r="L487" s="42">
        <v>1</v>
      </c>
      <c r="M487" s="42">
        <v>2</v>
      </c>
      <c r="N487" s="42">
        <v>2</v>
      </c>
      <c r="O487" s="42">
        <v>3</v>
      </c>
      <c r="P487" s="43">
        <v>1</v>
      </c>
      <c r="Q487" s="42">
        <v>2</v>
      </c>
      <c r="R487" s="42">
        <v>4</v>
      </c>
      <c r="S487" s="42">
        <v>3</v>
      </c>
      <c r="T487" s="42">
        <v>5</v>
      </c>
      <c r="U487" s="43">
        <v>3</v>
      </c>
      <c r="V487" s="42">
        <v>4</v>
      </c>
      <c r="W487" s="42">
        <v>4</v>
      </c>
      <c r="X487" s="42">
        <v>5</v>
      </c>
      <c r="Y487" s="43">
        <v>7</v>
      </c>
      <c r="Z487" s="42" t="s">
        <v>45</v>
      </c>
      <c r="AA487" s="42" t="s">
        <v>45</v>
      </c>
      <c r="AB487" s="42" t="s">
        <v>45</v>
      </c>
      <c r="AC487" s="42" t="s">
        <v>45</v>
      </c>
      <c r="AD487" s="42" t="s">
        <v>45</v>
      </c>
      <c r="AE487" s="42" t="s">
        <v>45</v>
      </c>
      <c r="AF487" s="42" t="s">
        <v>45</v>
      </c>
      <c r="AG487" s="43" t="s">
        <v>45</v>
      </c>
      <c r="AH487" s="42">
        <v>1</v>
      </c>
      <c r="AI487" s="42">
        <v>1</v>
      </c>
      <c r="AJ487" s="43">
        <v>1</v>
      </c>
      <c r="AK487" s="45" t="s">
        <v>712</v>
      </c>
      <c r="AL487" s="45" t="s">
        <v>47</v>
      </c>
      <c r="AM487" s="46">
        <f>($L$3*(L487-$Q$1)/$Q$2+$M$3*(M487-$R$1)/$R$2+$N$3*(N487-$S$1)/$S$2+$O$3*(O487-$T$1)/$T$2+$P$3*(P487-$U$1)/$U$2)/(SUM($L$3:$P$3))</f>
        <v>-1.7708028761658048</v>
      </c>
      <c r="AN487" s="46">
        <f>($L$3*(Q487-$Q$1)/$Q$2+$M$3*(R487-$R$1)/$R$2+$N$3*(S487-$S$1)/$S$2+$O$3*(T487-$T$1)/$T$2+$P$3*(U487-$U$1)/$U$2)/(SUM($L$3:$P$3))</f>
        <v>-1.0036140070484929</v>
      </c>
      <c r="AO487" s="47">
        <f>IF(AVERAGE(AH487:AI487)&gt;9,1,0)+IF(AVERAGE(AH487:AI487)&gt;7,1,0)+IF(AH487&gt;7,1,0)+IF(AI487&gt;7,1,0)+IF(AJ487&gt;8,1,0)+IF(AJ487&gt;6,1,0)</f>
        <v>0</v>
      </c>
      <c r="AP487" s="48">
        <f>MIN(2,IF(OR(Z487="-",X487&lt;5),0,1+IF(Y487&gt;7,0.35,IF(Y487&gt;5,0.1,0))+IF(Z487&gt;7,1+IF(X487&gt;7,0.25,0),IF(Z487&gt;4,0.5+IF(X487&gt;7,0.25,0),0+IF(X487&gt;7,0.25))))+IF(AA487="-",0,IF(AA487&gt;9,0.5,IF(AA487&gt;7,0.25,0)))+IF(AB487="-",0,IF(AB487&gt;7,1.1,IF(AB487&gt;4,0.6,0)))+IF(OR(AC487="-",V487&lt;5),0,IF(AC487&gt;7,1+IF(V487&gt;7,0.25,0),IF(AC487&gt;4,0.5+IF(V487&gt;7,0.25,0),0)))+IF(AD487="-",0,IF(AD487&gt;7,1.5,IF(AD487&gt;4,1,0)))+IF(AE487="-",0,IF(AE487&gt;9,0.5,IF(AE487&gt;7,0.25,0)))+IF(AF487="-",0,IF(AF487&gt;7,1.25,IF(AF487&gt;4,0.75,0)))+IF(OR(AG487="-",W487&lt;4),0,IF(AG487&gt;7,1+IF(W487&gt;7,0.15,0),IF(AG487&gt;4,0.5+IF(W487&gt;7,0.15,0),0))))</f>
        <v>0</v>
      </c>
      <c r="AQ487" s="46">
        <f>($AM$3*AM487+$AN$3*AN487+$AO$3*AO487+$AP$3*AP487)+$I$3*VLOOKUP(I487,COND!$A$2:$E$7,4,FALSE)+$J$3*VLOOKUP(J487,COND!$A$2:$C$7,2,FALSE)+$K$3*VLOOKUP(K487,COND!$A$2:$C$7,3,FALSE)+IF(AND($B$2&gt;0,$E487&lt;20),$B$2*25,0)</f>
        <v>32.779551627801503</v>
      </c>
      <c r="AR487" s="49">
        <f>STANDARDIZE(AQ487,AVERAGE($AQ$5:$AQ$537),STDEVP($AQ$5:$AQ$537))</f>
        <v>-1.3316617099094217</v>
      </c>
      <c r="AS487" s="47" t="str">
        <f>IF(AND(Z487&lt;&gt;"-",Y487&gt;1),"C",IF(AB487=MAX(AB487:AD487),"2B",IF(AD487=MAX(AB487:AD487),"SS",IF(OR(AC487=MAX(AA487:AD487),AND(AC487&lt;&gt;"-",AC487&gt;4,V487&gt;5)),"3B",IF(AF487=MAX(AE487:AG487),"CF",IF(AND(AG487=MAX(AE487,AG487),AND(W487&gt;5,AG487&lt;&gt;"-")),"RF",IF(AE487&lt;&gt;"-","LF",IF(AA487&lt;&gt;"-","1B","DH"))))))))</f>
        <v>DH</v>
      </c>
      <c r="AT487" s="47"/>
      <c r="AU487" s="47"/>
      <c r="AV487" s="47"/>
      <c r="AW487" s="47" t="str">
        <f>IF(AND($Q487&gt;=6,AVERAGE($S487:$T487)&gt;=6),"Likely",IF(OR($Q487&gt;6,AND($Q487=6,AVERAGE($S487:$T487)&gt;=3),AND($Q487&gt;=5,AVERAGE($S487:$T487)&gt;=5),AVERAGE($Q487,$S487:$T487)&gt;5),"Possible","Unlikely"))</f>
        <v>Unlikely</v>
      </c>
      <c r="AX487" s="47"/>
      <c r="AY487" s="47" t="str">
        <f>INDEX(Table5[[#All],[Ovr]],MATCH(Batters[[#This Row],[PID]],Table5[[#All],[PID]],0))</f>
        <v/>
      </c>
      <c r="AZ487" s="47" t="str">
        <f>INDEX(Table5[[#All],[Rnd]],MATCH(Batters[[#This Row],[PID]],Table5[[#All],[PID]],0))</f>
        <v/>
      </c>
      <c r="BA487" s="47" t="str">
        <f>INDEX(Table5[[#All],[Pick]],MATCH(Batters[[#This Row],[PID]],Table5[[#All],[PID]],0))</f>
        <v/>
      </c>
      <c r="BB487" s="47" t="str">
        <f>INDEX(Table5[[#All],[Team]],MATCH(Batters[[#This Row],[PID]],Table5[[#All],[PID]],0))</f>
        <v/>
      </c>
    </row>
    <row r="488" spans="1:54" ht="15" customHeight="1" x14ac:dyDescent="0.25">
      <c r="A488" s="42">
        <v>9723</v>
      </c>
      <c r="B488" s="42" t="s">
        <v>87</v>
      </c>
      <c r="C488" s="42" t="s">
        <v>326</v>
      </c>
      <c r="D488" s="42" t="s">
        <v>770</v>
      </c>
      <c r="E488" s="42">
        <v>22</v>
      </c>
      <c r="F488" s="42" t="s">
        <v>53</v>
      </c>
      <c r="G488" s="42" t="s">
        <v>53</v>
      </c>
      <c r="H488" s="43" t="s">
        <v>711</v>
      </c>
      <c r="I488" s="44" t="s">
        <v>43</v>
      </c>
      <c r="J488" s="42" t="s">
        <v>43</v>
      </c>
      <c r="K488" s="43" t="s">
        <v>43</v>
      </c>
      <c r="L488" s="42">
        <v>1</v>
      </c>
      <c r="M488" s="42">
        <v>2</v>
      </c>
      <c r="N488" s="42">
        <v>3</v>
      </c>
      <c r="O488" s="42">
        <v>3</v>
      </c>
      <c r="P488" s="43">
        <v>1</v>
      </c>
      <c r="Q488" s="42">
        <v>2</v>
      </c>
      <c r="R488" s="42">
        <v>3</v>
      </c>
      <c r="S488" s="42">
        <v>4</v>
      </c>
      <c r="T488" s="42">
        <v>5</v>
      </c>
      <c r="U488" s="43">
        <v>2</v>
      </c>
      <c r="V488" s="42">
        <v>4</v>
      </c>
      <c r="W488" s="42">
        <v>4</v>
      </c>
      <c r="X488" s="42">
        <v>1</v>
      </c>
      <c r="Y488" s="43">
        <v>1</v>
      </c>
      <c r="Z488" s="42" t="s">
        <v>45</v>
      </c>
      <c r="AA488" s="42">
        <v>3</v>
      </c>
      <c r="AB488" s="42" t="s">
        <v>45</v>
      </c>
      <c r="AC488" s="42" t="s">
        <v>45</v>
      </c>
      <c r="AD488" s="42" t="s">
        <v>45</v>
      </c>
      <c r="AE488" s="42" t="s">
        <v>45</v>
      </c>
      <c r="AF488" s="42" t="s">
        <v>45</v>
      </c>
      <c r="AG488" s="43" t="s">
        <v>45</v>
      </c>
      <c r="AH488" s="42">
        <v>1</v>
      </c>
      <c r="AI488" s="42">
        <v>1</v>
      </c>
      <c r="AJ488" s="43">
        <v>1</v>
      </c>
      <c r="AK488" s="45" t="s">
        <v>45</v>
      </c>
      <c r="AL488" s="45" t="s">
        <v>705</v>
      </c>
      <c r="AM488" s="46">
        <f>($L$3*(L488-$Q$1)/$Q$2+$M$3*(M488-$R$1)/$R$2+$N$3*(N488-$S$1)/$S$2+$O$3*(O488-$T$1)/$T$2+$P$3*(P488-$U$1)/$U$2)/(SUM($L$3:$P$3))</f>
        <v>-1.6877413821419032</v>
      </c>
      <c r="AN488" s="46">
        <f>($L$3*(Q488-$Q$1)/$Q$2+$M$3*(R488-$R$1)/$R$2+$N$3*(S488-$S$1)/$S$2+$O$3*(T488-$T$1)/$T$2+$P$3*(U488-$U$1)/$U$2)/(SUM($L$3:$P$3))</f>
        <v>-1.0116287324603783</v>
      </c>
      <c r="AO488" s="47">
        <f>IF(AVERAGE(AH488:AI488)&gt;9,1,0)+IF(AVERAGE(AH488:AI488)&gt;7,1,0)+IF(AH488&gt;7,1,0)+IF(AI488&gt;7,1,0)+IF(AJ488&gt;8,1,0)+IF(AJ488&gt;6,1,0)</f>
        <v>0</v>
      </c>
      <c r="AP488" s="48">
        <f>MIN(2,IF(OR(Z488="-",X488&lt;5),0,1+IF(Y488&gt;7,0.35,IF(Y488&gt;5,0.1,0))+IF(Z488&gt;7,1+IF(X488&gt;7,0.25,0),IF(Z488&gt;4,0.5+IF(X488&gt;7,0.25,0),0+IF(X488&gt;7,0.25))))+IF(AA488="-",0,IF(AA488&gt;9,0.5,IF(AA488&gt;7,0.25,0)))+IF(AB488="-",0,IF(AB488&gt;7,1.1,IF(AB488&gt;4,0.6,0)))+IF(OR(AC488="-",V488&lt;5),0,IF(AC488&gt;7,1+IF(V488&gt;7,0.25,0),IF(AC488&gt;4,0.5+IF(V488&gt;7,0.25,0),0)))+IF(AD488="-",0,IF(AD488&gt;7,1.5,IF(AD488&gt;4,1,0)))+IF(AE488="-",0,IF(AE488&gt;9,0.5,IF(AE488&gt;7,0.25,0)))+IF(AF488="-",0,IF(AF488&gt;7,1.25,IF(AF488&gt;4,0.75,0)))+IF(OR(AG488="-",W488&lt;4),0,IF(AG488&gt;7,1+IF(W488&gt;7,0.15,0),IF(AG488&gt;4,0.5+IF(W488&gt;7,0.15,0),0))))</f>
        <v>0</v>
      </c>
      <c r="AQ488" s="46">
        <f>($AM$3*AM488+$AN$3*AN488+$AO$3*AO488+$AP$3*AP488)+$I$3*VLOOKUP(I488,COND!$A$2:$E$7,4,FALSE)+$J$3*VLOOKUP(J488,COND!$A$2:$C$7,2,FALSE)+$K$3*VLOOKUP(K488,COND!$A$2:$C$7,3,FALSE)+IF(AND($B$2&gt;0,$E488&lt;20),$B$2*25,0)</f>
        <v>32.691681072261268</v>
      </c>
      <c r="AR488" s="49">
        <f>STANDARDIZE(AQ488,AVERAGE($AQ$5:$AQ$537),STDEVP($AQ$5:$AQ$537))</f>
        <v>-1.3471219501423559</v>
      </c>
      <c r="AS488" s="47" t="str">
        <f>IF(AND(Z488&lt;&gt;"-",Y488&gt;1),"C",IF(AB488=MAX(AB488:AD488),"2B",IF(AD488=MAX(AB488:AD488),"SS",IF(OR(AC488=MAX(AA488:AD488),AND(AC488&lt;&gt;"-",AC488&gt;4,V488&gt;5)),"3B",IF(AF488=MAX(AE488:AG488),"CF",IF(AND(AG488=MAX(AE488,AG488),AND(W488&gt;5,AG488&lt;&gt;"-")),"RF",IF(AE488&lt;&gt;"-","LF",IF(AA488&lt;&gt;"-","1B","DH"))))))))</f>
        <v>1B</v>
      </c>
      <c r="AT488" s="47"/>
      <c r="AU488" s="47"/>
      <c r="AV488" s="47"/>
      <c r="AW488" s="47" t="str">
        <f>IF(AND($Q488&gt;=6,AVERAGE($S488:$T488)&gt;=6),"Likely",IF(OR($Q488&gt;6,AND($Q488=6,AVERAGE($S488:$T488)&gt;=3),AND($Q488&gt;=5,AVERAGE($S488:$T488)&gt;=5),AVERAGE($Q488,$S488:$T488)&gt;5),"Possible","Unlikely"))</f>
        <v>Unlikely</v>
      </c>
      <c r="AX488" s="47"/>
      <c r="AY488" s="47" t="str">
        <f>INDEX(Table5[[#All],[Ovr]],MATCH(Batters[[#This Row],[PID]],Table5[[#All],[PID]],0))</f>
        <v/>
      </c>
      <c r="AZ488" s="47" t="str">
        <f>INDEX(Table5[[#All],[Rnd]],MATCH(Batters[[#This Row],[PID]],Table5[[#All],[PID]],0))</f>
        <v/>
      </c>
      <c r="BA488" s="47" t="str">
        <f>INDEX(Table5[[#All],[Pick]],MATCH(Batters[[#This Row],[PID]],Table5[[#All],[PID]],0))</f>
        <v/>
      </c>
      <c r="BB488" s="47" t="str">
        <f>INDEX(Table5[[#All],[Team]],MATCH(Batters[[#This Row],[PID]],Table5[[#All],[PID]],0))</f>
        <v/>
      </c>
    </row>
    <row r="489" spans="1:54" ht="15" customHeight="1" x14ac:dyDescent="0.25">
      <c r="A489" s="42">
        <v>13337</v>
      </c>
      <c r="B489" s="42" t="s">
        <v>87</v>
      </c>
      <c r="C489" s="42" t="s">
        <v>892</v>
      </c>
      <c r="D489" s="42" t="s">
        <v>622</v>
      </c>
      <c r="E489" s="42">
        <v>22</v>
      </c>
      <c r="F489" s="42" t="s">
        <v>53</v>
      </c>
      <c r="G489" s="42" t="s">
        <v>42</v>
      </c>
      <c r="H489" s="43" t="s">
        <v>721</v>
      </c>
      <c r="I489" s="44" t="s">
        <v>44</v>
      </c>
      <c r="J489" s="42" t="s">
        <v>43</v>
      </c>
      <c r="K489" s="43" t="s">
        <v>43</v>
      </c>
      <c r="L489" s="42">
        <v>2</v>
      </c>
      <c r="M489" s="42">
        <v>4</v>
      </c>
      <c r="N489" s="42">
        <v>2</v>
      </c>
      <c r="O489" s="42">
        <v>3</v>
      </c>
      <c r="P489" s="43">
        <v>2</v>
      </c>
      <c r="Q489" s="42">
        <v>2</v>
      </c>
      <c r="R489" s="42">
        <v>4</v>
      </c>
      <c r="S489" s="42">
        <v>3</v>
      </c>
      <c r="T489" s="42">
        <v>5</v>
      </c>
      <c r="U489" s="43">
        <v>3</v>
      </c>
      <c r="V489" s="42">
        <v>6</v>
      </c>
      <c r="W489" s="42">
        <v>6</v>
      </c>
      <c r="X489" s="42">
        <v>6</v>
      </c>
      <c r="Y489" s="43">
        <v>5</v>
      </c>
      <c r="Z489" s="42" t="s">
        <v>45</v>
      </c>
      <c r="AA489" s="42">
        <v>4</v>
      </c>
      <c r="AB489" s="42" t="s">
        <v>45</v>
      </c>
      <c r="AC489" s="42" t="s">
        <v>45</v>
      </c>
      <c r="AD489" s="42" t="s">
        <v>45</v>
      </c>
      <c r="AE489" s="42" t="s">
        <v>45</v>
      </c>
      <c r="AF489" s="42" t="s">
        <v>45</v>
      </c>
      <c r="AG489" s="43" t="s">
        <v>45</v>
      </c>
      <c r="AH489" s="42">
        <v>4</v>
      </c>
      <c r="AI489" s="42">
        <v>5</v>
      </c>
      <c r="AJ489" s="43">
        <v>5</v>
      </c>
      <c r="AK489" s="45" t="s">
        <v>45</v>
      </c>
      <c r="AL489" s="45" t="s">
        <v>705</v>
      </c>
      <c r="AM489" s="46">
        <f>($L$3*(L489-$Q$1)/$Q$2+$M$3*(M489-$R$1)/$R$2+$N$3*(N489-$S$1)/$S$2+$O$3*(O489-$T$1)/$T$2+$P$3*(P489-$U$1)/$U$2)/(SUM($L$3:$P$3))</f>
        <v>-1.3061109409086398</v>
      </c>
      <c r="AN489" s="46">
        <f>($L$3*(Q489-$Q$1)/$Q$2+$M$3*(R489-$R$1)/$R$2+$N$3*(S489-$S$1)/$S$2+$O$3*(T489-$T$1)/$T$2+$P$3*(U489-$U$1)/$U$2)/(SUM($L$3:$P$3))</f>
        <v>-1.0036140070484929</v>
      </c>
      <c r="AO489" s="47">
        <f>IF(AVERAGE(AH489:AI489)&gt;9,1,0)+IF(AVERAGE(AH489:AI489)&gt;7,1,0)+IF(AH489&gt;7,1,0)+IF(AI489&gt;7,1,0)+IF(AJ489&gt;8,1,0)+IF(AJ489&gt;6,1,0)</f>
        <v>0</v>
      </c>
      <c r="AP489" s="48">
        <f>MIN(2,IF(OR(Z489="-",X489&lt;5),0,1+IF(Y489&gt;7,0.35,IF(Y489&gt;5,0.1,0))+IF(Z489&gt;7,1+IF(X489&gt;7,0.25,0),IF(Z489&gt;4,0.5+IF(X489&gt;7,0.25,0),0+IF(X489&gt;7,0.25))))+IF(AA489="-",0,IF(AA489&gt;9,0.5,IF(AA489&gt;7,0.25,0)))+IF(AB489="-",0,IF(AB489&gt;7,1.1,IF(AB489&gt;4,0.6,0)))+IF(OR(AC489="-",V489&lt;5),0,IF(AC489&gt;7,1+IF(V489&gt;7,0.25,0),IF(AC489&gt;4,0.5+IF(V489&gt;7,0.25,0),0)))+IF(AD489="-",0,IF(AD489&gt;7,1.5,IF(AD489&gt;4,1,0)))+IF(AE489="-",0,IF(AE489&gt;9,0.5,IF(AE489&gt;7,0.25,0)))+IF(AF489="-",0,IF(AF489&gt;7,1.25,IF(AF489&gt;4,0.75,0)))+IF(OR(AG489="-",W489&lt;4),0,IF(AG489&gt;7,1+IF(W489&gt;7,0.15,0),IF(AG489&gt;4,0.5+IF(W489&gt;7,0.15,0),0))))</f>
        <v>0</v>
      </c>
      <c r="AQ489" s="46">
        <f>($AM$3*AM489+$AN$3*AN489+$AO$3*AO489+$AP$3*AP489)+$I$3*VLOOKUP(I489,COND!$A$2:$E$7,4,FALSE)+$J$3*VLOOKUP(J489,COND!$A$2:$C$7,2,FALSE)+$K$3*VLOOKUP(K489,COND!$A$2:$C$7,3,FALSE)+IF(AND($B$2&gt;0,$E489&lt;20),$B$2*25,0)</f>
        <v>32.676020821327221</v>
      </c>
      <c r="AR489" s="49">
        <f>STANDARDIZE(AQ489,AVERAGE($AQ$5:$AQ$537),STDEVP($AQ$5:$AQ$537))</f>
        <v>-1.3498772672114228</v>
      </c>
      <c r="AS489" s="47" t="str">
        <f>IF(AND(Z489&lt;&gt;"-",Y489&gt;1),"C",IF(AB489=MAX(AB489:AD489),"2B",IF(AD489=MAX(AB489:AD489),"SS",IF(OR(AC489=MAX(AA489:AD489),AND(AC489&lt;&gt;"-",AC489&gt;4,V489&gt;5)),"3B",IF(AF489=MAX(AE489:AG489),"CF",IF(AND(AG489=MAX(AE489,AG489),AND(W489&gt;5,AG489&lt;&gt;"-")),"RF",IF(AE489&lt;&gt;"-","LF",IF(AA489&lt;&gt;"-","1B","DH"))))))))</f>
        <v>1B</v>
      </c>
      <c r="AT489" s="47"/>
      <c r="AU489" s="47"/>
      <c r="AV489" s="47"/>
      <c r="AW489" s="47" t="str">
        <f>IF(AND($Q489&gt;=6,AVERAGE($S489:$T489)&gt;=6),"Likely",IF(OR($Q489&gt;6,AND($Q489=6,AVERAGE($S489:$T489)&gt;=3),AND($Q489&gt;=5,AVERAGE($S489:$T489)&gt;=5),AVERAGE($Q489,$S489:$T489)&gt;5),"Possible","Unlikely"))</f>
        <v>Unlikely</v>
      </c>
      <c r="AX489" s="47"/>
      <c r="AY489" s="47" t="str">
        <f>INDEX(Table5[[#All],[Ovr]],MATCH(Batters[[#This Row],[PID]],Table5[[#All],[PID]],0))</f>
        <v/>
      </c>
      <c r="AZ489" s="47" t="str">
        <f>INDEX(Table5[[#All],[Rnd]],MATCH(Batters[[#This Row],[PID]],Table5[[#All],[PID]],0))</f>
        <v/>
      </c>
      <c r="BA489" s="47" t="str">
        <f>INDEX(Table5[[#All],[Pick]],MATCH(Batters[[#This Row],[PID]],Table5[[#All],[PID]],0))</f>
        <v/>
      </c>
      <c r="BB489" s="47" t="str">
        <f>INDEX(Table5[[#All],[Team]],MATCH(Batters[[#This Row],[PID]],Table5[[#All],[PID]],0))</f>
        <v/>
      </c>
    </row>
    <row r="490" spans="1:54" ht="15" customHeight="1" x14ac:dyDescent="0.25">
      <c r="A490" s="42">
        <v>18044</v>
      </c>
      <c r="B490" s="42" t="s">
        <v>86</v>
      </c>
      <c r="C490" s="42" t="s">
        <v>206</v>
      </c>
      <c r="D490" s="42" t="s">
        <v>775</v>
      </c>
      <c r="E490" s="42">
        <v>21</v>
      </c>
      <c r="F490" s="42" t="s">
        <v>42</v>
      </c>
      <c r="G490" s="42" t="s">
        <v>42</v>
      </c>
      <c r="H490" s="43" t="s">
        <v>709</v>
      </c>
      <c r="I490" s="44" t="s">
        <v>43</v>
      </c>
      <c r="J490" s="42" t="s">
        <v>44</v>
      </c>
      <c r="K490" s="43" t="s">
        <v>43</v>
      </c>
      <c r="L490" s="42">
        <v>1</v>
      </c>
      <c r="M490" s="42">
        <v>1</v>
      </c>
      <c r="N490" s="42">
        <v>2</v>
      </c>
      <c r="O490" s="42">
        <v>2</v>
      </c>
      <c r="P490" s="43">
        <v>1</v>
      </c>
      <c r="Q490" s="42">
        <v>2</v>
      </c>
      <c r="R490" s="42">
        <v>3</v>
      </c>
      <c r="S490" s="42">
        <v>3</v>
      </c>
      <c r="T490" s="42">
        <v>5</v>
      </c>
      <c r="U490" s="43">
        <v>3</v>
      </c>
      <c r="V490" s="42">
        <v>3</v>
      </c>
      <c r="W490" s="42">
        <v>4</v>
      </c>
      <c r="X490" s="42">
        <v>6</v>
      </c>
      <c r="Y490" s="43">
        <v>8</v>
      </c>
      <c r="Z490" s="42">
        <v>3</v>
      </c>
      <c r="AA490" s="42" t="s">
        <v>45</v>
      </c>
      <c r="AB490" s="42" t="s">
        <v>45</v>
      </c>
      <c r="AC490" s="42" t="s">
        <v>45</v>
      </c>
      <c r="AD490" s="42" t="s">
        <v>45</v>
      </c>
      <c r="AE490" s="42" t="s">
        <v>45</v>
      </c>
      <c r="AF490" s="42" t="s">
        <v>45</v>
      </c>
      <c r="AG490" s="43" t="s">
        <v>45</v>
      </c>
      <c r="AH490" s="42">
        <v>2</v>
      </c>
      <c r="AI490" s="42">
        <v>1</v>
      </c>
      <c r="AJ490" s="43">
        <v>1</v>
      </c>
      <c r="AK490" s="45" t="s">
        <v>45</v>
      </c>
      <c r="AL490" s="45" t="s">
        <v>47</v>
      </c>
      <c r="AM490" s="46">
        <f>($L$3*(L490-$Q$1)/$Q$2+$M$3*(M490-$R$1)/$R$2+$N$3*(N490-$S$1)/$S$2+$O$3*(O490-$T$1)/$T$2+$P$3*(P490-$U$1)/$U$2)/(SUM($L$3:$P$3))</f>
        <v>-1.9115723057940897</v>
      </c>
      <c r="AN490" s="46">
        <f>($L$3*(Q490-$Q$1)/$Q$2+$M$3*(R490-$R$1)/$R$2+$N$3*(S490-$S$1)/$S$2+$O$3*(T490-$T$1)/$T$2+$P$3*(U490-$U$1)/$U$2)/(SUM($L$3:$P$3))</f>
        <v>-1.0546738866671965</v>
      </c>
      <c r="AO490" s="47">
        <f>IF(AVERAGE(AH490:AI490)&gt;9,1,0)+IF(AVERAGE(AH490:AI490)&gt;7,1,0)+IF(AH490&gt;7,1,0)+IF(AI490&gt;7,1,0)+IF(AJ490&gt;8,1,0)+IF(AJ490&gt;6,1,0)</f>
        <v>0</v>
      </c>
      <c r="AP490" s="48">
        <f>MIN(2,IF(OR(Z490="-",X490&lt;5),0,1+IF(Y490&gt;7,0.35,IF(Y490&gt;5,0.1,0))+IF(Z490&gt;7,1+IF(X490&gt;7,0.25,0),IF(Z490&gt;4,0.5+IF(X490&gt;7,0.25,0),0+IF(X490&gt;7,0.25))))+IF(AA490="-",0,IF(AA490&gt;9,0.5,IF(AA490&gt;7,0.25,0)))+IF(AB490="-",0,IF(AB490&gt;7,1.1,IF(AB490&gt;4,0.6,0)))+IF(OR(AC490="-",V490&lt;5),0,IF(AC490&gt;7,1+IF(V490&gt;7,0.25,0),IF(AC490&gt;4,0.5+IF(V490&gt;7,0.25,0),0)))+IF(AD490="-",0,IF(AD490&gt;7,1.5,IF(AD490&gt;4,1,0)))+IF(AE490="-",0,IF(AE490&gt;9,0.5,IF(AE490&gt;7,0.25,0)))+IF(AF490="-",0,IF(AF490&gt;7,1.25,IF(AF490&gt;4,0.75,0)))+IF(OR(AG490="-",W490&lt;4),0,IF(AG490&gt;7,1+IF(W490&gt;7,0.15,0),IF(AG490&gt;4,0.5+IF(W490&gt;7,0.15,0),0))))</f>
        <v>1.35</v>
      </c>
      <c r="AQ490" s="46">
        <f>($AM$3*AM490+$AN$3*AN490+$AO$3*AO490+$AP$3*AP490)+$I$3*VLOOKUP(I490,COND!$A$2:$E$7,4,FALSE)+$J$3*VLOOKUP(J490,COND!$A$2:$C$7,2,FALSE)+$K$3*VLOOKUP(K490,COND!$A$2:$C$7,3,FALSE)+IF(AND($B$2&gt;0,$E490&lt;20),$B$2*25,0)</f>
        <v>33.202756129414233</v>
      </c>
      <c r="AR490" s="49">
        <f>STANDARDIZE(AQ490,AVERAGE($AQ$5:$AQ$537),STDEVP($AQ$5:$AQ$537))</f>
        <v>-1.2572016905961703</v>
      </c>
      <c r="AS490" s="47" t="str">
        <f>IF(AND(Z490&lt;&gt;"-",Y490&gt;1),"C",IF(AB490=MAX(AB490:AD490),"2B",IF(AD490=MAX(AB490:AD490),"SS",IF(OR(AC490=MAX(AA490:AD490),AND(AC490&lt;&gt;"-",AC490&gt;4,V490&gt;5)),"3B",IF(AF490=MAX(AE490:AG490),"CF",IF(AND(AG490=MAX(AE490,AG490),AND(W490&gt;5,AG490&lt;&gt;"-")),"RF",IF(AE490&lt;&gt;"-","LF",IF(AA490&lt;&gt;"-","1B","DH"))))))))</f>
        <v>C</v>
      </c>
      <c r="AT490" s="47"/>
      <c r="AU490" s="47"/>
      <c r="AV490" s="47"/>
      <c r="AW490" s="47" t="str">
        <f>IF(AND($Q490&gt;=6,AVERAGE($S490:$T490)&gt;=6),"Likely",IF(OR($Q490&gt;6,AND($Q490=6,AVERAGE($S490:$T490)&gt;=3),AND($Q490&gt;=5,AVERAGE($S490:$T490)&gt;=5),AVERAGE($Q490,$S490:$T490)&gt;5),"Possible","Unlikely"))</f>
        <v>Unlikely</v>
      </c>
      <c r="AX490" s="47"/>
      <c r="AY490" s="47" t="str">
        <f>INDEX(Table5[[#All],[Ovr]],MATCH(Batters[[#This Row],[PID]],Table5[[#All],[PID]],0))</f>
        <v/>
      </c>
      <c r="AZ490" s="47" t="str">
        <f>INDEX(Table5[[#All],[Rnd]],MATCH(Batters[[#This Row],[PID]],Table5[[#All],[PID]],0))</f>
        <v/>
      </c>
      <c r="BA490" s="47" t="str">
        <f>INDEX(Table5[[#All],[Pick]],MATCH(Batters[[#This Row],[PID]],Table5[[#All],[PID]],0))</f>
        <v/>
      </c>
      <c r="BB490" s="47" t="str">
        <f>INDEX(Table5[[#All],[Team]],MATCH(Batters[[#This Row],[PID]],Table5[[#All],[PID]],0))</f>
        <v/>
      </c>
    </row>
    <row r="491" spans="1:54" ht="15" customHeight="1" x14ac:dyDescent="0.25">
      <c r="A491" s="42">
        <v>11363</v>
      </c>
      <c r="B491" s="42" t="s">
        <v>71</v>
      </c>
      <c r="C491" s="42" t="s">
        <v>331</v>
      </c>
      <c r="D491" s="42" t="s">
        <v>744</v>
      </c>
      <c r="E491" s="42">
        <v>21</v>
      </c>
      <c r="F491" s="42" t="s">
        <v>42</v>
      </c>
      <c r="G491" s="42" t="s">
        <v>42</v>
      </c>
      <c r="H491" s="43" t="s">
        <v>721</v>
      </c>
      <c r="I491" s="44" t="s">
        <v>43</v>
      </c>
      <c r="J491" s="42" t="s">
        <v>44</v>
      </c>
      <c r="K491" s="43" t="s">
        <v>44</v>
      </c>
      <c r="L491" s="42">
        <v>2</v>
      </c>
      <c r="M491" s="42">
        <v>2</v>
      </c>
      <c r="N491" s="42">
        <v>2</v>
      </c>
      <c r="O491" s="42">
        <v>2</v>
      </c>
      <c r="P491" s="43">
        <v>2</v>
      </c>
      <c r="Q491" s="42">
        <v>3</v>
      </c>
      <c r="R491" s="42">
        <v>3</v>
      </c>
      <c r="S491" s="42">
        <v>2</v>
      </c>
      <c r="T491" s="42">
        <v>4</v>
      </c>
      <c r="U491" s="43">
        <v>4</v>
      </c>
      <c r="V491" s="42">
        <v>6</v>
      </c>
      <c r="W491" s="42">
        <v>4</v>
      </c>
      <c r="X491" s="42">
        <v>1</v>
      </c>
      <c r="Y491" s="43">
        <v>1</v>
      </c>
      <c r="Z491" s="42" t="s">
        <v>45</v>
      </c>
      <c r="AA491" s="42" t="s">
        <v>45</v>
      </c>
      <c r="AB491" s="42">
        <v>2</v>
      </c>
      <c r="AC491" s="42" t="s">
        <v>45</v>
      </c>
      <c r="AD491" s="42" t="s">
        <v>45</v>
      </c>
      <c r="AE491" s="42" t="s">
        <v>45</v>
      </c>
      <c r="AF491" s="42" t="s">
        <v>45</v>
      </c>
      <c r="AG491" s="43" t="s">
        <v>45</v>
      </c>
      <c r="AH491" s="42">
        <v>6</v>
      </c>
      <c r="AI491" s="42">
        <v>5</v>
      </c>
      <c r="AJ491" s="43">
        <v>6</v>
      </c>
      <c r="AK491" s="45" t="s">
        <v>45</v>
      </c>
      <c r="AL491" s="45" t="s">
        <v>47</v>
      </c>
      <c r="AM491" s="46">
        <f>($L$3*(L491-$Q$1)/$Q$2+$M$3*(M491-$R$1)/$R$2+$N$3*(N491-$S$1)/$S$2+$O$3*(O491-$T$1)/$T$2+$P$3*(P491-$U$1)/$U$2)/(SUM($L$3:$P$3))</f>
        <v>-1.4979402501556278</v>
      </c>
      <c r="AN491" s="46">
        <f>($L$3*(Q491-$Q$1)/$Q$2+$M$3*(R491-$R$1)/$R$2+$N$3*(S491-$S$1)/$S$2+$O$3*(T491-$T$1)/$T$2+$P$3*(U491-$U$1)/$U$2)/(SUM($L$3:$P$3))</f>
        <v>-0.8648727546809204</v>
      </c>
      <c r="AO491" s="47">
        <f>IF(AVERAGE(AH491:AI491)&gt;9,1,0)+IF(AVERAGE(AH491:AI491)&gt;7,1,0)+IF(AH491&gt;7,1,0)+IF(AI491&gt;7,1,0)+IF(AJ491&gt;8,1,0)+IF(AJ491&gt;6,1,0)</f>
        <v>0</v>
      </c>
      <c r="AP491" s="48">
        <f>MIN(2,IF(OR(Z491="-",X491&lt;5),0,1+IF(Y491&gt;7,0.35,IF(Y491&gt;5,0.1,0))+IF(Z491&gt;7,1+IF(X491&gt;7,0.25,0),IF(Z491&gt;4,0.5+IF(X491&gt;7,0.25,0),0+IF(X491&gt;7,0.25))))+IF(AA491="-",0,IF(AA491&gt;9,0.5,IF(AA491&gt;7,0.25,0)))+IF(AB491="-",0,IF(AB491&gt;7,1.1,IF(AB491&gt;4,0.6,0)))+IF(OR(AC491="-",V491&lt;5),0,IF(AC491&gt;7,1+IF(V491&gt;7,0.25,0),IF(AC491&gt;4,0.5+IF(V491&gt;7,0.25,0),0)))+IF(AD491="-",0,IF(AD491&gt;7,1.5,IF(AD491&gt;4,1,0)))+IF(AE491="-",0,IF(AE491&gt;9,0.5,IF(AE491&gt;7,0.25,0)))+IF(AF491="-",0,IF(AF491&gt;7,1.25,IF(AF491&gt;4,0.75,0)))+IF(OR(AG491="-",W491&lt;4),0,IF(AG491&gt;7,1+IF(W491&gt;7,0.15,0),IF(AG491&gt;4,0.5+IF(W491&gt;7,0.15,0),0))))</f>
        <v>0</v>
      </c>
      <c r="AQ491" s="46">
        <f>($AM$3*AM491+$AN$3*AN491+$AO$3*AO491+$AP$3*AP491)+$I$3*VLOOKUP(I491,COND!$A$2:$E$7,4,FALSE)+$J$3*VLOOKUP(J491,COND!$A$2:$C$7,2,FALSE)+$K$3*VLOOKUP(K491,COND!$A$2:$C$7,3,FALSE)+IF(AND($B$2&gt;0,$E491&lt;20),$B$2*25,0)</f>
        <v>33.871732918813393</v>
      </c>
      <c r="AR491" s="49">
        <f>STANDARDIZE(AQ491,AVERAGE($AQ$5:$AQ$537),STDEVP($AQ$5:$AQ$537))</f>
        <v>-1.139499670724083</v>
      </c>
      <c r="AS491" s="47" t="str">
        <f>IF(AND(Z491&lt;&gt;"-",Y491&gt;1),"C",IF(AB491=MAX(AB491:AD491),"2B",IF(AD491=MAX(AB491:AD491),"SS",IF(OR(AC491=MAX(AA491:AD491),AND(AC491&lt;&gt;"-",AC491&gt;4,V491&gt;5)),"3B",IF(AF491=MAX(AE491:AG491),"CF",IF(AND(AG491=MAX(AE491,AG491),AND(W491&gt;5,AG491&lt;&gt;"-")),"RF",IF(AE491&lt;&gt;"-","LF",IF(AA491&lt;&gt;"-","1B","DH"))))))))</f>
        <v>2B</v>
      </c>
      <c r="AT491" s="47"/>
      <c r="AU491" s="47"/>
      <c r="AV491" s="47"/>
      <c r="AW491" s="47" t="str">
        <f>IF(AND($Q491&gt;=6,AVERAGE($S491:$T491)&gt;=6),"Likely",IF(OR($Q491&gt;6,AND($Q491=6,AVERAGE($S491:$T491)&gt;=3),AND($Q491&gt;=5,AVERAGE($S491:$T491)&gt;=5),AVERAGE($Q491,$S491:$T491)&gt;5),"Possible","Unlikely"))</f>
        <v>Unlikely</v>
      </c>
      <c r="AX491" s="47"/>
      <c r="AY491" s="47" t="str">
        <f>INDEX(Table5[[#All],[Ovr]],MATCH(Batters[[#This Row],[PID]],Table5[[#All],[PID]],0))</f>
        <v/>
      </c>
      <c r="AZ491" s="47" t="str">
        <f>INDEX(Table5[[#All],[Rnd]],MATCH(Batters[[#This Row],[PID]],Table5[[#All],[PID]],0))</f>
        <v/>
      </c>
      <c r="BA491" s="47" t="str">
        <f>INDEX(Table5[[#All],[Pick]],MATCH(Batters[[#This Row],[PID]],Table5[[#All],[PID]],0))</f>
        <v/>
      </c>
      <c r="BB491" s="47" t="str">
        <f>INDEX(Table5[[#All],[Team]],MATCH(Batters[[#This Row],[PID]],Table5[[#All],[PID]],0))</f>
        <v/>
      </c>
    </row>
    <row r="492" spans="1:54" ht="15" customHeight="1" x14ac:dyDescent="0.25">
      <c r="A492" s="42">
        <v>12899</v>
      </c>
      <c r="B492" s="42" t="s">
        <v>87</v>
      </c>
      <c r="C492" s="42" t="s">
        <v>824</v>
      </c>
      <c r="D492" s="42" t="s">
        <v>616</v>
      </c>
      <c r="E492" s="42">
        <v>21</v>
      </c>
      <c r="F492" s="42" t="s">
        <v>42</v>
      </c>
      <c r="G492" s="42" t="s">
        <v>42</v>
      </c>
      <c r="H492" s="43" t="s">
        <v>721</v>
      </c>
      <c r="I492" s="44" t="s">
        <v>47</v>
      </c>
      <c r="J492" s="42" t="s">
        <v>43</v>
      </c>
      <c r="K492" s="43" t="s">
        <v>43</v>
      </c>
      <c r="L492" s="42">
        <v>1</v>
      </c>
      <c r="M492" s="42">
        <v>2</v>
      </c>
      <c r="N492" s="42">
        <v>2</v>
      </c>
      <c r="O492" s="42">
        <v>2</v>
      </c>
      <c r="P492" s="43">
        <v>1</v>
      </c>
      <c r="Q492" s="42">
        <v>2</v>
      </c>
      <c r="R492" s="42">
        <v>3</v>
      </c>
      <c r="S492" s="42">
        <v>4</v>
      </c>
      <c r="T492" s="42">
        <v>5</v>
      </c>
      <c r="U492" s="43">
        <v>1</v>
      </c>
      <c r="V492" s="42">
        <v>3</v>
      </c>
      <c r="W492" s="42">
        <v>2</v>
      </c>
      <c r="X492" s="42">
        <v>5</v>
      </c>
      <c r="Y492" s="43">
        <v>4</v>
      </c>
      <c r="Z492" s="42" t="s">
        <v>45</v>
      </c>
      <c r="AA492" s="42">
        <v>1</v>
      </c>
      <c r="AB492" s="42" t="s">
        <v>45</v>
      </c>
      <c r="AC492" s="42" t="s">
        <v>45</v>
      </c>
      <c r="AD492" s="42" t="s">
        <v>45</v>
      </c>
      <c r="AE492" s="42" t="s">
        <v>45</v>
      </c>
      <c r="AF492" s="42" t="s">
        <v>45</v>
      </c>
      <c r="AG492" s="43" t="s">
        <v>45</v>
      </c>
      <c r="AH492" s="42">
        <v>1</v>
      </c>
      <c r="AI492" s="42">
        <v>4</v>
      </c>
      <c r="AJ492" s="43">
        <v>5</v>
      </c>
      <c r="AK492" s="45" t="s">
        <v>45</v>
      </c>
      <c r="AL492" s="45" t="s">
        <v>705</v>
      </c>
      <c r="AM492" s="46">
        <f>($L$3*(L492-$Q$1)/$Q$2+$M$3*(M492-$R$1)/$R$2+$N$3*(N492-$S$1)/$S$2+$O$3*(O492-$T$1)/$T$2+$P$3*(P492-$U$1)/$U$2)/(SUM($L$3:$P$3))</f>
        <v>-1.8605124261753858</v>
      </c>
      <c r="AN492" s="46">
        <f>($L$3*(Q492-$Q$1)/$Q$2+$M$3*(R492-$R$1)/$R$2+$N$3*(S492-$S$1)/$S$2+$O$3*(T492-$T$1)/$T$2+$P$3*(U492-$U$1)/$U$2)/(SUM($L$3:$P$3))</f>
        <v>-1.0516450722774617</v>
      </c>
      <c r="AO492" s="47">
        <f>IF(AVERAGE(AH492:AI492)&gt;9,1,0)+IF(AVERAGE(AH492:AI492)&gt;7,1,0)+IF(AH492&gt;7,1,0)+IF(AI492&gt;7,1,0)+IF(AJ492&gt;8,1,0)+IF(AJ492&gt;6,1,0)</f>
        <v>0</v>
      </c>
      <c r="AP492" s="48">
        <f>MIN(2,IF(OR(Z492="-",X492&lt;5),0,1+IF(Y492&gt;7,0.35,IF(Y492&gt;5,0.1,0))+IF(Z492&gt;7,1+IF(X492&gt;7,0.25,0),IF(Z492&gt;4,0.5+IF(X492&gt;7,0.25,0),0+IF(X492&gt;7,0.25))))+IF(AA492="-",0,IF(AA492&gt;9,0.5,IF(AA492&gt;7,0.25,0)))+IF(AB492="-",0,IF(AB492&gt;7,1.1,IF(AB492&gt;4,0.6,0)))+IF(OR(AC492="-",V492&lt;5),0,IF(AC492&gt;7,1+IF(V492&gt;7,0.25,0),IF(AC492&gt;4,0.5+IF(V492&gt;7,0.25,0),0)))+IF(AD492="-",0,IF(AD492&gt;7,1.5,IF(AD492&gt;4,1,0)))+IF(AE492="-",0,IF(AE492&gt;9,0.5,IF(AE492&gt;7,0.25,0)))+IF(AF492="-",0,IF(AF492&gt;7,1.25,IF(AF492&gt;4,0.75,0)))+IF(OR(AG492="-",W492&lt;4),0,IF(AG492&gt;7,1+IF(W492&gt;7,0.15,0),IF(AG492&gt;4,0.5+IF(W492&gt;7,0.15,0),0))))</f>
        <v>0</v>
      </c>
      <c r="AQ492" s="46">
        <f>($AM$3*AM492+$AN$3*AN492+$AO$3*AO492+$AP$3*AP492)+$I$3*VLOOKUP(I492,COND!$A$2:$E$7,4,FALSE)+$J$3*VLOOKUP(J492,COND!$A$2:$C$7,2,FALSE)+$K$3*VLOOKUP(K492,COND!$A$2:$C$7,3,FALSE)+IF(AND($B$2&gt;0,$E492&lt;20),$B$2*25,0)</f>
        <v>32.419207890052917</v>
      </c>
      <c r="AR492" s="49">
        <f>STANDARDIZE(AQ492,AVERAGE($AQ$5:$AQ$537),STDEVP($AQ$5:$AQ$537))</f>
        <v>-1.395061795612484</v>
      </c>
      <c r="AS492" s="47" t="str">
        <f>IF(AND(Z492&lt;&gt;"-",Y492&gt;1),"C",IF(AB492=MAX(AB492:AD492),"2B",IF(AD492=MAX(AB492:AD492),"SS",IF(OR(AC492=MAX(AA492:AD492),AND(AC492&lt;&gt;"-",AC492&gt;4,V492&gt;5)),"3B",IF(AF492=MAX(AE492:AG492),"CF",IF(AND(AG492=MAX(AE492,AG492),AND(W492&gt;5,AG492&lt;&gt;"-")),"RF",IF(AE492&lt;&gt;"-","LF",IF(AA492&lt;&gt;"-","1B","DH"))))))))</f>
        <v>1B</v>
      </c>
      <c r="AT492" s="47"/>
      <c r="AU492" s="47"/>
      <c r="AV492" s="47"/>
      <c r="AW492" s="47" t="str">
        <f>IF(AND($Q492&gt;=6,AVERAGE($S492:$T492)&gt;=6),"Likely",IF(OR($Q492&gt;6,AND($Q492=6,AVERAGE($S492:$T492)&gt;=3),AND($Q492&gt;=5,AVERAGE($S492:$T492)&gt;=5),AVERAGE($Q492,$S492:$T492)&gt;5),"Possible","Unlikely"))</f>
        <v>Unlikely</v>
      </c>
      <c r="AX492" s="47"/>
      <c r="AY492" s="47" t="str">
        <f>INDEX(Table5[[#All],[Ovr]],MATCH(Batters[[#This Row],[PID]],Table5[[#All],[PID]],0))</f>
        <v/>
      </c>
      <c r="AZ492" s="47" t="str">
        <f>INDEX(Table5[[#All],[Rnd]],MATCH(Batters[[#This Row],[PID]],Table5[[#All],[PID]],0))</f>
        <v/>
      </c>
      <c r="BA492" s="47" t="str">
        <f>INDEX(Table5[[#All],[Pick]],MATCH(Batters[[#This Row],[PID]],Table5[[#All],[PID]],0))</f>
        <v/>
      </c>
      <c r="BB492" s="47" t="str">
        <f>INDEX(Table5[[#All],[Team]],MATCH(Batters[[#This Row],[PID]],Table5[[#All],[PID]],0))</f>
        <v/>
      </c>
    </row>
    <row r="493" spans="1:54" ht="15" customHeight="1" x14ac:dyDescent="0.25">
      <c r="A493" s="42">
        <v>14675</v>
      </c>
      <c r="B493" s="42" t="s">
        <v>87</v>
      </c>
      <c r="C493" s="42" t="s">
        <v>1146</v>
      </c>
      <c r="D493" s="42" t="s">
        <v>1147</v>
      </c>
      <c r="E493" s="42">
        <v>21</v>
      </c>
      <c r="F493" s="42" t="s">
        <v>42</v>
      </c>
      <c r="G493" s="42" t="s">
        <v>42</v>
      </c>
      <c r="H493" s="43" t="s">
        <v>721</v>
      </c>
      <c r="I493" s="44" t="s">
        <v>43</v>
      </c>
      <c r="J493" s="42" t="s">
        <v>43</v>
      </c>
      <c r="K493" s="43" t="s">
        <v>43</v>
      </c>
      <c r="L493" s="42">
        <v>1</v>
      </c>
      <c r="M493" s="42">
        <v>2</v>
      </c>
      <c r="N493" s="42">
        <v>2</v>
      </c>
      <c r="O493" s="42">
        <v>2</v>
      </c>
      <c r="P493" s="43">
        <v>1</v>
      </c>
      <c r="Q493" s="42">
        <v>3</v>
      </c>
      <c r="R493" s="42">
        <v>3</v>
      </c>
      <c r="S493" s="42">
        <v>2</v>
      </c>
      <c r="T493" s="42">
        <v>3</v>
      </c>
      <c r="U493" s="43">
        <v>2</v>
      </c>
      <c r="V493" s="42">
        <v>7</v>
      </c>
      <c r="W493" s="42">
        <v>1</v>
      </c>
      <c r="X493" s="42">
        <v>1</v>
      </c>
      <c r="Y493" s="43">
        <v>1</v>
      </c>
      <c r="Z493" s="42" t="s">
        <v>45</v>
      </c>
      <c r="AA493" s="42">
        <v>2</v>
      </c>
      <c r="AB493" s="42" t="s">
        <v>45</v>
      </c>
      <c r="AC493" s="42" t="s">
        <v>45</v>
      </c>
      <c r="AD493" s="42" t="s">
        <v>45</v>
      </c>
      <c r="AE493" s="42" t="s">
        <v>45</v>
      </c>
      <c r="AF493" s="42" t="s">
        <v>45</v>
      </c>
      <c r="AG493" s="43" t="s">
        <v>45</v>
      </c>
      <c r="AH493" s="42">
        <v>2</v>
      </c>
      <c r="AI493" s="42">
        <v>1</v>
      </c>
      <c r="AJ493" s="43">
        <v>1</v>
      </c>
      <c r="AK493" s="45" t="s">
        <v>45</v>
      </c>
      <c r="AL493" s="45" t="s">
        <v>705</v>
      </c>
      <c r="AM493" s="46">
        <f>($L$3*(L493-$Q$1)/$Q$2+$M$3*(M493-$R$1)/$R$2+$N$3*(N493-$S$1)/$S$2+$O$3*(O493-$T$1)/$T$2+$P$3*(P493-$U$1)/$U$2)/(SUM($L$3:$P$3))</f>
        <v>-1.8605124261753858</v>
      </c>
      <c r="AN493" s="46">
        <f>($L$3*(Q493-$Q$1)/$Q$2+$M$3*(R493-$R$1)/$R$2+$N$3*(S493-$S$1)/$S$2+$O$3*(T493-$T$1)/$T$2+$P$3*(U493-$U$1)/$U$2)/(SUM($L$3:$P$3))</f>
        <v>-1.0346149843246686</v>
      </c>
      <c r="AO493" s="47">
        <f>IF(AVERAGE(AH493:AI493)&gt;9,1,0)+IF(AVERAGE(AH493:AI493)&gt;7,1,0)+IF(AH493&gt;7,1,0)+IF(AI493&gt;7,1,0)+IF(AJ493&gt;8,1,0)+IF(AJ493&gt;6,1,0)</f>
        <v>0</v>
      </c>
      <c r="AP493" s="48">
        <f>MIN(2,IF(OR(Z493="-",X493&lt;5),0,1+IF(Y493&gt;7,0.35,IF(Y493&gt;5,0.1,0))+IF(Z493&gt;7,1+IF(X493&gt;7,0.25,0),IF(Z493&gt;4,0.5+IF(X493&gt;7,0.25,0),0+IF(X493&gt;7,0.25))))+IF(AA493="-",0,IF(AA493&gt;9,0.5,IF(AA493&gt;7,0.25,0)))+IF(AB493="-",0,IF(AB493&gt;7,1.1,IF(AB493&gt;4,0.6,0)))+IF(OR(AC493="-",V493&lt;5),0,IF(AC493&gt;7,1+IF(V493&gt;7,0.25,0),IF(AC493&gt;4,0.5+IF(V493&gt;7,0.25,0),0)))+IF(AD493="-",0,IF(AD493&gt;7,1.5,IF(AD493&gt;4,1,0)))+IF(AE493="-",0,IF(AE493&gt;9,0.5,IF(AE493&gt;7,0.25,0)))+IF(AF493="-",0,IF(AF493&gt;7,1.25,IF(AF493&gt;4,0.75,0)))+IF(OR(AG493="-",W493&lt;4),0,IF(AG493&gt;7,1+IF(W493&gt;7,0.15,0),IF(AG493&gt;4,0.5+IF(W493&gt;7,0.15,0),0))))</f>
        <v>0</v>
      </c>
      <c r="AQ493" s="46">
        <f>($AM$3*AM493+$AN$3*AN493+$AO$3*AO493+$AP$3*AP493)+$I$3*VLOOKUP(I493,COND!$A$2:$E$7,4,FALSE)+$J$3*VLOOKUP(J493,COND!$A$2:$C$7,2,FALSE)+$K$3*VLOOKUP(K493,COND!$A$2:$C$7,3,FALSE)+IF(AND($B$2&gt;0,$E493&lt;20),$B$2*25,0)</f>
        <v>32.398568945486439</v>
      </c>
      <c r="AR493" s="49">
        <f>STANDARDIZE(AQ493,AVERAGE($AQ$5:$AQ$537),STDEVP($AQ$5:$AQ$537))</f>
        <v>-1.398693080736269</v>
      </c>
      <c r="AS493" s="47" t="str">
        <f>IF(AND(Z493&lt;&gt;"-",Y493&gt;1),"C",IF(AB493=MAX(AB493:AD493),"2B",IF(AD493=MAX(AB493:AD493),"SS",IF(OR(AC493=MAX(AA493:AD493),AND(AC493&lt;&gt;"-",AC493&gt;4,V493&gt;5)),"3B",IF(AF493=MAX(AE493:AG493),"CF",IF(AND(AG493=MAX(AE493,AG493),AND(W493&gt;5,AG493&lt;&gt;"-")),"RF",IF(AE493&lt;&gt;"-","LF",IF(AA493&lt;&gt;"-","1B","DH"))))))))</f>
        <v>1B</v>
      </c>
      <c r="AT493" s="47"/>
      <c r="AU493" s="47"/>
      <c r="AV493" s="47"/>
      <c r="AW493" s="47" t="str">
        <f>IF(AND($Q493&gt;=6,AVERAGE($S493:$T493)&gt;=6),"Likely",IF(OR($Q493&gt;6,AND($Q493=6,AVERAGE($S493:$T493)&gt;=3),AND($Q493&gt;=5,AVERAGE($S493:$T493)&gt;=5),AVERAGE($Q493,$S493:$T493)&gt;5),"Possible","Unlikely"))</f>
        <v>Unlikely</v>
      </c>
      <c r="AX493" s="47"/>
      <c r="AY493" s="47" t="str">
        <f>INDEX(Table5[[#All],[Ovr]],MATCH(Batters[[#This Row],[PID]],Table5[[#All],[PID]],0))</f>
        <v/>
      </c>
      <c r="AZ493" s="47" t="str">
        <f>INDEX(Table5[[#All],[Rnd]],MATCH(Batters[[#This Row],[PID]],Table5[[#All],[PID]],0))</f>
        <v/>
      </c>
      <c r="BA493" s="47" t="str">
        <f>INDEX(Table5[[#All],[Pick]],MATCH(Batters[[#This Row],[PID]],Table5[[#All],[PID]],0))</f>
        <v/>
      </c>
      <c r="BB493" s="47" t="str">
        <f>INDEX(Table5[[#All],[Team]],MATCH(Batters[[#This Row],[PID]],Table5[[#All],[PID]],0))</f>
        <v/>
      </c>
    </row>
    <row r="494" spans="1:54" ht="15" customHeight="1" x14ac:dyDescent="0.25">
      <c r="A494" s="42">
        <v>11900</v>
      </c>
      <c r="B494" s="42" t="s">
        <v>87</v>
      </c>
      <c r="C494" s="42" t="s">
        <v>961</v>
      </c>
      <c r="D494" s="42" t="s">
        <v>810</v>
      </c>
      <c r="E494" s="42">
        <v>21</v>
      </c>
      <c r="F494" s="42" t="s">
        <v>42</v>
      </c>
      <c r="G494" s="42" t="s">
        <v>42</v>
      </c>
      <c r="H494" s="43" t="s">
        <v>721</v>
      </c>
      <c r="I494" s="44" t="s">
        <v>43</v>
      </c>
      <c r="J494" s="42" t="s">
        <v>44</v>
      </c>
      <c r="K494" s="43" t="s">
        <v>43</v>
      </c>
      <c r="L494" s="42">
        <v>2</v>
      </c>
      <c r="M494" s="42">
        <v>1</v>
      </c>
      <c r="N494" s="42">
        <v>2</v>
      </c>
      <c r="O494" s="42">
        <v>2</v>
      </c>
      <c r="P494" s="43">
        <v>1</v>
      </c>
      <c r="Q494" s="42">
        <v>3</v>
      </c>
      <c r="R494" s="42">
        <v>2</v>
      </c>
      <c r="S494" s="42">
        <v>2</v>
      </c>
      <c r="T494" s="42">
        <v>4</v>
      </c>
      <c r="U494" s="43">
        <v>3</v>
      </c>
      <c r="V494" s="42">
        <v>3</v>
      </c>
      <c r="W494" s="42">
        <v>1</v>
      </c>
      <c r="X494" s="42">
        <v>1</v>
      </c>
      <c r="Y494" s="43">
        <v>1</v>
      </c>
      <c r="Z494" s="42" t="s">
        <v>45</v>
      </c>
      <c r="AA494" s="42">
        <v>5</v>
      </c>
      <c r="AB494" s="42" t="s">
        <v>45</v>
      </c>
      <c r="AC494" s="42" t="s">
        <v>45</v>
      </c>
      <c r="AD494" s="42" t="s">
        <v>45</v>
      </c>
      <c r="AE494" s="42" t="s">
        <v>45</v>
      </c>
      <c r="AF494" s="42" t="s">
        <v>45</v>
      </c>
      <c r="AG494" s="43" t="s">
        <v>45</v>
      </c>
      <c r="AH494" s="42">
        <v>2</v>
      </c>
      <c r="AI494" s="42">
        <v>1</v>
      </c>
      <c r="AJ494" s="43">
        <v>1</v>
      </c>
      <c r="AK494" s="45" t="s">
        <v>45</v>
      </c>
      <c r="AL494" s="45" t="s">
        <v>47</v>
      </c>
      <c r="AM494" s="46">
        <f>($L$3*(L494-$Q$1)/$Q$2+$M$3*(M494-$R$1)/$R$2+$N$3*(N494-$S$1)/$S$2+$O$3*(O494-$T$1)/$T$2+$P$3*(P494-$U$1)/$U$2)/(SUM($L$3:$P$3))</f>
        <v>-1.5890164695914148</v>
      </c>
      <c r="AN494" s="46">
        <f>($L$3*(Q494-$Q$1)/$Q$2+$M$3*(R494-$R$1)/$R$2+$N$3*(S494-$S$1)/$S$2+$O$3*(T494-$T$1)/$T$2+$P$3*(U494-$U$1)/$U$2)/(SUM($L$3:$P$3))</f>
        <v>-0.95594897411670754</v>
      </c>
      <c r="AO494" s="47">
        <f>IF(AVERAGE(AH494:AI494)&gt;9,1,0)+IF(AVERAGE(AH494:AI494)&gt;7,1,0)+IF(AH494&gt;7,1,0)+IF(AI494&gt;7,1,0)+IF(AJ494&gt;8,1,0)+IF(AJ494&gt;6,1,0)</f>
        <v>0</v>
      </c>
      <c r="AP494" s="48">
        <f>MIN(2,IF(OR(Z494="-",X494&lt;5),0,1+IF(Y494&gt;7,0.35,IF(Y494&gt;5,0.1,0))+IF(Z494&gt;7,1+IF(X494&gt;7,0.25,0),IF(Z494&gt;4,0.5+IF(X494&gt;7,0.25,0),0+IF(X494&gt;7,0.25))))+IF(AA494="-",0,IF(AA494&gt;9,0.5,IF(AA494&gt;7,0.25,0)))+IF(AB494="-",0,IF(AB494&gt;7,1.1,IF(AB494&gt;4,0.6,0)))+IF(OR(AC494="-",V494&lt;5),0,IF(AC494&gt;7,1+IF(V494&gt;7,0.25,0),IF(AC494&gt;4,0.5+IF(V494&gt;7,0.25,0),0)))+IF(AD494="-",0,IF(AD494&gt;7,1.5,IF(AD494&gt;4,1,0)))+IF(AE494="-",0,IF(AE494&gt;9,0.5,IF(AE494&gt;7,0.25,0)))+IF(AF494="-",0,IF(AF494&gt;7,1.25,IF(AF494&gt;4,0.75,0)))+IF(OR(AG494="-",W494&lt;4),0,IF(AG494&gt;7,1+IF(W494&gt;7,0.15,0),IF(AG494&gt;4,0.5+IF(W494&gt;7,0.15,0),0))))</f>
        <v>0</v>
      </c>
      <c r="AQ494" s="46">
        <f>($AM$3*AM494+$AN$3*AN494+$AO$3*AO494+$AP$3*AP494)+$I$3*VLOOKUP(I494,COND!$A$2:$E$7,4,FALSE)+$J$3*VLOOKUP(J494,COND!$A$2:$C$7,2,FALSE)+$K$3*VLOOKUP(K494,COND!$A$2:$C$7,3,FALSE)+IF(AND($B$2&gt;0,$E494&lt;20),$B$2*25,0)</f>
        <v>33.069710663640365</v>
      </c>
      <c r="AR494" s="49">
        <f>STANDARDIZE(AQ494,AVERAGE($AQ$5:$AQ$537),STDEVP($AQ$5:$AQ$537))</f>
        <v>-1.2806101560385539</v>
      </c>
      <c r="AS494" s="47" t="str">
        <f>IF(AND(Z494&lt;&gt;"-",Y494&gt;1),"C",IF(AB494=MAX(AB494:AD494),"2B",IF(AD494=MAX(AB494:AD494),"SS",IF(OR(AC494=MAX(AA494:AD494),AND(AC494&lt;&gt;"-",AC494&gt;4,V494&gt;5)),"3B",IF(AF494=MAX(AE494:AG494),"CF",IF(AND(AG494=MAX(AE494,AG494),AND(W494&gt;5,AG494&lt;&gt;"-")),"RF",IF(AE494&lt;&gt;"-","LF",IF(AA494&lt;&gt;"-","1B","DH"))))))))</f>
        <v>1B</v>
      </c>
      <c r="AT494" s="47"/>
      <c r="AU494" s="47"/>
      <c r="AV494" s="47"/>
      <c r="AW494" s="47" t="str">
        <f>IF(AND($Q494&gt;=6,AVERAGE($S494:$T494)&gt;=6),"Likely",IF(OR($Q494&gt;6,AND($Q494=6,AVERAGE($S494:$T494)&gt;=3),AND($Q494&gt;=5,AVERAGE($S494:$T494)&gt;=5),AVERAGE($Q494,$S494:$T494)&gt;5),"Possible","Unlikely"))</f>
        <v>Unlikely</v>
      </c>
      <c r="AX494" s="47"/>
      <c r="AY494" s="47" t="str">
        <f>INDEX(Table5[[#All],[Ovr]],MATCH(Batters[[#This Row],[PID]],Table5[[#All],[PID]],0))</f>
        <v/>
      </c>
      <c r="AZ494" s="47" t="str">
        <f>INDEX(Table5[[#All],[Rnd]],MATCH(Batters[[#This Row],[PID]],Table5[[#All],[PID]],0))</f>
        <v/>
      </c>
      <c r="BA494" s="47" t="str">
        <f>INDEX(Table5[[#All],[Pick]],MATCH(Batters[[#This Row],[PID]],Table5[[#All],[PID]],0))</f>
        <v/>
      </c>
      <c r="BB494" s="47" t="str">
        <f>INDEX(Table5[[#All],[Team]],MATCH(Batters[[#This Row],[PID]],Table5[[#All],[PID]],0))</f>
        <v/>
      </c>
    </row>
    <row r="495" spans="1:54" ht="15" customHeight="1" x14ac:dyDescent="0.25">
      <c r="A495" s="42">
        <v>11079</v>
      </c>
      <c r="B495" s="42" t="s">
        <v>87</v>
      </c>
      <c r="C495" s="42" t="s">
        <v>341</v>
      </c>
      <c r="D495" s="42" t="s">
        <v>1354</v>
      </c>
      <c r="E495" s="42">
        <v>18</v>
      </c>
      <c r="F495" s="42" t="s">
        <v>42</v>
      </c>
      <c r="G495" s="42" t="s">
        <v>42</v>
      </c>
      <c r="H495" s="43" t="s">
        <v>721</v>
      </c>
      <c r="I495" s="44" t="s">
        <v>47</v>
      </c>
      <c r="J495" s="42" t="s">
        <v>47</v>
      </c>
      <c r="K495" s="43" t="s">
        <v>43</v>
      </c>
      <c r="L495" s="42">
        <v>1</v>
      </c>
      <c r="M495" s="42">
        <v>1</v>
      </c>
      <c r="N495" s="42">
        <v>2</v>
      </c>
      <c r="O495" s="42">
        <v>1</v>
      </c>
      <c r="P495" s="43">
        <v>1</v>
      </c>
      <c r="Q495" s="42">
        <v>2</v>
      </c>
      <c r="R495" s="42">
        <v>1</v>
      </c>
      <c r="S495" s="42">
        <v>3</v>
      </c>
      <c r="T495" s="42">
        <v>1</v>
      </c>
      <c r="U495" s="43">
        <v>2</v>
      </c>
      <c r="V495" s="42">
        <v>9</v>
      </c>
      <c r="W495" s="42">
        <v>3</v>
      </c>
      <c r="X495" s="42">
        <v>1</v>
      </c>
      <c r="Y495" s="43">
        <v>1</v>
      </c>
      <c r="Z495" s="42" t="s">
        <v>45</v>
      </c>
      <c r="AA495" s="42" t="s">
        <v>45</v>
      </c>
      <c r="AB495" s="42" t="s">
        <v>45</v>
      </c>
      <c r="AC495" s="42" t="s">
        <v>45</v>
      </c>
      <c r="AD495" s="42" t="s">
        <v>45</v>
      </c>
      <c r="AE495" s="42" t="s">
        <v>45</v>
      </c>
      <c r="AF495" s="42" t="s">
        <v>45</v>
      </c>
      <c r="AG495" s="43" t="s">
        <v>45</v>
      </c>
      <c r="AH495" s="42">
        <v>2</v>
      </c>
      <c r="AI495" s="42">
        <v>3</v>
      </c>
      <c r="AJ495" s="43">
        <v>4</v>
      </c>
      <c r="AK495" s="45" t="s">
        <v>427</v>
      </c>
      <c r="AL495" s="45" t="s">
        <v>705</v>
      </c>
      <c r="AM495" s="46">
        <f>($L$3*(L495-$Q$1)/$Q$2+$M$3*(M495-$R$1)/$R$2+$N$3*(N495-$S$1)/$S$2+$O$3*(O495-$T$1)/$T$2+$P$3*(P495-$U$1)/$U$2)/(SUM($L$3:$P$3))</f>
        <v>-2.0012818558036707</v>
      </c>
      <c r="AN495" s="46">
        <f>($L$3*(Q495-$Q$1)/$Q$2+$M$3*(R495-$R$1)/$R$2+$N$3*(S495-$S$1)/$S$2+$O$3*(T495-$T$1)/$T$2+$P$3*(U495-$U$1)/$U$2)/(SUM($L$3:$P$3))</f>
        <v>-1.5556481857600106</v>
      </c>
      <c r="AO495" s="47">
        <f>IF(AVERAGE(AH495:AI495)&gt;9,1,0)+IF(AVERAGE(AH495:AI495)&gt;7,1,0)+IF(AH495&gt;7,1,0)+IF(AI495&gt;7,1,0)+IF(AJ495&gt;8,1,0)+IF(AJ495&gt;6,1,0)</f>
        <v>0</v>
      </c>
      <c r="AP495" s="48">
        <f>MIN(2,IF(OR(Z495="-",X495&lt;5),0,1+IF(Y495&gt;7,0.35,IF(Y495&gt;5,0.1,0))+IF(Z495&gt;7,1+IF(X495&gt;7,0.25,0),IF(Z495&gt;4,0.5+IF(X495&gt;7,0.25,0),0+IF(X495&gt;7,0.25))))+IF(AA495="-",0,IF(AA495&gt;9,0.5,IF(AA495&gt;7,0.25,0)))+IF(AB495="-",0,IF(AB495&gt;7,1.1,IF(AB495&gt;4,0.6,0)))+IF(OR(AC495="-",V495&lt;5),0,IF(AC495&gt;7,1+IF(V495&gt;7,0.25,0),IF(AC495&gt;4,0.5+IF(V495&gt;7,0.25,0),0)))+IF(AD495="-",0,IF(AD495&gt;7,1.5,IF(AD495&gt;4,1,0)))+IF(AE495="-",0,IF(AE495&gt;9,0.5,IF(AE495&gt;7,0.25,0)))+IF(AF495="-",0,IF(AF495&gt;7,1.25,IF(AF495&gt;4,0.75,0)))+IF(OR(AG495="-",W495&lt;4),0,IF(AG495&gt;7,1+IF(W495&gt;7,0.15,0),IF(AG495&gt;4,0.5+IF(W495&gt;7,0.15,0),0))))</f>
        <v>0</v>
      </c>
      <c r="AQ495" s="46">
        <f>($AM$3*AM495+$AN$3*AN495+$AO$3*AO495+$AP$3*AP495)+$I$3*VLOOKUP(I495,COND!$A$2:$E$7,4,FALSE)+$J$3*VLOOKUP(J495,COND!$A$2:$C$7,2,FALSE)+$K$3*VLOOKUP(K495,COND!$A$2:$C$7,3,FALSE)+IF(AND($B$2&gt;0,$E495&lt;20),$B$2*25,0)</f>
        <v>31.657093585299503</v>
      </c>
      <c r="AR495" s="49">
        <f>STANDARDIZE(AQ495,AVERAGE($AQ$5:$AQ$537),STDEVP($AQ$5:$AQ$537))</f>
        <v>-1.5291507422909696</v>
      </c>
      <c r="AS495" s="47" t="str">
        <f>IF(AND(Z495&lt;&gt;"-",Y495&gt;1),"C",IF(AB495=MAX(AB495:AD495),"2B",IF(AD495=MAX(AB495:AD495),"SS",IF(OR(AC495=MAX(AA495:AD495),AND(AC495&lt;&gt;"-",AC495&gt;4,V495&gt;5)),"3B",IF(AF495=MAX(AE495:AG495),"CF",IF(AND(AG495=MAX(AE495,AG495),AND(W495&gt;5,AG495&lt;&gt;"-")),"RF",IF(AE495&lt;&gt;"-","LF",IF(AA495&lt;&gt;"-","1B","DH"))))))))</f>
        <v>DH</v>
      </c>
      <c r="AT495" s="47"/>
      <c r="AU495" s="47"/>
      <c r="AV495" s="47"/>
      <c r="AW495" s="47" t="str">
        <f>IF(AND($Q495&gt;=6,AVERAGE($S495:$T495)&gt;=6),"Likely",IF(OR($Q495&gt;6,AND($Q495=6,AVERAGE($S495:$T495)&gt;=3),AND($Q495&gt;=5,AVERAGE($S495:$T495)&gt;=5),AVERAGE($Q495,$S495:$T495)&gt;5),"Possible","Unlikely"))</f>
        <v>Unlikely</v>
      </c>
      <c r="AX495" s="47"/>
      <c r="AY495" s="47" t="str">
        <f>INDEX(Table5[[#All],[Ovr]],MATCH(Batters[[#This Row],[PID]],Table5[[#All],[PID]],0))</f>
        <v/>
      </c>
      <c r="AZ495" s="47" t="str">
        <f>INDEX(Table5[[#All],[Rnd]],MATCH(Batters[[#This Row],[PID]],Table5[[#All],[PID]],0))</f>
        <v/>
      </c>
      <c r="BA495" s="47" t="str">
        <f>INDEX(Table5[[#All],[Pick]],MATCH(Batters[[#This Row],[PID]],Table5[[#All],[PID]],0))</f>
        <v/>
      </c>
      <c r="BB495" s="47" t="str">
        <f>INDEX(Table5[[#All],[Team]],MATCH(Batters[[#This Row],[PID]],Table5[[#All],[PID]],0))</f>
        <v/>
      </c>
    </row>
    <row r="496" spans="1:54" ht="15" customHeight="1" x14ac:dyDescent="0.25">
      <c r="A496" s="42">
        <v>6944</v>
      </c>
      <c r="B496" s="42" t="s">
        <v>86</v>
      </c>
      <c r="C496" s="42" t="s">
        <v>1355</v>
      </c>
      <c r="D496" s="42" t="s">
        <v>661</v>
      </c>
      <c r="E496" s="42">
        <v>21</v>
      </c>
      <c r="F496" s="42" t="s">
        <v>42</v>
      </c>
      <c r="G496" s="42" t="s">
        <v>42</v>
      </c>
      <c r="H496" s="43" t="s">
        <v>709</v>
      </c>
      <c r="I496" s="44" t="s">
        <v>43</v>
      </c>
      <c r="J496" s="42" t="s">
        <v>44</v>
      </c>
      <c r="K496" s="43" t="s">
        <v>43</v>
      </c>
      <c r="L496" s="42">
        <v>2</v>
      </c>
      <c r="M496" s="42">
        <v>4</v>
      </c>
      <c r="N496" s="42">
        <v>3</v>
      </c>
      <c r="O496" s="42">
        <v>3</v>
      </c>
      <c r="P496" s="43">
        <v>1</v>
      </c>
      <c r="Q496" s="42">
        <v>2</v>
      </c>
      <c r="R496" s="42">
        <v>4</v>
      </c>
      <c r="S496" s="42">
        <v>4</v>
      </c>
      <c r="T496" s="42">
        <v>5</v>
      </c>
      <c r="U496" s="43">
        <v>2</v>
      </c>
      <c r="V496" s="42">
        <v>1</v>
      </c>
      <c r="W496" s="42">
        <v>1</v>
      </c>
      <c r="X496" s="42">
        <v>3</v>
      </c>
      <c r="Y496" s="43">
        <v>7</v>
      </c>
      <c r="Z496" s="42" t="s">
        <v>45</v>
      </c>
      <c r="AA496" s="42" t="s">
        <v>45</v>
      </c>
      <c r="AB496" s="42" t="s">
        <v>45</v>
      </c>
      <c r="AC496" s="42" t="s">
        <v>45</v>
      </c>
      <c r="AD496" s="42" t="s">
        <v>45</v>
      </c>
      <c r="AE496" s="42" t="s">
        <v>45</v>
      </c>
      <c r="AF496" s="42" t="s">
        <v>45</v>
      </c>
      <c r="AG496" s="43" t="s">
        <v>45</v>
      </c>
      <c r="AH496" s="42">
        <v>1</v>
      </c>
      <c r="AI496" s="42">
        <v>2</v>
      </c>
      <c r="AJ496" s="43">
        <v>1</v>
      </c>
      <c r="AK496" s="45" t="s">
        <v>45</v>
      </c>
      <c r="AL496" s="45" t="s">
        <v>705</v>
      </c>
      <c r="AM496" s="46">
        <f>($L$3*(L496-$Q$1)/$Q$2+$M$3*(M496-$R$1)/$R$2+$N$3*(N496-$S$1)/$S$2+$O$3*(O496-$T$1)/$T$2+$P$3*(P496-$U$1)/$U$2)/(SUM($L$3:$P$3))</f>
        <v>-1.2630657867018216</v>
      </c>
      <c r="AN496" s="46">
        <f>($L$3*(Q496-$Q$1)/$Q$2+$M$3*(R496-$R$1)/$R$2+$N$3*(S496-$S$1)/$S$2+$O$3*(T496-$T$1)/$T$2+$P$3*(U496-$U$1)/$U$2)/(SUM($L$3:$P$3))</f>
        <v>-0.96056885284167481</v>
      </c>
      <c r="AO496" s="47">
        <f>IF(AVERAGE(AH496:AI496)&gt;9,1,0)+IF(AVERAGE(AH496:AI496)&gt;7,1,0)+IF(AH496&gt;7,1,0)+IF(AI496&gt;7,1,0)+IF(AJ496&gt;8,1,0)+IF(AJ496&gt;6,1,0)</f>
        <v>0</v>
      </c>
      <c r="AP496" s="48">
        <f>MIN(2,IF(OR(Z496="-",X496&lt;5),0,1+IF(Y496&gt;7,0.35,IF(Y496&gt;5,0.1,0))+IF(Z496&gt;7,1+IF(X496&gt;7,0.25,0),IF(Z496&gt;4,0.5+IF(X496&gt;7,0.25,0),0+IF(X496&gt;7,0.25))))+IF(AA496="-",0,IF(AA496&gt;9,0.5,IF(AA496&gt;7,0.25,0)))+IF(AB496="-",0,IF(AB496&gt;7,1.1,IF(AB496&gt;4,0.6,0)))+IF(OR(AC496="-",V496&lt;5),0,IF(AC496&gt;7,1+IF(V496&gt;7,0.25,0),IF(AC496&gt;4,0.5+IF(V496&gt;7,0.25,0),0)))+IF(AD496="-",0,IF(AD496&gt;7,1.5,IF(AD496&gt;4,1,0)))+IF(AE496="-",0,IF(AE496&gt;9,0.5,IF(AE496&gt;7,0.25,0)))+IF(AF496="-",0,IF(AF496&gt;7,1.25,IF(AF496&gt;4,0.75,0)))+IF(OR(AG496="-",W496&lt;4),0,IF(AG496&gt;7,1+IF(W496&gt;7,0.15,0),IF(AG496&gt;4,0.5+IF(W496&gt;7,0.15,0),0))))</f>
        <v>0</v>
      </c>
      <c r="AQ496" s="46">
        <f>($AM$3*AM496+$AN$3*AN496+$AO$3*AO496+$AP$3*AP496)+$I$3*VLOOKUP(I496,COND!$A$2:$E$7,4,FALSE)+$J$3*VLOOKUP(J496,COND!$A$2:$C$7,2,FALSE)+$K$3*VLOOKUP(K496,COND!$A$2:$C$7,3,FALSE)+IF(AND($B$2&gt;0,$E496&lt;20),$B$2*25,0)</f>
        <v>33.046867187229722</v>
      </c>
      <c r="AR496" s="49">
        <f>STANDARDIZE(AQ496,AVERAGE($AQ$5:$AQ$537),STDEVP($AQ$5:$AQ$537))</f>
        <v>-1.284629313888332</v>
      </c>
      <c r="AS496" s="47" t="str">
        <f>IF(AND(Z496&lt;&gt;"-",Y496&gt;1),"C",IF(AB496=MAX(AB496:AD496),"2B",IF(AD496=MAX(AB496:AD496),"SS",IF(OR(AC496=MAX(AA496:AD496),AND(AC496&lt;&gt;"-",AC496&gt;4,V496&gt;5)),"3B",IF(AF496=MAX(AE496:AG496),"CF",IF(AND(AG496=MAX(AE496,AG496),AND(W496&gt;5,AG496&lt;&gt;"-")),"RF",IF(AE496&lt;&gt;"-","LF",IF(AA496&lt;&gt;"-","1B","DH"))))))))</f>
        <v>DH</v>
      </c>
      <c r="AT496" s="47"/>
      <c r="AU496" s="47"/>
      <c r="AV496" s="47"/>
      <c r="AW496" s="47" t="str">
        <f>IF(AND($Q496&gt;=6,AVERAGE($S496:$T496)&gt;=6),"Likely",IF(OR($Q496&gt;6,AND($Q496=6,AVERAGE($S496:$T496)&gt;=3),AND($Q496&gt;=5,AVERAGE($S496:$T496)&gt;=5),AVERAGE($Q496,$S496:$T496)&gt;5),"Possible","Unlikely"))</f>
        <v>Unlikely</v>
      </c>
      <c r="AX496" s="47"/>
      <c r="AY496" s="47" t="str">
        <f>INDEX(Table5[[#All],[Ovr]],MATCH(Batters[[#This Row],[PID]],Table5[[#All],[PID]],0))</f>
        <v/>
      </c>
      <c r="AZ496" s="47" t="str">
        <f>INDEX(Table5[[#All],[Rnd]],MATCH(Batters[[#This Row],[PID]],Table5[[#All],[PID]],0))</f>
        <v/>
      </c>
      <c r="BA496" s="47" t="str">
        <f>INDEX(Table5[[#All],[Pick]],MATCH(Batters[[#This Row],[PID]],Table5[[#All],[PID]],0))</f>
        <v/>
      </c>
      <c r="BB496" s="47" t="str">
        <f>INDEX(Table5[[#All],[Team]],MATCH(Batters[[#This Row],[PID]],Table5[[#All],[PID]],0))</f>
        <v/>
      </c>
    </row>
    <row r="497" spans="1:54" ht="15" customHeight="1" x14ac:dyDescent="0.25">
      <c r="A497" s="42">
        <v>17926</v>
      </c>
      <c r="B497" s="42" t="s">
        <v>87</v>
      </c>
      <c r="C497" s="42" t="s">
        <v>1337</v>
      </c>
      <c r="D497" s="42" t="s">
        <v>1338</v>
      </c>
      <c r="E497" s="42">
        <v>18</v>
      </c>
      <c r="F497" s="42" t="s">
        <v>42</v>
      </c>
      <c r="G497" s="42" t="s">
        <v>42</v>
      </c>
      <c r="H497" s="43" t="s">
        <v>721</v>
      </c>
      <c r="I497" s="44" t="s">
        <v>43</v>
      </c>
      <c r="J497" s="42" t="s">
        <v>43</v>
      </c>
      <c r="K497" s="43" t="s">
        <v>43</v>
      </c>
      <c r="L497" s="42">
        <v>1</v>
      </c>
      <c r="M497" s="42">
        <v>2</v>
      </c>
      <c r="N497" s="42">
        <v>2</v>
      </c>
      <c r="O497" s="42">
        <v>1</v>
      </c>
      <c r="P497" s="43">
        <v>1</v>
      </c>
      <c r="Q497" s="42">
        <v>2</v>
      </c>
      <c r="R497" s="42">
        <v>2</v>
      </c>
      <c r="S497" s="42">
        <v>2</v>
      </c>
      <c r="T497" s="42">
        <v>2</v>
      </c>
      <c r="U497" s="43">
        <v>3</v>
      </c>
      <c r="V497" s="42">
        <v>6</v>
      </c>
      <c r="W497" s="42">
        <v>2</v>
      </c>
      <c r="X497" s="42">
        <v>1</v>
      </c>
      <c r="Y497" s="43">
        <v>1</v>
      </c>
      <c r="Z497" s="42" t="s">
        <v>45</v>
      </c>
      <c r="AA497" s="42" t="s">
        <v>45</v>
      </c>
      <c r="AB497" s="42" t="s">
        <v>45</v>
      </c>
      <c r="AC497" s="42" t="s">
        <v>45</v>
      </c>
      <c r="AD497" s="42" t="s">
        <v>45</v>
      </c>
      <c r="AE497" s="42" t="s">
        <v>45</v>
      </c>
      <c r="AF497" s="42" t="s">
        <v>45</v>
      </c>
      <c r="AG497" s="43" t="s">
        <v>45</v>
      </c>
      <c r="AH497" s="42">
        <v>1</v>
      </c>
      <c r="AI497" s="42">
        <v>2</v>
      </c>
      <c r="AJ497" s="43">
        <v>2</v>
      </c>
      <c r="AK497" s="45" t="s">
        <v>718</v>
      </c>
      <c r="AL497" s="45" t="s">
        <v>705</v>
      </c>
      <c r="AM497" s="46">
        <f>($L$3*(L497-$Q$1)/$Q$2+$M$3*(M497-$R$1)/$R$2+$N$3*(N497-$S$1)/$S$2+$O$3*(O497-$T$1)/$T$2+$P$3*(P497-$U$1)/$U$2)/(SUM($L$3:$P$3))</f>
        <v>-1.9502219761849671</v>
      </c>
      <c r="AN497" s="46">
        <f>($L$3*(Q497-$Q$1)/$Q$2+$M$3*(R497-$R$1)/$R$2+$N$3*(S497-$S$1)/$S$2+$O$3*(T497-$T$1)/$T$2+$P$3*(U497-$U$1)/$U$2)/(SUM($L$3:$P$3))</f>
        <v>-1.4579239103385446</v>
      </c>
      <c r="AO497" s="47">
        <f>IF(AVERAGE(AH497:AI497)&gt;9,1,0)+IF(AVERAGE(AH497:AI497)&gt;7,1,0)+IF(AH497&gt;7,1,0)+IF(AI497&gt;7,1,0)+IF(AJ497&gt;8,1,0)+IF(AJ497&gt;6,1,0)</f>
        <v>0</v>
      </c>
      <c r="AP497" s="48">
        <f>MIN(2,IF(OR(Z497="-",X497&lt;5),0,1+IF(Y497&gt;7,0.35,IF(Y497&gt;5,0.1,0))+IF(Z497&gt;7,1+IF(X497&gt;7,0.25,0),IF(Z497&gt;4,0.5+IF(X497&gt;7,0.25,0),0+IF(X497&gt;7,0.25))))+IF(AA497="-",0,IF(AA497&gt;9,0.5,IF(AA497&gt;7,0.25,0)))+IF(AB497="-",0,IF(AB497&gt;7,1.1,IF(AB497&gt;4,0.6,0)))+IF(OR(AC497="-",V497&lt;5),0,IF(AC497&gt;7,1+IF(V497&gt;7,0.25,0),IF(AC497&gt;4,0.5+IF(V497&gt;7,0.25,0),0)))+IF(AD497="-",0,IF(AD497&gt;7,1.5,IF(AD497&gt;4,1,0)))+IF(AE497="-",0,IF(AE497&gt;9,0.5,IF(AE497&gt;7,0.25,0)))+IF(AF497="-",0,IF(AF497&gt;7,1.25,IF(AF497&gt;4,0.75,0)))+IF(OR(AG497="-",W497&lt;4),0,IF(AG497&gt;7,1+IF(W497&gt;7,0.15,0),IF(AG497&gt;4,0.5+IF(W497&gt;7,0.15,0),0))))</f>
        <v>0</v>
      </c>
      <c r="AQ497" s="46">
        <f>($AM$3*AM497+$AN$3*AN497+$AO$3*AO497+$AP$3*AP497)+$I$3*VLOOKUP(I497,COND!$A$2:$E$7,4,FALSE)+$J$3*VLOOKUP(J497,COND!$A$2:$C$7,2,FALSE)+$K$3*VLOOKUP(K497,COND!$A$2:$C$7,3,FALSE)+IF(AND($B$2&gt;0,$E497&lt;20),$B$2*25,0)</f>
        <v>32.309890878318967</v>
      </c>
      <c r="AR497" s="49">
        <f>STANDARDIZE(AQ497,AVERAGE($AQ$5:$AQ$537),STDEVP($AQ$5:$AQ$537))</f>
        <v>-1.4142953972730483</v>
      </c>
      <c r="AS497" s="47" t="str">
        <f>IF(AND(Z497&lt;&gt;"-",Y497&gt;1),"C",IF(AB497=MAX(AB497:AD497),"2B",IF(AD497=MAX(AB497:AD497),"SS",IF(OR(AC497=MAX(AA497:AD497),AND(AC497&lt;&gt;"-",AC497&gt;4,V497&gt;5)),"3B",IF(AF497=MAX(AE497:AG497),"CF",IF(AND(AG497=MAX(AE497,AG497),AND(W497&gt;5,AG497&lt;&gt;"-")),"RF",IF(AE497&lt;&gt;"-","LF",IF(AA497&lt;&gt;"-","1B","DH"))))))))</f>
        <v>DH</v>
      </c>
      <c r="AT497" s="47"/>
      <c r="AU497" s="47"/>
      <c r="AV497" s="47"/>
      <c r="AW497" s="47" t="str">
        <f>IF(AND($Q497&gt;=6,AVERAGE($S497:$T497)&gt;=6),"Likely",IF(OR($Q497&gt;6,AND($Q497=6,AVERAGE($S497:$T497)&gt;=3),AND($Q497&gt;=5,AVERAGE($S497:$T497)&gt;=5),AVERAGE($Q497,$S497:$T497)&gt;5),"Possible","Unlikely"))</f>
        <v>Unlikely</v>
      </c>
      <c r="AX497" s="47"/>
      <c r="AY497" s="47" t="str">
        <f>INDEX(Table5[[#All],[Ovr]],MATCH(Batters[[#This Row],[PID]],Table5[[#All],[PID]],0))</f>
        <v/>
      </c>
      <c r="AZ497" s="47" t="str">
        <f>INDEX(Table5[[#All],[Rnd]],MATCH(Batters[[#This Row],[PID]],Table5[[#All],[PID]],0))</f>
        <v/>
      </c>
      <c r="BA497" s="47" t="str">
        <f>INDEX(Table5[[#All],[Pick]],MATCH(Batters[[#This Row],[PID]],Table5[[#All],[PID]],0))</f>
        <v/>
      </c>
      <c r="BB497" s="47" t="str">
        <f>INDEX(Table5[[#All],[Team]],MATCH(Batters[[#This Row],[PID]],Table5[[#All],[PID]],0))</f>
        <v/>
      </c>
    </row>
    <row r="498" spans="1:54" ht="15" customHeight="1" x14ac:dyDescent="0.25">
      <c r="A498" s="42">
        <v>9851</v>
      </c>
      <c r="B498" s="42" t="s">
        <v>87</v>
      </c>
      <c r="C498" s="42" t="s">
        <v>140</v>
      </c>
      <c r="D498" s="42" t="s">
        <v>1266</v>
      </c>
      <c r="E498" s="42">
        <v>21</v>
      </c>
      <c r="F498" s="42" t="s">
        <v>53</v>
      </c>
      <c r="G498" s="42" t="s">
        <v>53</v>
      </c>
      <c r="H498" s="43" t="s">
        <v>721</v>
      </c>
      <c r="I498" s="44" t="s">
        <v>43</v>
      </c>
      <c r="J498" s="42" t="s">
        <v>43</v>
      </c>
      <c r="K498" s="43" t="s">
        <v>43</v>
      </c>
      <c r="L498" s="42">
        <v>2</v>
      </c>
      <c r="M498" s="42">
        <v>2</v>
      </c>
      <c r="N498" s="42">
        <v>2</v>
      </c>
      <c r="O498" s="42">
        <v>1</v>
      </c>
      <c r="P498" s="43">
        <v>2</v>
      </c>
      <c r="Q498" s="42">
        <v>3</v>
      </c>
      <c r="R498" s="42">
        <v>3</v>
      </c>
      <c r="S498" s="42">
        <v>2</v>
      </c>
      <c r="T498" s="42">
        <v>2</v>
      </c>
      <c r="U498" s="43">
        <v>4</v>
      </c>
      <c r="V498" s="42">
        <v>4</v>
      </c>
      <c r="W498" s="42">
        <v>4</v>
      </c>
      <c r="X498" s="42">
        <v>1</v>
      </c>
      <c r="Y498" s="43">
        <v>1</v>
      </c>
      <c r="Z498" s="42" t="s">
        <v>45</v>
      </c>
      <c r="AA498" s="42" t="s">
        <v>45</v>
      </c>
      <c r="AB498" s="42" t="s">
        <v>45</v>
      </c>
      <c r="AC498" s="42" t="s">
        <v>45</v>
      </c>
      <c r="AD498" s="42" t="s">
        <v>45</v>
      </c>
      <c r="AE498" s="42" t="s">
        <v>45</v>
      </c>
      <c r="AF498" s="42" t="s">
        <v>45</v>
      </c>
      <c r="AG498" s="43" t="s">
        <v>45</v>
      </c>
      <c r="AH498" s="42">
        <v>2</v>
      </c>
      <c r="AI498" s="42">
        <v>1</v>
      </c>
      <c r="AJ498" s="43">
        <v>1</v>
      </c>
      <c r="AK498" s="45" t="s">
        <v>723</v>
      </c>
      <c r="AL498" s="45" t="s">
        <v>47</v>
      </c>
      <c r="AM498" s="46">
        <f>($L$3*(L498-$Q$1)/$Q$2+$M$3*(M498-$R$1)/$R$2+$N$3*(N498-$S$1)/$S$2+$O$3*(O498-$T$1)/$T$2+$P$3*(P498-$U$1)/$U$2)/(SUM($L$3:$P$3))</f>
        <v>-1.5876498001652086</v>
      </c>
      <c r="AN498" s="46">
        <f>($L$3*(Q498-$Q$1)/$Q$2+$M$3*(R498-$R$1)/$R$2+$N$3*(S498-$S$1)/$S$2+$O$3*(T498-$T$1)/$T$2+$P$3*(U498-$U$1)/$U$2)/(SUM($L$3:$P$3))</f>
        <v>-1.0442918547000826</v>
      </c>
      <c r="AO498" s="47">
        <f>IF(AVERAGE(AH498:AI498)&gt;9,1,0)+IF(AVERAGE(AH498:AI498)&gt;7,1,0)+IF(AH498&gt;7,1,0)+IF(AI498&gt;7,1,0)+IF(AJ498&gt;8,1,0)+IF(AJ498&gt;6,1,0)</f>
        <v>0</v>
      </c>
      <c r="AP498" s="48">
        <f>MIN(2,IF(OR(Z498="-",X498&lt;5),0,1+IF(Y498&gt;7,0.35,IF(Y498&gt;5,0.1,0))+IF(Z498&gt;7,1+IF(X498&gt;7,0.25,0),IF(Z498&gt;4,0.5+IF(X498&gt;7,0.25,0),0+IF(X498&gt;7,0.25))))+IF(AA498="-",0,IF(AA498&gt;9,0.5,IF(AA498&gt;7,0.25,0)))+IF(AB498="-",0,IF(AB498&gt;7,1.1,IF(AB498&gt;4,0.6,0)))+IF(OR(AC498="-",V498&lt;5),0,IF(AC498&gt;7,1+IF(V498&gt;7,0.25,0),IF(AC498&gt;4,0.5+IF(V498&gt;7,0.25,0),0)))+IF(AD498="-",0,IF(AD498&gt;7,1.5,IF(AD498&gt;4,1,0)))+IF(AE498="-",0,IF(AE498&gt;9,0.5,IF(AE498&gt;7,0.25,0)))+IF(AF498="-",0,IF(AF498&gt;7,1.25,IF(AF498&gt;4,0.75,0)))+IF(OR(AG498="-",W498&lt;4),0,IF(AG498&gt;7,1+IF(W498&gt;7,0.15,0),IF(AG498&gt;4,0.5+IF(W498&gt;7,0.15,0),0))))</f>
        <v>0</v>
      </c>
      <c r="AQ498" s="46">
        <f>($AM$3*AM498+$AN$3*AN498+$AO$3*AO498+$AP$3*AP498)+$I$3*VLOOKUP(I498,COND!$A$2:$E$7,4,FALSE)+$J$3*VLOOKUP(J498,COND!$A$2:$C$7,2,FALSE)+$K$3*VLOOKUP(K498,COND!$A$2:$C$7,3,FALSE)+IF(AND($B$2&gt;0,$E498&lt;20),$B$2*25,0)</f>
        <v>32.309732763582488</v>
      </c>
      <c r="AR498" s="49">
        <f>STANDARDIZE(AQ498,AVERAGE($AQ$5:$AQ$537),STDEVP($AQ$5:$AQ$537))</f>
        <v>-1.4143232165100532</v>
      </c>
      <c r="AS498" s="47" t="str">
        <f>IF(AND(Z498&lt;&gt;"-",Y498&gt;1),"C",IF(AB498=MAX(AB498:AD498),"2B",IF(AD498=MAX(AB498:AD498),"SS",IF(OR(AC498=MAX(AA498:AD498),AND(AC498&lt;&gt;"-",AC498&gt;4,V498&gt;5)),"3B",IF(AF498=MAX(AE498:AG498),"CF",IF(AND(AG498=MAX(AE498,AG498),AND(W498&gt;5,AG498&lt;&gt;"-")),"RF",IF(AE498&lt;&gt;"-","LF",IF(AA498&lt;&gt;"-","1B","DH"))))))))</f>
        <v>DH</v>
      </c>
      <c r="AT498" s="47"/>
      <c r="AU498" s="47"/>
      <c r="AV498" s="47"/>
      <c r="AW498" s="47" t="str">
        <f>IF(AND($Q498&gt;=6,AVERAGE($S498:$T498)&gt;=6),"Likely",IF(OR($Q498&gt;6,AND($Q498=6,AVERAGE($S498:$T498)&gt;=3),AND($Q498&gt;=5,AVERAGE($S498:$T498)&gt;=5),AVERAGE($Q498,$S498:$T498)&gt;5),"Possible","Unlikely"))</f>
        <v>Unlikely</v>
      </c>
      <c r="AX498" s="47"/>
      <c r="AY498" s="47" t="str">
        <f>INDEX(Table5[[#All],[Ovr]],MATCH(Batters[[#This Row],[PID]],Table5[[#All],[PID]],0))</f>
        <v/>
      </c>
      <c r="AZ498" s="47" t="str">
        <f>INDEX(Table5[[#All],[Rnd]],MATCH(Batters[[#This Row],[PID]],Table5[[#All],[PID]],0))</f>
        <v/>
      </c>
      <c r="BA498" s="47" t="str">
        <f>INDEX(Table5[[#All],[Pick]],MATCH(Batters[[#This Row],[PID]],Table5[[#All],[PID]],0))</f>
        <v/>
      </c>
      <c r="BB498" s="47" t="str">
        <f>INDEX(Table5[[#All],[Team]],MATCH(Batters[[#This Row],[PID]],Table5[[#All],[PID]],0))</f>
        <v/>
      </c>
    </row>
    <row r="499" spans="1:54" ht="15" customHeight="1" x14ac:dyDescent="0.25">
      <c r="A499" s="42">
        <v>9533</v>
      </c>
      <c r="B499" s="42" t="s">
        <v>87</v>
      </c>
      <c r="C499" s="42" t="s">
        <v>720</v>
      </c>
      <c r="D499" s="42" t="s">
        <v>202</v>
      </c>
      <c r="E499" s="42">
        <v>21</v>
      </c>
      <c r="F499" s="42" t="s">
        <v>42</v>
      </c>
      <c r="G499" s="42" t="s">
        <v>53</v>
      </c>
      <c r="H499" s="43" t="s">
        <v>721</v>
      </c>
      <c r="I499" s="44" t="s">
        <v>43</v>
      </c>
      <c r="J499" s="42" t="s">
        <v>43</v>
      </c>
      <c r="K499" s="43" t="s">
        <v>43</v>
      </c>
      <c r="L499" s="42">
        <v>2</v>
      </c>
      <c r="M499" s="42">
        <v>2</v>
      </c>
      <c r="N499" s="42">
        <v>2</v>
      </c>
      <c r="O499" s="42">
        <v>1</v>
      </c>
      <c r="P499" s="43">
        <v>2</v>
      </c>
      <c r="Q499" s="42">
        <v>3</v>
      </c>
      <c r="R499" s="42">
        <v>3</v>
      </c>
      <c r="S499" s="42">
        <v>2</v>
      </c>
      <c r="T499" s="42">
        <v>2</v>
      </c>
      <c r="U499" s="43">
        <v>4</v>
      </c>
      <c r="V499" s="42">
        <v>4</v>
      </c>
      <c r="W499" s="42">
        <v>4</v>
      </c>
      <c r="X499" s="42">
        <v>1</v>
      </c>
      <c r="Y499" s="43">
        <v>1</v>
      </c>
      <c r="Z499" s="42" t="s">
        <v>45</v>
      </c>
      <c r="AA499" s="42">
        <v>1</v>
      </c>
      <c r="AB499" s="42" t="s">
        <v>45</v>
      </c>
      <c r="AC499" s="42" t="s">
        <v>45</v>
      </c>
      <c r="AD499" s="42" t="s">
        <v>45</v>
      </c>
      <c r="AE499" s="42" t="s">
        <v>45</v>
      </c>
      <c r="AF499" s="42" t="s">
        <v>45</v>
      </c>
      <c r="AG499" s="43" t="s">
        <v>45</v>
      </c>
      <c r="AH499" s="42">
        <v>1</v>
      </c>
      <c r="AI499" s="42">
        <v>1</v>
      </c>
      <c r="AJ499" s="43">
        <v>2</v>
      </c>
      <c r="AK499" s="45" t="s">
        <v>45</v>
      </c>
      <c r="AL499" s="45" t="s">
        <v>47</v>
      </c>
      <c r="AM499" s="46">
        <f>($L$3*(L499-$Q$1)/$Q$2+$M$3*(M499-$R$1)/$R$2+$N$3*(N499-$S$1)/$S$2+$O$3*(O499-$T$1)/$T$2+$P$3*(P499-$U$1)/$U$2)/(SUM($L$3:$P$3))</f>
        <v>-1.5876498001652086</v>
      </c>
      <c r="AN499" s="46">
        <f>($L$3*(Q499-$Q$1)/$Q$2+$M$3*(R499-$R$1)/$R$2+$N$3*(S499-$S$1)/$S$2+$O$3*(T499-$T$1)/$T$2+$P$3*(U499-$U$1)/$U$2)/(SUM($L$3:$P$3))</f>
        <v>-1.0442918547000826</v>
      </c>
      <c r="AO499" s="47">
        <f>IF(AVERAGE(AH499:AI499)&gt;9,1,0)+IF(AVERAGE(AH499:AI499)&gt;7,1,0)+IF(AH499&gt;7,1,0)+IF(AI499&gt;7,1,0)+IF(AJ499&gt;8,1,0)+IF(AJ499&gt;6,1,0)</f>
        <v>0</v>
      </c>
      <c r="AP499" s="48">
        <f>MIN(2,IF(OR(Z499="-",X499&lt;5),0,1+IF(Y499&gt;7,0.35,IF(Y499&gt;5,0.1,0))+IF(Z499&gt;7,1+IF(X499&gt;7,0.25,0),IF(Z499&gt;4,0.5+IF(X499&gt;7,0.25,0),0+IF(X499&gt;7,0.25))))+IF(AA499="-",0,IF(AA499&gt;9,0.5,IF(AA499&gt;7,0.25,0)))+IF(AB499="-",0,IF(AB499&gt;7,1.1,IF(AB499&gt;4,0.6,0)))+IF(OR(AC499="-",V499&lt;5),0,IF(AC499&gt;7,1+IF(V499&gt;7,0.25,0),IF(AC499&gt;4,0.5+IF(V499&gt;7,0.25,0),0)))+IF(AD499="-",0,IF(AD499&gt;7,1.5,IF(AD499&gt;4,1,0)))+IF(AE499="-",0,IF(AE499&gt;9,0.5,IF(AE499&gt;7,0.25,0)))+IF(AF499="-",0,IF(AF499&gt;7,1.25,IF(AF499&gt;4,0.75,0)))+IF(OR(AG499="-",W499&lt;4),0,IF(AG499&gt;7,1+IF(W499&gt;7,0.15,0),IF(AG499&gt;4,0.5+IF(W499&gt;7,0.15,0),0))))</f>
        <v>0</v>
      </c>
      <c r="AQ499" s="46">
        <f>($AM$3*AM499+$AN$3*AN499+$AO$3*AO499+$AP$3*AP499)+$I$3*VLOOKUP(I499,COND!$A$2:$E$7,4,FALSE)+$J$3*VLOOKUP(J499,COND!$A$2:$C$7,2,FALSE)+$K$3*VLOOKUP(K499,COND!$A$2:$C$7,3,FALSE)+IF(AND($B$2&gt;0,$E499&lt;20),$B$2*25,0)</f>
        <v>32.309732763582488</v>
      </c>
      <c r="AR499" s="49">
        <f>STANDARDIZE(AQ499,AVERAGE($AQ$5:$AQ$537),STDEVP($AQ$5:$AQ$537))</f>
        <v>-1.4143232165100532</v>
      </c>
      <c r="AS499" s="47" t="str">
        <f>IF(AND(Z499&lt;&gt;"-",Y499&gt;1),"C",IF(AB499=MAX(AB499:AD499),"2B",IF(AD499=MAX(AB499:AD499),"SS",IF(OR(AC499=MAX(AA499:AD499),AND(AC499&lt;&gt;"-",AC499&gt;4,V499&gt;5)),"3B",IF(AF499=MAX(AE499:AG499),"CF",IF(AND(AG499=MAX(AE499,AG499),AND(W499&gt;5,AG499&lt;&gt;"-")),"RF",IF(AE499&lt;&gt;"-","LF",IF(AA499&lt;&gt;"-","1B","DH"))))))))</f>
        <v>1B</v>
      </c>
      <c r="AT499" s="47"/>
      <c r="AU499" s="47"/>
      <c r="AV499" s="47"/>
      <c r="AW499" s="47" t="str">
        <f>IF(AND($Q499&gt;=6,AVERAGE($S499:$T499)&gt;=6),"Likely",IF(OR($Q499&gt;6,AND($Q499=6,AVERAGE($S499:$T499)&gt;=3),AND($Q499&gt;=5,AVERAGE($S499:$T499)&gt;=5),AVERAGE($Q499,$S499:$T499)&gt;5),"Possible","Unlikely"))</f>
        <v>Unlikely</v>
      </c>
      <c r="AX499" s="47"/>
      <c r="AY499" s="47" t="str">
        <f>INDEX(Table5[[#All],[Ovr]],MATCH(Batters[[#This Row],[PID]],Table5[[#All],[PID]],0))</f>
        <v/>
      </c>
      <c r="AZ499" s="47" t="str">
        <f>INDEX(Table5[[#All],[Rnd]],MATCH(Batters[[#This Row],[PID]],Table5[[#All],[PID]],0))</f>
        <v/>
      </c>
      <c r="BA499" s="47" t="str">
        <f>INDEX(Table5[[#All],[Pick]],MATCH(Batters[[#This Row],[PID]],Table5[[#All],[PID]],0))</f>
        <v/>
      </c>
      <c r="BB499" s="47" t="str">
        <f>INDEX(Table5[[#All],[Team]],MATCH(Batters[[#This Row],[PID]],Table5[[#All],[PID]],0))</f>
        <v/>
      </c>
    </row>
    <row r="500" spans="1:54" ht="15" customHeight="1" x14ac:dyDescent="0.25">
      <c r="A500" s="42">
        <v>12211</v>
      </c>
      <c r="B500" s="42" t="s">
        <v>71</v>
      </c>
      <c r="C500" s="42" t="s">
        <v>802</v>
      </c>
      <c r="D500" s="42" t="s">
        <v>1351</v>
      </c>
      <c r="E500" s="42">
        <v>21</v>
      </c>
      <c r="F500" s="42" t="s">
        <v>53</v>
      </c>
      <c r="G500" s="42" t="s">
        <v>42</v>
      </c>
      <c r="H500" s="43" t="s">
        <v>709</v>
      </c>
      <c r="I500" s="44" t="s">
        <v>43</v>
      </c>
      <c r="J500" s="42" t="s">
        <v>44</v>
      </c>
      <c r="K500" s="43" t="s">
        <v>47</v>
      </c>
      <c r="L500" s="42">
        <v>1</v>
      </c>
      <c r="M500" s="42">
        <v>2</v>
      </c>
      <c r="N500" s="42">
        <v>2</v>
      </c>
      <c r="O500" s="42">
        <v>3</v>
      </c>
      <c r="P500" s="43">
        <v>2</v>
      </c>
      <c r="Q500" s="42">
        <v>2</v>
      </c>
      <c r="R500" s="42">
        <v>3</v>
      </c>
      <c r="S500" s="42">
        <v>2</v>
      </c>
      <c r="T500" s="42">
        <v>5</v>
      </c>
      <c r="U500" s="43">
        <v>4</v>
      </c>
      <c r="V500" s="42">
        <v>8</v>
      </c>
      <c r="W500" s="42">
        <v>9</v>
      </c>
      <c r="X500" s="42">
        <v>1</v>
      </c>
      <c r="Y500" s="43">
        <v>1</v>
      </c>
      <c r="Z500" s="42" t="s">
        <v>45</v>
      </c>
      <c r="AA500" s="42" t="s">
        <v>45</v>
      </c>
      <c r="AB500" s="42">
        <v>6</v>
      </c>
      <c r="AC500" s="42" t="s">
        <v>45</v>
      </c>
      <c r="AD500" s="42">
        <v>2</v>
      </c>
      <c r="AE500" s="42" t="s">
        <v>45</v>
      </c>
      <c r="AF500" s="42" t="s">
        <v>45</v>
      </c>
      <c r="AG500" s="43" t="s">
        <v>45</v>
      </c>
      <c r="AH500" s="42">
        <v>5</v>
      </c>
      <c r="AI500" s="42">
        <v>7</v>
      </c>
      <c r="AJ500" s="43">
        <v>6</v>
      </c>
      <c r="AK500" s="45" t="s">
        <v>717</v>
      </c>
      <c r="AL500" s="45" t="s">
        <v>47</v>
      </c>
      <c r="AM500" s="46">
        <f>($L$3*(L500-$Q$1)/$Q$2+$M$3*(M500-$R$1)/$R$2+$N$3*(N500-$S$1)/$S$2+$O$3*(O500-$T$1)/$T$2+$P$3*(P500-$U$1)/$U$2)/(SUM($L$3:$P$3))</f>
        <v>-1.7307865363487211</v>
      </c>
      <c r="AN500" s="46">
        <f>($L$3*(Q500-$Q$1)/$Q$2+$M$3*(R500-$R$1)/$R$2+$N$3*(S500-$S$1)/$S$2+$O$3*(T500-$T$1)/$T$2+$P$3*(U500-$U$1)/$U$2)/(SUM($L$3:$P$3))</f>
        <v>-1.0977190408740143</v>
      </c>
      <c r="AO500" s="47">
        <f>IF(AVERAGE(AH500:AI500)&gt;9,1,0)+IF(AVERAGE(AH500:AI500)&gt;7,1,0)+IF(AH500&gt;7,1,0)+IF(AI500&gt;7,1,0)+IF(AJ500&gt;8,1,0)+IF(AJ500&gt;6,1,0)</f>
        <v>0</v>
      </c>
      <c r="AP500" s="48">
        <f>MIN(2,IF(OR(Z500="-",X500&lt;5),0,1+IF(Y500&gt;7,0.35,IF(Y500&gt;5,0.1,0))+IF(Z500&gt;7,1+IF(X500&gt;7,0.25,0),IF(Z500&gt;4,0.5+IF(X500&gt;7,0.25,0),0+IF(X500&gt;7,0.25))))+IF(AA500="-",0,IF(AA500&gt;9,0.5,IF(AA500&gt;7,0.25,0)))+IF(AB500="-",0,IF(AB500&gt;7,1.1,IF(AB500&gt;4,0.6,0)))+IF(OR(AC500="-",V500&lt;5),0,IF(AC500&gt;7,1+IF(V500&gt;7,0.25,0),IF(AC500&gt;4,0.5+IF(V500&gt;7,0.25,0),0)))+IF(AD500="-",0,IF(AD500&gt;7,1.5,IF(AD500&gt;4,1,0)))+IF(AE500="-",0,IF(AE500&gt;9,0.5,IF(AE500&gt;7,0.25,0)))+IF(AF500="-",0,IF(AF500&gt;7,1.25,IF(AF500&gt;4,0.75,0)))+IF(OR(AG500="-",W500&lt;4),0,IF(AG500&gt;7,1+IF(W500&gt;7,0.15,0),IF(AG500&gt;4,0.5+IF(W500&gt;7,0.15,0),0))))</f>
        <v>0.6</v>
      </c>
      <c r="AQ500" s="46">
        <f>($AM$3*AM500+$AN$3*AN500+$AO$3*AO500+$AP$3*AP500)+$I$3*VLOOKUP(I500,COND!$A$2:$E$7,4,FALSE)+$J$3*VLOOKUP(J500,COND!$A$2:$C$7,2,FALSE)+$K$3*VLOOKUP(K500,COND!$A$2:$C$7,3,FALSE)+IF(AND($B$2&gt;0,$E500&lt;20),$B$2*25,0)</f>
        <v>32.254292855876955</v>
      </c>
      <c r="AR500" s="49">
        <f>STANDARDIZE(AQ500,AVERAGE($AQ$5:$AQ$537),STDEVP($AQ$5:$AQ$537))</f>
        <v>-1.424077499800396</v>
      </c>
      <c r="AS500" s="47" t="str">
        <f>IF(AND(Z500&lt;&gt;"-",Y500&gt;1),"C",IF(AB500=MAX(AB500:AD500),"2B",IF(AD500=MAX(AB500:AD500),"SS",IF(OR(AC500=MAX(AA500:AD500),AND(AC500&lt;&gt;"-",AC500&gt;4,V500&gt;5)),"3B",IF(AF500=MAX(AE500:AG500),"CF",IF(AND(AG500=MAX(AE500,AG500),AND(W500&gt;5,AG500&lt;&gt;"-")),"RF",IF(AE500&lt;&gt;"-","LF",IF(AA500&lt;&gt;"-","1B","DH"))))))))</f>
        <v>2B</v>
      </c>
      <c r="AT500" s="47"/>
      <c r="AU500" s="47"/>
      <c r="AV500" s="47"/>
      <c r="AW500" s="47" t="str">
        <f>IF(AND($Q500&gt;=6,AVERAGE($S500:$T500)&gt;=6),"Likely",IF(OR($Q500&gt;6,AND($Q500=6,AVERAGE($S500:$T500)&gt;=3),AND($Q500&gt;=5,AVERAGE($S500:$T500)&gt;=5),AVERAGE($Q500,$S500:$T500)&gt;5),"Possible","Unlikely"))</f>
        <v>Unlikely</v>
      </c>
      <c r="AX500" s="47"/>
      <c r="AY500" s="47" t="str">
        <f>INDEX(Table5[[#All],[Ovr]],MATCH(Batters[[#This Row],[PID]],Table5[[#All],[PID]],0))</f>
        <v/>
      </c>
      <c r="AZ500" s="47" t="str">
        <f>INDEX(Table5[[#All],[Rnd]],MATCH(Batters[[#This Row],[PID]],Table5[[#All],[PID]],0))</f>
        <v/>
      </c>
      <c r="BA500" s="47" t="str">
        <f>INDEX(Table5[[#All],[Pick]],MATCH(Batters[[#This Row],[PID]],Table5[[#All],[PID]],0))</f>
        <v/>
      </c>
      <c r="BB500" s="47" t="str">
        <f>INDEX(Table5[[#All],[Team]],MATCH(Batters[[#This Row],[PID]],Table5[[#All],[PID]],0))</f>
        <v/>
      </c>
    </row>
    <row r="501" spans="1:54" ht="15" customHeight="1" x14ac:dyDescent="0.25">
      <c r="A501" s="42">
        <v>10539</v>
      </c>
      <c r="B501" s="42" t="s">
        <v>87</v>
      </c>
      <c r="C501" s="42" t="s">
        <v>147</v>
      </c>
      <c r="D501" s="42" t="s">
        <v>1189</v>
      </c>
      <c r="E501" s="42">
        <v>21</v>
      </c>
      <c r="F501" s="42" t="s">
        <v>42</v>
      </c>
      <c r="G501" s="42" t="s">
        <v>42</v>
      </c>
      <c r="H501" s="43" t="s">
        <v>721</v>
      </c>
      <c r="I501" s="44" t="s">
        <v>43</v>
      </c>
      <c r="J501" s="42" t="s">
        <v>43</v>
      </c>
      <c r="K501" s="43" t="s">
        <v>43</v>
      </c>
      <c r="L501" s="42">
        <v>1</v>
      </c>
      <c r="M501" s="42">
        <v>2</v>
      </c>
      <c r="N501" s="42">
        <v>2</v>
      </c>
      <c r="O501" s="42">
        <v>1</v>
      </c>
      <c r="P501" s="43">
        <v>1</v>
      </c>
      <c r="Q501" s="42">
        <v>3</v>
      </c>
      <c r="R501" s="42">
        <v>2</v>
      </c>
      <c r="S501" s="42">
        <v>3</v>
      </c>
      <c r="T501" s="42">
        <v>2</v>
      </c>
      <c r="U501" s="43">
        <v>3</v>
      </c>
      <c r="V501" s="42">
        <v>7</v>
      </c>
      <c r="W501" s="42">
        <v>2</v>
      </c>
      <c r="X501" s="42">
        <v>1</v>
      </c>
      <c r="Y501" s="43">
        <v>1</v>
      </c>
      <c r="Z501" s="42" t="s">
        <v>45</v>
      </c>
      <c r="AA501" s="42">
        <v>1</v>
      </c>
      <c r="AB501" s="42" t="s">
        <v>45</v>
      </c>
      <c r="AC501" s="42" t="s">
        <v>45</v>
      </c>
      <c r="AD501" s="42" t="s">
        <v>45</v>
      </c>
      <c r="AE501" s="42" t="s">
        <v>45</v>
      </c>
      <c r="AF501" s="42" t="s">
        <v>45</v>
      </c>
      <c r="AG501" s="43" t="s">
        <v>45</v>
      </c>
      <c r="AH501" s="42">
        <v>1</v>
      </c>
      <c r="AI501" s="42">
        <v>1</v>
      </c>
      <c r="AJ501" s="43">
        <v>1</v>
      </c>
      <c r="AK501" s="45" t="s">
        <v>45</v>
      </c>
      <c r="AL501" s="45" t="s">
        <v>47</v>
      </c>
      <c r="AM501" s="46">
        <f>($L$3*(L501-$Q$1)/$Q$2+$M$3*(M501-$R$1)/$R$2+$N$3*(N501-$S$1)/$S$2+$O$3*(O501-$T$1)/$T$2+$P$3*(P501-$U$1)/$U$2)/(SUM($L$3:$P$3))</f>
        <v>-1.9502219761849671</v>
      </c>
      <c r="AN501" s="46">
        <f>($L$3*(Q501-$Q$1)/$Q$2+$M$3*(R501-$R$1)/$R$2+$N$3*(S501-$S$1)/$S$2+$O$3*(T501-$T$1)/$T$2+$P$3*(U501-$U$1)/$U$2)/(SUM($L$3:$P$3))</f>
        <v>-1.0523065801119682</v>
      </c>
      <c r="AO501" s="47">
        <f>IF(AVERAGE(AH501:AI501)&gt;9,1,0)+IF(AVERAGE(AH501:AI501)&gt;7,1,0)+IF(AH501&gt;7,1,0)+IF(AI501&gt;7,1,0)+IF(AJ501&gt;8,1,0)+IF(AJ501&gt;6,1,0)</f>
        <v>0</v>
      </c>
      <c r="AP501" s="48">
        <f>MIN(2,IF(OR(Z501="-",X501&lt;5),0,1+IF(Y501&gt;7,0.35,IF(Y501&gt;5,0.1,0))+IF(Z501&gt;7,1+IF(X501&gt;7,0.25,0),IF(Z501&gt;4,0.5+IF(X501&gt;7,0.25,0),0+IF(X501&gt;7,0.25))))+IF(AA501="-",0,IF(AA501&gt;9,0.5,IF(AA501&gt;7,0.25,0)))+IF(AB501="-",0,IF(AB501&gt;7,1.1,IF(AB501&gt;4,0.6,0)))+IF(OR(AC501="-",V501&lt;5),0,IF(AC501&gt;7,1+IF(V501&gt;7,0.25,0),IF(AC501&gt;4,0.5+IF(V501&gt;7,0.25,0),0)))+IF(AD501="-",0,IF(AD501&gt;7,1.5,IF(AD501&gt;4,1,0)))+IF(AE501="-",0,IF(AE501&gt;9,0.5,IF(AE501&gt;7,0.25,0)))+IF(AF501="-",0,IF(AF501&gt;7,1.25,IF(AF501&gt;4,0.75,0)))+IF(OR(AG501="-",W501&lt;4),0,IF(AG501&gt;7,1+IF(W501&gt;7,0.15,0),IF(AG501&gt;4,0.5+IF(W501&gt;7,0.15,0),0))))</f>
        <v>0</v>
      </c>
      <c r="AQ501" s="46">
        <f>($AM$3*AM501+$AN$3*AN501+$AO$3*AO501+$AP$3*AP501)+$I$3*VLOOKUP(I501,COND!$A$2:$E$7,4,FALSE)+$J$3*VLOOKUP(J501,COND!$A$2:$C$7,2,FALSE)+$K$3*VLOOKUP(K501,COND!$A$2:$C$7,3,FALSE)+IF(AND($B$2&gt;0,$E501&lt;20),$B$2*25,0)</f>
        <v>32.177298841037882</v>
      </c>
      <c r="AR501" s="49">
        <f>STANDARDIZE(AQ501,AVERAGE($AQ$5:$AQ$537),STDEVP($AQ$5:$AQ$537))</f>
        <v>-1.43762408498575</v>
      </c>
      <c r="AS501" s="47" t="str">
        <f>IF(AND(Z501&lt;&gt;"-",Y501&gt;1),"C",IF(AB501=MAX(AB501:AD501),"2B",IF(AD501=MAX(AB501:AD501),"SS",IF(OR(AC501=MAX(AA501:AD501),AND(AC501&lt;&gt;"-",AC501&gt;4,V501&gt;5)),"3B",IF(AF501=MAX(AE501:AG501),"CF",IF(AND(AG501=MAX(AE501,AG501),AND(W501&gt;5,AG501&lt;&gt;"-")),"RF",IF(AE501&lt;&gt;"-","LF",IF(AA501&lt;&gt;"-","1B","DH"))))))))</f>
        <v>1B</v>
      </c>
      <c r="AT501" s="47"/>
      <c r="AU501" s="47"/>
      <c r="AV501" s="47"/>
      <c r="AW501" s="47" t="str">
        <f>IF(AND($Q501&gt;=6,AVERAGE($S501:$T501)&gt;=6),"Likely",IF(OR($Q501&gt;6,AND($Q501=6,AVERAGE($S501:$T501)&gt;=3),AND($Q501&gt;=5,AVERAGE($S501:$T501)&gt;=5),AVERAGE($Q501,$S501:$T501)&gt;5),"Possible","Unlikely"))</f>
        <v>Unlikely</v>
      </c>
      <c r="AX501" s="47"/>
      <c r="AY501" s="47" t="str">
        <f>INDEX(Table5[[#All],[Ovr]],MATCH(Batters[[#This Row],[PID]],Table5[[#All],[PID]],0))</f>
        <v/>
      </c>
      <c r="AZ501" s="47" t="str">
        <f>INDEX(Table5[[#All],[Rnd]],MATCH(Batters[[#This Row],[PID]],Table5[[#All],[PID]],0))</f>
        <v/>
      </c>
      <c r="BA501" s="47" t="str">
        <f>INDEX(Table5[[#All],[Pick]],MATCH(Batters[[#This Row],[PID]],Table5[[#All],[PID]],0))</f>
        <v/>
      </c>
      <c r="BB501" s="47" t="str">
        <f>INDEX(Table5[[#All],[Team]],MATCH(Batters[[#This Row],[PID]],Table5[[#All],[PID]],0))</f>
        <v/>
      </c>
    </row>
    <row r="502" spans="1:54" ht="15" customHeight="1" x14ac:dyDescent="0.25">
      <c r="A502" s="42">
        <v>12967</v>
      </c>
      <c r="B502" s="42" t="s">
        <v>86</v>
      </c>
      <c r="C502" s="42" t="s">
        <v>1376</v>
      </c>
      <c r="D502" s="42" t="s">
        <v>686</v>
      </c>
      <c r="E502" s="42">
        <v>20</v>
      </c>
      <c r="F502" s="42" t="s">
        <v>42</v>
      </c>
      <c r="G502" s="42" t="s">
        <v>42</v>
      </c>
      <c r="H502" s="43" t="s">
        <v>709</v>
      </c>
      <c r="I502" s="44" t="s">
        <v>44</v>
      </c>
      <c r="J502" s="42" t="s">
        <v>44</v>
      </c>
      <c r="K502" s="43" t="s">
        <v>43</v>
      </c>
      <c r="L502" s="42">
        <v>1</v>
      </c>
      <c r="M502" s="42">
        <v>2</v>
      </c>
      <c r="N502" s="42">
        <v>3</v>
      </c>
      <c r="O502" s="42">
        <v>2</v>
      </c>
      <c r="P502" s="43">
        <v>1</v>
      </c>
      <c r="Q502" s="42">
        <v>2</v>
      </c>
      <c r="R502" s="42">
        <v>4</v>
      </c>
      <c r="S502" s="42">
        <v>4</v>
      </c>
      <c r="T502" s="42">
        <v>5</v>
      </c>
      <c r="U502" s="43">
        <v>2</v>
      </c>
      <c r="V502" s="42">
        <v>2</v>
      </c>
      <c r="W502" s="42">
        <v>3</v>
      </c>
      <c r="X502" s="42">
        <v>4</v>
      </c>
      <c r="Y502" s="43">
        <v>7</v>
      </c>
      <c r="Z502" s="42" t="s">
        <v>45</v>
      </c>
      <c r="AA502" s="42" t="s">
        <v>45</v>
      </c>
      <c r="AB502" s="42" t="s">
        <v>45</v>
      </c>
      <c r="AC502" s="42" t="s">
        <v>45</v>
      </c>
      <c r="AD502" s="42" t="s">
        <v>45</v>
      </c>
      <c r="AE502" s="42" t="s">
        <v>45</v>
      </c>
      <c r="AF502" s="42" t="s">
        <v>45</v>
      </c>
      <c r="AG502" s="43" t="s">
        <v>45</v>
      </c>
      <c r="AH502" s="42">
        <v>1</v>
      </c>
      <c r="AI502" s="42">
        <v>1</v>
      </c>
      <c r="AJ502" s="43">
        <v>1</v>
      </c>
      <c r="AK502" s="45" t="s">
        <v>45</v>
      </c>
      <c r="AL502" s="45" t="s">
        <v>705</v>
      </c>
      <c r="AM502" s="46">
        <f>($L$3*(L502-$Q$1)/$Q$2+$M$3*(M502-$R$1)/$R$2+$N$3*(N502-$S$1)/$S$2+$O$3*(O502-$T$1)/$T$2+$P$3*(P502-$U$1)/$U$2)/(SUM($L$3:$P$3))</f>
        <v>-1.7774509321514844</v>
      </c>
      <c r="AN502" s="46">
        <f>($L$3*(Q502-$Q$1)/$Q$2+$M$3*(R502-$R$1)/$R$2+$N$3*(S502-$S$1)/$S$2+$O$3*(T502-$T$1)/$T$2+$P$3*(U502-$U$1)/$U$2)/(SUM($L$3:$P$3))</f>
        <v>-0.96056885284167481</v>
      </c>
      <c r="AO502" s="47">
        <f>IF(AVERAGE(AH502:AI502)&gt;9,1,0)+IF(AVERAGE(AH502:AI502)&gt;7,1,0)+IF(AH502&gt;7,1,0)+IF(AI502&gt;7,1,0)+IF(AJ502&gt;8,1,0)+IF(AJ502&gt;6,1,0)</f>
        <v>0</v>
      </c>
      <c r="AP502" s="48">
        <f>MIN(2,IF(OR(Z502="-",X502&lt;5),0,1+IF(Y502&gt;7,0.35,IF(Y502&gt;5,0.1,0))+IF(Z502&gt;7,1+IF(X502&gt;7,0.25,0),IF(Z502&gt;4,0.5+IF(X502&gt;7,0.25,0),0+IF(X502&gt;7,0.25))))+IF(AA502="-",0,IF(AA502&gt;9,0.5,IF(AA502&gt;7,0.25,0)))+IF(AB502="-",0,IF(AB502&gt;7,1.1,IF(AB502&gt;4,0.6,0)))+IF(OR(AC502="-",V502&lt;5),0,IF(AC502&gt;7,1+IF(V502&gt;7,0.25,0),IF(AC502&gt;4,0.5+IF(V502&gt;7,0.25,0),0)))+IF(AD502="-",0,IF(AD502&gt;7,1.5,IF(AD502&gt;4,1,0)))+IF(AE502="-",0,IF(AE502&gt;9,0.5,IF(AE502&gt;7,0.25,0)))+IF(AF502="-",0,IF(AF502&gt;7,1.25,IF(AF502&gt;4,0.75,0)))+IF(OR(AG502="-",W502&lt;4),0,IF(AG502&gt;7,1+IF(W502&gt;7,0.15,0),IF(AG502&gt;4,0.5+IF(W502&gt;7,0.15,0),0))))</f>
        <v>0</v>
      </c>
      <c r="AQ502" s="46">
        <f>($AM$3*AM502+$AN$3*AN502+$AO$3*AO502+$AP$3*AP502)+$I$3*VLOOKUP(I502,COND!$A$2:$E$7,4,FALSE)+$J$3*VLOOKUP(J502,COND!$A$2:$C$7,2,FALSE)+$K$3*VLOOKUP(K502,COND!$A$2:$C$7,3,FALSE)+IF(AND($B$2&gt;0,$E502&lt;20),$B$2*25,0)</f>
        <v>32.845428672684754</v>
      </c>
      <c r="AR502" s="49">
        <f>STANDARDIZE(AQ502,AVERAGE($AQ$5:$AQ$537),STDEVP($AQ$5:$AQ$537))</f>
        <v>-1.3200710817010395</v>
      </c>
      <c r="AS502" s="47" t="str">
        <f>IF(AND(Z502&lt;&gt;"-",Y502&gt;1),"C",IF(AB502=MAX(AB502:AD502),"2B",IF(AD502=MAX(AB502:AD502),"SS",IF(OR(AC502=MAX(AA502:AD502),AND(AC502&lt;&gt;"-",AC502&gt;4,V502&gt;5)),"3B",IF(AF502=MAX(AE502:AG502),"CF",IF(AND(AG502=MAX(AE502,AG502),AND(W502&gt;5,AG502&lt;&gt;"-")),"RF",IF(AE502&lt;&gt;"-","LF",IF(AA502&lt;&gt;"-","1B","DH"))))))))</f>
        <v>DH</v>
      </c>
      <c r="AT502" s="47"/>
      <c r="AU502" s="47"/>
      <c r="AV502" s="47"/>
      <c r="AW502" s="47" t="str">
        <f>IF(AND($Q502&gt;=6,AVERAGE($S502:$T502)&gt;=6),"Likely",IF(OR($Q502&gt;6,AND($Q502=6,AVERAGE($S502:$T502)&gt;=3),AND($Q502&gt;=5,AVERAGE($S502:$T502)&gt;=5),AVERAGE($Q502,$S502:$T502)&gt;5),"Possible","Unlikely"))</f>
        <v>Unlikely</v>
      </c>
      <c r="AX502" s="47"/>
      <c r="AY502" s="47" t="str">
        <f>INDEX(Table5[[#All],[Ovr]],MATCH(Batters[[#This Row],[PID]],Table5[[#All],[PID]],0))</f>
        <v/>
      </c>
      <c r="AZ502" s="47" t="str">
        <f>INDEX(Table5[[#All],[Rnd]],MATCH(Batters[[#This Row],[PID]],Table5[[#All],[PID]],0))</f>
        <v/>
      </c>
      <c r="BA502" s="47" t="str">
        <f>INDEX(Table5[[#All],[Pick]],MATCH(Batters[[#This Row],[PID]],Table5[[#All],[PID]],0))</f>
        <v/>
      </c>
      <c r="BB502" s="47" t="str">
        <f>INDEX(Table5[[#All],[Team]],MATCH(Batters[[#This Row],[PID]],Table5[[#All],[PID]],0))</f>
        <v/>
      </c>
    </row>
    <row r="503" spans="1:54" ht="15" customHeight="1" x14ac:dyDescent="0.25">
      <c r="A503" s="42">
        <v>12516</v>
      </c>
      <c r="B503" s="42" t="s">
        <v>87</v>
      </c>
      <c r="C503" s="42" t="s">
        <v>1204</v>
      </c>
      <c r="D503" s="42" t="s">
        <v>573</v>
      </c>
      <c r="E503" s="42">
        <v>21</v>
      </c>
      <c r="F503" s="42" t="s">
        <v>53</v>
      </c>
      <c r="G503" s="42" t="s">
        <v>53</v>
      </c>
      <c r="H503" s="43" t="s">
        <v>721</v>
      </c>
      <c r="I503" s="44" t="s">
        <v>43</v>
      </c>
      <c r="J503" s="42" t="s">
        <v>47</v>
      </c>
      <c r="K503" s="43" t="s">
        <v>43</v>
      </c>
      <c r="L503" s="42">
        <v>1</v>
      </c>
      <c r="M503" s="42">
        <v>1</v>
      </c>
      <c r="N503" s="42">
        <v>2</v>
      </c>
      <c r="O503" s="42">
        <v>1</v>
      </c>
      <c r="P503" s="43">
        <v>2</v>
      </c>
      <c r="Q503" s="42">
        <v>3</v>
      </c>
      <c r="R503" s="42">
        <v>1</v>
      </c>
      <c r="S503" s="42">
        <v>2</v>
      </c>
      <c r="T503" s="42">
        <v>2</v>
      </c>
      <c r="U503" s="43">
        <v>4</v>
      </c>
      <c r="V503" s="42">
        <v>5</v>
      </c>
      <c r="W503" s="42">
        <v>2</v>
      </c>
      <c r="X503" s="42">
        <v>1</v>
      </c>
      <c r="Y503" s="43">
        <v>1</v>
      </c>
      <c r="Z503" s="42" t="s">
        <v>45</v>
      </c>
      <c r="AA503" s="42" t="s">
        <v>45</v>
      </c>
      <c r="AB503" s="42" t="s">
        <v>45</v>
      </c>
      <c r="AC503" s="42" t="s">
        <v>45</v>
      </c>
      <c r="AD503" s="42" t="s">
        <v>45</v>
      </c>
      <c r="AE503" s="42" t="s">
        <v>45</v>
      </c>
      <c r="AF503" s="42" t="s">
        <v>45</v>
      </c>
      <c r="AG503" s="43" t="s">
        <v>45</v>
      </c>
      <c r="AH503" s="42">
        <v>1</v>
      </c>
      <c r="AI503" s="42">
        <v>1</v>
      </c>
      <c r="AJ503" s="43">
        <v>1</v>
      </c>
      <c r="AK503" s="45" t="s">
        <v>45</v>
      </c>
      <c r="AL503" s="45" t="s">
        <v>47</v>
      </c>
      <c r="AM503" s="46">
        <f>($L$3*(L503-$Q$1)/$Q$2+$M$3*(M503-$R$1)/$R$2+$N$3*(N503-$S$1)/$S$2+$O$3*(O503-$T$1)/$T$2+$P$3*(P503-$U$1)/$U$2)/(SUM($L$3:$P$3))</f>
        <v>-1.961265515986587</v>
      </c>
      <c r="AN503" s="46">
        <f>($L$3*(Q503-$Q$1)/$Q$2+$M$3*(R503-$R$1)/$R$2+$N$3*(S503-$S$1)/$S$2+$O$3*(T503-$T$1)/$T$2+$P$3*(U503-$U$1)/$U$2)/(SUM($L$3:$P$3))</f>
        <v>-1.1464116139374896</v>
      </c>
      <c r="AO503" s="47">
        <f>IF(AVERAGE(AH503:AI503)&gt;9,1,0)+IF(AVERAGE(AH503:AI503)&gt;7,1,0)+IF(AH503&gt;7,1,0)+IF(AI503&gt;7,1,0)+IF(AJ503&gt;8,1,0)+IF(AJ503&gt;6,1,0)</f>
        <v>0</v>
      </c>
      <c r="AP503" s="48">
        <f>MIN(2,IF(OR(Z503="-",X503&lt;5),0,1+IF(Y503&gt;7,0.35,IF(Y503&gt;5,0.1,0))+IF(Z503&gt;7,1+IF(X503&gt;7,0.25,0),IF(Z503&gt;4,0.5+IF(X503&gt;7,0.25,0),0+IF(X503&gt;7,0.25))))+IF(AA503="-",0,IF(AA503&gt;9,0.5,IF(AA503&gt;7,0.25,0)))+IF(AB503="-",0,IF(AB503&gt;7,1.1,IF(AB503&gt;4,0.6,0)))+IF(OR(AC503="-",V503&lt;5),0,IF(AC503&gt;7,1+IF(V503&gt;7,0.25,0),IF(AC503&gt;4,0.5+IF(V503&gt;7,0.25,0),0)))+IF(AD503="-",0,IF(AD503&gt;7,1.5,IF(AD503&gt;4,1,0)))+IF(AE503="-",0,IF(AE503&gt;9,0.5,IF(AE503&gt;7,0.25,0)))+IF(AF503="-",0,IF(AF503&gt;7,1.25,IF(AF503&gt;4,0.75,0)))+IF(OR(AG503="-",W503&lt;4),0,IF(AG503&gt;7,1+IF(W503&gt;7,0.15,0),IF(AG503&gt;4,0.5+IF(W503&gt;7,0.15,0),0))))</f>
        <v>0</v>
      </c>
      <c r="AQ503" s="46">
        <f>($AM$3*AM503+$AN$3*AN503+$AO$3*AO503+$AP$3*AP503)+$I$3*VLOOKUP(I503,COND!$A$2:$E$7,4,FALSE)+$J$3*VLOOKUP(J503,COND!$A$2:$C$7,2,FALSE)+$K$3*VLOOKUP(K503,COND!$A$2:$C$7,3,FALSE)+IF(AND($B$2&gt;0,$E503&lt;20),$B$2*25,0)</f>
        <v>31.346934081151467</v>
      </c>
      <c r="AR503" s="49">
        <f>STANDARDIZE(AQ503,AVERAGE($AQ$5:$AQ$537),STDEVP($AQ$5:$AQ$537))</f>
        <v>-1.5837212456316565</v>
      </c>
      <c r="AS503" s="47" t="str">
        <f>IF(AND(Z503&lt;&gt;"-",Y503&gt;1),"C",IF(AB503=MAX(AB503:AD503),"2B",IF(AD503=MAX(AB503:AD503),"SS",IF(OR(AC503=MAX(AA503:AD503),AND(AC503&lt;&gt;"-",AC503&gt;4,V503&gt;5)),"3B",IF(AF503=MAX(AE503:AG503),"CF",IF(AND(AG503=MAX(AE503,AG503),AND(W503&gt;5,AG503&lt;&gt;"-")),"RF",IF(AE503&lt;&gt;"-","LF",IF(AA503&lt;&gt;"-","1B","DH"))))))))</f>
        <v>DH</v>
      </c>
      <c r="AT503" s="47"/>
      <c r="AU503" s="47"/>
      <c r="AV503" s="47"/>
      <c r="AW503" s="47" t="str">
        <f>IF(AND($Q503&gt;=6,AVERAGE($S503:$T503)&gt;=6),"Likely",IF(OR($Q503&gt;6,AND($Q503=6,AVERAGE($S503:$T503)&gt;=3),AND($Q503&gt;=5,AVERAGE($S503:$T503)&gt;=5),AVERAGE($Q503,$S503:$T503)&gt;5),"Possible","Unlikely"))</f>
        <v>Unlikely</v>
      </c>
      <c r="AX503" s="47"/>
      <c r="AY503" s="47" t="str">
        <f>INDEX(Table5[[#All],[Ovr]],MATCH(Batters[[#This Row],[PID]],Table5[[#All],[PID]],0))</f>
        <v/>
      </c>
      <c r="AZ503" s="47" t="str">
        <f>INDEX(Table5[[#All],[Rnd]],MATCH(Batters[[#This Row],[PID]],Table5[[#All],[PID]],0))</f>
        <v/>
      </c>
      <c r="BA503" s="47" t="str">
        <f>INDEX(Table5[[#All],[Pick]],MATCH(Batters[[#This Row],[PID]],Table5[[#All],[PID]],0))</f>
        <v/>
      </c>
      <c r="BB503" s="47" t="str">
        <f>INDEX(Table5[[#All],[Team]],MATCH(Batters[[#This Row],[PID]],Table5[[#All],[PID]],0))</f>
        <v/>
      </c>
    </row>
    <row r="504" spans="1:54" ht="15" customHeight="1" x14ac:dyDescent="0.25">
      <c r="A504" s="42">
        <v>12206</v>
      </c>
      <c r="B504" s="42" t="s">
        <v>87</v>
      </c>
      <c r="C504" s="42" t="s">
        <v>128</v>
      </c>
      <c r="D504" s="42" t="s">
        <v>867</v>
      </c>
      <c r="E504" s="42">
        <v>22</v>
      </c>
      <c r="F504" s="42" t="s">
        <v>42</v>
      </c>
      <c r="G504" s="42" t="s">
        <v>42</v>
      </c>
      <c r="H504" s="43" t="s">
        <v>721</v>
      </c>
      <c r="I504" s="44" t="s">
        <v>44</v>
      </c>
      <c r="J504" s="42" t="s">
        <v>43</v>
      </c>
      <c r="K504" s="43" t="s">
        <v>43</v>
      </c>
      <c r="L504" s="42">
        <v>1</v>
      </c>
      <c r="M504" s="42">
        <v>1</v>
      </c>
      <c r="N504" s="42">
        <v>2</v>
      </c>
      <c r="O504" s="42">
        <v>3</v>
      </c>
      <c r="P504" s="43">
        <v>1</v>
      </c>
      <c r="Q504" s="42">
        <v>2</v>
      </c>
      <c r="R504" s="42">
        <v>3</v>
      </c>
      <c r="S504" s="42">
        <v>3</v>
      </c>
      <c r="T504" s="42">
        <v>5</v>
      </c>
      <c r="U504" s="43">
        <v>3</v>
      </c>
      <c r="V504" s="42">
        <v>2</v>
      </c>
      <c r="W504" s="42">
        <v>2</v>
      </c>
      <c r="X504" s="42">
        <v>2</v>
      </c>
      <c r="Y504" s="43">
        <v>5</v>
      </c>
      <c r="Z504" s="42">
        <v>1</v>
      </c>
      <c r="AA504" s="42">
        <v>1</v>
      </c>
      <c r="AB504" s="42" t="s">
        <v>45</v>
      </c>
      <c r="AC504" s="42" t="s">
        <v>45</v>
      </c>
      <c r="AD504" s="42" t="s">
        <v>45</v>
      </c>
      <c r="AE504" s="42" t="s">
        <v>45</v>
      </c>
      <c r="AF504" s="42" t="s">
        <v>45</v>
      </c>
      <c r="AG504" s="43" t="s">
        <v>45</v>
      </c>
      <c r="AH504" s="42">
        <v>1</v>
      </c>
      <c r="AI504" s="42">
        <v>1</v>
      </c>
      <c r="AJ504" s="43">
        <v>1</v>
      </c>
      <c r="AK504" s="45" t="s">
        <v>45</v>
      </c>
      <c r="AL504" s="45" t="s">
        <v>705</v>
      </c>
      <c r="AM504" s="46">
        <f>($L$3*(L504-$Q$1)/$Q$2+$M$3*(M504-$R$1)/$R$2+$N$3*(N504-$S$1)/$S$2+$O$3*(O504-$T$1)/$T$2+$P$3*(P504-$U$1)/$U$2)/(SUM($L$3:$P$3))</f>
        <v>-1.8218627557845084</v>
      </c>
      <c r="AN504" s="46">
        <f>($L$3*(Q504-$Q$1)/$Q$2+$M$3*(R504-$R$1)/$R$2+$N$3*(S504-$S$1)/$S$2+$O$3*(T504-$T$1)/$T$2+$P$3*(U504-$U$1)/$U$2)/(SUM($L$3:$P$3))</f>
        <v>-1.0546738866671965</v>
      </c>
      <c r="AO504" s="47">
        <f>IF(AVERAGE(AH504:AI504)&gt;9,1,0)+IF(AVERAGE(AH504:AI504)&gt;7,1,0)+IF(AH504&gt;7,1,0)+IF(AI504&gt;7,1,0)+IF(AJ504&gt;8,1,0)+IF(AJ504&gt;6,1,0)</f>
        <v>0</v>
      </c>
      <c r="AP504" s="48">
        <f>MIN(2,IF(OR(Z504="-",X504&lt;5),0,1+IF(Y504&gt;7,0.35,IF(Y504&gt;5,0.1,0))+IF(Z504&gt;7,1+IF(X504&gt;7,0.25,0),IF(Z504&gt;4,0.5+IF(X504&gt;7,0.25,0),0+IF(X504&gt;7,0.25))))+IF(AA504="-",0,IF(AA504&gt;9,0.5,IF(AA504&gt;7,0.25,0)))+IF(AB504="-",0,IF(AB504&gt;7,1.1,IF(AB504&gt;4,0.6,0)))+IF(OR(AC504="-",V504&lt;5),0,IF(AC504&gt;7,1+IF(V504&gt;7,0.25,0),IF(AC504&gt;4,0.5+IF(V504&gt;7,0.25,0),0)))+IF(AD504="-",0,IF(AD504&gt;7,1.5,IF(AD504&gt;4,1,0)))+IF(AE504="-",0,IF(AE504&gt;9,0.5,IF(AE504&gt;7,0.25,0)))+IF(AF504="-",0,IF(AF504&gt;7,1.25,IF(AF504&gt;4,0.75,0)))+IF(OR(AG504="-",W504&lt;4),0,IF(AG504&gt;7,1+IF(W504&gt;7,0.15,0),IF(AG504&gt;4,0.5+IF(W504&gt;7,0.15,0),0))))</f>
        <v>0</v>
      </c>
      <c r="AQ504" s="46">
        <f>($AM$3*AM504+$AN$3*AN504+$AO$3*AO504+$AP$3*AP504)+$I$3*VLOOKUP(I504,COND!$A$2:$E$7,4,FALSE)+$J$3*VLOOKUP(J504,COND!$A$2:$C$7,2,FALSE)+$K$3*VLOOKUP(K504,COND!$A$2:$C$7,3,FALSE)+IF(AND($B$2&gt;0,$E504&lt;20),$B$2*25,0)</f>
        <v>32.011727084415192</v>
      </c>
      <c r="AR504" s="49">
        <f>STANDARDIZE(AQ504,AVERAGE($AQ$5:$AQ$537),STDEVP($AQ$5:$AQ$537))</f>
        <v>-1.4667553351233871</v>
      </c>
      <c r="AS504" s="47" t="str">
        <f>IF(AND(Z504&lt;&gt;"-",Y504&gt;1),"C",IF(AB504=MAX(AB504:AD504),"2B",IF(AD504=MAX(AB504:AD504),"SS",IF(OR(AC504=MAX(AA504:AD504),AND(AC504&lt;&gt;"-",AC504&gt;4,V504&gt;5)),"3B",IF(AF504=MAX(AE504:AG504),"CF",IF(AND(AG504=MAX(AE504,AG504),AND(W504&gt;5,AG504&lt;&gt;"-")),"RF",IF(AE504&lt;&gt;"-","LF",IF(AA504&lt;&gt;"-","1B","DH"))))))))</f>
        <v>C</v>
      </c>
      <c r="AT504" s="47"/>
      <c r="AU504" s="47"/>
      <c r="AV504" s="47"/>
      <c r="AW504" s="47" t="str">
        <f>IF(AND($Q504&gt;=6,AVERAGE($S504:$T504)&gt;=6),"Likely",IF(OR($Q504&gt;6,AND($Q504=6,AVERAGE($S504:$T504)&gt;=3),AND($Q504&gt;=5,AVERAGE($S504:$T504)&gt;=5),AVERAGE($Q504,$S504:$T504)&gt;5),"Possible","Unlikely"))</f>
        <v>Unlikely</v>
      </c>
      <c r="AX504" s="47"/>
      <c r="AY504" s="47" t="str">
        <f>INDEX(Table5[[#All],[Ovr]],MATCH(Batters[[#This Row],[PID]],Table5[[#All],[PID]],0))</f>
        <v/>
      </c>
      <c r="AZ504" s="47" t="str">
        <f>INDEX(Table5[[#All],[Rnd]],MATCH(Batters[[#This Row],[PID]],Table5[[#All],[PID]],0))</f>
        <v/>
      </c>
      <c r="BA504" s="47" t="str">
        <f>INDEX(Table5[[#All],[Pick]],MATCH(Batters[[#This Row],[PID]],Table5[[#All],[PID]],0))</f>
        <v/>
      </c>
      <c r="BB504" s="47" t="str">
        <f>INDEX(Table5[[#All],[Team]],MATCH(Batters[[#This Row],[PID]],Table5[[#All],[PID]],0))</f>
        <v/>
      </c>
    </row>
    <row r="505" spans="1:54" ht="15" customHeight="1" x14ac:dyDescent="0.25">
      <c r="A505" s="42">
        <v>13329</v>
      </c>
      <c r="B505" s="42" t="s">
        <v>74</v>
      </c>
      <c r="C505" s="42" t="s">
        <v>372</v>
      </c>
      <c r="D505" s="42" t="s">
        <v>876</v>
      </c>
      <c r="E505" s="42">
        <v>22</v>
      </c>
      <c r="F505" s="42" t="s">
        <v>62</v>
      </c>
      <c r="G505" s="42" t="s">
        <v>42</v>
      </c>
      <c r="H505" s="43" t="s">
        <v>711</v>
      </c>
      <c r="I505" s="44" t="s">
        <v>43</v>
      </c>
      <c r="J505" s="42" t="s">
        <v>43</v>
      </c>
      <c r="K505" s="43" t="s">
        <v>44</v>
      </c>
      <c r="L505" s="42">
        <v>1</v>
      </c>
      <c r="M505" s="42">
        <v>3</v>
      </c>
      <c r="N505" s="42">
        <v>2</v>
      </c>
      <c r="O505" s="42">
        <v>3</v>
      </c>
      <c r="P505" s="43">
        <v>1</v>
      </c>
      <c r="Q505" s="42">
        <v>2</v>
      </c>
      <c r="R505" s="42">
        <v>4</v>
      </c>
      <c r="S505" s="42">
        <v>3</v>
      </c>
      <c r="T505" s="42">
        <v>5</v>
      </c>
      <c r="U505" s="43">
        <v>2</v>
      </c>
      <c r="V505" s="42">
        <v>5</v>
      </c>
      <c r="W505" s="42">
        <v>7</v>
      </c>
      <c r="X505" s="42">
        <v>1</v>
      </c>
      <c r="Y505" s="43">
        <v>1</v>
      </c>
      <c r="Z505" s="42" t="s">
        <v>45</v>
      </c>
      <c r="AA505" s="42">
        <v>2</v>
      </c>
      <c r="AB505" s="42" t="s">
        <v>45</v>
      </c>
      <c r="AC505" s="42" t="s">
        <v>45</v>
      </c>
      <c r="AD505" s="42" t="s">
        <v>45</v>
      </c>
      <c r="AE505" s="42" t="s">
        <v>45</v>
      </c>
      <c r="AF505" s="42">
        <v>4</v>
      </c>
      <c r="AG505" s="43" t="s">
        <v>45</v>
      </c>
      <c r="AH505" s="42">
        <v>9</v>
      </c>
      <c r="AI505" s="42">
        <v>8</v>
      </c>
      <c r="AJ505" s="43">
        <v>8</v>
      </c>
      <c r="AK505" s="45" t="s">
        <v>45</v>
      </c>
      <c r="AL505" s="45" t="s">
        <v>47</v>
      </c>
      <c r="AM505" s="46">
        <f>($L$3*(L505-$Q$1)/$Q$2+$M$3*(M505-$R$1)/$R$2+$N$3*(N505-$S$1)/$S$2+$O$3*(O505-$T$1)/$T$2+$P$3*(P505-$U$1)/$U$2)/(SUM($L$3:$P$3))</f>
        <v>-1.7197429965471014</v>
      </c>
      <c r="AN505" s="46">
        <f>($L$3*(Q505-$Q$1)/$Q$2+$M$3*(R505-$R$1)/$R$2+$N$3*(S505-$S$1)/$S$2+$O$3*(T505-$T$1)/$T$2+$P$3*(U505-$U$1)/$U$2)/(SUM($L$3:$P$3))</f>
        <v>-1.0436303468655763</v>
      </c>
      <c r="AO505" s="47">
        <f>IF(AVERAGE(AH505:AI505)&gt;9,1,0)+IF(AVERAGE(AH505:AI505)&gt;7,1,0)+IF(AH505&gt;7,1,0)+IF(AI505&gt;7,1,0)+IF(AJ505&gt;8,1,0)+IF(AJ505&gt;6,1,0)</f>
        <v>4</v>
      </c>
      <c r="AP505" s="48">
        <f>MIN(2,IF(OR(Z505="-",X505&lt;5),0,1+IF(Y505&gt;7,0.35,IF(Y505&gt;5,0.1,0))+IF(Z505&gt;7,1+IF(X505&gt;7,0.25,0),IF(Z505&gt;4,0.5+IF(X505&gt;7,0.25,0),0+IF(X505&gt;7,0.25))))+IF(AA505="-",0,IF(AA505&gt;9,0.5,IF(AA505&gt;7,0.25,0)))+IF(AB505="-",0,IF(AB505&gt;7,1.1,IF(AB505&gt;4,0.6,0)))+IF(OR(AC505="-",V505&lt;5),0,IF(AC505&gt;7,1+IF(V505&gt;7,0.25,0),IF(AC505&gt;4,0.5+IF(V505&gt;7,0.25,0),0)))+IF(AD505="-",0,IF(AD505&gt;7,1.5,IF(AD505&gt;4,1,0)))+IF(AE505="-",0,IF(AE505&gt;9,0.5,IF(AE505&gt;7,0.25,0)))+IF(AF505="-",0,IF(AF505&gt;7,1.25,IF(AF505&gt;4,0.75,0)))+IF(OR(AG505="-",W505&lt;4),0,IF(AG505&gt;7,1+IF(W505&gt;7,0.15,0),IF(AG505&gt;4,0.5+IF(W505&gt;7,0.15,0),0))))</f>
        <v>0</v>
      </c>
      <c r="AQ505" s="46">
        <f>($AM$3*AM505+$AN$3*AN505+$AO$3*AO505+$AP$3*AP505)+$I$3*VLOOKUP(I505,COND!$A$2:$E$7,4,FALSE)+$J$3*VLOOKUP(J505,COND!$A$2:$C$7,2,FALSE)+$K$3*VLOOKUP(K505,COND!$A$2:$C$7,3,FALSE)+IF(AND($B$2&gt;0,$E505&lt;20),$B$2*25,0)</f>
        <v>32.671128204625035</v>
      </c>
      <c r="AR505" s="49">
        <f>STANDARDIZE(AQ505,AVERAGE($AQ$5:$AQ$537),STDEVP($AQ$5:$AQ$537))</f>
        <v>-1.3507380906023576</v>
      </c>
      <c r="AS505" s="47" t="str">
        <f>IF(AND(Z505&lt;&gt;"-",Y505&gt;1),"C",IF(AB505=MAX(AB505:AD505),"2B",IF(AD505=MAX(AB505:AD505),"SS",IF(OR(AC505=MAX(AA505:AD505),AND(AC505&lt;&gt;"-",AC505&gt;4,V505&gt;5)),"3B",IF(AF505=MAX(AE505:AG505),"CF",IF(AND(AG505=MAX(AE505,AG505),AND(W505&gt;5,AG505&lt;&gt;"-")),"RF",IF(AE505&lt;&gt;"-","LF",IF(AA505&lt;&gt;"-","1B","DH"))))))))</f>
        <v>CF</v>
      </c>
      <c r="AT505" s="47"/>
      <c r="AU505" s="47"/>
      <c r="AV505" s="47"/>
      <c r="AW505" s="47" t="str">
        <f>IF(AND($Q505&gt;=6,AVERAGE($S505:$T505)&gt;=6),"Likely",IF(OR($Q505&gt;6,AND($Q505=6,AVERAGE($S505:$T505)&gt;=3),AND($Q505&gt;=5,AVERAGE($S505:$T505)&gt;=5),AVERAGE($Q505,$S505:$T505)&gt;5),"Possible","Unlikely"))</f>
        <v>Unlikely</v>
      </c>
      <c r="AX505" s="47"/>
      <c r="AY505" s="47" t="str">
        <f>INDEX(Table5[[#All],[Ovr]],MATCH(Batters[[#This Row],[PID]],Table5[[#All],[PID]],0))</f>
        <v/>
      </c>
      <c r="AZ505" s="47" t="str">
        <f>INDEX(Table5[[#All],[Rnd]],MATCH(Batters[[#This Row],[PID]],Table5[[#All],[PID]],0))</f>
        <v/>
      </c>
      <c r="BA505" s="47" t="str">
        <f>INDEX(Table5[[#All],[Pick]],MATCH(Batters[[#This Row],[PID]],Table5[[#All],[PID]],0))</f>
        <v/>
      </c>
      <c r="BB505" s="47" t="str">
        <f>INDEX(Table5[[#All],[Team]],MATCH(Batters[[#This Row],[PID]],Table5[[#All],[PID]],0))</f>
        <v/>
      </c>
    </row>
    <row r="506" spans="1:54" ht="15" customHeight="1" x14ac:dyDescent="0.25">
      <c r="A506" s="42">
        <v>12343</v>
      </c>
      <c r="B506" s="42" t="s">
        <v>87</v>
      </c>
      <c r="C506" s="42" t="s">
        <v>715</v>
      </c>
      <c r="D506" s="42" t="s">
        <v>722</v>
      </c>
      <c r="E506" s="42">
        <v>22</v>
      </c>
      <c r="F506" s="42" t="s">
        <v>42</v>
      </c>
      <c r="G506" s="42" t="s">
        <v>42</v>
      </c>
      <c r="H506" s="43" t="s">
        <v>721</v>
      </c>
      <c r="I506" s="44" t="s">
        <v>43</v>
      </c>
      <c r="J506" s="42" t="s">
        <v>44</v>
      </c>
      <c r="K506" s="43" t="s">
        <v>43</v>
      </c>
      <c r="L506" s="42">
        <v>2</v>
      </c>
      <c r="M506" s="42">
        <v>3</v>
      </c>
      <c r="N506" s="42">
        <v>2</v>
      </c>
      <c r="O506" s="42">
        <v>2</v>
      </c>
      <c r="P506" s="43">
        <v>2</v>
      </c>
      <c r="Q506" s="42">
        <v>3</v>
      </c>
      <c r="R506" s="42">
        <v>3</v>
      </c>
      <c r="S506" s="42">
        <v>2</v>
      </c>
      <c r="T506" s="42">
        <v>3</v>
      </c>
      <c r="U506" s="43">
        <v>3</v>
      </c>
      <c r="V506" s="42">
        <v>5</v>
      </c>
      <c r="W506" s="42">
        <v>3</v>
      </c>
      <c r="X506" s="42">
        <v>1</v>
      </c>
      <c r="Y506" s="43">
        <v>1</v>
      </c>
      <c r="Z506" s="42" t="s">
        <v>45</v>
      </c>
      <c r="AA506" s="42" t="s">
        <v>45</v>
      </c>
      <c r="AB506" s="42" t="s">
        <v>45</v>
      </c>
      <c r="AC506" s="42" t="s">
        <v>45</v>
      </c>
      <c r="AD506" s="42" t="s">
        <v>45</v>
      </c>
      <c r="AE506" s="42" t="s">
        <v>45</v>
      </c>
      <c r="AF506" s="42" t="s">
        <v>45</v>
      </c>
      <c r="AG506" s="43" t="s">
        <v>45</v>
      </c>
      <c r="AH506" s="42">
        <v>2</v>
      </c>
      <c r="AI506" s="42">
        <v>1</v>
      </c>
      <c r="AJ506" s="43">
        <v>3</v>
      </c>
      <c r="AK506" s="45" t="s">
        <v>45</v>
      </c>
      <c r="AL506" s="45" t="s">
        <v>705</v>
      </c>
      <c r="AM506" s="46">
        <f>($L$3*(L506-$Q$1)/$Q$2+$M$3*(M506-$R$1)/$R$2+$N$3*(N506-$S$1)/$S$2+$O$3*(O506-$T$1)/$T$2+$P$3*(P506-$U$1)/$U$2)/(SUM($L$3:$P$3))</f>
        <v>-1.4468803705369244</v>
      </c>
      <c r="AN506" s="46">
        <f>($L$3*(Q506-$Q$1)/$Q$2+$M$3*(R506-$R$1)/$R$2+$N$3*(S506-$S$1)/$S$2+$O$3*(T506-$T$1)/$T$2+$P$3*(U506-$U$1)/$U$2)/(SUM($L$3:$P$3))</f>
        <v>-0.99459864450758517</v>
      </c>
      <c r="AO506" s="47">
        <f>IF(AVERAGE(AH506:AI506)&gt;9,1,0)+IF(AVERAGE(AH506:AI506)&gt;7,1,0)+IF(AH506&gt;7,1,0)+IF(AI506&gt;7,1,0)+IF(AJ506&gt;8,1,0)+IF(AJ506&gt;6,1,0)</f>
        <v>0</v>
      </c>
      <c r="AP506" s="48">
        <f>MIN(2,IF(OR(Z506="-",X506&lt;5),0,1+IF(Y506&gt;7,0.35,IF(Y506&gt;5,0.1,0))+IF(Z506&gt;7,1+IF(X506&gt;7,0.25,0),IF(Z506&gt;4,0.5+IF(X506&gt;7,0.25,0),0+IF(X506&gt;7,0.25))))+IF(AA506="-",0,IF(AA506&gt;9,0.5,IF(AA506&gt;7,0.25,0)))+IF(AB506="-",0,IF(AB506&gt;7,1.1,IF(AB506&gt;4,0.6,0)))+IF(OR(AC506="-",V506&lt;5),0,IF(AC506&gt;7,1+IF(V506&gt;7,0.25,0),IF(AC506&gt;4,0.5+IF(V506&gt;7,0.25,0),0)))+IF(AD506="-",0,IF(AD506&gt;7,1.5,IF(AD506&gt;4,1,0)))+IF(AE506="-",0,IF(AE506&gt;9,0.5,IF(AE506&gt;7,0.25,0)))+IF(AF506="-",0,IF(AF506&gt;7,1.25,IF(AF506&gt;4,0.75,0)))+IF(OR(AG506="-",W506&lt;4),0,IF(AG506&gt;7,1+IF(W506&gt;7,0.15,0),IF(AG506&gt;4,0.5+IF(W506&gt;7,0.15,0),0))))</f>
        <v>0</v>
      </c>
      <c r="AQ506" s="46">
        <f>($AM$3*AM506+$AN$3*AN506+$AO$3*AO506+$AP$3*AP506)+$I$3*VLOOKUP(I506,COND!$A$2:$E$7,4,FALSE)+$J$3*VLOOKUP(J506,COND!$A$2:$C$7,2,FALSE)+$K$3*VLOOKUP(K506,COND!$A$2:$C$7,3,FALSE)+IF(AND($B$2&gt;0,$E506&lt;20),$B$2*25,0)</f>
        <v>32.620128228855286</v>
      </c>
      <c r="AR506" s="49">
        <f>STANDARDIZE(AQ506,AVERAGE($AQ$5:$AQ$537),STDEVP($AQ$5:$AQ$537))</f>
        <v>-1.3597111973777336</v>
      </c>
      <c r="AS506" s="47" t="str">
        <f>IF(AND(Z506&lt;&gt;"-",Y506&gt;1),"C",IF(AB506=MAX(AB506:AD506),"2B",IF(AD506=MAX(AB506:AD506),"SS",IF(OR(AC506=MAX(AA506:AD506),AND(AC506&lt;&gt;"-",AC506&gt;4,V506&gt;5)),"3B",IF(AF506=MAX(AE506:AG506),"CF",IF(AND(AG506=MAX(AE506,AG506),AND(W506&gt;5,AG506&lt;&gt;"-")),"RF",IF(AE506&lt;&gt;"-","LF",IF(AA506&lt;&gt;"-","1B","DH"))))))))</f>
        <v>DH</v>
      </c>
      <c r="AT506" s="47"/>
      <c r="AU506" s="47"/>
      <c r="AV506" s="47"/>
      <c r="AW506" s="47" t="str">
        <f>IF(AND($Q506&gt;=6,AVERAGE($S506:$T506)&gt;=6),"Likely",IF(OR($Q506&gt;6,AND($Q506=6,AVERAGE($S506:$T506)&gt;=3),AND($Q506&gt;=5,AVERAGE($S506:$T506)&gt;=5),AVERAGE($Q506,$S506:$T506)&gt;5),"Possible","Unlikely"))</f>
        <v>Unlikely</v>
      </c>
      <c r="AX506" s="47"/>
      <c r="AY506" s="47" t="str">
        <f>INDEX(Table5[[#All],[Ovr]],MATCH(Batters[[#This Row],[PID]],Table5[[#All],[PID]],0))</f>
        <v/>
      </c>
      <c r="AZ506" s="47" t="str">
        <f>INDEX(Table5[[#All],[Rnd]],MATCH(Batters[[#This Row],[PID]],Table5[[#All],[PID]],0))</f>
        <v/>
      </c>
      <c r="BA506" s="47" t="str">
        <f>INDEX(Table5[[#All],[Pick]],MATCH(Batters[[#This Row],[PID]],Table5[[#All],[PID]],0))</f>
        <v/>
      </c>
      <c r="BB506" s="47" t="str">
        <f>INDEX(Table5[[#All],[Team]],MATCH(Batters[[#This Row],[PID]],Table5[[#All],[PID]],0))</f>
        <v/>
      </c>
    </row>
    <row r="507" spans="1:54" ht="15" customHeight="1" x14ac:dyDescent="0.25">
      <c r="A507" s="42">
        <v>16561</v>
      </c>
      <c r="B507" s="42" t="s">
        <v>50</v>
      </c>
      <c r="C507" s="42" t="s">
        <v>1322</v>
      </c>
      <c r="D507" s="42" t="s">
        <v>1140</v>
      </c>
      <c r="E507" s="42">
        <v>21</v>
      </c>
      <c r="F507" s="42" t="s">
        <v>42</v>
      </c>
      <c r="G507" s="42" t="s">
        <v>42</v>
      </c>
      <c r="H507" s="43" t="s">
        <v>721</v>
      </c>
      <c r="I507" s="44" t="s">
        <v>43</v>
      </c>
      <c r="J507" s="42" t="s">
        <v>44</v>
      </c>
      <c r="K507" s="43" t="s">
        <v>43</v>
      </c>
      <c r="L507" s="42">
        <v>1</v>
      </c>
      <c r="M507" s="42">
        <v>2</v>
      </c>
      <c r="N507" s="42">
        <v>2</v>
      </c>
      <c r="O507" s="42">
        <v>2</v>
      </c>
      <c r="P507" s="43">
        <v>1</v>
      </c>
      <c r="Q507" s="42">
        <v>2</v>
      </c>
      <c r="R507" s="42">
        <v>4</v>
      </c>
      <c r="S507" s="42">
        <v>3</v>
      </c>
      <c r="T507" s="42">
        <v>5</v>
      </c>
      <c r="U507" s="43">
        <v>3</v>
      </c>
      <c r="V507" s="42">
        <v>4</v>
      </c>
      <c r="W507" s="42">
        <v>4</v>
      </c>
      <c r="X507" s="42">
        <v>1</v>
      </c>
      <c r="Y507" s="43">
        <v>1</v>
      </c>
      <c r="Z507" s="42" t="s">
        <v>45</v>
      </c>
      <c r="AA507" s="42" t="s">
        <v>45</v>
      </c>
      <c r="AB507" s="42">
        <v>1</v>
      </c>
      <c r="AC507" s="42" t="s">
        <v>45</v>
      </c>
      <c r="AD507" s="42" t="s">
        <v>45</v>
      </c>
      <c r="AE507" s="42">
        <v>2</v>
      </c>
      <c r="AF507" s="42" t="s">
        <v>45</v>
      </c>
      <c r="AG507" s="43">
        <v>1</v>
      </c>
      <c r="AH507" s="42">
        <v>3</v>
      </c>
      <c r="AI507" s="42">
        <v>2</v>
      </c>
      <c r="AJ507" s="43">
        <v>2</v>
      </c>
      <c r="AK507" s="45" t="s">
        <v>45</v>
      </c>
      <c r="AL507" s="45" t="s">
        <v>47</v>
      </c>
      <c r="AM507" s="46">
        <f>($L$3*(L507-$Q$1)/$Q$2+$M$3*(M507-$R$1)/$R$2+$N$3*(N507-$S$1)/$S$2+$O$3*(O507-$T$1)/$T$2+$P$3*(P507-$U$1)/$U$2)/(SUM($L$3:$P$3))</f>
        <v>-1.8605124261753858</v>
      </c>
      <c r="AN507" s="46">
        <f>($L$3*(Q507-$Q$1)/$Q$2+$M$3*(R507-$R$1)/$R$2+$N$3*(S507-$S$1)/$S$2+$O$3*(T507-$T$1)/$T$2+$P$3*(U507-$U$1)/$U$2)/(SUM($L$3:$P$3))</f>
        <v>-1.0036140070484929</v>
      </c>
      <c r="AO507" s="47">
        <f>IF(AVERAGE(AH507:AI507)&gt;9,1,0)+IF(AVERAGE(AH507:AI507)&gt;7,1,0)+IF(AH507&gt;7,1,0)+IF(AI507&gt;7,1,0)+IF(AJ507&gt;8,1,0)+IF(AJ507&gt;6,1,0)</f>
        <v>0</v>
      </c>
      <c r="AP507" s="48">
        <f>MIN(2,IF(OR(Z507="-",X507&lt;5),0,1+IF(Y507&gt;7,0.35,IF(Y507&gt;5,0.1,0))+IF(Z507&gt;7,1+IF(X507&gt;7,0.25,0),IF(Z507&gt;4,0.5+IF(X507&gt;7,0.25,0),0+IF(X507&gt;7,0.25))))+IF(AA507="-",0,IF(AA507&gt;9,0.5,IF(AA507&gt;7,0.25,0)))+IF(AB507="-",0,IF(AB507&gt;7,1.1,IF(AB507&gt;4,0.6,0)))+IF(OR(AC507="-",V507&lt;5),0,IF(AC507&gt;7,1+IF(V507&gt;7,0.25,0),IF(AC507&gt;4,0.5+IF(V507&gt;7,0.25,0),0)))+IF(AD507="-",0,IF(AD507&gt;7,1.5,IF(AD507&gt;4,1,0)))+IF(AE507="-",0,IF(AE507&gt;9,0.5,IF(AE507&gt;7,0.25,0)))+IF(AF507="-",0,IF(AF507&gt;7,1.25,IF(AF507&gt;4,0.75,0)))+IF(OR(AG507="-",W507&lt;4),0,IF(AG507&gt;7,1+IF(W507&gt;7,0.15,0),IF(AG507&gt;4,0.5+IF(W507&gt;7,0.15,0),0))))</f>
        <v>0</v>
      </c>
      <c r="AQ507" s="46">
        <f>($AM$3*AM507+$AN$3*AN507+$AO$3*AO507+$AP$3*AP507)+$I$3*VLOOKUP(I507,COND!$A$2:$E$7,4,FALSE)+$J$3*VLOOKUP(J507,COND!$A$2:$C$7,2,FALSE)+$K$3*VLOOKUP(K507,COND!$A$2:$C$7,3,FALSE)+IF(AND($B$2&gt;0,$E507&lt;20),$B$2*25,0)</f>
        <v>32.470580672800544</v>
      </c>
      <c r="AR507" s="49">
        <f>STANDARDIZE(AQ507,AVERAGE($AQ$5:$AQ$537),STDEVP($AQ$5:$AQ$537))</f>
        <v>-1.3860230959271385</v>
      </c>
      <c r="AS507" s="47" t="str">
        <f>IF(AND(Z507&lt;&gt;"-",Y507&gt;1),"C",IF(AB507=MAX(AB507:AD507),"2B",IF(AD507=MAX(AB507:AD507),"SS",IF(OR(AC507=MAX(AA507:AD507),AND(AC507&lt;&gt;"-",AC507&gt;4,V507&gt;5)),"3B",IF(AF507=MAX(AE507:AG507),"CF",IF(AND(AG507=MAX(AE507,AG507),AND(W507&gt;5,AG507&lt;&gt;"-")),"RF",IF(AE507&lt;&gt;"-","LF",IF(AA507&lt;&gt;"-","1B","DH"))))))))</f>
        <v>2B</v>
      </c>
      <c r="AT507" s="47"/>
      <c r="AU507" s="47"/>
      <c r="AV507" s="47"/>
      <c r="AW507" s="47" t="str">
        <f>IF(AND($Q507&gt;=6,AVERAGE($S507:$T507)&gt;=6),"Likely",IF(OR($Q507&gt;6,AND($Q507=6,AVERAGE($S507:$T507)&gt;=3),AND($Q507&gt;=5,AVERAGE($S507:$T507)&gt;=5),AVERAGE($Q507,$S507:$T507)&gt;5),"Possible","Unlikely"))</f>
        <v>Unlikely</v>
      </c>
      <c r="AX507" s="47"/>
      <c r="AY507" s="47" t="str">
        <f>INDEX(Table5[[#All],[Ovr]],MATCH(Batters[[#This Row],[PID]],Table5[[#All],[PID]],0))</f>
        <v/>
      </c>
      <c r="AZ507" s="47" t="str">
        <f>INDEX(Table5[[#All],[Rnd]],MATCH(Batters[[#This Row],[PID]],Table5[[#All],[PID]],0))</f>
        <v/>
      </c>
      <c r="BA507" s="47" t="str">
        <f>INDEX(Table5[[#All],[Pick]],MATCH(Batters[[#This Row],[PID]],Table5[[#All],[PID]],0))</f>
        <v/>
      </c>
      <c r="BB507" s="47" t="str">
        <f>INDEX(Table5[[#All],[Team]],MATCH(Batters[[#This Row],[PID]],Table5[[#All],[PID]],0))</f>
        <v/>
      </c>
    </row>
    <row r="508" spans="1:54" ht="15" customHeight="1" x14ac:dyDescent="0.25">
      <c r="A508" s="42">
        <v>17901</v>
      </c>
      <c r="B508" s="42" t="s">
        <v>87</v>
      </c>
      <c r="C508" s="42" t="s">
        <v>1349</v>
      </c>
      <c r="D508" s="42" t="s">
        <v>1350</v>
      </c>
      <c r="E508" s="42">
        <v>18</v>
      </c>
      <c r="F508" s="42" t="s">
        <v>53</v>
      </c>
      <c r="G508" s="42" t="s">
        <v>42</v>
      </c>
      <c r="H508" s="43" t="s">
        <v>721</v>
      </c>
      <c r="I508" s="44" t="s">
        <v>43</v>
      </c>
      <c r="J508" s="42" t="s">
        <v>43</v>
      </c>
      <c r="K508" s="43" t="s">
        <v>43</v>
      </c>
      <c r="L508" s="42">
        <v>1</v>
      </c>
      <c r="M508" s="42">
        <v>2</v>
      </c>
      <c r="N508" s="42">
        <v>2</v>
      </c>
      <c r="O508" s="42">
        <v>1</v>
      </c>
      <c r="P508" s="43">
        <v>1</v>
      </c>
      <c r="Q508" s="42">
        <v>2</v>
      </c>
      <c r="R508" s="42">
        <v>2</v>
      </c>
      <c r="S508" s="42">
        <v>2</v>
      </c>
      <c r="T508" s="42">
        <v>1</v>
      </c>
      <c r="U508" s="43">
        <v>4</v>
      </c>
      <c r="V508" s="42">
        <v>7</v>
      </c>
      <c r="W508" s="42">
        <v>2</v>
      </c>
      <c r="X508" s="42">
        <v>1</v>
      </c>
      <c r="Y508" s="43">
        <v>1</v>
      </c>
      <c r="Z508" s="42" t="s">
        <v>45</v>
      </c>
      <c r="AA508" s="42">
        <v>1</v>
      </c>
      <c r="AB508" s="42" t="s">
        <v>45</v>
      </c>
      <c r="AC508" s="42" t="s">
        <v>45</v>
      </c>
      <c r="AD508" s="42" t="s">
        <v>45</v>
      </c>
      <c r="AE508" s="42" t="s">
        <v>45</v>
      </c>
      <c r="AF508" s="42" t="s">
        <v>45</v>
      </c>
      <c r="AG508" s="43" t="s">
        <v>45</v>
      </c>
      <c r="AH508" s="42">
        <v>4</v>
      </c>
      <c r="AI508" s="42">
        <v>4</v>
      </c>
      <c r="AJ508" s="43">
        <v>3</v>
      </c>
      <c r="AK508" s="45" t="s">
        <v>718</v>
      </c>
      <c r="AL508" s="45" t="s">
        <v>47</v>
      </c>
      <c r="AM508" s="46">
        <f>($L$3*(L508-$Q$1)/$Q$2+$M$3*(M508-$R$1)/$R$2+$N$3*(N508-$S$1)/$S$2+$O$3*(O508-$T$1)/$T$2+$P$3*(P508-$U$1)/$U$2)/(SUM($L$3:$P$3))</f>
        <v>-1.9502219761849671</v>
      </c>
      <c r="AN508" s="46">
        <f>($L$3*(Q508-$Q$1)/$Q$2+$M$3*(R508-$R$1)/$R$2+$N$3*(S508-$S$1)/$S$2+$O$3*(T508-$T$1)/$T$2+$P$3*(U508-$U$1)/$U$2)/(SUM($L$3:$P$3))</f>
        <v>-1.5076171205310418</v>
      </c>
      <c r="AO508" s="47">
        <f>IF(AVERAGE(AH508:AI508)&gt;9,1,0)+IF(AVERAGE(AH508:AI508)&gt;7,1,0)+IF(AH508&gt;7,1,0)+IF(AI508&gt;7,1,0)+IF(AJ508&gt;8,1,0)+IF(AJ508&gt;6,1,0)</f>
        <v>0</v>
      </c>
      <c r="AP508" s="48">
        <f>MIN(2,IF(OR(Z508="-",X508&lt;5),0,1+IF(Y508&gt;7,0.35,IF(Y508&gt;5,0.1,0))+IF(Z508&gt;7,1+IF(X508&gt;7,0.25,0),IF(Z508&gt;4,0.5+IF(X508&gt;7,0.25,0),0+IF(X508&gt;7,0.25))))+IF(AA508="-",0,IF(AA508&gt;9,0.5,IF(AA508&gt;7,0.25,0)))+IF(AB508="-",0,IF(AB508&gt;7,1.1,IF(AB508&gt;4,0.6,0)))+IF(OR(AC508="-",V508&lt;5),0,IF(AC508&gt;7,1+IF(V508&gt;7,0.25,0),IF(AC508&gt;4,0.5+IF(V508&gt;7,0.25,0),0)))+IF(AD508="-",0,IF(AD508&gt;7,1.5,IF(AD508&gt;4,1,0)))+IF(AE508="-",0,IF(AE508&gt;9,0.5,IF(AE508&gt;7,0.25,0)))+IF(AF508="-",0,IF(AF508&gt;7,1.25,IF(AF508&gt;4,0.75,0)))+IF(OR(AG508="-",W508&lt;4),0,IF(AG508&gt;7,1+IF(W508&gt;7,0.15,0),IF(AG508&gt;4,0.5+IF(W508&gt;7,0.15,0),0))))</f>
        <v>0</v>
      </c>
      <c r="AQ508" s="46">
        <f>($AM$3*AM508+$AN$3*AN508+$AO$3*AO508+$AP$3*AP508)+$I$3*VLOOKUP(I508,COND!$A$2:$E$7,4,FALSE)+$J$3*VLOOKUP(J508,COND!$A$2:$C$7,2,FALSE)+$K$3*VLOOKUP(K508,COND!$A$2:$C$7,3,FALSE)+IF(AND($B$2&gt;0,$E508&lt;20),$B$2*25,0)</f>
        <v>31.713572356009003</v>
      </c>
      <c r="AR508" s="49">
        <f>STANDARDIZE(AQ508,AVERAGE($AQ$5:$AQ$537),STDEVP($AQ$5:$AQ$537))</f>
        <v>-1.5192136779596774</v>
      </c>
      <c r="AS508" s="47" t="str">
        <f>IF(AND(Z508&lt;&gt;"-",Y508&gt;1),"C",IF(AB508=MAX(AB508:AD508),"2B",IF(AD508=MAX(AB508:AD508),"SS",IF(OR(AC508=MAX(AA508:AD508),AND(AC508&lt;&gt;"-",AC508&gt;4,V508&gt;5)),"3B",IF(AF508=MAX(AE508:AG508),"CF",IF(AND(AG508=MAX(AE508,AG508),AND(W508&gt;5,AG508&lt;&gt;"-")),"RF",IF(AE508&lt;&gt;"-","LF",IF(AA508&lt;&gt;"-","1B","DH"))))))))</f>
        <v>1B</v>
      </c>
      <c r="AT508" s="47"/>
      <c r="AU508" s="47"/>
      <c r="AV508" s="47"/>
      <c r="AW508" s="47" t="str">
        <f>IF(AND($Q508&gt;=6,AVERAGE($S508:$T508)&gt;=6),"Likely",IF(OR($Q508&gt;6,AND($Q508=6,AVERAGE($S508:$T508)&gt;=3),AND($Q508&gt;=5,AVERAGE($S508:$T508)&gt;=5),AVERAGE($Q508,$S508:$T508)&gt;5),"Possible","Unlikely"))</f>
        <v>Unlikely</v>
      </c>
      <c r="AX508" s="47"/>
      <c r="AY508" s="47" t="str">
        <f>INDEX(Table5[[#All],[Ovr]],MATCH(Batters[[#This Row],[PID]],Table5[[#All],[PID]],0))</f>
        <v/>
      </c>
      <c r="AZ508" s="47" t="str">
        <f>INDEX(Table5[[#All],[Rnd]],MATCH(Batters[[#This Row],[PID]],Table5[[#All],[PID]],0))</f>
        <v/>
      </c>
      <c r="BA508" s="47" t="str">
        <f>INDEX(Table5[[#All],[Pick]],MATCH(Batters[[#This Row],[PID]],Table5[[#All],[PID]],0))</f>
        <v/>
      </c>
      <c r="BB508" s="47" t="str">
        <f>INDEX(Table5[[#All],[Team]],MATCH(Batters[[#This Row],[PID]],Table5[[#All],[PID]],0))</f>
        <v/>
      </c>
    </row>
    <row r="509" spans="1:54" ht="15" customHeight="1" x14ac:dyDescent="0.25">
      <c r="A509" s="42">
        <v>4761</v>
      </c>
      <c r="B509" s="42" t="s">
        <v>86</v>
      </c>
      <c r="C509" s="42" t="s">
        <v>179</v>
      </c>
      <c r="D509" s="42" t="s">
        <v>1328</v>
      </c>
      <c r="E509" s="42">
        <v>21</v>
      </c>
      <c r="F509" s="42" t="s">
        <v>53</v>
      </c>
      <c r="G509" s="42" t="s">
        <v>42</v>
      </c>
      <c r="H509" s="43" t="s">
        <v>709</v>
      </c>
      <c r="I509" s="44" t="s">
        <v>43</v>
      </c>
      <c r="J509" s="42" t="s">
        <v>43</v>
      </c>
      <c r="K509" s="43" t="s">
        <v>43</v>
      </c>
      <c r="L509" s="42">
        <v>1</v>
      </c>
      <c r="M509" s="42">
        <v>3</v>
      </c>
      <c r="N509" s="42">
        <v>2</v>
      </c>
      <c r="O509" s="42">
        <v>1</v>
      </c>
      <c r="P509" s="43">
        <v>1</v>
      </c>
      <c r="Q509" s="42">
        <v>2</v>
      </c>
      <c r="R509" s="42">
        <v>3</v>
      </c>
      <c r="S509" s="42">
        <v>3</v>
      </c>
      <c r="T509" s="42">
        <v>4</v>
      </c>
      <c r="U509" s="43">
        <v>2</v>
      </c>
      <c r="V509" s="42">
        <v>3</v>
      </c>
      <c r="W509" s="42">
        <v>2</v>
      </c>
      <c r="X509" s="42">
        <v>6</v>
      </c>
      <c r="Y509" s="43">
        <v>7</v>
      </c>
      <c r="Z509" s="42">
        <v>2</v>
      </c>
      <c r="AA509" s="42" t="s">
        <v>45</v>
      </c>
      <c r="AB509" s="42" t="s">
        <v>45</v>
      </c>
      <c r="AC509" s="42" t="s">
        <v>45</v>
      </c>
      <c r="AD509" s="42" t="s">
        <v>45</v>
      </c>
      <c r="AE509" s="42" t="s">
        <v>45</v>
      </c>
      <c r="AF509" s="42" t="s">
        <v>45</v>
      </c>
      <c r="AG509" s="43" t="s">
        <v>45</v>
      </c>
      <c r="AH509" s="42">
        <v>1</v>
      </c>
      <c r="AI509" s="42">
        <v>4</v>
      </c>
      <c r="AJ509" s="43">
        <v>3</v>
      </c>
      <c r="AK509" s="45" t="s">
        <v>717</v>
      </c>
      <c r="AL509" s="45" t="s">
        <v>705</v>
      </c>
      <c r="AM509" s="46">
        <f>($L$3*(L509-$Q$1)/$Q$2+$M$3*(M509-$R$1)/$R$2+$N$3*(N509-$S$1)/$S$2+$O$3*(O509-$T$1)/$T$2+$P$3*(P509-$U$1)/$U$2)/(SUM($L$3:$P$3))</f>
        <v>-1.8991620965662634</v>
      </c>
      <c r="AN509" s="46">
        <f>($L$3*(Q509-$Q$1)/$Q$2+$M$3*(R509-$R$1)/$R$2+$N$3*(S509-$S$1)/$S$2+$O$3*(T509-$T$1)/$T$2+$P$3*(U509-$U$1)/$U$2)/(SUM($L$3:$P$3))</f>
        <v>-1.1843997764938607</v>
      </c>
      <c r="AO509" s="47">
        <f>IF(AVERAGE(AH509:AI509)&gt;9,1,0)+IF(AVERAGE(AH509:AI509)&gt;7,1,0)+IF(AH509&gt;7,1,0)+IF(AI509&gt;7,1,0)+IF(AJ509&gt;8,1,0)+IF(AJ509&gt;6,1,0)</f>
        <v>0</v>
      </c>
      <c r="AP509" s="48">
        <f>MIN(2,IF(OR(Z509="-",X509&lt;5),0,1+IF(Y509&gt;7,0.35,IF(Y509&gt;5,0.1,0))+IF(Z509&gt;7,1+IF(X509&gt;7,0.25,0),IF(Z509&gt;4,0.5+IF(X509&gt;7,0.25,0),0+IF(X509&gt;7,0.25))))+IF(AA509="-",0,IF(AA509&gt;9,0.5,IF(AA509&gt;7,0.25,0)))+IF(AB509="-",0,IF(AB509&gt;7,1.1,IF(AB509&gt;4,0.6,0)))+IF(OR(AC509="-",V509&lt;5),0,IF(AC509&gt;7,1+IF(V509&gt;7,0.25,0),IF(AC509&gt;4,0.5+IF(V509&gt;7,0.25,0),0)))+IF(AD509="-",0,IF(AD509&gt;7,1.5,IF(AD509&gt;4,1,0)))+IF(AE509="-",0,IF(AE509&gt;9,0.5,IF(AE509&gt;7,0.25,0)))+IF(AF509="-",0,IF(AF509&gt;7,1.25,IF(AF509&gt;4,0.75,0)))+IF(OR(AG509="-",W509&lt;4),0,IF(AG509&gt;7,1+IF(W509&gt;7,0.15,0),IF(AG509&gt;4,0.5+IF(W509&gt;7,0.15,0),0))))</f>
        <v>1.1000000000000001</v>
      </c>
      <c r="AQ509" s="46">
        <f>($AM$3*AM509+$AN$3*AN509+$AO$3*AO509+$AP$3*AP509)+$I$3*VLOOKUP(I509,COND!$A$2:$E$7,4,FALSE)+$J$3*VLOOKUP(J509,COND!$A$2:$C$7,2,FALSE)+$K$3*VLOOKUP(K509,COND!$A$2:$C$7,3,FALSE)+IF(AND($B$2&gt;0,$E509&lt;20),$B$2*25,0)</f>
        <v>31.697286472417044</v>
      </c>
      <c r="AR509" s="49">
        <f>STANDARDIZE(AQ509,AVERAGE($AQ$5:$AQ$537),STDEVP($AQ$5:$AQ$537))</f>
        <v>-1.5220790709367595</v>
      </c>
      <c r="AS509" s="47" t="str">
        <f>IF(AND(Z509&lt;&gt;"-",Y509&gt;1),"C",IF(AB509=MAX(AB509:AD509),"2B",IF(AD509=MAX(AB509:AD509),"SS",IF(OR(AC509=MAX(AA509:AD509),AND(AC509&lt;&gt;"-",AC509&gt;4,V509&gt;5)),"3B",IF(AF509=MAX(AE509:AG509),"CF",IF(AND(AG509=MAX(AE509,AG509),AND(W509&gt;5,AG509&lt;&gt;"-")),"RF",IF(AE509&lt;&gt;"-","LF",IF(AA509&lt;&gt;"-","1B","DH"))))))))</f>
        <v>C</v>
      </c>
      <c r="AT509" s="47"/>
      <c r="AU509" s="47"/>
      <c r="AV509" s="47"/>
      <c r="AW509" s="47" t="str">
        <f>IF(AND($Q509&gt;=6,AVERAGE($S509:$T509)&gt;=6),"Likely",IF(OR($Q509&gt;6,AND($Q509=6,AVERAGE($S509:$T509)&gt;=3),AND($Q509&gt;=5,AVERAGE($S509:$T509)&gt;=5),AVERAGE($Q509,$S509:$T509)&gt;5),"Possible","Unlikely"))</f>
        <v>Unlikely</v>
      </c>
      <c r="AX509" s="47"/>
      <c r="AY509" s="47" t="str">
        <f>INDEX(Table5[[#All],[Ovr]],MATCH(Batters[[#This Row],[PID]],Table5[[#All],[PID]],0))</f>
        <v/>
      </c>
      <c r="AZ509" s="47" t="str">
        <f>INDEX(Table5[[#All],[Rnd]],MATCH(Batters[[#This Row],[PID]],Table5[[#All],[PID]],0))</f>
        <v/>
      </c>
      <c r="BA509" s="47" t="str">
        <f>INDEX(Table5[[#All],[Pick]],MATCH(Batters[[#This Row],[PID]],Table5[[#All],[PID]],0))</f>
        <v/>
      </c>
      <c r="BB509" s="47" t="str">
        <f>INDEX(Table5[[#All],[Team]],MATCH(Batters[[#This Row],[PID]],Table5[[#All],[PID]],0))</f>
        <v/>
      </c>
    </row>
    <row r="510" spans="1:54" ht="15" customHeight="1" x14ac:dyDescent="0.25">
      <c r="A510" s="42">
        <v>12195</v>
      </c>
      <c r="B510" s="42" t="s">
        <v>69</v>
      </c>
      <c r="C510" s="42" t="s">
        <v>324</v>
      </c>
      <c r="D510" s="42" t="s">
        <v>743</v>
      </c>
      <c r="E510" s="42">
        <v>21</v>
      </c>
      <c r="F510" s="42" t="s">
        <v>42</v>
      </c>
      <c r="G510" s="42" t="s">
        <v>42</v>
      </c>
      <c r="H510" s="43" t="s">
        <v>721</v>
      </c>
      <c r="I510" s="44" t="s">
        <v>43</v>
      </c>
      <c r="J510" s="42" t="s">
        <v>47</v>
      </c>
      <c r="K510" s="43" t="s">
        <v>43</v>
      </c>
      <c r="L510" s="42">
        <v>1</v>
      </c>
      <c r="M510" s="42">
        <v>2</v>
      </c>
      <c r="N510" s="42">
        <v>2</v>
      </c>
      <c r="O510" s="42">
        <v>1</v>
      </c>
      <c r="P510" s="43">
        <v>2</v>
      </c>
      <c r="Q510" s="42">
        <v>2</v>
      </c>
      <c r="R510" s="42">
        <v>4</v>
      </c>
      <c r="S510" s="42">
        <v>2</v>
      </c>
      <c r="T510" s="42">
        <v>4</v>
      </c>
      <c r="U510" s="43">
        <v>3</v>
      </c>
      <c r="V510" s="42">
        <v>7</v>
      </c>
      <c r="W510" s="42">
        <v>6</v>
      </c>
      <c r="X510" s="42">
        <v>1</v>
      </c>
      <c r="Y510" s="43">
        <v>1</v>
      </c>
      <c r="Z510" s="42" t="s">
        <v>45</v>
      </c>
      <c r="AA510" s="42">
        <v>4</v>
      </c>
      <c r="AB510" s="42" t="s">
        <v>45</v>
      </c>
      <c r="AC510" s="42">
        <v>2</v>
      </c>
      <c r="AD510" s="42" t="s">
        <v>45</v>
      </c>
      <c r="AE510" s="42" t="s">
        <v>45</v>
      </c>
      <c r="AF510" s="42" t="s">
        <v>45</v>
      </c>
      <c r="AG510" s="43">
        <v>1</v>
      </c>
      <c r="AH510" s="42">
        <v>6</v>
      </c>
      <c r="AI510" s="42">
        <v>7</v>
      </c>
      <c r="AJ510" s="43">
        <v>5</v>
      </c>
      <c r="AK510" s="45" t="s">
        <v>45</v>
      </c>
      <c r="AL510" s="45" t="s">
        <v>47</v>
      </c>
      <c r="AM510" s="46">
        <f>($L$3*(L510-$Q$1)/$Q$2+$M$3*(M510-$R$1)/$R$2+$N$3*(N510-$S$1)/$S$2+$O$3*(O510-$T$1)/$T$2+$P$3*(P510-$U$1)/$U$2)/(SUM($L$3:$P$3))</f>
        <v>-1.9102056363678834</v>
      </c>
      <c r="AN510" s="46">
        <f>($L$3*(Q510-$Q$1)/$Q$2+$M$3*(R510-$R$1)/$R$2+$N$3*(S510-$S$1)/$S$2+$O$3*(T510-$T$1)/$T$2+$P$3*(U510-$U$1)/$U$2)/(SUM($L$3:$P$3))</f>
        <v>-1.1763850510819753</v>
      </c>
      <c r="AO510" s="47">
        <f>IF(AVERAGE(AH510:AI510)&gt;9,1,0)+IF(AVERAGE(AH510:AI510)&gt;7,1,0)+IF(AH510&gt;7,1,0)+IF(AI510&gt;7,1,0)+IF(AJ510&gt;8,1,0)+IF(AJ510&gt;6,1,0)</f>
        <v>0</v>
      </c>
      <c r="AP510" s="48">
        <f>MIN(2,IF(OR(Z510="-",X510&lt;5),0,1+IF(Y510&gt;7,0.35,IF(Y510&gt;5,0.1,0))+IF(Z510&gt;7,1+IF(X510&gt;7,0.25,0),IF(Z510&gt;4,0.5+IF(X510&gt;7,0.25,0),0+IF(X510&gt;7,0.25))))+IF(AA510="-",0,IF(AA510&gt;9,0.5,IF(AA510&gt;7,0.25,0)))+IF(AB510="-",0,IF(AB510&gt;7,1.1,IF(AB510&gt;4,0.6,0)))+IF(OR(AC510="-",V510&lt;5),0,IF(AC510&gt;7,1+IF(V510&gt;7,0.25,0),IF(AC510&gt;4,0.5+IF(V510&gt;7,0.25,0),0)))+IF(AD510="-",0,IF(AD510&gt;7,1.5,IF(AD510&gt;4,1,0)))+IF(AE510="-",0,IF(AE510&gt;9,0.5,IF(AE510&gt;7,0.25,0)))+IF(AF510="-",0,IF(AF510&gt;7,1.25,IF(AF510&gt;4,0.75,0)))+IF(OR(AG510="-",W510&lt;4),0,IF(AG510&gt;7,1+IF(W510&gt;7,0.15,0),IF(AG510&gt;4,0.5+IF(W510&gt;7,0.15,0),0))))</f>
        <v>0</v>
      </c>
      <c r="AQ510" s="46">
        <f>($AM$3*AM510+$AN$3*AN510+$AO$3*AO510+$AP$3*AP510)+$I$3*VLOOKUP(I510,COND!$A$2:$E$7,4,FALSE)+$J$3*VLOOKUP(J510,COND!$A$2:$C$7,2,FALSE)+$K$3*VLOOKUP(K510,COND!$A$2:$C$7,3,FALSE)+IF(AND($B$2&gt;0,$E510&lt;20),$B$2*25,0)</f>
        <v>30.992358823379508</v>
      </c>
      <c r="AR510" s="49">
        <f>STANDARDIZE(AQ510,AVERAGE($AQ$5:$AQ$537),STDEVP($AQ$5:$AQ$537))</f>
        <v>-1.6461064056218992</v>
      </c>
      <c r="AS510" s="47" t="str">
        <f>IF(AND(Z510&lt;&gt;"-",Y510&gt;1),"C",IF(AB510=MAX(AB510:AD510),"2B",IF(AD510=MAX(AB510:AD510),"SS",IF(OR(AC510=MAX(AA510:AD510),AND(AC510&lt;&gt;"-",AC510&gt;4,V510&gt;5)),"3B",IF(AF510=MAX(AE510:AG510),"CF",IF(AND(AG510=MAX(AE510,AG510),AND(W510&gt;5,AG510&lt;&gt;"-")),"RF",IF(AE510&lt;&gt;"-","LF",IF(AA510&lt;&gt;"-","1B","DH"))))))))</f>
        <v>RF</v>
      </c>
      <c r="AT510" s="47"/>
      <c r="AU510" s="47"/>
      <c r="AV510" s="47"/>
      <c r="AW510" s="47" t="str">
        <f>IF(AND($Q510&gt;=6,AVERAGE($S510:$T510)&gt;=6),"Likely",IF(OR($Q510&gt;6,AND($Q510=6,AVERAGE($S510:$T510)&gt;=3),AND($Q510&gt;=5,AVERAGE($S510:$T510)&gt;=5),AVERAGE($Q510,$S510:$T510)&gt;5),"Possible","Unlikely"))</f>
        <v>Unlikely</v>
      </c>
      <c r="AX510" s="47"/>
      <c r="AY510" s="47" t="str">
        <f>INDEX(Table5[[#All],[Ovr]],MATCH(Batters[[#This Row],[PID]],Table5[[#All],[PID]],0))</f>
        <v/>
      </c>
      <c r="AZ510" s="47" t="str">
        <f>INDEX(Table5[[#All],[Rnd]],MATCH(Batters[[#This Row],[PID]],Table5[[#All],[PID]],0))</f>
        <v/>
      </c>
      <c r="BA510" s="47" t="str">
        <f>INDEX(Table5[[#All],[Pick]],MATCH(Batters[[#This Row],[PID]],Table5[[#All],[PID]],0))</f>
        <v/>
      </c>
      <c r="BB510" s="47" t="str">
        <f>INDEX(Table5[[#All],[Team]],MATCH(Batters[[#This Row],[PID]],Table5[[#All],[PID]],0))</f>
        <v/>
      </c>
    </row>
    <row r="511" spans="1:54" ht="15" customHeight="1" x14ac:dyDescent="0.25">
      <c r="A511" s="42">
        <v>4404</v>
      </c>
      <c r="B511" s="42" t="s">
        <v>86</v>
      </c>
      <c r="C511" s="42" t="s">
        <v>183</v>
      </c>
      <c r="D511" s="42" t="s">
        <v>685</v>
      </c>
      <c r="E511" s="42">
        <v>21</v>
      </c>
      <c r="F511" s="42" t="s">
        <v>42</v>
      </c>
      <c r="G511" s="42" t="s">
        <v>42</v>
      </c>
      <c r="H511" s="43" t="s">
        <v>711</v>
      </c>
      <c r="I511" s="44" t="s">
        <v>43</v>
      </c>
      <c r="J511" s="42" t="s">
        <v>43</v>
      </c>
      <c r="K511" s="43" t="s">
        <v>43</v>
      </c>
      <c r="L511" s="42">
        <v>1</v>
      </c>
      <c r="M511" s="42">
        <v>2</v>
      </c>
      <c r="N511" s="42">
        <v>2</v>
      </c>
      <c r="O511" s="42">
        <v>1</v>
      </c>
      <c r="P511" s="43">
        <v>1</v>
      </c>
      <c r="Q511" s="42">
        <v>2</v>
      </c>
      <c r="R511" s="42">
        <v>4</v>
      </c>
      <c r="S511" s="42">
        <v>3</v>
      </c>
      <c r="T511" s="42">
        <v>4</v>
      </c>
      <c r="U511" s="43">
        <v>3</v>
      </c>
      <c r="V511" s="42">
        <v>3</v>
      </c>
      <c r="W511" s="42">
        <v>3</v>
      </c>
      <c r="X511" s="42">
        <v>5</v>
      </c>
      <c r="Y511" s="43">
        <v>6</v>
      </c>
      <c r="Z511" s="42" t="s">
        <v>45</v>
      </c>
      <c r="AA511" s="42" t="s">
        <v>45</v>
      </c>
      <c r="AB511" s="42" t="s">
        <v>45</v>
      </c>
      <c r="AC511" s="42" t="s">
        <v>45</v>
      </c>
      <c r="AD511" s="42" t="s">
        <v>45</v>
      </c>
      <c r="AE511" s="42" t="s">
        <v>45</v>
      </c>
      <c r="AF511" s="42" t="s">
        <v>45</v>
      </c>
      <c r="AG511" s="43" t="s">
        <v>45</v>
      </c>
      <c r="AH511" s="42">
        <v>3</v>
      </c>
      <c r="AI511" s="42">
        <v>2</v>
      </c>
      <c r="AJ511" s="43">
        <v>4</v>
      </c>
      <c r="AK511" s="45" t="s">
        <v>45</v>
      </c>
      <c r="AL511" s="45" t="s">
        <v>47</v>
      </c>
      <c r="AM511" s="46">
        <f>($L$3*(L511-$Q$1)/$Q$2+$M$3*(M511-$R$1)/$R$2+$N$3*(N511-$S$1)/$S$2+$O$3*(O511-$T$1)/$T$2+$P$3*(P511-$U$1)/$U$2)/(SUM($L$3:$P$3))</f>
        <v>-1.9502219761849671</v>
      </c>
      <c r="AN511" s="46">
        <f>($L$3*(Q511-$Q$1)/$Q$2+$M$3*(R511-$R$1)/$R$2+$N$3*(S511-$S$1)/$S$2+$O$3*(T511-$T$1)/$T$2+$P$3*(U511-$U$1)/$U$2)/(SUM($L$3:$P$3))</f>
        <v>-1.0933235570580737</v>
      </c>
      <c r="AO511" s="47">
        <f>IF(AVERAGE(AH511:AI511)&gt;9,1,0)+IF(AVERAGE(AH511:AI511)&gt;7,1,0)+IF(AH511&gt;7,1,0)+IF(AI511&gt;7,1,0)+IF(AJ511&gt;8,1,0)+IF(AJ511&gt;6,1,0)</f>
        <v>0</v>
      </c>
      <c r="AP511" s="48">
        <f>MIN(2,IF(OR(Z511="-",X511&lt;5),0,1+IF(Y511&gt;7,0.35,IF(Y511&gt;5,0.1,0))+IF(Z511&gt;7,1+IF(X511&gt;7,0.25,0),IF(Z511&gt;4,0.5+IF(X511&gt;7,0.25,0),0+IF(X511&gt;7,0.25))))+IF(AA511="-",0,IF(AA511&gt;9,0.5,IF(AA511&gt;7,0.25,0)))+IF(AB511="-",0,IF(AB511&gt;7,1.1,IF(AB511&gt;4,0.6,0)))+IF(OR(AC511="-",V511&lt;5),0,IF(AC511&gt;7,1+IF(V511&gt;7,0.25,0),IF(AC511&gt;4,0.5+IF(V511&gt;7,0.25,0),0)))+IF(AD511="-",0,IF(AD511&gt;7,1.5,IF(AD511&gt;4,1,0)))+IF(AE511="-",0,IF(AE511&gt;9,0.5,IF(AE511&gt;7,0.25,0)))+IF(AF511="-",0,IF(AF511&gt;7,1.25,IF(AF511&gt;4,0.75,0)))+IF(OR(AG511="-",W511&lt;4),0,IF(AG511&gt;7,1+IF(W511&gt;7,0.15,0),IF(AG511&gt;4,0.5+IF(W511&gt;7,0.15,0),0))))</f>
        <v>0</v>
      </c>
      <c r="AQ511" s="46">
        <f>($AM$3*AM511+$AN$3*AN511+$AO$3*AO511+$AP$3*AP511)+$I$3*VLOOKUP(I511,COND!$A$2:$E$7,4,FALSE)+$J$3*VLOOKUP(J511,COND!$A$2:$C$7,2,FALSE)+$K$3*VLOOKUP(K511,COND!$A$2:$C$7,3,FALSE)+IF(AND($B$2&gt;0,$E511&lt;20),$B$2*25,0)</f>
        <v>31.685095117684618</v>
      </c>
      <c r="AR511" s="49">
        <f>STANDARDIZE(AQ511,AVERAGE($AQ$5:$AQ$537),STDEVP($AQ$5:$AQ$537))</f>
        <v>-1.5242240587744877</v>
      </c>
      <c r="AS511" s="47" t="str">
        <f>IF(AND(Z511&lt;&gt;"-",Y511&gt;1),"C",IF(AB511=MAX(AB511:AD511),"2B",IF(AD511=MAX(AB511:AD511),"SS",IF(OR(AC511=MAX(AA511:AD511),AND(AC511&lt;&gt;"-",AC511&gt;4,V511&gt;5)),"3B",IF(AF511=MAX(AE511:AG511),"CF",IF(AND(AG511=MAX(AE511,AG511),AND(W511&gt;5,AG511&lt;&gt;"-")),"RF",IF(AE511&lt;&gt;"-","LF",IF(AA511&lt;&gt;"-","1B","DH"))))))))</f>
        <v>DH</v>
      </c>
      <c r="AT511" s="47"/>
      <c r="AU511" s="47"/>
      <c r="AV511" s="47"/>
      <c r="AW511" s="47" t="str">
        <f>IF(AND($Q511&gt;=6,AVERAGE($S511:$T511)&gt;=6),"Likely",IF(OR($Q511&gt;6,AND($Q511=6,AVERAGE($S511:$T511)&gt;=3),AND($Q511&gt;=5,AVERAGE($S511:$T511)&gt;=5),AVERAGE($Q511,$S511:$T511)&gt;5),"Possible","Unlikely"))</f>
        <v>Unlikely</v>
      </c>
      <c r="AX511" s="47"/>
      <c r="AY511" s="47" t="str">
        <f>INDEX(Table5[[#All],[Ovr]],MATCH(Batters[[#This Row],[PID]],Table5[[#All],[PID]],0))</f>
        <v/>
      </c>
      <c r="AZ511" s="47" t="str">
        <f>INDEX(Table5[[#All],[Rnd]],MATCH(Batters[[#This Row],[PID]],Table5[[#All],[PID]],0))</f>
        <v/>
      </c>
      <c r="BA511" s="47" t="str">
        <f>INDEX(Table5[[#All],[Pick]],MATCH(Batters[[#This Row],[PID]],Table5[[#All],[PID]],0))</f>
        <v/>
      </c>
      <c r="BB511" s="47" t="str">
        <f>INDEX(Table5[[#All],[Team]],MATCH(Batters[[#This Row],[PID]],Table5[[#All],[PID]],0))</f>
        <v/>
      </c>
    </row>
    <row r="512" spans="1:54" ht="15" customHeight="1" x14ac:dyDescent="0.25">
      <c r="A512" s="42">
        <v>11435</v>
      </c>
      <c r="B512" s="42" t="s">
        <v>86</v>
      </c>
      <c r="C512" s="42" t="s">
        <v>183</v>
      </c>
      <c r="D512" s="42" t="s">
        <v>612</v>
      </c>
      <c r="E512" s="42">
        <v>22</v>
      </c>
      <c r="F512" s="42" t="s">
        <v>42</v>
      </c>
      <c r="G512" s="42" t="s">
        <v>42</v>
      </c>
      <c r="H512" s="43" t="s">
        <v>721</v>
      </c>
      <c r="I512" s="44" t="s">
        <v>43</v>
      </c>
      <c r="J512" s="42" t="s">
        <v>43</v>
      </c>
      <c r="K512" s="43" t="s">
        <v>43</v>
      </c>
      <c r="L512" s="42">
        <v>1</v>
      </c>
      <c r="M512" s="42">
        <v>2</v>
      </c>
      <c r="N512" s="42">
        <v>2</v>
      </c>
      <c r="O512" s="42">
        <v>2</v>
      </c>
      <c r="P512" s="43">
        <v>1</v>
      </c>
      <c r="Q512" s="42">
        <v>2</v>
      </c>
      <c r="R512" s="42">
        <v>3</v>
      </c>
      <c r="S512" s="42">
        <v>3</v>
      </c>
      <c r="T512" s="42">
        <v>5</v>
      </c>
      <c r="U512" s="43">
        <v>2</v>
      </c>
      <c r="V512" s="42">
        <v>1</v>
      </c>
      <c r="W512" s="42">
        <v>1</v>
      </c>
      <c r="X512" s="42">
        <v>4</v>
      </c>
      <c r="Y512" s="43">
        <v>6</v>
      </c>
      <c r="Z512" s="42">
        <v>2</v>
      </c>
      <c r="AA512" s="42" t="s">
        <v>45</v>
      </c>
      <c r="AB512" s="42" t="s">
        <v>45</v>
      </c>
      <c r="AC512" s="42" t="s">
        <v>45</v>
      </c>
      <c r="AD512" s="42" t="s">
        <v>45</v>
      </c>
      <c r="AE512" s="42" t="s">
        <v>45</v>
      </c>
      <c r="AF512" s="42" t="s">
        <v>45</v>
      </c>
      <c r="AG512" s="43" t="s">
        <v>45</v>
      </c>
      <c r="AH512" s="42">
        <v>1</v>
      </c>
      <c r="AI512" s="42">
        <v>1</v>
      </c>
      <c r="AJ512" s="43">
        <v>1</v>
      </c>
      <c r="AK512" s="45" t="s">
        <v>45</v>
      </c>
      <c r="AL512" s="45" t="s">
        <v>47</v>
      </c>
      <c r="AM512" s="46">
        <f>($L$3*(L512-$Q$1)/$Q$2+$M$3*(M512-$R$1)/$R$2+$N$3*(N512-$S$1)/$S$2+$O$3*(O512-$T$1)/$T$2+$P$3*(P512-$U$1)/$U$2)/(SUM($L$3:$P$3))</f>
        <v>-1.8605124261753858</v>
      </c>
      <c r="AN512" s="46">
        <f>($L$3*(Q512-$Q$1)/$Q$2+$M$3*(R512-$R$1)/$R$2+$N$3*(S512-$S$1)/$S$2+$O$3*(T512-$T$1)/$T$2+$P$3*(U512-$U$1)/$U$2)/(SUM($L$3:$P$3))</f>
        <v>-1.0946902264842799</v>
      </c>
      <c r="AO512" s="47">
        <f>IF(AVERAGE(AH512:AI512)&gt;9,1,0)+IF(AVERAGE(AH512:AI512)&gt;7,1,0)+IF(AH512&gt;7,1,0)+IF(AI512&gt;7,1,0)+IF(AJ512&gt;8,1,0)+IF(AJ512&gt;6,1,0)</f>
        <v>0</v>
      </c>
      <c r="AP512" s="48">
        <f>MIN(2,IF(OR(Z512="-",X512&lt;5),0,1+IF(Y512&gt;7,0.35,IF(Y512&gt;5,0.1,0))+IF(Z512&gt;7,1+IF(X512&gt;7,0.25,0),IF(Z512&gt;4,0.5+IF(X512&gt;7,0.25,0),0+IF(X512&gt;7,0.25))))+IF(AA512="-",0,IF(AA512&gt;9,0.5,IF(AA512&gt;7,0.25,0)))+IF(AB512="-",0,IF(AB512&gt;7,1.1,IF(AB512&gt;4,0.6,0)))+IF(OR(AC512="-",V512&lt;5),0,IF(AC512&gt;7,1+IF(V512&gt;7,0.25,0),IF(AC512&gt;4,0.5+IF(V512&gt;7,0.25,0),0)))+IF(AD512="-",0,IF(AD512&gt;7,1.5,IF(AD512&gt;4,1,0)))+IF(AE512="-",0,IF(AE512&gt;9,0.5,IF(AE512&gt;7,0.25,0)))+IF(AF512="-",0,IF(AF512&gt;7,1.25,IF(AF512&gt;4,0.75,0)))+IF(OR(AG512="-",W512&lt;4),0,IF(AG512&gt;7,1+IF(W512&gt;7,0.15,0),IF(AG512&gt;4,0.5+IF(W512&gt;7,0.15,0),0))))</f>
        <v>0</v>
      </c>
      <c r="AQ512" s="46">
        <f>($AM$3*AM512+$AN$3*AN512+$AO$3*AO512+$AP$3*AP512)+$I$3*VLOOKUP(I512,COND!$A$2:$E$7,4,FALSE)+$J$3*VLOOKUP(J512,COND!$A$2:$C$7,2,FALSE)+$K$3*VLOOKUP(K512,COND!$A$2:$C$7,3,FALSE)+IF(AND($B$2&gt;0,$E512&lt;20),$B$2*25,0)</f>
        <v>31.6776660395711</v>
      </c>
      <c r="AR512" s="49">
        <f>STANDARDIZE(AQ512,AVERAGE($AQ$5:$AQ$537),STDEVP($AQ$5:$AQ$537))</f>
        <v>-1.5255311556926543</v>
      </c>
      <c r="AS512" s="47" t="str">
        <f>IF(AND(Z512&lt;&gt;"-",Y512&gt;1),"C",IF(AB512=MAX(AB512:AD512),"2B",IF(AD512=MAX(AB512:AD512),"SS",IF(OR(AC512=MAX(AA512:AD512),AND(AC512&lt;&gt;"-",AC512&gt;4,V512&gt;5)),"3B",IF(AF512=MAX(AE512:AG512),"CF",IF(AND(AG512=MAX(AE512,AG512),AND(W512&gt;5,AG512&lt;&gt;"-")),"RF",IF(AE512&lt;&gt;"-","LF",IF(AA512&lt;&gt;"-","1B","DH"))))))))</f>
        <v>C</v>
      </c>
      <c r="AT512" s="47"/>
      <c r="AU512" s="47"/>
      <c r="AV512" s="47"/>
      <c r="AW512" s="47" t="str">
        <f>IF(AND($Q512&gt;=6,AVERAGE($S512:$T512)&gt;=6),"Likely",IF(OR($Q512&gt;6,AND($Q512=6,AVERAGE($S512:$T512)&gt;=3),AND($Q512&gt;=5,AVERAGE($S512:$T512)&gt;=5),AVERAGE($Q512,$S512:$T512)&gt;5),"Possible","Unlikely"))</f>
        <v>Unlikely</v>
      </c>
      <c r="AX512" s="47"/>
      <c r="AY512" s="47" t="str">
        <f>INDEX(Table5[[#All],[Ovr]],MATCH(Batters[[#This Row],[PID]],Table5[[#All],[PID]],0))</f>
        <v/>
      </c>
      <c r="AZ512" s="47" t="str">
        <f>INDEX(Table5[[#All],[Rnd]],MATCH(Batters[[#This Row],[PID]],Table5[[#All],[PID]],0))</f>
        <v/>
      </c>
      <c r="BA512" s="47" t="str">
        <f>INDEX(Table5[[#All],[Pick]],MATCH(Batters[[#This Row],[PID]],Table5[[#All],[PID]],0))</f>
        <v/>
      </c>
      <c r="BB512" s="47" t="str">
        <f>INDEX(Table5[[#All],[Team]],MATCH(Batters[[#This Row],[PID]],Table5[[#All],[PID]],0))</f>
        <v/>
      </c>
    </row>
    <row r="513" spans="1:54" ht="15" customHeight="1" x14ac:dyDescent="0.25">
      <c r="A513" s="42">
        <v>5791</v>
      </c>
      <c r="B513" s="42" t="s">
        <v>71</v>
      </c>
      <c r="C513" s="42" t="s">
        <v>146</v>
      </c>
      <c r="D513" s="42" t="s">
        <v>870</v>
      </c>
      <c r="E513" s="42">
        <v>22</v>
      </c>
      <c r="F513" s="42" t="s">
        <v>42</v>
      </c>
      <c r="G513" s="42" t="s">
        <v>42</v>
      </c>
      <c r="H513" s="43" t="s">
        <v>709</v>
      </c>
      <c r="I513" s="44" t="s">
        <v>43</v>
      </c>
      <c r="J513" s="42" t="s">
        <v>43</v>
      </c>
      <c r="K513" s="43" t="s">
        <v>43</v>
      </c>
      <c r="L513" s="42">
        <v>1</v>
      </c>
      <c r="M513" s="42">
        <v>1</v>
      </c>
      <c r="N513" s="42">
        <v>2</v>
      </c>
      <c r="O513" s="42">
        <v>2</v>
      </c>
      <c r="P513" s="43">
        <v>1</v>
      </c>
      <c r="Q513" s="42">
        <v>2</v>
      </c>
      <c r="R513" s="42">
        <v>2</v>
      </c>
      <c r="S513" s="42">
        <v>3</v>
      </c>
      <c r="T513" s="42">
        <v>4</v>
      </c>
      <c r="U513" s="43">
        <v>3</v>
      </c>
      <c r="V513" s="42">
        <v>6</v>
      </c>
      <c r="W513" s="42">
        <v>6</v>
      </c>
      <c r="X513" s="42">
        <v>1</v>
      </c>
      <c r="Y513" s="43">
        <v>1</v>
      </c>
      <c r="Z513" s="42" t="s">
        <v>45</v>
      </c>
      <c r="AA513" s="42" t="s">
        <v>45</v>
      </c>
      <c r="AB513" s="42">
        <v>8</v>
      </c>
      <c r="AC513" s="42" t="s">
        <v>45</v>
      </c>
      <c r="AD513" s="42">
        <v>4</v>
      </c>
      <c r="AE513" s="42" t="s">
        <v>45</v>
      </c>
      <c r="AF513" s="42" t="s">
        <v>45</v>
      </c>
      <c r="AG513" s="43" t="s">
        <v>45</v>
      </c>
      <c r="AH513" s="42">
        <v>3</v>
      </c>
      <c r="AI513" s="42">
        <v>1</v>
      </c>
      <c r="AJ513" s="43">
        <v>1</v>
      </c>
      <c r="AK513" s="45" t="s">
        <v>45</v>
      </c>
      <c r="AL513" s="45" t="s">
        <v>47</v>
      </c>
      <c r="AM513" s="46">
        <f>($L$3*(L513-$Q$1)/$Q$2+$M$3*(M513-$R$1)/$R$2+$N$3*(N513-$S$1)/$S$2+$O$3*(O513-$T$1)/$T$2+$P$3*(P513-$U$1)/$U$2)/(SUM($L$3:$P$3))</f>
        <v>-1.9115723057940897</v>
      </c>
      <c r="AN513" s="46">
        <f>($L$3*(Q513-$Q$1)/$Q$2+$M$3*(R513-$R$1)/$R$2+$N$3*(S513-$S$1)/$S$2+$O$3*(T513-$T$1)/$T$2+$P$3*(U513-$U$1)/$U$2)/(SUM($L$3:$P$3))</f>
        <v>-1.1954433162954807</v>
      </c>
      <c r="AO513" s="47">
        <f>IF(AVERAGE(AH513:AI513)&gt;9,1,0)+IF(AVERAGE(AH513:AI513)&gt;7,1,0)+IF(AH513&gt;7,1,0)+IF(AI513&gt;7,1,0)+IF(AJ513&gt;8,1,0)+IF(AJ513&gt;6,1,0)</f>
        <v>0</v>
      </c>
      <c r="AP513" s="48">
        <f>MIN(2,IF(OR(Z513="-",X513&lt;5),0,1+IF(Y513&gt;7,0.35,IF(Y513&gt;5,0.1,0))+IF(Z513&gt;7,1+IF(X513&gt;7,0.25,0),IF(Z513&gt;4,0.5+IF(X513&gt;7,0.25,0),0+IF(X513&gt;7,0.25))))+IF(AA513="-",0,IF(AA513&gt;9,0.5,IF(AA513&gt;7,0.25,0)))+IF(AB513="-",0,IF(AB513&gt;7,1.1,IF(AB513&gt;4,0.6,0)))+IF(OR(AC513="-",V513&lt;5),0,IF(AC513&gt;7,1+IF(V513&gt;7,0.25,0),IF(AC513&gt;4,0.5+IF(V513&gt;7,0.25,0),0)))+IF(AD513="-",0,IF(AD513&gt;7,1.5,IF(AD513&gt;4,1,0)))+IF(AE513="-",0,IF(AE513&gt;9,0.5,IF(AE513&gt;7,0.25,0)))+IF(AF513="-",0,IF(AF513&gt;7,1.25,IF(AF513&gt;4,0.75,0)))+IF(OR(AG513="-",W513&lt;4),0,IF(AG513&gt;7,1+IF(W513&gt;7,0.15,0),IF(AG513&gt;4,0.5+IF(W513&gt;7,0.15,0),0))))</f>
        <v>1.1000000000000001</v>
      </c>
      <c r="AQ513" s="46">
        <f>($AM$3*AM513+$AN$3*AN513+$AO$3*AO513+$AP$3*AP513)+$I$3*VLOOKUP(I513,COND!$A$2:$E$7,4,FALSE)+$J$3*VLOOKUP(J513,COND!$A$2:$C$7,2,FALSE)+$K$3*VLOOKUP(K513,COND!$A$2:$C$7,3,FALSE)+IF(AND($B$2&gt;0,$E513&lt;20),$B$2*25,0)</f>
        <v>31.563522973874822</v>
      </c>
      <c r="AR513" s="49">
        <f>STANDARDIZE(AQ513,AVERAGE($AQ$5:$AQ$537),STDEVP($AQ$5:$AQ$537))</f>
        <v>-1.5456138694724715</v>
      </c>
      <c r="AS513" s="47" t="str">
        <f>IF(AND(Z513&lt;&gt;"-",Y513&gt;1),"C",IF(AB513=MAX(AB513:AD513),"2B",IF(AD513=MAX(AB513:AD513),"SS",IF(OR(AC513=MAX(AA513:AD513),AND(AC513&lt;&gt;"-",AC513&gt;4,V513&gt;5)),"3B",IF(AF513=MAX(AE513:AG513),"CF",IF(AND(AG513=MAX(AE513,AG513),AND(W513&gt;5,AG513&lt;&gt;"-")),"RF",IF(AE513&lt;&gt;"-","LF",IF(AA513&lt;&gt;"-","1B","DH"))))))))</f>
        <v>2B</v>
      </c>
      <c r="AT513" s="47"/>
      <c r="AU513" s="47"/>
      <c r="AV513" s="47"/>
      <c r="AW513" s="47" t="str">
        <f>IF(AND($Q513&gt;=6,AVERAGE($S513:$T513)&gt;=6),"Likely",IF(OR($Q513&gt;6,AND($Q513=6,AVERAGE($S513:$T513)&gt;=3),AND($Q513&gt;=5,AVERAGE($S513:$T513)&gt;=5),AVERAGE($Q513,$S513:$T513)&gt;5),"Possible","Unlikely"))</f>
        <v>Unlikely</v>
      </c>
      <c r="AX513" s="47"/>
      <c r="AY513" s="47" t="str">
        <f>INDEX(Table5[[#All],[Ovr]],MATCH(Batters[[#This Row],[PID]],Table5[[#All],[PID]],0))</f>
        <v/>
      </c>
      <c r="AZ513" s="47" t="str">
        <f>INDEX(Table5[[#All],[Rnd]],MATCH(Batters[[#This Row],[PID]],Table5[[#All],[PID]],0))</f>
        <v/>
      </c>
      <c r="BA513" s="47" t="str">
        <f>INDEX(Table5[[#All],[Pick]],MATCH(Batters[[#This Row],[PID]],Table5[[#All],[PID]],0))</f>
        <v/>
      </c>
      <c r="BB513" s="47" t="str">
        <f>INDEX(Table5[[#All],[Team]],MATCH(Batters[[#This Row],[PID]],Table5[[#All],[PID]],0))</f>
        <v/>
      </c>
    </row>
    <row r="514" spans="1:54" ht="15" customHeight="1" x14ac:dyDescent="0.25">
      <c r="A514" s="42">
        <v>18062</v>
      </c>
      <c r="B514" s="42" t="s">
        <v>86</v>
      </c>
      <c r="C514" s="42" t="s">
        <v>400</v>
      </c>
      <c r="D514" s="42" t="s">
        <v>171</v>
      </c>
      <c r="E514" s="42">
        <v>22</v>
      </c>
      <c r="F514" s="42" t="s">
        <v>42</v>
      </c>
      <c r="G514" s="42" t="s">
        <v>42</v>
      </c>
      <c r="H514" s="43" t="s">
        <v>709</v>
      </c>
      <c r="I514" s="44" t="s">
        <v>43</v>
      </c>
      <c r="J514" s="42" t="s">
        <v>44</v>
      </c>
      <c r="K514" s="43" t="s">
        <v>44</v>
      </c>
      <c r="L514" s="42">
        <v>1</v>
      </c>
      <c r="M514" s="42">
        <v>2</v>
      </c>
      <c r="N514" s="42">
        <v>2</v>
      </c>
      <c r="O514" s="42">
        <v>2</v>
      </c>
      <c r="P514" s="43">
        <v>1</v>
      </c>
      <c r="Q514" s="42">
        <v>2</v>
      </c>
      <c r="R514" s="42">
        <v>3</v>
      </c>
      <c r="S514" s="42">
        <v>3</v>
      </c>
      <c r="T514" s="42">
        <v>5</v>
      </c>
      <c r="U514" s="43">
        <v>3</v>
      </c>
      <c r="V514" s="42">
        <v>3</v>
      </c>
      <c r="W514" s="42">
        <v>3</v>
      </c>
      <c r="X514" s="42">
        <v>5</v>
      </c>
      <c r="Y514" s="43">
        <v>8</v>
      </c>
      <c r="Z514" s="42">
        <v>3</v>
      </c>
      <c r="AA514" s="42" t="s">
        <v>45</v>
      </c>
      <c r="AB514" s="42" t="s">
        <v>45</v>
      </c>
      <c r="AC514" s="42" t="s">
        <v>45</v>
      </c>
      <c r="AD514" s="42" t="s">
        <v>45</v>
      </c>
      <c r="AE514" s="42" t="s">
        <v>45</v>
      </c>
      <c r="AF514" s="42" t="s">
        <v>45</v>
      </c>
      <c r="AG514" s="43" t="s">
        <v>45</v>
      </c>
      <c r="AH514" s="42">
        <v>1</v>
      </c>
      <c r="AI514" s="42">
        <v>1</v>
      </c>
      <c r="AJ514" s="43">
        <v>1</v>
      </c>
      <c r="AK514" s="45" t="s">
        <v>45</v>
      </c>
      <c r="AL514" s="45" t="s">
        <v>705</v>
      </c>
      <c r="AM514" s="46">
        <f>($L$3*(L514-$Q$1)/$Q$2+$M$3*(M514-$R$1)/$R$2+$N$3*(N514-$S$1)/$S$2+$O$3*(O514-$T$1)/$T$2+$P$3*(P514-$U$1)/$U$2)/(SUM($L$3:$P$3))</f>
        <v>-1.8605124261753858</v>
      </c>
      <c r="AN514" s="46">
        <f>($L$3*(Q514-$Q$1)/$Q$2+$M$3*(R514-$R$1)/$R$2+$N$3*(S514-$S$1)/$S$2+$O$3*(T514-$T$1)/$T$2+$P$3*(U514-$U$1)/$U$2)/(SUM($L$3:$P$3))</f>
        <v>-1.0546738866671965</v>
      </c>
      <c r="AO514" s="47">
        <f>IF(AVERAGE(AH514:AI514)&gt;9,1,0)+IF(AVERAGE(AH514:AI514)&gt;7,1,0)+IF(AH514&gt;7,1,0)+IF(AI514&gt;7,1,0)+IF(AJ514&gt;8,1,0)+IF(AJ514&gt;6,1,0)</f>
        <v>0</v>
      </c>
      <c r="AP514" s="48">
        <f>MIN(2,IF(OR(Z514="-",X514&lt;5),0,1+IF(Y514&gt;7,0.35,IF(Y514&gt;5,0.1,0))+IF(Z514&gt;7,1+IF(X514&gt;7,0.25,0),IF(Z514&gt;4,0.5+IF(X514&gt;7,0.25,0),0+IF(X514&gt;7,0.25))))+IF(AA514="-",0,IF(AA514&gt;9,0.5,IF(AA514&gt;7,0.25,0)))+IF(AB514="-",0,IF(AB514&gt;7,1.1,IF(AB514&gt;4,0.6,0)))+IF(OR(AC514="-",V514&lt;5),0,IF(AC514&gt;7,1+IF(V514&gt;7,0.25,0),IF(AC514&gt;4,0.5+IF(V514&gt;7,0.25,0),0)))+IF(AD514="-",0,IF(AD514&gt;7,1.5,IF(AD514&gt;4,1,0)))+IF(AE514="-",0,IF(AE514&gt;9,0.5,IF(AE514&gt;7,0.25,0)))+IF(AF514="-",0,IF(AF514&gt;7,1.25,IF(AF514&gt;4,0.75,0)))+IF(OR(AG514="-",W514&lt;4),0,IF(AG514&gt;7,1+IF(W514&gt;7,0.15,0),IF(AG514&gt;4,0.5+IF(W514&gt;7,0.15,0),0))))</f>
        <v>1.35</v>
      </c>
      <c r="AQ514" s="46">
        <f>($AM$3*AM514+$AN$3*AN514+$AO$3*AO514+$AP$3*AP514)+$I$3*VLOOKUP(I514,COND!$A$2:$E$7,4,FALSE)+$J$3*VLOOKUP(J514,COND!$A$2:$C$7,2,FALSE)+$K$3*VLOOKUP(K514,COND!$A$2:$C$7,3,FALSE)+IF(AND($B$2&gt;0,$E514&lt;20),$B$2*25,0)</f>
        <v>32.907862117376098</v>
      </c>
      <c r="AR514" s="49">
        <f>STANDARDIZE(AQ514,AVERAGE($AQ$5:$AQ$537),STDEVP($AQ$5:$AQ$537))</f>
        <v>-1.3090863320592119</v>
      </c>
      <c r="AS514" s="47" t="str">
        <f>IF(AND(Z514&lt;&gt;"-",Y514&gt;1),"C",IF(AB514=MAX(AB514:AD514),"2B",IF(AD514=MAX(AB514:AD514),"SS",IF(OR(AC514=MAX(AA514:AD514),AND(AC514&lt;&gt;"-",AC514&gt;4,V514&gt;5)),"3B",IF(AF514=MAX(AE514:AG514),"CF",IF(AND(AG514=MAX(AE514,AG514),AND(W514&gt;5,AG514&lt;&gt;"-")),"RF",IF(AE514&lt;&gt;"-","LF",IF(AA514&lt;&gt;"-","1B","DH"))))))))</f>
        <v>C</v>
      </c>
      <c r="AT514" s="47"/>
      <c r="AU514" s="47"/>
      <c r="AV514" s="47"/>
      <c r="AW514" s="47" t="str">
        <f>IF(AND($Q514&gt;=6,AVERAGE($S514:$T514)&gt;=6),"Likely",IF(OR($Q514&gt;6,AND($Q514=6,AVERAGE($S514:$T514)&gt;=3),AND($Q514&gt;=5,AVERAGE($S514:$T514)&gt;=5),AVERAGE($Q514,$S514:$T514)&gt;5),"Possible","Unlikely"))</f>
        <v>Unlikely</v>
      </c>
      <c r="AX514" s="47"/>
      <c r="AY514" s="47" t="str">
        <f>INDEX(Table5[[#All],[Ovr]],MATCH(Batters[[#This Row],[PID]],Table5[[#All],[PID]],0))</f>
        <v/>
      </c>
      <c r="AZ514" s="47" t="str">
        <f>INDEX(Table5[[#All],[Rnd]],MATCH(Batters[[#This Row],[PID]],Table5[[#All],[PID]],0))</f>
        <v/>
      </c>
      <c r="BA514" s="47" t="str">
        <f>INDEX(Table5[[#All],[Pick]],MATCH(Batters[[#This Row],[PID]],Table5[[#All],[PID]],0))</f>
        <v/>
      </c>
      <c r="BB514" s="47" t="str">
        <f>INDEX(Table5[[#All],[Team]],MATCH(Batters[[#This Row],[PID]],Table5[[#All],[PID]],0))</f>
        <v/>
      </c>
    </row>
    <row r="515" spans="1:54" ht="15" customHeight="1" x14ac:dyDescent="0.25">
      <c r="A515" s="42">
        <v>12188</v>
      </c>
      <c r="B515" s="42" t="s">
        <v>74</v>
      </c>
      <c r="C515" s="42" t="s">
        <v>137</v>
      </c>
      <c r="D515" s="42" t="s">
        <v>1380</v>
      </c>
      <c r="E515" s="42">
        <v>21</v>
      </c>
      <c r="F515" s="42" t="s">
        <v>42</v>
      </c>
      <c r="G515" s="42" t="s">
        <v>42</v>
      </c>
      <c r="H515" s="43" t="s">
        <v>709</v>
      </c>
      <c r="I515" s="44" t="s">
        <v>43</v>
      </c>
      <c r="J515" s="42" t="s">
        <v>44</v>
      </c>
      <c r="K515" s="43" t="s">
        <v>43</v>
      </c>
      <c r="L515" s="42">
        <v>1</v>
      </c>
      <c r="M515" s="42">
        <v>2</v>
      </c>
      <c r="N515" s="42">
        <v>2</v>
      </c>
      <c r="O515" s="42">
        <v>2</v>
      </c>
      <c r="P515" s="43">
        <v>1</v>
      </c>
      <c r="Q515" s="42">
        <v>2</v>
      </c>
      <c r="R515" s="42">
        <v>3</v>
      </c>
      <c r="S515" s="42">
        <v>3</v>
      </c>
      <c r="T515" s="42">
        <v>4</v>
      </c>
      <c r="U515" s="43">
        <v>3</v>
      </c>
      <c r="V515" s="42">
        <v>5</v>
      </c>
      <c r="W515" s="42">
        <v>7</v>
      </c>
      <c r="X515" s="42">
        <v>1</v>
      </c>
      <c r="Y515" s="43">
        <v>1</v>
      </c>
      <c r="Z515" s="42" t="s">
        <v>45</v>
      </c>
      <c r="AA515" s="42" t="s">
        <v>45</v>
      </c>
      <c r="AB515" s="42" t="s">
        <v>45</v>
      </c>
      <c r="AC515" s="42" t="s">
        <v>45</v>
      </c>
      <c r="AD515" s="42" t="s">
        <v>45</v>
      </c>
      <c r="AE515" s="42" t="s">
        <v>45</v>
      </c>
      <c r="AF515" s="42">
        <v>6</v>
      </c>
      <c r="AG515" s="43" t="s">
        <v>45</v>
      </c>
      <c r="AH515" s="42">
        <v>9</v>
      </c>
      <c r="AI515" s="42">
        <v>9</v>
      </c>
      <c r="AJ515" s="43">
        <v>7</v>
      </c>
      <c r="AK515" s="45" t="s">
        <v>45</v>
      </c>
      <c r="AL515" s="45" t="s">
        <v>47</v>
      </c>
      <c r="AM515" s="46">
        <f>($L$3*(L515-$Q$1)/$Q$2+$M$3*(M515-$R$1)/$R$2+$N$3*(N515-$S$1)/$S$2+$O$3*(O515-$T$1)/$T$2+$P$3*(P515-$U$1)/$U$2)/(SUM($L$3:$P$3))</f>
        <v>-1.8605124261753858</v>
      </c>
      <c r="AN515" s="46">
        <f>($L$3*(Q515-$Q$1)/$Q$2+$M$3*(R515-$R$1)/$R$2+$N$3*(S515-$S$1)/$S$2+$O$3*(T515-$T$1)/$T$2+$P$3*(U515-$U$1)/$U$2)/(SUM($L$3:$P$3))</f>
        <v>-1.1443834366767773</v>
      </c>
      <c r="AO515" s="47">
        <f>IF(AVERAGE(AH515:AI515)&gt;9,1,0)+IF(AVERAGE(AH515:AI515)&gt;7,1,0)+IF(AH515&gt;7,1,0)+IF(AI515&gt;7,1,0)+IF(AJ515&gt;8,1,0)+IF(AJ515&gt;6,1,0)</f>
        <v>4</v>
      </c>
      <c r="AP515" s="48">
        <f>MIN(2,IF(OR(Z515="-",X515&lt;5),0,1+IF(Y515&gt;7,0.35,IF(Y515&gt;5,0.1,0))+IF(Z515&gt;7,1+IF(X515&gt;7,0.25,0),IF(Z515&gt;4,0.5+IF(X515&gt;7,0.25,0),0+IF(X515&gt;7,0.25))))+IF(AA515="-",0,IF(AA515&gt;9,0.5,IF(AA515&gt;7,0.25,0)))+IF(AB515="-",0,IF(AB515&gt;7,1.1,IF(AB515&gt;4,0.6,0)))+IF(OR(AC515="-",V515&lt;5),0,IF(AC515&gt;7,1+IF(V515&gt;7,0.25,0),IF(AC515&gt;4,0.5+IF(V515&gt;7,0.25,0),0)))+IF(AD515="-",0,IF(AD515&gt;7,1.5,IF(AD515&gt;4,1,0)))+IF(AE515="-",0,IF(AE515&gt;9,0.5,IF(AE515&gt;7,0.25,0)))+IF(AF515="-",0,IF(AF515&gt;7,1.25,IF(AF515&gt;4,0.75,0)))+IF(OR(AG515="-",W515&lt;4),0,IF(AG515&gt;7,1+IF(W515&gt;7,0.15,0),IF(AG515&gt;4,0.5+IF(W515&gt;7,0.15,0),0))))</f>
        <v>0.75</v>
      </c>
      <c r="AQ515" s="46">
        <f>($AM$3*AM515+$AN$3*AN515+$AO$3*AO515+$AP$3*AP515)+$I$3*VLOOKUP(I515,COND!$A$2:$E$7,4,FALSE)+$J$3*VLOOKUP(J515,COND!$A$2:$C$7,2,FALSE)+$K$3*VLOOKUP(K515,COND!$A$2:$C$7,3,FALSE)+IF(AND($B$2&gt;0,$E515&lt;20),$B$2*25,0)</f>
        <v>32.198014183927796</v>
      </c>
      <c r="AR515" s="49">
        <f>STANDARDIZE(AQ515,AVERAGE($AQ$5:$AQ$537),STDEVP($AQ$5:$AQ$537))</f>
        <v>-1.4339793580847229</v>
      </c>
      <c r="AS515" s="47" t="str">
        <f>IF(AND(Z515&lt;&gt;"-",Y515&gt;1),"C",IF(AB515=MAX(AB515:AD515),"2B",IF(AD515=MAX(AB515:AD515),"SS",IF(OR(AC515=MAX(AA515:AD515),AND(AC515&lt;&gt;"-",AC515&gt;4,V515&gt;5)),"3B",IF(AF515=MAX(AE515:AG515),"CF",IF(AND(AG515=MAX(AE515,AG515),AND(W515&gt;5,AG515&lt;&gt;"-")),"RF",IF(AE515&lt;&gt;"-","LF",IF(AA515&lt;&gt;"-","1B","DH"))))))))</f>
        <v>CF</v>
      </c>
      <c r="AT515" s="47"/>
      <c r="AU515" s="47"/>
      <c r="AV515" s="47"/>
      <c r="AW515" s="47" t="str">
        <f>IF(AND($Q515&gt;=6,AVERAGE($S515:$T515)&gt;=6),"Likely",IF(OR($Q515&gt;6,AND($Q515=6,AVERAGE($S515:$T515)&gt;=3),AND($Q515&gt;=5,AVERAGE($S515:$T515)&gt;=5),AVERAGE($Q515,$S515:$T515)&gt;5),"Possible","Unlikely"))</f>
        <v>Unlikely</v>
      </c>
      <c r="AX515" s="47"/>
      <c r="AY515" s="47" t="str">
        <f>INDEX(Table5[[#All],[Ovr]],MATCH(Batters[[#This Row],[PID]],Table5[[#All],[PID]],0))</f>
        <v/>
      </c>
      <c r="AZ515" s="47" t="str">
        <f>INDEX(Table5[[#All],[Rnd]],MATCH(Batters[[#This Row],[PID]],Table5[[#All],[PID]],0))</f>
        <v/>
      </c>
      <c r="BA515" s="47" t="str">
        <f>INDEX(Table5[[#All],[Pick]],MATCH(Batters[[#This Row],[PID]],Table5[[#All],[PID]],0))</f>
        <v/>
      </c>
      <c r="BB515" s="47" t="str">
        <f>INDEX(Table5[[#All],[Team]],MATCH(Batters[[#This Row],[PID]],Table5[[#All],[PID]],0))</f>
        <v/>
      </c>
    </row>
    <row r="516" spans="1:54" ht="15" customHeight="1" x14ac:dyDescent="0.25">
      <c r="A516" s="42">
        <v>11998</v>
      </c>
      <c r="B516" s="42" t="s">
        <v>86</v>
      </c>
      <c r="C516" s="42" t="s">
        <v>188</v>
      </c>
      <c r="D516" s="42" t="s">
        <v>208</v>
      </c>
      <c r="E516" s="42">
        <v>20</v>
      </c>
      <c r="F516" s="42" t="s">
        <v>42</v>
      </c>
      <c r="G516" s="42" t="s">
        <v>42</v>
      </c>
      <c r="H516" s="43" t="s">
        <v>709</v>
      </c>
      <c r="I516" s="44" t="s">
        <v>43</v>
      </c>
      <c r="J516" s="42" t="s">
        <v>44</v>
      </c>
      <c r="K516" s="43" t="s">
        <v>43</v>
      </c>
      <c r="L516" s="42">
        <v>1</v>
      </c>
      <c r="M516" s="42">
        <v>2</v>
      </c>
      <c r="N516" s="42">
        <v>2</v>
      </c>
      <c r="O516" s="42">
        <v>2</v>
      </c>
      <c r="P516" s="43">
        <v>1</v>
      </c>
      <c r="Q516" s="42">
        <v>2</v>
      </c>
      <c r="R516" s="42">
        <v>3</v>
      </c>
      <c r="S516" s="42">
        <v>3</v>
      </c>
      <c r="T516" s="42">
        <v>5</v>
      </c>
      <c r="U516" s="43">
        <v>1</v>
      </c>
      <c r="V516" s="42">
        <v>3</v>
      </c>
      <c r="W516" s="42">
        <v>3</v>
      </c>
      <c r="X516" s="42">
        <v>5</v>
      </c>
      <c r="Y516" s="43">
        <v>7</v>
      </c>
      <c r="Z516" s="42">
        <v>2</v>
      </c>
      <c r="AA516" s="42" t="s">
        <v>45</v>
      </c>
      <c r="AB516" s="42" t="s">
        <v>45</v>
      </c>
      <c r="AC516" s="42" t="s">
        <v>45</v>
      </c>
      <c r="AD516" s="42" t="s">
        <v>45</v>
      </c>
      <c r="AE516" s="42" t="s">
        <v>45</v>
      </c>
      <c r="AF516" s="42" t="s">
        <v>45</v>
      </c>
      <c r="AG516" s="43" t="s">
        <v>45</v>
      </c>
      <c r="AH516" s="42">
        <v>8</v>
      </c>
      <c r="AI516" s="42">
        <v>6</v>
      </c>
      <c r="AJ516" s="43">
        <v>5</v>
      </c>
      <c r="AK516" s="45" t="s">
        <v>45</v>
      </c>
      <c r="AL516" s="45" t="s">
        <v>47</v>
      </c>
      <c r="AM516" s="46">
        <f>($L$3*(L516-$Q$1)/$Q$2+$M$3*(M516-$R$1)/$R$2+$N$3*(N516-$S$1)/$S$2+$O$3*(O516-$T$1)/$T$2+$P$3*(P516-$U$1)/$U$2)/(SUM($L$3:$P$3))</f>
        <v>-1.8605124261753858</v>
      </c>
      <c r="AN516" s="46">
        <f>($L$3*(Q516-$Q$1)/$Q$2+$M$3*(R516-$R$1)/$R$2+$N$3*(S516-$S$1)/$S$2+$O$3*(T516-$T$1)/$T$2+$P$3*(U516-$U$1)/$U$2)/(SUM($L$3:$P$3))</f>
        <v>-1.1347065663013634</v>
      </c>
      <c r="AO516" s="47">
        <f>IF(AVERAGE(AH516:AI516)&gt;9,1,0)+IF(AVERAGE(AH516:AI516)&gt;7,1,0)+IF(AH516&gt;7,1,0)+IF(AI516&gt;7,1,0)+IF(AJ516&gt;8,1,0)+IF(AJ516&gt;6,1,0)</f>
        <v>1</v>
      </c>
      <c r="AP516" s="48">
        <f>MIN(2,IF(OR(Z516="-",X516&lt;5),0,1+IF(Y516&gt;7,0.35,IF(Y516&gt;5,0.1,0))+IF(Z516&gt;7,1+IF(X516&gt;7,0.25,0),IF(Z516&gt;4,0.5+IF(X516&gt;7,0.25,0),0+IF(X516&gt;7,0.25))))+IF(AA516="-",0,IF(AA516&gt;9,0.5,IF(AA516&gt;7,0.25,0)))+IF(AB516="-",0,IF(AB516&gt;7,1.1,IF(AB516&gt;4,0.6,0)))+IF(OR(AC516="-",V516&lt;5),0,IF(AC516&gt;7,1+IF(V516&gt;7,0.25,0),IF(AC516&gt;4,0.5+IF(V516&gt;7,0.25,0),0)))+IF(AD516="-",0,IF(AD516&gt;7,1.5,IF(AD516&gt;4,1,0)))+IF(AE516="-",0,IF(AE516&gt;9,0.5,IF(AE516&gt;7,0.25,0)))+IF(AF516="-",0,IF(AF516&gt;7,1.25,IF(AF516&gt;4,0.75,0)))+IF(OR(AG516="-",W516&lt;4),0,IF(AG516&gt;7,1+IF(W516&gt;7,0.15,0),IF(AG516&gt;4,0.5+IF(W516&gt;7,0.15,0),0))))</f>
        <v>1.1000000000000001</v>
      </c>
      <c r="AQ516" s="46">
        <f>($AM$3*AM516+$AN$3*AN516+$AO$3*AO516+$AP$3*AP516)+$I$3*VLOOKUP(I516,COND!$A$2:$E$7,4,FALSE)+$J$3*VLOOKUP(J516,COND!$A$2:$C$7,2,FALSE)+$K$3*VLOOKUP(K516,COND!$A$2:$C$7,3,FALSE)+IF(AND($B$2&gt;0,$E516&lt;20),$B$2*25,0)</f>
        <v>32.164136628432765</v>
      </c>
      <c r="AR516" s="49">
        <f>STANDARDIZE(AQ516,AVERAGE($AQ$5:$AQ$537),STDEVP($AQ$5:$AQ$537))</f>
        <v>-1.4399398888135622</v>
      </c>
      <c r="AS516" s="47" t="str">
        <f>IF(AND(Z516&lt;&gt;"-",Y516&gt;1),"C",IF(AB516=MAX(AB516:AD516),"2B",IF(AD516=MAX(AB516:AD516),"SS",IF(OR(AC516=MAX(AA516:AD516),AND(AC516&lt;&gt;"-",AC516&gt;4,V516&gt;5)),"3B",IF(AF516=MAX(AE516:AG516),"CF",IF(AND(AG516=MAX(AE516,AG516),AND(W516&gt;5,AG516&lt;&gt;"-")),"RF",IF(AE516&lt;&gt;"-","LF",IF(AA516&lt;&gt;"-","1B","DH"))))))))</f>
        <v>C</v>
      </c>
      <c r="AT516" s="47"/>
      <c r="AU516" s="47"/>
      <c r="AV516" s="47"/>
      <c r="AW516" s="47" t="str">
        <f>IF(AND($Q516&gt;=6,AVERAGE($S516:$T516)&gt;=6),"Likely",IF(OR($Q516&gt;6,AND($Q516=6,AVERAGE($S516:$T516)&gt;=3),AND($Q516&gt;=5,AVERAGE($S516:$T516)&gt;=5),AVERAGE($Q516,$S516:$T516)&gt;5),"Possible","Unlikely"))</f>
        <v>Unlikely</v>
      </c>
      <c r="AX516" s="47"/>
      <c r="AY516" s="47" t="str">
        <f>INDEX(Table5[[#All],[Ovr]],MATCH(Batters[[#This Row],[PID]],Table5[[#All],[PID]],0))</f>
        <v/>
      </c>
      <c r="AZ516" s="47" t="str">
        <f>INDEX(Table5[[#All],[Rnd]],MATCH(Batters[[#This Row],[PID]],Table5[[#All],[PID]],0))</f>
        <v/>
      </c>
      <c r="BA516" s="47" t="str">
        <f>INDEX(Table5[[#All],[Pick]],MATCH(Batters[[#This Row],[PID]],Table5[[#All],[PID]],0))</f>
        <v/>
      </c>
      <c r="BB516" s="47" t="str">
        <f>INDEX(Table5[[#All],[Team]],MATCH(Batters[[#This Row],[PID]],Table5[[#All],[PID]],0))</f>
        <v/>
      </c>
    </row>
    <row r="517" spans="1:54" ht="15" customHeight="1" x14ac:dyDescent="0.25">
      <c r="A517" s="42">
        <v>8568</v>
      </c>
      <c r="B517" s="42" t="s">
        <v>87</v>
      </c>
      <c r="C517" s="42" t="s">
        <v>766</v>
      </c>
      <c r="D517" s="42" t="s">
        <v>767</v>
      </c>
      <c r="E517" s="42">
        <v>22</v>
      </c>
      <c r="F517" s="42" t="s">
        <v>62</v>
      </c>
      <c r="G517" s="42" t="s">
        <v>42</v>
      </c>
      <c r="H517" s="43" t="s">
        <v>721</v>
      </c>
      <c r="I517" s="44" t="s">
        <v>47</v>
      </c>
      <c r="J517" s="42" t="s">
        <v>47</v>
      </c>
      <c r="K517" s="43" t="s">
        <v>44</v>
      </c>
      <c r="L517" s="42">
        <v>2</v>
      </c>
      <c r="M517" s="42">
        <v>3</v>
      </c>
      <c r="N517" s="42">
        <v>2</v>
      </c>
      <c r="O517" s="42">
        <v>1</v>
      </c>
      <c r="P517" s="43">
        <v>2</v>
      </c>
      <c r="Q517" s="42">
        <v>3</v>
      </c>
      <c r="R517" s="42">
        <v>3</v>
      </c>
      <c r="S517" s="42">
        <v>2</v>
      </c>
      <c r="T517" s="42">
        <v>1</v>
      </c>
      <c r="U517" s="43">
        <v>4</v>
      </c>
      <c r="V517" s="42">
        <v>7</v>
      </c>
      <c r="W517" s="42">
        <v>1</v>
      </c>
      <c r="X517" s="42">
        <v>1</v>
      </c>
      <c r="Y517" s="43">
        <v>1</v>
      </c>
      <c r="Z517" s="42" t="s">
        <v>45</v>
      </c>
      <c r="AA517" s="42">
        <v>1</v>
      </c>
      <c r="AB517" s="42" t="s">
        <v>45</v>
      </c>
      <c r="AC517" s="42" t="s">
        <v>45</v>
      </c>
      <c r="AD517" s="42" t="s">
        <v>45</v>
      </c>
      <c r="AE517" s="42" t="s">
        <v>45</v>
      </c>
      <c r="AF517" s="42" t="s">
        <v>45</v>
      </c>
      <c r="AG517" s="43" t="s">
        <v>45</v>
      </c>
      <c r="AH517" s="42">
        <v>1</v>
      </c>
      <c r="AI517" s="42">
        <v>1</v>
      </c>
      <c r="AJ517" s="43">
        <v>1</v>
      </c>
      <c r="AK517" s="45" t="s">
        <v>45</v>
      </c>
      <c r="AL517" s="45" t="s">
        <v>47</v>
      </c>
      <c r="AM517" s="46">
        <f>($L$3*(L517-$Q$1)/$Q$2+$M$3*(M517-$R$1)/$R$2+$N$3*(N517-$S$1)/$S$2+$O$3*(O517-$T$1)/$T$2+$P$3*(P517-$U$1)/$U$2)/(SUM($L$3:$P$3))</f>
        <v>-1.5365899205465052</v>
      </c>
      <c r="AN517" s="46">
        <f>($L$3*(Q517-$Q$1)/$Q$2+$M$3*(R517-$R$1)/$R$2+$N$3*(S517-$S$1)/$S$2+$O$3*(T517-$T$1)/$T$2+$P$3*(U517-$U$1)/$U$2)/(SUM($L$3:$P$3))</f>
        <v>-1.1340014047096636</v>
      </c>
      <c r="AO517" s="47">
        <f>IF(AVERAGE(AH517:AI517)&gt;9,1,0)+IF(AVERAGE(AH517:AI517)&gt;7,1,0)+IF(AH517&gt;7,1,0)+IF(AI517&gt;7,1,0)+IF(AJ517&gt;8,1,0)+IF(AJ517&gt;6,1,0)</f>
        <v>0</v>
      </c>
      <c r="AP517" s="48">
        <f>MIN(2,IF(OR(Z517="-",X517&lt;5),0,1+IF(Y517&gt;7,0.35,IF(Y517&gt;5,0.1,0))+IF(Z517&gt;7,1+IF(X517&gt;7,0.25,0),IF(Z517&gt;4,0.5+IF(X517&gt;7,0.25,0),0+IF(X517&gt;7,0.25))))+IF(AA517="-",0,IF(AA517&gt;9,0.5,IF(AA517&gt;7,0.25,0)))+IF(AB517="-",0,IF(AB517&gt;7,1.1,IF(AB517&gt;4,0.6,0)))+IF(OR(AC517="-",V517&lt;5),0,IF(AC517&gt;7,1+IF(V517&gt;7,0.25,0),IF(AC517&gt;4,0.5+IF(V517&gt;7,0.25,0),0)))+IF(AD517="-",0,IF(AD517&gt;7,1.5,IF(AD517&gt;4,1,0)))+IF(AE517="-",0,IF(AE517&gt;9,0.5,IF(AE517&gt;7,0.25,0)))+IF(AF517="-",0,IF(AF517&gt;7,1.25,IF(AF517&gt;4,0.75,0)))+IF(OR(AG517="-",W517&lt;4),0,IF(AG517&gt;7,1+IF(W517&gt;7,0.15,0),IF(AG517&gt;4,0.5+IF(W517&gt;7,0.15,0),0))))</f>
        <v>0</v>
      </c>
      <c r="AQ517" s="46">
        <f>($AM$3*AM517+$AN$3*AN517+$AO$3*AO517+$AP$3*AP517)+$I$3*VLOOKUP(I517,COND!$A$2:$E$7,4,FALSE)+$J$3*VLOOKUP(J517,COND!$A$2:$C$7,2,FALSE)+$K$3*VLOOKUP(K517,COND!$A$2:$C$7,3,FALSE)+IF(AND($B$2&gt;0,$E517&lt;20),$B$2*25,0)</f>
        <v>31.463324151429386</v>
      </c>
      <c r="AR517" s="49">
        <f>STANDARDIZE(AQ517,AVERAGE($AQ$5:$AQ$537),STDEVP($AQ$5:$AQ$537))</f>
        <v>-1.5632431863299736</v>
      </c>
      <c r="AS517" s="47" t="str">
        <f>IF(AND(Z517&lt;&gt;"-",Y517&gt;1),"C",IF(AB517=MAX(AB517:AD517),"2B",IF(AD517=MAX(AB517:AD517),"SS",IF(OR(AC517=MAX(AA517:AD517),AND(AC517&lt;&gt;"-",AC517&gt;4,V517&gt;5)),"3B",IF(AF517=MAX(AE517:AG517),"CF",IF(AND(AG517=MAX(AE517,AG517),AND(W517&gt;5,AG517&lt;&gt;"-")),"RF",IF(AE517&lt;&gt;"-","LF",IF(AA517&lt;&gt;"-","1B","DH"))))))))</f>
        <v>1B</v>
      </c>
      <c r="AT517" s="47"/>
      <c r="AU517" s="47"/>
      <c r="AV517" s="47"/>
      <c r="AW517" s="47" t="str">
        <f>IF(AND($Q517&gt;=6,AVERAGE($S517:$T517)&gt;=6),"Likely",IF(OR($Q517&gt;6,AND($Q517=6,AVERAGE($S517:$T517)&gt;=3),AND($Q517&gt;=5,AVERAGE($S517:$T517)&gt;=5),AVERAGE($Q517,$S517:$T517)&gt;5),"Possible","Unlikely"))</f>
        <v>Unlikely</v>
      </c>
      <c r="AX517" s="47"/>
      <c r="AY517" s="47" t="str">
        <f>INDEX(Table5[[#All],[Ovr]],MATCH(Batters[[#This Row],[PID]],Table5[[#All],[PID]],0))</f>
        <v/>
      </c>
      <c r="AZ517" s="47" t="str">
        <f>INDEX(Table5[[#All],[Rnd]],MATCH(Batters[[#This Row],[PID]],Table5[[#All],[PID]],0))</f>
        <v/>
      </c>
      <c r="BA517" s="47" t="str">
        <f>INDEX(Table5[[#All],[Pick]],MATCH(Batters[[#This Row],[PID]],Table5[[#All],[PID]],0))</f>
        <v/>
      </c>
      <c r="BB517" s="47" t="str">
        <f>INDEX(Table5[[#All],[Team]],MATCH(Batters[[#This Row],[PID]],Table5[[#All],[PID]],0))</f>
        <v/>
      </c>
    </row>
    <row r="518" spans="1:54" ht="15" customHeight="1" x14ac:dyDescent="0.25">
      <c r="A518" s="42">
        <v>12308</v>
      </c>
      <c r="B518" s="42" t="s">
        <v>50</v>
      </c>
      <c r="C518" s="42" t="s">
        <v>818</v>
      </c>
      <c r="D518" s="42" t="s">
        <v>664</v>
      </c>
      <c r="E518" s="42">
        <v>22</v>
      </c>
      <c r="F518" s="42" t="s">
        <v>53</v>
      </c>
      <c r="G518" s="42" t="s">
        <v>53</v>
      </c>
      <c r="H518" s="43" t="s">
        <v>721</v>
      </c>
      <c r="I518" s="44" t="s">
        <v>43</v>
      </c>
      <c r="J518" s="42" t="s">
        <v>44</v>
      </c>
      <c r="K518" s="43" t="s">
        <v>43</v>
      </c>
      <c r="L518" s="42">
        <v>3</v>
      </c>
      <c r="M518" s="42">
        <v>3</v>
      </c>
      <c r="N518" s="42">
        <v>2</v>
      </c>
      <c r="O518" s="42">
        <v>2</v>
      </c>
      <c r="P518" s="43">
        <v>3</v>
      </c>
      <c r="Q518" s="42">
        <v>3</v>
      </c>
      <c r="R518" s="42">
        <v>3</v>
      </c>
      <c r="S518" s="42">
        <v>2</v>
      </c>
      <c r="T518" s="42">
        <v>2</v>
      </c>
      <c r="U518" s="43">
        <v>4</v>
      </c>
      <c r="V518" s="42">
        <v>5</v>
      </c>
      <c r="W518" s="42">
        <v>3</v>
      </c>
      <c r="X518" s="42">
        <v>1</v>
      </c>
      <c r="Y518" s="43">
        <v>1</v>
      </c>
      <c r="Z518" s="42" t="s">
        <v>45</v>
      </c>
      <c r="AA518" s="42" t="s">
        <v>45</v>
      </c>
      <c r="AB518" s="42" t="s">
        <v>45</v>
      </c>
      <c r="AC518" s="42" t="s">
        <v>45</v>
      </c>
      <c r="AD518" s="42" t="s">
        <v>45</v>
      </c>
      <c r="AE518" s="42">
        <v>1</v>
      </c>
      <c r="AF518" s="42" t="s">
        <v>45</v>
      </c>
      <c r="AG518" s="43" t="s">
        <v>45</v>
      </c>
      <c r="AH518" s="42">
        <v>1</v>
      </c>
      <c r="AI518" s="42">
        <v>1</v>
      </c>
      <c r="AJ518" s="43">
        <v>1</v>
      </c>
      <c r="AK518" s="45" t="s">
        <v>45</v>
      </c>
      <c r="AL518" s="45" t="s">
        <v>47</v>
      </c>
      <c r="AM518" s="46">
        <f>($L$3*(L518-$Q$1)/$Q$2+$M$3*(M518-$R$1)/$R$2+$N$3*(N518-$S$1)/$S$2+$O$3*(O518-$T$1)/$T$2+$P$3*(P518-$U$1)/$U$2)/(SUM($L$3:$P$3))</f>
        <v>-1.0843081945171662</v>
      </c>
      <c r="AN518" s="46">
        <f>($L$3*(Q518-$Q$1)/$Q$2+$M$3*(R518-$R$1)/$R$2+$N$3*(S518-$S$1)/$S$2+$O$3*(T518-$T$1)/$T$2+$P$3*(U518-$U$1)/$U$2)/(SUM($L$3:$P$3))</f>
        <v>-1.0442918547000826</v>
      </c>
      <c r="AO518" s="47">
        <f>IF(AVERAGE(AH518:AI518)&gt;9,1,0)+IF(AVERAGE(AH518:AI518)&gt;7,1,0)+IF(AH518&gt;7,1,0)+IF(AI518&gt;7,1,0)+IF(AJ518&gt;8,1,0)+IF(AJ518&gt;6,1,0)</f>
        <v>0</v>
      </c>
      <c r="AP518" s="48">
        <f>MIN(2,IF(OR(Z518="-",X518&lt;5),0,1+IF(Y518&gt;7,0.35,IF(Y518&gt;5,0.1,0))+IF(Z518&gt;7,1+IF(X518&gt;7,0.25,0),IF(Z518&gt;4,0.5+IF(X518&gt;7,0.25,0),0+IF(X518&gt;7,0.25))))+IF(AA518="-",0,IF(AA518&gt;9,0.5,IF(AA518&gt;7,0.25,0)))+IF(AB518="-",0,IF(AB518&gt;7,1.1,IF(AB518&gt;4,0.6,0)))+IF(OR(AC518="-",V518&lt;5),0,IF(AC518&gt;7,1+IF(V518&gt;7,0.25,0),IF(AC518&gt;4,0.5+IF(V518&gt;7,0.25,0),0)))+IF(AD518="-",0,IF(AD518&gt;7,1.5,IF(AD518&gt;4,1,0)))+IF(AE518="-",0,IF(AE518&gt;9,0.5,IF(AE518&gt;7,0.25,0)))+IF(AF518="-",0,IF(AF518&gt;7,1.25,IF(AF518&gt;4,0.75,0)))+IF(OR(AG518="-",W518&lt;4),0,IF(AG518&gt;7,1+IF(W518&gt;7,0.15,0),IF(AG518&gt;4,0.5+IF(W518&gt;7,0.15,0),0))))</f>
        <v>0</v>
      </c>
      <c r="AQ518" s="46">
        <f>($AM$3*AM518+$AN$3*AN518+$AO$3*AO518+$AP$3*AP518)+$I$3*VLOOKUP(I518,COND!$A$2:$E$7,4,FALSE)+$J$3*VLOOKUP(J518,COND!$A$2:$C$7,2,FALSE)+$K$3*VLOOKUP(K518,COND!$A$2:$C$7,3,FALSE)+IF(AND($B$2&gt;0,$E518&lt;20),$B$2*25,0)</f>
        <v>32.060066924147293</v>
      </c>
      <c r="AR518" s="49">
        <f>STANDARDIZE(AQ518,AVERAGE($AQ$5:$AQ$537),STDEVP($AQ$5:$AQ$537))</f>
        <v>-1.4582502616037638</v>
      </c>
      <c r="AS518" s="47" t="str">
        <f>IF(AND(Z518&lt;&gt;"-",Y518&gt;1),"C",IF(AB518=MAX(AB518:AD518),"2B",IF(AD518=MAX(AB518:AD518),"SS",IF(OR(AC518=MAX(AA518:AD518),AND(AC518&lt;&gt;"-",AC518&gt;4,V518&gt;5)),"3B",IF(AF518=MAX(AE518:AG518),"CF",IF(AND(AG518=MAX(AE518,AG518),AND(W518&gt;5,AG518&lt;&gt;"-")),"RF",IF(AE518&lt;&gt;"-","LF",IF(AA518&lt;&gt;"-","1B","DH"))))))))</f>
        <v>LF</v>
      </c>
      <c r="AT518" s="47"/>
      <c r="AU518" s="47"/>
      <c r="AV518" s="47"/>
      <c r="AW518" s="47" t="str">
        <f>IF(AND($Q518&gt;=6,AVERAGE($S518:$T518)&gt;=6),"Likely",IF(OR($Q518&gt;6,AND($Q518=6,AVERAGE($S518:$T518)&gt;=3),AND($Q518&gt;=5,AVERAGE($S518:$T518)&gt;=5),AVERAGE($Q518,$S518:$T518)&gt;5),"Possible","Unlikely"))</f>
        <v>Unlikely</v>
      </c>
      <c r="AX518" s="47"/>
      <c r="AY518" s="47" t="str">
        <f>INDEX(Table5[[#All],[Ovr]],MATCH(Batters[[#This Row],[PID]],Table5[[#All],[PID]],0))</f>
        <v/>
      </c>
      <c r="AZ518" s="47" t="str">
        <f>INDEX(Table5[[#All],[Rnd]],MATCH(Batters[[#This Row],[PID]],Table5[[#All],[PID]],0))</f>
        <v/>
      </c>
      <c r="BA518" s="47" t="str">
        <f>INDEX(Table5[[#All],[Pick]],MATCH(Batters[[#This Row],[PID]],Table5[[#All],[PID]],0))</f>
        <v/>
      </c>
      <c r="BB518" s="47" t="str">
        <f>INDEX(Table5[[#All],[Team]],MATCH(Batters[[#This Row],[PID]],Table5[[#All],[PID]],0))</f>
        <v/>
      </c>
    </row>
    <row r="519" spans="1:54" ht="15" customHeight="1" x14ac:dyDescent="0.25">
      <c r="A519" s="42">
        <v>12115</v>
      </c>
      <c r="B519" s="42" t="s">
        <v>86</v>
      </c>
      <c r="C519" s="42" t="s">
        <v>842</v>
      </c>
      <c r="D519" s="42" t="s">
        <v>727</v>
      </c>
      <c r="E519" s="42">
        <v>21</v>
      </c>
      <c r="F519" s="42" t="s">
        <v>62</v>
      </c>
      <c r="G519" s="42" t="s">
        <v>42</v>
      </c>
      <c r="H519" s="43" t="s">
        <v>709</v>
      </c>
      <c r="I519" s="44" t="s">
        <v>43</v>
      </c>
      <c r="J519" s="42" t="s">
        <v>43</v>
      </c>
      <c r="K519" s="43" t="s">
        <v>43</v>
      </c>
      <c r="L519" s="42">
        <v>1</v>
      </c>
      <c r="M519" s="42">
        <v>2</v>
      </c>
      <c r="N519" s="42">
        <v>2</v>
      </c>
      <c r="O519" s="42">
        <v>2</v>
      </c>
      <c r="P519" s="43">
        <v>1</v>
      </c>
      <c r="Q519" s="42">
        <v>2</v>
      </c>
      <c r="R519" s="42">
        <v>5</v>
      </c>
      <c r="S519" s="42">
        <v>3</v>
      </c>
      <c r="T519" s="42">
        <v>4</v>
      </c>
      <c r="U519" s="43">
        <v>1</v>
      </c>
      <c r="V519" s="42">
        <v>5</v>
      </c>
      <c r="W519" s="42">
        <v>4</v>
      </c>
      <c r="X519" s="42">
        <v>7</v>
      </c>
      <c r="Y519" s="43">
        <v>5</v>
      </c>
      <c r="Z519" s="42" t="s">
        <v>45</v>
      </c>
      <c r="AA519" s="42" t="s">
        <v>45</v>
      </c>
      <c r="AB519" s="42" t="s">
        <v>45</v>
      </c>
      <c r="AC519" s="42" t="s">
        <v>45</v>
      </c>
      <c r="AD519" s="42" t="s">
        <v>45</v>
      </c>
      <c r="AE519" s="42" t="s">
        <v>45</v>
      </c>
      <c r="AF519" s="42" t="s">
        <v>45</v>
      </c>
      <c r="AG519" s="43" t="s">
        <v>45</v>
      </c>
      <c r="AH519" s="42">
        <v>1</v>
      </c>
      <c r="AI519" s="42">
        <v>2</v>
      </c>
      <c r="AJ519" s="43">
        <v>1</v>
      </c>
      <c r="AK519" s="45" t="s">
        <v>45</v>
      </c>
      <c r="AL519" s="45" t="s">
        <v>47</v>
      </c>
      <c r="AM519" s="46">
        <f>($L$3*(L519-$Q$1)/$Q$2+$M$3*(M519-$R$1)/$R$2+$N$3*(N519-$S$1)/$S$2+$O$3*(O519-$T$1)/$T$2+$P$3*(P519-$U$1)/$U$2)/(SUM($L$3:$P$3))</f>
        <v>-1.8605124261753858</v>
      </c>
      <c r="AN519" s="46">
        <f>($L$3*(Q519-$Q$1)/$Q$2+$M$3*(R519-$R$1)/$R$2+$N$3*(S519-$S$1)/$S$2+$O$3*(T519-$T$1)/$T$2+$P$3*(U519-$U$1)/$U$2)/(SUM($L$3:$P$3))</f>
        <v>-1.1222963570735371</v>
      </c>
      <c r="AO519" s="47">
        <f>IF(AVERAGE(AH519:AI519)&gt;9,1,0)+IF(AVERAGE(AH519:AI519)&gt;7,1,0)+IF(AH519&gt;7,1,0)+IF(AI519&gt;7,1,0)+IF(AJ519&gt;8,1,0)+IF(AJ519&gt;6,1,0)</f>
        <v>0</v>
      </c>
      <c r="AP519" s="48">
        <f>MIN(2,IF(OR(Z519="-",X519&lt;5),0,1+IF(Y519&gt;7,0.35,IF(Y519&gt;5,0.1,0))+IF(Z519&gt;7,1+IF(X519&gt;7,0.25,0),IF(Z519&gt;4,0.5+IF(X519&gt;7,0.25,0),0+IF(X519&gt;7,0.25))))+IF(AA519="-",0,IF(AA519&gt;9,0.5,IF(AA519&gt;7,0.25,0)))+IF(AB519="-",0,IF(AB519&gt;7,1.1,IF(AB519&gt;4,0.6,0)))+IF(OR(AC519="-",V519&lt;5),0,IF(AC519&gt;7,1+IF(V519&gt;7,0.25,0),IF(AC519&gt;4,0.5+IF(V519&gt;7,0.25,0),0)))+IF(AD519="-",0,IF(AD519&gt;7,1.5,IF(AD519&gt;4,1,0)))+IF(AE519="-",0,IF(AE519&gt;9,0.5,IF(AE519&gt;7,0.25,0)))+IF(AF519="-",0,IF(AF519&gt;7,1.25,IF(AF519&gt;4,0.75,0)))+IF(OR(AG519="-",W519&lt;4),0,IF(AG519&gt;7,1+IF(W519&gt;7,0.15,0),IF(AG519&gt;4,0.5+IF(W519&gt;7,0.15,0),0))))</f>
        <v>0</v>
      </c>
      <c r="AQ519" s="46">
        <f>($AM$3*AM519+$AN$3*AN519+$AO$3*AO519+$AP$3*AP519)+$I$3*VLOOKUP(I519,COND!$A$2:$E$7,4,FALSE)+$J$3*VLOOKUP(J519,COND!$A$2:$C$7,2,FALSE)+$K$3*VLOOKUP(K519,COND!$A$2:$C$7,3,FALSE)+IF(AND($B$2&gt;0,$E519&lt;20),$B$2*25,0)</f>
        <v>31.346392472500014</v>
      </c>
      <c r="AR519" s="49">
        <f>STANDARDIZE(AQ519,AVERAGE($AQ$5:$AQ$537),STDEVP($AQ$5:$AQ$537))</f>
        <v>-1.5838165380741842</v>
      </c>
      <c r="AS519" s="47" t="str">
        <f>IF(AND(Z519&lt;&gt;"-",Y519&gt;1),"C",IF(AB519=MAX(AB519:AD519),"2B",IF(AD519=MAX(AB519:AD519),"SS",IF(OR(AC519=MAX(AA519:AD519),AND(AC519&lt;&gt;"-",AC519&gt;4,V519&gt;5)),"3B",IF(AF519=MAX(AE519:AG519),"CF",IF(AND(AG519=MAX(AE519,AG519),AND(W519&gt;5,AG519&lt;&gt;"-")),"RF",IF(AE519&lt;&gt;"-","LF",IF(AA519&lt;&gt;"-","1B","DH"))))))))</f>
        <v>DH</v>
      </c>
      <c r="AT519" s="47"/>
      <c r="AU519" s="47"/>
      <c r="AV519" s="47"/>
      <c r="AW519" s="47" t="str">
        <f>IF(AND($Q519&gt;=6,AVERAGE($S519:$T519)&gt;=6),"Likely",IF(OR($Q519&gt;6,AND($Q519=6,AVERAGE($S519:$T519)&gt;=3),AND($Q519&gt;=5,AVERAGE($S519:$T519)&gt;=5),AVERAGE($Q519,$S519:$T519)&gt;5),"Possible","Unlikely"))</f>
        <v>Unlikely</v>
      </c>
      <c r="AX519" s="47"/>
      <c r="AY519" s="47" t="str">
        <f>INDEX(Table5[[#All],[Ovr]],MATCH(Batters[[#This Row],[PID]],Table5[[#All],[PID]],0))</f>
        <v/>
      </c>
      <c r="AZ519" s="47" t="str">
        <f>INDEX(Table5[[#All],[Rnd]],MATCH(Batters[[#This Row],[PID]],Table5[[#All],[PID]],0))</f>
        <v/>
      </c>
      <c r="BA519" s="47" t="str">
        <f>INDEX(Table5[[#All],[Pick]],MATCH(Batters[[#This Row],[PID]],Table5[[#All],[PID]],0))</f>
        <v/>
      </c>
      <c r="BB519" s="47" t="str">
        <f>INDEX(Table5[[#All],[Team]],MATCH(Batters[[#This Row],[PID]],Table5[[#All],[PID]],0))</f>
        <v/>
      </c>
    </row>
    <row r="520" spans="1:54" ht="15" customHeight="1" x14ac:dyDescent="0.25">
      <c r="A520" s="42">
        <v>12664</v>
      </c>
      <c r="B520" s="42" t="s">
        <v>87</v>
      </c>
      <c r="C520" s="42" t="s">
        <v>590</v>
      </c>
      <c r="D520" s="42" t="s">
        <v>1306</v>
      </c>
      <c r="E520" s="42">
        <v>21</v>
      </c>
      <c r="F520" s="42" t="s">
        <v>42</v>
      </c>
      <c r="G520" s="42" t="s">
        <v>42</v>
      </c>
      <c r="H520" s="43" t="s">
        <v>721</v>
      </c>
      <c r="I520" s="44" t="s">
        <v>43</v>
      </c>
      <c r="J520" s="42" t="s">
        <v>44</v>
      </c>
      <c r="K520" s="43" t="s">
        <v>43</v>
      </c>
      <c r="L520" s="42">
        <v>2</v>
      </c>
      <c r="M520" s="42">
        <v>1</v>
      </c>
      <c r="N520" s="42">
        <v>2</v>
      </c>
      <c r="O520" s="42">
        <v>1</v>
      </c>
      <c r="P520" s="43">
        <v>3</v>
      </c>
      <c r="Q520" s="42">
        <v>3</v>
      </c>
      <c r="R520" s="42">
        <v>3</v>
      </c>
      <c r="S520" s="42">
        <v>2</v>
      </c>
      <c r="T520" s="42">
        <v>2</v>
      </c>
      <c r="U520" s="43">
        <v>4</v>
      </c>
      <c r="V520" s="42">
        <v>5</v>
      </c>
      <c r="W520" s="42">
        <v>4</v>
      </c>
      <c r="X520" s="42">
        <v>1</v>
      </c>
      <c r="Y520" s="43">
        <v>1</v>
      </c>
      <c r="Z520" s="42" t="s">
        <v>45</v>
      </c>
      <c r="AA520" s="42" t="s">
        <v>45</v>
      </c>
      <c r="AB520" s="42" t="s">
        <v>45</v>
      </c>
      <c r="AC520" s="42" t="s">
        <v>45</v>
      </c>
      <c r="AD520" s="42" t="s">
        <v>45</v>
      </c>
      <c r="AE520" s="42" t="s">
        <v>45</v>
      </c>
      <c r="AF520" s="42" t="s">
        <v>45</v>
      </c>
      <c r="AG520" s="43" t="s">
        <v>45</v>
      </c>
      <c r="AH520" s="42">
        <v>1</v>
      </c>
      <c r="AI520" s="42">
        <v>1</v>
      </c>
      <c r="AJ520" s="43">
        <v>1</v>
      </c>
      <c r="AK520" s="45" t="s">
        <v>752</v>
      </c>
      <c r="AL520" s="45" t="s">
        <v>47</v>
      </c>
      <c r="AM520" s="46">
        <f>($L$3*(L520-$Q$1)/$Q$2+$M$3*(M520-$R$1)/$R$2+$N$3*(N520-$S$1)/$S$2+$O$3*(O520-$T$1)/$T$2+$P$3*(P520-$U$1)/$U$2)/(SUM($L$3:$P$3))</f>
        <v>-1.5986933399668291</v>
      </c>
      <c r="AN520" s="46">
        <f>($L$3*(Q520-$Q$1)/$Q$2+$M$3*(R520-$R$1)/$R$2+$N$3*(S520-$S$1)/$S$2+$O$3*(T520-$T$1)/$T$2+$P$3*(U520-$U$1)/$U$2)/(SUM($L$3:$P$3))</f>
        <v>-1.0442918547000826</v>
      </c>
      <c r="AO520" s="47">
        <f>IF(AVERAGE(AH520:AI520)&gt;9,1,0)+IF(AVERAGE(AH520:AI520)&gt;7,1,0)+IF(AH520&gt;7,1,0)+IF(AI520&gt;7,1,0)+IF(AJ520&gt;8,1,0)+IF(AJ520&gt;6,1,0)</f>
        <v>0</v>
      </c>
      <c r="AP520" s="48">
        <f>MIN(2,IF(OR(Z520="-",X520&lt;5),0,1+IF(Y520&gt;7,0.35,IF(Y520&gt;5,0.1,0))+IF(Z520&gt;7,1+IF(X520&gt;7,0.25,0),IF(Z520&gt;4,0.5+IF(X520&gt;7,0.25,0),0+IF(X520&gt;7,0.25))))+IF(AA520="-",0,IF(AA520&gt;9,0.5,IF(AA520&gt;7,0.25,0)))+IF(AB520="-",0,IF(AB520&gt;7,1.1,IF(AB520&gt;4,0.6,0)))+IF(OR(AC520="-",V520&lt;5),0,IF(AC520&gt;7,1+IF(V520&gt;7,0.25,0),IF(AC520&gt;4,0.5+IF(V520&gt;7,0.25,0),0)))+IF(AD520="-",0,IF(AD520&gt;7,1.5,IF(AD520&gt;4,1,0)))+IF(AE520="-",0,IF(AE520&gt;9,0.5,IF(AE520&gt;7,0.25,0)))+IF(AF520="-",0,IF(AF520&gt;7,1.25,IF(AF520&gt;4,0.75,0)))+IF(OR(AG520="-",W520&lt;4),0,IF(AG520&gt;7,1+IF(W520&gt;7,0.15,0),IF(AG520&gt;4,0.5+IF(W520&gt;7,0.15,0),0))))</f>
        <v>0</v>
      </c>
      <c r="AQ520" s="46">
        <f>($AM$3*AM520+$AN$3*AN520+$AO$3*AO520+$AP$3*AP520)+$I$3*VLOOKUP(I520,COND!$A$2:$E$7,4,FALSE)+$J$3*VLOOKUP(J520,COND!$A$2:$C$7,2,FALSE)+$K$3*VLOOKUP(K520,COND!$A$2:$C$7,3,FALSE)+IF(AND($B$2&gt;0,$E520&lt;20),$B$2*25,0)</f>
        <v>32.008628409602323</v>
      </c>
      <c r="AR520" s="49">
        <f>STANDARDIZE(AQ520,AVERAGE($AQ$5:$AQ$537),STDEVP($AQ$5:$AQ$537))</f>
        <v>-1.4673005263619783</v>
      </c>
      <c r="AS520" s="47" t="str">
        <f>IF(AND(Z520&lt;&gt;"-",Y520&gt;1),"C",IF(AB520=MAX(AB520:AD520),"2B",IF(AD520=MAX(AB520:AD520),"SS",IF(OR(AC520=MAX(AA520:AD520),AND(AC520&lt;&gt;"-",AC520&gt;4,V520&gt;5)),"3B",IF(AF520=MAX(AE520:AG520),"CF",IF(AND(AG520=MAX(AE520,AG520),AND(W520&gt;5,AG520&lt;&gt;"-")),"RF",IF(AE520&lt;&gt;"-","LF",IF(AA520&lt;&gt;"-","1B","DH"))))))))</f>
        <v>DH</v>
      </c>
      <c r="AT520" s="47"/>
      <c r="AU520" s="47"/>
      <c r="AV520" s="47"/>
      <c r="AW520" s="47" t="str">
        <f>IF(AND($Q520&gt;=6,AVERAGE($S520:$T520)&gt;=6),"Likely",IF(OR($Q520&gt;6,AND($Q520=6,AVERAGE($S520:$T520)&gt;=3),AND($Q520&gt;=5,AVERAGE($S520:$T520)&gt;=5),AVERAGE($Q520,$S520:$T520)&gt;5),"Possible","Unlikely"))</f>
        <v>Unlikely</v>
      </c>
      <c r="AX520" s="47"/>
      <c r="AY520" s="47" t="str">
        <f>INDEX(Table5[[#All],[Ovr]],MATCH(Batters[[#This Row],[PID]],Table5[[#All],[PID]],0))</f>
        <v/>
      </c>
      <c r="AZ520" s="47" t="str">
        <f>INDEX(Table5[[#All],[Rnd]],MATCH(Batters[[#This Row],[PID]],Table5[[#All],[PID]],0))</f>
        <v/>
      </c>
      <c r="BA520" s="47" t="str">
        <f>INDEX(Table5[[#All],[Pick]],MATCH(Batters[[#This Row],[PID]],Table5[[#All],[PID]],0))</f>
        <v/>
      </c>
      <c r="BB520" s="47" t="str">
        <f>INDEX(Table5[[#All],[Team]],MATCH(Batters[[#This Row],[PID]],Table5[[#All],[PID]],0))</f>
        <v/>
      </c>
    </row>
    <row r="521" spans="1:54" ht="15" customHeight="1" x14ac:dyDescent="0.25">
      <c r="A521" s="42">
        <v>11926</v>
      </c>
      <c r="B521" s="42" t="s">
        <v>86</v>
      </c>
      <c r="C521" s="42" t="s">
        <v>193</v>
      </c>
      <c r="D521" s="42" t="s">
        <v>1393</v>
      </c>
      <c r="E521" s="42">
        <v>21</v>
      </c>
      <c r="F521" s="42" t="s">
        <v>42</v>
      </c>
      <c r="G521" s="42" t="s">
        <v>42</v>
      </c>
      <c r="H521" s="43" t="s">
        <v>709</v>
      </c>
      <c r="I521" s="44" t="s">
        <v>43</v>
      </c>
      <c r="J521" s="42" t="s">
        <v>44</v>
      </c>
      <c r="K521" s="43" t="s">
        <v>43</v>
      </c>
      <c r="L521" s="42">
        <v>1</v>
      </c>
      <c r="M521" s="42">
        <v>2</v>
      </c>
      <c r="N521" s="42">
        <v>2</v>
      </c>
      <c r="O521" s="42">
        <v>2</v>
      </c>
      <c r="P521" s="43">
        <v>1</v>
      </c>
      <c r="Q521" s="42">
        <v>2</v>
      </c>
      <c r="R521" s="42">
        <v>4</v>
      </c>
      <c r="S521" s="42">
        <v>3</v>
      </c>
      <c r="T521" s="42">
        <v>5</v>
      </c>
      <c r="U521" s="43">
        <v>2</v>
      </c>
      <c r="V521" s="42">
        <v>3</v>
      </c>
      <c r="W521" s="42">
        <v>3</v>
      </c>
      <c r="X521" s="42">
        <v>6</v>
      </c>
      <c r="Y521" s="43">
        <v>5</v>
      </c>
      <c r="Z521" s="42" t="s">
        <v>45</v>
      </c>
      <c r="AA521" s="42" t="s">
        <v>45</v>
      </c>
      <c r="AB521" s="42" t="s">
        <v>45</v>
      </c>
      <c r="AC521" s="42" t="s">
        <v>45</v>
      </c>
      <c r="AD521" s="42" t="s">
        <v>45</v>
      </c>
      <c r="AE521" s="42" t="s">
        <v>45</v>
      </c>
      <c r="AF521" s="42" t="s">
        <v>45</v>
      </c>
      <c r="AG521" s="43" t="s">
        <v>45</v>
      </c>
      <c r="AH521" s="42">
        <v>2</v>
      </c>
      <c r="AI521" s="42">
        <v>5</v>
      </c>
      <c r="AJ521" s="43">
        <v>4</v>
      </c>
      <c r="AK521" s="45" t="s">
        <v>45</v>
      </c>
      <c r="AL521" s="45" t="s">
        <v>47</v>
      </c>
      <c r="AM521" s="46">
        <f>($L$3*(L521-$Q$1)/$Q$2+$M$3*(M521-$R$1)/$R$2+$N$3*(N521-$S$1)/$S$2+$O$3*(O521-$T$1)/$T$2+$P$3*(P521-$U$1)/$U$2)/(SUM($L$3:$P$3))</f>
        <v>-1.8605124261753858</v>
      </c>
      <c r="AN521" s="46">
        <f>($L$3*(Q521-$Q$1)/$Q$2+$M$3*(R521-$R$1)/$R$2+$N$3*(S521-$S$1)/$S$2+$O$3*(T521-$T$1)/$T$2+$P$3*(U521-$U$1)/$U$2)/(SUM($L$3:$P$3))</f>
        <v>-1.0436303468655763</v>
      </c>
      <c r="AO521" s="47">
        <f>IF(AVERAGE(AH521:AI521)&gt;9,1,0)+IF(AVERAGE(AH521:AI521)&gt;7,1,0)+IF(AH521&gt;7,1,0)+IF(AI521&gt;7,1,0)+IF(AJ521&gt;8,1,0)+IF(AJ521&gt;6,1,0)</f>
        <v>0</v>
      </c>
      <c r="AP521" s="48">
        <f>MIN(2,IF(OR(Z521="-",X521&lt;5),0,1+IF(Y521&gt;7,0.35,IF(Y521&gt;5,0.1,0))+IF(Z521&gt;7,1+IF(X521&gt;7,0.25,0),IF(Z521&gt;4,0.5+IF(X521&gt;7,0.25,0),0+IF(X521&gt;7,0.25))))+IF(AA521="-",0,IF(AA521&gt;9,0.5,IF(AA521&gt;7,0.25,0)))+IF(AB521="-",0,IF(AB521&gt;7,1.1,IF(AB521&gt;4,0.6,0)))+IF(OR(AC521="-",V521&lt;5),0,IF(AC521&gt;7,1+IF(V521&gt;7,0.25,0),IF(AC521&gt;4,0.5+IF(V521&gt;7,0.25,0),0)))+IF(AD521="-",0,IF(AD521&gt;7,1.5,IF(AD521&gt;4,1,0)))+IF(AE521="-",0,IF(AE521&gt;9,0.5,IF(AE521&gt;7,0.25,0)))+IF(AF521="-",0,IF(AF521&gt;7,1.25,IF(AF521&gt;4,0.75,0)))+IF(OR(AG521="-",W521&lt;4),0,IF(AG521&gt;7,1+IF(W521&gt;7,0.15,0),IF(AG521&gt;4,0.5+IF(W521&gt;7,0.15,0),0))))</f>
        <v>0</v>
      </c>
      <c r="AQ521" s="46">
        <f>($AM$3*AM521+$AN$3*AN521+$AO$3*AO521+$AP$3*AP521)+$I$3*VLOOKUP(I521,COND!$A$2:$E$7,4,FALSE)+$J$3*VLOOKUP(J521,COND!$A$2:$C$7,2,FALSE)+$K$3*VLOOKUP(K521,COND!$A$2:$C$7,3,FALSE)+IF(AND($B$2&gt;0,$E521&lt;20),$B$2*25,0)</f>
        <v>31.990384594995547</v>
      </c>
      <c r="AR521" s="49">
        <f>STANDARDIZE(AQ521,AVERAGE($AQ$5:$AQ$537),STDEVP($AQ$5:$AQ$537))</f>
        <v>-1.4705104042881141</v>
      </c>
      <c r="AS521" s="47" t="str">
        <f>IF(AND(Z521&lt;&gt;"-",Y521&gt;1),"C",IF(AB521=MAX(AB521:AD521),"2B",IF(AD521=MAX(AB521:AD521),"SS",IF(OR(AC521=MAX(AA521:AD521),AND(AC521&lt;&gt;"-",AC521&gt;4,V521&gt;5)),"3B",IF(AF521=MAX(AE521:AG521),"CF",IF(AND(AG521=MAX(AE521,AG521),AND(W521&gt;5,AG521&lt;&gt;"-")),"RF",IF(AE521&lt;&gt;"-","LF",IF(AA521&lt;&gt;"-","1B","DH"))))))))</f>
        <v>DH</v>
      </c>
      <c r="AT521" s="47"/>
      <c r="AU521" s="47"/>
      <c r="AV521" s="47"/>
      <c r="AW521" s="47" t="str">
        <f>IF(AND($Q521&gt;=6,AVERAGE($S521:$T521)&gt;=6),"Likely",IF(OR($Q521&gt;6,AND($Q521=6,AVERAGE($S521:$T521)&gt;=3),AND($Q521&gt;=5,AVERAGE($S521:$T521)&gt;=5),AVERAGE($Q521,$S521:$T521)&gt;5),"Possible","Unlikely"))</f>
        <v>Unlikely</v>
      </c>
      <c r="AX521" s="47"/>
      <c r="AY521" s="47" t="str">
        <f>INDEX(Table5[[#All],[Ovr]],MATCH(Batters[[#This Row],[PID]],Table5[[#All],[PID]],0))</f>
        <v/>
      </c>
      <c r="AZ521" s="47" t="str">
        <f>INDEX(Table5[[#All],[Rnd]],MATCH(Batters[[#This Row],[PID]],Table5[[#All],[PID]],0))</f>
        <v/>
      </c>
      <c r="BA521" s="47" t="str">
        <f>INDEX(Table5[[#All],[Pick]],MATCH(Batters[[#This Row],[PID]],Table5[[#All],[PID]],0))</f>
        <v/>
      </c>
      <c r="BB521" s="47" t="str">
        <f>INDEX(Table5[[#All],[Team]],MATCH(Batters[[#This Row],[PID]],Table5[[#All],[PID]],0))</f>
        <v/>
      </c>
    </row>
    <row r="522" spans="1:54" ht="15" customHeight="1" x14ac:dyDescent="0.25">
      <c r="A522" s="42">
        <v>2937</v>
      </c>
      <c r="B522" s="42" t="s">
        <v>86</v>
      </c>
      <c r="C522" s="42" t="s">
        <v>1370</v>
      </c>
      <c r="D522" s="42" t="s">
        <v>409</v>
      </c>
      <c r="E522" s="42">
        <v>21</v>
      </c>
      <c r="F522" s="42" t="s">
        <v>42</v>
      </c>
      <c r="G522" s="42" t="s">
        <v>42</v>
      </c>
      <c r="H522" s="43" t="s">
        <v>711</v>
      </c>
      <c r="I522" s="44" t="s">
        <v>43</v>
      </c>
      <c r="J522" s="42" t="s">
        <v>44</v>
      </c>
      <c r="K522" s="43" t="s">
        <v>43</v>
      </c>
      <c r="L522" s="42">
        <v>1</v>
      </c>
      <c r="M522" s="42">
        <v>3</v>
      </c>
      <c r="N522" s="42">
        <v>3</v>
      </c>
      <c r="O522" s="42">
        <v>3</v>
      </c>
      <c r="P522" s="43">
        <v>1</v>
      </c>
      <c r="Q522" s="42">
        <v>2</v>
      </c>
      <c r="R522" s="42">
        <v>3</v>
      </c>
      <c r="S522" s="42">
        <v>3</v>
      </c>
      <c r="T522" s="42">
        <v>5</v>
      </c>
      <c r="U522" s="43">
        <v>3</v>
      </c>
      <c r="V522" s="42">
        <v>3</v>
      </c>
      <c r="W522" s="42">
        <v>2</v>
      </c>
      <c r="X522" s="42">
        <v>5</v>
      </c>
      <c r="Y522" s="43">
        <v>5</v>
      </c>
      <c r="Z522" s="42" t="s">
        <v>45</v>
      </c>
      <c r="AA522" s="42" t="s">
        <v>45</v>
      </c>
      <c r="AB522" s="42" t="s">
        <v>45</v>
      </c>
      <c r="AC522" s="42" t="s">
        <v>45</v>
      </c>
      <c r="AD522" s="42" t="s">
        <v>45</v>
      </c>
      <c r="AE522" s="42" t="s">
        <v>45</v>
      </c>
      <c r="AF522" s="42" t="s">
        <v>45</v>
      </c>
      <c r="AG522" s="43" t="s">
        <v>45</v>
      </c>
      <c r="AH522" s="42">
        <v>1</v>
      </c>
      <c r="AI522" s="42">
        <v>1</v>
      </c>
      <c r="AJ522" s="43">
        <v>1</v>
      </c>
      <c r="AK522" s="45" t="s">
        <v>45</v>
      </c>
      <c r="AL522" s="45" t="s">
        <v>47</v>
      </c>
      <c r="AM522" s="46">
        <f>($L$3*(L522-$Q$1)/$Q$2+$M$3*(M522-$R$1)/$R$2+$N$3*(N522-$S$1)/$S$2+$O$3*(O522-$T$1)/$T$2+$P$3*(P522-$U$1)/$U$2)/(SUM($L$3:$P$3))</f>
        <v>-1.6366815025231998</v>
      </c>
      <c r="AN522" s="46">
        <f>($L$3*(Q522-$Q$1)/$Q$2+$M$3*(R522-$R$1)/$R$2+$N$3*(S522-$S$1)/$S$2+$O$3*(T522-$T$1)/$T$2+$P$3*(U522-$U$1)/$U$2)/(SUM($L$3:$P$3))</f>
        <v>-1.0546738866671965</v>
      </c>
      <c r="AO522" s="47">
        <f>IF(AVERAGE(AH522:AI522)&gt;9,1,0)+IF(AVERAGE(AH522:AI522)&gt;7,1,0)+IF(AH522&gt;7,1,0)+IF(AI522&gt;7,1,0)+IF(AJ522&gt;8,1,0)+IF(AJ522&gt;6,1,0)</f>
        <v>0</v>
      </c>
      <c r="AP522" s="48">
        <f>MIN(2,IF(OR(Z522="-",X522&lt;5),0,1+IF(Y522&gt;7,0.35,IF(Y522&gt;5,0.1,0))+IF(Z522&gt;7,1+IF(X522&gt;7,0.25,0),IF(Z522&gt;4,0.5+IF(X522&gt;7,0.25,0),0+IF(X522&gt;7,0.25))))+IF(AA522="-",0,IF(AA522&gt;9,0.5,IF(AA522&gt;7,0.25,0)))+IF(AB522="-",0,IF(AB522&gt;7,1.1,IF(AB522&gt;4,0.6,0)))+IF(OR(AC522="-",V522&lt;5),0,IF(AC522&gt;7,1+IF(V522&gt;7,0.25,0),IF(AC522&gt;4,0.5+IF(V522&gt;7,0.25,0),0)))+IF(AD522="-",0,IF(AD522&gt;7,1.5,IF(AD522&gt;4,1,0)))+IF(AE522="-",0,IF(AE522&gt;9,0.5,IF(AE522&gt;7,0.25,0)))+IF(AF522="-",0,IF(AF522&gt;7,1.25,IF(AF522&gt;4,0.75,0)))+IF(OR(AG522="-",W522&lt;4),0,IF(AG522&gt;7,1+IF(W522&gt;7,0.15,0),IF(AG522&gt;4,0.5+IF(W522&gt;7,0.15,0),0))))</f>
        <v>0</v>
      </c>
      <c r="AQ522" s="46">
        <f>($AM$3*AM522+$AN$3*AN522+$AO$3*AO522+$AP$3*AP522)+$I$3*VLOOKUP(I522,COND!$A$2:$E$7,4,FALSE)+$J$3*VLOOKUP(J522,COND!$A$2:$C$7,2,FALSE)+$K$3*VLOOKUP(K522,COND!$A$2:$C$7,3,FALSE)+IF(AND($B$2&gt;0,$E522&lt;20),$B$2*25,0)</f>
        <v>31.880245209741322</v>
      </c>
      <c r="AR522" s="49">
        <f>STANDARDIZE(AQ522,AVERAGE($AQ$5:$AQ$537),STDEVP($AQ$5:$AQ$537))</f>
        <v>-1.4898886971038268</v>
      </c>
      <c r="AS522" s="47" t="str">
        <f>IF(AND(Z522&lt;&gt;"-",Y522&gt;1),"C",IF(AB522=MAX(AB522:AD522),"2B",IF(AD522=MAX(AB522:AD522),"SS",IF(OR(AC522=MAX(AA522:AD522),AND(AC522&lt;&gt;"-",AC522&gt;4,V522&gt;5)),"3B",IF(AF522=MAX(AE522:AG522),"CF",IF(AND(AG522=MAX(AE522,AG522),AND(W522&gt;5,AG522&lt;&gt;"-")),"RF",IF(AE522&lt;&gt;"-","LF",IF(AA522&lt;&gt;"-","1B","DH"))))))))</f>
        <v>DH</v>
      </c>
      <c r="AT522" s="47"/>
      <c r="AU522" s="47"/>
      <c r="AV522" s="47"/>
      <c r="AW522" s="47" t="str">
        <f>IF(AND($Q522&gt;=6,AVERAGE($S522:$T522)&gt;=6),"Likely",IF(OR($Q522&gt;6,AND($Q522=6,AVERAGE($S522:$T522)&gt;=3),AND($Q522&gt;=5,AVERAGE($S522:$T522)&gt;=5),AVERAGE($Q522,$S522:$T522)&gt;5),"Possible","Unlikely"))</f>
        <v>Unlikely</v>
      </c>
      <c r="AX522" s="47"/>
      <c r="AY522" s="47" t="str">
        <f>INDEX(Table5[[#All],[Ovr]],MATCH(Batters[[#This Row],[PID]],Table5[[#All],[PID]],0))</f>
        <v/>
      </c>
      <c r="AZ522" s="47" t="str">
        <f>INDEX(Table5[[#All],[Rnd]],MATCH(Batters[[#This Row],[PID]],Table5[[#All],[PID]],0))</f>
        <v/>
      </c>
      <c r="BA522" s="47" t="str">
        <f>INDEX(Table5[[#All],[Pick]],MATCH(Batters[[#This Row],[PID]],Table5[[#All],[PID]],0))</f>
        <v/>
      </c>
      <c r="BB522" s="47" t="str">
        <f>INDEX(Table5[[#All],[Team]],MATCH(Batters[[#This Row],[PID]],Table5[[#All],[PID]],0))</f>
        <v/>
      </c>
    </row>
    <row r="523" spans="1:54" ht="15" customHeight="1" x14ac:dyDescent="0.25">
      <c r="A523" s="42">
        <v>4755</v>
      </c>
      <c r="B523" s="42" t="s">
        <v>87</v>
      </c>
      <c r="C523" s="42" t="s">
        <v>167</v>
      </c>
      <c r="D523" s="42" t="s">
        <v>1157</v>
      </c>
      <c r="E523" s="42">
        <v>21</v>
      </c>
      <c r="F523" s="42" t="s">
        <v>42</v>
      </c>
      <c r="G523" s="42" t="s">
        <v>42</v>
      </c>
      <c r="H523" s="43" t="s">
        <v>721</v>
      </c>
      <c r="I523" s="44" t="s">
        <v>43</v>
      </c>
      <c r="J523" s="42" t="s">
        <v>43</v>
      </c>
      <c r="K523" s="43" t="s">
        <v>43</v>
      </c>
      <c r="L523" s="42">
        <v>1</v>
      </c>
      <c r="M523" s="42">
        <v>1</v>
      </c>
      <c r="N523" s="42">
        <v>2</v>
      </c>
      <c r="O523" s="42">
        <v>1</v>
      </c>
      <c r="P523" s="43">
        <v>1</v>
      </c>
      <c r="Q523" s="42">
        <v>3</v>
      </c>
      <c r="R523" s="42">
        <v>2</v>
      </c>
      <c r="S523" s="42">
        <v>2</v>
      </c>
      <c r="T523" s="42">
        <v>2</v>
      </c>
      <c r="U523" s="43">
        <v>3</v>
      </c>
      <c r="V523" s="42">
        <v>6</v>
      </c>
      <c r="W523" s="42">
        <v>2</v>
      </c>
      <c r="X523" s="42">
        <v>1</v>
      </c>
      <c r="Y523" s="43">
        <v>1</v>
      </c>
      <c r="Z523" s="42" t="s">
        <v>45</v>
      </c>
      <c r="AA523" s="42">
        <v>1</v>
      </c>
      <c r="AB523" s="42" t="s">
        <v>45</v>
      </c>
      <c r="AC523" s="42" t="s">
        <v>45</v>
      </c>
      <c r="AD523" s="42" t="s">
        <v>45</v>
      </c>
      <c r="AE523" s="42" t="s">
        <v>45</v>
      </c>
      <c r="AF523" s="42" t="s">
        <v>45</v>
      </c>
      <c r="AG523" s="43" t="s">
        <v>45</v>
      </c>
      <c r="AH523" s="42">
        <v>1</v>
      </c>
      <c r="AI523" s="42">
        <v>2</v>
      </c>
      <c r="AJ523" s="43">
        <v>3</v>
      </c>
      <c r="AK523" s="45" t="s">
        <v>45</v>
      </c>
      <c r="AL523" s="45" t="s">
        <v>47</v>
      </c>
      <c r="AM523" s="46">
        <f>($L$3*(L523-$Q$1)/$Q$2+$M$3*(M523-$R$1)/$R$2+$N$3*(N523-$S$1)/$S$2+$O$3*(O523-$T$1)/$T$2+$P$3*(P523-$U$1)/$U$2)/(SUM($L$3:$P$3))</f>
        <v>-2.0012818558036707</v>
      </c>
      <c r="AN523" s="46">
        <f>($L$3*(Q523-$Q$1)/$Q$2+$M$3*(R523-$R$1)/$R$2+$N$3*(S523-$S$1)/$S$2+$O$3*(T523-$T$1)/$T$2+$P$3*(U523-$U$1)/$U$2)/(SUM($L$3:$P$3))</f>
        <v>-1.1353680741358696</v>
      </c>
      <c r="AO523" s="47">
        <f>IF(AVERAGE(AH523:AI523)&gt;9,1,0)+IF(AVERAGE(AH523:AI523)&gt;7,1,0)+IF(AH523&gt;7,1,0)+IF(AI523&gt;7,1,0)+IF(AJ523&gt;8,1,0)+IF(AJ523&gt;6,1,0)</f>
        <v>0</v>
      </c>
      <c r="AP523" s="48">
        <f>MIN(2,IF(OR(Z523="-",X523&lt;5),0,1+IF(Y523&gt;7,0.35,IF(Y523&gt;5,0.1,0))+IF(Z523&gt;7,1+IF(X523&gt;7,0.25,0),IF(Z523&gt;4,0.5+IF(X523&gt;7,0.25,0),0+IF(X523&gt;7,0.25))))+IF(AA523="-",0,IF(AA523&gt;9,0.5,IF(AA523&gt;7,0.25,0)))+IF(AB523="-",0,IF(AB523&gt;7,1.1,IF(AB523&gt;4,0.6,0)))+IF(OR(AC523="-",V523&lt;5),0,IF(AC523&gt;7,1+IF(V523&gt;7,0.25,0),IF(AC523&gt;4,0.5+IF(V523&gt;7,0.25,0),0)))+IF(AD523="-",0,IF(AD523&gt;7,1.5,IF(AD523&gt;4,1,0)))+IF(AE523="-",0,IF(AE523&gt;9,0.5,IF(AE523&gt;7,0.25,0)))+IF(AF523="-",0,IF(AF523&gt;7,1.25,IF(AF523&gt;4,0.75,0)))+IF(OR(AG523="-",W523&lt;4),0,IF(AG523&gt;7,1+IF(W523&gt;7,0.15,0),IF(AG523&gt;4,0.5+IF(W523&gt;7,0.15,0),0))))</f>
        <v>0</v>
      </c>
      <c r="AQ523" s="46">
        <f>($AM$3*AM523+$AN$3*AN523+$AO$3*AO523+$AP$3*AP523)+$I$3*VLOOKUP(I523,COND!$A$2:$E$7,4,FALSE)+$J$3*VLOOKUP(J523,COND!$A$2:$C$7,2,FALSE)+$K$3*VLOOKUP(K523,COND!$A$2:$C$7,3,FALSE)+IF(AND($B$2&gt;0,$E523&lt;20),$B$2*25,0)</f>
        <v>31.1754549247892</v>
      </c>
      <c r="AR523" s="49">
        <f>STANDARDIZE(AQ523,AVERAGE($AQ$5:$AQ$537),STDEVP($AQ$5:$AQ$537))</f>
        <v>-1.6138918634911013</v>
      </c>
      <c r="AS523" s="47" t="str">
        <f>IF(AND(Z523&lt;&gt;"-",Y523&gt;1),"C",IF(AB523=MAX(AB523:AD523),"2B",IF(AD523=MAX(AB523:AD523),"SS",IF(OR(AC523=MAX(AA523:AD523),AND(AC523&lt;&gt;"-",AC523&gt;4,V523&gt;5)),"3B",IF(AF523=MAX(AE523:AG523),"CF",IF(AND(AG523=MAX(AE523,AG523),AND(W523&gt;5,AG523&lt;&gt;"-")),"RF",IF(AE523&lt;&gt;"-","LF",IF(AA523&lt;&gt;"-","1B","DH"))))))))</f>
        <v>1B</v>
      </c>
      <c r="AT523" s="47"/>
      <c r="AU523" s="47"/>
      <c r="AV523" s="47"/>
      <c r="AW523" s="47" t="str">
        <f>IF(AND($Q523&gt;=6,AVERAGE($S523:$T523)&gt;=6),"Likely",IF(OR($Q523&gt;6,AND($Q523=6,AVERAGE($S523:$T523)&gt;=3),AND($Q523&gt;=5,AVERAGE($S523:$T523)&gt;=5),AVERAGE($Q523,$S523:$T523)&gt;5),"Possible","Unlikely"))</f>
        <v>Unlikely</v>
      </c>
      <c r="AX523" s="47"/>
      <c r="AY523" s="47" t="str">
        <f>INDEX(Table5[[#All],[Ovr]],MATCH(Batters[[#This Row],[PID]],Table5[[#All],[PID]],0))</f>
        <v/>
      </c>
      <c r="AZ523" s="47" t="str">
        <f>INDEX(Table5[[#All],[Rnd]],MATCH(Batters[[#This Row],[PID]],Table5[[#All],[PID]],0))</f>
        <v/>
      </c>
      <c r="BA523" s="47" t="str">
        <f>INDEX(Table5[[#All],[Pick]],MATCH(Batters[[#This Row],[PID]],Table5[[#All],[PID]],0))</f>
        <v/>
      </c>
      <c r="BB523" s="47" t="str">
        <f>INDEX(Table5[[#All],[Team]],MATCH(Batters[[#This Row],[PID]],Table5[[#All],[PID]],0))</f>
        <v/>
      </c>
    </row>
    <row r="524" spans="1:54" ht="15" customHeight="1" x14ac:dyDescent="0.25">
      <c r="A524" s="42">
        <v>10011</v>
      </c>
      <c r="B524" s="42" t="s">
        <v>87</v>
      </c>
      <c r="C524" s="42" t="s">
        <v>460</v>
      </c>
      <c r="D524" s="42" t="s">
        <v>1378</v>
      </c>
      <c r="E524" s="42">
        <v>21</v>
      </c>
      <c r="F524" s="42" t="s">
        <v>42</v>
      </c>
      <c r="G524" s="42" t="s">
        <v>42</v>
      </c>
      <c r="H524" s="43" t="s">
        <v>721</v>
      </c>
      <c r="I524" s="44" t="s">
        <v>43</v>
      </c>
      <c r="J524" s="42" t="s">
        <v>43</v>
      </c>
      <c r="K524" s="43" t="s">
        <v>43</v>
      </c>
      <c r="L524" s="42">
        <v>1</v>
      </c>
      <c r="M524" s="42">
        <v>1</v>
      </c>
      <c r="N524" s="42">
        <v>2</v>
      </c>
      <c r="O524" s="42">
        <v>2</v>
      </c>
      <c r="P524" s="43">
        <v>1</v>
      </c>
      <c r="Q524" s="42">
        <v>2</v>
      </c>
      <c r="R524" s="42">
        <v>3</v>
      </c>
      <c r="S524" s="42">
        <v>4</v>
      </c>
      <c r="T524" s="42">
        <v>4</v>
      </c>
      <c r="U524" s="43">
        <v>1</v>
      </c>
      <c r="V524" s="42">
        <v>4</v>
      </c>
      <c r="W524" s="42">
        <v>6</v>
      </c>
      <c r="X524" s="42">
        <v>1</v>
      </c>
      <c r="Y524" s="43">
        <v>1</v>
      </c>
      <c r="Z524" s="42" t="s">
        <v>45</v>
      </c>
      <c r="AA524" s="42">
        <v>5</v>
      </c>
      <c r="AB524" s="42">
        <v>1</v>
      </c>
      <c r="AC524" s="42" t="s">
        <v>45</v>
      </c>
      <c r="AD524" s="42" t="s">
        <v>45</v>
      </c>
      <c r="AE524" s="42" t="s">
        <v>45</v>
      </c>
      <c r="AF524" s="42" t="s">
        <v>45</v>
      </c>
      <c r="AG524" s="43" t="s">
        <v>45</v>
      </c>
      <c r="AH524" s="42">
        <v>7</v>
      </c>
      <c r="AI524" s="42">
        <v>3</v>
      </c>
      <c r="AJ524" s="43">
        <v>5</v>
      </c>
      <c r="AK524" s="45" t="s">
        <v>717</v>
      </c>
      <c r="AL524" s="45" t="s">
        <v>47</v>
      </c>
      <c r="AM524" s="46">
        <f>($L$3*(L524-$Q$1)/$Q$2+$M$3*(M524-$R$1)/$R$2+$N$3*(N524-$S$1)/$S$2+$O$3*(O524-$T$1)/$T$2+$P$3*(P524-$U$1)/$U$2)/(SUM($L$3:$P$3))</f>
        <v>-1.9115723057940897</v>
      </c>
      <c r="AN524" s="46">
        <f>($L$3*(Q524-$Q$1)/$Q$2+$M$3*(R524-$R$1)/$R$2+$N$3*(S524-$S$1)/$S$2+$O$3*(T524-$T$1)/$T$2+$P$3*(U524-$U$1)/$U$2)/(SUM($L$3:$P$3))</f>
        <v>-1.1413546222870428</v>
      </c>
      <c r="AO524" s="47">
        <f>IF(AVERAGE(AH524:AI524)&gt;9,1,0)+IF(AVERAGE(AH524:AI524)&gt;7,1,0)+IF(AH524&gt;7,1,0)+IF(AI524&gt;7,1,0)+IF(AJ524&gt;8,1,0)+IF(AJ524&gt;6,1,0)</f>
        <v>0</v>
      </c>
      <c r="AP524" s="48">
        <f>MIN(2,IF(OR(Z524="-",X524&lt;5),0,1+IF(Y524&gt;7,0.35,IF(Y524&gt;5,0.1,0))+IF(Z524&gt;7,1+IF(X524&gt;7,0.25,0),IF(Z524&gt;4,0.5+IF(X524&gt;7,0.25,0),0+IF(X524&gt;7,0.25))))+IF(AA524="-",0,IF(AA524&gt;9,0.5,IF(AA524&gt;7,0.25,0)))+IF(AB524="-",0,IF(AB524&gt;7,1.1,IF(AB524&gt;4,0.6,0)))+IF(OR(AC524="-",V524&lt;5),0,IF(AC524&gt;7,1+IF(V524&gt;7,0.25,0),IF(AC524&gt;4,0.5+IF(V524&gt;7,0.25,0),0)))+IF(AD524="-",0,IF(AD524&gt;7,1.5,IF(AD524&gt;4,1,0)))+IF(AE524="-",0,IF(AE524&gt;9,0.5,IF(AE524&gt;7,0.25,0)))+IF(AF524="-",0,IF(AF524&gt;7,1.25,IF(AF524&gt;4,0.75,0)))+IF(OR(AG524="-",W524&lt;4),0,IF(AG524&gt;7,1+IF(W524&gt;7,0.15,0),IF(AG524&gt;4,0.5+IF(W524&gt;7,0.15,0),0))))</f>
        <v>0</v>
      </c>
      <c r="AQ524" s="46">
        <f>($AM$3*AM524+$AN$3*AN524+$AO$3*AO524+$AP$3*AP524)+$I$3*VLOOKUP(I524,COND!$A$2:$E$7,4,FALSE)+$J$3*VLOOKUP(J524,COND!$A$2:$C$7,2,FALSE)+$K$3*VLOOKUP(K524,COND!$A$2:$C$7,3,FALSE)+IF(AND($B$2&gt;0,$E524&lt;20),$B$2*25,0)</f>
        <v>31.112587301976077</v>
      </c>
      <c r="AR524" s="49">
        <f>STANDARDIZE(AQ524,AVERAGE($AQ$5:$AQ$537),STDEVP($AQ$5:$AQ$537))</f>
        <v>-1.6249530038877762</v>
      </c>
      <c r="AS524" s="47" t="str">
        <f>IF(AND(Z524&lt;&gt;"-",Y524&gt;1),"C",IF(AB524=MAX(AB524:AD524),"2B",IF(AD524=MAX(AB524:AD524),"SS",IF(OR(AC524=MAX(AA524:AD524),AND(AC524&lt;&gt;"-",AC524&gt;4,V524&gt;5)),"3B",IF(AF524=MAX(AE524:AG524),"CF",IF(AND(AG524=MAX(AE524,AG524),AND(W524&gt;5,AG524&lt;&gt;"-")),"RF",IF(AE524&lt;&gt;"-","LF",IF(AA524&lt;&gt;"-","1B","DH"))))))))</f>
        <v>2B</v>
      </c>
      <c r="AT524" s="47"/>
      <c r="AU524" s="47"/>
      <c r="AV524" s="47"/>
      <c r="AW524" s="47" t="str">
        <f>IF(AND($Q524&gt;=6,AVERAGE($S524:$T524)&gt;=6),"Likely",IF(OR($Q524&gt;6,AND($Q524=6,AVERAGE($S524:$T524)&gt;=3),AND($Q524&gt;=5,AVERAGE($S524:$T524)&gt;=5),AVERAGE($Q524,$S524:$T524)&gt;5),"Possible","Unlikely"))</f>
        <v>Unlikely</v>
      </c>
      <c r="AX524" s="47"/>
      <c r="AY524" s="47" t="str">
        <f>INDEX(Table5[[#All],[Ovr]],MATCH(Batters[[#This Row],[PID]],Table5[[#All],[PID]],0))</f>
        <v/>
      </c>
      <c r="AZ524" s="47" t="str">
        <f>INDEX(Table5[[#All],[Rnd]],MATCH(Batters[[#This Row],[PID]],Table5[[#All],[PID]],0))</f>
        <v/>
      </c>
      <c r="BA524" s="47" t="str">
        <f>INDEX(Table5[[#All],[Pick]],MATCH(Batters[[#This Row],[PID]],Table5[[#All],[PID]],0))</f>
        <v/>
      </c>
      <c r="BB524" s="47" t="str">
        <f>INDEX(Table5[[#All],[Team]],MATCH(Batters[[#This Row],[PID]],Table5[[#All],[PID]],0))</f>
        <v/>
      </c>
    </row>
    <row r="525" spans="1:54" ht="15" customHeight="1" x14ac:dyDescent="0.25">
      <c r="A525" s="42">
        <v>6018</v>
      </c>
      <c r="B525" s="42" t="s">
        <v>50</v>
      </c>
      <c r="C525" s="42" t="s">
        <v>1285</v>
      </c>
      <c r="D525" s="42" t="s">
        <v>675</v>
      </c>
      <c r="E525" s="42">
        <v>21</v>
      </c>
      <c r="F525" s="42" t="s">
        <v>42</v>
      </c>
      <c r="G525" s="42" t="s">
        <v>42</v>
      </c>
      <c r="H525" s="43" t="s">
        <v>721</v>
      </c>
      <c r="I525" s="44" t="s">
        <v>43</v>
      </c>
      <c r="J525" s="42" t="s">
        <v>44</v>
      </c>
      <c r="K525" s="43" t="s">
        <v>44</v>
      </c>
      <c r="L525" s="42">
        <v>1</v>
      </c>
      <c r="M525" s="42">
        <v>2</v>
      </c>
      <c r="N525" s="42">
        <v>2</v>
      </c>
      <c r="O525" s="42">
        <v>1</v>
      </c>
      <c r="P525" s="43">
        <v>1</v>
      </c>
      <c r="Q525" s="42">
        <v>3</v>
      </c>
      <c r="R525" s="42">
        <v>3</v>
      </c>
      <c r="S525" s="42">
        <v>2</v>
      </c>
      <c r="T525" s="42">
        <v>3</v>
      </c>
      <c r="U525" s="43">
        <v>3</v>
      </c>
      <c r="V525" s="42">
        <v>9</v>
      </c>
      <c r="W525" s="42">
        <v>10</v>
      </c>
      <c r="X525" s="42">
        <v>1</v>
      </c>
      <c r="Y525" s="43">
        <v>1</v>
      </c>
      <c r="Z525" s="42" t="s">
        <v>45</v>
      </c>
      <c r="AA525" s="42" t="s">
        <v>45</v>
      </c>
      <c r="AB525" s="42" t="s">
        <v>45</v>
      </c>
      <c r="AC525" s="42" t="s">
        <v>45</v>
      </c>
      <c r="AD525" s="42" t="s">
        <v>45</v>
      </c>
      <c r="AE525" s="42">
        <v>3</v>
      </c>
      <c r="AF525" s="42">
        <v>1</v>
      </c>
      <c r="AG525" s="43" t="s">
        <v>45</v>
      </c>
      <c r="AH525" s="42">
        <v>5</v>
      </c>
      <c r="AI525" s="42">
        <v>7</v>
      </c>
      <c r="AJ525" s="43">
        <v>7</v>
      </c>
      <c r="AK525" s="45" t="s">
        <v>45</v>
      </c>
      <c r="AL525" s="45" t="s">
        <v>705</v>
      </c>
      <c r="AM525" s="46">
        <f>($L$3*(L525-$Q$1)/$Q$2+$M$3*(M525-$R$1)/$R$2+$N$3*(N525-$S$1)/$S$2+$O$3*(O525-$T$1)/$T$2+$P$3*(P525-$U$1)/$U$2)/(SUM($L$3:$P$3))</f>
        <v>-1.9502219761849671</v>
      </c>
      <c r="AN525" s="46">
        <f>($L$3*(Q525-$Q$1)/$Q$2+$M$3*(R525-$R$1)/$R$2+$N$3*(S525-$S$1)/$S$2+$O$3*(T525-$T$1)/$T$2+$P$3*(U525-$U$1)/$U$2)/(SUM($L$3:$P$3))</f>
        <v>-0.99459864450758517</v>
      </c>
      <c r="AO525" s="47">
        <f>IF(AVERAGE(AH525:AI525)&gt;9,1,0)+IF(AVERAGE(AH525:AI525)&gt;7,1,0)+IF(AH525&gt;7,1,0)+IF(AI525&gt;7,1,0)+IF(AJ525&gt;8,1,0)+IF(AJ525&gt;6,1,0)</f>
        <v>1</v>
      </c>
      <c r="AP525" s="48">
        <f>MIN(2,IF(OR(Z525="-",X525&lt;5),0,1+IF(Y525&gt;7,0.35,IF(Y525&gt;5,0.1,0))+IF(Z525&gt;7,1+IF(X525&gt;7,0.25,0),IF(Z525&gt;4,0.5+IF(X525&gt;7,0.25,0),0+IF(X525&gt;7,0.25))))+IF(AA525="-",0,IF(AA525&gt;9,0.5,IF(AA525&gt;7,0.25,0)))+IF(AB525="-",0,IF(AB525&gt;7,1.1,IF(AB525&gt;4,0.6,0)))+IF(OR(AC525="-",V525&lt;5),0,IF(AC525&gt;7,1+IF(V525&gt;7,0.25,0),IF(AC525&gt;4,0.5+IF(V525&gt;7,0.25,0),0)))+IF(AD525="-",0,IF(AD525&gt;7,1.5,IF(AD525&gt;4,1,0)))+IF(AE525="-",0,IF(AE525&gt;9,0.5,IF(AE525&gt;7,0.25,0)))+IF(AF525="-",0,IF(AF525&gt;7,1.25,IF(AF525&gt;4,0.75,0)))+IF(OR(AG525="-",W525&lt;4),0,IF(AG525&gt;7,1+IF(W525&gt;7,0.15,0),IF(AG525&gt;4,0.5+IF(W525&gt;7,0.15,0),0))))</f>
        <v>0</v>
      </c>
      <c r="AQ525" s="46">
        <f>($AM$3*AM525+$AN$3*AN525+$AO$3*AO525+$AP$3*AP525)+$I$3*VLOOKUP(I525,COND!$A$2:$E$7,4,FALSE)+$J$3*VLOOKUP(J525,COND!$A$2:$C$7,2,FALSE)+$K$3*VLOOKUP(K525,COND!$A$2:$C$7,3,FALSE)+IF(AND($B$2&gt;0,$E525&lt;20),$B$2*25,0)</f>
        <v>32.436460734957144</v>
      </c>
      <c r="AR525" s="49">
        <f>STANDARDIZE(AQ525,AVERAGE($AQ$5:$AQ$537),STDEVP($AQ$5:$AQ$537))</f>
        <v>-1.3920262722192267</v>
      </c>
      <c r="AS525" s="47" t="str">
        <f>IF(AND(Z525&lt;&gt;"-",Y525&gt;1),"C",IF(AB525=MAX(AB525:AD525),"2B",IF(AD525=MAX(AB525:AD525),"SS",IF(OR(AC525=MAX(AA525:AD525),AND(AC525&lt;&gt;"-",AC525&gt;4,V525&gt;5)),"3B",IF(AF525=MAX(AE525:AG525),"CF",IF(AND(AG525=MAX(AE525,AG525),AND(W525&gt;5,AG525&lt;&gt;"-")),"RF",IF(AE525&lt;&gt;"-","LF",IF(AA525&lt;&gt;"-","1B","DH"))))))))</f>
        <v>LF</v>
      </c>
      <c r="AT525" s="47"/>
      <c r="AU525" s="47"/>
      <c r="AV525" s="47"/>
      <c r="AW525" s="47" t="str">
        <f>IF(AND($Q525&gt;=6,AVERAGE($S525:$T525)&gt;=6),"Likely",IF(OR($Q525&gt;6,AND($Q525=6,AVERAGE($S525:$T525)&gt;=3),AND($Q525&gt;=5,AVERAGE($S525:$T525)&gt;=5),AVERAGE($Q525,$S525:$T525)&gt;5),"Possible","Unlikely"))</f>
        <v>Unlikely</v>
      </c>
      <c r="AX525" s="47"/>
      <c r="AY525" s="47" t="str">
        <f>INDEX(Table5[[#All],[Ovr]],MATCH(Batters[[#This Row],[PID]],Table5[[#All],[PID]],0))</f>
        <v/>
      </c>
      <c r="AZ525" s="47" t="str">
        <f>INDEX(Table5[[#All],[Rnd]],MATCH(Batters[[#This Row],[PID]],Table5[[#All],[PID]],0))</f>
        <v/>
      </c>
      <c r="BA525" s="47" t="str">
        <f>INDEX(Table5[[#All],[Pick]],MATCH(Batters[[#This Row],[PID]],Table5[[#All],[PID]],0))</f>
        <v/>
      </c>
      <c r="BB525" s="47" t="str">
        <f>INDEX(Table5[[#All],[Team]],MATCH(Batters[[#This Row],[PID]],Table5[[#All],[PID]],0))</f>
        <v/>
      </c>
    </row>
    <row r="526" spans="1:54" ht="15" customHeight="1" x14ac:dyDescent="0.25">
      <c r="A526" s="42">
        <v>5532</v>
      </c>
      <c r="B526" s="42" t="s">
        <v>71</v>
      </c>
      <c r="C526" s="42" t="s">
        <v>833</v>
      </c>
      <c r="D526" s="42" t="s">
        <v>834</v>
      </c>
      <c r="E526" s="42">
        <v>22</v>
      </c>
      <c r="F526" s="42" t="s">
        <v>42</v>
      </c>
      <c r="G526" s="42" t="s">
        <v>42</v>
      </c>
      <c r="H526" s="43" t="s">
        <v>721</v>
      </c>
      <c r="I526" s="44" t="s">
        <v>43</v>
      </c>
      <c r="J526" s="42" t="s">
        <v>43</v>
      </c>
      <c r="K526" s="43" t="s">
        <v>43</v>
      </c>
      <c r="L526" s="42">
        <v>1</v>
      </c>
      <c r="M526" s="42">
        <v>2</v>
      </c>
      <c r="N526" s="42">
        <v>2</v>
      </c>
      <c r="O526" s="42">
        <v>1</v>
      </c>
      <c r="P526" s="43">
        <v>2</v>
      </c>
      <c r="Q526" s="42">
        <v>2</v>
      </c>
      <c r="R526" s="42">
        <v>3</v>
      </c>
      <c r="S526" s="42">
        <v>3</v>
      </c>
      <c r="T526" s="42">
        <v>3</v>
      </c>
      <c r="U526" s="43">
        <v>4</v>
      </c>
      <c r="V526" s="42">
        <v>5</v>
      </c>
      <c r="W526" s="42">
        <v>3</v>
      </c>
      <c r="X526" s="42">
        <v>1</v>
      </c>
      <c r="Y526" s="43">
        <v>1</v>
      </c>
      <c r="Z526" s="42" t="s">
        <v>45</v>
      </c>
      <c r="AA526" s="42" t="s">
        <v>45</v>
      </c>
      <c r="AB526" s="42">
        <v>3</v>
      </c>
      <c r="AC526" s="42" t="s">
        <v>45</v>
      </c>
      <c r="AD526" s="42" t="s">
        <v>45</v>
      </c>
      <c r="AE526" s="42" t="s">
        <v>45</v>
      </c>
      <c r="AF526" s="42" t="s">
        <v>45</v>
      </c>
      <c r="AG526" s="43" t="s">
        <v>45</v>
      </c>
      <c r="AH526" s="42">
        <v>10</v>
      </c>
      <c r="AI526" s="42">
        <v>8</v>
      </c>
      <c r="AJ526" s="43">
        <v>5</v>
      </c>
      <c r="AK526" s="45" t="s">
        <v>45</v>
      </c>
      <c r="AL526" s="45" t="s">
        <v>47</v>
      </c>
      <c r="AM526" s="46">
        <f>($L$3*(L526-$Q$1)/$Q$2+$M$3*(M526-$R$1)/$R$2+$N$3*(N526-$S$1)/$S$2+$O$3*(O526-$T$1)/$T$2+$P$3*(P526-$U$1)/$U$2)/(SUM($L$3:$P$3))</f>
        <v>-1.9102056363678834</v>
      </c>
      <c r="AN526" s="46">
        <f>($L$3*(Q526-$Q$1)/$Q$2+$M$3*(R526-$R$1)/$R$2+$N$3*(S526-$S$1)/$S$2+$O$3*(T526-$T$1)/$T$2+$P$3*(U526-$U$1)/$U$2)/(SUM($L$3:$P$3))</f>
        <v>-1.1940766468692749</v>
      </c>
      <c r="AO526" s="47">
        <f>IF(AVERAGE(AH526:AI526)&gt;9,1,0)+IF(AVERAGE(AH526:AI526)&gt;7,1,0)+IF(AH526&gt;7,1,0)+IF(AI526&gt;7,1,0)+IF(AJ526&gt;8,1,0)+IF(AJ526&gt;6,1,0)</f>
        <v>3</v>
      </c>
      <c r="AP526" s="48">
        <f>MIN(2,IF(OR(Z526="-",X526&lt;5),0,1+IF(Y526&gt;7,0.35,IF(Y526&gt;5,0.1,0))+IF(Z526&gt;7,1+IF(X526&gt;7,0.25,0),IF(Z526&gt;4,0.5+IF(X526&gt;7,0.25,0),0+IF(X526&gt;7,0.25))))+IF(AA526="-",0,IF(AA526&gt;9,0.5,IF(AA526&gt;7,0.25,0)))+IF(AB526="-",0,IF(AB526&gt;7,1.1,IF(AB526&gt;4,0.6,0)))+IF(OR(AC526="-",V526&lt;5),0,IF(AC526&gt;7,1+IF(V526&gt;7,0.25,0),IF(AC526&gt;4,0.5+IF(V526&gt;7,0.25,0),0)))+IF(AD526="-",0,IF(AD526&gt;7,1.5,IF(AD526&gt;4,1,0)))+IF(AE526="-",0,IF(AE526&gt;9,0.5,IF(AE526&gt;7,0.25,0)))+IF(AF526="-",0,IF(AF526&gt;7,1.25,IF(AF526&gt;4,0.75,0)))+IF(OR(AG526="-",W526&lt;4),0,IF(AG526&gt;7,1+IF(W526&gt;7,0.15,0),IF(AG526&gt;4,0.5+IF(W526&gt;7,0.15,0),0))))</f>
        <v>0</v>
      </c>
      <c r="AQ526" s="46">
        <f>($AM$3*AM526+$AN$3*AN526+$AO$3*AO526+$AP$3*AP526)+$I$3*VLOOKUP(I526,COND!$A$2:$E$7,4,FALSE)+$J$3*VLOOKUP(J526,COND!$A$2:$C$7,2,FALSE)+$K$3*VLOOKUP(K526,COND!$A$2:$C$7,3,FALSE)+IF(AND($B$2&gt;0,$E526&lt;20),$B$2*25,0)</f>
        <v>30.980059673931912</v>
      </c>
      <c r="AR526" s="49">
        <f>STANDARDIZE(AQ526,AVERAGE($AQ$5:$AQ$537),STDEVP($AQ$5:$AQ$537))</f>
        <v>-1.6482703592233252</v>
      </c>
      <c r="AS526" s="47" t="str">
        <f>IF(AND(Z526&lt;&gt;"-",Y526&gt;1),"C",IF(AB526=MAX(AB526:AD526),"2B",IF(AD526=MAX(AB526:AD526),"SS",IF(OR(AC526=MAX(AA526:AD526),AND(AC526&lt;&gt;"-",AC526&gt;4,V526&gt;5)),"3B",IF(AF526=MAX(AE526:AG526),"CF",IF(AND(AG526=MAX(AE526,AG526),AND(W526&gt;5,AG526&lt;&gt;"-")),"RF",IF(AE526&lt;&gt;"-","LF",IF(AA526&lt;&gt;"-","1B","DH"))))))))</f>
        <v>2B</v>
      </c>
      <c r="AT526" s="47"/>
      <c r="AU526" s="47"/>
      <c r="AV526" s="47"/>
      <c r="AW526" s="47" t="str">
        <f>IF(AND($Q526&gt;=6,AVERAGE($S526:$T526)&gt;=6),"Likely",IF(OR($Q526&gt;6,AND($Q526=6,AVERAGE($S526:$T526)&gt;=3),AND($Q526&gt;=5,AVERAGE($S526:$T526)&gt;=5),AVERAGE($Q526,$S526:$T526)&gt;5),"Possible","Unlikely"))</f>
        <v>Unlikely</v>
      </c>
      <c r="AX526" s="47"/>
      <c r="AY526" s="47" t="str">
        <f>INDEX(Table5[[#All],[Ovr]],MATCH(Batters[[#This Row],[PID]],Table5[[#All],[PID]],0))</f>
        <v/>
      </c>
      <c r="AZ526" s="47" t="str">
        <f>INDEX(Table5[[#All],[Rnd]],MATCH(Batters[[#This Row],[PID]],Table5[[#All],[PID]],0))</f>
        <v/>
      </c>
      <c r="BA526" s="47" t="str">
        <f>INDEX(Table5[[#All],[Pick]],MATCH(Batters[[#This Row],[PID]],Table5[[#All],[PID]],0))</f>
        <v/>
      </c>
      <c r="BB526" s="47" t="str">
        <f>INDEX(Table5[[#All],[Team]],MATCH(Batters[[#This Row],[PID]],Table5[[#All],[PID]],0))</f>
        <v/>
      </c>
    </row>
    <row r="527" spans="1:54" ht="15" customHeight="1" x14ac:dyDescent="0.25">
      <c r="A527" s="42">
        <v>13199</v>
      </c>
      <c r="B527" s="42" t="s">
        <v>72</v>
      </c>
      <c r="C527" s="42" t="s">
        <v>771</v>
      </c>
      <c r="D527" s="42" t="s">
        <v>772</v>
      </c>
      <c r="E527" s="42">
        <v>22</v>
      </c>
      <c r="F527" s="42" t="s">
        <v>53</v>
      </c>
      <c r="G527" s="42" t="s">
        <v>42</v>
      </c>
      <c r="H527" s="43" t="s">
        <v>709</v>
      </c>
      <c r="I527" s="44" t="s">
        <v>43</v>
      </c>
      <c r="J527" s="42" t="s">
        <v>44</v>
      </c>
      <c r="K527" s="43" t="s">
        <v>43</v>
      </c>
      <c r="L527" s="42">
        <v>2</v>
      </c>
      <c r="M527" s="42">
        <v>1</v>
      </c>
      <c r="N527" s="42">
        <v>2</v>
      </c>
      <c r="O527" s="42">
        <v>3</v>
      </c>
      <c r="P527" s="43">
        <v>2</v>
      </c>
      <c r="Q527" s="42">
        <v>2</v>
      </c>
      <c r="R527" s="42">
        <v>2</v>
      </c>
      <c r="S527" s="42">
        <v>3</v>
      </c>
      <c r="T527" s="42">
        <v>4</v>
      </c>
      <c r="U527" s="43">
        <v>3</v>
      </c>
      <c r="V527" s="42">
        <v>6</v>
      </c>
      <c r="W527" s="42">
        <v>5</v>
      </c>
      <c r="X527" s="42">
        <v>1</v>
      </c>
      <c r="Y527" s="43">
        <v>1</v>
      </c>
      <c r="Z527" s="42" t="s">
        <v>45</v>
      </c>
      <c r="AA527" s="42" t="s">
        <v>45</v>
      </c>
      <c r="AB527" s="42">
        <v>2</v>
      </c>
      <c r="AC527" s="42" t="s">
        <v>45</v>
      </c>
      <c r="AD527" s="42">
        <v>5</v>
      </c>
      <c r="AE527" s="42" t="s">
        <v>45</v>
      </c>
      <c r="AF527" s="42" t="s">
        <v>45</v>
      </c>
      <c r="AG527" s="43" t="s">
        <v>45</v>
      </c>
      <c r="AH527" s="42">
        <v>8</v>
      </c>
      <c r="AI527" s="42">
        <v>7</v>
      </c>
      <c r="AJ527" s="43">
        <v>4</v>
      </c>
      <c r="AK527" s="45" t="s">
        <v>45</v>
      </c>
      <c r="AL527" s="45" t="s">
        <v>47</v>
      </c>
      <c r="AM527" s="46">
        <f>($L$3*(L527-$Q$1)/$Q$2+$M$3*(M527-$R$1)/$R$2+$N$3*(N527-$S$1)/$S$2+$O$3*(O527-$T$1)/$T$2+$P$3*(P527-$U$1)/$U$2)/(SUM($L$3:$P$3))</f>
        <v>-1.4592905797647502</v>
      </c>
      <c r="AN527" s="46">
        <f>($L$3*(Q527-$Q$1)/$Q$2+$M$3*(R527-$R$1)/$R$2+$N$3*(S527-$S$1)/$S$2+$O$3*(T527-$T$1)/$T$2+$P$3*(U527-$U$1)/$U$2)/(SUM($L$3:$P$3))</f>
        <v>-1.1954433162954807</v>
      </c>
      <c r="AO527" s="47">
        <f>IF(AVERAGE(AH527:AI527)&gt;9,1,0)+IF(AVERAGE(AH527:AI527)&gt;7,1,0)+IF(AH527&gt;7,1,0)+IF(AI527&gt;7,1,0)+IF(AJ527&gt;8,1,0)+IF(AJ527&gt;6,1,0)</f>
        <v>2</v>
      </c>
      <c r="AP527" s="48">
        <f>MIN(2,IF(OR(Z527="-",X527&lt;5),0,1+IF(Y527&gt;7,0.35,IF(Y527&gt;5,0.1,0))+IF(Z527&gt;7,1+IF(X527&gt;7,0.25,0),IF(Z527&gt;4,0.5+IF(X527&gt;7,0.25,0),0+IF(X527&gt;7,0.25))))+IF(AA527="-",0,IF(AA527&gt;9,0.5,IF(AA527&gt;7,0.25,0)))+IF(AB527="-",0,IF(AB527&gt;7,1.1,IF(AB527&gt;4,0.6,0)))+IF(OR(AC527="-",V527&lt;5),0,IF(AC527&gt;7,1+IF(V527&gt;7,0.25,0),IF(AC527&gt;4,0.5+IF(V527&gt;7,0.25,0),0)))+IF(AD527="-",0,IF(AD527&gt;7,1.5,IF(AD527&gt;4,1,0)))+IF(AE527="-",0,IF(AE527&gt;9,0.5,IF(AE527&gt;7,0.25,0)))+IF(AF527="-",0,IF(AF527&gt;7,1.25,IF(AF527&gt;4,0.75,0)))+IF(OR(AG527="-",W527&lt;4),0,IF(AG527&gt;7,1+IF(W527&gt;7,0.15,0),IF(AG527&gt;4,0.5+IF(W527&gt;7,0.15,0),0))))</f>
        <v>1</v>
      </c>
      <c r="AQ527" s="46">
        <f>($AM$3*AM527+$AN$3*AN527+$AO$3*AO527+$AP$3*AP527)+$I$3*VLOOKUP(I527,COND!$A$2:$E$7,4,FALSE)+$J$3*VLOOKUP(J527,COND!$A$2:$C$7,2,FALSE)+$K$3*VLOOKUP(K527,COND!$A$2:$C$7,3,FALSE)+IF(AND($B$2&gt;0,$E527&lt;20),$B$2*25,0)</f>
        <v>31.542084479811088</v>
      </c>
      <c r="AR527" s="49">
        <f>STANDARDIZE(AQ527,AVERAGE($AQ$5:$AQ$537),STDEVP($AQ$5:$AQ$537))</f>
        <v>-1.54938583001625</v>
      </c>
      <c r="AS527" s="47" t="str">
        <f>IF(AND(Z527&lt;&gt;"-",Y527&gt;1),"C",IF(AB527=MAX(AB527:AD527),"2B",IF(AD527=MAX(AB527:AD527),"SS",IF(OR(AC527=MAX(AA527:AD527),AND(AC527&lt;&gt;"-",AC527&gt;4,V527&gt;5)),"3B",IF(AF527=MAX(AE527:AG527),"CF",IF(AND(AG527=MAX(AE527,AG527),AND(W527&gt;5,AG527&lt;&gt;"-")),"RF",IF(AE527&lt;&gt;"-","LF",IF(AA527&lt;&gt;"-","1B","DH"))))))))</f>
        <v>SS</v>
      </c>
      <c r="AT527" s="47"/>
      <c r="AU527" s="47"/>
      <c r="AV527" s="47"/>
      <c r="AW527" s="47" t="str">
        <f>IF(AND($Q527&gt;=6,AVERAGE($S527:$T527)&gt;=6),"Likely",IF(OR($Q527&gt;6,AND($Q527=6,AVERAGE($S527:$T527)&gt;=3),AND($Q527&gt;=5,AVERAGE($S527:$T527)&gt;=5),AVERAGE($Q527,$S527:$T527)&gt;5),"Possible","Unlikely"))</f>
        <v>Unlikely</v>
      </c>
      <c r="AX527" s="47"/>
      <c r="AY527" s="47" t="str">
        <f>INDEX(Table5[[#All],[Ovr]],MATCH(Batters[[#This Row],[PID]],Table5[[#All],[PID]],0))</f>
        <v/>
      </c>
      <c r="AZ527" s="47" t="str">
        <f>INDEX(Table5[[#All],[Rnd]],MATCH(Batters[[#This Row],[PID]],Table5[[#All],[PID]],0))</f>
        <v/>
      </c>
      <c r="BA527" s="47" t="str">
        <f>INDEX(Table5[[#All],[Pick]],MATCH(Batters[[#This Row],[PID]],Table5[[#All],[PID]],0))</f>
        <v/>
      </c>
      <c r="BB527" s="47" t="str">
        <f>INDEX(Table5[[#All],[Team]],MATCH(Batters[[#This Row],[PID]],Table5[[#All],[PID]],0))</f>
        <v/>
      </c>
    </row>
    <row r="528" spans="1:54" ht="15" customHeight="1" x14ac:dyDescent="0.25">
      <c r="A528" s="42">
        <v>9865</v>
      </c>
      <c r="B528" s="42" t="s">
        <v>71</v>
      </c>
      <c r="C528" s="42" t="s">
        <v>1330</v>
      </c>
      <c r="D528" s="42" t="s">
        <v>1331</v>
      </c>
      <c r="E528" s="42">
        <v>21</v>
      </c>
      <c r="F528" s="42" t="s">
        <v>42</v>
      </c>
      <c r="G528" s="42" t="s">
        <v>42</v>
      </c>
      <c r="H528" s="43" t="s">
        <v>721</v>
      </c>
      <c r="I528" s="44" t="s">
        <v>43</v>
      </c>
      <c r="J528" s="42" t="s">
        <v>43</v>
      </c>
      <c r="K528" s="43" t="s">
        <v>43</v>
      </c>
      <c r="L528" s="42">
        <v>1</v>
      </c>
      <c r="M528" s="42">
        <v>2</v>
      </c>
      <c r="N528" s="42">
        <v>3</v>
      </c>
      <c r="O528" s="42">
        <v>1</v>
      </c>
      <c r="P528" s="43">
        <v>1</v>
      </c>
      <c r="Q528" s="42">
        <v>2</v>
      </c>
      <c r="R528" s="42">
        <v>3</v>
      </c>
      <c r="S528" s="42">
        <v>3</v>
      </c>
      <c r="T528" s="42">
        <v>4</v>
      </c>
      <c r="U528" s="43">
        <v>2</v>
      </c>
      <c r="V528" s="42">
        <v>8</v>
      </c>
      <c r="W528" s="42">
        <v>7</v>
      </c>
      <c r="X528" s="42">
        <v>1</v>
      </c>
      <c r="Y528" s="43">
        <v>1</v>
      </c>
      <c r="Z528" s="42" t="s">
        <v>45</v>
      </c>
      <c r="AA528" s="42" t="s">
        <v>45</v>
      </c>
      <c r="AB528" s="42">
        <v>2</v>
      </c>
      <c r="AC528" s="42" t="s">
        <v>45</v>
      </c>
      <c r="AD528" s="42">
        <v>1</v>
      </c>
      <c r="AE528" s="42" t="s">
        <v>45</v>
      </c>
      <c r="AF528" s="42" t="s">
        <v>45</v>
      </c>
      <c r="AG528" s="43" t="s">
        <v>45</v>
      </c>
      <c r="AH528" s="42">
        <v>4</v>
      </c>
      <c r="AI528" s="42">
        <v>6</v>
      </c>
      <c r="AJ528" s="43">
        <v>8</v>
      </c>
      <c r="AK528" s="45" t="s">
        <v>45</v>
      </c>
      <c r="AL528" s="45" t="s">
        <v>47</v>
      </c>
      <c r="AM528" s="46">
        <f>($L$3*(L528-$Q$1)/$Q$2+$M$3*(M528-$R$1)/$R$2+$N$3*(N528-$S$1)/$S$2+$O$3*(O528-$T$1)/$T$2+$P$3*(P528-$U$1)/$U$2)/(SUM($L$3:$P$3))</f>
        <v>-1.8671604821610654</v>
      </c>
      <c r="AN528" s="46">
        <f>($L$3*(Q528-$Q$1)/$Q$2+$M$3*(R528-$R$1)/$R$2+$N$3*(S528-$S$1)/$S$2+$O$3*(T528-$T$1)/$T$2+$P$3*(U528-$U$1)/$U$2)/(SUM($L$3:$P$3))</f>
        <v>-1.1843997764938607</v>
      </c>
      <c r="AO528" s="47">
        <f>IF(AVERAGE(AH528:AI528)&gt;9,1,0)+IF(AVERAGE(AH528:AI528)&gt;7,1,0)+IF(AH528&gt;7,1,0)+IF(AI528&gt;7,1,0)+IF(AJ528&gt;8,1,0)+IF(AJ528&gt;6,1,0)</f>
        <v>1</v>
      </c>
      <c r="AP528" s="48">
        <f>MIN(2,IF(OR(Z528="-",X528&lt;5),0,1+IF(Y528&gt;7,0.35,IF(Y528&gt;5,0.1,0))+IF(Z528&gt;7,1+IF(X528&gt;7,0.25,0),IF(Z528&gt;4,0.5+IF(X528&gt;7,0.25,0),0+IF(X528&gt;7,0.25))))+IF(AA528="-",0,IF(AA528&gt;9,0.5,IF(AA528&gt;7,0.25,0)))+IF(AB528="-",0,IF(AB528&gt;7,1.1,IF(AB528&gt;4,0.6,0)))+IF(OR(AC528="-",V528&lt;5),0,IF(AC528&gt;7,1+IF(V528&gt;7,0.25,0),IF(AC528&gt;4,0.5+IF(V528&gt;7,0.25,0),0)))+IF(AD528="-",0,IF(AD528&gt;7,1.5,IF(AD528&gt;4,1,0)))+IF(AE528="-",0,IF(AE528&gt;9,0.5,IF(AE528&gt;7,0.25,0)))+IF(AF528="-",0,IF(AF528&gt;7,1.25,IF(AF528&gt;4,0.75,0)))+IF(OR(AG528="-",W528&lt;4),0,IF(AG528&gt;7,1+IF(W528&gt;7,0.15,0),IF(AG528&gt;4,0.5+IF(W528&gt;7,0.15,0),0))))</f>
        <v>0</v>
      </c>
      <c r="AQ528" s="46">
        <f>($AM$3*AM528+$AN$3*AN528+$AO$3*AO528+$AP$3*AP528)+$I$3*VLOOKUP(I528,COND!$A$2:$E$7,4,FALSE)+$J$3*VLOOKUP(J528,COND!$A$2:$C$7,2,FALSE)+$K$3*VLOOKUP(K528,COND!$A$2:$C$7,3,FALSE)+IF(AND($B$2&gt;0,$E528&lt;20),$B$2*25,0)</f>
        <v>30.767153300524228</v>
      </c>
      <c r="AR528" s="49">
        <f>STANDARDIZE(AQ528,AVERAGE($AQ$5:$AQ$537),STDEVP($AQ$5:$AQ$537))</f>
        <v>-1.6857298205840585</v>
      </c>
      <c r="AS528" s="47" t="str">
        <f>IF(AND(Z528&lt;&gt;"-",Y528&gt;1),"C",IF(AB528=MAX(AB528:AD528),"2B",IF(AD528=MAX(AB528:AD528),"SS",IF(OR(AC528=MAX(AA528:AD528),AND(AC528&lt;&gt;"-",AC528&gt;4,V528&gt;5)),"3B",IF(AF528=MAX(AE528:AG528),"CF",IF(AND(AG528=MAX(AE528,AG528),AND(W528&gt;5,AG528&lt;&gt;"-")),"RF",IF(AE528&lt;&gt;"-","LF",IF(AA528&lt;&gt;"-","1B","DH"))))))))</f>
        <v>2B</v>
      </c>
      <c r="AT528" s="47"/>
      <c r="AU528" s="47"/>
      <c r="AV528" s="47"/>
      <c r="AW528" s="47" t="str">
        <f>IF(AND($Q528&gt;=6,AVERAGE($S528:$T528)&gt;=6),"Likely",IF(OR($Q528&gt;6,AND($Q528=6,AVERAGE($S528:$T528)&gt;=3),AND($Q528&gt;=5,AVERAGE($S528:$T528)&gt;=5),AVERAGE($Q528,$S528:$T528)&gt;5),"Possible","Unlikely"))</f>
        <v>Unlikely</v>
      </c>
      <c r="AX528" s="47"/>
      <c r="AY528" s="47" t="str">
        <f>INDEX(Table5[[#All],[Ovr]],MATCH(Batters[[#This Row],[PID]],Table5[[#All],[PID]],0))</f>
        <v/>
      </c>
      <c r="AZ528" s="47" t="str">
        <f>INDEX(Table5[[#All],[Rnd]],MATCH(Batters[[#This Row],[PID]],Table5[[#All],[PID]],0))</f>
        <v/>
      </c>
      <c r="BA528" s="47" t="str">
        <f>INDEX(Table5[[#All],[Pick]],MATCH(Batters[[#This Row],[PID]],Table5[[#All],[PID]],0))</f>
        <v/>
      </c>
      <c r="BB528" s="47" t="str">
        <f>INDEX(Table5[[#All],[Team]],MATCH(Batters[[#This Row],[PID]],Table5[[#All],[PID]],0))</f>
        <v/>
      </c>
    </row>
    <row r="529" spans="1:54" ht="15" customHeight="1" x14ac:dyDescent="0.25">
      <c r="A529" s="42">
        <v>18051</v>
      </c>
      <c r="B529" s="42" t="s">
        <v>86</v>
      </c>
      <c r="C529" s="42" t="s">
        <v>320</v>
      </c>
      <c r="D529" s="42" t="s">
        <v>424</v>
      </c>
      <c r="E529" s="42">
        <v>21</v>
      </c>
      <c r="F529" s="42" t="s">
        <v>53</v>
      </c>
      <c r="G529" s="42" t="s">
        <v>42</v>
      </c>
      <c r="H529" s="43" t="s">
        <v>711</v>
      </c>
      <c r="I529" s="44" t="s">
        <v>43</v>
      </c>
      <c r="J529" s="42" t="s">
        <v>44</v>
      </c>
      <c r="K529" s="43" t="s">
        <v>43</v>
      </c>
      <c r="L529" s="42">
        <v>1</v>
      </c>
      <c r="M529" s="42">
        <v>2</v>
      </c>
      <c r="N529" s="42">
        <v>3</v>
      </c>
      <c r="O529" s="42">
        <v>2</v>
      </c>
      <c r="P529" s="43">
        <v>1</v>
      </c>
      <c r="Q529" s="42">
        <v>2</v>
      </c>
      <c r="R529" s="42">
        <v>3</v>
      </c>
      <c r="S529" s="42">
        <v>3</v>
      </c>
      <c r="T529" s="42">
        <v>4</v>
      </c>
      <c r="U529" s="43">
        <v>2</v>
      </c>
      <c r="V529" s="42">
        <v>6</v>
      </c>
      <c r="W529" s="42">
        <v>6</v>
      </c>
      <c r="X529" s="42">
        <v>7</v>
      </c>
      <c r="Y529" s="43">
        <v>7</v>
      </c>
      <c r="Z529" s="42">
        <v>3</v>
      </c>
      <c r="AA529" s="42" t="s">
        <v>45</v>
      </c>
      <c r="AB529" s="42" t="s">
        <v>45</v>
      </c>
      <c r="AC529" s="42" t="s">
        <v>45</v>
      </c>
      <c r="AD529" s="42" t="s">
        <v>45</v>
      </c>
      <c r="AE529" s="42" t="s">
        <v>45</v>
      </c>
      <c r="AF529" s="42" t="s">
        <v>45</v>
      </c>
      <c r="AG529" s="43" t="s">
        <v>45</v>
      </c>
      <c r="AH529" s="42">
        <v>1</v>
      </c>
      <c r="AI529" s="42">
        <v>4</v>
      </c>
      <c r="AJ529" s="43">
        <v>5</v>
      </c>
      <c r="AK529" s="45" t="s">
        <v>45</v>
      </c>
      <c r="AL529" s="45" t="s">
        <v>47</v>
      </c>
      <c r="AM529" s="46">
        <f>($L$3*(L529-$Q$1)/$Q$2+$M$3*(M529-$R$1)/$R$2+$N$3*(N529-$S$1)/$S$2+$O$3*(O529-$T$1)/$T$2+$P$3*(P529-$U$1)/$U$2)/(SUM($L$3:$P$3))</f>
        <v>-1.7774509321514844</v>
      </c>
      <c r="AN529" s="46">
        <f>($L$3*(Q529-$Q$1)/$Q$2+$M$3*(R529-$R$1)/$R$2+$N$3*(S529-$S$1)/$S$2+$O$3*(T529-$T$1)/$T$2+$P$3*(U529-$U$1)/$U$2)/(SUM($L$3:$P$3))</f>
        <v>-1.1843997764938607</v>
      </c>
      <c r="AO529" s="47">
        <f>IF(AVERAGE(AH529:AI529)&gt;9,1,0)+IF(AVERAGE(AH529:AI529)&gt;7,1,0)+IF(AH529&gt;7,1,0)+IF(AI529&gt;7,1,0)+IF(AJ529&gt;8,1,0)+IF(AJ529&gt;6,1,0)</f>
        <v>0</v>
      </c>
      <c r="AP529" s="48">
        <f>MIN(2,IF(OR(Z529="-",X529&lt;5),0,1+IF(Y529&gt;7,0.35,IF(Y529&gt;5,0.1,0))+IF(Z529&gt;7,1+IF(X529&gt;7,0.25,0),IF(Z529&gt;4,0.5+IF(X529&gt;7,0.25,0),0+IF(X529&gt;7,0.25))))+IF(AA529="-",0,IF(AA529&gt;9,0.5,IF(AA529&gt;7,0.25,0)))+IF(AB529="-",0,IF(AB529&gt;7,1.1,IF(AB529&gt;4,0.6,0)))+IF(OR(AC529="-",V529&lt;5),0,IF(AC529&gt;7,1+IF(V529&gt;7,0.25,0),IF(AC529&gt;4,0.5+IF(V529&gt;7,0.25,0),0)))+IF(AD529="-",0,IF(AD529&gt;7,1.5,IF(AD529&gt;4,1,0)))+IF(AE529="-",0,IF(AE529&gt;9,0.5,IF(AE529&gt;7,0.25,0)))+IF(AF529="-",0,IF(AF529&gt;7,1.25,IF(AF529&gt;4,0.75,0)))+IF(OR(AG529="-",W529&lt;4),0,IF(AG529&gt;7,1+IF(W529&gt;7,0.15,0),IF(AG529&gt;4,0.5+IF(W529&gt;7,0.15,0),0))))</f>
        <v>1.1000000000000001</v>
      </c>
      <c r="AQ529" s="46">
        <f>($AM$3*AM529+$AN$3*AN529+$AO$3*AO529+$AP$3*AP529)+$I$3*VLOOKUP(I529,COND!$A$2:$E$7,4,FALSE)+$J$3*VLOOKUP(J529,COND!$A$2:$C$7,2,FALSE)+$K$3*VLOOKUP(K529,COND!$A$2:$C$7,3,FALSE)+IF(AND($B$2&gt;0,$E529&lt;20),$B$2*25,0)</f>
        <v>31.409457588858523</v>
      </c>
      <c r="AR529" s="49">
        <f>STANDARDIZE(AQ529,AVERAGE($AQ$5:$AQ$537),STDEVP($AQ$5:$AQ$537))</f>
        <v>-1.5727206500008004</v>
      </c>
      <c r="AS529" s="47" t="str">
        <f>IF(AND(Z529&lt;&gt;"-",Y529&gt;1),"C",IF(AB529=MAX(AB529:AD529),"2B",IF(AD529=MAX(AB529:AD529),"SS",IF(OR(AC529=MAX(AA529:AD529),AND(AC529&lt;&gt;"-",AC529&gt;4,V529&gt;5)),"3B",IF(AF529=MAX(AE529:AG529),"CF",IF(AND(AG529=MAX(AE529,AG529),AND(W529&gt;5,AG529&lt;&gt;"-")),"RF",IF(AE529&lt;&gt;"-","LF",IF(AA529&lt;&gt;"-","1B","DH"))))))))</f>
        <v>C</v>
      </c>
      <c r="AT529" s="47"/>
      <c r="AU529" s="47"/>
      <c r="AV529" s="47"/>
      <c r="AW529" s="47" t="str">
        <f>IF(AND($Q529&gt;=6,AVERAGE($S529:$T529)&gt;=6),"Likely",IF(OR($Q529&gt;6,AND($Q529=6,AVERAGE($S529:$T529)&gt;=3),AND($Q529&gt;=5,AVERAGE($S529:$T529)&gt;=5),AVERAGE($Q529,$S529:$T529)&gt;5),"Possible","Unlikely"))</f>
        <v>Unlikely</v>
      </c>
      <c r="AX529" s="47"/>
      <c r="AY529" s="47" t="str">
        <f>INDEX(Table5[[#All],[Ovr]],MATCH(Batters[[#This Row],[PID]],Table5[[#All],[PID]],0))</f>
        <v/>
      </c>
      <c r="AZ529" s="47" t="str">
        <f>INDEX(Table5[[#All],[Rnd]],MATCH(Batters[[#This Row],[PID]],Table5[[#All],[PID]],0))</f>
        <v/>
      </c>
      <c r="BA529" s="47" t="str">
        <f>INDEX(Table5[[#All],[Pick]],MATCH(Batters[[#This Row],[PID]],Table5[[#All],[PID]],0))</f>
        <v/>
      </c>
      <c r="BB529" s="47" t="str">
        <f>INDEX(Table5[[#All],[Team]],MATCH(Batters[[#This Row],[PID]],Table5[[#All],[PID]],0))</f>
        <v/>
      </c>
    </row>
    <row r="530" spans="1:54" ht="15" customHeight="1" x14ac:dyDescent="0.25">
      <c r="A530" s="42">
        <v>17810</v>
      </c>
      <c r="B530" s="42" t="s">
        <v>50</v>
      </c>
      <c r="C530" s="42" t="s">
        <v>895</v>
      </c>
      <c r="D530" s="42" t="s">
        <v>886</v>
      </c>
      <c r="E530" s="42">
        <v>21</v>
      </c>
      <c r="F530" s="42" t="s">
        <v>42</v>
      </c>
      <c r="G530" s="42" t="s">
        <v>42</v>
      </c>
      <c r="H530" s="43" t="s">
        <v>721</v>
      </c>
      <c r="I530" s="44" t="s">
        <v>43</v>
      </c>
      <c r="J530" s="42" t="s">
        <v>44</v>
      </c>
      <c r="K530" s="43" t="s">
        <v>43</v>
      </c>
      <c r="L530" s="42">
        <v>2</v>
      </c>
      <c r="M530" s="42">
        <v>2</v>
      </c>
      <c r="N530" s="42">
        <v>2</v>
      </c>
      <c r="O530" s="42">
        <v>1</v>
      </c>
      <c r="P530" s="43">
        <v>3</v>
      </c>
      <c r="Q530" s="42">
        <v>3</v>
      </c>
      <c r="R530" s="42">
        <v>2</v>
      </c>
      <c r="S530" s="42">
        <v>2</v>
      </c>
      <c r="T530" s="42">
        <v>2</v>
      </c>
      <c r="U530" s="43">
        <v>4</v>
      </c>
      <c r="V530" s="42">
        <v>5</v>
      </c>
      <c r="W530" s="42">
        <v>2</v>
      </c>
      <c r="X530" s="42">
        <v>1</v>
      </c>
      <c r="Y530" s="43">
        <v>1</v>
      </c>
      <c r="Z530" s="42" t="s">
        <v>45</v>
      </c>
      <c r="AA530" s="42" t="s">
        <v>45</v>
      </c>
      <c r="AB530" s="42" t="s">
        <v>45</v>
      </c>
      <c r="AC530" s="42" t="s">
        <v>45</v>
      </c>
      <c r="AD530" s="42" t="s">
        <v>45</v>
      </c>
      <c r="AE530" s="42" t="s">
        <v>45</v>
      </c>
      <c r="AF530" s="42" t="s">
        <v>45</v>
      </c>
      <c r="AG530" s="43" t="s">
        <v>45</v>
      </c>
      <c r="AH530" s="42">
        <v>1</v>
      </c>
      <c r="AI530" s="42">
        <v>1</v>
      </c>
      <c r="AJ530" s="43">
        <v>1</v>
      </c>
      <c r="AK530" s="45" t="s">
        <v>45</v>
      </c>
      <c r="AL530" s="45" t="s">
        <v>705</v>
      </c>
      <c r="AM530" s="46">
        <f>($L$3*(L530-$Q$1)/$Q$2+$M$3*(M530-$R$1)/$R$2+$N$3*(N530-$S$1)/$S$2+$O$3*(O530-$T$1)/$T$2+$P$3*(P530-$U$1)/$U$2)/(SUM($L$3:$P$3))</f>
        <v>-1.5476334603481254</v>
      </c>
      <c r="AN530" s="46">
        <f>($L$3*(Q530-$Q$1)/$Q$2+$M$3*(R530-$R$1)/$R$2+$N$3*(S530-$S$1)/$S$2+$O$3*(T530-$T$1)/$T$2+$P$3*(U530-$U$1)/$U$2)/(SUM($L$3:$P$3))</f>
        <v>-1.0953517343187862</v>
      </c>
      <c r="AO530" s="47">
        <f>IF(AVERAGE(AH530:AI530)&gt;9,1,0)+IF(AVERAGE(AH530:AI530)&gt;7,1,0)+IF(AH530&gt;7,1,0)+IF(AI530&gt;7,1,0)+IF(AJ530&gt;8,1,0)+IF(AJ530&gt;6,1,0)</f>
        <v>0</v>
      </c>
      <c r="AP530" s="48">
        <f>MIN(2,IF(OR(Z530="-",X530&lt;5),0,1+IF(Y530&gt;7,0.35,IF(Y530&gt;5,0.1,0))+IF(Z530&gt;7,1+IF(X530&gt;7,0.25,0),IF(Z530&gt;4,0.5+IF(X530&gt;7,0.25,0),0+IF(X530&gt;7,0.25))))+IF(AA530="-",0,IF(AA530&gt;9,0.5,IF(AA530&gt;7,0.25,0)))+IF(AB530="-",0,IF(AB530&gt;7,1.1,IF(AB530&gt;4,0.6,0)))+IF(OR(AC530="-",V530&lt;5),0,IF(AC530&gt;7,1+IF(V530&gt;7,0.25,0),IF(AC530&gt;4,0.5+IF(V530&gt;7,0.25,0),0)))+IF(AD530="-",0,IF(AD530&gt;7,1.5,IF(AD530&gt;4,1,0)))+IF(AE530="-",0,IF(AE530&gt;9,0.5,IF(AE530&gt;7,0.25,0)))+IF(AF530="-",0,IF(AF530&gt;7,1.25,IF(AF530&gt;4,0.75,0)))+IF(OR(AG530="-",W530&lt;4),0,IF(AG530&gt;7,1+IF(W530&gt;7,0.15,0),IF(AG530&gt;4,0.5+IF(W530&gt;7,0.15,0),0))))</f>
        <v>0</v>
      </c>
      <c r="AQ530" s="46">
        <f>($AM$3*AM530+$AN$3*AN530+$AO$3*AO530+$AP$3*AP530)+$I$3*VLOOKUP(I530,COND!$A$2:$E$7,4,FALSE)+$J$3*VLOOKUP(J530,COND!$A$2:$C$7,2,FALSE)+$K$3*VLOOKUP(K530,COND!$A$2:$C$7,3,FALSE)+IF(AND($B$2&gt;0,$E530&lt;20),$B$2*25,0)</f>
        <v>31.401015842139753</v>
      </c>
      <c r="AR530" s="49">
        <f>STANDARDIZE(AQ530,AVERAGE($AQ$5:$AQ$537),STDEVP($AQ$5:$AQ$537))</f>
        <v>-1.5742059192295583</v>
      </c>
      <c r="AS530" s="47" t="str">
        <f>IF(AND(Z530&lt;&gt;"-",Y530&gt;1),"C",IF(AB530=MAX(AB530:AD530),"2B",IF(AD530=MAX(AB530:AD530),"SS",IF(OR(AC530=MAX(AA530:AD530),AND(AC530&lt;&gt;"-",AC530&gt;4,V530&gt;5)),"3B",IF(AF530=MAX(AE530:AG530),"CF",IF(AND(AG530=MAX(AE530,AG530),AND(W530&gt;5,AG530&lt;&gt;"-")),"RF",IF(AE530&lt;&gt;"-","LF",IF(AA530&lt;&gt;"-","1B","DH"))))))))</f>
        <v>DH</v>
      </c>
      <c r="AT530" s="47"/>
      <c r="AU530" s="47"/>
      <c r="AV530" s="47"/>
      <c r="AW530" s="47" t="str">
        <f>IF(AND($Q530&gt;=6,AVERAGE($S530:$T530)&gt;=6),"Likely",IF(OR($Q530&gt;6,AND($Q530=6,AVERAGE($S530:$T530)&gt;=3),AND($Q530&gt;=5,AVERAGE($S530:$T530)&gt;=5),AVERAGE($Q530,$S530:$T530)&gt;5),"Possible","Unlikely"))</f>
        <v>Unlikely</v>
      </c>
      <c r="AX530" s="47"/>
      <c r="AY530" s="47" t="str">
        <f>INDEX(Table5[[#All],[Ovr]],MATCH(Batters[[#This Row],[PID]],Table5[[#All],[PID]],0))</f>
        <v/>
      </c>
      <c r="AZ530" s="47" t="str">
        <f>INDEX(Table5[[#All],[Rnd]],MATCH(Batters[[#This Row],[PID]],Table5[[#All],[PID]],0))</f>
        <v/>
      </c>
      <c r="BA530" s="47" t="str">
        <f>INDEX(Table5[[#All],[Pick]],MATCH(Batters[[#This Row],[PID]],Table5[[#All],[PID]],0))</f>
        <v/>
      </c>
      <c r="BB530" s="47" t="str">
        <f>INDEX(Table5[[#All],[Team]],MATCH(Batters[[#This Row],[PID]],Table5[[#All],[PID]],0))</f>
        <v/>
      </c>
    </row>
    <row r="531" spans="1:54" ht="15" customHeight="1" x14ac:dyDescent="0.25">
      <c r="A531" s="42">
        <v>5453</v>
      </c>
      <c r="B531" s="42" t="s">
        <v>87</v>
      </c>
      <c r="C531" s="42" t="s">
        <v>412</v>
      </c>
      <c r="D531" s="42" t="s">
        <v>1366</v>
      </c>
      <c r="E531" s="42">
        <v>21</v>
      </c>
      <c r="F531" s="42" t="s">
        <v>53</v>
      </c>
      <c r="G531" s="42" t="s">
        <v>42</v>
      </c>
      <c r="H531" s="43" t="s">
        <v>721</v>
      </c>
      <c r="I531" s="44" t="s">
        <v>43</v>
      </c>
      <c r="J531" s="42" t="s">
        <v>44</v>
      </c>
      <c r="K531" s="43" t="s">
        <v>43</v>
      </c>
      <c r="L531" s="42">
        <v>1</v>
      </c>
      <c r="M531" s="42">
        <v>2</v>
      </c>
      <c r="N531" s="42">
        <v>3</v>
      </c>
      <c r="O531" s="42">
        <v>3</v>
      </c>
      <c r="P531" s="43">
        <v>1</v>
      </c>
      <c r="Q531" s="42">
        <v>2</v>
      </c>
      <c r="R531" s="42">
        <v>3</v>
      </c>
      <c r="S531" s="42">
        <v>3</v>
      </c>
      <c r="T531" s="42">
        <v>5</v>
      </c>
      <c r="U531" s="43">
        <v>2</v>
      </c>
      <c r="V531" s="42">
        <v>4</v>
      </c>
      <c r="W531" s="42">
        <v>4</v>
      </c>
      <c r="X531" s="42">
        <v>4</v>
      </c>
      <c r="Y531" s="43">
        <v>6</v>
      </c>
      <c r="Z531" s="42" t="s">
        <v>45</v>
      </c>
      <c r="AA531" s="42">
        <v>1</v>
      </c>
      <c r="AB531" s="42" t="s">
        <v>45</v>
      </c>
      <c r="AC531" s="42" t="s">
        <v>45</v>
      </c>
      <c r="AD531" s="42" t="s">
        <v>45</v>
      </c>
      <c r="AE531" s="42" t="s">
        <v>45</v>
      </c>
      <c r="AF531" s="42" t="s">
        <v>45</v>
      </c>
      <c r="AG531" s="43" t="s">
        <v>45</v>
      </c>
      <c r="AH531" s="42">
        <v>1</v>
      </c>
      <c r="AI531" s="42">
        <v>1</v>
      </c>
      <c r="AJ531" s="43">
        <v>3</v>
      </c>
      <c r="AK531" s="45" t="s">
        <v>45</v>
      </c>
      <c r="AL531" s="45" t="s">
        <v>705</v>
      </c>
      <c r="AM531" s="46">
        <f>($L$3*(L531-$Q$1)/$Q$2+$M$3*(M531-$R$1)/$R$2+$N$3*(N531-$S$1)/$S$2+$O$3*(O531-$T$1)/$T$2+$P$3*(P531-$U$1)/$U$2)/(SUM($L$3:$P$3))</f>
        <v>-1.6877413821419032</v>
      </c>
      <c r="AN531" s="46">
        <f>($L$3*(Q531-$Q$1)/$Q$2+$M$3*(R531-$R$1)/$R$2+$N$3*(S531-$S$1)/$S$2+$O$3*(T531-$T$1)/$T$2+$P$3*(U531-$U$1)/$U$2)/(SUM($L$3:$P$3))</f>
        <v>-1.0946902264842799</v>
      </c>
      <c r="AO531" s="47">
        <f>IF(AVERAGE(AH531:AI531)&gt;9,1,0)+IF(AVERAGE(AH531:AI531)&gt;7,1,0)+IF(AH531&gt;7,1,0)+IF(AI531&gt;7,1,0)+IF(AJ531&gt;8,1,0)+IF(AJ531&gt;6,1,0)</f>
        <v>0</v>
      </c>
      <c r="AP531" s="48">
        <f>MIN(2,IF(OR(Z531="-",X531&lt;5),0,1+IF(Y531&gt;7,0.35,IF(Y531&gt;5,0.1,0))+IF(Z531&gt;7,1+IF(X531&gt;7,0.25,0),IF(Z531&gt;4,0.5+IF(X531&gt;7,0.25,0),0+IF(X531&gt;7,0.25))))+IF(AA531="-",0,IF(AA531&gt;9,0.5,IF(AA531&gt;7,0.25,0)))+IF(AB531="-",0,IF(AB531&gt;7,1.1,IF(AB531&gt;4,0.6,0)))+IF(OR(AC531="-",V531&lt;5),0,IF(AC531&gt;7,1+IF(V531&gt;7,0.25,0),IF(AC531&gt;4,0.5+IF(V531&gt;7,0.25,0),0)))+IF(AD531="-",0,IF(AD531&gt;7,1.5,IF(AD531&gt;4,1,0)))+IF(AE531="-",0,IF(AE531&gt;9,0.5,IF(AE531&gt;7,0.25,0)))+IF(AF531="-",0,IF(AF531&gt;7,1.25,IF(AF531&gt;4,0.75,0)))+IF(OR(AG531="-",W531&lt;4),0,IF(AG531&gt;7,1+IF(W531&gt;7,0.15,0),IF(AG531&gt;4,0.5+IF(W531&gt;7,0.15,0),0))))</f>
        <v>0</v>
      </c>
      <c r="AQ531" s="46">
        <f>($AM$3*AM531+$AN$3*AN531+$AO$3*AO531+$AP$3*AP531)+$I$3*VLOOKUP(I531,COND!$A$2:$E$7,4,FALSE)+$J$3*VLOOKUP(J531,COND!$A$2:$C$7,2,FALSE)+$K$3*VLOOKUP(K531,COND!$A$2:$C$7,3,FALSE)+IF(AND($B$2&gt;0,$E531&lt;20),$B$2*25,0)</f>
        <v>31.394943143974452</v>
      </c>
      <c r="AR531" s="49">
        <f>STANDARDIZE(AQ531,AVERAGE($AQ$5:$AQ$537),STDEVP($AQ$5:$AQ$537))</f>
        <v>-1.5752743701107486</v>
      </c>
      <c r="AS531" s="47" t="str">
        <f>IF(AND(Z531&lt;&gt;"-",Y531&gt;1),"C",IF(AB531=MAX(AB531:AD531),"2B",IF(AD531=MAX(AB531:AD531),"SS",IF(OR(AC531=MAX(AA531:AD531),AND(AC531&lt;&gt;"-",AC531&gt;4,V531&gt;5)),"3B",IF(AF531=MAX(AE531:AG531),"CF",IF(AND(AG531=MAX(AE531,AG531),AND(W531&gt;5,AG531&lt;&gt;"-")),"RF",IF(AE531&lt;&gt;"-","LF",IF(AA531&lt;&gt;"-","1B","DH"))))))))</f>
        <v>1B</v>
      </c>
      <c r="AT531" s="47"/>
      <c r="AU531" s="47"/>
      <c r="AV531" s="47"/>
      <c r="AW531" s="47" t="str">
        <f>IF(AND($Q531&gt;=6,AVERAGE($S531:$T531)&gt;=6),"Likely",IF(OR($Q531&gt;6,AND($Q531=6,AVERAGE($S531:$T531)&gt;=3),AND($Q531&gt;=5,AVERAGE($S531:$T531)&gt;=5),AVERAGE($Q531,$S531:$T531)&gt;5),"Possible","Unlikely"))</f>
        <v>Unlikely</v>
      </c>
      <c r="AX531" s="47"/>
      <c r="AY531" s="47" t="str">
        <f>INDEX(Table5[[#All],[Ovr]],MATCH(Batters[[#This Row],[PID]],Table5[[#All],[PID]],0))</f>
        <v/>
      </c>
      <c r="AZ531" s="47" t="str">
        <f>INDEX(Table5[[#All],[Rnd]],MATCH(Batters[[#This Row],[PID]],Table5[[#All],[PID]],0))</f>
        <v/>
      </c>
      <c r="BA531" s="47" t="str">
        <f>INDEX(Table5[[#All],[Pick]],MATCH(Batters[[#This Row],[PID]],Table5[[#All],[PID]],0))</f>
        <v/>
      </c>
      <c r="BB531" s="47" t="str">
        <f>INDEX(Table5[[#All],[Team]],MATCH(Batters[[#This Row],[PID]],Table5[[#All],[PID]],0))</f>
        <v/>
      </c>
    </row>
    <row r="532" spans="1:54" ht="15" customHeight="1" x14ac:dyDescent="0.25">
      <c r="A532" s="42">
        <v>16657</v>
      </c>
      <c r="B532" s="42" t="s">
        <v>87</v>
      </c>
      <c r="C532" s="42" t="s">
        <v>1371</v>
      </c>
      <c r="D532" s="42" t="s">
        <v>409</v>
      </c>
      <c r="E532" s="42">
        <v>21</v>
      </c>
      <c r="F532" s="42" t="s">
        <v>62</v>
      </c>
      <c r="G532" s="42" t="s">
        <v>42</v>
      </c>
      <c r="H532" s="43" t="s">
        <v>721</v>
      </c>
      <c r="I532" s="44" t="s">
        <v>43</v>
      </c>
      <c r="J532" s="42" t="s">
        <v>43</v>
      </c>
      <c r="K532" s="43" t="s">
        <v>44</v>
      </c>
      <c r="L532" s="42">
        <v>1</v>
      </c>
      <c r="M532" s="42">
        <v>2</v>
      </c>
      <c r="N532" s="42">
        <v>2</v>
      </c>
      <c r="O532" s="42">
        <v>3</v>
      </c>
      <c r="P532" s="43">
        <v>1</v>
      </c>
      <c r="Q532" s="42">
        <v>2</v>
      </c>
      <c r="R532" s="42">
        <v>3</v>
      </c>
      <c r="S532" s="42">
        <v>3</v>
      </c>
      <c r="T532" s="42">
        <v>5</v>
      </c>
      <c r="U532" s="43">
        <v>2</v>
      </c>
      <c r="V532" s="42">
        <v>6</v>
      </c>
      <c r="W532" s="42">
        <v>6</v>
      </c>
      <c r="X532" s="42">
        <v>6</v>
      </c>
      <c r="Y532" s="43">
        <v>5</v>
      </c>
      <c r="Z532" s="42" t="s">
        <v>45</v>
      </c>
      <c r="AA532" s="42">
        <v>2</v>
      </c>
      <c r="AB532" s="42" t="s">
        <v>45</v>
      </c>
      <c r="AC532" s="42" t="s">
        <v>45</v>
      </c>
      <c r="AD532" s="42" t="s">
        <v>45</v>
      </c>
      <c r="AE532" s="42" t="s">
        <v>45</v>
      </c>
      <c r="AF532" s="42" t="s">
        <v>45</v>
      </c>
      <c r="AG532" s="43" t="s">
        <v>45</v>
      </c>
      <c r="AH532" s="42">
        <v>1</v>
      </c>
      <c r="AI532" s="42">
        <v>1</v>
      </c>
      <c r="AJ532" s="43">
        <v>2</v>
      </c>
      <c r="AK532" s="45" t="s">
        <v>45</v>
      </c>
      <c r="AL532" s="45" t="s">
        <v>705</v>
      </c>
      <c r="AM532" s="46">
        <f>($L$3*(L532-$Q$1)/$Q$2+$M$3*(M532-$R$1)/$R$2+$N$3*(N532-$S$1)/$S$2+$O$3*(O532-$T$1)/$T$2+$P$3*(P532-$U$1)/$U$2)/(SUM($L$3:$P$3))</f>
        <v>-1.7708028761658048</v>
      </c>
      <c r="AN532" s="46">
        <f>($L$3*(Q532-$Q$1)/$Q$2+$M$3*(R532-$R$1)/$R$2+$N$3*(S532-$S$1)/$S$2+$O$3*(T532-$T$1)/$T$2+$P$3*(U532-$U$1)/$U$2)/(SUM($L$3:$P$3))</f>
        <v>-1.0946902264842799</v>
      </c>
      <c r="AO532" s="47">
        <f>IF(AVERAGE(AH532:AI532)&gt;9,1,0)+IF(AVERAGE(AH532:AI532)&gt;7,1,0)+IF(AH532&gt;7,1,0)+IF(AI532&gt;7,1,0)+IF(AJ532&gt;8,1,0)+IF(AJ532&gt;6,1,0)</f>
        <v>0</v>
      </c>
      <c r="AP532" s="48">
        <f>MIN(2,IF(OR(Z532="-",X532&lt;5),0,1+IF(Y532&gt;7,0.35,IF(Y532&gt;5,0.1,0))+IF(Z532&gt;7,1+IF(X532&gt;7,0.25,0),IF(Z532&gt;4,0.5+IF(X532&gt;7,0.25,0),0+IF(X532&gt;7,0.25))))+IF(AA532="-",0,IF(AA532&gt;9,0.5,IF(AA532&gt;7,0.25,0)))+IF(AB532="-",0,IF(AB532&gt;7,1.1,IF(AB532&gt;4,0.6,0)))+IF(OR(AC532="-",V532&lt;5),0,IF(AC532&gt;7,1+IF(V532&gt;7,0.25,0),IF(AC532&gt;4,0.5+IF(V532&gt;7,0.25,0),0)))+IF(AD532="-",0,IF(AD532&gt;7,1.5,IF(AD532&gt;4,1,0)))+IF(AE532="-",0,IF(AE532&gt;9,0.5,IF(AE532&gt;7,0.25,0)))+IF(AF532="-",0,IF(AF532&gt;7,1.25,IF(AF532&gt;4,0.75,0)))+IF(OR(AG532="-",W532&lt;4),0,IF(AG532&gt;7,1+IF(W532&gt;7,0.15,0),IF(AG532&gt;4,0.5+IF(W532&gt;7,0.15,0),0))))</f>
        <v>0</v>
      </c>
      <c r="AQ532" s="46">
        <f>($AM$3*AM532+$AN$3*AN532+$AO$3*AO532+$AP$3*AP532)+$I$3*VLOOKUP(I532,COND!$A$2:$E$7,4,FALSE)+$J$3*VLOOKUP(J532,COND!$A$2:$C$7,2,FALSE)+$K$3*VLOOKUP(K532,COND!$A$2:$C$7,3,FALSE)+IF(AND($B$2&gt;0,$E532&lt;20),$B$2*25,0)</f>
        <v>31.386636994572061</v>
      </c>
      <c r="AR532" s="49">
        <f>STANDARDIZE(AQ532,AVERAGE($AQ$5:$AQ$537),STDEVP($AQ$5:$AQ$537))</f>
        <v>-1.5767357818929104</v>
      </c>
      <c r="AS532" s="47" t="str">
        <f>IF(AND(Z532&lt;&gt;"-",Y532&gt;1),"C",IF(AB532=MAX(AB532:AD532),"2B",IF(AD532=MAX(AB532:AD532),"SS",IF(OR(AC532=MAX(AA532:AD532),AND(AC532&lt;&gt;"-",AC532&gt;4,V532&gt;5)),"3B",IF(AF532=MAX(AE532:AG532),"CF",IF(AND(AG532=MAX(AE532,AG532),AND(W532&gt;5,AG532&lt;&gt;"-")),"RF",IF(AE532&lt;&gt;"-","LF",IF(AA532&lt;&gt;"-","1B","DH"))))))))</f>
        <v>1B</v>
      </c>
      <c r="AT532" s="47"/>
      <c r="AU532" s="47"/>
      <c r="AV532" s="47"/>
      <c r="AW532" s="47" t="str">
        <f>IF(AND($Q532&gt;=6,AVERAGE($S532:$T532)&gt;=6),"Likely",IF(OR($Q532&gt;6,AND($Q532=6,AVERAGE($S532:$T532)&gt;=3),AND($Q532&gt;=5,AVERAGE($S532:$T532)&gt;=5),AVERAGE($Q532,$S532:$T532)&gt;5),"Possible","Unlikely"))</f>
        <v>Unlikely</v>
      </c>
      <c r="AX532" s="47"/>
      <c r="AY532" s="47" t="str">
        <f>INDEX(Table5[[#All],[Ovr]],MATCH(Batters[[#This Row],[PID]],Table5[[#All],[PID]],0))</f>
        <v/>
      </c>
      <c r="AZ532" s="47" t="str">
        <f>INDEX(Table5[[#All],[Rnd]],MATCH(Batters[[#This Row],[PID]],Table5[[#All],[PID]],0))</f>
        <v/>
      </c>
      <c r="BA532" s="47" t="str">
        <f>INDEX(Table5[[#All],[Pick]],MATCH(Batters[[#This Row],[PID]],Table5[[#All],[PID]],0))</f>
        <v/>
      </c>
      <c r="BB532" s="47" t="str">
        <f>INDEX(Table5[[#All],[Team]],MATCH(Batters[[#This Row],[PID]],Table5[[#All],[PID]],0))</f>
        <v/>
      </c>
    </row>
    <row r="533" spans="1:54" ht="15" customHeight="1" x14ac:dyDescent="0.25">
      <c r="A533" s="42">
        <v>10752</v>
      </c>
      <c r="B533" s="42" t="s">
        <v>86</v>
      </c>
      <c r="C533" s="42" t="s">
        <v>179</v>
      </c>
      <c r="D533" s="42" t="s">
        <v>192</v>
      </c>
      <c r="E533" s="42">
        <v>22</v>
      </c>
      <c r="F533" s="42" t="s">
        <v>42</v>
      </c>
      <c r="G533" s="42" t="s">
        <v>42</v>
      </c>
      <c r="H533" s="43" t="s">
        <v>711</v>
      </c>
      <c r="I533" s="44" t="s">
        <v>44</v>
      </c>
      <c r="J533" s="42" t="s">
        <v>44</v>
      </c>
      <c r="K533" s="43" t="s">
        <v>43</v>
      </c>
      <c r="L533" s="42">
        <v>1</v>
      </c>
      <c r="M533" s="42">
        <v>2</v>
      </c>
      <c r="N533" s="42">
        <v>2</v>
      </c>
      <c r="O533" s="42">
        <v>3</v>
      </c>
      <c r="P533" s="43">
        <v>1</v>
      </c>
      <c r="Q533" s="42">
        <v>2</v>
      </c>
      <c r="R533" s="42">
        <v>3</v>
      </c>
      <c r="S533" s="42">
        <v>2</v>
      </c>
      <c r="T533" s="42">
        <v>5</v>
      </c>
      <c r="U533" s="43">
        <v>2</v>
      </c>
      <c r="V533" s="42">
        <v>3</v>
      </c>
      <c r="W533" s="42">
        <v>2</v>
      </c>
      <c r="X533" s="42">
        <v>6</v>
      </c>
      <c r="Y533" s="43">
        <v>6</v>
      </c>
      <c r="Z533" s="42">
        <v>2</v>
      </c>
      <c r="AA533" s="42" t="s">
        <v>45</v>
      </c>
      <c r="AB533" s="42" t="s">
        <v>45</v>
      </c>
      <c r="AC533" s="42" t="s">
        <v>45</v>
      </c>
      <c r="AD533" s="42" t="s">
        <v>45</v>
      </c>
      <c r="AE533" s="42" t="s">
        <v>45</v>
      </c>
      <c r="AF533" s="42" t="s">
        <v>45</v>
      </c>
      <c r="AG533" s="43" t="s">
        <v>45</v>
      </c>
      <c r="AH533" s="42">
        <v>3</v>
      </c>
      <c r="AI533" s="42">
        <v>6</v>
      </c>
      <c r="AJ533" s="43">
        <v>6</v>
      </c>
      <c r="AK533" s="45" t="s">
        <v>45</v>
      </c>
      <c r="AL533" s="45" t="s">
        <v>47</v>
      </c>
      <c r="AM533" s="46">
        <f>($L$3*(L533-$Q$1)/$Q$2+$M$3*(M533-$R$1)/$R$2+$N$3*(N533-$S$1)/$S$2+$O$3*(O533-$T$1)/$T$2+$P$3*(P533-$U$1)/$U$2)/(SUM($L$3:$P$3))</f>
        <v>-1.7708028761658048</v>
      </c>
      <c r="AN533" s="46">
        <f>($L$3*(Q533-$Q$1)/$Q$2+$M$3*(R533-$R$1)/$R$2+$N$3*(S533-$S$1)/$S$2+$O$3*(T533-$T$1)/$T$2+$P$3*(U533-$U$1)/$U$2)/(SUM($L$3:$P$3))</f>
        <v>-1.1777517205081813</v>
      </c>
      <c r="AO533" s="47">
        <f>IF(AVERAGE(AH533:AI533)&gt;9,1,0)+IF(AVERAGE(AH533:AI533)&gt;7,1,0)+IF(AH533&gt;7,1,0)+IF(AI533&gt;7,1,0)+IF(AJ533&gt;8,1,0)+IF(AJ533&gt;6,1,0)</f>
        <v>0</v>
      </c>
      <c r="AP533" s="48">
        <f>MIN(2,IF(OR(Z533="-",X533&lt;5),0,1+IF(Y533&gt;7,0.35,IF(Y533&gt;5,0.1,0))+IF(Z533&gt;7,1+IF(X533&gt;7,0.25,0),IF(Z533&gt;4,0.5+IF(X533&gt;7,0.25,0),0+IF(X533&gt;7,0.25))))+IF(AA533="-",0,IF(AA533&gt;9,0.5,IF(AA533&gt;7,0.25,0)))+IF(AB533="-",0,IF(AB533&gt;7,1.1,IF(AB533&gt;4,0.6,0)))+IF(OR(AC533="-",V533&lt;5),0,IF(AC533&gt;7,1+IF(V533&gt;7,0.25,0),IF(AC533&gt;4,0.5+IF(V533&gt;7,0.25,0),0)))+IF(AD533="-",0,IF(AD533&gt;7,1.5,IF(AD533&gt;4,1,0)))+IF(AE533="-",0,IF(AE533&gt;9,0.5,IF(AE533&gt;7,0.25,0)))+IF(AF533="-",0,IF(AF533&gt;7,1.25,IF(AF533&gt;4,0.75,0)))+IF(OR(AG533="-",W533&lt;4),0,IF(AG533&gt;7,1+IF(W533&gt;7,0.15,0),IF(AG533&gt;4,0.5+IF(W533&gt;7,0.15,0),0))))</f>
        <v>1.1000000000000001</v>
      </c>
      <c r="AQ533" s="46">
        <f>($AM$3*AM533+$AN$3*AN533+$AO$3*AO533+$AP$3*AP533)+$I$3*VLOOKUP(I533,COND!$A$2:$E$7,4,FALSE)+$J$3*VLOOKUP(J533,COND!$A$2:$C$7,2,FALSE)+$K$3*VLOOKUP(K533,COND!$A$2:$C$7,3,FALSE)+IF(AND($B$2&gt;0,$E533&lt;20),$B$2*25,0)</f>
        <v>31.339899066285241</v>
      </c>
      <c r="AR533" s="49">
        <f>STANDARDIZE(AQ533,AVERAGE($AQ$5:$AQ$537),STDEVP($AQ$5:$AQ$537))</f>
        <v>-1.5849590097405257</v>
      </c>
      <c r="AS533" s="47" t="str">
        <f>IF(AND(Z533&lt;&gt;"-",Y533&gt;1),"C",IF(AB533=MAX(AB533:AD533),"2B",IF(AD533=MAX(AB533:AD533),"SS",IF(OR(AC533=MAX(AA533:AD533),AND(AC533&lt;&gt;"-",AC533&gt;4,V533&gt;5)),"3B",IF(AF533=MAX(AE533:AG533),"CF",IF(AND(AG533=MAX(AE533,AG533),AND(W533&gt;5,AG533&lt;&gt;"-")),"RF",IF(AE533&lt;&gt;"-","LF",IF(AA533&lt;&gt;"-","1B","DH"))))))))</f>
        <v>C</v>
      </c>
      <c r="AT533" s="47"/>
      <c r="AU533" s="47"/>
      <c r="AV533" s="47"/>
      <c r="AW533" s="47" t="str">
        <f>IF(AND($Q533&gt;=6,AVERAGE($S533:$T533)&gt;=6),"Likely",IF(OR($Q533&gt;6,AND($Q533=6,AVERAGE($S533:$T533)&gt;=3),AND($Q533&gt;=5,AVERAGE($S533:$T533)&gt;=5),AVERAGE($Q533,$S533:$T533)&gt;5),"Possible","Unlikely"))</f>
        <v>Unlikely</v>
      </c>
      <c r="AX533" s="47"/>
      <c r="AY533" s="47" t="str">
        <f>INDEX(Table5[[#All],[Ovr]],MATCH(Batters[[#This Row],[PID]],Table5[[#All],[PID]],0))</f>
        <v/>
      </c>
      <c r="AZ533" s="47" t="str">
        <f>INDEX(Table5[[#All],[Rnd]],MATCH(Batters[[#This Row],[PID]],Table5[[#All],[PID]],0))</f>
        <v/>
      </c>
      <c r="BA533" s="47" t="str">
        <f>INDEX(Table5[[#All],[Pick]],MATCH(Batters[[#This Row],[PID]],Table5[[#All],[PID]],0))</f>
        <v/>
      </c>
      <c r="BB533" s="47" t="str">
        <f>INDEX(Table5[[#All],[Team]],MATCH(Batters[[#This Row],[PID]],Table5[[#All],[PID]],0))</f>
        <v/>
      </c>
    </row>
    <row r="534" spans="1:54" ht="15" customHeight="1" x14ac:dyDescent="0.25">
      <c r="A534" s="42">
        <v>5702</v>
      </c>
      <c r="B534" s="42" t="s">
        <v>50</v>
      </c>
      <c r="C534" s="42" t="s">
        <v>891</v>
      </c>
      <c r="D534" s="42" t="s">
        <v>465</v>
      </c>
      <c r="E534" s="42">
        <v>22</v>
      </c>
      <c r="F534" s="42" t="s">
        <v>42</v>
      </c>
      <c r="G534" s="42" t="s">
        <v>42</v>
      </c>
      <c r="H534" s="43" t="s">
        <v>721</v>
      </c>
      <c r="I534" s="44" t="s">
        <v>43</v>
      </c>
      <c r="J534" s="42" t="s">
        <v>44</v>
      </c>
      <c r="K534" s="43" t="s">
        <v>43</v>
      </c>
      <c r="L534" s="42">
        <v>1</v>
      </c>
      <c r="M534" s="42">
        <v>2</v>
      </c>
      <c r="N534" s="42">
        <v>3</v>
      </c>
      <c r="O534" s="42">
        <v>2</v>
      </c>
      <c r="P534" s="43">
        <v>1</v>
      </c>
      <c r="Q534" s="42">
        <v>2</v>
      </c>
      <c r="R534" s="42">
        <v>3</v>
      </c>
      <c r="S534" s="42">
        <v>4</v>
      </c>
      <c r="T534" s="42">
        <v>4</v>
      </c>
      <c r="U534" s="43">
        <v>2</v>
      </c>
      <c r="V534" s="42">
        <v>5</v>
      </c>
      <c r="W534" s="42">
        <v>7</v>
      </c>
      <c r="X534" s="42">
        <v>1</v>
      </c>
      <c r="Y534" s="43">
        <v>1</v>
      </c>
      <c r="Z534" s="42" t="s">
        <v>45</v>
      </c>
      <c r="AA534" s="42" t="s">
        <v>45</v>
      </c>
      <c r="AB534" s="42" t="s">
        <v>45</v>
      </c>
      <c r="AC534" s="42" t="s">
        <v>45</v>
      </c>
      <c r="AD534" s="42" t="s">
        <v>45</v>
      </c>
      <c r="AE534" s="42">
        <v>1</v>
      </c>
      <c r="AF534" s="42" t="s">
        <v>45</v>
      </c>
      <c r="AG534" s="43" t="s">
        <v>45</v>
      </c>
      <c r="AH534" s="42">
        <v>1</v>
      </c>
      <c r="AI534" s="42">
        <v>1</v>
      </c>
      <c r="AJ534" s="43">
        <v>1</v>
      </c>
      <c r="AK534" s="45" t="s">
        <v>45</v>
      </c>
      <c r="AL534" s="45" t="s">
        <v>705</v>
      </c>
      <c r="AM534" s="46">
        <f>($L$3*(L534-$Q$1)/$Q$2+$M$3*(M534-$R$1)/$R$2+$N$3*(N534-$S$1)/$S$2+$O$3*(O534-$T$1)/$T$2+$P$3*(P534-$U$1)/$U$2)/(SUM($L$3:$P$3))</f>
        <v>-1.7774509321514844</v>
      </c>
      <c r="AN534" s="46">
        <f>($L$3*(Q534-$Q$1)/$Q$2+$M$3*(R534-$R$1)/$R$2+$N$3*(S534-$S$1)/$S$2+$O$3*(T534-$T$1)/$T$2+$P$3*(U534-$U$1)/$U$2)/(SUM($L$3:$P$3))</f>
        <v>-1.1013382824699594</v>
      </c>
      <c r="AO534" s="47">
        <f>IF(AVERAGE(AH534:AI534)&gt;9,1,0)+IF(AVERAGE(AH534:AI534)&gt;7,1,0)+IF(AH534&gt;7,1,0)+IF(AI534&gt;7,1,0)+IF(AJ534&gt;8,1,0)+IF(AJ534&gt;6,1,0)</f>
        <v>0</v>
      </c>
      <c r="AP534" s="48">
        <f>MIN(2,IF(OR(Z534="-",X534&lt;5),0,1+IF(Y534&gt;7,0.35,IF(Y534&gt;5,0.1,0))+IF(Z534&gt;7,1+IF(X534&gt;7,0.25,0),IF(Z534&gt;4,0.5+IF(X534&gt;7,0.25,0),0+IF(X534&gt;7,0.25))))+IF(AA534="-",0,IF(AA534&gt;9,0.5,IF(AA534&gt;7,0.25,0)))+IF(AB534="-",0,IF(AB534&gt;7,1.1,IF(AB534&gt;4,0.6,0)))+IF(OR(AC534="-",V534&lt;5),0,IF(AC534&gt;7,1+IF(V534&gt;7,0.25,0),IF(AC534&gt;4,0.5+IF(V534&gt;7,0.25,0),0)))+IF(AD534="-",0,IF(AD534&gt;7,1.5,IF(AD534&gt;4,1,0)))+IF(AE534="-",0,IF(AE534&gt;9,0.5,IF(AE534&gt;7,0.25,0)))+IF(AF534="-",0,IF(AF534&gt;7,1.25,IF(AF534&gt;4,0.75,0)))+IF(OR(AG534="-",W534&lt;4),0,IF(AG534&gt;7,1+IF(W534&gt;7,0.15,0),IF(AG534&gt;4,0.5+IF(W534&gt;7,0.15,0),0))))</f>
        <v>0</v>
      </c>
      <c r="AQ534" s="46">
        <f>($AM$3*AM534+$AN$3*AN534+$AO$3*AO534+$AP$3*AP534)+$I$3*VLOOKUP(I534,COND!$A$2:$E$7,4,FALSE)+$J$3*VLOOKUP(J534,COND!$A$2:$C$7,2,FALSE)+$K$3*VLOOKUP(K534,COND!$A$2:$C$7,3,FALSE)+IF(AND($B$2&gt;0,$E534&lt;20),$B$2*25,0)</f>
        <v>31.306195517145341</v>
      </c>
      <c r="AR534" s="49">
        <f>STANDARDIZE(AQ534,AVERAGE($AQ$5:$AQ$537),STDEVP($AQ$5:$AQ$537))</f>
        <v>-1.5908889252076788</v>
      </c>
      <c r="AS534" s="47" t="str">
        <f>IF(AND(Z534&lt;&gt;"-",Y534&gt;1),"C",IF(AB534=MAX(AB534:AD534),"2B",IF(AD534=MAX(AB534:AD534),"SS",IF(OR(AC534=MAX(AA534:AD534),AND(AC534&lt;&gt;"-",AC534&gt;4,V534&gt;5)),"3B",IF(AF534=MAX(AE534:AG534),"CF",IF(AND(AG534=MAX(AE534,AG534),AND(W534&gt;5,AG534&lt;&gt;"-")),"RF",IF(AE534&lt;&gt;"-","LF",IF(AA534&lt;&gt;"-","1B","DH"))))))))</f>
        <v>LF</v>
      </c>
      <c r="AT534" s="47"/>
      <c r="AU534" s="47"/>
      <c r="AV534" s="47"/>
      <c r="AW534" s="47" t="str">
        <f>IF(AND($Q534&gt;=6,AVERAGE($S534:$T534)&gt;=6),"Likely",IF(OR($Q534&gt;6,AND($Q534=6,AVERAGE($S534:$T534)&gt;=3),AND($Q534&gt;=5,AVERAGE($S534:$T534)&gt;=5),AVERAGE($Q534,$S534:$T534)&gt;5),"Possible","Unlikely"))</f>
        <v>Unlikely</v>
      </c>
      <c r="AX534" s="47"/>
      <c r="AY534" s="47" t="str">
        <f>INDEX(Table5[[#All],[Ovr]],MATCH(Batters[[#This Row],[PID]],Table5[[#All],[PID]],0))</f>
        <v/>
      </c>
      <c r="AZ534" s="47" t="str">
        <f>INDEX(Table5[[#All],[Rnd]],MATCH(Batters[[#This Row],[PID]],Table5[[#All],[PID]],0))</f>
        <v/>
      </c>
      <c r="BA534" s="47" t="str">
        <f>INDEX(Table5[[#All],[Pick]],MATCH(Batters[[#This Row],[PID]],Table5[[#All],[PID]],0))</f>
        <v/>
      </c>
      <c r="BB534" s="47" t="str">
        <f>INDEX(Table5[[#All],[Team]],MATCH(Batters[[#This Row],[PID]],Table5[[#All],[PID]],0))</f>
        <v/>
      </c>
    </row>
    <row r="535" spans="1:54" ht="15" customHeight="1" x14ac:dyDescent="0.25">
      <c r="A535" s="42">
        <v>10478</v>
      </c>
      <c r="B535" s="42" t="s">
        <v>86</v>
      </c>
      <c r="C535" s="42" t="s">
        <v>137</v>
      </c>
      <c r="D535" s="42" t="s">
        <v>1388</v>
      </c>
      <c r="E535" s="42">
        <v>21</v>
      </c>
      <c r="F535" s="42" t="s">
        <v>42</v>
      </c>
      <c r="G535" s="42" t="s">
        <v>42</v>
      </c>
      <c r="H535" s="43" t="s">
        <v>709</v>
      </c>
      <c r="I535" s="44" t="s">
        <v>43</v>
      </c>
      <c r="J535" s="42" t="s">
        <v>44</v>
      </c>
      <c r="K535" s="43" t="s">
        <v>43</v>
      </c>
      <c r="L535" s="42">
        <v>1</v>
      </c>
      <c r="M535" s="42">
        <v>2</v>
      </c>
      <c r="N535" s="42">
        <v>3</v>
      </c>
      <c r="O535" s="42">
        <v>2</v>
      </c>
      <c r="P535" s="43">
        <v>1</v>
      </c>
      <c r="Q535" s="42">
        <v>2</v>
      </c>
      <c r="R535" s="42">
        <v>3</v>
      </c>
      <c r="S535" s="42">
        <v>4</v>
      </c>
      <c r="T535" s="42">
        <v>4</v>
      </c>
      <c r="U535" s="43">
        <v>2</v>
      </c>
      <c r="V535" s="42">
        <v>3</v>
      </c>
      <c r="W535" s="42">
        <v>3</v>
      </c>
      <c r="X535" s="42">
        <v>5</v>
      </c>
      <c r="Y535" s="43">
        <v>8</v>
      </c>
      <c r="Z535" s="42" t="s">
        <v>45</v>
      </c>
      <c r="AA535" s="42" t="s">
        <v>45</v>
      </c>
      <c r="AB535" s="42" t="s">
        <v>45</v>
      </c>
      <c r="AC535" s="42" t="s">
        <v>45</v>
      </c>
      <c r="AD535" s="42" t="s">
        <v>45</v>
      </c>
      <c r="AE535" s="42" t="s">
        <v>45</v>
      </c>
      <c r="AF535" s="42" t="s">
        <v>45</v>
      </c>
      <c r="AG535" s="43" t="s">
        <v>45</v>
      </c>
      <c r="AH535" s="42">
        <v>2</v>
      </c>
      <c r="AI535" s="42">
        <v>1</v>
      </c>
      <c r="AJ535" s="43">
        <v>1</v>
      </c>
      <c r="AK535" s="45" t="s">
        <v>717</v>
      </c>
      <c r="AL535" s="45" t="s">
        <v>47</v>
      </c>
      <c r="AM535" s="46">
        <f>($L$3*(L535-$Q$1)/$Q$2+$M$3*(M535-$R$1)/$R$2+$N$3*(N535-$S$1)/$S$2+$O$3*(O535-$T$1)/$T$2+$P$3*(P535-$U$1)/$U$2)/(SUM($L$3:$P$3))</f>
        <v>-1.7774509321514844</v>
      </c>
      <c r="AN535" s="46">
        <f>($L$3*(Q535-$Q$1)/$Q$2+$M$3*(R535-$R$1)/$R$2+$N$3*(S535-$S$1)/$S$2+$O$3*(T535-$T$1)/$T$2+$P$3*(U535-$U$1)/$U$2)/(SUM($L$3:$P$3))</f>
        <v>-1.1013382824699594</v>
      </c>
      <c r="AO535" s="47">
        <f>IF(AVERAGE(AH535:AI535)&gt;9,1,0)+IF(AVERAGE(AH535:AI535)&gt;7,1,0)+IF(AH535&gt;7,1,0)+IF(AI535&gt;7,1,0)+IF(AJ535&gt;8,1,0)+IF(AJ535&gt;6,1,0)</f>
        <v>0</v>
      </c>
      <c r="AP535" s="48">
        <f>MIN(2,IF(OR(Z535="-",X535&lt;5),0,1+IF(Y535&gt;7,0.35,IF(Y535&gt;5,0.1,0))+IF(Z535&gt;7,1+IF(X535&gt;7,0.25,0),IF(Z535&gt;4,0.5+IF(X535&gt;7,0.25,0),0+IF(X535&gt;7,0.25))))+IF(AA535="-",0,IF(AA535&gt;9,0.5,IF(AA535&gt;7,0.25,0)))+IF(AB535="-",0,IF(AB535&gt;7,1.1,IF(AB535&gt;4,0.6,0)))+IF(OR(AC535="-",V535&lt;5),0,IF(AC535&gt;7,1+IF(V535&gt;7,0.25,0),IF(AC535&gt;4,0.5+IF(V535&gt;7,0.25,0),0)))+IF(AD535="-",0,IF(AD535&gt;7,1.5,IF(AD535&gt;4,1,0)))+IF(AE535="-",0,IF(AE535&gt;9,0.5,IF(AE535&gt;7,0.25,0)))+IF(AF535="-",0,IF(AF535&gt;7,1.25,IF(AF535&gt;4,0.75,0)))+IF(OR(AG535="-",W535&lt;4),0,IF(AG535&gt;7,1+IF(W535&gt;7,0.15,0),IF(AG535&gt;4,0.5+IF(W535&gt;7,0.15,0),0))))</f>
        <v>0</v>
      </c>
      <c r="AQ535" s="46">
        <f>($AM$3*AM535+$AN$3*AN535+$AO$3*AO535+$AP$3*AP535)+$I$3*VLOOKUP(I535,COND!$A$2:$E$7,4,FALSE)+$J$3*VLOOKUP(J535,COND!$A$2:$C$7,2,FALSE)+$K$3*VLOOKUP(K535,COND!$A$2:$C$7,3,FALSE)+IF(AND($B$2&gt;0,$E535&lt;20),$B$2*25,0)</f>
        <v>31.306195517145341</v>
      </c>
      <c r="AR535" s="49">
        <f>STANDARDIZE(AQ535,AVERAGE($AQ$5:$AQ$537),STDEVP($AQ$5:$AQ$537))</f>
        <v>-1.5908889252076788</v>
      </c>
      <c r="AS535" s="47" t="str">
        <f>IF(AND(Z535&lt;&gt;"-",Y535&gt;1),"C",IF(AB535=MAX(AB535:AD535),"2B",IF(AD535=MAX(AB535:AD535),"SS",IF(OR(AC535=MAX(AA535:AD535),AND(AC535&lt;&gt;"-",AC535&gt;4,V535&gt;5)),"3B",IF(AF535=MAX(AE535:AG535),"CF",IF(AND(AG535=MAX(AE535,AG535),AND(W535&gt;5,AG535&lt;&gt;"-")),"RF",IF(AE535&lt;&gt;"-","LF",IF(AA535&lt;&gt;"-","1B","DH"))))))))</f>
        <v>DH</v>
      </c>
      <c r="AT535" s="47"/>
      <c r="AU535" s="47"/>
      <c r="AV535" s="47"/>
      <c r="AW535" s="47" t="str">
        <f>IF(AND($Q535&gt;=6,AVERAGE($S535:$T535)&gt;=6),"Likely",IF(OR($Q535&gt;6,AND($Q535=6,AVERAGE($S535:$T535)&gt;=3),AND($Q535&gt;=5,AVERAGE($S535:$T535)&gt;=5),AVERAGE($Q535,$S535:$T535)&gt;5),"Possible","Unlikely"))</f>
        <v>Unlikely</v>
      </c>
      <c r="AX535" s="47"/>
      <c r="AY535" s="47" t="str">
        <f>INDEX(Table5[[#All],[Ovr]],MATCH(Batters[[#This Row],[PID]],Table5[[#All],[PID]],0))</f>
        <v/>
      </c>
      <c r="AZ535" s="47" t="str">
        <f>INDEX(Table5[[#All],[Rnd]],MATCH(Batters[[#This Row],[PID]],Table5[[#All],[PID]],0))</f>
        <v/>
      </c>
      <c r="BA535" s="47" t="str">
        <f>INDEX(Table5[[#All],[Pick]],MATCH(Batters[[#This Row],[PID]],Table5[[#All],[PID]],0))</f>
        <v/>
      </c>
      <c r="BB535" s="47" t="str">
        <f>INDEX(Table5[[#All],[Team]],MATCH(Batters[[#This Row],[PID]],Table5[[#All],[PID]],0))</f>
        <v/>
      </c>
    </row>
    <row r="536" spans="1:54" ht="15" customHeight="1" x14ac:dyDescent="0.25">
      <c r="A536" s="42">
        <v>12061</v>
      </c>
      <c r="B536" s="42" t="s">
        <v>87</v>
      </c>
      <c r="C536" s="42" t="s">
        <v>351</v>
      </c>
      <c r="D536" s="42" t="s">
        <v>559</v>
      </c>
      <c r="E536" s="42">
        <v>22</v>
      </c>
      <c r="F536" s="42" t="s">
        <v>62</v>
      </c>
      <c r="G536" s="42" t="s">
        <v>42</v>
      </c>
      <c r="H536" s="43" t="s">
        <v>721</v>
      </c>
      <c r="I536" s="44" t="s">
        <v>43</v>
      </c>
      <c r="J536" s="42" t="s">
        <v>47</v>
      </c>
      <c r="K536" s="43" t="s">
        <v>43</v>
      </c>
      <c r="L536" s="42">
        <v>1</v>
      </c>
      <c r="M536" s="42">
        <v>3</v>
      </c>
      <c r="N536" s="42">
        <v>2</v>
      </c>
      <c r="O536" s="42">
        <v>2</v>
      </c>
      <c r="P536" s="43">
        <v>1</v>
      </c>
      <c r="Q536" s="42">
        <v>2</v>
      </c>
      <c r="R536" s="42">
        <v>3</v>
      </c>
      <c r="S536" s="42">
        <v>3</v>
      </c>
      <c r="T536" s="42">
        <v>3</v>
      </c>
      <c r="U536" s="43">
        <v>2</v>
      </c>
      <c r="V536" s="42">
        <v>6</v>
      </c>
      <c r="W536" s="42">
        <v>6</v>
      </c>
      <c r="X536" s="42">
        <v>1</v>
      </c>
      <c r="Y536" s="43">
        <v>1</v>
      </c>
      <c r="Z536" s="42" t="s">
        <v>45</v>
      </c>
      <c r="AA536" s="42">
        <v>1</v>
      </c>
      <c r="AB536" s="42" t="s">
        <v>45</v>
      </c>
      <c r="AC536" s="42">
        <v>1</v>
      </c>
      <c r="AD536" s="42" t="s">
        <v>45</v>
      </c>
      <c r="AE536" s="42" t="s">
        <v>45</v>
      </c>
      <c r="AF536" s="42" t="s">
        <v>45</v>
      </c>
      <c r="AG536" s="43" t="s">
        <v>45</v>
      </c>
      <c r="AH536" s="42">
        <v>7</v>
      </c>
      <c r="AI536" s="42">
        <v>5</v>
      </c>
      <c r="AJ536" s="43">
        <v>2</v>
      </c>
      <c r="AK536" s="45" t="s">
        <v>45</v>
      </c>
      <c r="AL536" s="45" t="s">
        <v>705</v>
      </c>
      <c r="AM536" s="46">
        <f>($L$3*(L536-$Q$1)/$Q$2+$M$3*(M536-$R$1)/$R$2+$N$3*(N536-$S$1)/$S$2+$O$3*(O536-$T$1)/$T$2+$P$3*(P536-$U$1)/$U$2)/(SUM($L$3:$P$3))</f>
        <v>-1.8094525465566824</v>
      </c>
      <c r="AN536" s="46">
        <f>($L$3*(Q536-$Q$1)/$Q$2+$M$3*(R536-$R$1)/$R$2+$N$3*(S536-$S$1)/$S$2+$O$3*(T536-$T$1)/$T$2+$P$3*(U536-$U$1)/$U$2)/(SUM($L$3:$P$3))</f>
        <v>-1.2741093265034418</v>
      </c>
      <c r="AO536" s="47">
        <f>IF(AVERAGE(AH536:AI536)&gt;9,1,0)+IF(AVERAGE(AH536:AI536)&gt;7,1,0)+IF(AH536&gt;7,1,0)+IF(AI536&gt;7,1,0)+IF(AJ536&gt;8,1,0)+IF(AJ536&gt;6,1,0)</f>
        <v>0</v>
      </c>
      <c r="AP536" s="48">
        <f>MIN(2,IF(OR(Z536="-",X536&lt;5),0,1+IF(Y536&gt;7,0.35,IF(Y536&gt;5,0.1,0))+IF(Z536&gt;7,1+IF(X536&gt;7,0.25,0),IF(Z536&gt;4,0.5+IF(X536&gt;7,0.25,0),0+IF(X536&gt;7,0.25))))+IF(AA536="-",0,IF(AA536&gt;9,0.5,IF(AA536&gt;7,0.25,0)))+IF(AB536="-",0,IF(AB536&gt;7,1.1,IF(AB536&gt;4,0.6,0)))+IF(OR(AC536="-",V536&lt;5),0,IF(AC536&gt;7,1+IF(V536&gt;7,0.25,0),IF(AC536&gt;4,0.5+IF(V536&gt;7,0.25,0),0)))+IF(AD536="-",0,IF(AD536&gt;7,1.5,IF(AD536&gt;4,1,0)))+IF(AE536="-",0,IF(AE536&gt;9,0.5,IF(AE536&gt;7,0.25,0)))+IF(AF536="-",0,IF(AF536&gt;7,1.25,IF(AF536&gt;4,0.75,0)))+IF(OR(AG536="-",W536&lt;4),0,IF(AG536&gt;7,1+IF(W536&gt;7,0.15,0),IF(AG536&gt;4,0.5+IF(W536&gt;7,0.15,0),0))))</f>
        <v>0</v>
      </c>
      <c r="AQ536" s="46">
        <f>($AM$3*AM536+$AN$3*AN536+$AO$3*AO536+$AP$3*AP536)+$I$3*VLOOKUP(I536,COND!$A$2:$E$7,4,FALSE)+$J$3*VLOOKUP(J536,COND!$A$2:$C$7,2,FALSE)+$K$3*VLOOKUP(K536,COND!$A$2:$C$7,3,FALSE)+IF(AND($B$2&gt;0,$E536&lt;20),$B$2*25,0)</f>
        <v>29.829742827303029</v>
      </c>
      <c r="AR536" s="49">
        <f>STANDARDIZE(AQ536,AVERAGE($AQ$5:$AQ$537),STDEVP($AQ$5:$AQ$537))</f>
        <v>-1.8506609630329343</v>
      </c>
      <c r="AS536" s="47" t="str">
        <f>IF(AND(Z536&lt;&gt;"-",Y536&gt;1),"C",IF(AB536=MAX(AB536:AD536),"2B",IF(AD536=MAX(AB536:AD536),"SS",IF(OR(AC536=MAX(AA536:AD536),AND(AC536&lt;&gt;"-",AC536&gt;4,V536&gt;5)),"3B",IF(AF536=MAX(AE536:AG536),"CF",IF(AND(AG536=MAX(AE536,AG536),AND(W536&gt;5,AG536&lt;&gt;"-")),"RF",IF(AE536&lt;&gt;"-","LF",IF(AA536&lt;&gt;"-","1B","DH"))))))))</f>
        <v>3B</v>
      </c>
      <c r="AT536" s="47"/>
      <c r="AU536" s="47"/>
      <c r="AV536" s="47"/>
      <c r="AW536" s="47" t="str">
        <f>IF(AND($Q536&gt;=6,AVERAGE($S536:$T536)&gt;=6),"Likely",IF(OR($Q536&gt;6,AND($Q536=6,AVERAGE($S536:$T536)&gt;=3),AND($Q536&gt;=5,AVERAGE($S536:$T536)&gt;=5),AVERAGE($Q536,$S536:$T536)&gt;5),"Possible","Unlikely"))</f>
        <v>Unlikely</v>
      </c>
      <c r="AX536" s="47"/>
      <c r="AY536" s="47" t="str">
        <f>INDEX(Table5[[#All],[Ovr]],MATCH(Batters[[#This Row],[PID]],Table5[[#All],[PID]],0))</f>
        <v/>
      </c>
      <c r="AZ536" s="47" t="str">
        <f>INDEX(Table5[[#All],[Rnd]],MATCH(Batters[[#This Row],[PID]],Table5[[#All],[PID]],0))</f>
        <v/>
      </c>
      <c r="BA536" s="47" t="str">
        <f>INDEX(Table5[[#All],[Pick]],MATCH(Batters[[#This Row],[PID]],Table5[[#All],[PID]],0))</f>
        <v/>
      </c>
      <c r="BB536" s="47" t="str">
        <f>INDEX(Table5[[#All],[Team]],MATCH(Batters[[#This Row],[PID]],Table5[[#All],[PID]],0))</f>
        <v/>
      </c>
    </row>
    <row r="537" spans="1:54" ht="15" customHeight="1" x14ac:dyDescent="0.25">
      <c r="A537" s="42">
        <v>11985</v>
      </c>
      <c r="B537" s="42" t="s">
        <v>66</v>
      </c>
      <c r="C537" s="42" t="s">
        <v>294</v>
      </c>
      <c r="D537" s="42" t="s">
        <v>1353</v>
      </c>
      <c r="E537" s="42">
        <v>21</v>
      </c>
      <c r="F537" s="42" t="s">
        <v>53</v>
      </c>
      <c r="G537" s="42" t="s">
        <v>53</v>
      </c>
      <c r="H537" s="43" t="s">
        <v>711</v>
      </c>
      <c r="I537" s="44" t="s">
        <v>43</v>
      </c>
      <c r="J537" s="42" t="s">
        <v>47</v>
      </c>
      <c r="K537" s="43" t="s">
        <v>44</v>
      </c>
      <c r="L537" s="42">
        <v>1</v>
      </c>
      <c r="M537" s="42">
        <v>1</v>
      </c>
      <c r="N537" s="42">
        <v>3</v>
      </c>
      <c r="O537" s="42">
        <v>2</v>
      </c>
      <c r="P537" s="43">
        <v>1</v>
      </c>
      <c r="Q537" s="42">
        <v>2</v>
      </c>
      <c r="R537" s="42">
        <v>2</v>
      </c>
      <c r="S537" s="42">
        <v>5</v>
      </c>
      <c r="T537" s="42">
        <v>3</v>
      </c>
      <c r="U537" s="43">
        <v>1</v>
      </c>
      <c r="V537" s="42">
        <v>4</v>
      </c>
      <c r="W537" s="42">
        <v>6</v>
      </c>
      <c r="X537" s="42">
        <v>1</v>
      </c>
      <c r="Y537" s="43">
        <v>1</v>
      </c>
      <c r="Z537" s="42" t="s">
        <v>45</v>
      </c>
      <c r="AA537" s="42" t="s">
        <v>45</v>
      </c>
      <c r="AB537" s="42" t="s">
        <v>45</v>
      </c>
      <c r="AC537" s="42" t="s">
        <v>45</v>
      </c>
      <c r="AD537" s="42" t="s">
        <v>45</v>
      </c>
      <c r="AE537" s="42" t="s">
        <v>45</v>
      </c>
      <c r="AF537" s="42" t="s">
        <v>45</v>
      </c>
      <c r="AG537" s="43">
        <v>2</v>
      </c>
      <c r="AH537" s="42">
        <v>3</v>
      </c>
      <c r="AI537" s="42">
        <v>4</v>
      </c>
      <c r="AJ537" s="43">
        <v>5</v>
      </c>
      <c r="AK537" s="45" t="s">
        <v>717</v>
      </c>
      <c r="AL537" s="45" t="s">
        <v>705</v>
      </c>
      <c r="AM537" s="46">
        <f>($L$3*(L537-$Q$1)/$Q$2+$M$3*(M537-$R$1)/$R$2+$N$3*(N537-$S$1)/$S$2+$O$3*(O537-$T$1)/$T$2+$P$3*(P537-$U$1)/$U$2)/(SUM($L$3:$P$3))</f>
        <v>-1.828510811770188</v>
      </c>
      <c r="AN537" s="46">
        <f>($L$3*(Q537-$Q$1)/$Q$2+$M$3*(R537-$R$1)/$R$2+$N$3*(S537-$S$1)/$S$2+$O$3*(T537-$T$1)/$T$2+$P$3*(U537-$U$1)/$U$2)/(SUM($L$3:$P$3))</f>
        <v>-1.1990625578914258</v>
      </c>
      <c r="AO537" s="47">
        <f>IF(AVERAGE(AH537:AI537)&gt;9,1,0)+IF(AVERAGE(AH537:AI537)&gt;7,1,0)+IF(AH537&gt;7,1,0)+IF(AI537&gt;7,1,0)+IF(AJ537&gt;8,1,0)+IF(AJ537&gt;6,1,0)</f>
        <v>0</v>
      </c>
      <c r="AP537" s="48">
        <f>MIN(2,IF(OR(Z537="-",X537&lt;5),0,1+IF(Y537&gt;7,0.35,IF(Y537&gt;5,0.1,0))+IF(Z537&gt;7,1+IF(X537&gt;7,0.25,0),IF(Z537&gt;4,0.5+IF(X537&gt;7,0.25,0),0+IF(X537&gt;7,0.25))))+IF(AA537="-",0,IF(AA537&gt;9,0.5,IF(AA537&gt;7,0.25,0)))+IF(AB537="-",0,IF(AB537&gt;7,1.1,IF(AB537&gt;4,0.6,0)))+IF(OR(AC537="-",V537&lt;5),0,IF(AC537&gt;7,1+IF(V537&gt;7,0.25,0),IF(AC537&gt;4,0.5+IF(V537&gt;7,0.25,0),0)))+IF(AD537="-",0,IF(AD537&gt;7,1.5,IF(AD537&gt;4,1,0)))+IF(AE537="-",0,IF(AE537&gt;9,0.5,IF(AE537&gt;7,0.25,0)))+IF(AF537="-",0,IF(AF537&gt;7,1.25,IF(AF537&gt;4,0.75,0)))+IF(OR(AG537="-",W537&lt;4),0,IF(AG537&gt;7,1+IF(W537&gt;7,0.15,0),IF(AG537&gt;4,0.5+IF(W537&gt;7,0.15,0),0))))</f>
        <v>0</v>
      </c>
      <c r="AQ537" s="46">
        <f>($AM$3*AM537+$AN$3*AN537+$AO$3*AO537+$AP$3*AP537)+$I$3*VLOOKUP(I537,COND!$A$2:$E$7,4,FALSE)+$J$3*VLOOKUP(J537,COND!$A$2:$C$7,2,FALSE)+$K$3*VLOOKUP(K537,COND!$A$2:$C$7,3,FALSE)+IF(AND($B$2&gt;0,$E537&lt;20),$B$2*25,0)</f>
        <v>30.428398224125871</v>
      </c>
      <c r="AR537" s="49">
        <f>STANDARDIZE(AQ537,AVERAGE($AQ$5:$AQ$537),STDEVP($AQ$5:$AQ$537))</f>
        <v>-1.7453315248073411</v>
      </c>
      <c r="AS537" s="47" t="str">
        <f>IF(AND(Z537&lt;&gt;"-",Y537&gt;1),"C",IF(AB537=MAX(AB537:AD537),"2B",IF(AD537=MAX(AB537:AD537),"SS",IF(OR(AC537=MAX(AA537:AD537),AND(AC537&lt;&gt;"-",AC537&gt;4,V537&gt;5)),"3B",IF(AF537=MAX(AE537:AG537),"CF",IF(AND(AG537=MAX(AE537,AG537),AND(W537&gt;5,AG537&lt;&gt;"-")),"RF",IF(AE537&lt;&gt;"-","LF",IF(AA537&lt;&gt;"-","1B","DH"))))))))</f>
        <v>RF</v>
      </c>
      <c r="AT537" s="47"/>
      <c r="AU537" s="47"/>
      <c r="AV537" s="47"/>
      <c r="AW537" s="47" t="str">
        <f>IF(AND($Q537&gt;=6,AVERAGE($S537:$T537)&gt;=6),"Likely",IF(OR($Q537&gt;6,AND($Q537=6,AVERAGE($S537:$T537)&gt;=3),AND($Q537&gt;=5,AVERAGE($S537:$T537)&gt;=5),AVERAGE($Q537,$S537:$T537)&gt;5),"Possible","Unlikely"))</f>
        <v>Unlikely</v>
      </c>
      <c r="AX537" s="47"/>
      <c r="AY537" s="47" t="str">
        <f>INDEX(Table5[[#All],[Ovr]],MATCH(Batters[[#This Row],[PID]],Table5[[#All],[PID]],0))</f>
        <v/>
      </c>
      <c r="AZ537" s="47" t="str">
        <f>INDEX(Table5[[#All],[Rnd]],MATCH(Batters[[#This Row],[PID]],Table5[[#All],[PID]],0))</f>
        <v/>
      </c>
      <c r="BA537" s="47" t="str">
        <f>INDEX(Table5[[#All],[Pick]],MATCH(Batters[[#This Row],[PID]],Table5[[#All],[PID]],0))</f>
        <v/>
      </c>
      <c r="BB537" s="47" t="str">
        <f>INDEX(Table5[[#All],[Team]],MATCH(Batters[[#This Row],[PID]],Table5[[#All],[PID]],0))</f>
        <v/>
      </c>
    </row>
    <row r="538" spans="1:54" ht="15" customHeight="1" x14ac:dyDescent="0.25">
      <c r="A538" s="42">
        <v>17992</v>
      </c>
      <c r="B538" s="42" t="s">
        <v>50</v>
      </c>
      <c r="C538" s="42" t="s">
        <v>143</v>
      </c>
      <c r="D538" s="42" t="s">
        <v>1363</v>
      </c>
      <c r="E538" s="42">
        <v>21</v>
      </c>
      <c r="F538" s="42" t="s">
        <v>42</v>
      </c>
      <c r="G538" s="42" t="s">
        <v>42</v>
      </c>
      <c r="H538" s="43" t="s">
        <v>721</v>
      </c>
      <c r="I538" s="44" t="s">
        <v>44</v>
      </c>
      <c r="J538" s="42" t="s">
        <v>44</v>
      </c>
      <c r="K538" s="43" t="s">
        <v>44</v>
      </c>
      <c r="L538" s="42">
        <v>1</v>
      </c>
      <c r="M538" s="42">
        <v>1</v>
      </c>
      <c r="N538" s="42">
        <v>2</v>
      </c>
      <c r="O538" s="42">
        <v>2</v>
      </c>
      <c r="P538" s="43">
        <v>1</v>
      </c>
      <c r="Q538" s="42">
        <v>2</v>
      </c>
      <c r="R538" s="42">
        <v>3</v>
      </c>
      <c r="S538" s="42">
        <v>4</v>
      </c>
      <c r="T538" s="42">
        <v>5</v>
      </c>
      <c r="U538" s="43">
        <v>1</v>
      </c>
      <c r="V538" s="42">
        <v>3</v>
      </c>
      <c r="W538" s="42">
        <v>6</v>
      </c>
      <c r="X538" s="42">
        <v>1</v>
      </c>
      <c r="Y538" s="43">
        <v>1</v>
      </c>
      <c r="Z538" s="42" t="s">
        <v>45</v>
      </c>
      <c r="AA538" s="42" t="s">
        <v>45</v>
      </c>
      <c r="AB538" s="42" t="s">
        <v>45</v>
      </c>
      <c r="AC538" s="42" t="s">
        <v>45</v>
      </c>
      <c r="AD538" s="42" t="s">
        <v>45</v>
      </c>
      <c r="AE538" s="42">
        <v>4</v>
      </c>
      <c r="AF538" s="42">
        <v>2</v>
      </c>
      <c r="AG538" s="43">
        <v>2</v>
      </c>
      <c r="AH538" s="42">
        <v>8</v>
      </c>
      <c r="AI538" s="42">
        <v>7</v>
      </c>
      <c r="AJ538" s="43">
        <v>5</v>
      </c>
      <c r="AK538" s="45" t="s">
        <v>717</v>
      </c>
      <c r="AL538" s="45" t="s">
        <v>47</v>
      </c>
      <c r="AM538" s="46">
        <f>($L$3*(L538-$Q$1)/$Q$2+$M$3*(M538-$R$1)/$R$2+$N$3*(N538-$S$1)/$S$2+$O$3*(O538-$T$1)/$T$2+$P$3*(P538-$U$1)/$U$2)/(SUM($L$3:$P$3))</f>
        <v>-1.9115723057940897</v>
      </c>
      <c r="AN538" s="46">
        <f>($L$3*(Q538-$Q$1)/$Q$2+$M$3*(R538-$R$1)/$R$2+$N$3*(S538-$S$1)/$S$2+$O$3*(T538-$T$1)/$T$2+$P$3*(U538-$U$1)/$U$2)/(SUM($L$3:$P$3))</f>
        <v>-1.0516450722774617</v>
      </c>
      <c r="AO538" s="47">
        <f>IF(AVERAGE(AH538:AI538)&gt;9,1,0)+IF(AVERAGE(AH538:AI538)&gt;7,1,0)+IF(AH538&gt;7,1,0)+IF(AI538&gt;7,1,0)+IF(AJ538&gt;8,1,0)+IF(AJ538&gt;6,1,0)</f>
        <v>2</v>
      </c>
      <c r="AP538" s="48">
        <f>MIN(2,IF(OR(Z538="-",X538&lt;5),0,1+IF(Y538&gt;7,0.35,IF(Y538&gt;5,0.1,0))+IF(Z538&gt;7,1+IF(X538&gt;7,0.25,0),IF(Z538&gt;4,0.5+IF(X538&gt;7,0.25,0),0+IF(X538&gt;7,0.25))))+IF(AA538="-",0,IF(AA538&gt;9,0.5,IF(AA538&gt;7,0.25,0)))+IF(AB538="-",0,IF(AB538&gt;7,1.1,IF(AB538&gt;4,0.6,0)))+IF(OR(AC538="-",V538&lt;5),0,IF(AC538&gt;7,1+IF(V538&gt;7,0.25,0),IF(AC538&gt;4,0.5+IF(V538&gt;7,0.25,0),0)))+IF(AD538="-",0,IF(AD538&gt;7,1.5,IF(AD538&gt;4,1,0)))+IF(AE538="-",0,IF(AE538&gt;9,0.5,IF(AE538&gt;7,0.25,0)))+IF(AF538="-",0,IF(AF538&gt;7,1.25,IF(AF538&gt;4,0.75,0)))+IF(OR(AG538="-",W538&lt;4),0,IF(AG538&gt;7,1+IF(W538&gt;7,0.15,0),IF(AG538&gt;4,0.5+IF(W538&gt;7,0.15,0),0))))</f>
        <v>0</v>
      </c>
      <c r="AQ538" s="46">
        <f>($AM$3*AM538+$AN$3*AN538+$AO$3*AO538+$AP$3*AP538)+$I$3*VLOOKUP(I538,COND!$A$2:$E$7,4,FALSE)+$J$3*VLOOKUP(J538,COND!$A$2:$C$7,2,FALSE)+$K$3*VLOOKUP(K538,COND!$A$2:$C$7,3,FALSE)+IF(AND($B$2&gt;0,$E538&lt;20),$B$2*25,0)</f>
        <v>31.772435235424386</v>
      </c>
      <c r="AR538" s="49">
        <f>STANDARDIZE(AQ538,AVERAGE($AQ$5:$AQ$537),STDEVP($AQ$5:$AQ$537))</f>
        <v>-1.5088571455470952</v>
      </c>
      <c r="AS538" s="47" t="str">
        <f>IF(AND(Z538&lt;&gt;"-",Y538&gt;1),"C",IF(AB538=MAX(AB538:AD538),"2B",IF(AD538=MAX(AB538:AD538),"SS",IF(OR(AC538=MAX(AA538:AD538),AND(AC538&lt;&gt;"-",AC538&gt;4,V538&gt;5)),"3B",IF(AF538=MAX(AE538:AG538),"CF",IF(AND(AG538=MAX(AE538,AG538),AND(W538&gt;5,AG538&lt;&gt;"-")),"RF",IF(AE538&lt;&gt;"-","LF",IF(AA538&lt;&gt;"-","1B","DH"))))))))</f>
        <v>LF</v>
      </c>
      <c r="AT538" s="47"/>
      <c r="AU538" s="47"/>
      <c r="AV538" s="47"/>
      <c r="AW538" s="47" t="str">
        <f>IF(AND($Q538&gt;=6,AVERAGE($S538:$T538)&gt;=6),"Likely",IF(OR($Q538&gt;6,AND($Q538=6,AVERAGE($S538:$T538)&gt;=3),AND($Q538&gt;=5,AVERAGE($S538:$T538)&gt;=5),AVERAGE($Q538,$S538:$T538)&gt;5),"Possible","Unlikely"))</f>
        <v>Unlikely</v>
      </c>
      <c r="AX538" s="47"/>
      <c r="AY538" s="47" t="str">
        <f>INDEX(Table5[[#All],[Ovr]],MATCH(Batters[[#This Row],[PID]],Table5[[#All],[PID]],0))</f>
        <v/>
      </c>
      <c r="AZ538" s="47" t="str">
        <f>INDEX(Table5[[#All],[Rnd]],MATCH(Batters[[#This Row],[PID]],Table5[[#All],[PID]],0))</f>
        <v/>
      </c>
      <c r="BA538" s="47" t="str">
        <f>INDEX(Table5[[#All],[Pick]],MATCH(Batters[[#This Row],[PID]],Table5[[#All],[PID]],0))</f>
        <v/>
      </c>
      <c r="BB538" s="47" t="str">
        <f>INDEX(Table5[[#All],[Team]],MATCH(Batters[[#This Row],[PID]],Table5[[#All],[PID]],0))</f>
        <v/>
      </c>
    </row>
    <row r="539" spans="1:54" ht="15" customHeight="1" x14ac:dyDescent="0.25">
      <c r="A539" s="42">
        <v>9893</v>
      </c>
      <c r="B539" s="42" t="s">
        <v>69</v>
      </c>
      <c r="C539" s="42" t="s">
        <v>327</v>
      </c>
      <c r="D539" s="42" t="s">
        <v>877</v>
      </c>
      <c r="E539" s="42">
        <v>21</v>
      </c>
      <c r="F539" s="42" t="s">
        <v>42</v>
      </c>
      <c r="G539" s="42" t="s">
        <v>42</v>
      </c>
      <c r="H539" s="43" t="s">
        <v>711</v>
      </c>
      <c r="I539" s="44" t="s">
        <v>44</v>
      </c>
      <c r="J539" s="42" t="s">
        <v>44</v>
      </c>
      <c r="K539" s="43" t="s">
        <v>43</v>
      </c>
      <c r="L539" s="42">
        <v>1</v>
      </c>
      <c r="M539" s="42">
        <v>2</v>
      </c>
      <c r="N539" s="42">
        <v>2</v>
      </c>
      <c r="O539" s="42">
        <v>2</v>
      </c>
      <c r="P539" s="43">
        <v>2</v>
      </c>
      <c r="Q539" s="42">
        <v>2</v>
      </c>
      <c r="R539" s="42">
        <v>3</v>
      </c>
      <c r="S539" s="42">
        <v>2</v>
      </c>
      <c r="T539" s="42">
        <v>4</v>
      </c>
      <c r="U539" s="43">
        <v>4</v>
      </c>
      <c r="V539" s="42">
        <v>9</v>
      </c>
      <c r="W539" s="42">
        <v>8</v>
      </c>
      <c r="X539" s="42">
        <v>1</v>
      </c>
      <c r="Y539" s="43">
        <v>1</v>
      </c>
      <c r="Z539" s="42" t="s">
        <v>45</v>
      </c>
      <c r="AA539" s="42" t="s">
        <v>45</v>
      </c>
      <c r="AB539" s="42">
        <v>1</v>
      </c>
      <c r="AC539" s="42">
        <v>5</v>
      </c>
      <c r="AD539" s="42" t="s">
        <v>45</v>
      </c>
      <c r="AE539" s="42" t="s">
        <v>45</v>
      </c>
      <c r="AF539" s="42" t="s">
        <v>45</v>
      </c>
      <c r="AG539" s="43" t="s">
        <v>45</v>
      </c>
      <c r="AH539" s="42">
        <v>6</v>
      </c>
      <c r="AI539" s="42">
        <v>3</v>
      </c>
      <c r="AJ539" s="43">
        <v>2</v>
      </c>
      <c r="AK539" s="45" t="s">
        <v>758</v>
      </c>
      <c r="AL539" s="45" t="s">
        <v>47</v>
      </c>
      <c r="AM539" s="46">
        <f>($L$3*(L539-$Q$1)/$Q$2+$M$3*(M539-$R$1)/$R$2+$N$3*(N539-$S$1)/$S$2+$O$3*(O539-$T$1)/$T$2+$P$3*(P539-$U$1)/$U$2)/(SUM($L$3:$P$3))</f>
        <v>-1.8204960863583022</v>
      </c>
      <c r="AN539" s="46">
        <f>($L$3*(Q539-$Q$1)/$Q$2+$M$3*(R539-$R$1)/$R$2+$N$3*(S539-$S$1)/$S$2+$O$3*(T539-$T$1)/$T$2+$P$3*(U539-$U$1)/$U$2)/(SUM($L$3:$P$3))</f>
        <v>-1.1874285908835953</v>
      </c>
      <c r="AO539" s="47">
        <f>IF(AVERAGE(AH539:AI539)&gt;9,1,0)+IF(AVERAGE(AH539:AI539)&gt;7,1,0)+IF(AH539&gt;7,1,0)+IF(AI539&gt;7,1,0)+IF(AJ539&gt;8,1,0)+IF(AJ539&gt;6,1,0)</f>
        <v>0</v>
      </c>
      <c r="AP539" s="48">
        <f>MIN(2,IF(OR(Z539="-",X539&lt;5),0,1+IF(Y539&gt;7,0.35,IF(Y539&gt;5,0.1,0))+IF(Z539&gt;7,1+IF(X539&gt;7,0.25,0),IF(Z539&gt;4,0.5+IF(X539&gt;7,0.25,0),0+IF(X539&gt;7,0.25))))+IF(AA539="-",0,IF(AA539&gt;9,0.5,IF(AA539&gt;7,0.25,0)))+IF(AB539="-",0,IF(AB539&gt;7,1.1,IF(AB539&gt;4,0.6,0)))+IF(OR(AC539="-",V539&lt;5),0,IF(AC539&gt;7,1+IF(V539&gt;7,0.25,0),IF(AC539&gt;4,0.5+IF(V539&gt;7,0.25,0),0)))+IF(AD539="-",0,IF(AD539&gt;7,1.5,IF(AD539&gt;4,1,0)))+IF(AE539="-",0,IF(AE539&gt;9,0.5,IF(AE539&gt;7,0.25,0)))+IF(AF539="-",0,IF(AF539&gt;7,1.25,IF(AF539&gt;4,0.75,0)))+IF(OR(AG539="-",W539&lt;4),0,IF(AG539&gt;7,1+IF(W539&gt;7,0.15,0),IF(AG539&gt;4,0.5+IF(W539&gt;7,0.15,0),0))))</f>
        <v>0.75</v>
      </c>
      <c r="AQ539" s="46">
        <f>($AM$3*AM539+$AN$3*AN539+$AO$3*AO539+$AP$3*AP539)+$I$3*VLOOKUP(I539,COND!$A$2:$E$7,4,FALSE)+$J$3*VLOOKUP(J539,COND!$A$2:$C$7,2,FALSE)+$K$3*VLOOKUP(K539,COND!$A$2:$C$7,3,FALSE)+IF(AND($B$2&gt;0,$E539&lt;20),$B$2*25,0)</f>
        <v>30.868807300761024</v>
      </c>
      <c r="AR539" s="49">
        <f>STANDARDIZE(AQ539,AVERAGE($AQ$5:$AQ$537),STDEVP($AQ$5:$AQ$537))</f>
        <v>-1.6678444748657195</v>
      </c>
      <c r="AS539" s="47" t="str">
        <f>IF(AND(Z539&lt;&gt;"-",Y539&gt;1),"C",IF(AB539=MAX(AB539:AD539),"2B",IF(AD539=MAX(AB539:AD539),"SS",IF(OR(AC539=MAX(AA539:AD539),AND(AC539&lt;&gt;"-",AC539&gt;4,V539&gt;5)),"3B",IF(AF539=MAX(AE539:AG539),"CF",IF(AND(AG539=MAX(AE539,AG539),AND(W539&gt;5,AG539&lt;&gt;"-")),"RF",IF(AE539&lt;&gt;"-","LF",IF(AA539&lt;&gt;"-","1B","DH"))))))))</f>
        <v>3B</v>
      </c>
      <c r="AT539" s="47"/>
      <c r="AU539" s="47"/>
      <c r="AV539" s="47"/>
      <c r="AW539" s="47" t="str">
        <f>IF(AND($Q539&gt;=6,AVERAGE($S539:$T539)&gt;=6),"Likely",IF(OR($Q539&gt;6,AND($Q539=6,AVERAGE($S539:$T539)&gt;=3),AND($Q539&gt;=5,AVERAGE($S539:$T539)&gt;=5),AVERAGE($Q539,$S539:$T539)&gt;5),"Possible","Unlikely"))</f>
        <v>Unlikely</v>
      </c>
      <c r="AX539" s="47"/>
      <c r="AY539" s="47" t="str">
        <f>INDEX(Table5[[#All],[Ovr]],MATCH(Batters[[#This Row],[PID]],Table5[[#All],[PID]],0))</f>
        <v/>
      </c>
      <c r="AZ539" s="47" t="str">
        <f>INDEX(Table5[[#All],[Rnd]],MATCH(Batters[[#This Row],[PID]],Table5[[#All],[PID]],0))</f>
        <v/>
      </c>
      <c r="BA539" s="47" t="str">
        <f>INDEX(Table5[[#All],[Pick]],MATCH(Batters[[#This Row],[PID]],Table5[[#All],[PID]],0))</f>
        <v/>
      </c>
      <c r="BB539" s="47" t="str">
        <f>INDEX(Table5[[#All],[Team]],MATCH(Batters[[#This Row],[PID]],Table5[[#All],[PID]],0))</f>
        <v/>
      </c>
    </row>
    <row r="540" spans="1:54" ht="15" customHeight="1" x14ac:dyDescent="0.25">
      <c r="A540" s="42">
        <v>2195</v>
      </c>
      <c r="B540" s="42" t="s">
        <v>87</v>
      </c>
      <c r="C540" s="42" t="s">
        <v>198</v>
      </c>
      <c r="D540" s="42" t="s">
        <v>1272</v>
      </c>
      <c r="E540" s="42">
        <v>21</v>
      </c>
      <c r="F540" s="42" t="s">
        <v>53</v>
      </c>
      <c r="G540" s="42" t="s">
        <v>42</v>
      </c>
      <c r="H540" s="43" t="s">
        <v>721</v>
      </c>
      <c r="I540" s="44" t="s">
        <v>44</v>
      </c>
      <c r="J540" s="42" t="s">
        <v>44</v>
      </c>
      <c r="K540" s="43" t="s">
        <v>44</v>
      </c>
      <c r="L540" s="42">
        <v>2</v>
      </c>
      <c r="M540" s="42">
        <v>3</v>
      </c>
      <c r="N540" s="42">
        <v>2</v>
      </c>
      <c r="O540" s="42">
        <v>1</v>
      </c>
      <c r="P540" s="43">
        <v>2</v>
      </c>
      <c r="Q540" s="42">
        <v>3</v>
      </c>
      <c r="R540" s="42">
        <v>3</v>
      </c>
      <c r="S540" s="42">
        <v>2</v>
      </c>
      <c r="T540" s="42">
        <v>2</v>
      </c>
      <c r="U540" s="43">
        <v>4</v>
      </c>
      <c r="V540" s="42">
        <v>4</v>
      </c>
      <c r="W540" s="42">
        <v>1</v>
      </c>
      <c r="X540" s="42">
        <v>1</v>
      </c>
      <c r="Y540" s="43">
        <v>1</v>
      </c>
      <c r="Z540" s="42" t="s">
        <v>45</v>
      </c>
      <c r="AA540" s="42" t="s">
        <v>45</v>
      </c>
      <c r="AB540" s="42" t="s">
        <v>45</v>
      </c>
      <c r="AC540" s="42" t="s">
        <v>45</v>
      </c>
      <c r="AD540" s="42" t="s">
        <v>45</v>
      </c>
      <c r="AE540" s="42" t="s">
        <v>45</v>
      </c>
      <c r="AF540" s="42" t="s">
        <v>45</v>
      </c>
      <c r="AG540" s="43" t="s">
        <v>45</v>
      </c>
      <c r="AH540" s="42">
        <v>2</v>
      </c>
      <c r="AI540" s="42">
        <v>1</v>
      </c>
      <c r="AJ540" s="43">
        <v>3</v>
      </c>
      <c r="AK540" s="45" t="s">
        <v>45</v>
      </c>
      <c r="AL540" s="45" t="s">
        <v>705</v>
      </c>
      <c r="AM540" s="46">
        <f>($L$3*(L540-$Q$1)/$Q$2+$M$3*(M540-$R$1)/$R$2+$N$3*(N540-$S$1)/$S$2+$O$3*(O540-$T$1)/$T$2+$P$3*(P540-$U$1)/$U$2)/(SUM($L$3:$P$3))</f>
        <v>-1.5365899205465052</v>
      </c>
      <c r="AN540" s="46">
        <f>($L$3*(Q540-$Q$1)/$Q$2+$M$3*(R540-$R$1)/$R$2+$N$3*(S540-$S$1)/$S$2+$O$3*(T540-$T$1)/$T$2+$P$3*(U540-$U$1)/$U$2)/(SUM($L$3:$P$3))</f>
        <v>-1.0442918547000826</v>
      </c>
      <c r="AO540" s="47">
        <f>IF(AVERAGE(AH540:AI540)&gt;9,1,0)+IF(AVERAGE(AH540:AI540)&gt;7,1,0)+IF(AH540&gt;7,1,0)+IF(AI540&gt;7,1,0)+IF(AJ540&gt;8,1,0)+IF(AJ540&gt;6,1,0)</f>
        <v>0</v>
      </c>
      <c r="AP540" s="48">
        <f>MIN(2,IF(OR(Z540="-",X540&lt;5),0,1+IF(Y540&gt;7,0.35,IF(Y540&gt;5,0.1,0))+IF(Z540&gt;7,1+IF(X540&gt;7,0.25,0),IF(Z540&gt;4,0.5+IF(X540&gt;7,0.25,0),0+IF(X540&gt;7,0.25))))+IF(AA540="-",0,IF(AA540&gt;9,0.5,IF(AA540&gt;7,0.25,0)))+IF(AB540="-",0,IF(AB540&gt;7,1.1,IF(AB540&gt;4,0.6,0)))+IF(OR(AC540="-",V540&lt;5),0,IF(AC540&gt;7,1+IF(V540&gt;7,0.25,0),IF(AC540&gt;4,0.5+IF(V540&gt;7,0.25,0),0)))+IF(AD540="-",0,IF(AD540&gt;7,1.5,IF(AD540&gt;4,1,0)))+IF(AE540="-",0,IF(AE540&gt;9,0.5,IF(AE540&gt;7,0.25,0)))+IF(AF540="-",0,IF(AF540&gt;7,1.25,IF(AF540&gt;4,0.75,0)))+IF(OR(AG540="-",W540&lt;4),0,IF(AG540&gt;7,1+IF(W540&gt;7,0.15,0),IF(AG540&gt;4,0.5+IF(W540&gt;7,0.15,0),0))))</f>
        <v>0</v>
      </c>
      <c r="AQ540" s="46">
        <f>($AM$3*AM540+$AN$3*AN540+$AO$3*AO540+$AP$3*AP540)+$I$3*VLOOKUP(I540,COND!$A$2:$E$7,4,FALSE)+$J$3*VLOOKUP(J540,COND!$A$2:$C$7,2,FALSE)+$K$3*VLOOKUP(K540,COND!$A$2:$C$7,3,FALSE)+IF(AND($B$2&gt;0,$E540&lt;20),$B$2*25,0)</f>
        <v>31.564838751544357</v>
      </c>
      <c r="AR540" s="49">
        <f>STANDARDIZE(AQ540,AVERAGE($AQ$5:$AQ$537),STDEVP($AQ$5:$AQ$537))</f>
        <v>-1.5453823671365741</v>
      </c>
      <c r="AS540" s="47" t="str">
        <f>IF(AND(Z540&lt;&gt;"-",Y540&gt;1),"C",IF(AB540=MAX(AB540:AD540),"2B",IF(AD540=MAX(AB540:AD540),"SS",IF(OR(AC540=MAX(AA540:AD540),AND(AC540&lt;&gt;"-",AC540&gt;4,V540&gt;5)),"3B",IF(AF540=MAX(AE540:AG540),"CF",IF(AND(AG540=MAX(AE540,AG540),AND(W540&gt;5,AG540&lt;&gt;"-")),"RF",IF(AE540&lt;&gt;"-","LF",IF(AA540&lt;&gt;"-","1B","DH"))))))))</f>
        <v>DH</v>
      </c>
      <c r="AT540" s="47"/>
      <c r="AU540" s="47"/>
      <c r="AV540" s="47"/>
      <c r="AW540" s="47" t="str">
        <f>IF(AND($Q540&gt;=6,AVERAGE($S540:$T540)&gt;=6),"Likely",IF(OR($Q540&gt;6,AND($Q540=6,AVERAGE($S540:$T540)&gt;=3),AND($Q540&gt;=5,AVERAGE($S540:$T540)&gt;=5),AVERAGE($Q540,$S540:$T540)&gt;5),"Possible","Unlikely"))</f>
        <v>Unlikely</v>
      </c>
      <c r="AX540" s="47"/>
      <c r="AY540" s="47" t="str">
        <f>INDEX(Table5[[#All],[Ovr]],MATCH(Batters[[#This Row],[PID]],Table5[[#All],[PID]],0))</f>
        <v/>
      </c>
      <c r="AZ540" s="47" t="str">
        <f>INDEX(Table5[[#All],[Rnd]],MATCH(Batters[[#This Row],[PID]],Table5[[#All],[PID]],0))</f>
        <v/>
      </c>
      <c r="BA540" s="47" t="str">
        <f>INDEX(Table5[[#All],[Pick]],MATCH(Batters[[#This Row],[PID]],Table5[[#All],[PID]],0))</f>
        <v/>
      </c>
      <c r="BB540" s="47" t="str">
        <f>INDEX(Table5[[#All],[Team]],MATCH(Batters[[#This Row],[PID]],Table5[[#All],[PID]],0))</f>
        <v/>
      </c>
    </row>
    <row r="541" spans="1:54" ht="15" customHeight="1" x14ac:dyDescent="0.25">
      <c r="A541" s="42">
        <v>12100</v>
      </c>
      <c r="B541" s="42" t="s">
        <v>87</v>
      </c>
      <c r="C541" s="42" t="s">
        <v>200</v>
      </c>
      <c r="D541" s="42" t="s">
        <v>158</v>
      </c>
      <c r="E541" s="42">
        <v>21</v>
      </c>
      <c r="F541" s="42" t="s">
        <v>42</v>
      </c>
      <c r="G541" s="42" t="s">
        <v>42</v>
      </c>
      <c r="H541" s="43" t="s">
        <v>721</v>
      </c>
      <c r="I541" s="44" t="s">
        <v>43</v>
      </c>
      <c r="J541" s="42" t="s">
        <v>44</v>
      </c>
      <c r="K541" s="43" t="s">
        <v>44</v>
      </c>
      <c r="L541" s="42">
        <v>1</v>
      </c>
      <c r="M541" s="42">
        <v>2</v>
      </c>
      <c r="N541" s="42">
        <v>2</v>
      </c>
      <c r="O541" s="42">
        <v>2</v>
      </c>
      <c r="P541" s="43">
        <v>1</v>
      </c>
      <c r="Q541" s="42">
        <v>2</v>
      </c>
      <c r="R541" s="42">
        <v>3</v>
      </c>
      <c r="S541" s="42">
        <v>3</v>
      </c>
      <c r="T541" s="42">
        <v>5</v>
      </c>
      <c r="U541" s="43">
        <v>3</v>
      </c>
      <c r="V541" s="42">
        <v>4</v>
      </c>
      <c r="W541" s="42">
        <v>3</v>
      </c>
      <c r="X541" s="42">
        <v>4</v>
      </c>
      <c r="Y541" s="43">
        <v>6</v>
      </c>
      <c r="Z541" s="42" t="s">
        <v>45</v>
      </c>
      <c r="AA541" s="42">
        <v>2</v>
      </c>
      <c r="AB541" s="42" t="s">
        <v>45</v>
      </c>
      <c r="AC541" s="42" t="s">
        <v>45</v>
      </c>
      <c r="AD541" s="42" t="s">
        <v>45</v>
      </c>
      <c r="AE541" s="42" t="s">
        <v>45</v>
      </c>
      <c r="AF541" s="42" t="s">
        <v>45</v>
      </c>
      <c r="AG541" s="43" t="s">
        <v>45</v>
      </c>
      <c r="AH541" s="42">
        <v>1</v>
      </c>
      <c r="AI541" s="42">
        <v>1</v>
      </c>
      <c r="AJ541" s="43">
        <v>1</v>
      </c>
      <c r="AK541" s="45" t="s">
        <v>717</v>
      </c>
      <c r="AL541" s="45" t="s">
        <v>47</v>
      </c>
      <c r="AM541" s="46">
        <f>($L$3*(L541-$Q$1)/$Q$2+$M$3*(M541-$R$1)/$R$2+$N$3*(N541-$S$1)/$S$2+$O$3*(O541-$T$1)/$T$2+$P$3*(P541-$U$1)/$U$2)/(SUM($L$3:$P$3))</f>
        <v>-1.8605124261753858</v>
      </c>
      <c r="AN541" s="46">
        <f>($L$3*(Q541-$Q$1)/$Q$2+$M$3*(R541-$R$1)/$R$2+$N$3*(S541-$S$1)/$S$2+$O$3*(T541-$T$1)/$T$2+$P$3*(U541-$U$1)/$U$2)/(SUM($L$3:$P$3))</f>
        <v>-1.0546738866671965</v>
      </c>
      <c r="AO541" s="47">
        <f>IF(AVERAGE(AH541:AI541)&gt;9,1,0)+IF(AVERAGE(AH541:AI541)&gt;7,1,0)+IF(AH541&gt;7,1,0)+IF(AI541&gt;7,1,0)+IF(AJ541&gt;8,1,0)+IF(AJ541&gt;6,1,0)</f>
        <v>0</v>
      </c>
      <c r="AP541" s="48">
        <f>MIN(2,IF(OR(Z541="-",X541&lt;5),0,1+IF(Y541&gt;7,0.35,IF(Y541&gt;5,0.1,0))+IF(Z541&gt;7,1+IF(X541&gt;7,0.25,0),IF(Z541&gt;4,0.5+IF(X541&gt;7,0.25,0),0+IF(X541&gt;7,0.25))))+IF(AA541="-",0,IF(AA541&gt;9,0.5,IF(AA541&gt;7,0.25,0)))+IF(AB541="-",0,IF(AB541&gt;7,1.1,IF(AB541&gt;4,0.6,0)))+IF(OR(AC541="-",V541&lt;5),0,IF(AC541&gt;7,1+IF(V541&gt;7,0.25,0),IF(AC541&gt;4,0.5+IF(V541&gt;7,0.25,0),0)))+IF(AD541="-",0,IF(AD541&gt;7,1.5,IF(AD541&gt;4,1,0)))+IF(AE541="-",0,IF(AE541&gt;9,0.5,IF(AE541&gt;7,0.25,0)))+IF(AF541="-",0,IF(AF541&gt;7,1.25,IF(AF541&gt;4,0.75,0)))+IF(OR(AG541="-",W541&lt;4),0,IF(AG541&gt;7,1+IF(W541&gt;7,0.15,0),IF(AG541&gt;4,0.5+IF(W541&gt;7,0.15,0),0))))</f>
        <v>0</v>
      </c>
      <c r="AQ541" s="46">
        <f>($AM$3*AM541+$AN$3*AN541+$AO$3*AO541+$AP$3*AP541)+$I$3*VLOOKUP(I541,COND!$A$2:$E$7,4,FALSE)+$J$3*VLOOKUP(J541,COND!$A$2:$C$7,2,FALSE)+$K$3*VLOOKUP(K541,COND!$A$2:$C$7,3,FALSE)+IF(AND($B$2&gt;0,$E541&lt;20),$B$2*25,0)</f>
        <v>31.5578621173761</v>
      </c>
      <c r="AR541" s="49">
        <f>STANDARDIZE(AQ541,AVERAGE($AQ$5:$AQ$537),STDEVP($AQ$5:$AQ$537))</f>
        <v>-1.5466098595496518</v>
      </c>
      <c r="AS541" s="47" t="str">
        <f>IF(AND(Z541&lt;&gt;"-",Y541&gt;1),"C",IF(AB541=MAX(AB541:AD541),"2B",IF(AD541=MAX(AB541:AD541),"SS",IF(OR(AC541=MAX(AA541:AD541),AND(AC541&lt;&gt;"-",AC541&gt;4,V541&gt;5)),"3B",IF(AF541=MAX(AE541:AG541),"CF",IF(AND(AG541=MAX(AE541,AG541),AND(W541&gt;5,AG541&lt;&gt;"-")),"RF",IF(AE541&lt;&gt;"-","LF",IF(AA541&lt;&gt;"-","1B","DH"))))))))</f>
        <v>1B</v>
      </c>
      <c r="AT541" s="47"/>
      <c r="AU541" s="47"/>
      <c r="AV541" s="47"/>
      <c r="AW541" s="47" t="str">
        <f>IF(AND($Q541&gt;=6,AVERAGE($S541:$T541)&gt;=6),"Likely",IF(OR($Q541&gt;6,AND($Q541=6,AVERAGE($S541:$T541)&gt;=3),AND($Q541&gt;=5,AVERAGE($S541:$T541)&gt;=5),AVERAGE($Q541,$S541:$T541)&gt;5),"Possible","Unlikely"))</f>
        <v>Unlikely</v>
      </c>
      <c r="AX541" s="47"/>
      <c r="AY541" s="47" t="str">
        <f>INDEX(Table5[[#All],[Ovr]],MATCH(Batters[[#This Row],[PID]],Table5[[#All],[PID]],0))</f>
        <v/>
      </c>
      <c r="AZ541" s="47" t="str">
        <f>INDEX(Table5[[#All],[Rnd]],MATCH(Batters[[#This Row],[PID]],Table5[[#All],[PID]],0))</f>
        <v/>
      </c>
      <c r="BA541" s="47" t="str">
        <f>INDEX(Table5[[#All],[Pick]],MATCH(Batters[[#This Row],[PID]],Table5[[#All],[PID]],0))</f>
        <v/>
      </c>
      <c r="BB541" s="47" t="str">
        <f>INDEX(Table5[[#All],[Team]],MATCH(Batters[[#This Row],[PID]],Table5[[#All],[PID]],0))</f>
        <v/>
      </c>
    </row>
    <row r="542" spans="1:54" ht="15" customHeight="1" x14ac:dyDescent="0.25">
      <c r="A542" s="42">
        <v>9720</v>
      </c>
      <c r="B542" s="42" t="s">
        <v>87</v>
      </c>
      <c r="C542" s="42" t="s">
        <v>411</v>
      </c>
      <c r="D542" s="42" t="s">
        <v>187</v>
      </c>
      <c r="E542" s="42">
        <v>21</v>
      </c>
      <c r="F542" s="42" t="s">
        <v>42</v>
      </c>
      <c r="G542" s="42" t="s">
        <v>53</v>
      </c>
      <c r="H542" s="43" t="s">
        <v>721</v>
      </c>
      <c r="I542" s="44" t="s">
        <v>43</v>
      </c>
      <c r="J542" s="42" t="s">
        <v>43</v>
      </c>
      <c r="K542" s="43" t="s">
        <v>43</v>
      </c>
      <c r="L542" s="42">
        <v>2</v>
      </c>
      <c r="M542" s="42">
        <v>2</v>
      </c>
      <c r="N542" s="42">
        <v>2</v>
      </c>
      <c r="O542" s="42">
        <v>1</v>
      </c>
      <c r="P542" s="43">
        <v>1</v>
      </c>
      <c r="Q542" s="42">
        <v>3</v>
      </c>
      <c r="R542" s="42">
        <v>2</v>
      </c>
      <c r="S542" s="42">
        <v>2</v>
      </c>
      <c r="T542" s="42">
        <v>1</v>
      </c>
      <c r="U542" s="43">
        <v>3</v>
      </c>
      <c r="V542" s="42">
        <v>6</v>
      </c>
      <c r="W542" s="42">
        <v>2</v>
      </c>
      <c r="X542" s="42">
        <v>1</v>
      </c>
      <c r="Y542" s="43">
        <v>1</v>
      </c>
      <c r="Z542" s="42" t="s">
        <v>45</v>
      </c>
      <c r="AA542" s="42">
        <v>1</v>
      </c>
      <c r="AB542" s="42" t="s">
        <v>45</v>
      </c>
      <c r="AC542" s="42" t="s">
        <v>45</v>
      </c>
      <c r="AD542" s="42" t="s">
        <v>45</v>
      </c>
      <c r="AE542" s="42" t="s">
        <v>45</v>
      </c>
      <c r="AF542" s="42" t="s">
        <v>45</v>
      </c>
      <c r="AG542" s="43" t="s">
        <v>45</v>
      </c>
      <c r="AH542" s="42">
        <v>1</v>
      </c>
      <c r="AI542" s="42">
        <v>1</v>
      </c>
      <c r="AJ542" s="43">
        <v>1</v>
      </c>
      <c r="AK542" s="45" t="s">
        <v>45</v>
      </c>
      <c r="AL542" s="45" t="s">
        <v>705</v>
      </c>
      <c r="AM542" s="46">
        <f>($L$3*(L542-$Q$1)/$Q$2+$M$3*(M542-$R$1)/$R$2+$N$3*(N542-$S$1)/$S$2+$O$3*(O542-$T$1)/$T$2+$P$3*(P542-$U$1)/$U$2)/(SUM($L$3:$P$3))</f>
        <v>-1.6276661399822923</v>
      </c>
      <c r="AN542" s="46">
        <f>($L$3*(Q542-$Q$1)/$Q$2+$M$3*(R542-$R$1)/$R$2+$N$3*(S542-$S$1)/$S$2+$O$3*(T542-$T$1)/$T$2+$P$3*(U542-$U$1)/$U$2)/(SUM($L$3:$P$3))</f>
        <v>-1.2250776241454506</v>
      </c>
      <c r="AO542" s="47">
        <f>IF(AVERAGE(AH542:AI542)&gt;9,1,0)+IF(AVERAGE(AH542:AI542)&gt;7,1,0)+IF(AH542&gt;7,1,0)+IF(AI542&gt;7,1,0)+IF(AJ542&gt;8,1,0)+IF(AJ542&gt;6,1,0)</f>
        <v>0</v>
      </c>
      <c r="AP542" s="48">
        <f>MIN(2,IF(OR(Z542="-",X542&lt;5),0,1+IF(Y542&gt;7,0.35,IF(Y542&gt;5,0.1,0))+IF(Z542&gt;7,1+IF(X542&gt;7,0.25,0),IF(Z542&gt;4,0.5+IF(X542&gt;7,0.25,0),0+IF(X542&gt;7,0.25))))+IF(AA542="-",0,IF(AA542&gt;9,0.5,IF(AA542&gt;7,0.25,0)))+IF(AB542="-",0,IF(AB542&gt;7,1.1,IF(AB542&gt;4,0.6,0)))+IF(OR(AC542="-",V542&lt;5),0,IF(AC542&gt;7,1+IF(V542&gt;7,0.25,0),IF(AC542&gt;4,0.5+IF(V542&gt;7,0.25,0),0)))+IF(AD542="-",0,IF(AD542&gt;7,1.5,IF(AD542&gt;4,1,0)))+IF(AE542="-",0,IF(AE542&gt;9,0.5,IF(AE542&gt;7,0.25,0)))+IF(AF542="-",0,IF(AF542&gt;7,1.25,IF(AF542&gt;4,0.75,0)))+IF(OR(AG542="-",W542&lt;4),0,IF(AG542&gt;7,1+IF(W542&gt;7,0.15,0),IF(AG542&gt;4,0.5+IF(W542&gt;7,0.15,0),0))))</f>
        <v>0</v>
      </c>
      <c r="AQ542" s="46">
        <f>($AM$3*AM542+$AN$3*AN542+$AO$3*AO542+$AP$3*AP542)+$I$3*VLOOKUP(I542,COND!$A$2:$E$7,4,FALSE)+$J$3*VLOOKUP(J542,COND!$A$2:$C$7,2,FALSE)+$K$3*VLOOKUP(K542,COND!$A$2:$C$7,3,FALSE)+IF(AND($B$2&gt;0,$E542&lt;20),$B$2*25,0)</f>
        <v>30.136301896256363</v>
      </c>
      <c r="AR542" s="49">
        <f>STANDARDIZE(AQ542,AVERAGE($AQ$5:$AQ$537),STDEVP($AQ$5:$AQ$537))</f>
        <v>-1.7967239323351705</v>
      </c>
      <c r="AS542" s="47" t="str">
        <f>IF(AND(Z542&lt;&gt;"-",Y542&gt;1),"C",IF(AB542=MAX(AB542:AD542),"2B",IF(AD542=MAX(AB542:AD542),"SS",IF(OR(AC542=MAX(AA542:AD542),AND(AC542&lt;&gt;"-",AC542&gt;4,V542&gt;5)),"3B",IF(AF542=MAX(AE542:AG542),"CF",IF(AND(AG542=MAX(AE542,AG542),AND(W542&gt;5,AG542&lt;&gt;"-")),"RF",IF(AE542&lt;&gt;"-","LF",IF(AA542&lt;&gt;"-","1B","DH"))))))))</f>
        <v>1B</v>
      </c>
      <c r="AT542" s="47"/>
      <c r="AU542" s="47"/>
      <c r="AV542" s="47"/>
      <c r="AW542" s="47" t="str">
        <f>IF(AND($Q542&gt;=6,AVERAGE($S542:$T542)&gt;=6),"Likely",IF(OR($Q542&gt;6,AND($Q542=6,AVERAGE($S542:$T542)&gt;=3),AND($Q542&gt;=5,AVERAGE($S542:$T542)&gt;=5),AVERAGE($Q542,$S542:$T542)&gt;5),"Possible","Unlikely"))</f>
        <v>Unlikely</v>
      </c>
      <c r="AX542" s="47"/>
      <c r="AY542" s="47" t="str">
        <f>INDEX(Table5[[#All],[Ovr]],MATCH(Batters[[#This Row],[PID]],Table5[[#All],[PID]],0))</f>
        <v/>
      </c>
      <c r="AZ542" s="47" t="str">
        <f>INDEX(Table5[[#All],[Rnd]],MATCH(Batters[[#This Row],[PID]],Table5[[#All],[PID]],0))</f>
        <v/>
      </c>
      <c r="BA542" s="47" t="str">
        <f>INDEX(Table5[[#All],[Pick]],MATCH(Batters[[#This Row],[PID]],Table5[[#All],[PID]],0))</f>
        <v/>
      </c>
      <c r="BB542" s="47" t="str">
        <f>INDEX(Table5[[#All],[Team]],MATCH(Batters[[#This Row],[PID]],Table5[[#All],[PID]],0))</f>
        <v/>
      </c>
    </row>
    <row r="543" spans="1:54" ht="15" customHeight="1" x14ac:dyDescent="0.25">
      <c r="A543" s="42">
        <v>17997</v>
      </c>
      <c r="B543" s="42" t="s">
        <v>86</v>
      </c>
      <c r="C543" s="42" t="s">
        <v>191</v>
      </c>
      <c r="D543" s="42" t="s">
        <v>1049</v>
      </c>
      <c r="E543" s="42">
        <v>21</v>
      </c>
      <c r="F543" s="42" t="s">
        <v>42</v>
      </c>
      <c r="G543" s="42" t="s">
        <v>42</v>
      </c>
      <c r="H543" s="43" t="s">
        <v>711</v>
      </c>
      <c r="I543" s="44" t="s">
        <v>43</v>
      </c>
      <c r="J543" s="42" t="s">
        <v>44</v>
      </c>
      <c r="K543" s="43" t="s">
        <v>43</v>
      </c>
      <c r="L543" s="42">
        <v>1</v>
      </c>
      <c r="M543" s="42">
        <v>1</v>
      </c>
      <c r="N543" s="42">
        <v>2</v>
      </c>
      <c r="O543" s="42">
        <v>1</v>
      </c>
      <c r="P543" s="43">
        <v>1</v>
      </c>
      <c r="Q543" s="42">
        <v>2</v>
      </c>
      <c r="R543" s="42">
        <v>3</v>
      </c>
      <c r="S543" s="42">
        <v>3</v>
      </c>
      <c r="T543" s="42">
        <v>4</v>
      </c>
      <c r="U543" s="43">
        <v>3</v>
      </c>
      <c r="V543" s="42">
        <v>2</v>
      </c>
      <c r="W543" s="42">
        <v>3</v>
      </c>
      <c r="X543" s="42">
        <v>4</v>
      </c>
      <c r="Y543" s="43">
        <v>6</v>
      </c>
      <c r="Z543" s="42">
        <v>2</v>
      </c>
      <c r="AA543" s="42" t="s">
        <v>45</v>
      </c>
      <c r="AB543" s="42" t="s">
        <v>45</v>
      </c>
      <c r="AC543" s="42" t="s">
        <v>45</v>
      </c>
      <c r="AD543" s="42" t="s">
        <v>45</v>
      </c>
      <c r="AE543" s="42" t="s">
        <v>45</v>
      </c>
      <c r="AF543" s="42" t="s">
        <v>45</v>
      </c>
      <c r="AG543" s="43" t="s">
        <v>45</v>
      </c>
      <c r="AH543" s="42">
        <v>1</v>
      </c>
      <c r="AI543" s="42">
        <v>2</v>
      </c>
      <c r="AJ543" s="43">
        <v>4</v>
      </c>
      <c r="AK543" s="45" t="s">
        <v>45</v>
      </c>
      <c r="AL543" s="45" t="s">
        <v>47</v>
      </c>
      <c r="AM543" s="46">
        <f>($L$3*(L543-$Q$1)/$Q$2+$M$3*(M543-$R$1)/$R$2+$N$3*(N543-$S$1)/$S$2+$O$3*(O543-$T$1)/$T$2+$P$3*(P543-$U$1)/$U$2)/(SUM($L$3:$P$3))</f>
        <v>-2.0012818558036707</v>
      </c>
      <c r="AN543" s="46">
        <f>($L$3*(Q543-$Q$1)/$Q$2+$M$3*(R543-$R$1)/$R$2+$N$3*(S543-$S$1)/$S$2+$O$3*(T543-$T$1)/$T$2+$P$3*(U543-$U$1)/$U$2)/(SUM($L$3:$P$3))</f>
        <v>-1.1443834366767773</v>
      </c>
      <c r="AO543" s="47">
        <f>IF(AVERAGE(AH543:AI543)&gt;9,1,0)+IF(AVERAGE(AH543:AI543)&gt;7,1,0)+IF(AH543&gt;7,1,0)+IF(AI543&gt;7,1,0)+IF(AJ543&gt;8,1,0)+IF(AJ543&gt;6,1,0)</f>
        <v>0</v>
      </c>
      <c r="AP543" s="48">
        <f>MIN(2,IF(OR(Z543="-",X543&lt;5),0,1+IF(Y543&gt;7,0.35,IF(Y543&gt;5,0.1,0))+IF(Z543&gt;7,1+IF(X543&gt;7,0.25,0),IF(Z543&gt;4,0.5+IF(X543&gt;7,0.25,0),0+IF(X543&gt;7,0.25))))+IF(AA543="-",0,IF(AA543&gt;9,0.5,IF(AA543&gt;7,0.25,0)))+IF(AB543="-",0,IF(AB543&gt;7,1.1,IF(AB543&gt;4,0.6,0)))+IF(OR(AC543="-",V543&lt;5),0,IF(AC543&gt;7,1+IF(V543&gt;7,0.25,0),IF(AC543&gt;4,0.5+IF(V543&gt;7,0.25,0),0)))+IF(AD543="-",0,IF(AD543&gt;7,1.5,IF(AD543&gt;4,1,0)))+IF(AE543="-",0,IF(AE543&gt;9,0.5,IF(AE543&gt;7,0.25,0)))+IF(AF543="-",0,IF(AF543&gt;7,1.25,IF(AF543&gt;4,0.75,0)))+IF(OR(AG543="-",W543&lt;4),0,IF(AG543&gt;7,1+IF(W543&gt;7,0.15,0),IF(AG543&gt;4,0.5+IF(W543&gt;7,0.15,0),0))))</f>
        <v>0</v>
      </c>
      <c r="AQ543" s="46">
        <f>($AM$3*AM543+$AN$3*AN543+$AO$3*AO543+$AP$3*AP543)+$I$3*VLOOKUP(I543,COND!$A$2:$E$7,4,FALSE)+$J$3*VLOOKUP(J543,COND!$A$2:$C$7,2,FALSE)+$K$3*VLOOKUP(K543,COND!$A$2:$C$7,3,FALSE)+IF(AND($B$2&gt;0,$E543&lt;20),$B$2*25,0)</f>
        <v>30.767270574298305</v>
      </c>
      <c r="AR543" s="49">
        <f>STANDARDIZE(AQ543,AVERAGE($AQ$5:$AQ$537),STDEVP($AQ$5:$AQ$537))</f>
        <v>-1.6857091870429468</v>
      </c>
      <c r="AS543" s="47" t="str">
        <f>IF(AND(Z543&lt;&gt;"-",Y543&gt;1),"C",IF(AB543=MAX(AB543:AD543),"2B",IF(AD543=MAX(AB543:AD543),"SS",IF(OR(AC543=MAX(AA543:AD543),AND(AC543&lt;&gt;"-",AC543&gt;4,V543&gt;5)),"3B",IF(AF543=MAX(AE543:AG543),"CF",IF(AND(AG543=MAX(AE543,AG543),AND(W543&gt;5,AG543&lt;&gt;"-")),"RF",IF(AE543&lt;&gt;"-","LF",IF(AA543&lt;&gt;"-","1B","DH"))))))))</f>
        <v>C</v>
      </c>
      <c r="AT543" s="47"/>
      <c r="AU543" s="47"/>
      <c r="AV543" s="47"/>
      <c r="AW543" s="47" t="str">
        <f>IF(AND($Q543&gt;=6,AVERAGE($S543:$T543)&gt;=6),"Likely",IF(OR($Q543&gt;6,AND($Q543=6,AVERAGE($S543:$T543)&gt;=3),AND($Q543&gt;=5,AVERAGE($S543:$T543)&gt;=5),AVERAGE($Q543,$S543:$T543)&gt;5),"Possible","Unlikely"))</f>
        <v>Unlikely</v>
      </c>
      <c r="AX543" s="47"/>
      <c r="AY543" s="47" t="str">
        <f>INDEX(Table5[[#All],[Ovr]],MATCH(Batters[[#This Row],[PID]],Table5[[#All],[PID]],0))</f>
        <v/>
      </c>
      <c r="AZ543" s="47" t="str">
        <f>INDEX(Table5[[#All],[Rnd]],MATCH(Batters[[#This Row],[PID]],Table5[[#All],[PID]],0))</f>
        <v/>
      </c>
      <c r="BA543" s="47" t="str">
        <f>INDEX(Table5[[#All],[Pick]],MATCH(Batters[[#This Row],[PID]],Table5[[#All],[PID]],0))</f>
        <v/>
      </c>
      <c r="BB543" s="47" t="str">
        <f>INDEX(Table5[[#All],[Team]],MATCH(Batters[[#This Row],[PID]],Table5[[#All],[PID]],0))</f>
        <v/>
      </c>
    </row>
    <row r="544" spans="1:54" ht="15" customHeight="1" x14ac:dyDescent="0.25">
      <c r="A544" s="42">
        <v>17765</v>
      </c>
      <c r="B544" s="42" t="s">
        <v>69</v>
      </c>
      <c r="C544" s="42" t="s">
        <v>1372</v>
      </c>
      <c r="D544" s="42" t="s">
        <v>1373</v>
      </c>
      <c r="E544" s="42">
        <v>21</v>
      </c>
      <c r="F544" s="42" t="s">
        <v>62</v>
      </c>
      <c r="G544" s="42" t="s">
        <v>42</v>
      </c>
      <c r="H544" s="43" t="s">
        <v>721</v>
      </c>
      <c r="I544" s="44" t="s">
        <v>43</v>
      </c>
      <c r="J544" s="42" t="s">
        <v>44</v>
      </c>
      <c r="K544" s="43" t="s">
        <v>43</v>
      </c>
      <c r="L544" s="42">
        <v>1</v>
      </c>
      <c r="M544" s="42">
        <v>2</v>
      </c>
      <c r="N544" s="42">
        <v>2</v>
      </c>
      <c r="O544" s="42">
        <v>2</v>
      </c>
      <c r="P544" s="43">
        <v>1</v>
      </c>
      <c r="Q544" s="42">
        <v>2</v>
      </c>
      <c r="R544" s="42">
        <v>3</v>
      </c>
      <c r="S544" s="42">
        <v>2</v>
      </c>
      <c r="T544" s="42">
        <v>5</v>
      </c>
      <c r="U544" s="43">
        <v>2</v>
      </c>
      <c r="V544" s="42">
        <v>7</v>
      </c>
      <c r="W544" s="42">
        <v>7</v>
      </c>
      <c r="X544" s="42">
        <v>1</v>
      </c>
      <c r="Y544" s="43">
        <v>1</v>
      </c>
      <c r="Z544" s="42" t="s">
        <v>45</v>
      </c>
      <c r="AA544" s="42" t="s">
        <v>45</v>
      </c>
      <c r="AB544" s="42">
        <v>4</v>
      </c>
      <c r="AC544" s="42">
        <v>4</v>
      </c>
      <c r="AD544" s="42">
        <v>1</v>
      </c>
      <c r="AE544" s="42" t="s">
        <v>45</v>
      </c>
      <c r="AF544" s="42">
        <v>1</v>
      </c>
      <c r="AG544" s="43" t="s">
        <v>45</v>
      </c>
      <c r="AH544" s="42">
        <v>9</v>
      </c>
      <c r="AI544" s="42">
        <v>7</v>
      </c>
      <c r="AJ544" s="43">
        <v>6</v>
      </c>
      <c r="AK544" s="45" t="s">
        <v>45</v>
      </c>
      <c r="AL544" s="45" t="s">
        <v>47</v>
      </c>
      <c r="AM544" s="46">
        <f>($L$3*(L544-$Q$1)/$Q$2+$M$3*(M544-$R$1)/$R$2+$N$3*(N544-$S$1)/$S$2+$O$3*(O544-$T$1)/$T$2+$P$3*(P544-$U$1)/$U$2)/(SUM($L$3:$P$3))</f>
        <v>-1.8605124261753858</v>
      </c>
      <c r="AN544" s="46">
        <f>($L$3*(Q544-$Q$1)/$Q$2+$M$3*(R544-$R$1)/$R$2+$N$3*(S544-$S$1)/$S$2+$O$3*(T544-$T$1)/$T$2+$P$3*(U544-$U$1)/$U$2)/(SUM($L$3:$P$3))</f>
        <v>-1.1777517205081813</v>
      </c>
      <c r="AO544" s="47">
        <f>IF(AVERAGE(AH544:AI544)&gt;9,1,0)+IF(AVERAGE(AH544:AI544)&gt;7,1,0)+IF(AH544&gt;7,1,0)+IF(AI544&gt;7,1,0)+IF(AJ544&gt;8,1,0)+IF(AJ544&gt;6,1,0)</f>
        <v>2</v>
      </c>
      <c r="AP544" s="48">
        <f>MIN(2,IF(OR(Z544="-",X544&lt;5),0,1+IF(Y544&gt;7,0.35,IF(Y544&gt;5,0.1,0))+IF(Z544&gt;7,1+IF(X544&gt;7,0.25,0),IF(Z544&gt;4,0.5+IF(X544&gt;7,0.25,0),0+IF(X544&gt;7,0.25))))+IF(AA544="-",0,IF(AA544&gt;9,0.5,IF(AA544&gt;7,0.25,0)))+IF(AB544="-",0,IF(AB544&gt;7,1.1,IF(AB544&gt;4,0.6,0)))+IF(OR(AC544="-",V544&lt;5),0,IF(AC544&gt;7,1+IF(V544&gt;7,0.25,0),IF(AC544&gt;4,0.5+IF(V544&gt;7,0.25,0),0)))+IF(AD544="-",0,IF(AD544&gt;7,1.5,IF(AD544&gt;4,1,0)))+IF(AE544="-",0,IF(AE544&gt;9,0.5,IF(AE544&gt;7,0.25,0)))+IF(AF544="-",0,IF(AF544&gt;7,1.25,IF(AF544&gt;4,0.75,0)))+IF(OR(AG544="-",W544&lt;4),0,IF(AG544&gt;7,1+IF(W544&gt;7,0.15,0),IF(AG544&gt;4,0.5+IF(W544&gt;7,0.15,0),0))))</f>
        <v>0</v>
      </c>
      <c r="AQ544" s="46">
        <f>($AM$3*AM544+$AN$3*AN544+$AO$3*AO544+$AP$3*AP544)+$I$3*VLOOKUP(I544,COND!$A$2:$E$7,4,FALSE)+$J$3*VLOOKUP(J544,COND!$A$2:$C$7,2,FALSE)+$K$3*VLOOKUP(K544,COND!$A$2:$C$7,3,FALSE)+IF(AND($B$2&gt;0,$E544&lt;20),$B$2*25,0)</f>
        <v>30.71426144461762</v>
      </c>
      <c r="AR544" s="49">
        <f>STANDARDIZE(AQ544,AVERAGE($AQ$5:$AQ$537),STDEVP($AQ$5:$AQ$537))</f>
        <v>-1.6950357910955058</v>
      </c>
      <c r="AS544" s="47" t="str">
        <f>IF(AND(Z544&lt;&gt;"-",Y544&gt;1),"C",IF(AB544=MAX(AB544:AD544),"2B",IF(AD544=MAX(AB544:AD544),"SS",IF(OR(AC544=MAX(AA544:AD544),AND(AC544&lt;&gt;"-",AC544&gt;4,V544&gt;5)),"3B",IF(AF544=MAX(AE544:AG544),"CF",IF(AND(AG544=MAX(AE544,AG544),AND(W544&gt;5,AG544&lt;&gt;"-")),"RF",IF(AE544&lt;&gt;"-","LF",IF(AA544&lt;&gt;"-","1B","DH"))))))))</f>
        <v>2B</v>
      </c>
      <c r="AT544" s="47"/>
      <c r="AU544" s="47"/>
      <c r="AV544" s="47"/>
      <c r="AW544" s="47" t="str">
        <f>IF(AND($Q544&gt;=6,AVERAGE($S544:$T544)&gt;=6),"Likely",IF(OR($Q544&gt;6,AND($Q544=6,AVERAGE($S544:$T544)&gt;=3),AND($Q544&gt;=5,AVERAGE($S544:$T544)&gt;=5),AVERAGE($Q544,$S544:$T544)&gt;5),"Possible","Unlikely"))</f>
        <v>Unlikely</v>
      </c>
      <c r="AX544" s="47"/>
      <c r="AY544" s="47" t="str">
        <f>INDEX(Table5[[#All],[Ovr]],MATCH(Batters[[#This Row],[PID]],Table5[[#All],[PID]],0))</f>
        <v/>
      </c>
      <c r="AZ544" s="47" t="str">
        <f>INDEX(Table5[[#All],[Rnd]],MATCH(Batters[[#This Row],[PID]],Table5[[#All],[PID]],0))</f>
        <v/>
      </c>
      <c r="BA544" s="47" t="str">
        <f>INDEX(Table5[[#All],[Pick]],MATCH(Batters[[#This Row],[PID]],Table5[[#All],[PID]],0))</f>
        <v/>
      </c>
      <c r="BB544" s="47" t="str">
        <f>INDEX(Table5[[#All],[Team]],MATCH(Batters[[#This Row],[PID]],Table5[[#All],[PID]],0))</f>
        <v/>
      </c>
    </row>
    <row r="545" spans="1:54" ht="15" customHeight="1" x14ac:dyDescent="0.25">
      <c r="A545" s="42">
        <v>12048</v>
      </c>
      <c r="B545" s="42" t="s">
        <v>69</v>
      </c>
      <c r="C545" s="42" t="s">
        <v>170</v>
      </c>
      <c r="D545" s="42" t="s">
        <v>1077</v>
      </c>
      <c r="E545" s="42">
        <v>21</v>
      </c>
      <c r="F545" s="42" t="s">
        <v>53</v>
      </c>
      <c r="G545" s="42" t="s">
        <v>42</v>
      </c>
      <c r="H545" s="43" t="s">
        <v>721</v>
      </c>
      <c r="I545" s="44" t="s">
        <v>43</v>
      </c>
      <c r="J545" s="42" t="s">
        <v>43</v>
      </c>
      <c r="K545" s="43" t="s">
        <v>44</v>
      </c>
      <c r="L545" s="42">
        <v>1</v>
      </c>
      <c r="M545" s="42">
        <v>1</v>
      </c>
      <c r="N545" s="42">
        <v>2</v>
      </c>
      <c r="O545" s="42">
        <v>2</v>
      </c>
      <c r="P545" s="43">
        <v>1</v>
      </c>
      <c r="Q545" s="42">
        <v>2</v>
      </c>
      <c r="R545" s="42">
        <v>2</v>
      </c>
      <c r="S545" s="42">
        <v>3</v>
      </c>
      <c r="T545" s="42">
        <v>4</v>
      </c>
      <c r="U545" s="43">
        <v>2</v>
      </c>
      <c r="V545" s="42">
        <v>8</v>
      </c>
      <c r="W545" s="42">
        <v>9</v>
      </c>
      <c r="X545" s="42">
        <v>1</v>
      </c>
      <c r="Y545" s="43">
        <v>1</v>
      </c>
      <c r="Z545" s="42" t="s">
        <v>45</v>
      </c>
      <c r="AA545" s="42" t="s">
        <v>45</v>
      </c>
      <c r="AB545" s="42">
        <v>1</v>
      </c>
      <c r="AC545" s="42">
        <v>6</v>
      </c>
      <c r="AD545" s="42" t="s">
        <v>45</v>
      </c>
      <c r="AE545" s="42" t="s">
        <v>45</v>
      </c>
      <c r="AF545" s="42" t="s">
        <v>45</v>
      </c>
      <c r="AG545" s="43" t="s">
        <v>45</v>
      </c>
      <c r="AH545" s="42">
        <v>6</v>
      </c>
      <c r="AI545" s="42">
        <v>6</v>
      </c>
      <c r="AJ545" s="43">
        <v>5</v>
      </c>
      <c r="AK545" s="45" t="s">
        <v>45</v>
      </c>
      <c r="AL545" s="45" t="s">
        <v>47</v>
      </c>
      <c r="AM545" s="46">
        <f>($L$3*(L545-$Q$1)/$Q$2+$M$3*(M545-$R$1)/$R$2+$N$3*(N545-$S$1)/$S$2+$O$3*(O545-$T$1)/$T$2+$P$3*(P545-$U$1)/$U$2)/(SUM($L$3:$P$3))</f>
        <v>-1.9115723057940897</v>
      </c>
      <c r="AN545" s="46">
        <f>($L$3*(Q545-$Q$1)/$Q$2+$M$3*(R545-$R$1)/$R$2+$N$3*(S545-$S$1)/$S$2+$O$3*(T545-$T$1)/$T$2+$P$3*(U545-$U$1)/$U$2)/(SUM($L$3:$P$3))</f>
        <v>-1.2354596561125644</v>
      </c>
      <c r="AO545" s="47">
        <f>IF(AVERAGE(AH545:AI545)&gt;9,1,0)+IF(AVERAGE(AH545:AI545)&gt;7,1,0)+IF(AH545&gt;7,1,0)+IF(AI545&gt;7,1,0)+IF(AJ545&gt;8,1,0)+IF(AJ545&gt;6,1,0)</f>
        <v>0</v>
      </c>
      <c r="AP545" s="48">
        <f>MIN(2,IF(OR(Z545="-",X545&lt;5),0,1+IF(Y545&gt;7,0.35,IF(Y545&gt;5,0.1,0))+IF(Z545&gt;7,1+IF(X545&gt;7,0.25,0),IF(Z545&gt;4,0.5+IF(X545&gt;7,0.25,0),0+IF(X545&gt;7,0.25))))+IF(AA545="-",0,IF(AA545&gt;9,0.5,IF(AA545&gt;7,0.25,0)))+IF(AB545="-",0,IF(AB545&gt;7,1.1,IF(AB545&gt;4,0.6,0)))+IF(OR(AC545="-",V545&lt;5),0,IF(AC545&gt;7,1+IF(V545&gt;7,0.25,0),IF(AC545&gt;4,0.5+IF(V545&gt;7,0.25,0),0)))+IF(AD545="-",0,IF(AD545&gt;7,1.5,IF(AD545&gt;4,1,0)))+IF(AE545="-",0,IF(AE545&gt;9,0.5,IF(AE545&gt;7,0.25,0)))+IF(AF545="-",0,IF(AF545&gt;7,1.25,IF(AF545&gt;4,0.75,0)))+IF(OR(AG545="-",W545&lt;4),0,IF(AG545&gt;7,1+IF(W545&gt;7,0.15,0),IF(AG545&gt;4,0.5+IF(W545&gt;7,0.15,0),0))))</f>
        <v>0.75</v>
      </c>
      <c r="AQ545" s="46">
        <f>($AM$3*AM545+$AN$3*AN545+$AO$3*AO545+$AP$3*AP545)+$I$3*VLOOKUP(I545,COND!$A$2:$E$7,4,FALSE)+$J$3*VLOOKUP(J545,COND!$A$2:$C$7,2,FALSE)+$K$3*VLOOKUP(K545,COND!$A$2:$C$7,3,FALSE)+IF(AND($B$2&gt;0,$E545&lt;20),$B$2*25,0)</f>
        <v>30.433326896069818</v>
      </c>
      <c r="AR545" s="49">
        <f>STANDARDIZE(AQ545,AVERAGE($AQ$5:$AQ$537),STDEVP($AQ$5:$AQ$537))</f>
        <v>-1.7444643577362524</v>
      </c>
      <c r="AS545" s="47" t="str">
        <f>IF(AND(Z545&lt;&gt;"-",Y545&gt;1),"C",IF(AB545=MAX(AB545:AD545),"2B",IF(AD545=MAX(AB545:AD545),"SS",IF(OR(AC545=MAX(AA545:AD545),AND(AC545&lt;&gt;"-",AC545&gt;4,V545&gt;5)),"3B",IF(AF545=MAX(AE545:AG545),"CF",IF(AND(AG545=MAX(AE545,AG545),AND(W545&gt;5,AG545&lt;&gt;"-")),"RF",IF(AE545&lt;&gt;"-","LF",IF(AA545&lt;&gt;"-","1B","DH"))))))))</f>
        <v>3B</v>
      </c>
      <c r="AT545" s="47"/>
      <c r="AU545" s="47"/>
      <c r="AV545" s="47"/>
      <c r="AW545" s="47" t="str">
        <f>IF(AND($Q545&gt;=6,AVERAGE($S545:$T545)&gt;=6),"Likely",IF(OR($Q545&gt;6,AND($Q545=6,AVERAGE($S545:$T545)&gt;=3),AND($Q545&gt;=5,AVERAGE($S545:$T545)&gt;=5),AVERAGE($Q545,$S545:$T545)&gt;5),"Possible","Unlikely"))</f>
        <v>Unlikely</v>
      </c>
      <c r="AX545" s="47"/>
      <c r="AY545" s="47" t="str">
        <f>INDEX(Table5[[#All],[Ovr]],MATCH(Batters[[#This Row],[PID]],Table5[[#All],[PID]],0))</f>
        <v/>
      </c>
      <c r="AZ545" s="47" t="str">
        <f>INDEX(Table5[[#All],[Rnd]],MATCH(Batters[[#This Row],[PID]],Table5[[#All],[PID]],0))</f>
        <v/>
      </c>
      <c r="BA545" s="47" t="str">
        <f>INDEX(Table5[[#All],[Pick]],MATCH(Batters[[#This Row],[PID]],Table5[[#All],[PID]],0))</f>
        <v/>
      </c>
      <c r="BB545" s="47" t="str">
        <f>INDEX(Table5[[#All],[Team]],MATCH(Batters[[#This Row],[PID]],Table5[[#All],[PID]],0))</f>
        <v/>
      </c>
    </row>
    <row r="546" spans="1:54" ht="15" customHeight="1" x14ac:dyDescent="0.25">
      <c r="A546" s="42">
        <v>10489</v>
      </c>
      <c r="B546" s="42" t="s">
        <v>87</v>
      </c>
      <c r="C546" s="42" t="s">
        <v>145</v>
      </c>
      <c r="D546" s="42" t="s">
        <v>565</v>
      </c>
      <c r="E546" s="42">
        <v>21</v>
      </c>
      <c r="F546" s="42" t="s">
        <v>62</v>
      </c>
      <c r="G546" s="42" t="s">
        <v>42</v>
      </c>
      <c r="H546" s="43" t="s">
        <v>721</v>
      </c>
      <c r="I546" s="44" t="s">
        <v>43</v>
      </c>
      <c r="J546" s="42" t="s">
        <v>44</v>
      </c>
      <c r="K546" s="43" t="s">
        <v>43</v>
      </c>
      <c r="L546" s="42">
        <v>2</v>
      </c>
      <c r="M546" s="42">
        <v>1</v>
      </c>
      <c r="N546" s="42">
        <v>2</v>
      </c>
      <c r="O546" s="42">
        <v>1</v>
      </c>
      <c r="P546" s="43">
        <v>1</v>
      </c>
      <c r="Q546" s="42">
        <v>3</v>
      </c>
      <c r="R546" s="42">
        <v>2</v>
      </c>
      <c r="S546" s="42">
        <v>2</v>
      </c>
      <c r="T546" s="42">
        <v>1</v>
      </c>
      <c r="U546" s="43">
        <v>4</v>
      </c>
      <c r="V546" s="42">
        <v>5</v>
      </c>
      <c r="W546" s="42">
        <v>2</v>
      </c>
      <c r="X546" s="42">
        <v>1</v>
      </c>
      <c r="Y546" s="43">
        <v>1</v>
      </c>
      <c r="Z546" s="42" t="s">
        <v>45</v>
      </c>
      <c r="AA546" s="42">
        <v>1</v>
      </c>
      <c r="AB546" s="42" t="s">
        <v>45</v>
      </c>
      <c r="AC546" s="42" t="s">
        <v>45</v>
      </c>
      <c r="AD546" s="42" t="s">
        <v>45</v>
      </c>
      <c r="AE546" s="42" t="s">
        <v>45</v>
      </c>
      <c r="AF546" s="42" t="s">
        <v>45</v>
      </c>
      <c r="AG546" s="43" t="s">
        <v>45</v>
      </c>
      <c r="AH546" s="42">
        <v>3</v>
      </c>
      <c r="AI546" s="42">
        <v>1</v>
      </c>
      <c r="AJ546" s="43">
        <v>1</v>
      </c>
      <c r="AK546" s="45" t="s">
        <v>45</v>
      </c>
      <c r="AL546" s="45" t="s">
        <v>47</v>
      </c>
      <c r="AM546" s="46">
        <f>($L$3*(L546-$Q$1)/$Q$2+$M$3*(M546-$R$1)/$R$2+$N$3*(N546-$S$1)/$S$2+$O$3*(O546-$T$1)/$T$2+$P$3*(P546-$U$1)/$U$2)/(SUM($L$3:$P$3))</f>
        <v>-1.6787260196009959</v>
      </c>
      <c r="AN546" s="46">
        <f>($L$3*(Q546-$Q$1)/$Q$2+$M$3*(R546-$R$1)/$R$2+$N$3*(S546-$S$1)/$S$2+$O$3*(T546-$T$1)/$T$2+$P$3*(U546-$U$1)/$U$2)/(SUM($L$3:$P$3))</f>
        <v>-1.185061284328367</v>
      </c>
      <c r="AO546" s="47">
        <f>IF(AVERAGE(AH546:AI546)&gt;9,1,0)+IF(AVERAGE(AH546:AI546)&gt;7,1,0)+IF(AH546&gt;7,1,0)+IF(AI546&gt;7,1,0)+IF(AJ546&gt;8,1,0)+IF(AJ546&gt;6,1,0)</f>
        <v>0</v>
      </c>
      <c r="AP546" s="48">
        <f>MIN(2,IF(OR(Z546="-",X546&lt;5),0,1+IF(Y546&gt;7,0.35,IF(Y546&gt;5,0.1,0))+IF(Z546&gt;7,1+IF(X546&gt;7,0.25,0),IF(Z546&gt;4,0.5+IF(X546&gt;7,0.25,0),0+IF(X546&gt;7,0.25))))+IF(AA546="-",0,IF(AA546&gt;9,0.5,IF(AA546&gt;7,0.25,0)))+IF(AB546="-",0,IF(AB546&gt;7,1.1,IF(AB546&gt;4,0.6,0)))+IF(OR(AC546="-",V546&lt;5),0,IF(AC546&gt;7,1+IF(V546&gt;7,0.25,0),IF(AC546&gt;4,0.5+IF(V546&gt;7,0.25,0),0)))+IF(AD546="-",0,IF(AD546&gt;7,1.5,IF(AD546&gt;4,1,0)))+IF(AE546="-",0,IF(AE546&gt;9,0.5,IF(AE546&gt;7,0.25,0)))+IF(AF546="-",0,IF(AF546&gt;7,1.25,IF(AF546&gt;4,0.75,0)))+IF(OR(AG546="-",W546&lt;4),0,IF(AG546&gt;7,1+IF(W546&gt;7,0.15,0),IF(AG546&gt;4,0.5+IF(W546&gt;7,0.15,0),0))))</f>
        <v>0</v>
      </c>
      <c r="AQ546" s="46">
        <f>($AM$3*AM546+$AN$3*AN546+$AO$3*AO546+$AP$3*AP546)+$I$3*VLOOKUP(I546,COND!$A$2:$E$7,4,FALSE)+$J$3*VLOOKUP(J546,COND!$A$2:$C$7,2,FALSE)+$K$3*VLOOKUP(K546,COND!$A$2:$C$7,3,FALSE)+IF(AND($B$2&gt;0,$E546&lt;20),$B$2*25,0)</f>
        <v>30.311391986099494</v>
      </c>
      <c r="AR546" s="49">
        <f>STANDARDIZE(AQ546,AVERAGE($AQ$5:$AQ$537),STDEVP($AQ$5:$AQ$537))</f>
        <v>-1.765917994729127</v>
      </c>
      <c r="AS546" s="47" t="str">
        <f>IF(AND(Z546&lt;&gt;"-",Y546&gt;1),"C",IF(AB546=MAX(AB546:AD546),"2B",IF(AD546=MAX(AB546:AD546),"SS",IF(OR(AC546=MAX(AA546:AD546),AND(AC546&lt;&gt;"-",AC546&gt;4,V546&gt;5)),"3B",IF(AF546=MAX(AE546:AG546),"CF",IF(AND(AG546=MAX(AE546,AG546),AND(W546&gt;5,AG546&lt;&gt;"-")),"RF",IF(AE546&lt;&gt;"-","LF",IF(AA546&lt;&gt;"-","1B","DH"))))))))</f>
        <v>1B</v>
      </c>
      <c r="AT546" s="47"/>
      <c r="AU546" s="47"/>
      <c r="AV546" s="47"/>
      <c r="AW546" s="47" t="str">
        <f>IF(AND($Q546&gt;=6,AVERAGE($S546:$T546)&gt;=6),"Likely",IF(OR($Q546&gt;6,AND($Q546=6,AVERAGE($S546:$T546)&gt;=3),AND($Q546&gt;=5,AVERAGE($S546:$T546)&gt;=5),AVERAGE($Q546,$S546:$T546)&gt;5),"Possible","Unlikely"))</f>
        <v>Unlikely</v>
      </c>
      <c r="AX546" s="47"/>
      <c r="AY546" s="47" t="str">
        <f>INDEX(Table5[[#All],[Ovr]],MATCH(Batters[[#This Row],[PID]],Table5[[#All],[PID]],0))</f>
        <v/>
      </c>
      <c r="AZ546" s="47" t="str">
        <f>INDEX(Table5[[#All],[Rnd]],MATCH(Batters[[#This Row],[PID]],Table5[[#All],[PID]],0))</f>
        <v/>
      </c>
      <c r="BA546" s="47" t="str">
        <f>INDEX(Table5[[#All],[Pick]],MATCH(Batters[[#This Row],[PID]],Table5[[#All],[PID]],0))</f>
        <v/>
      </c>
      <c r="BB546" s="47" t="str">
        <f>INDEX(Table5[[#All],[Team]],MATCH(Batters[[#This Row],[PID]],Table5[[#All],[PID]],0))</f>
        <v/>
      </c>
    </row>
    <row r="547" spans="1:54" ht="15" customHeight="1" x14ac:dyDescent="0.25">
      <c r="A547" s="42">
        <v>5406</v>
      </c>
      <c r="B547" s="42" t="s">
        <v>87</v>
      </c>
      <c r="C547" s="42" t="s">
        <v>137</v>
      </c>
      <c r="D547" s="42" t="s">
        <v>204</v>
      </c>
      <c r="E547" s="42">
        <v>22</v>
      </c>
      <c r="F547" s="42" t="s">
        <v>42</v>
      </c>
      <c r="G547" s="42" t="s">
        <v>42</v>
      </c>
      <c r="H547" s="43" t="s">
        <v>721</v>
      </c>
      <c r="I547" s="44" t="s">
        <v>43</v>
      </c>
      <c r="J547" s="42" t="s">
        <v>44</v>
      </c>
      <c r="K547" s="43" t="s">
        <v>43</v>
      </c>
      <c r="L547" s="42">
        <v>2</v>
      </c>
      <c r="M547" s="42">
        <v>1</v>
      </c>
      <c r="N547" s="42">
        <v>2</v>
      </c>
      <c r="O547" s="42">
        <v>1</v>
      </c>
      <c r="P547" s="43">
        <v>1</v>
      </c>
      <c r="Q547" s="42">
        <v>3</v>
      </c>
      <c r="R547" s="42">
        <v>2</v>
      </c>
      <c r="S547" s="42">
        <v>2</v>
      </c>
      <c r="T547" s="42">
        <v>1</v>
      </c>
      <c r="U547" s="43">
        <v>4</v>
      </c>
      <c r="V547" s="42">
        <v>4</v>
      </c>
      <c r="W547" s="42">
        <v>2</v>
      </c>
      <c r="X547" s="42">
        <v>1</v>
      </c>
      <c r="Y547" s="43">
        <v>1</v>
      </c>
      <c r="Z547" s="42" t="s">
        <v>45</v>
      </c>
      <c r="AA547" s="42" t="s">
        <v>45</v>
      </c>
      <c r="AB547" s="42" t="s">
        <v>45</v>
      </c>
      <c r="AC547" s="42" t="s">
        <v>45</v>
      </c>
      <c r="AD547" s="42" t="s">
        <v>45</v>
      </c>
      <c r="AE547" s="42" t="s">
        <v>45</v>
      </c>
      <c r="AF547" s="42" t="s">
        <v>45</v>
      </c>
      <c r="AG547" s="43" t="s">
        <v>45</v>
      </c>
      <c r="AH547" s="42">
        <v>1</v>
      </c>
      <c r="AI547" s="42">
        <v>1</v>
      </c>
      <c r="AJ547" s="43">
        <v>2</v>
      </c>
      <c r="AK547" s="45" t="s">
        <v>45</v>
      </c>
      <c r="AL547" s="45" t="s">
        <v>47</v>
      </c>
      <c r="AM547" s="46">
        <f>($L$3*(L547-$Q$1)/$Q$2+$M$3*(M547-$R$1)/$R$2+$N$3*(N547-$S$1)/$S$2+$O$3*(O547-$T$1)/$T$2+$P$3*(P547-$U$1)/$U$2)/(SUM($L$3:$P$3))</f>
        <v>-1.6787260196009959</v>
      </c>
      <c r="AN547" s="46">
        <f>($L$3*(Q547-$Q$1)/$Q$2+$M$3*(R547-$R$1)/$R$2+$N$3*(S547-$S$1)/$S$2+$O$3*(T547-$T$1)/$T$2+$P$3*(U547-$U$1)/$U$2)/(SUM($L$3:$P$3))</f>
        <v>-1.185061284328367</v>
      </c>
      <c r="AO547" s="47">
        <f>IF(AVERAGE(AH547:AI547)&gt;9,1,0)+IF(AVERAGE(AH547:AI547)&gt;7,1,0)+IF(AH547&gt;7,1,0)+IF(AI547&gt;7,1,0)+IF(AJ547&gt;8,1,0)+IF(AJ547&gt;6,1,0)</f>
        <v>0</v>
      </c>
      <c r="AP547" s="48">
        <f>MIN(2,IF(OR(Z547="-",X547&lt;5),0,1+IF(Y547&gt;7,0.35,IF(Y547&gt;5,0.1,0))+IF(Z547&gt;7,1+IF(X547&gt;7,0.25,0),IF(Z547&gt;4,0.5+IF(X547&gt;7,0.25,0),0+IF(X547&gt;7,0.25))))+IF(AA547="-",0,IF(AA547&gt;9,0.5,IF(AA547&gt;7,0.25,0)))+IF(AB547="-",0,IF(AB547&gt;7,1.1,IF(AB547&gt;4,0.6,0)))+IF(OR(AC547="-",V547&lt;5),0,IF(AC547&gt;7,1+IF(V547&gt;7,0.25,0),IF(AC547&gt;4,0.5+IF(V547&gt;7,0.25,0),0)))+IF(AD547="-",0,IF(AD547&gt;7,1.5,IF(AD547&gt;4,1,0)))+IF(AE547="-",0,IF(AE547&gt;9,0.5,IF(AE547&gt;7,0.25,0)))+IF(AF547="-",0,IF(AF547&gt;7,1.25,IF(AF547&gt;4,0.75,0)))+IF(OR(AG547="-",W547&lt;4),0,IF(AG547&gt;7,1+IF(W547&gt;7,0.15,0),IF(AG547&gt;4,0.5+IF(W547&gt;7,0.15,0),0))))</f>
        <v>0</v>
      </c>
      <c r="AQ547" s="46">
        <f>($AM$3*AM547+$AN$3*AN547+$AO$3*AO547+$AP$3*AP547)+$I$3*VLOOKUP(I547,COND!$A$2:$E$7,4,FALSE)+$J$3*VLOOKUP(J547,COND!$A$2:$C$7,2,FALSE)+$K$3*VLOOKUP(K547,COND!$A$2:$C$7,3,FALSE)+IF(AND($B$2&gt;0,$E547&lt;20),$B$2*25,0)</f>
        <v>30.311391986099494</v>
      </c>
      <c r="AR547" s="49">
        <f>STANDARDIZE(AQ547,AVERAGE($AQ$5:$AQ$537),STDEVP($AQ$5:$AQ$537))</f>
        <v>-1.765917994729127</v>
      </c>
      <c r="AS547" s="47" t="str">
        <f>IF(AND(Z547&lt;&gt;"-",Y547&gt;1),"C",IF(AB547=MAX(AB547:AD547),"2B",IF(AD547=MAX(AB547:AD547),"SS",IF(OR(AC547=MAX(AA547:AD547),AND(AC547&lt;&gt;"-",AC547&gt;4,V547&gt;5)),"3B",IF(AF547=MAX(AE547:AG547),"CF",IF(AND(AG547=MAX(AE547,AG547),AND(W547&gt;5,AG547&lt;&gt;"-")),"RF",IF(AE547&lt;&gt;"-","LF",IF(AA547&lt;&gt;"-","1B","DH"))))))))</f>
        <v>DH</v>
      </c>
      <c r="AT547" s="47"/>
      <c r="AU547" s="47"/>
      <c r="AV547" s="47"/>
      <c r="AW547" s="47" t="str">
        <f>IF(AND($Q547&gt;=6,AVERAGE($S547:$T547)&gt;=6),"Likely",IF(OR($Q547&gt;6,AND($Q547=6,AVERAGE($S547:$T547)&gt;=3),AND($Q547&gt;=5,AVERAGE($S547:$T547)&gt;=5),AVERAGE($Q547,$S547:$T547)&gt;5),"Possible","Unlikely"))</f>
        <v>Unlikely</v>
      </c>
      <c r="AX547" s="47"/>
      <c r="AY547" s="47" t="str">
        <f>INDEX(Table5[[#All],[Ovr]],MATCH(Batters[[#This Row],[PID]],Table5[[#All],[PID]],0))</f>
        <v/>
      </c>
      <c r="AZ547" s="47" t="str">
        <f>INDEX(Table5[[#All],[Rnd]],MATCH(Batters[[#This Row],[PID]],Table5[[#All],[PID]],0))</f>
        <v/>
      </c>
      <c r="BA547" s="47" t="str">
        <f>INDEX(Table5[[#All],[Pick]],MATCH(Batters[[#This Row],[PID]],Table5[[#All],[PID]],0))</f>
        <v/>
      </c>
      <c r="BB547" s="47" t="str">
        <f>INDEX(Table5[[#All],[Team]],MATCH(Batters[[#This Row],[PID]],Table5[[#All],[PID]],0))</f>
        <v/>
      </c>
    </row>
    <row r="548" spans="1:54" ht="15" customHeight="1" x14ac:dyDescent="0.25">
      <c r="A548" s="42">
        <v>13550</v>
      </c>
      <c r="B548" s="42" t="s">
        <v>87</v>
      </c>
      <c r="C548" s="42" t="s">
        <v>1243</v>
      </c>
      <c r="D548" s="42" t="s">
        <v>1098</v>
      </c>
      <c r="E548" s="42">
        <v>21</v>
      </c>
      <c r="F548" s="42" t="s">
        <v>42</v>
      </c>
      <c r="G548" s="42" t="s">
        <v>42</v>
      </c>
      <c r="H548" s="43" t="s">
        <v>721</v>
      </c>
      <c r="I548" s="44" t="s">
        <v>43</v>
      </c>
      <c r="J548" s="42" t="s">
        <v>44</v>
      </c>
      <c r="K548" s="43" t="s">
        <v>43</v>
      </c>
      <c r="L548" s="42">
        <v>1</v>
      </c>
      <c r="M548" s="42">
        <v>2</v>
      </c>
      <c r="N548" s="42">
        <v>2</v>
      </c>
      <c r="O548" s="42">
        <v>1</v>
      </c>
      <c r="P548" s="43">
        <v>2</v>
      </c>
      <c r="Q548" s="42">
        <v>3</v>
      </c>
      <c r="R548" s="42">
        <v>2</v>
      </c>
      <c r="S548" s="42">
        <v>2</v>
      </c>
      <c r="T548" s="42">
        <v>1</v>
      </c>
      <c r="U548" s="43">
        <v>4</v>
      </c>
      <c r="V548" s="42">
        <v>7</v>
      </c>
      <c r="W548" s="42">
        <v>1</v>
      </c>
      <c r="X548" s="42">
        <v>1</v>
      </c>
      <c r="Y548" s="43">
        <v>1</v>
      </c>
      <c r="Z548" s="42" t="s">
        <v>45</v>
      </c>
      <c r="AA548" s="42">
        <v>1</v>
      </c>
      <c r="AB548" s="42" t="s">
        <v>45</v>
      </c>
      <c r="AC548" s="42" t="s">
        <v>45</v>
      </c>
      <c r="AD548" s="42" t="s">
        <v>45</v>
      </c>
      <c r="AE548" s="42" t="s">
        <v>45</v>
      </c>
      <c r="AF548" s="42" t="s">
        <v>45</v>
      </c>
      <c r="AG548" s="43" t="s">
        <v>45</v>
      </c>
      <c r="AH548" s="42">
        <v>1</v>
      </c>
      <c r="AI548" s="42">
        <v>1</v>
      </c>
      <c r="AJ548" s="43">
        <v>1</v>
      </c>
      <c r="AK548" s="45" t="s">
        <v>45</v>
      </c>
      <c r="AL548" s="45" t="s">
        <v>47</v>
      </c>
      <c r="AM548" s="46">
        <f>($L$3*(L548-$Q$1)/$Q$2+$M$3*(M548-$R$1)/$R$2+$N$3*(N548-$S$1)/$S$2+$O$3*(O548-$T$1)/$T$2+$P$3*(P548-$U$1)/$U$2)/(SUM($L$3:$P$3))</f>
        <v>-1.9102056363678834</v>
      </c>
      <c r="AN548" s="46">
        <f>($L$3*(Q548-$Q$1)/$Q$2+$M$3*(R548-$R$1)/$R$2+$N$3*(S548-$S$1)/$S$2+$O$3*(T548-$T$1)/$T$2+$P$3*(U548-$U$1)/$U$2)/(SUM($L$3:$P$3))</f>
        <v>-1.185061284328367</v>
      </c>
      <c r="AO548" s="47">
        <f>IF(AVERAGE(AH548:AI548)&gt;9,1,0)+IF(AVERAGE(AH548:AI548)&gt;7,1,0)+IF(AH548&gt;7,1,0)+IF(AI548&gt;7,1,0)+IF(AJ548&gt;8,1,0)+IF(AJ548&gt;6,1,0)</f>
        <v>0</v>
      </c>
      <c r="AP548" s="48">
        <f>MIN(2,IF(OR(Z548="-",X548&lt;5),0,1+IF(Y548&gt;7,0.35,IF(Y548&gt;5,0.1,0))+IF(Z548&gt;7,1+IF(X548&gt;7,0.25,0),IF(Z548&gt;4,0.5+IF(X548&gt;7,0.25,0),0+IF(X548&gt;7,0.25))))+IF(AA548="-",0,IF(AA548&gt;9,0.5,IF(AA548&gt;7,0.25,0)))+IF(AB548="-",0,IF(AB548&gt;7,1.1,IF(AB548&gt;4,0.6,0)))+IF(OR(AC548="-",V548&lt;5),0,IF(AC548&gt;7,1+IF(V548&gt;7,0.25,0),IF(AC548&gt;4,0.5+IF(V548&gt;7,0.25,0),0)))+IF(AD548="-",0,IF(AD548&gt;7,1.5,IF(AD548&gt;4,1,0)))+IF(AE548="-",0,IF(AE548&gt;9,0.5,IF(AE548&gt;7,0.25,0)))+IF(AF548="-",0,IF(AF548&gt;7,1.25,IF(AF548&gt;4,0.75,0)))+IF(OR(AG548="-",W548&lt;4),0,IF(AG548&gt;7,1+IF(W548&gt;7,0.15,0),IF(AG548&gt;4,0.5+IF(W548&gt;7,0.15,0),0))))</f>
        <v>0</v>
      </c>
      <c r="AQ548" s="46">
        <f>($AM$3*AM548+$AN$3*AN548+$AO$3*AO548+$AP$3*AP548)+$I$3*VLOOKUP(I548,COND!$A$2:$E$7,4,FALSE)+$J$3*VLOOKUP(J548,COND!$A$2:$C$7,2,FALSE)+$K$3*VLOOKUP(K548,COND!$A$2:$C$7,3,FALSE)+IF(AND($B$2&gt;0,$E548&lt;20),$B$2*25,0)</f>
        <v>30.288244024422809</v>
      </c>
      <c r="AR548" s="49">
        <f>STANDARDIZE(AQ548,AVERAGE($AQ$5:$AQ$537),STDEVP($AQ$5:$AQ$537))</f>
        <v>-1.769990724737764</v>
      </c>
      <c r="AS548" s="47" t="str">
        <f>IF(AND(Z548&lt;&gt;"-",Y548&gt;1),"C",IF(AB548=MAX(AB548:AD548),"2B",IF(AD548=MAX(AB548:AD548),"SS",IF(OR(AC548=MAX(AA548:AD548),AND(AC548&lt;&gt;"-",AC548&gt;4,V548&gt;5)),"3B",IF(AF548=MAX(AE548:AG548),"CF",IF(AND(AG548=MAX(AE548,AG548),AND(W548&gt;5,AG548&lt;&gt;"-")),"RF",IF(AE548&lt;&gt;"-","LF",IF(AA548&lt;&gt;"-","1B","DH"))))))))</f>
        <v>1B</v>
      </c>
      <c r="AT548" s="47"/>
      <c r="AU548" s="47"/>
      <c r="AV548" s="47"/>
      <c r="AW548" s="47" t="str">
        <f>IF(AND($Q548&gt;=6,AVERAGE($S548:$T548)&gt;=6),"Likely",IF(OR($Q548&gt;6,AND($Q548=6,AVERAGE($S548:$T548)&gt;=3),AND($Q548&gt;=5,AVERAGE($S548:$T548)&gt;=5),AVERAGE($Q548,$S548:$T548)&gt;5),"Possible","Unlikely"))</f>
        <v>Unlikely</v>
      </c>
      <c r="AX548" s="47"/>
      <c r="AY548" s="47" t="str">
        <f>INDEX(Table5[[#All],[Ovr]],MATCH(Batters[[#This Row],[PID]],Table5[[#All],[PID]],0))</f>
        <v/>
      </c>
      <c r="AZ548" s="47" t="str">
        <f>INDEX(Table5[[#All],[Rnd]],MATCH(Batters[[#This Row],[PID]],Table5[[#All],[PID]],0))</f>
        <v/>
      </c>
      <c r="BA548" s="47" t="str">
        <f>INDEX(Table5[[#All],[Pick]],MATCH(Batters[[#This Row],[PID]],Table5[[#All],[PID]],0))</f>
        <v/>
      </c>
      <c r="BB548" s="47" t="str">
        <f>INDEX(Table5[[#All],[Team]],MATCH(Batters[[#This Row],[PID]],Table5[[#All],[PID]],0))</f>
        <v/>
      </c>
    </row>
    <row r="549" spans="1:54" ht="15" customHeight="1" x14ac:dyDescent="0.25">
      <c r="A549" s="42">
        <v>12875</v>
      </c>
      <c r="B549" s="42" t="s">
        <v>69</v>
      </c>
      <c r="C549" s="42" t="s">
        <v>137</v>
      </c>
      <c r="D549" s="42" t="s">
        <v>1379</v>
      </c>
      <c r="E549" s="42">
        <v>21</v>
      </c>
      <c r="F549" s="42" t="s">
        <v>42</v>
      </c>
      <c r="G549" s="42" t="s">
        <v>42</v>
      </c>
      <c r="H549" s="43" t="s">
        <v>711</v>
      </c>
      <c r="I549" s="44" t="s">
        <v>43</v>
      </c>
      <c r="J549" s="42" t="s">
        <v>44</v>
      </c>
      <c r="K549" s="43" t="s">
        <v>47</v>
      </c>
      <c r="L549" s="42">
        <v>1</v>
      </c>
      <c r="M549" s="42">
        <v>2</v>
      </c>
      <c r="N549" s="42">
        <v>2</v>
      </c>
      <c r="O549" s="42">
        <v>1</v>
      </c>
      <c r="P549" s="43">
        <v>1</v>
      </c>
      <c r="Q549" s="42">
        <v>2</v>
      </c>
      <c r="R549" s="42">
        <v>3</v>
      </c>
      <c r="S549" s="42">
        <v>3</v>
      </c>
      <c r="T549" s="42">
        <v>3</v>
      </c>
      <c r="U549" s="43">
        <v>2</v>
      </c>
      <c r="V549" s="42">
        <v>8</v>
      </c>
      <c r="W549" s="42">
        <v>6</v>
      </c>
      <c r="X549" s="42">
        <v>1</v>
      </c>
      <c r="Y549" s="43">
        <v>1</v>
      </c>
      <c r="Z549" s="42" t="s">
        <v>45</v>
      </c>
      <c r="AA549" s="42" t="s">
        <v>45</v>
      </c>
      <c r="AB549" s="42">
        <v>2</v>
      </c>
      <c r="AC549" s="42">
        <v>3</v>
      </c>
      <c r="AD549" s="42" t="s">
        <v>45</v>
      </c>
      <c r="AE549" s="42" t="s">
        <v>45</v>
      </c>
      <c r="AF549" s="42" t="s">
        <v>45</v>
      </c>
      <c r="AG549" s="43">
        <v>1</v>
      </c>
      <c r="AH549" s="42">
        <v>5</v>
      </c>
      <c r="AI549" s="42">
        <v>5</v>
      </c>
      <c r="AJ549" s="43">
        <v>5</v>
      </c>
      <c r="AK549" s="45" t="s">
        <v>717</v>
      </c>
      <c r="AL549" s="45" t="s">
        <v>47</v>
      </c>
      <c r="AM549" s="46">
        <f>($L$3*(L549-$Q$1)/$Q$2+$M$3*(M549-$R$1)/$R$2+$N$3*(N549-$S$1)/$S$2+$O$3*(O549-$T$1)/$T$2+$P$3*(P549-$U$1)/$U$2)/(SUM($L$3:$P$3))</f>
        <v>-1.9502219761849671</v>
      </c>
      <c r="AN549" s="46">
        <f>($L$3*(Q549-$Q$1)/$Q$2+$M$3*(R549-$R$1)/$R$2+$N$3*(S549-$S$1)/$S$2+$O$3*(T549-$T$1)/$T$2+$P$3*(U549-$U$1)/$U$2)/(SUM($L$3:$P$3))</f>
        <v>-1.2741093265034418</v>
      </c>
      <c r="AO549" s="47">
        <f>IF(AVERAGE(AH549:AI549)&gt;9,1,0)+IF(AVERAGE(AH549:AI549)&gt;7,1,0)+IF(AH549&gt;7,1,0)+IF(AI549&gt;7,1,0)+IF(AJ549&gt;8,1,0)+IF(AJ549&gt;6,1,0)</f>
        <v>0</v>
      </c>
      <c r="AP549" s="48">
        <f>MIN(2,IF(OR(Z549="-",X549&lt;5),0,1+IF(Y549&gt;7,0.35,IF(Y549&gt;5,0.1,0))+IF(Z549&gt;7,1+IF(X549&gt;7,0.25,0),IF(Z549&gt;4,0.5+IF(X549&gt;7,0.25,0),0+IF(X549&gt;7,0.25))))+IF(AA549="-",0,IF(AA549&gt;9,0.5,IF(AA549&gt;7,0.25,0)))+IF(AB549="-",0,IF(AB549&gt;7,1.1,IF(AB549&gt;4,0.6,0)))+IF(OR(AC549="-",V549&lt;5),0,IF(AC549&gt;7,1+IF(V549&gt;7,0.25,0),IF(AC549&gt;4,0.5+IF(V549&gt;7,0.25,0),0)))+IF(AD549="-",0,IF(AD549&gt;7,1.5,IF(AD549&gt;4,1,0)))+IF(AE549="-",0,IF(AE549&gt;9,0.5,IF(AE549&gt;7,0.25,0)))+IF(AF549="-",0,IF(AF549&gt;7,1.25,IF(AF549&gt;4,0.75,0)))+IF(OR(AG549="-",W549&lt;4),0,IF(AG549&gt;7,1+IF(W549&gt;7,0.15,0),IF(AG549&gt;4,0.5+IF(W549&gt;7,0.15,0),0))))</f>
        <v>0</v>
      </c>
      <c r="AQ549" s="46">
        <f>($AM$3*AM549+$AN$3*AN549+$AO$3*AO549+$AP$3*AP549)+$I$3*VLOOKUP(I549,COND!$A$2:$E$7,4,FALSE)+$J$3*VLOOKUP(J549,COND!$A$2:$C$7,2,FALSE)+$K$3*VLOOKUP(K549,COND!$A$2:$C$7,3,FALSE)+IF(AND($B$2&gt;0,$E549&lt;20),$B$2*25,0)</f>
        <v>29.515665884340201</v>
      </c>
      <c r="AR549" s="49">
        <f>STANDARDIZE(AQ549,AVERAGE($AQ$5:$AQ$537),STDEVP($AQ$5:$AQ$537))</f>
        <v>-1.905920713696597</v>
      </c>
      <c r="AS549" s="47" t="str">
        <f>IF(AND(Z549&lt;&gt;"-",Y549&gt;1),"C",IF(AB549=MAX(AB549:AD549),"2B",IF(AD549=MAX(AB549:AD549),"SS",IF(OR(AC549=MAX(AA549:AD549),AND(AC549&lt;&gt;"-",AC549&gt;4,V549&gt;5)),"3B",IF(AF549=MAX(AE549:AG549),"CF",IF(AND(AG549=MAX(AE549,AG549),AND(W549&gt;5,AG549&lt;&gt;"-")),"RF",IF(AE549&lt;&gt;"-","LF",IF(AA549&lt;&gt;"-","1B","DH"))))))))</f>
        <v>3B</v>
      </c>
      <c r="AT549" s="47"/>
      <c r="AU549" s="47"/>
      <c r="AV549" s="47"/>
      <c r="AW549" s="47" t="str">
        <f>IF(AND($Q549&gt;=6,AVERAGE($S549:$T549)&gt;=6),"Likely",IF(OR($Q549&gt;6,AND($Q549=6,AVERAGE($S549:$T549)&gt;=3),AND($Q549&gt;=5,AVERAGE($S549:$T549)&gt;=5),AVERAGE($Q549,$S549:$T549)&gt;5),"Possible","Unlikely"))</f>
        <v>Unlikely</v>
      </c>
      <c r="AX549" s="47"/>
      <c r="AY549" s="47" t="str">
        <f>INDEX(Table5[[#All],[Ovr]],MATCH(Batters[[#This Row],[PID]],Table5[[#All],[PID]],0))</f>
        <v/>
      </c>
      <c r="AZ549" s="47" t="str">
        <f>INDEX(Table5[[#All],[Rnd]],MATCH(Batters[[#This Row],[PID]],Table5[[#All],[PID]],0))</f>
        <v/>
      </c>
      <c r="BA549" s="47" t="str">
        <f>INDEX(Table5[[#All],[Pick]],MATCH(Batters[[#This Row],[PID]],Table5[[#All],[PID]],0))</f>
        <v/>
      </c>
      <c r="BB549" s="47" t="str">
        <f>INDEX(Table5[[#All],[Team]],MATCH(Batters[[#This Row],[PID]],Table5[[#All],[PID]],0))</f>
        <v/>
      </c>
    </row>
    <row r="550" spans="1:54" ht="15" customHeight="1" x14ac:dyDescent="0.25">
      <c r="A550" s="42">
        <v>8115</v>
      </c>
      <c r="B550" s="42" t="s">
        <v>86</v>
      </c>
      <c r="C550" s="42" t="s">
        <v>1382</v>
      </c>
      <c r="D550" s="42" t="s">
        <v>1383</v>
      </c>
      <c r="E550" s="42">
        <v>20</v>
      </c>
      <c r="F550" s="42" t="s">
        <v>42</v>
      </c>
      <c r="G550" s="42" t="s">
        <v>42</v>
      </c>
      <c r="H550" s="43" t="s">
        <v>711</v>
      </c>
      <c r="I550" s="44" t="s">
        <v>43</v>
      </c>
      <c r="J550" s="42" t="s">
        <v>44</v>
      </c>
      <c r="K550" s="43" t="s">
        <v>43</v>
      </c>
      <c r="L550" s="42">
        <v>1</v>
      </c>
      <c r="M550" s="42">
        <v>1</v>
      </c>
      <c r="N550" s="42">
        <v>2</v>
      </c>
      <c r="O550" s="42">
        <v>2</v>
      </c>
      <c r="P550" s="43">
        <v>1</v>
      </c>
      <c r="Q550" s="42">
        <v>2</v>
      </c>
      <c r="R550" s="42">
        <v>2</v>
      </c>
      <c r="S550" s="42">
        <v>3</v>
      </c>
      <c r="T550" s="42">
        <v>4</v>
      </c>
      <c r="U550" s="43">
        <v>3</v>
      </c>
      <c r="V550" s="42">
        <v>4</v>
      </c>
      <c r="W550" s="42">
        <v>3</v>
      </c>
      <c r="X550" s="42">
        <v>6</v>
      </c>
      <c r="Y550" s="43">
        <v>7</v>
      </c>
      <c r="Z550" s="42" t="s">
        <v>45</v>
      </c>
      <c r="AA550" s="42" t="s">
        <v>45</v>
      </c>
      <c r="AB550" s="42" t="s">
        <v>45</v>
      </c>
      <c r="AC550" s="42" t="s">
        <v>45</v>
      </c>
      <c r="AD550" s="42" t="s">
        <v>45</v>
      </c>
      <c r="AE550" s="42" t="s">
        <v>45</v>
      </c>
      <c r="AF550" s="42" t="s">
        <v>45</v>
      </c>
      <c r="AG550" s="43" t="s">
        <v>45</v>
      </c>
      <c r="AH550" s="42">
        <v>1</v>
      </c>
      <c r="AI550" s="42">
        <v>3</v>
      </c>
      <c r="AJ550" s="43">
        <v>1</v>
      </c>
      <c r="AK550" s="45" t="s">
        <v>45</v>
      </c>
      <c r="AL550" s="45" t="s">
        <v>47</v>
      </c>
      <c r="AM550" s="46">
        <f>($L$3*(L550-$Q$1)/$Q$2+$M$3*(M550-$R$1)/$R$2+$N$3*(N550-$S$1)/$S$2+$O$3*(O550-$T$1)/$T$2+$P$3*(P550-$U$1)/$U$2)/(SUM($L$3:$P$3))</f>
        <v>-1.9115723057940897</v>
      </c>
      <c r="AN550" s="46">
        <f>($L$3*(Q550-$Q$1)/$Q$2+$M$3*(R550-$R$1)/$R$2+$N$3*(S550-$S$1)/$S$2+$O$3*(T550-$T$1)/$T$2+$P$3*(U550-$U$1)/$U$2)/(SUM($L$3:$P$3))</f>
        <v>-1.1954433162954807</v>
      </c>
      <c r="AO550" s="47">
        <f>IF(AVERAGE(AH550:AI550)&gt;9,1,0)+IF(AVERAGE(AH550:AI550)&gt;7,1,0)+IF(AH550&gt;7,1,0)+IF(AI550&gt;7,1,0)+IF(AJ550&gt;8,1,0)+IF(AJ550&gt;6,1,0)</f>
        <v>0</v>
      </c>
      <c r="AP550" s="48">
        <f>MIN(2,IF(OR(Z550="-",X550&lt;5),0,1+IF(Y550&gt;7,0.35,IF(Y550&gt;5,0.1,0))+IF(Z550&gt;7,1+IF(X550&gt;7,0.25,0),IF(Z550&gt;4,0.5+IF(X550&gt;7,0.25,0),0+IF(X550&gt;7,0.25))))+IF(AA550="-",0,IF(AA550&gt;9,0.5,IF(AA550&gt;7,0.25,0)))+IF(AB550="-",0,IF(AB550&gt;7,1.1,IF(AB550&gt;4,0.6,0)))+IF(OR(AC550="-",V550&lt;5),0,IF(AC550&gt;7,1+IF(V550&gt;7,0.25,0),IF(AC550&gt;4,0.5+IF(V550&gt;7,0.25,0),0)))+IF(AD550="-",0,IF(AD550&gt;7,1.5,IF(AD550&gt;4,1,0)))+IF(AE550="-",0,IF(AE550&gt;9,0.5,IF(AE550&gt;7,0.25,0)))+IF(AF550="-",0,IF(AF550&gt;7,1.25,IF(AF550&gt;4,0.75,0)))+IF(OR(AG550="-",W550&lt;4),0,IF(AG550&gt;7,1+IF(W550&gt;7,0.15,0),IF(AG550&gt;4,0.5+IF(W550&gt;7,0.15,0),0))))</f>
        <v>0</v>
      </c>
      <c r="AQ550" s="46">
        <f>($AM$3*AM550+$AN$3*AN550+$AO$3*AO550+$AP$3*AP550)+$I$3*VLOOKUP(I550,COND!$A$2:$E$7,4,FALSE)+$J$3*VLOOKUP(J550,COND!$A$2:$C$7,2,FALSE)+$K$3*VLOOKUP(K550,COND!$A$2:$C$7,3,FALSE)+IF(AND($B$2&gt;0,$E550&lt;20),$B$2*25,0)</f>
        <v>30.163522973874819</v>
      </c>
      <c r="AR550" s="49">
        <f>STANDARDIZE(AQ550,AVERAGE($AQ$5:$AQ$537),STDEVP($AQ$5:$AQ$537))</f>
        <v>-1.7919345646477431</v>
      </c>
      <c r="AS550" s="47" t="str">
        <f>IF(AND(Z550&lt;&gt;"-",Y550&gt;1),"C",IF(AB550=MAX(AB550:AD550),"2B",IF(AD550=MAX(AB550:AD550),"SS",IF(OR(AC550=MAX(AA550:AD550),AND(AC550&lt;&gt;"-",AC550&gt;4,V550&gt;5)),"3B",IF(AF550=MAX(AE550:AG550),"CF",IF(AND(AG550=MAX(AE550,AG550),AND(W550&gt;5,AG550&lt;&gt;"-")),"RF",IF(AE550&lt;&gt;"-","LF",IF(AA550&lt;&gt;"-","1B","DH"))))))))</f>
        <v>DH</v>
      </c>
      <c r="AT550" s="47"/>
      <c r="AU550" s="47"/>
      <c r="AV550" s="47"/>
      <c r="AW550" s="47" t="str">
        <f>IF(AND($Q550&gt;=6,AVERAGE($S550:$T550)&gt;=6),"Likely",IF(OR($Q550&gt;6,AND($Q550=6,AVERAGE($S550:$T550)&gt;=3),AND($Q550&gt;=5,AVERAGE($S550:$T550)&gt;=5),AVERAGE($Q550,$S550:$T550)&gt;5),"Possible","Unlikely"))</f>
        <v>Unlikely</v>
      </c>
      <c r="AX550" s="47"/>
      <c r="AY550" s="47" t="str">
        <f>INDEX(Table5[[#All],[Ovr]],MATCH(Batters[[#This Row],[PID]],Table5[[#All],[PID]],0))</f>
        <v/>
      </c>
      <c r="AZ550" s="47" t="str">
        <f>INDEX(Table5[[#All],[Rnd]],MATCH(Batters[[#This Row],[PID]],Table5[[#All],[PID]],0))</f>
        <v/>
      </c>
      <c r="BA550" s="47" t="str">
        <f>INDEX(Table5[[#All],[Pick]],MATCH(Batters[[#This Row],[PID]],Table5[[#All],[PID]],0))</f>
        <v/>
      </c>
      <c r="BB550" s="47" t="str">
        <f>INDEX(Table5[[#All],[Team]],MATCH(Batters[[#This Row],[PID]],Table5[[#All],[PID]],0))</f>
        <v/>
      </c>
    </row>
    <row r="551" spans="1:54" ht="15" customHeight="1" x14ac:dyDescent="0.25">
      <c r="A551" s="42">
        <v>11977</v>
      </c>
      <c r="B551" s="42" t="s">
        <v>71</v>
      </c>
      <c r="C551" s="42" t="s">
        <v>175</v>
      </c>
      <c r="D551" s="42" t="s">
        <v>716</v>
      </c>
      <c r="E551" s="42">
        <v>21</v>
      </c>
      <c r="F551" s="42" t="s">
        <v>42</v>
      </c>
      <c r="G551" s="42" t="s">
        <v>42</v>
      </c>
      <c r="H551" s="43" t="s">
        <v>711</v>
      </c>
      <c r="I551" s="44" t="s">
        <v>43</v>
      </c>
      <c r="J551" s="42" t="s">
        <v>43</v>
      </c>
      <c r="K551" s="43" t="s">
        <v>44</v>
      </c>
      <c r="L551" s="42">
        <v>1</v>
      </c>
      <c r="M551" s="42">
        <v>2</v>
      </c>
      <c r="N551" s="42">
        <v>2</v>
      </c>
      <c r="O551" s="42">
        <v>1</v>
      </c>
      <c r="P551" s="43">
        <v>1</v>
      </c>
      <c r="Q551" s="42">
        <v>2</v>
      </c>
      <c r="R551" s="42">
        <v>3</v>
      </c>
      <c r="S551" s="42">
        <v>3</v>
      </c>
      <c r="T551" s="42">
        <v>3</v>
      </c>
      <c r="U551" s="43">
        <v>2</v>
      </c>
      <c r="V551" s="42">
        <v>4</v>
      </c>
      <c r="W551" s="42">
        <v>2</v>
      </c>
      <c r="X551" s="42">
        <v>1</v>
      </c>
      <c r="Y551" s="43">
        <v>1</v>
      </c>
      <c r="Z551" s="42" t="s">
        <v>45</v>
      </c>
      <c r="AA551" s="42" t="s">
        <v>45</v>
      </c>
      <c r="AB551" s="42">
        <v>4</v>
      </c>
      <c r="AC551" s="42" t="s">
        <v>45</v>
      </c>
      <c r="AD551" s="42" t="s">
        <v>45</v>
      </c>
      <c r="AE551" s="42" t="s">
        <v>45</v>
      </c>
      <c r="AF551" s="42" t="s">
        <v>45</v>
      </c>
      <c r="AG551" s="43" t="s">
        <v>45</v>
      </c>
      <c r="AH551" s="42">
        <v>7</v>
      </c>
      <c r="AI551" s="42">
        <v>9</v>
      </c>
      <c r="AJ551" s="43">
        <v>10</v>
      </c>
      <c r="AK551" s="45" t="s">
        <v>45</v>
      </c>
      <c r="AL551" s="45" t="s">
        <v>47</v>
      </c>
      <c r="AM551" s="46">
        <f>($L$3*(L551-$Q$1)/$Q$2+$M$3*(M551-$R$1)/$R$2+$N$3*(N551-$S$1)/$S$2+$O$3*(O551-$T$1)/$T$2+$P$3*(P551-$U$1)/$U$2)/(SUM($L$3:$P$3))</f>
        <v>-1.9502219761849671</v>
      </c>
      <c r="AN551" s="46">
        <f>($L$3*(Q551-$Q$1)/$Q$2+$M$3*(R551-$R$1)/$R$2+$N$3*(S551-$S$1)/$S$2+$O$3*(T551-$T$1)/$T$2+$P$3*(U551-$U$1)/$U$2)/(SUM($L$3:$P$3))</f>
        <v>-1.2741093265034418</v>
      </c>
      <c r="AO551" s="47">
        <f>IF(AVERAGE(AH551:AI551)&gt;9,1,0)+IF(AVERAGE(AH551:AI551)&gt;7,1,0)+IF(AH551&gt;7,1,0)+IF(AI551&gt;7,1,0)+IF(AJ551&gt;8,1,0)+IF(AJ551&gt;6,1,0)</f>
        <v>4</v>
      </c>
      <c r="AP551" s="48">
        <f>MIN(2,IF(OR(Z551="-",X551&lt;5),0,1+IF(Y551&gt;7,0.35,IF(Y551&gt;5,0.1,0))+IF(Z551&gt;7,1+IF(X551&gt;7,0.25,0),IF(Z551&gt;4,0.5+IF(X551&gt;7,0.25,0),0+IF(X551&gt;7,0.25))))+IF(AA551="-",0,IF(AA551&gt;9,0.5,IF(AA551&gt;7,0.25,0)))+IF(AB551="-",0,IF(AB551&gt;7,1.1,IF(AB551&gt;4,0.6,0)))+IF(OR(AC551="-",V551&lt;5),0,IF(AC551&gt;7,1+IF(V551&gt;7,0.25,0),IF(AC551&gt;4,0.5+IF(V551&gt;7,0.25,0),0)))+IF(AD551="-",0,IF(AD551&gt;7,1.5,IF(AD551&gt;4,1,0)))+IF(AE551="-",0,IF(AE551&gt;9,0.5,IF(AE551&gt;7,0.25,0)))+IF(AF551="-",0,IF(AF551&gt;7,1.25,IF(AF551&gt;4,0.75,0)))+IF(OR(AG551="-",W551&lt;4),0,IF(AG551&gt;7,1+IF(W551&gt;7,0.15,0),IF(AG551&gt;4,0.5+IF(W551&gt;7,0.15,0),0))))</f>
        <v>0</v>
      </c>
      <c r="AQ551" s="46">
        <f>($AM$3*AM551+$AN$3*AN551+$AO$3*AO551+$AP$3*AP551)+$I$3*VLOOKUP(I551,COND!$A$2:$E$7,4,FALSE)+$J$3*VLOOKUP(J551,COND!$A$2:$C$7,2,FALSE)+$K$3*VLOOKUP(K551,COND!$A$2:$C$7,3,FALSE)+IF(AND($B$2&gt;0,$E551&lt;20),$B$2*25,0)</f>
        <v>29.882332551006868</v>
      </c>
      <c r="AR551" s="49">
        <f>STANDARDIZE(AQ551,AVERAGE($AQ$5:$AQ$537),STDEVP($AQ$5:$AQ$537))</f>
        <v>-1.8414081506745019</v>
      </c>
      <c r="AS551" s="47" t="str">
        <f>IF(AND(Z551&lt;&gt;"-",Y551&gt;1),"C",IF(AB551=MAX(AB551:AD551),"2B",IF(AD551=MAX(AB551:AD551),"SS",IF(OR(AC551=MAX(AA551:AD551),AND(AC551&lt;&gt;"-",AC551&gt;4,V551&gt;5)),"3B",IF(AF551=MAX(AE551:AG551),"CF",IF(AND(AG551=MAX(AE551,AG551),AND(W551&gt;5,AG551&lt;&gt;"-")),"RF",IF(AE551&lt;&gt;"-","LF",IF(AA551&lt;&gt;"-","1B","DH"))))))))</f>
        <v>2B</v>
      </c>
      <c r="AT551" s="47"/>
      <c r="AU551" s="47"/>
      <c r="AV551" s="47"/>
      <c r="AW551" s="47" t="str">
        <f>IF(AND($Q551&gt;=6,AVERAGE($S551:$T551)&gt;=6),"Likely",IF(OR($Q551&gt;6,AND($Q551=6,AVERAGE($S551:$T551)&gt;=3),AND($Q551&gt;=5,AVERAGE($S551:$T551)&gt;=5),AVERAGE($Q551,$S551:$T551)&gt;5),"Possible","Unlikely"))</f>
        <v>Unlikely</v>
      </c>
      <c r="AX551" s="47"/>
      <c r="AY551" s="47" t="str">
        <f>INDEX(Table5[[#All],[Ovr]],MATCH(Batters[[#This Row],[PID]],Table5[[#All],[PID]],0))</f>
        <v/>
      </c>
      <c r="AZ551" s="47" t="str">
        <f>INDEX(Table5[[#All],[Rnd]],MATCH(Batters[[#This Row],[PID]],Table5[[#All],[PID]],0))</f>
        <v/>
      </c>
      <c r="BA551" s="47" t="str">
        <f>INDEX(Table5[[#All],[Pick]],MATCH(Batters[[#This Row],[PID]],Table5[[#All],[PID]],0))</f>
        <v/>
      </c>
      <c r="BB551" s="47" t="str">
        <f>INDEX(Table5[[#All],[Team]],MATCH(Batters[[#This Row],[PID]],Table5[[#All],[PID]],0))</f>
        <v/>
      </c>
    </row>
    <row r="552" spans="1:54" ht="15" customHeight="1" x14ac:dyDescent="0.25">
      <c r="A552" s="42">
        <v>4873</v>
      </c>
      <c r="B552" s="42" t="s">
        <v>87</v>
      </c>
      <c r="C552" s="42" t="s">
        <v>888</v>
      </c>
      <c r="D552" s="42" t="s">
        <v>678</v>
      </c>
      <c r="E552" s="42">
        <v>22</v>
      </c>
      <c r="F552" s="42" t="s">
        <v>62</v>
      </c>
      <c r="G552" s="42" t="s">
        <v>42</v>
      </c>
      <c r="H552" s="43" t="s">
        <v>721</v>
      </c>
      <c r="I552" s="44" t="s">
        <v>43</v>
      </c>
      <c r="J552" s="42" t="s">
        <v>44</v>
      </c>
      <c r="K552" s="43" t="s">
        <v>43</v>
      </c>
      <c r="L552" s="42">
        <v>1</v>
      </c>
      <c r="M552" s="42">
        <v>2</v>
      </c>
      <c r="N552" s="42">
        <v>3</v>
      </c>
      <c r="O552" s="42">
        <v>2</v>
      </c>
      <c r="P552" s="43">
        <v>1</v>
      </c>
      <c r="Q552" s="42">
        <v>2</v>
      </c>
      <c r="R552" s="42">
        <v>3</v>
      </c>
      <c r="S552" s="42">
        <v>3</v>
      </c>
      <c r="T552" s="42">
        <v>4</v>
      </c>
      <c r="U552" s="43">
        <v>1</v>
      </c>
      <c r="V552" s="42">
        <v>3</v>
      </c>
      <c r="W552" s="42">
        <v>2</v>
      </c>
      <c r="X552" s="42">
        <v>4</v>
      </c>
      <c r="Y552" s="43">
        <v>8</v>
      </c>
      <c r="Z552" s="42" t="s">
        <v>45</v>
      </c>
      <c r="AA552" s="42">
        <v>1</v>
      </c>
      <c r="AB552" s="42" t="s">
        <v>45</v>
      </c>
      <c r="AC552" s="42" t="s">
        <v>45</v>
      </c>
      <c r="AD552" s="42" t="s">
        <v>45</v>
      </c>
      <c r="AE552" s="42" t="s">
        <v>45</v>
      </c>
      <c r="AF552" s="42" t="s">
        <v>45</v>
      </c>
      <c r="AG552" s="43" t="s">
        <v>45</v>
      </c>
      <c r="AH552" s="42">
        <v>1</v>
      </c>
      <c r="AI552" s="42">
        <v>1</v>
      </c>
      <c r="AJ552" s="43">
        <v>1</v>
      </c>
      <c r="AK552" s="45" t="s">
        <v>45</v>
      </c>
      <c r="AL552" s="45" t="s">
        <v>47</v>
      </c>
      <c r="AM552" s="46">
        <f>($L$3*(L552-$Q$1)/$Q$2+$M$3*(M552-$R$1)/$R$2+$N$3*(N552-$S$1)/$S$2+$O$3*(O552-$T$1)/$T$2+$P$3*(P552-$U$1)/$U$2)/(SUM($L$3:$P$3))</f>
        <v>-1.7774509321514844</v>
      </c>
      <c r="AN552" s="46">
        <f>($L$3*(Q552-$Q$1)/$Q$2+$M$3*(R552-$R$1)/$R$2+$N$3*(S552-$S$1)/$S$2+$O$3*(T552-$T$1)/$T$2+$P$3*(U552-$U$1)/$U$2)/(SUM($L$3:$P$3))</f>
        <v>-1.2244161163109442</v>
      </c>
      <c r="AO552" s="47">
        <f>IF(AVERAGE(AH552:AI552)&gt;9,1,0)+IF(AVERAGE(AH552:AI552)&gt;7,1,0)+IF(AH552&gt;7,1,0)+IF(AI552&gt;7,1,0)+IF(AJ552&gt;8,1,0)+IF(AJ552&gt;6,1,0)</f>
        <v>0</v>
      </c>
      <c r="AP552" s="48">
        <f>MIN(2,IF(OR(Z552="-",X552&lt;5),0,1+IF(Y552&gt;7,0.35,IF(Y552&gt;5,0.1,0))+IF(Z552&gt;7,1+IF(X552&gt;7,0.25,0),IF(Z552&gt;4,0.5+IF(X552&gt;7,0.25,0),0+IF(X552&gt;7,0.25))))+IF(AA552="-",0,IF(AA552&gt;9,0.5,IF(AA552&gt;7,0.25,0)))+IF(AB552="-",0,IF(AB552&gt;7,1.1,IF(AB552&gt;4,0.6,0)))+IF(OR(AC552="-",V552&lt;5),0,IF(AC552&gt;7,1+IF(V552&gt;7,0.25,0),IF(AC552&gt;4,0.5+IF(V552&gt;7,0.25,0),0)))+IF(AD552="-",0,IF(AD552&gt;7,1.5,IF(AD552&gt;4,1,0)))+IF(AE552="-",0,IF(AE552&gt;9,0.5,IF(AE552&gt;7,0.25,0)))+IF(AF552="-",0,IF(AF552&gt;7,1.25,IF(AF552&gt;4,0.75,0)))+IF(OR(AG552="-",W552&lt;4),0,IF(AG552&gt;7,1+IF(W552&gt;7,0.15,0),IF(AG552&gt;4,0.5+IF(W552&gt;7,0.15,0),0))))</f>
        <v>0</v>
      </c>
      <c r="AQ552" s="46">
        <f>($AM$3*AM552+$AN$3*AN552+$AO$3*AO552+$AP$3*AP552)+$I$3*VLOOKUP(I552,COND!$A$2:$E$7,4,FALSE)+$J$3*VLOOKUP(J552,COND!$A$2:$C$7,2,FALSE)+$K$3*VLOOKUP(K552,COND!$A$2:$C$7,3,FALSE)+IF(AND($B$2&gt;0,$E552&lt;20),$B$2*25,0)</f>
        <v>29.82926151105352</v>
      </c>
      <c r="AR552" s="49">
        <f>STANDARDIZE(AQ552,AVERAGE($AQ$5:$AQ$537),STDEVP($AQ$5:$AQ$537))</f>
        <v>-1.8507456474280615</v>
      </c>
      <c r="AS552" s="47" t="str">
        <f>IF(AND(Z552&lt;&gt;"-",Y552&gt;1),"C",IF(AB552=MAX(AB552:AD552),"2B",IF(AD552=MAX(AB552:AD552),"SS",IF(OR(AC552=MAX(AA552:AD552),AND(AC552&lt;&gt;"-",AC552&gt;4,V552&gt;5)),"3B",IF(AF552=MAX(AE552:AG552),"CF",IF(AND(AG552=MAX(AE552,AG552),AND(W552&gt;5,AG552&lt;&gt;"-")),"RF",IF(AE552&lt;&gt;"-","LF",IF(AA552&lt;&gt;"-","1B","DH"))))))))</f>
        <v>1B</v>
      </c>
      <c r="AT552" s="47"/>
      <c r="AU552" s="47"/>
      <c r="AV552" s="47"/>
      <c r="AW552" s="47" t="str">
        <f>IF(AND($Q552&gt;=6,AVERAGE($S552:$T552)&gt;=6),"Likely",IF(OR($Q552&gt;6,AND($Q552=6,AVERAGE($S552:$T552)&gt;=3),AND($Q552&gt;=5,AVERAGE($S552:$T552)&gt;=5),AVERAGE($Q552,$S552:$T552)&gt;5),"Possible","Unlikely"))</f>
        <v>Unlikely</v>
      </c>
      <c r="AX552" s="47"/>
      <c r="AY552" s="47" t="str">
        <f>INDEX(Table5[[#All],[Ovr]],MATCH(Batters[[#This Row],[PID]],Table5[[#All],[PID]],0))</f>
        <v/>
      </c>
      <c r="AZ552" s="47" t="str">
        <f>INDEX(Table5[[#All],[Rnd]],MATCH(Batters[[#This Row],[PID]],Table5[[#All],[PID]],0))</f>
        <v/>
      </c>
      <c r="BA552" s="47" t="str">
        <f>INDEX(Table5[[#All],[Pick]],MATCH(Batters[[#This Row],[PID]],Table5[[#All],[PID]],0))</f>
        <v/>
      </c>
      <c r="BB552" s="47" t="str">
        <f>INDEX(Table5[[#All],[Team]],MATCH(Batters[[#This Row],[PID]],Table5[[#All],[PID]],0))</f>
        <v/>
      </c>
    </row>
    <row r="553" spans="1:54" ht="15" customHeight="1" x14ac:dyDescent="0.25">
      <c r="A553" s="42">
        <v>13180</v>
      </c>
      <c r="B553" s="42" t="s">
        <v>87</v>
      </c>
      <c r="C553" s="42" t="s">
        <v>871</v>
      </c>
      <c r="D553" s="42" t="s">
        <v>872</v>
      </c>
      <c r="E553" s="42">
        <v>22</v>
      </c>
      <c r="F553" s="42" t="s">
        <v>62</v>
      </c>
      <c r="G553" s="42" t="s">
        <v>42</v>
      </c>
      <c r="H553" s="43" t="s">
        <v>721</v>
      </c>
      <c r="I553" s="44" t="s">
        <v>44</v>
      </c>
      <c r="J553" s="42" t="s">
        <v>43</v>
      </c>
      <c r="K553" s="43" t="s">
        <v>44</v>
      </c>
      <c r="L553" s="42">
        <v>1</v>
      </c>
      <c r="M553" s="42">
        <v>3</v>
      </c>
      <c r="N553" s="42">
        <v>2</v>
      </c>
      <c r="O553" s="42">
        <v>2</v>
      </c>
      <c r="P553" s="43">
        <v>1</v>
      </c>
      <c r="Q553" s="42">
        <v>2</v>
      </c>
      <c r="R553" s="42">
        <v>3</v>
      </c>
      <c r="S553" s="42">
        <v>2</v>
      </c>
      <c r="T553" s="42">
        <v>4</v>
      </c>
      <c r="U553" s="43">
        <v>1</v>
      </c>
      <c r="V553" s="42">
        <v>5</v>
      </c>
      <c r="W553" s="42">
        <v>6</v>
      </c>
      <c r="X553" s="42">
        <v>6</v>
      </c>
      <c r="Y553" s="43">
        <v>7</v>
      </c>
      <c r="Z553" s="42">
        <v>2</v>
      </c>
      <c r="AA553" s="42">
        <v>1</v>
      </c>
      <c r="AB553" s="42" t="s">
        <v>45</v>
      </c>
      <c r="AC553" s="42" t="s">
        <v>45</v>
      </c>
      <c r="AD553" s="42" t="s">
        <v>45</v>
      </c>
      <c r="AE553" s="42" t="s">
        <v>45</v>
      </c>
      <c r="AF553" s="42" t="s">
        <v>45</v>
      </c>
      <c r="AG553" s="43" t="s">
        <v>45</v>
      </c>
      <c r="AH553" s="42">
        <v>1</v>
      </c>
      <c r="AI553" s="42">
        <v>1</v>
      </c>
      <c r="AJ553" s="43">
        <v>1</v>
      </c>
      <c r="AK553" s="45" t="s">
        <v>45</v>
      </c>
      <c r="AL553" s="45" t="s">
        <v>705</v>
      </c>
      <c r="AM553" s="46">
        <f>($L$3*(L553-$Q$1)/$Q$2+$M$3*(M553-$R$1)/$R$2+$N$3*(N553-$S$1)/$S$2+$O$3*(O553-$T$1)/$T$2+$P$3*(P553-$U$1)/$U$2)/(SUM($L$3:$P$3))</f>
        <v>-1.8094525465566824</v>
      </c>
      <c r="AN553" s="46">
        <f>($L$3*(Q553-$Q$1)/$Q$2+$M$3*(R553-$R$1)/$R$2+$N$3*(S553-$S$1)/$S$2+$O$3*(T553-$T$1)/$T$2+$P$3*(U553-$U$1)/$U$2)/(SUM($L$3:$P$3))</f>
        <v>-1.3074776103348458</v>
      </c>
      <c r="AO553" s="47">
        <f>IF(AVERAGE(AH553:AI553)&gt;9,1,0)+IF(AVERAGE(AH553:AI553)&gt;7,1,0)+IF(AH553&gt;7,1,0)+IF(AI553&gt;7,1,0)+IF(AJ553&gt;8,1,0)+IF(AJ553&gt;6,1,0)</f>
        <v>0</v>
      </c>
      <c r="AP553" s="48">
        <f>MIN(2,IF(OR(Z553="-",X553&lt;5),0,1+IF(Y553&gt;7,0.35,IF(Y553&gt;5,0.1,0))+IF(Z553&gt;7,1+IF(X553&gt;7,0.25,0),IF(Z553&gt;4,0.5+IF(X553&gt;7,0.25,0),0+IF(X553&gt;7,0.25))))+IF(AA553="-",0,IF(AA553&gt;9,0.5,IF(AA553&gt;7,0.25,0)))+IF(AB553="-",0,IF(AB553&gt;7,1.1,IF(AB553&gt;4,0.6,0)))+IF(OR(AC553="-",V553&lt;5),0,IF(AC553&gt;7,1+IF(V553&gt;7,0.25,0),IF(AC553&gt;4,0.5+IF(V553&gt;7,0.25,0),0)))+IF(AD553="-",0,IF(AD553&gt;7,1.5,IF(AD553&gt;4,1,0)))+IF(AE553="-",0,IF(AE553&gt;9,0.5,IF(AE553&gt;7,0.25,0)))+IF(AF553="-",0,IF(AF553&gt;7,1.25,IF(AF553&gt;4,0.75,0)))+IF(OR(AG553="-",W553&lt;4),0,IF(AG553&gt;7,1+IF(W553&gt;7,0.15,0),IF(AG553&gt;4,0.5+IF(W553&gt;7,0.15,0),0))))</f>
        <v>1.1000000000000001</v>
      </c>
      <c r="AQ553" s="46">
        <f>($AM$3*AM553+$AN$3*AN553+$AO$3*AO553+$AP$3*AP553)+$I$3*VLOOKUP(I553,COND!$A$2:$E$7,4,FALSE)+$J$3*VLOOKUP(J553,COND!$A$2:$C$7,2,FALSE)+$K$3*VLOOKUP(K553,COND!$A$2:$C$7,3,FALSE)+IF(AND($B$2&gt;0,$E553&lt;20),$B$2*25,0)</f>
        <v>29.779323421326183</v>
      </c>
      <c r="AR553" s="49">
        <f>STANDARDIZE(AQ553,AVERAGE($AQ$5:$AQ$537),STDEVP($AQ$5:$AQ$537))</f>
        <v>-1.859531922411892</v>
      </c>
      <c r="AS553" s="47" t="str">
        <f>IF(AND(Z553&lt;&gt;"-",Y553&gt;1),"C",IF(AB553=MAX(AB553:AD553),"2B",IF(AD553=MAX(AB553:AD553),"SS",IF(OR(AC553=MAX(AA553:AD553),AND(AC553&lt;&gt;"-",AC553&gt;4,V553&gt;5)),"3B",IF(AF553=MAX(AE553:AG553),"CF",IF(AND(AG553=MAX(AE553,AG553),AND(W553&gt;5,AG553&lt;&gt;"-")),"RF",IF(AE553&lt;&gt;"-","LF",IF(AA553&lt;&gt;"-","1B","DH"))))))))</f>
        <v>C</v>
      </c>
      <c r="AT553" s="47"/>
      <c r="AU553" s="47"/>
      <c r="AV553" s="47"/>
      <c r="AW553" s="47" t="str">
        <f>IF(AND($Q553&gt;=6,AVERAGE($S553:$T553)&gt;=6),"Likely",IF(OR($Q553&gt;6,AND($Q553=6,AVERAGE($S553:$T553)&gt;=3),AND($Q553&gt;=5,AVERAGE($S553:$T553)&gt;=5),AVERAGE($Q553,$S553:$T553)&gt;5),"Possible","Unlikely"))</f>
        <v>Unlikely</v>
      </c>
      <c r="AX553" s="47"/>
      <c r="AY553" s="47" t="str">
        <f>INDEX(Table5[[#All],[Ovr]],MATCH(Batters[[#This Row],[PID]],Table5[[#All],[PID]],0))</f>
        <v/>
      </c>
      <c r="AZ553" s="47" t="str">
        <f>INDEX(Table5[[#All],[Rnd]],MATCH(Batters[[#This Row],[PID]],Table5[[#All],[PID]],0))</f>
        <v/>
      </c>
      <c r="BA553" s="47" t="str">
        <f>INDEX(Table5[[#All],[Pick]],MATCH(Batters[[#This Row],[PID]],Table5[[#All],[PID]],0))</f>
        <v/>
      </c>
      <c r="BB553" s="47" t="str">
        <f>INDEX(Table5[[#All],[Team]],MATCH(Batters[[#This Row],[PID]],Table5[[#All],[PID]],0))</f>
        <v/>
      </c>
    </row>
    <row r="554" spans="1:54" ht="15" customHeight="1" x14ac:dyDescent="0.25">
      <c r="A554" s="42">
        <v>9192</v>
      </c>
      <c r="B554" s="42" t="s">
        <v>86</v>
      </c>
      <c r="C554" s="42" t="s">
        <v>374</v>
      </c>
      <c r="D554" s="42" t="s">
        <v>576</v>
      </c>
      <c r="E554" s="42">
        <v>22</v>
      </c>
      <c r="F554" s="42" t="s">
        <v>42</v>
      </c>
      <c r="G554" s="42" t="s">
        <v>42</v>
      </c>
      <c r="H554" s="43" t="s">
        <v>711</v>
      </c>
      <c r="I554" s="44" t="s">
        <v>43</v>
      </c>
      <c r="J554" s="42" t="s">
        <v>44</v>
      </c>
      <c r="K554" s="43" t="s">
        <v>43</v>
      </c>
      <c r="L554" s="42">
        <v>1</v>
      </c>
      <c r="M554" s="42">
        <v>1</v>
      </c>
      <c r="N554" s="42">
        <v>2</v>
      </c>
      <c r="O554" s="42">
        <v>2</v>
      </c>
      <c r="P554" s="43">
        <v>1</v>
      </c>
      <c r="Q554" s="42">
        <v>2</v>
      </c>
      <c r="R554" s="42">
        <v>2</v>
      </c>
      <c r="S554" s="42">
        <v>3</v>
      </c>
      <c r="T554" s="42">
        <v>4</v>
      </c>
      <c r="U554" s="43">
        <v>2</v>
      </c>
      <c r="V554" s="42">
        <v>2</v>
      </c>
      <c r="W554" s="42">
        <v>3</v>
      </c>
      <c r="X554" s="42">
        <v>4</v>
      </c>
      <c r="Y554" s="43">
        <v>9</v>
      </c>
      <c r="Z554" s="42">
        <v>2</v>
      </c>
      <c r="AA554" s="42" t="s">
        <v>45</v>
      </c>
      <c r="AB554" s="42" t="s">
        <v>45</v>
      </c>
      <c r="AC554" s="42" t="s">
        <v>45</v>
      </c>
      <c r="AD554" s="42" t="s">
        <v>45</v>
      </c>
      <c r="AE554" s="42" t="s">
        <v>45</v>
      </c>
      <c r="AF554" s="42" t="s">
        <v>45</v>
      </c>
      <c r="AG554" s="43" t="s">
        <v>45</v>
      </c>
      <c r="AH554" s="42">
        <v>2</v>
      </c>
      <c r="AI554" s="42">
        <v>5</v>
      </c>
      <c r="AJ554" s="43">
        <v>3</v>
      </c>
      <c r="AK554" s="45" t="s">
        <v>45</v>
      </c>
      <c r="AL554" s="45" t="s">
        <v>47</v>
      </c>
      <c r="AM554" s="46">
        <f>($L$3*(L554-$Q$1)/$Q$2+$M$3*(M554-$R$1)/$R$2+$N$3*(N554-$S$1)/$S$2+$O$3*(O554-$T$1)/$T$2+$P$3*(P554-$U$1)/$U$2)/(SUM($L$3:$P$3))</f>
        <v>-1.9115723057940897</v>
      </c>
      <c r="AN554" s="46">
        <f>($L$3*(Q554-$Q$1)/$Q$2+$M$3*(R554-$R$1)/$R$2+$N$3*(S554-$S$1)/$S$2+$O$3*(T554-$T$1)/$T$2+$P$3*(U554-$U$1)/$U$2)/(SUM($L$3:$P$3))</f>
        <v>-1.2354596561125644</v>
      </c>
      <c r="AO554" s="47">
        <f>IF(AVERAGE(AH554:AI554)&gt;9,1,0)+IF(AVERAGE(AH554:AI554)&gt;7,1,0)+IF(AH554&gt;7,1,0)+IF(AI554&gt;7,1,0)+IF(AJ554&gt;8,1,0)+IF(AJ554&gt;6,1,0)</f>
        <v>0</v>
      </c>
      <c r="AP554" s="48">
        <f>MIN(2,IF(OR(Z554="-",X554&lt;5),0,1+IF(Y554&gt;7,0.35,IF(Y554&gt;5,0.1,0))+IF(Z554&gt;7,1+IF(X554&gt;7,0.25,0),IF(Z554&gt;4,0.5+IF(X554&gt;7,0.25,0),0+IF(X554&gt;7,0.25))))+IF(AA554="-",0,IF(AA554&gt;9,0.5,IF(AA554&gt;7,0.25,0)))+IF(AB554="-",0,IF(AB554&gt;7,1.1,IF(AB554&gt;4,0.6,0)))+IF(OR(AC554="-",V554&lt;5),0,IF(AC554&gt;7,1+IF(V554&gt;7,0.25,0),IF(AC554&gt;4,0.5+IF(V554&gt;7,0.25,0),0)))+IF(AD554="-",0,IF(AD554&gt;7,1.5,IF(AD554&gt;4,1,0)))+IF(AE554="-",0,IF(AE554&gt;9,0.5,IF(AE554&gt;7,0.25,0)))+IF(AF554="-",0,IF(AF554&gt;7,1.25,IF(AF554&gt;4,0.75,0)))+IF(OR(AG554="-",W554&lt;4),0,IF(AG554&gt;7,1+IF(W554&gt;7,0.15,0),IF(AG554&gt;4,0.5+IF(W554&gt;7,0.15,0),0))))</f>
        <v>0</v>
      </c>
      <c r="AQ554" s="46">
        <f>($AM$3*AM554+$AN$3*AN554+$AO$3*AO554+$AP$3*AP554)+$I$3*VLOOKUP(I554,COND!$A$2:$E$7,4,FALSE)+$J$3*VLOOKUP(J554,COND!$A$2:$C$7,2,FALSE)+$K$3*VLOOKUP(K554,COND!$A$2:$C$7,3,FALSE)+IF(AND($B$2&gt;0,$E554&lt;20),$B$2*25,0)</f>
        <v>29.683326896069818</v>
      </c>
      <c r="AR554" s="49">
        <f>STANDARDIZE(AQ554,AVERAGE($AQ$5:$AQ$537),STDEVP($AQ$5:$AQ$537))</f>
        <v>-1.8764218730087194</v>
      </c>
      <c r="AS554" s="47" t="str">
        <f>IF(AND(Z554&lt;&gt;"-",Y554&gt;1),"C",IF(AB554=MAX(AB554:AD554),"2B",IF(AD554=MAX(AB554:AD554),"SS",IF(OR(AC554=MAX(AA554:AD554),AND(AC554&lt;&gt;"-",AC554&gt;4,V554&gt;5)),"3B",IF(AF554=MAX(AE554:AG554),"CF",IF(AND(AG554=MAX(AE554,AG554),AND(W554&gt;5,AG554&lt;&gt;"-")),"RF",IF(AE554&lt;&gt;"-","LF",IF(AA554&lt;&gt;"-","1B","DH"))))))))</f>
        <v>C</v>
      </c>
      <c r="AT554" s="47"/>
      <c r="AU554" s="47"/>
      <c r="AV554" s="47"/>
      <c r="AW554" s="47" t="str">
        <f>IF(AND($Q554&gt;=6,AVERAGE($S554:$T554)&gt;=6),"Likely",IF(OR($Q554&gt;6,AND($Q554=6,AVERAGE($S554:$T554)&gt;=3),AND($Q554&gt;=5,AVERAGE($S554:$T554)&gt;=5),AVERAGE($Q554,$S554:$T554)&gt;5),"Possible","Unlikely"))</f>
        <v>Unlikely</v>
      </c>
      <c r="AX554" s="47"/>
      <c r="AY554" s="47" t="str">
        <f>INDEX(Table5[[#All],[Ovr]],MATCH(Batters[[#This Row],[PID]],Table5[[#All],[PID]],0))</f>
        <v/>
      </c>
      <c r="AZ554" s="47" t="str">
        <f>INDEX(Table5[[#All],[Rnd]],MATCH(Batters[[#This Row],[PID]],Table5[[#All],[PID]],0))</f>
        <v/>
      </c>
      <c r="BA554" s="47" t="str">
        <f>INDEX(Table5[[#All],[Pick]],MATCH(Batters[[#This Row],[PID]],Table5[[#All],[PID]],0))</f>
        <v/>
      </c>
      <c r="BB554" s="47" t="str">
        <f>INDEX(Table5[[#All],[Team]],MATCH(Batters[[#This Row],[PID]],Table5[[#All],[PID]],0))</f>
        <v/>
      </c>
    </row>
    <row r="555" spans="1:54" ht="15" customHeight="1" x14ac:dyDescent="0.25">
      <c r="A555" s="42">
        <v>11888</v>
      </c>
      <c r="B555" s="42" t="s">
        <v>86</v>
      </c>
      <c r="C555" s="42" t="s">
        <v>328</v>
      </c>
      <c r="D555" s="42" t="s">
        <v>1357</v>
      </c>
      <c r="E555" s="42">
        <v>21</v>
      </c>
      <c r="F555" s="42" t="s">
        <v>42</v>
      </c>
      <c r="G555" s="42" t="s">
        <v>42</v>
      </c>
      <c r="H555" s="43" t="s">
        <v>711</v>
      </c>
      <c r="I555" s="44" t="s">
        <v>44</v>
      </c>
      <c r="J555" s="42" t="s">
        <v>44</v>
      </c>
      <c r="K555" s="43" t="s">
        <v>44</v>
      </c>
      <c r="L555" s="42">
        <v>1</v>
      </c>
      <c r="M555" s="42">
        <v>1</v>
      </c>
      <c r="N555" s="42">
        <v>2</v>
      </c>
      <c r="O555" s="42">
        <v>1</v>
      </c>
      <c r="P555" s="43">
        <v>1</v>
      </c>
      <c r="Q555" s="42">
        <v>2</v>
      </c>
      <c r="R555" s="42">
        <v>2</v>
      </c>
      <c r="S555" s="42">
        <v>3</v>
      </c>
      <c r="T555" s="42">
        <v>5</v>
      </c>
      <c r="U555" s="43">
        <v>2</v>
      </c>
      <c r="V555" s="42">
        <v>3</v>
      </c>
      <c r="W555" s="42">
        <v>3</v>
      </c>
      <c r="X555" s="42">
        <v>5</v>
      </c>
      <c r="Y555" s="43">
        <v>7</v>
      </c>
      <c r="Z555" s="42" t="s">
        <v>45</v>
      </c>
      <c r="AA555" s="42" t="s">
        <v>45</v>
      </c>
      <c r="AB555" s="42" t="s">
        <v>45</v>
      </c>
      <c r="AC555" s="42" t="s">
        <v>45</v>
      </c>
      <c r="AD555" s="42" t="s">
        <v>45</v>
      </c>
      <c r="AE555" s="42" t="s">
        <v>45</v>
      </c>
      <c r="AF555" s="42" t="s">
        <v>45</v>
      </c>
      <c r="AG555" s="43" t="s">
        <v>45</v>
      </c>
      <c r="AH555" s="42">
        <v>2</v>
      </c>
      <c r="AI555" s="42">
        <v>2</v>
      </c>
      <c r="AJ555" s="43">
        <v>2</v>
      </c>
      <c r="AK555" s="45" t="s">
        <v>45</v>
      </c>
      <c r="AL555" s="45" t="s">
        <v>47</v>
      </c>
      <c r="AM555" s="46">
        <f>($L$3*(L555-$Q$1)/$Q$2+$M$3*(M555-$R$1)/$R$2+$N$3*(N555-$S$1)/$S$2+$O$3*(O555-$T$1)/$T$2+$P$3*(P555-$U$1)/$U$2)/(SUM($L$3:$P$3))</f>
        <v>-2.0012818558036707</v>
      </c>
      <c r="AN555" s="46">
        <f>($L$3*(Q555-$Q$1)/$Q$2+$M$3*(R555-$R$1)/$R$2+$N$3*(S555-$S$1)/$S$2+$O$3*(T555-$T$1)/$T$2+$P$3*(U555-$U$1)/$U$2)/(SUM($L$3:$P$3))</f>
        <v>-1.1457501061029833</v>
      </c>
      <c r="AO555" s="47">
        <f>IF(AVERAGE(AH555:AI555)&gt;9,1,0)+IF(AVERAGE(AH555:AI555)&gt;7,1,0)+IF(AH555&gt;7,1,0)+IF(AI555&gt;7,1,0)+IF(AJ555&gt;8,1,0)+IF(AJ555&gt;6,1,0)</f>
        <v>0</v>
      </c>
      <c r="AP555" s="48">
        <f>MIN(2,IF(OR(Z555="-",X555&lt;5),0,1+IF(Y555&gt;7,0.35,IF(Y555&gt;5,0.1,0))+IF(Z555&gt;7,1+IF(X555&gt;7,0.25,0),IF(Z555&gt;4,0.5+IF(X555&gt;7,0.25,0),0+IF(X555&gt;7,0.25))))+IF(AA555="-",0,IF(AA555&gt;9,0.5,IF(AA555&gt;7,0.25,0)))+IF(AB555="-",0,IF(AB555&gt;7,1.1,IF(AB555&gt;4,0.6,0)))+IF(OR(AC555="-",V555&lt;5),0,IF(AC555&gt;7,1+IF(V555&gt;7,0.25,0),IF(AC555&gt;4,0.5+IF(V555&gt;7,0.25,0),0)))+IF(AD555="-",0,IF(AD555&gt;7,1.5,IF(AD555&gt;4,1,0)))+IF(AE555="-",0,IF(AE555&gt;9,0.5,IF(AE555&gt;7,0.25,0)))+IF(AF555="-",0,IF(AF555&gt;7,1.25,IF(AF555&gt;4,0.75,0)))+IF(OR(AG555="-",W555&lt;4),0,IF(AG555&gt;7,1+IF(W555&gt;7,0.15,0),IF(AG555&gt;4,0.5+IF(W555&gt;7,0.15,0),0))))</f>
        <v>0</v>
      </c>
      <c r="AQ555" s="46">
        <f>($AM$3*AM555+$AN$3*AN555+$AO$3*AO555+$AP$3*AP555)+$I$3*VLOOKUP(I555,COND!$A$2:$E$7,4,FALSE)+$J$3*VLOOKUP(J555,COND!$A$2:$C$7,2,FALSE)+$K$3*VLOOKUP(K555,COND!$A$2:$C$7,3,FALSE)+IF(AND($B$2&gt;0,$E555&lt;20),$B$2*25,0)</f>
        <v>30.300870541183833</v>
      </c>
      <c r="AR555" s="49">
        <f>STANDARDIZE(AQ555,AVERAGE($AQ$5:$AQ$537),STDEVP($AQ$5:$AQ$537))</f>
        <v>-1.7677691730333227</v>
      </c>
      <c r="AS555" s="47" t="str">
        <f>IF(AND(Z555&lt;&gt;"-",Y555&gt;1),"C",IF(AB555=MAX(AB555:AD555),"2B",IF(AD555=MAX(AB555:AD555),"SS",IF(OR(AC555=MAX(AA555:AD555),AND(AC555&lt;&gt;"-",AC555&gt;4,V555&gt;5)),"3B",IF(AF555=MAX(AE555:AG555),"CF",IF(AND(AG555=MAX(AE555,AG555),AND(W555&gt;5,AG555&lt;&gt;"-")),"RF",IF(AE555&lt;&gt;"-","LF",IF(AA555&lt;&gt;"-","1B","DH"))))))))</f>
        <v>DH</v>
      </c>
      <c r="AT555" s="47"/>
      <c r="AU555" s="47"/>
      <c r="AV555" s="47"/>
      <c r="AW555" s="47" t="str">
        <f>IF(AND($Q555&gt;=6,AVERAGE($S555:$T555)&gt;=6),"Likely",IF(OR($Q555&gt;6,AND($Q555=6,AVERAGE($S555:$T555)&gt;=3),AND($Q555&gt;=5,AVERAGE($S555:$T555)&gt;=5),AVERAGE($Q555,$S555:$T555)&gt;5),"Possible","Unlikely"))</f>
        <v>Unlikely</v>
      </c>
      <c r="AX555" s="47"/>
      <c r="AY555" s="47" t="str">
        <f>INDEX(Table5[[#All],[Ovr]],MATCH(Batters[[#This Row],[PID]],Table5[[#All],[PID]],0))</f>
        <v/>
      </c>
      <c r="AZ555" s="47" t="str">
        <f>INDEX(Table5[[#All],[Rnd]],MATCH(Batters[[#This Row],[PID]],Table5[[#All],[PID]],0))</f>
        <v/>
      </c>
      <c r="BA555" s="47" t="str">
        <f>INDEX(Table5[[#All],[Pick]],MATCH(Batters[[#This Row],[PID]],Table5[[#All],[PID]],0))</f>
        <v/>
      </c>
      <c r="BB555" s="47" t="str">
        <f>INDEX(Table5[[#All],[Team]],MATCH(Batters[[#This Row],[PID]],Table5[[#All],[PID]],0))</f>
        <v/>
      </c>
    </row>
    <row r="556" spans="1:54" ht="15" customHeight="1" x14ac:dyDescent="0.25">
      <c r="A556" s="42">
        <v>5321</v>
      </c>
      <c r="B556" s="42" t="s">
        <v>69</v>
      </c>
      <c r="C556" s="42" t="s">
        <v>166</v>
      </c>
      <c r="D556" s="42" t="s">
        <v>777</v>
      </c>
      <c r="E556" s="42">
        <v>22</v>
      </c>
      <c r="F556" s="42" t="s">
        <v>42</v>
      </c>
      <c r="G556" s="42" t="s">
        <v>42</v>
      </c>
      <c r="H556" s="43" t="s">
        <v>711</v>
      </c>
      <c r="I556" s="44" t="s">
        <v>43</v>
      </c>
      <c r="J556" s="42" t="s">
        <v>44</v>
      </c>
      <c r="K556" s="43" t="s">
        <v>44</v>
      </c>
      <c r="L556" s="42">
        <v>1</v>
      </c>
      <c r="M556" s="42">
        <v>1</v>
      </c>
      <c r="N556" s="42">
        <v>2</v>
      </c>
      <c r="O556" s="42">
        <v>2</v>
      </c>
      <c r="P556" s="43">
        <v>1</v>
      </c>
      <c r="Q556" s="42">
        <v>2</v>
      </c>
      <c r="R556" s="42">
        <v>2</v>
      </c>
      <c r="S556" s="42">
        <v>3</v>
      </c>
      <c r="T556" s="42">
        <v>4</v>
      </c>
      <c r="U556" s="43">
        <v>2</v>
      </c>
      <c r="V556" s="42">
        <v>8</v>
      </c>
      <c r="W556" s="42">
        <v>7</v>
      </c>
      <c r="X556" s="42">
        <v>1</v>
      </c>
      <c r="Y556" s="43">
        <v>1</v>
      </c>
      <c r="Z556" s="42" t="s">
        <v>45</v>
      </c>
      <c r="AA556" s="42" t="s">
        <v>45</v>
      </c>
      <c r="AB556" s="42">
        <v>1</v>
      </c>
      <c r="AC556" s="42">
        <v>2</v>
      </c>
      <c r="AD556" s="42" t="s">
        <v>45</v>
      </c>
      <c r="AE556" s="42" t="s">
        <v>45</v>
      </c>
      <c r="AF556" s="42" t="s">
        <v>45</v>
      </c>
      <c r="AG556" s="43" t="s">
        <v>45</v>
      </c>
      <c r="AH556" s="42">
        <v>9</v>
      </c>
      <c r="AI556" s="42">
        <v>10</v>
      </c>
      <c r="AJ556" s="43">
        <v>7</v>
      </c>
      <c r="AK556" s="45" t="s">
        <v>45</v>
      </c>
      <c r="AL556" s="45" t="s">
        <v>705</v>
      </c>
      <c r="AM556" s="46">
        <f>($L$3*(L556-$Q$1)/$Q$2+$M$3*(M556-$R$1)/$R$2+$N$3*(N556-$S$1)/$S$2+$O$3*(O556-$T$1)/$T$2+$P$3*(P556-$U$1)/$U$2)/(SUM($L$3:$P$3))</f>
        <v>-1.9115723057940897</v>
      </c>
      <c r="AN556" s="46">
        <f>($L$3*(Q556-$Q$1)/$Q$2+$M$3*(R556-$R$1)/$R$2+$N$3*(S556-$S$1)/$S$2+$O$3*(T556-$T$1)/$T$2+$P$3*(U556-$U$1)/$U$2)/(SUM($L$3:$P$3))</f>
        <v>-1.2354596561125644</v>
      </c>
      <c r="AO556" s="47">
        <f>IF(AVERAGE(AH556:AI556)&gt;9,1,0)+IF(AVERAGE(AH556:AI556)&gt;7,1,0)+IF(AH556&gt;7,1,0)+IF(AI556&gt;7,1,0)+IF(AJ556&gt;8,1,0)+IF(AJ556&gt;6,1,0)</f>
        <v>5</v>
      </c>
      <c r="AP556" s="48">
        <f>MIN(2,IF(OR(Z556="-",X556&lt;5),0,1+IF(Y556&gt;7,0.35,IF(Y556&gt;5,0.1,0))+IF(Z556&gt;7,1+IF(X556&gt;7,0.25,0),IF(Z556&gt;4,0.5+IF(X556&gt;7,0.25,0),0+IF(X556&gt;7,0.25))))+IF(AA556="-",0,IF(AA556&gt;9,0.5,IF(AA556&gt;7,0.25,0)))+IF(AB556="-",0,IF(AB556&gt;7,1.1,IF(AB556&gt;4,0.6,0)))+IF(OR(AC556="-",V556&lt;5),0,IF(AC556&gt;7,1+IF(V556&gt;7,0.25,0),IF(AC556&gt;4,0.5+IF(V556&gt;7,0.25,0),0)))+IF(AD556="-",0,IF(AD556&gt;7,1.5,IF(AD556&gt;4,1,0)))+IF(AE556="-",0,IF(AE556&gt;9,0.5,IF(AE556&gt;7,0.25,0)))+IF(AF556="-",0,IF(AF556&gt;7,1.25,IF(AF556&gt;4,0.75,0)))+IF(OR(AG556="-",W556&lt;4),0,IF(AG556&gt;7,1+IF(W556&gt;7,0.15,0),IF(AG556&gt;4,0.5+IF(W556&gt;7,0.15,0),0))))</f>
        <v>0</v>
      </c>
      <c r="AQ556" s="46">
        <f>($AM$3*AM556+$AN$3*AN556+$AO$3*AO556+$AP$3*AP556)+$I$3*VLOOKUP(I556,COND!$A$2:$E$7,4,FALSE)+$J$3*VLOOKUP(J556,COND!$A$2:$C$7,2,FALSE)+$K$3*VLOOKUP(K556,COND!$A$2:$C$7,3,FALSE)+IF(AND($B$2&gt;0,$E556&lt;20),$B$2*25,0)</f>
        <v>30.216660229403153</v>
      </c>
      <c r="AR556" s="49">
        <f>STANDARDIZE(AQ556,AVERAGE($AQ$5:$AQ$537),STDEVP($AQ$5:$AQ$537))</f>
        <v>-1.7825854177038538</v>
      </c>
      <c r="AS556" s="47" t="str">
        <f>IF(AND(Z556&lt;&gt;"-",Y556&gt;1),"C",IF(AB556=MAX(AB556:AD556),"2B",IF(AD556=MAX(AB556:AD556),"SS",IF(OR(AC556=MAX(AA556:AD556),AND(AC556&lt;&gt;"-",AC556&gt;4,V556&gt;5)),"3B",IF(AF556=MAX(AE556:AG556),"CF",IF(AND(AG556=MAX(AE556,AG556),AND(W556&gt;5,AG556&lt;&gt;"-")),"RF",IF(AE556&lt;&gt;"-","LF",IF(AA556&lt;&gt;"-","1B","DH"))))))))</f>
        <v>3B</v>
      </c>
      <c r="AT556" s="47"/>
      <c r="AU556" s="47"/>
      <c r="AV556" s="47"/>
      <c r="AW556" s="47" t="str">
        <f>IF(AND($Q556&gt;=6,AVERAGE($S556:$T556)&gt;=6),"Likely",IF(OR($Q556&gt;6,AND($Q556=6,AVERAGE($S556:$T556)&gt;=3),AND($Q556&gt;=5,AVERAGE($S556:$T556)&gt;=5),AVERAGE($Q556,$S556:$T556)&gt;5),"Possible","Unlikely"))</f>
        <v>Unlikely</v>
      </c>
      <c r="AX556" s="47"/>
      <c r="AY556" s="47" t="str">
        <f>INDEX(Table5[[#All],[Ovr]],MATCH(Batters[[#This Row],[PID]],Table5[[#All],[PID]],0))</f>
        <v/>
      </c>
      <c r="AZ556" s="47" t="str">
        <f>INDEX(Table5[[#All],[Rnd]],MATCH(Batters[[#This Row],[PID]],Table5[[#All],[PID]],0))</f>
        <v/>
      </c>
      <c r="BA556" s="47" t="str">
        <f>INDEX(Table5[[#All],[Pick]],MATCH(Batters[[#This Row],[PID]],Table5[[#All],[PID]],0))</f>
        <v/>
      </c>
      <c r="BB556" s="47" t="str">
        <f>INDEX(Table5[[#All],[Team]],MATCH(Batters[[#This Row],[PID]],Table5[[#All],[PID]],0))</f>
        <v/>
      </c>
    </row>
    <row r="557" spans="1:54" ht="15" customHeight="1" x14ac:dyDescent="0.25">
      <c r="A557" s="42">
        <v>6487</v>
      </c>
      <c r="B557" s="42" t="s">
        <v>87</v>
      </c>
      <c r="C557" s="42" t="s">
        <v>1336</v>
      </c>
      <c r="D557" s="42" t="s">
        <v>937</v>
      </c>
      <c r="E557" s="42">
        <v>18</v>
      </c>
      <c r="F557" s="42" t="s">
        <v>53</v>
      </c>
      <c r="G557" s="42" t="s">
        <v>42</v>
      </c>
      <c r="H557" s="43" t="s">
        <v>721</v>
      </c>
      <c r="I557" s="44" t="s">
        <v>43</v>
      </c>
      <c r="J557" s="42" t="s">
        <v>44</v>
      </c>
      <c r="K557" s="43" t="s">
        <v>44</v>
      </c>
      <c r="L557" s="42">
        <v>1</v>
      </c>
      <c r="M557" s="42">
        <v>1</v>
      </c>
      <c r="N557" s="42">
        <v>2</v>
      </c>
      <c r="O557" s="42">
        <v>1</v>
      </c>
      <c r="P557" s="43">
        <v>1</v>
      </c>
      <c r="Q557" s="42">
        <v>2</v>
      </c>
      <c r="R557" s="42">
        <v>2</v>
      </c>
      <c r="S557" s="42">
        <v>2</v>
      </c>
      <c r="T557" s="42">
        <v>1</v>
      </c>
      <c r="U557" s="43">
        <v>2</v>
      </c>
      <c r="V557" s="42">
        <v>7</v>
      </c>
      <c r="W557" s="42">
        <v>1</v>
      </c>
      <c r="X557" s="42">
        <v>1</v>
      </c>
      <c r="Y557" s="43">
        <v>1</v>
      </c>
      <c r="Z557" s="42" t="s">
        <v>45</v>
      </c>
      <c r="AA557" s="42" t="s">
        <v>45</v>
      </c>
      <c r="AB557" s="42" t="s">
        <v>45</v>
      </c>
      <c r="AC557" s="42" t="s">
        <v>45</v>
      </c>
      <c r="AD557" s="42" t="s">
        <v>45</v>
      </c>
      <c r="AE557" s="42" t="s">
        <v>45</v>
      </c>
      <c r="AF557" s="42" t="s">
        <v>45</v>
      </c>
      <c r="AG557" s="43" t="s">
        <v>45</v>
      </c>
      <c r="AH557" s="42">
        <v>1</v>
      </c>
      <c r="AI557" s="42">
        <v>1</v>
      </c>
      <c r="AJ557" s="43">
        <v>3</v>
      </c>
      <c r="AK557" s="45" t="s">
        <v>758</v>
      </c>
      <c r="AL557" s="45" t="s">
        <v>47</v>
      </c>
      <c r="AM557" s="46">
        <f>($L$3*(L557-$Q$1)/$Q$2+$M$3*(M557-$R$1)/$R$2+$N$3*(N557-$S$1)/$S$2+$O$3*(O557-$T$1)/$T$2+$P$3*(P557-$U$1)/$U$2)/(SUM($L$3:$P$3))</f>
        <v>-2.0012818558036707</v>
      </c>
      <c r="AN557" s="46">
        <f>($L$3*(Q557-$Q$1)/$Q$2+$M$3*(R557-$R$1)/$R$2+$N$3*(S557-$S$1)/$S$2+$O$3*(T557-$T$1)/$T$2+$P$3*(U557-$U$1)/$U$2)/(SUM($L$3:$P$3))</f>
        <v>-1.5876498001652086</v>
      </c>
      <c r="AO557" s="47">
        <f>IF(AVERAGE(AH557:AI557)&gt;9,1,0)+IF(AVERAGE(AH557:AI557)&gt;7,1,0)+IF(AH557&gt;7,1,0)+IF(AI557&gt;7,1,0)+IF(AJ557&gt;8,1,0)+IF(AJ557&gt;6,1,0)</f>
        <v>0</v>
      </c>
      <c r="AP557" s="48">
        <f>MIN(2,IF(OR(Z557="-",X557&lt;5),0,1+IF(Y557&gt;7,0.35,IF(Y557&gt;5,0.1,0))+IF(Z557&gt;7,1+IF(X557&gt;7,0.25,0),IF(Z557&gt;4,0.5+IF(X557&gt;7,0.25,0),0+IF(X557&gt;7,0.25))))+IF(AA557="-",0,IF(AA557&gt;9,0.5,IF(AA557&gt;7,0.25,0)))+IF(AB557="-",0,IF(AB557&gt;7,1.1,IF(AB557&gt;4,0.6,0)))+IF(OR(AC557="-",V557&lt;5),0,IF(AC557&gt;7,1+IF(V557&gt;7,0.25,0),IF(AC557&gt;4,0.5+IF(V557&gt;7,0.25,0),0)))+IF(AD557="-",0,IF(AD557&gt;7,1.5,IF(AD557&gt;4,1,0)))+IF(AE557="-",0,IF(AE557&gt;9,0.5,IF(AE557&gt;7,0.25,0)))+IF(AF557="-",0,IF(AF557&gt;7,1.25,IF(AF557&gt;4,0.75,0)))+IF(OR(AG557="-",W557&lt;4),0,IF(AG557&gt;7,1+IF(W557&gt;7,0.15,0),IF(AG557&gt;4,0.5+IF(W557&gt;7,0.15,0),0))))</f>
        <v>0</v>
      </c>
      <c r="AQ557" s="46">
        <f>($AM$3*AM557+$AN$3*AN557+$AO$3*AO557+$AP$3*AP557)+$I$3*VLOOKUP(I557,COND!$A$2:$E$7,4,FALSE)+$J$3*VLOOKUP(J557,COND!$A$2:$C$7,2,FALSE)+$K$3*VLOOKUP(K557,COND!$A$2:$C$7,3,FALSE)+IF(AND($B$2&gt;0,$E557&lt;20),$B$2*25,0)</f>
        <v>30.148074212437127</v>
      </c>
      <c r="AR557" s="49">
        <f>STANDARDIZE(AQ557,AVERAGE($AQ$5:$AQ$537),STDEVP($AQ$5:$AQ$537))</f>
        <v>-1.79465267154555</v>
      </c>
      <c r="AS557" s="47" t="str">
        <f>IF(AND(Z557&lt;&gt;"-",Y557&gt;1),"C",IF(AB557=MAX(AB557:AD557),"2B",IF(AD557=MAX(AB557:AD557),"SS",IF(OR(AC557=MAX(AA557:AD557),AND(AC557&lt;&gt;"-",AC557&gt;4,V557&gt;5)),"3B",IF(AF557=MAX(AE557:AG557),"CF",IF(AND(AG557=MAX(AE557,AG557),AND(W557&gt;5,AG557&lt;&gt;"-")),"RF",IF(AE557&lt;&gt;"-","LF",IF(AA557&lt;&gt;"-","1B","DH"))))))))</f>
        <v>DH</v>
      </c>
      <c r="AT557" s="47"/>
      <c r="AU557" s="47"/>
      <c r="AV557" s="47"/>
      <c r="AW557" s="47" t="str">
        <f>IF(AND($Q557&gt;=6,AVERAGE($S557:$T557)&gt;=6),"Likely",IF(OR($Q557&gt;6,AND($Q557=6,AVERAGE($S557:$T557)&gt;=3),AND($Q557&gt;=5,AVERAGE($S557:$T557)&gt;=5),AVERAGE($Q557,$S557:$T557)&gt;5),"Possible","Unlikely"))</f>
        <v>Unlikely</v>
      </c>
      <c r="AX557" s="47"/>
      <c r="AY557" s="47" t="str">
        <f>INDEX(Table5[[#All],[Ovr]],MATCH(Batters[[#This Row],[PID]],Table5[[#All],[PID]],0))</f>
        <v/>
      </c>
      <c r="AZ557" s="47" t="str">
        <f>INDEX(Table5[[#All],[Rnd]],MATCH(Batters[[#This Row],[PID]],Table5[[#All],[PID]],0))</f>
        <v/>
      </c>
      <c r="BA557" s="47" t="str">
        <f>INDEX(Table5[[#All],[Pick]],MATCH(Batters[[#This Row],[PID]],Table5[[#All],[PID]],0))</f>
        <v/>
      </c>
      <c r="BB557" s="47" t="str">
        <f>INDEX(Table5[[#All],[Team]],MATCH(Batters[[#This Row],[PID]],Table5[[#All],[PID]],0))</f>
        <v/>
      </c>
    </row>
    <row r="558" spans="1:54" ht="15" customHeight="1" x14ac:dyDescent="0.25">
      <c r="A558" s="42">
        <v>11967</v>
      </c>
      <c r="B558" s="42" t="s">
        <v>86</v>
      </c>
      <c r="C558" s="42" t="s">
        <v>412</v>
      </c>
      <c r="D558" s="42" t="s">
        <v>1386</v>
      </c>
      <c r="E558" s="42">
        <v>21</v>
      </c>
      <c r="F558" s="42" t="s">
        <v>42</v>
      </c>
      <c r="G558" s="42" t="s">
        <v>42</v>
      </c>
      <c r="H558" s="43" t="s">
        <v>721</v>
      </c>
      <c r="I558" s="44" t="s">
        <v>43</v>
      </c>
      <c r="J558" s="42" t="s">
        <v>44</v>
      </c>
      <c r="K558" s="43" t="s">
        <v>43</v>
      </c>
      <c r="L558" s="42">
        <v>1</v>
      </c>
      <c r="M558" s="42">
        <v>1</v>
      </c>
      <c r="N558" s="42">
        <v>2</v>
      </c>
      <c r="O558" s="42">
        <v>1</v>
      </c>
      <c r="P558" s="43">
        <v>1</v>
      </c>
      <c r="Q558" s="42">
        <v>2</v>
      </c>
      <c r="R558" s="42">
        <v>3</v>
      </c>
      <c r="S558" s="42">
        <v>2</v>
      </c>
      <c r="T558" s="42">
        <v>4</v>
      </c>
      <c r="U558" s="43">
        <v>2</v>
      </c>
      <c r="V558" s="42">
        <v>2</v>
      </c>
      <c r="W558" s="42">
        <v>1</v>
      </c>
      <c r="X558" s="42">
        <v>6</v>
      </c>
      <c r="Y558" s="43">
        <v>6</v>
      </c>
      <c r="Z558" s="42" t="s">
        <v>45</v>
      </c>
      <c r="AA558" s="42" t="s">
        <v>45</v>
      </c>
      <c r="AB558" s="42" t="s">
        <v>45</v>
      </c>
      <c r="AC558" s="42" t="s">
        <v>45</v>
      </c>
      <c r="AD558" s="42" t="s">
        <v>45</v>
      </c>
      <c r="AE558" s="42" t="s">
        <v>45</v>
      </c>
      <c r="AF558" s="42" t="s">
        <v>45</v>
      </c>
      <c r="AG558" s="43" t="s">
        <v>45</v>
      </c>
      <c r="AH558" s="42">
        <v>3</v>
      </c>
      <c r="AI558" s="42">
        <v>3</v>
      </c>
      <c r="AJ558" s="43">
        <v>1</v>
      </c>
      <c r="AK558" s="45" t="s">
        <v>717</v>
      </c>
      <c r="AL558" s="45" t="s">
        <v>47</v>
      </c>
      <c r="AM558" s="46">
        <f>($L$3*(L558-$Q$1)/$Q$2+$M$3*(M558-$R$1)/$R$2+$N$3*(N558-$S$1)/$S$2+$O$3*(O558-$T$1)/$T$2+$P$3*(P558-$U$1)/$U$2)/(SUM($L$3:$P$3))</f>
        <v>-2.0012818558036707</v>
      </c>
      <c r="AN558" s="46">
        <f>($L$3*(Q558-$Q$1)/$Q$2+$M$3*(R558-$R$1)/$R$2+$N$3*(S558-$S$1)/$S$2+$O$3*(T558-$T$1)/$T$2+$P$3*(U558-$U$1)/$U$2)/(SUM($L$3:$P$3))</f>
        <v>-1.2674612705177621</v>
      </c>
      <c r="AO558" s="47">
        <f>IF(AVERAGE(AH558:AI558)&gt;9,1,0)+IF(AVERAGE(AH558:AI558)&gt;7,1,0)+IF(AH558&gt;7,1,0)+IF(AI558&gt;7,1,0)+IF(AJ558&gt;8,1,0)+IF(AJ558&gt;6,1,0)</f>
        <v>0</v>
      </c>
      <c r="AP558" s="48">
        <f>MIN(2,IF(OR(Z558="-",X558&lt;5),0,1+IF(Y558&gt;7,0.35,IF(Y558&gt;5,0.1,0))+IF(Z558&gt;7,1+IF(X558&gt;7,0.25,0),IF(Z558&gt;4,0.5+IF(X558&gt;7,0.25,0),0+IF(X558&gt;7,0.25))))+IF(AA558="-",0,IF(AA558&gt;9,0.5,IF(AA558&gt;7,0.25,0)))+IF(AB558="-",0,IF(AB558&gt;7,1.1,IF(AB558&gt;4,0.6,0)))+IF(OR(AC558="-",V558&lt;5),0,IF(AC558&gt;7,1+IF(V558&gt;7,0.25,0),IF(AC558&gt;4,0.5+IF(V558&gt;7,0.25,0),0)))+IF(AD558="-",0,IF(AD558&gt;7,1.5,IF(AD558&gt;4,1,0)))+IF(AE558="-",0,IF(AE558&gt;9,0.5,IF(AE558&gt;7,0.25,0)))+IF(AF558="-",0,IF(AF558&gt;7,1.25,IF(AF558&gt;4,0.75,0)))+IF(OR(AG558="-",W558&lt;4),0,IF(AG558&gt;7,1+IF(W558&gt;7,0.15,0),IF(AG558&gt;4,0.5+IF(W558&gt;7,0.15,0),0))))</f>
        <v>0</v>
      </c>
      <c r="AQ558" s="46">
        <f>($AM$3*AM558+$AN$3*AN558+$AO$3*AO558+$AP$3*AP558)+$I$3*VLOOKUP(I558,COND!$A$2:$E$7,4,FALSE)+$J$3*VLOOKUP(J558,COND!$A$2:$C$7,2,FALSE)+$K$3*VLOOKUP(K558,COND!$A$2:$C$7,3,FALSE)+IF(AND($B$2&gt;0,$E558&lt;20),$B$2*25,0)</f>
        <v>29.290336568206484</v>
      </c>
      <c r="AR558" s="49">
        <f>STANDARDIZE(AQ558,AVERAGE($AQ$5:$AQ$537),STDEVP($AQ$5:$AQ$537))</f>
        <v>-1.9455659092633295</v>
      </c>
      <c r="AS558" s="47" t="str">
        <f>IF(AND(Z558&lt;&gt;"-",Y558&gt;1),"C",IF(AB558=MAX(AB558:AD558),"2B",IF(AD558=MAX(AB558:AD558),"SS",IF(OR(AC558=MAX(AA558:AD558),AND(AC558&lt;&gt;"-",AC558&gt;4,V558&gt;5)),"3B",IF(AF558=MAX(AE558:AG558),"CF",IF(AND(AG558=MAX(AE558,AG558),AND(W558&gt;5,AG558&lt;&gt;"-")),"RF",IF(AE558&lt;&gt;"-","LF",IF(AA558&lt;&gt;"-","1B","DH"))))))))</f>
        <v>DH</v>
      </c>
      <c r="AT558" s="47"/>
      <c r="AU558" s="47"/>
      <c r="AV558" s="47"/>
      <c r="AW558" s="47" t="str">
        <f>IF(AND($Q558&gt;=6,AVERAGE($S558:$T558)&gt;=6),"Likely",IF(OR($Q558&gt;6,AND($Q558=6,AVERAGE($S558:$T558)&gt;=3),AND($Q558&gt;=5,AVERAGE($S558:$T558)&gt;=5),AVERAGE($Q558,$S558:$T558)&gt;5),"Possible","Unlikely"))</f>
        <v>Unlikely</v>
      </c>
      <c r="AX558" s="47"/>
      <c r="AY558" s="47" t="str">
        <f>INDEX(Table5[[#All],[Ovr]],MATCH(Batters[[#This Row],[PID]],Table5[[#All],[PID]],0))</f>
        <v/>
      </c>
      <c r="AZ558" s="47" t="str">
        <f>INDEX(Table5[[#All],[Rnd]],MATCH(Batters[[#This Row],[PID]],Table5[[#All],[PID]],0))</f>
        <v/>
      </c>
      <c r="BA558" s="47" t="str">
        <f>INDEX(Table5[[#All],[Pick]],MATCH(Batters[[#This Row],[PID]],Table5[[#All],[PID]],0))</f>
        <v/>
      </c>
      <c r="BB558" s="47" t="str">
        <f>INDEX(Table5[[#All],[Team]],MATCH(Batters[[#This Row],[PID]],Table5[[#All],[PID]],0))</f>
        <v/>
      </c>
    </row>
    <row r="559" spans="1:54" ht="15" customHeight="1" x14ac:dyDescent="0.25">
      <c r="A559" s="42">
        <v>5408</v>
      </c>
      <c r="B559" s="42" t="s">
        <v>86</v>
      </c>
      <c r="C559" s="42" t="s">
        <v>173</v>
      </c>
      <c r="D559" s="42" t="s">
        <v>1324</v>
      </c>
      <c r="E559" s="42">
        <v>21</v>
      </c>
      <c r="F559" s="42" t="s">
        <v>42</v>
      </c>
      <c r="G559" s="42" t="s">
        <v>42</v>
      </c>
      <c r="H559" s="43" t="s">
        <v>721</v>
      </c>
      <c r="I559" s="44" t="s">
        <v>43</v>
      </c>
      <c r="J559" s="42" t="s">
        <v>44</v>
      </c>
      <c r="K559" s="43" t="s">
        <v>43</v>
      </c>
      <c r="L559" s="42">
        <v>1</v>
      </c>
      <c r="M559" s="42">
        <v>1</v>
      </c>
      <c r="N559" s="42">
        <v>2</v>
      </c>
      <c r="O559" s="42">
        <v>2</v>
      </c>
      <c r="P559" s="43">
        <v>1</v>
      </c>
      <c r="Q559" s="42">
        <v>2</v>
      </c>
      <c r="R559" s="42">
        <v>2</v>
      </c>
      <c r="S559" s="42">
        <v>2</v>
      </c>
      <c r="T559" s="42">
        <v>4</v>
      </c>
      <c r="U559" s="43">
        <v>3</v>
      </c>
      <c r="V559" s="42">
        <v>2</v>
      </c>
      <c r="W559" s="42">
        <v>3</v>
      </c>
      <c r="X559" s="42">
        <v>5</v>
      </c>
      <c r="Y559" s="43">
        <v>6</v>
      </c>
      <c r="Z559" s="42" t="s">
        <v>45</v>
      </c>
      <c r="AA559" s="42" t="s">
        <v>45</v>
      </c>
      <c r="AB559" s="42" t="s">
        <v>45</v>
      </c>
      <c r="AC559" s="42" t="s">
        <v>45</v>
      </c>
      <c r="AD559" s="42" t="s">
        <v>45</v>
      </c>
      <c r="AE559" s="42" t="s">
        <v>45</v>
      </c>
      <c r="AF559" s="42" t="s">
        <v>45</v>
      </c>
      <c r="AG559" s="43" t="s">
        <v>45</v>
      </c>
      <c r="AH559" s="42">
        <v>1</v>
      </c>
      <c r="AI559" s="42">
        <v>1</v>
      </c>
      <c r="AJ559" s="43">
        <v>1</v>
      </c>
      <c r="AK559" s="45" t="s">
        <v>45</v>
      </c>
      <c r="AL559" s="45" t="s">
        <v>47</v>
      </c>
      <c r="AM559" s="46">
        <f>($L$3*(L559-$Q$1)/$Q$2+$M$3*(M559-$R$1)/$R$2+$N$3*(N559-$S$1)/$S$2+$O$3*(O559-$T$1)/$T$2+$P$3*(P559-$U$1)/$U$2)/(SUM($L$3:$P$3))</f>
        <v>-1.9115723057940897</v>
      </c>
      <c r="AN559" s="46">
        <f>($L$3*(Q559-$Q$1)/$Q$2+$M$3*(R559-$R$1)/$R$2+$N$3*(S559-$S$1)/$S$2+$O$3*(T559-$T$1)/$T$2+$P$3*(U559-$U$1)/$U$2)/(SUM($L$3:$P$3))</f>
        <v>-1.2785048103193823</v>
      </c>
      <c r="AO559" s="47">
        <f>IF(AVERAGE(AH559:AI559)&gt;9,1,0)+IF(AVERAGE(AH559:AI559)&gt;7,1,0)+IF(AH559&gt;7,1,0)+IF(AI559&gt;7,1,0)+IF(AJ559&gt;8,1,0)+IF(AJ559&gt;6,1,0)</f>
        <v>0</v>
      </c>
      <c r="AP559" s="48">
        <f>MIN(2,IF(OR(Z559="-",X559&lt;5),0,1+IF(Y559&gt;7,0.35,IF(Y559&gt;5,0.1,0))+IF(Z559&gt;7,1+IF(X559&gt;7,0.25,0),IF(Z559&gt;4,0.5+IF(X559&gt;7,0.25,0),0+IF(X559&gt;7,0.25))))+IF(AA559="-",0,IF(AA559&gt;9,0.5,IF(AA559&gt;7,0.25,0)))+IF(AB559="-",0,IF(AB559&gt;7,1.1,IF(AB559&gt;4,0.6,0)))+IF(OR(AC559="-",V559&lt;5),0,IF(AC559&gt;7,1+IF(V559&gt;7,0.25,0),IF(AC559&gt;4,0.5+IF(V559&gt;7,0.25,0),0)))+IF(AD559="-",0,IF(AD559&gt;7,1.5,IF(AD559&gt;4,1,0)))+IF(AE559="-",0,IF(AE559&gt;9,0.5,IF(AE559&gt;7,0.25,0)))+IF(AF559="-",0,IF(AF559&gt;7,1.25,IF(AF559&gt;4,0.75,0)))+IF(OR(AG559="-",W559&lt;4),0,IF(AG559&gt;7,1+IF(W559&gt;7,0.15,0),IF(AG559&gt;4,0.5+IF(W559&gt;7,0.15,0),0))))</f>
        <v>0</v>
      </c>
      <c r="AQ559" s="46">
        <f>($AM$3*AM559+$AN$3*AN559+$AO$3*AO559+$AP$3*AP559)+$I$3*VLOOKUP(I559,COND!$A$2:$E$7,4,FALSE)+$J$3*VLOOKUP(J559,COND!$A$2:$C$7,2,FALSE)+$K$3*VLOOKUP(K559,COND!$A$2:$C$7,3,FALSE)+IF(AND($B$2&gt;0,$E559&lt;20),$B$2*25,0)</f>
        <v>29.166785045588</v>
      </c>
      <c r="AR559" s="49">
        <f>STANDARDIZE(AQ559,AVERAGE($AQ$5:$AQ$537),STDEVP($AQ$5:$AQ$537))</f>
        <v>-1.9673039785071498</v>
      </c>
      <c r="AS559" s="47" t="str">
        <f>IF(AND(Z559&lt;&gt;"-",Y559&gt;1),"C",IF(AB559=MAX(AB559:AD559),"2B",IF(AD559=MAX(AB559:AD559),"SS",IF(OR(AC559=MAX(AA559:AD559),AND(AC559&lt;&gt;"-",AC559&gt;4,V559&gt;5)),"3B",IF(AF559=MAX(AE559:AG559),"CF",IF(AND(AG559=MAX(AE559,AG559),AND(W559&gt;5,AG559&lt;&gt;"-")),"RF",IF(AE559&lt;&gt;"-","LF",IF(AA559&lt;&gt;"-","1B","DH"))))))))</f>
        <v>DH</v>
      </c>
      <c r="AT559" s="47"/>
      <c r="AU559" s="47"/>
      <c r="AV559" s="47"/>
      <c r="AW559" s="47" t="str">
        <f>IF(AND($Q559&gt;=6,AVERAGE($S559:$T559)&gt;=6),"Likely",IF(OR($Q559&gt;6,AND($Q559=6,AVERAGE($S559:$T559)&gt;=3),AND($Q559&gt;=5,AVERAGE($S559:$T559)&gt;=5),AVERAGE($Q559,$S559:$T559)&gt;5),"Possible","Unlikely"))</f>
        <v>Unlikely</v>
      </c>
      <c r="AX559" s="47"/>
      <c r="AY559" s="47" t="str">
        <f>INDEX(Table5[[#All],[Ovr]],MATCH(Batters[[#This Row],[PID]],Table5[[#All],[PID]],0))</f>
        <v/>
      </c>
      <c r="AZ559" s="47" t="str">
        <f>INDEX(Table5[[#All],[Rnd]],MATCH(Batters[[#This Row],[PID]],Table5[[#All],[PID]],0))</f>
        <v/>
      </c>
      <c r="BA559" s="47" t="str">
        <f>INDEX(Table5[[#All],[Pick]],MATCH(Batters[[#This Row],[PID]],Table5[[#All],[PID]],0))</f>
        <v/>
      </c>
      <c r="BB559" s="47" t="str">
        <f>INDEX(Table5[[#All],[Team]],MATCH(Batters[[#This Row],[PID]],Table5[[#All],[PID]],0))</f>
        <v/>
      </c>
    </row>
    <row r="560" spans="1:54" ht="15" customHeight="1" x14ac:dyDescent="0.25">
      <c r="A560" s="42">
        <v>5477</v>
      </c>
      <c r="B560" s="42" t="s">
        <v>87</v>
      </c>
      <c r="C560" s="42" t="s">
        <v>389</v>
      </c>
      <c r="D560" s="42" t="s">
        <v>868</v>
      </c>
      <c r="E560" s="42">
        <v>22</v>
      </c>
      <c r="F560" s="42" t="s">
        <v>62</v>
      </c>
      <c r="G560" s="42" t="s">
        <v>53</v>
      </c>
      <c r="H560" s="43" t="s">
        <v>721</v>
      </c>
      <c r="I560" s="44" t="s">
        <v>44</v>
      </c>
      <c r="J560" s="42" t="s">
        <v>44</v>
      </c>
      <c r="K560" s="43" t="s">
        <v>43</v>
      </c>
      <c r="L560" s="42">
        <v>1</v>
      </c>
      <c r="M560" s="42">
        <v>1</v>
      </c>
      <c r="N560" s="42">
        <v>3</v>
      </c>
      <c r="O560" s="42">
        <v>1</v>
      </c>
      <c r="P560" s="43">
        <v>1</v>
      </c>
      <c r="Q560" s="42">
        <v>2</v>
      </c>
      <c r="R560" s="42">
        <v>2</v>
      </c>
      <c r="S560" s="42">
        <v>3</v>
      </c>
      <c r="T560" s="42">
        <v>3</v>
      </c>
      <c r="U560" s="43">
        <v>3</v>
      </c>
      <c r="V560" s="42">
        <v>3</v>
      </c>
      <c r="W560" s="42">
        <v>1</v>
      </c>
      <c r="X560" s="42">
        <v>1</v>
      </c>
      <c r="Y560" s="43">
        <v>1</v>
      </c>
      <c r="Z560" s="42" t="s">
        <v>45</v>
      </c>
      <c r="AA560" s="42">
        <v>1</v>
      </c>
      <c r="AB560" s="42" t="s">
        <v>45</v>
      </c>
      <c r="AC560" s="42" t="s">
        <v>45</v>
      </c>
      <c r="AD560" s="42" t="s">
        <v>45</v>
      </c>
      <c r="AE560" s="42" t="s">
        <v>45</v>
      </c>
      <c r="AF560" s="42" t="s">
        <v>45</v>
      </c>
      <c r="AG560" s="43" t="s">
        <v>45</v>
      </c>
      <c r="AH560" s="42">
        <v>1</v>
      </c>
      <c r="AI560" s="42">
        <v>4</v>
      </c>
      <c r="AJ560" s="43">
        <v>1</v>
      </c>
      <c r="AK560" s="45" t="s">
        <v>45</v>
      </c>
      <c r="AL560" s="45" t="s">
        <v>47</v>
      </c>
      <c r="AM560" s="46">
        <f>($L$3*(L560-$Q$1)/$Q$2+$M$3*(M560-$R$1)/$R$2+$N$3*(N560-$S$1)/$S$2+$O$3*(O560-$T$1)/$T$2+$P$3*(P560-$U$1)/$U$2)/(SUM($L$3:$P$3))</f>
        <v>-1.9182203617797693</v>
      </c>
      <c r="AN560" s="46">
        <f>($L$3*(Q560-$Q$1)/$Q$2+$M$3*(R560-$R$1)/$R$2+$N$3*(S560-$S$1)/$S$2+$O$3*(T560-$T$1)/$T$2+$P$3*(U560-$U$1)/$U$2)/(SUM($L$3:$P$3))</f>
        <v>-1.285152866305062</v>
      </c>
      <c r="AO560" s="47">
        <f>IF(AVERAGE(AH560:AI560)&gt;9,1,0)+IF(AVERAGE(AH560:AI560)&gt;7,1,0)+IF(AH560&gt;7,1,0)+IF(AI560&gt;7,1,0)+IF(AJ560&gt;8,1,0)+IF(AJ560&gt;6,1,0)</f>
        <v>0</v>
      </c>
      <c r="AP560" s="48">
        <f>MIN(2,IF(OR(Z560="-",X560&lt;5),0,1+IF(Y560&gt;7,0.35,IF(Y560&gt;5,0.1,0))+IF(Z560&gt;7,1+IF(X560&gt;7,0.25,0),IF(Z560&gt;4,0.5+IF(X560&gt;7,0.25,0),0+IF(X560&gt;7,0.25))))+IF(AA560="-",0,IF(AA560&gt;9,0.5,IF(AA560&gt;7,0.25,0)))+IF(AB560="-",0,IF(AB560&gt;7,1.1,IF(AB560&gt;4,0.6,0)))+IF(OR(AC560="-",V560&lt;5),0,IF(AC560&gt;7,1+IF(V560&gt;7,0.25,0),IF(AC560&gt;4,0.5+IF(V560&gt;7,0.25,0),0)))+IF(AD560="-",0,IF(AD560&gt;7,1.5,IF(AD560&gt;4,1,0)))+IF(AE560="-",0,IF(AE560&gt;9,0.5,IF(AE560&gt;7,0.25,0)))+IF(AF560="-",0,IF(AF560&gt;7,1.25,IF(AF560&gt;4,0.75,0)))+IF(OR(AG560="-",W560&lt;4),0,IF(AG560&gt;7,1+IF(W560&gt;7,0.15,0),IF(AG560&gt;4,0.5+IF(W560&gt;7,0.15,0),0))))</f>
        <v>0</v>
      </c>
      <c r="AQ560" s="46">
        <f>($AM$3*AM560+$AN$3*AN560+$AO$3*AO560+$AP$3*AP560)+$I$3*VLOOKUP(I560,COND!$A$2:$E$7,4,FALSE)+$J$3*VLOOKUP(J560,COND!$A$2:$C$7,2,FALSE)+$K$3*VLOOKUP(K560,COND!$A$2:$C$7,3,FALSE)+IF(AND($B$2&gt;0,$E560&lt;20),$B$2*25,0)</f>
        <v>28.936343568161277</v>
      </c>
      <c r="AR560" s="49">
        <f>STANDARDIZE(AQ560,AVERAGE($AQ$5:$AQ$537),STDEVP($AQ$5:$AQ$537))</f>
        <v>-2.007848624876412</v>
      </c>
      <c r="AS560" s="47" t="str">
        <f>IF(AND(Z560&lt;&gt;"-",Y560&gt;1),"C",IF(AB560=MAX(AB560:AD560),"2B",IF(AD560=MAX(AB560:AD560),"SS",IF(OR(AC560=MAX(AA560:AD560),AND(AC560&lt;&gt;"-",AC560&gt;4,V560&gt;5)),"3B",IF(AF560=MAX(AE560:AG560),"CF",IF(AND(AG560=MAX(AE560,AG560),AND(W560&gt;5,AG560&lt;&gt;"-")),"RF",IF(AE560&lt;&gt;"-","LF",IF(AA560&lt;&gt;"-","1B","DH"))))))))</f>
        <v>1B</v>
      </c>
      <c r="AT560" s="47"/>
      <c r="AU560" s="47"/>
      <c r="AV560" s="47"/>
      <c r="AW560" s="47" t="str">
        <f>IF(AND($Q560&gt;=6,AVERAGE($S560:$T560)&gt;=6),"Likely",IF(OR($Q560&gt;6,AND($Q560=6,AVERAGE($S560:$T560)&gt;=3),AND($Q560&gt;=5,AVERAGE($S560:$T560)&gt;=5),AVERAGE($Q560,$S560:$T560)&gt;5),"Possible","Unlikely"))</f>
        <v>Unlikely</v>
      </c>
      <c r="AX560" s="47"/>
      <c r="AY560" s="47" t="str">
        <f>INDEX(Table5[[#All],[Ovr]],MATCH(Batters[[#This Row],[PID]],Table5[[#All],[PID]],0))</f>
        <v/>
      </c>
      <c r="AZ560" s="47" t="str">
        <f>INDEX(Table5[[#All],[Rnd]],MATCH(Batters[[#This Row],[PID]],Table5[[#All],[PID]],0))</f>
        <v/>
      </c>
      <c r="BA560" s="47" t="str">
        <f>INDEX(Table5[[#All],[Pick]],MATCH(Batters[[#This Row],[PID]],Table5[[#All],[PID]],0))</f>
        <v/>
      </c>
      <c r="BB560" s="47" t="str">
        <f>INDEX(Table5[[#All],[Team]],MATCH(Batters[[#This Row],[PID]],Table5[[#All],[PID]],0))</f>
        <v/>
      </c>
    </row>
    <row r="561" spans="1:54" ht="15" customHeight="1" x14ac:dyDescent="0.25">
      <c r="A561" s="42">
        <v>5972</v>
      </c>
      <c r="B561" s="42" t="s">
        <v>86</v>
      </c>
      <c r="C561" s="42" t="s">
        <v>1347</v>
      </c>
      <c r="D561" s="42" t="s">
        <v>1348</v>
      </c>
      <c r="E561" s="42">
        <v>21</v>
      </c>
      <c r="F561" s="42" t="s">
        <v>42</v>
      </c>
      <c r="G561" s="42" t="s">
        <v>42</v>
      </c>
      <c r="H561" s="43" t="s">
        <v>721</v>
      </c>
      <c r="I561" s="44" t="s">
        <v>44</v>
      </c>
      <c r="J561" s="42" t="s">
        <v>44</v>
      </c>
      <c r="K561" s="43" t="s">
        <v>44</v>
      </c>
      <c r="L561" s="42">
        <v>1</v>
      </c>
      <c r="M561" s="42">
        <v>1</v>
      </c>
      <c r="N561" s="42">
        <v>2</v>
      </c>
      <c r="O561" s="42">
        <v>1</v>
      </c>
      <c r="P561" s="43">
        <v>1</v>
      </c>
      <c r="Q561" s="42">
        <v>2</v>
      </c>
      <c r="R561" s="42">
        <v>2</v>
      </c>
      <c r="S561" s="42">
        <v>3</v>
      </c>
      <c r="T561" s="42">
        <v>3</v>
      </c>
      <c r="U561" s="43">
        <v>2</v>
      </c>
      <c r="V561" s="42">
        <v>2</v>
      </c>
      <c r="W561" s="42">
        <v>1</v>
      </c>
      <c r="X561" s="42">
        <v>4</v>
      </c>
      <c r="Y561" s="43">
        <v>9</v>
      </c>
      <c r="Z561" s="42" t="s">
        <v>45</v>
      </c>
      <c r="AA561" s="42" t="s">
        <v>45</v>
      </c>
      <c r="AB561" s="42" t="s">
        <v>45</v>
      </c>
      <c r="AC561" s="42" t="s">
        <v>45</v>
      </c>
      <c r="AD561" s="42" t="s">
        <v>45</v>
      </c>
      <c r="AE561" s="42" t="s">
        <v>45</v>
      </c>
      <c r="AF561" s="42" t="s">
        <v>45</v>
      </c>
      <c r="AG561" s="43" t="s">
        <v>45</v>
      </c>
      <c r="AH561" s="42">
        <v>1</v>
      </c>
      <c r="AI561" s="42">
        <v>5</v>
      </c>
      <c r="AJ561" s="43">
        <v>9</v>
      </c>
      <c r="AK561" s="45" t="s">
        <v>45</v>
      </c>
      <c r="AL561" s="45" t="s">
        <v>47</v>
      </c>
      <c r="AM561" s="46">
        <f>($L$3*(L561-$Q$1)/$Q$2+$M$3*(M561-$R$1)/$R$2+$N$3*(N561-$S$1)/$S$2+$O$3*(O561-$T$1)/$T$2+$P$3*(P561-$U$1)/$U$2)/(SUM($L$3:$P$3))</f>
        <v>-2.0012818558036707</v>
      </c>
      <c r="AN561" s="46">
        <f>($L$3*(Q561-$Q$1)/$Q$2+$M$3*(R561-$R$1)/$R$2+$N$3*(S561-$S$1)/$S$2+$O$3*(T561-$T$1)/$T$2+$P$3*(U561-$U$1)/$U$2)/(SUM($L$3:$P$3))</f>
        <v>-1.3251692061221452</v>
      </c>
      <c r="AO561" s="47">
        <f>IF(AVERAGE(AH561:AI561)&gt;9,1,0)+IF(AVERAGE(AH561:AI561)&gt;7,1,0)+IF(AH561&gt;7,1,0)+IF(AI561&gt;7,1,0)+IF(AJ561&gt;8,1,0)+IF(AJ561&gt;6,1,0)</f>
        <v>2</v>
      </c>
      <c r="AP561" s="48">
        <f>MIN(2,IF(OR(Z561="-",X561&lt;5),0,1+IF(Y561&gt;7,0.35,IF(Y561&gt;5,0.1,0))+IF(Z561&gt;7,1+IF(X561&gt;7,0.25,0),IF(Z561&gt;4,0.5+IF(X561&gt;7,0.25,0),0+IF(X561&gt;7,0.25))))+IF(AA561="-",0,IF(AA561&gt;9,0.5,IF(AA561&gt;7,0.25,0)))+IF(AB561="-",0,IF(AB561&gt;7,1.1,IF(AB561&gt;4,0.6,0)))+IF(OR(AC561="-",V561&lt;5),0,IF(AC561&gt;7,1+IF(V561&gt;7,0.25,0),IF(AC561&gt;4,0.5+IF(V561&gt;7,0.25,0),0)))+IF(AD561="-",0,IF(AD561&gt;7,1.5,IF(AD561&gt;4,1,0)))+IF(AE561="-",0,IF(AE561&gt;9,0.5,IF(AE561&gt;7,0.25,0)))+IF(AF561="-",0,IF(AF561&gt;7,1.25,IF(AF561&gt;4,0.75,0)))+IF(OR(AG561="-",W561&lt;4),0,IF(AG561&gt;7,1+IF(W561&gt;7,0.15,0),IF(AG561&gt;4,0.5+IF(W561&gt;7,0.15,0),0))))</f>
        <v>0</v>
      </c>
      <c r="AQ561" s="46">
        <f>($AM$3*AM561+$AN$3*AN561+$AO$3*AO561+$AP$3*AP561)+$I$3*VLOOKUP(I561,COND!$A$2:$E$7,4,FALSE)+$J$3*VLOOKUP(J561,COND!$A$2:$C$7,2,FALSE)+$K$3*VLOOKUP(K561,COND!$A$2:$C$7,3,FALSE)+IF(AND($B$2&gt;0,$E561&lt;20),$B$2*25,0)</f>
        <v>28.481174674287221</v>
      </c>
      <c r="AR561" s="49">
        <f>STANDARDIZE(AQ561,AVERAGE($AQ$5:$AQ$537),STDEVP($AQ$5:$AQ$537))</f>
        <v>-2.0879325665629955</v>
      </c>
      <c r="AS561" s="47" t="str">
        <f>IF(AND(Z561&lt;&gt;"-",Y561&gt;1),"C",IF(AB561=MAX(AB561:AD561),"2B",IF(AD561=MAX(AB561:AD561),"SS",IF(OR(AC561=MAX(AA561:AD561),AND(AC561&lt;&gt;"-",AC561&gt;4,V561&gt;5)),"3B",IF(AF561=MAX(AE561:AG561),"CF",IF(AND(AG561=MAX(AE561,AG561),AND(W561&gt;5,AG561&lt;&gt;"-")),"RF",IF(AE561&lt;&gt;"-","LF",IF(AA561&lt;&gt;"-","1B","DH"))))))))</f>
        <v>DH</v>
      </c>
      <c r="AT561" s="47"/>
      <c r="AU561" s="47"/>
      <c r="AV561" s="47"/>
      <c r="AW561" s="47" t="str">
        <f>IF(AND($Q561&gt;=6,AVERAGE($S561:$T561)&gt;=6),"Likely",IF(OR($Q561&gt;6,AND($Q561=6,AVERAGE($S561:$T561)&gt;=3),AND($Q561&gt;=5,AVERAGE($S561:$T561)&gt;=5),AVERAGE($Q561,$S561:$T561)&gt;5),"Possible","Unlikely"))</f>
        <v>Unlikely</v>
      </c>
      <c r="AX561" s="47"/>
      <c r="AY561" s="47" t="str">
        <f>INDEX(Table5[[#All],[Ovr]],MATCH(Batters[[#This Row],[PID]],Table5[[#All],[PID]],0))</f>
        <v/>
      </c>
      <c r="AZ561" s="47" t="str">
        <f>INDEX(Table5[[#All],[Rnd]],MATCH(Batters[[#This Row],[PID]],Table5[[#All],[PID]],0))</f>
        <v/>
      </c>
      <c r="BA561" s="47" t="str">
        <f>INDEX(Table5[[#All],[Pick]],MATCH(Batters[[#This Row],[PID]],Table5[[#All],[PID]],0))</f>
        <v/>
      </c>
      <c r="BB561" s="47" t="str">
        <f>INDEX(Table5[[#All],[Team]],MATCH(Batters[[#This Row],[PID]],Table5[[#All],[PID]],0))</f>
        <v/>
      </c>
    </row>
    <row r="562" spans="1:54" ht="15" customHeight="1" x14ac:dyDescent="0.25">
      <c r="A562" s="42">
        <v>5427</v>
      </c>
      <c r="B562" s="42" t="s">
        <v>71</v>
      </c>
      <c r="C562" s="42" t="s">
        <v>203</v>
      </c>
      <c r="D562" s="42" t="s">
        <v>874</v>
      </c>
      <c r="E562" s="42">
        <v>22</v>
      </c>
      <c r="F562" s="42" t="s">
        <v>62</v>
      </c>
      <c r="G562" s="42" t="s">
        <v>42</v>
      </c>
      <c r="H562" s="43" t="s">
        <v>721</v>
      </c>
      <c r="I562" s="44" t="s">
        <v>43</v>
      </c>
      <c r="J562" s="42" t="s">
        <v>44</v>
      </c>
      <c r="K562" s="43" t="s">
        <v>44</v>
      </c>
      <c r="L562" s="42">
        <v>1</v>
      </c>
      <c r="M562" s="42">
        <v>1</v>
      </c>
      <c r="N562" s="42">
        <v>2</v>
      </c>
      <c r="O562" s="42">
        <v>3</v>
      </c>
      <c r="P562" s="43">
        <v>1</v>
      </c>
      <c r="Q562" s="42">
        <v>2</v>
      </c>
      <c r="R562" s="42">
        <v>2</v>
      </c>
      <c r="S562" s="42">
        <v>2</v>
      </c>
      <c r="T562" s="42">
        <v>4</v>
      </c>
      <c r="U562" s="43">
        <v>2</v>
      </c>
      <c r="V562" s="42">
        <v>4</v>
      </c>
      <c r="W562" s="42">
        <v>2</v>
      </c>
      <c r="X562" s="42">
        <v>1</v>
      </c>
      <c r="Y562" s="43">
        <v>1</v>
      </c>
      <c r="Z562" s="42" t="s">
        <v>45</v>
      </c>
      <c r="AA562" s="42" t="s">
        <v>45</v>
      </c>
      <c r="AB562" s="42">
        <v>2</v>
      </c>
      <c r="AC562" s="42" t="s">
        <v>45</v>
      </c>
      <c r="AD562" s="42">
        <v>1</v>
      </c>
      <c r="AE562" s="42" t="s">
        <v>45</v>
      </c>
      <c r="AF562" s="42" t="s">
        <v>45</v>
      </c>
      <c r="AG562" s="43" t="s">
        <v>45</v>
      </c>
      <c r="AH562" s="42">
        <v>3</v>
      </c>
      <c r="AI562" s="42">
        <v>2</v>
      </c>
      <c r="AJ562" s="43">
        <v>1</v>
      </c>
      <c r="AK562" s="45" t="s">
        <v>45</v>
      </c>
      <c r="AL562" s="45" t="s">
        <v>705</v>
      </c>
      <c r="AM562" s="46">
        <f>($L$3*(L562-$Q$1)/$Q$2+$M$3*(M562-$R$1)/$R$2+$N$3*(N562-$S$1)/$S$2+$O$3*(O562-$T$1)/$T$2+$P$3*(P562-$U$1)/$U$2)/(SUM($L$3:$P$3))</f>
        <v>-1.8218627557845084</v>
      </c>
      <c r="AN562" s="46">
        <f>($L$3*(Q562-$Q$1)/$Q$2+$M$3*(R562-$R$1)/$R$2+$N$3*(S562-$S$1)/$S$2+$O$3*(T562-$T$1)/$T$2+$P$3*(U562-$U$1)/$U$2)/(SUM($L$3:$P$3))</f>
        <v>-1.3185211501364655</v>
      </c>
      <c r="AO562" s="47">
        <f>IF(AVERAGE(AH562:AI562)&gt;9,1,0)+IF(AVERAGE(AH562:AI562)&gt;7,1,0)+IF(AH562&gt;7,1,0)+IF(AI562&gt;7,1,0)+IF(AJ562&gt;8,1,0)+IF(AJ562&gt;6,1,0)</f>
        <v>0</v>
      </c>
      <c r="AP562" s="48">
        <f>MIN(2,IF(OR(Z562="-",X562&lt;5),0,1+IF(Y562&gt;7,0.35,IF(Y562&gt;5,0.1,0))+IF(Z562&gt;7,1+IF(X562&gt;7,0.25,0),IF(Z562&gt;4,0.5+IF(X562&gt;7,0.25,0),0+IF(X562&gt;7,0.25))))+IF(AA562="-",0,IF(AA562&gt;9,0.5,IF(AA562&gt;7,0.25,0)))+IF(AB562="-",0,IF(AB562&gt;7,1.1,IF(AB562&gt;4,0.6,0)))+IF(OR(AC562="-",V562&lt;5),0,IF(AC562&gt;7,1+IF(V562&gt;7,0.25,0),IF(AC562&gt;4,0.5+IF(V562&gt;7,0.25,0),0)))+IF(AD562="-",0,IF(AD562&gt;7,1.5,IF(AD562&gt;4,1,0)))+IF(AE562="-",0,IF(AE562&gt;9,0.5,IF(AE562&gt;7,0.25,0)))+IF(AF562="-",0,IF(AF562&gt;7,1.25,IF(AF562&gt;4,0.75,0)))+IF(OR(AG562="-",W562&lt;4),0,IF(AG562&gt;7,1+IF(W562&gt;7,0.15,0),IF(AG562&gt;4,0.5+IF(W562&gt;7,0.15,0),0))))</f>
        <v>0</v>
      </c>
      <c r="AQ562" s="46">
        <f>($AM$3*AM562+$AN$3*AN562+$AO$3*AO562+$AP$3*AP562)+$I$3*VLOOKUP(I562,COND!$A$2:$E$7,4,FALSE)+$J$3*VLOOKUP(J562,COND!$A$2:$C$7,2,FALSE)+$K$3*VLOOKUP(K562,COND!$A$2:$C$7,3,FALSE)+IF(AND($B$2&gt;0,$E562&lt;20),$B$2*25,0)</f>
        <v>28.39555992278396</v>
      </c>
      <c r="AR562" s="49">
        <f>STANDARDIZE(AQ562,AVERAGE($AQ$5:$AQ$537),STDEVP($AQ$5:$AQ$537))</f>
        <v>-2.1029959130683822</v>
      </c>
      <c r="AS562" s="47" t="str">
        <f>IF(AND(Z562&lt;&gt;"-",Y562&gt;1),"C",IF(AB562=MAX(AB562:AD562),"2B",IF(AD562=MAX(AB562:AD562),"SS",IF(OR(AC562=MAX(AA562:AD562),AND(AC562&lt;&gt;"-",AC562&gt;4,V562&gt;5)),"3B",IF(AF562=MAX(AE562:AG562),"CF",IF(AND(AG562=MAX(AE562,AG562),AND(W562&gt;5,AG562&lt;&gt;"-")),"RF",IF(AE562&lt;&gt;"-","LF",IF(AA562&lt;&gt;"-","1B","DH"))))))))</f>
        <v>2B</v>
      </c>
      <c r="AT562" s="47"/>
      <c r="AU562" s="47"/>
      <c r="AV562" s="47"/>
      <c r="AW562" s="47" t="str">
        <f>IF(AND($Q562&gt;=6,AVERAGE($S562:$T562)&gt;=6),"Likely",IF(OR($Q562&gt;6,AND($Q562=6,AVERAGE($S562:$T562)&gt;=3),AND($Q562&gt;=5,AVERAGE($S562:$T562)&gt;=5),AVERAGE($Q562,$S562:$T562)&gt;5),"Possible","Unlikely"))</f>
        <v>Unlikely</v>
      </c>
      <c r="AX562" s="47"/>
      <c r="AY562" s="47" t="str">
        <f>INDEX(Table5[[#All],[Ovr]],MATCH(Batters[[#This Row],[PID]],Table5[[#All],[PID]],0))</f>
        <v/>
      </c>
      <c r="AZ562" s="47" t="str">
        <f>INDEX(Table5[[#All],[Rnd]],MATCH(Batters[[#This Row],[PID]],Table5[[#All],[PID]],0))</f>
        <v/>
      </c>
      <c r="BA562" s="47" t="str">
        <f>INDEX(Table5[[#All],[Pick]],MATCH(Batters[[#This Row],[PID]],Table5[[#All],[PID]],0))</f>
        <v/>
      </c>
      <c r="BB562" s="47" t="str">
        <f>INDEX(Table5[[#All],[Team]],MATCH(Batters[[#This Row],[PID]],Table5[[#All],[PID]],0))</f>
        <v/>
      </c>
    </row>
  </sheetData>
  <sortState xmlns:xlrd2="http://schemas.microsoft.com/office/spreadsheetml/2017/richdata2" ref="A5:BB525">
    <sortCondition ref="AY5:AY525"/>
    <sortCondition ref="AU5:AU525"/>
    <sortCondition ref="AV5:AV525"/>
    <sortCondition ref="AT5:AT525"/>
    <sortCondition descending="1" ref="AR5:AR525"/>
    <sortCondition ref="D5:D525"/>
    <sortCondition ref="C5:C525"/>
  </sortState>
  <conditionalFormatting sqref="AV1 A5:XFD562">
    <cfRule type="expression" dxfId="22" priority="28">
      <formula>IF($AZ1&lt;&gt;"",1,0)</formula>
    </cfRule>
  </conditionalFormatting>
  <conditionalFormatting sqref="Q5:Q562">
    <cfRule type="colorScale" priority="1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562">
    <cfRule type="colorScale" priority="1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562">
    <cfRule type="colorScale" priority="1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562">
    <cfRule type="colorScale" priority="1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562">
    <cfRule type="colorScale" priority="1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562">
    <cfRule type="colorScale" priority="1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Y562">
    <cfRule type="colorScale" priority="1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562">
    <cfRule type="colorScale" priority="1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562">
    <cfRule type="colorScale" priority="1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562">
    <cfRule type="colorScale" priority="1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562">
    <cfRule type="colorScale" priority="1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E562">
    <cfRule type="colorScale" priority="1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562">
    <cfRule type="colorScale" priority="1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562">
    <cfRule type="colorScale" priority="1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562">
    <cfRule type="colorScale" priority="1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X562">
    <cfRule type="colorScale" priority="1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562">
    <cfRule type="colorScale" priority="1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I562">
    <cfRule type="colorScale" priority="1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562">
    <cfRule type="colorScale" priority="1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676"/>
  <sheetViews>
    <sheetView workbookViewId="0">
      <pane xSplit="7" ySplit="4" topLeftCell="AR5" activePane="bottomRight" state="frozenSplit"/>
      <selection pane="topRight" activeCell="H1" sqref="H1"/>
      <selection pane="bottomLeft" activeCell="A245" sqref="A245"/>
      <selection pane="bottomRight" activeCell="BL6" sqref="BL6"/>
    </sheetView>
  </sheetViews>
  <sheetFormatPr defaultRowHeight="15" x14ac:dyDescent="0.25"/>
  <cols>
    <col min="1" max="1" width="6.140625" customWidth="1"/>
    <col min="2" max="2" width="6.85546875" bestFit="1" customWidth="1"/>
    <col min="3" max="3" width="11.42578125" bestFit="1" customWidth="1"/>
    <col min="4" max="4" width="13.7109375" bestFit="1" customWidth="1"/>
    <col min="5" max="5" width="6.5703125" customWidth="1"/>
    <col min="6" max="6" width="2.140625" hidden="1" customWidth="1"/>
    <col min="7" max="7" width="4.140625" customWidth="1"/>
    <col min="8" max="8" width="6.7109375" style="3" customWidth="1"/>
    <col min="9" max="9" width="7.5703125" style="8" bestFit="1" customWidth="1"/>
    <col min="10" max="10" width="9.5703125" bestFit="1" customWidth="1"/>
    <col min="11" max="11" width="9.5703125" style="3" bestFit="1" customWidth="1"/>
    <col min="12" max="12" width="6.5703125" customWidth="1"/>
    <col min="13" max="13" width="7.7109375" customWidth="1"/>
    <col min="14" max="14" width="7.140625" style="3" customWidth="1"/>
    <col min="15" max="15" width="8.140625" customWidth="1"/>
    <col min="16" max="16" width="9.28515625" customWidth="1"/>
    <col min="17" max="17" width="8.7109375" style="3" customWidth="1"/>
    <col min="18" max="18" width="5.42578125" customWidth="1"/>
    <col min="19" max="19" width="6.5703125" bestFit="1" customWidth="1"/>
    <col min="20" max="20" width="5.7109375" customWidth="1"/>
    <col min="21" max="21" width="6.85546875" bestFit="1" customWidth="1"/>
    <col min="22" max="22" width="5.5703125" customWidth="1"/>
    <col min="23" max="23" width="6.7109375" bestFit="1" customWidth="1"/>
    <col min="24" max="24" width="5.140625" customWidth="1"/>
    <col min="25" max="25" width="6.28515625" bestFit="1" customWidth="1"/>
    <col min="26" max="26" width="4.85546875" customWidth="1"/>
    <col min="27" max="27" width="6" bestFit="1" customWidth="1"/>
    <col min="28" max="28" width="5.42578125" customWidth="1"/>
    <col min="29" max="29" width="6.5703125" bestFit="1" customWidth="1"/>
    <col min="30" max="30" width="5.42578125" customWidth="1"/>
    <col min="31" max="31" width="6.5703125" bestFit="1" customWidth="1"/>
    <col min="32" max="32" width="5.7109375" customWidth="1"/>
    <col min="33" max="33" width="6.85546875" bestFit="1" customWidth="1"/>
    <col min="34" max="34" width="5.5703125" customWidth="1"/>
    <col min="35" max="35" width="6.7109375" bestFit="1" customWidth="1"/>
    <col min="36" max="36" width="5.42578125" customWidth="1"/>
    <col min="37" max="37" width="6.5703125" bestFit="1" customWidth="1"/>
    <col min="38" max="38" width="5.5703125" customWidth="1"/>
    <col min="39" max="39" width="6.7109375" bestFit="1" customWidth="1"/>
    <col min="40" max="40" width="5.85546875" customWidth="1"/>
    <col min="41" max="41" width="7" style="3" bestFit="1" customWidth="1"/>
    <col min="42" max="42" width="11.140625" bestFit="1" customWidth="1"/>
    <col min="43" max="43" width="7" customWidth="1"/>
    <col min="44" max="44" width="8" style="3" customWidth="1"/>
    <col min="45" max="45" width="7.42578125" style="18" bestFit="1" customWidth="1"/>
    <col min="46" max="46" width="8.85546875" style="18" hidden="1" customWidth="1"/>
    <col min="47" max="48" width="9.140625" customWidth="1"/>
    <col min="49" max="49" width="7.5703125" customWidth="1"/>
    <col min="50" max="50" width="9" customWidth="1"/>
    <col min="51" max="51" width="8.28515625" style="3" customWidth="1"/>
    <col min="52" max="52" width="7.5703125" bestFit="1" customWidth="1"/>
    <col min="53" max="53" width="8.85546875" style="3" customWidth="1"/>
    <col min="54" max="54" width="7.28515625" bestFit="1" customWidth="1"/>
    <col min="55" max="55" width="6.5703125" bestFit="1" customWidth="1"/>
    <col min="56" max="56" width="6.28515625" bestFit="1" customWidth="1"/>
    <col min="59" max="59" width="12.42578125" customWidth="1"/>
    <col min="61" max="61" width="6.7109375" bestFit="1" customWidth="1"/>
    <col min="62" max="62" width="6.85546875" bestFit="1" customWidth="1"/>
    <col min="63" max="63" width="29.28515625" bestFit="1" customWidth="1"/>
    <col min="64" max="64" width="11.7109375" customWidth="1"/>
  </cols>
  <sheetData>
    <row r="1" spans="1:64" x14ac:dyDescent="0.25">
      <c r="A1" s="34" t="s">
        <v>1024</v>
      </c>
      <c r="B1" s="35">
        <f>'Draft List'!$B$2</f>
        <v>0</v>
      </c>
      <c r="K1" s="26" t="s">
        <v>306</v>
      </c>
      <c r="O1">
        <v>5.065724815724816</v>
      </c>
      <c r="P1">
        <v>5.3630221130221134</v>
      </c>
      <c r="Q1" s="3">
        <v>3.5245700245700244</v>
      </c>
    </row>
    <row r="2" spans="1:64" x14ac:dyDescent="0.25">
      <c r="A2" s="34" t="s">
        <v>1025</v>
      </c>
      <c r="B2" s="35">
        <f>'Draft List'!$B$3</f>
        <v>0.2</v>
      </c>
      <c r="K2" s="26" t="s">
        <v>305</v>
      </c>
      <c r="O2">
        <v>1.5564653627697971</v>
      </c>
      <c r="P2">
        <v>1.3955118325171196</v>
      </c>
      <c r="Q2" s="3">
        <v>1.7507487340042387</v>
      </c>
    </row>
    <row r="3" spans="1:64" x14ac:dyDescent="0.25">
      <c r="I3" s="8">
        <v>15</v>
      </c>
      <c r="J3" s="3">
        <f>IF('Draft List'!$B$2=1,50,15)</f>
        <v>15</v>
      </c>
      <c r="K3" s="3">
        <f>IF('Draft List'!$B$2=1,50,15)</f>
        <v>15</v>
      </c>
      <c r="L3">
        <f>O3</f>
        <v>10</v>
      </c>
      <c r="M3">
        <f>P3</f>
        <v>9</v>
      </c>
      <c r="N3" s="3">
        <v>14</v>
      </c>
      <c r="O3">
        <v>10</v>
      </c>
      <c r="P3">
        <v>9</v>
      </c>
      <c r="Q3" s="3">
        <v>14</v>
      </c>
      <c r="AU3">
        <v>0.2</v>
      </c>
      <c r="AV3">
        <v>20</v>
      </c>
      <c r="AW3">
        <v>0.5</v>
      </c>
      <c r="AX3">
        <v>1.25</v>
      </c>
      <c r="BB3">
        <v>2</v>
      </c>
      <c r="BH3">
        <v>23</v>
      </c>
      <c r="BI3">
        <v>24</v>
      </c>
      <c r="BJ3">
        <v>25</v>
      </c>
      <c r="BK3">
        <v>26</v>
      </c>
    </row>
    <row r="4" spans="1:64" s="1" customFormat="1" x14ac:dyDescent="0.25">
      <c r="A4" s="36" t="s">
        <v>214</v>
      </c>
      <c r="B4" s="37" t="s">
        <v>0</v>
      </c>
      <c r="C4" s="37" t="s">
        <v>421</v>
      </c>
      <c r="D4" s="37" t="s">
        <v>422</v>
      </c>
      <c r="E4" s="37" t="s">
        <v>2</v>
      </c>
      <c r="F4" s="37" t="s">
        <v>3</v>
      </c>
      <c r="G4" s="37" t="s">
        <v>4</v>
      </c>
      <c r="H4" s="38" t="s">
        <v>5</v>
      </c>
      <c r="I4" s="39" t="s">
        <v>689</v>
      </c>
      <c r="J4" s="37" t="s">
        <v>6</v>
      </c>
      <c r="K4" s="38" t="s">
        <v>7</v>
      </c>
      <c r="L4" s="37" t="s">
        <v>8</v>
      </c>
      <c r="M4" s="37" t="s">
        <v>9</v>
      </c>
      <c r="N4" s="38" t="s">
        <v>10</v>
      </c>
      <c r="O4" s="37" t="s">
        <v>11</v>
      </c>
      <c r="P4" s="37" t="s">
        <v>12</v>
      </c>
      <c r="Q4" s="38" t="s">
        <v>13</v>
      </c>
      <c r="R4" s="37" t="s">
        <v>14</v>
      </c>
      <c r="S4" s="37" t="s">
        <v>15</v>
      </c>
      <c r="T4" s="37" t="s">
        <v>16</v>
      </c>
      <c r="U4" s="37" t="s">
        <v>17</v>
      </c>
      <c r="V4" s="37" t="s">
        <v>18</v>
      </c>
      <c r="W4" s="37" t="s">
        <v>19</v>
      </c>
      <c r="X4" s="37" t="s">
        <v>20</v>
      </c>
      <c r="Y4" s="37" t="s">
        <v>21</v>
      </c>
      <c r="Z4" s="37" t="s">
        <v>22</v>
      </c>
      <c r="AA4" s="37" t="s">
        <v>23</v>
      </c>
      <c r="AB4" s="37" t="s">
        <v>24</v>
      </c>
      <c r="AC4" s="37" t="s">
        <v>25</v>
      </c>
      <c r="AD4" s="37" t="s">
        <v>26</v>
      </c>
      <c r="AE4" s="37" t="s">
        <v>27</v>
      </c>
      <c r="AF4" s="37" t="s">
        <v>28</v>
      </c>
      <c r="AG4" s="37" t="s">
        <v>29</v>
      </c>
      <c r="AH4" s="37" t="s">
        <v>30</v>
      </c>
      <c r="AI4" s="37" t="s">
        <v>31</v>
      </c>
      <c r="AJ4" s="37" t="s">
        <v>32</v>
      </c>
      <c r="AK4" s="37" t="s">
        <v>33</v>
      </c>
      <c r="AL4" s="37" t="s">
        <v>34</v>
      </c>
      <c r="AM4" s="37" t="s">
        <v>35</v>
      </c>
      <c r="AN4" s="37" t="s">
        <v>36</v>
      </c>
      <c r="AO4" s="38" t="s">
        <v>37</v>
      </c>
      <c r="AP4" s="37" t="s">
        <v>38</v>
      </c>
      <c r="AQ4" s="37" t="s">
        <v>39</v>
      </c>
      <c r="AR4" s="38" t="s">
        <v>40</v>
      </c>
      <c r="AS4" s="40" t="s">
        <v>41</v>
      </c>
      <c r="AT4" s="40" t="s">
        <v>700</v>
      </c>
      <c r="AU4" s="36" t="s">
        <v>91</v>
      </c>
      <c r="AV4" s="36" t="s">
        <v>1441</v>
      </c>
      <c r="AW4" s="36" t="s">
        <v>92</v>
      </c>
      <c r="AX4" s="36" t="s">
        <v>93</v>
      </c>
      <c r="AY4" s="41" t="s">
        <v>1444</v>
      </c>
      <c r="AZ4" s="36" t="s">
        <v>95</v>
      </c>
      <c r="BA4" s="41" t="s">
        <v>96</v>
      </c>
      <c r="BB4" s="36" t="s">
        <v>97</v>
      </c>
      <c r="BC4" s="36" t="s">
        <v>98</v>
      </c>
      <c r="BD4" s="36" t="s">
        <v>99</v>
      </c>
      <c r="BE4" s="36" t="s">
        <v>691</v>
      </c>
      <c r="BF4" s="36" t="s">
        <v>101</v>
      </c>
      <c r="BG4" s="36" t="s">
        <v>102</v>
      </c>
      <c r="BH4" s="36" t="s">
        <v>231</v>
      </c>
      <c r="BI4" s="36" t="s">
        <v>232</v>
      </c>
      <c r="BJ4" s="36" t="s">
        <v>233</v>
      </c>
      <c r="BK4" s="36" t="s">
        <v>234</v>
      </c>
      <c r="BL4" s="36" t="s">
        <v>301</v>
      </c>
    </row>
    <row r="5" spans="1:64" ht="15" customHeight="1" x14ac:dyDescent="0.25">
      <c r="A5" s="42">
        <v>7016</v>
      </c>
      <c r="B5" s="42" t="s">
        <v>430</v>
      </c>
      <c r="C5" s="42" t="s">
        <v>180</v>
      </c>
      <c r="D5" s="42" t="s">
        <v>1447</v>
      </c>
      <c r="E5" s="42">
        <v>21</v>
      </c>
      <c r="F5" s="42" t="s">
        <v>53</v>
      </c>
      <c r="G5" s="42" t="s">
        <v>42</v>
      </c>
      <c r="H5" s="43" t="s">
        <v>907</v>
      </c>
      <c r="I5" s="44" t="s">
        <v>43</v>
      </c>
      <c r="J5" s="42" t="s">
        <v>43</v>
      </c>
      <c r="K5" s="43" t="s">
        <v>43</v>
      </c>
      <c r="L5" s="42">
        <v>4</v>
      </c>
      <c r="M5" s="42">
        <v>4</v>
      </c>
      <c r="N5" s="43">
        <v>3</v>
      </c>
      <c r="O5" s="42">
        <v>8</v>
      </c>
      <c r="P5" s="42">
        <v>6</v>
      </c>
      <c r="Q5" s="43">
        <v>6</v>
      </c>
      <c r="R5" s="42">
        <v>6</v>
      </c>
      <c r="S5" s="42">
        <v>9</v>
      </c>
      <c r="T5" s="42">
        <v>1</v>
      </c>
      <c r="U5" s="42">
        <v>2</v>
      </c>
      <c r="V5" s="42" t="s">
        <v>45</v>
      </c>
      <c r="W5" s="42" t="s">
        <v>45</v>
      </c>
      <c r="X5" s="42" t="s">
        <v>45</v>
      </c>
      <c r="Y5" s="42" t="s">
        <v>45</v>
      </c>
      <c r="Z5" s="42">
        <v>5</v>
      </c>
      <c r="AA5" s="42">
        <v>7</v>
      </c>
      <c r="AB5" s="42" t="s">
        <v>45</v>
      </c>
      <c r="AC5" s="42" t="s">
        <v>45</v>
      </c>
      <c r="AD5" s="42" t="s">
        <v>45</v>
      </c>
      <c r="AE5" s="42" t="s">
        <v>45</v>
      </c>
      <c r="AF5" s="42" t="s">
        <v>45</v>
      </c>
      <c r="AG5" s="42" t="s">
        <v>45</v>
      </c>
      <c r="AH5" s="42" t="s">
        <v>45</v>
      </c>
      <c r="AI5" s="42" t="s">
        <v>45</v>
      </c>
      <c r="AJ5" s="42" t="s">
        <v>45</v>
      </c>
      <c r="AK5" s="42" t="s">
        <v>45</v>
      </c>
      <c r="AL5" s="42" t="s">
        <v>45</v>
      </c>
      <c r="AM5" s="42" t="s">
        <v>45</v>
      </c>
      <c r="AN5" s="42" t="s">
        <v>45</v>
      </c>
      <c r="AO5" s="43" t="s">
        <v>45</v>
      </c>
      <c r="AP5" s="42" t="s">
        <v>60</v>
      </c>
      <c r="AQ5" s="42">
        <v>6</v>
      </c>
      <c r="AR5" s="50" t="s">
        <v>352</v>
      </c>
      <c r="AS5" s="45" t="s">
        <v>672</v>
      </c>
      <c r="AT5" s="45" t="s">
        <v>47</v>
      </c>
      <c r="AU5" s="46">
        <f>($O$3*(L5-$O$1)/$O$2+$P$3*(M5-$P$1)/$P$2+$Q$3*(N5-$P$1)/$Q$2)/SUM($O$3:$Q$3)</f>
        <v>-1.0464739830416905</v>
      </c>
      <c r="AV5" s="46">
        <f>($O$3*(O5-$O$1)/$O$2+$P$3*(P5-$P$1)/$P$2+$Q$3*(Q5-$Q$1)/$Q$2)/SUM($O$3:$Q$3)</f>
        <v>1.2956111967545172</v>
      </c>
      <c r="AW5" s="47">
        <f>COUNT(R5:AO5)/2</f>
        <v>3</v>
      </c>
      <c r="AX5" s="47">
        <f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f>
        <v>2</v>
      </c>
      <c r="AY5" s="48">
        <f>VLOOKUP(AP5,COND!$A$10:$B$32,2,FALSE)</f>
        <v>1.0249999999999999</v>
      </c>
      <c r="AZ5" s="46">
        <f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f>
        <v>76.68436480777045</v>
      </c>
      <c r="BA5" s="49">
        <f>STANDARDIZE(AZ5,AVERAGE($AZ$5:$AZ$570),STDEVP($AZ$5:$AZ$570))</f>
        <v>4.0315137475792344</v>
      </c>
      <c r="BB5" s="47" t="str">
        <f>IF(OR(AND(AQ5&gt;7,AX5&gt;1),AND(AQ5&gt;4,AW5&gt;2)),"SP","RP")</f>
        <v>SP</v>
      </c>
      <c r="BC5" s="47"/>
      <c r="BD5" s="47"/>
      <c r="BE5" s="47"/>
      <c r="BF5" s="47" t="str">
        <f>IF(AVERAGE($O5:$Q5)&gt;=6,"Likely",IF(AVERAGE($O5:$Q5)&gt;=4,"Possible","Unlikely"))</f>
        <v>Likely</v>
      </c>
      <c r="BG5" s="47"/>
      <c r="BH5" s="47" t="str">
        <f>INDEX(Table5[[#All],[Ovr]],MATCH(Table3[[#This Row],[PID]],Table5[[#All],[PID]],0))</f>
        <v/>
      </c>
      <c r="BI5" s="47" t="str">
        <f>INDEX(Table5[[#All],[Rnd]],MATCH(Table3[[#This Row],[PID]],Table5[[#All],[PID]],0))</f>
        <v/>
      </c>
      <c r="BJ5" s="47" t="str">
        <f>INDEX(Table5[[#All],[Pick]],MATCH(Table3[[#This Row],[PID]],Table5[[#All],[PID]],0))</f>
        <v/>
      </c>
      <c r="BK5" s="47" t="str">
        <f>INDEX(Table5[[#All],[Team]],MATCH(Table3[[#This Row],[PID]],Table5[[#All],[PID]],0))</f>
        <v/>
      </c>
      <c r="BL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" spans="1:64" ht="15" customHeight="1" x14ac:dyDescent="0.25">
      <c r="A6" s="42">
        <v>6230</v>
      </c>
      <c r="B6" s="42" t="s">
        <v>24</v>
      </c>
      <c r="C6" s="42" t="s">
        <v>1460</v>
      </c>
      <c r="D6" s="42" t="s">
        <v>388</v>
      </c>
      <c r="E6" s="42">
        <v>18</v>
      </c>
      <c r="F6" s="42" t="s">
        <v>53</v>
      </c>
      <c r="G6" s="42" t="s">
        <v>53</v>
      </c>
      <c r="H6" s="43" t="s">
        <v>701</v>
      </c>
      <c r="I6" s="44" t="s">
        <v>43</v>
      </c>
      <c r="J6" s="42" t="s">
        <v>43</v>
      </c>
      <c r="K6" s="43" t="s">
        <v>47</v>
      </c>
      <c r="L6" s="42">
        <v>4</v>
      </c>
      <c r="M6" s="42">
        <v>2</v>
      </c>
      <c r="N6" s="43">
        <v>2</v>
      </c>
      <c r="O6" s="42">
        <v>7</v>
      </c>
      <c r="P6" s="42">
        <v>5</v>
      </c>
      <c r="Q6" s="43">
        <v>6</v>
      </c>
      <c r="R6" s="42">
        <v>6</v>
      </c>
      <c r="S6" s="42">
        <v>10</v>
      </c>
      <c r="T6" s="42">
        <v>1</v>
      </c>
      <c r="U6" s="42">
        <v>4</v>
      </c>
      <c r="V6" s="42" t="s">
        <v>45</v>
      </c>
      <c r="W6" s="42" t="s">
        <v>45</v>
      </c>
      <c r="X6" s="42" t="s">
        <v>45</v>
      </c>
      <c r="Y6" s="42" t="s">
        <v>45</v>
      </c>
      <c r="Z6" s="42" t="s">
        <v>45</v>
      </c>
      <c r="AA6" s="42" t="s">
        <v>45</v>
      </c>
      <c r="AB6" s="42" t="s">
        <v>45</v>
      </c>
      <c r="AC6" s="42" t="s">
        <v>45</v>
      </c>
      <c r="AD6" s="42">
        <v>5</v>
      </c>
      <c r="AE6" s="42">
        <v>8</v>
      </c>
      <c r="AF6" s="42" t="s">
        <v>45</v>
      </c>
      <c r="AG6" s="42" t="s">
        <v>45</v>
      </c>
      <c r="AH6" s="42" t="s">
        <v>45</v>
      </c>
      <c r="AI6" s="42" t="s">
        <v>45</v>
      </c>
      <c r="AJ6" s="42" t="s">
        <v>45</v>
      </c>
      <c r="AK6" s="42" t="s">
        <v>45</v>
      </c>
      <c r="AL6" s="42" t="s">
        <v>45</v>
      </c>
      <c r="AM6" s="42" t="s">
        <v>45</v>
      </c>
      <c r="AN6" s="42" t="s">
        <v>45</v>
      </c>
      <c r="AO6" s="43" t="s">
        <v>45</v>
      </c>
      <c r="AP6" s="42" t="s">
        <v>63</v>
      </c>
      <c r="AQ6" s="42">
        <v>6</v>
      </c>
      <c r="AR6" s="50" t="s">
        <v>353</v>
      </c>
      <c r="AS6" s="45" t="s">
        <v>601</v>
      </c>
      <c r="AT6" s="45" t="s">
        <v>705</v>
      </c>
      <c r="AU6" s="46">
        <f>($O$3*(L6-$O$1)/$O$2+$P$3*(M6-$P$1)/$P$2+$Q$3*(N6-$P$1)/$Q$2)/SUM($O$3:$Q$3)</f>
        <v>-1.6796579819559116</v>
      </c>
      <c r="AV6" s="46">
        <f>($O$3*(O6-$O$1)/$O$2+$P$3*(P6-$P$1)/$P$2+$Q$3*(Q6-$Q$1)/$Q$2)/SUM($O$3:$Q$3)</f>
        <v>0.90548815581528819</v>
      </c>
      <c r="AW6" s="47">
        <f>COUNT(R6:AO6)/2</f>
        <v>3</v>
      </c>
      <c r="AX6" s="47">
        <f>IF(AND(S6&lt;&gt;"-",S6&gt;5),1,0)+IF(AND(U6&lt;&gt;"-",U6&gt;5),1,0)+IF(AND(W6&lt;&gt;"-",W6&gt;5),1,0)+IF(AND(Y6&lt;&gt;"-",Y6&gt;5),1,0)+IF(AND(AA6&lt;&gt;"-",AA6&gt;5),1,0)+IF(AND(AC6&lt;&gt;"-",AC6&gt;5),1,0)+IF(AND(AE6&lt;&gt;"-",AE6&gt;5),1,0)+IF(AND(AG6&lt;&gt;"-",AG6&gt;5),1,0)+IF(AND(AI6&lt;&gt;"-",AI6&gt;5),1,0)+IF(AND(AK6&lt;&gt;"-",AK6&gt;5),1,0)+IF(AND(AM6&lt;&gt;"-",AM6&gt;5),1,0)+IF(AND(AO6&lt;&gt;"-",AO6&gt;5),1,0)</f>
        <v>2</v>
      </c>
      <c r="AY6" s="48">
        <f>VLOOKUP(AP6,COND!$A$10:$B$32,2,FALSE)</f>
        <v>1.075</v>
      </c>
      <c r="AZ6" s="46">
        <f>($AU$3*AU6+$AV$3*AV6+$AW$3*AW6+$AX$3*AX6)*AY6*IF(AQ6&lt;5,0.95,IF(AQ6&lt;7,0.975,1))+$I$3*VLOOKUP(I6,COND!$A$2:$E$7,4,FALSE)+$J$3*VLOOKUP(J6,COND!$A$2:$E$7,2,FALSE)+$K$3*VLOOKUP(K6,COND!$A$2:$E$7,3,FALSE)+IF(BB6="SP",$BB$3,0)+IF($AW6&lt;3,-5,0)+IF(AND($B$2&gt;0,$E6&lt;20),$B$2*25,0)</f>
        <v>75.121697161810474</v>
      </c>
      <c r="BA6" s="49">
        <f>STANDARDIZE(AZ6,AVERAGE($AZ$5:$AZ$570),STDEVP($AZ$5:$AZ$570))</f>
        <v>3.8882104454628132</v>
      </c>
      <c r="BB6" s="47" t="str">
        <f>IF(OR(AND(AQ6&gt;7,AX6&gt;1),AND(AQ6&gt;4,AW6&gt;2)),"SP","RP")</f>
        <v>SP</v>
      </c>
      <c r="BC6" s="47"/>
      <c r="BD6" s="47"/>
      <c r="BE6" s="47"/>
      <c r="BF6" s="47" t="str">
        <f>IF(AVERAGE($O6:$Q6)&gt;=6,"Likely",IF(AVERAGE($O6:$Q6)&gt;=4,"Possible","Unlikely"))</f>
        <v>Likely</v>
      </c>
      <c r="BG6" s="47"/>
      <c r="BH6" s="47" t="str">
        <f>INDEX(Table5[[#All],[Ovr]],MATCH(Table3[[#This Row],[PID]],Table5[[#All],[PID]],0))</f>
        <v/>
      </c>
      <c r="BI6" s="47" t="str">
        <f>INDEX(Table5[[#All],[Rnd]],MATCH(Table3[[#This Row],[PID]],Table5[[#All],[PID]],0))</f>
        <v/>
      </c>
      <c r="BJ6" s="47" t="str">
        <f>INDEX(Table5[[#All],[Pick]],MATCH(Table3[[#This Row],[PID]],Table5[[#All],[PID]],0))</f>
        <v/>
      </c>
      <c r="BK6" s="47" t="str">
        <f>INDEX(Table5[[#All],[Team]],MATCH(Table3[[#This Row],[PID]],Table5[[#All],[PID]],0))</f>
        <v/>
      </c>
      <c r="BL6" s="47" t="str">
        <f>IF(OR(Table3[[#This Row],[POS]]="SP",Table3[[#This Row],[POS]]="RP",Table3[[#This Row],[POS]]="CL"),"P",INDEX(Batters[[#All],[zScore]],MATCH(Table3[[#This Row],[PID]],Batters[[#All],[PID]],0)))</f>
        <v>P</v>
      </c>
    </row>
    <row r="7" spans="1:64" ht="15" customHeight="1" x14ac:dyDescent="0.25">
      <c r="A7" s="42">
        <v>7409</v>
      </c>
      <c r="B7" s="42" t="s">
        <v>24</v>
      </c>
      <c r="C7" s="42" t="s">
        <v>401</v>
      </c>
      <c r="D7" s="42" t="s">
        <v>1452</v>
      </c>
      <c r="E7" s="42">
        <v>21</v>
      </c>
      <c r="F7" s="42" t="s">
        <v>42</v>
      </c>
      <c r="G7" s="42" t="s">
        <v>42</v>
      </c>
      <c r="H7" s="43" t="s">
        <v>702</v>
      </c>
      <c r="I7" s="44" t="s">
        <v>43</v>
      </c>
      <c r="J7" s="42" t="s">
        <v>47</v>
      </c>
      <c r="K7" s="43" t="s">
        <v>43</v>
      </c>
      <c r="L7" s="42">
        <v>5</v>
      </c>
      <c r="M7" s="42">
        <v>2</v>
      </c>
      <c r="N7" s="43">
        <v>4</v>
      </c>
      <c r="O7" s="42">
        <v>7</v>
      </c>
      <c r="P7" s="42">
        <v>4</v>
      </c>
      <c r="Q7" s="43">
        <v>7</v>
      </c>
      <c r="R7" s="42" t="s">
        <v>45</v>
      </c>
      <c r="S7" s="42" t="s">
        <v>45</v>
      </c>
      <c r="T7" s="42">
        <v>7</v>
      </c>
      <c r="U7" s="42">
        <v>8</v>
      </c>
      <c r="V7" s="42" t="s">
        <v>45</v>
      </c>
      <c r="W7" s="42" t="s">
        <v>45</v>
      </c>
      <c r="X7" s="42">
        <v>5</v>
      </c>
      <c r="Y7" s="42">
        <v>8</v>
      </c>
      <c r="Z7" s="42" t="s">
        <v>45</v>
      </c>
      <c r="AA7" s="42" t="s">
        <v>45</v>
      </c>
      <c r="AB7" s="42" t="s">
        <v>45</v>
      </c>
      <c r="AC7" s="42" t="s">
        <v>45</v>
      </c>
      <c r="AD7" s="42">
        <v>6</v>
      </c>
      <c r="AE7" s="42">
        <v>8</v>
      </c>
      <c r="AF7" s="42" t="s">
        <v>45</v>
      </c>
      <c r="AG7" s="42" t="s">
        <v>45</v>
      </c>
      <c r="AH7" s="42" t="s">
        <v>45</v>
      </c>
      <c r="AI7" s="42" t="s">
        <v>45</v>
      </c>
      <c r="AJ7" s="42" t="s">
        <v>45</v>
      </c>
      <c r="AK7" s="42" t="s">
        <v>45</v>
      </c>
      <c r="AL7" s="42" t="s">
        <v>45</v>
      </c>
      <c r="AM7" s="42" t="s">
        <v>45</v>
      </c>
      <c r="AN7" s="42" t="s">
        <v>45</v>
      </c>
      <c r="AO7" s="43" t="s">
        <v>45</v>
      </c>
      <c r="AP7" s="42" t="s">
        <v>46</v>
      </c>
      <c r="AQ7" s="42">
        <v>6</v>
      </c>
      <c r="AR7" s="50" t="s">
        <v>353</v>
      </c>
      <c r="AS7" s="45" t="s">
        <v>617</v>
      </c>
      <c r="AT7" s="45" t="s">
        <v>705</v>
      </c>
      <c r="AU7" s="46">
        <f>($O$3*(L7-$O$1)/$O$2+$P$3*(M7-$P$1)/$P$2+$Q$3*(N7-$P$1)/$Q$2)/SUM($O$3:$Q$3)</f>
        <v>-1.0003255253385175</v>
      </c>
      <c r="AV7" s="46">
        <f>($O$3*(O7-$O$1)/$O$2+$P$3*(P7-$P$1)/$P$2+$Q$3*(Q7-$Q$1)/$Q$2)/SUM($O$3:$Q$3)</f>
        <v>0.95237700543934323</v>
      </c>
      <c r="AW7" s="47">
        <f>COUNT(R7:AO7)/2</f>
        <v>3</v>
      </c>
      <c r="AX7" s="47">
        <f>IF(AND(S7&lt;&gt;"-",S7&gt;5),1,0)+IF(AND(U7&lt;&gt;"-",U7&gt;5),1,0)+IF(AND(W7&lt;&gt;"-",W7&gt;5),1,0)+IF(AND(Y7&lt;&gt;"-",Y7&gt;5),1,0)+IF(AND(AA7&lt;&gt;"-",AA7&gt;5),1,0)+IF(AND(AC7&lt;&gt;"-",AC7&gt;5),1,0)+IF(AND(AE7&lt;&gt;"-",AE7&gt;5),1,0)+IF(AND(AG7&lt;&gt;"-",AG7&gt;5),1,0)+IF(AND(AI7&lt;&gt;"-",AI7&gt;5),1,0)+IF(AND(AK7&lt;&gt;"-",AK7&gt;5),1,0)+IF(AND(AM7&lt;&gt;"-",AM7&gt;5),1,0)+IF(AND(AO7&lt;&gt;"-",AO7&gt;5),1,0)</f>
        <v>3</v>
      </c>
      <c r="AY7" s="48">
        <f>VLOOKUP(AP7,COND!$A$10:$B$32,2,FALSE)</f>
        <v>1.05</v>
      </c>
      <c r="AZ7" s="46">
        <f>($AU$3*AU7+$AV$3*AV7+$AW$3*AW7+$AX$3*AX7)*AY7*IF(AQ7&lt;5,0.95,IF(AQ7&lt;7,0.975,1))+$I$3*VLOOKUP(I7,COND!$A$2:$E$7,4,FALSE)+$J$3*VLOOKUP(J7,COND!$A$2:$E$7,2,FALSE)+$K$3*VLOOKUP(K7,COND!$A$2:$E$7,3,FALSE)+IF(BB7="SP",$BB$3,0)+IF($AW7&lt;3,-5,0)+IF(AND($B$2&gt;0,$E7&lt;20),$B$2*25,0)</f>
        <v>71.969790035057486</v>
      </c>
      <c r="BA7" s="49">
        <f>STANDARDIZE(AZ7,AVERAGE($AZ$5:$AZ$570),STDEVP($AZ$5:$AZ$570))</f>
        <v>3.5991670904053721</v>
      </c>
      <c r="BB7" s="47" t="str">
        <f>IF(OR(AND(AQ7&gt;7,AX7&gt;1),AND(AQ7&gt;4,AW7&gt;2)),"SP","RP")</f>
        <v>SP</v>
      </c>
      <c r="BC7" s="47"/>
      <c r="BD7" s="47"/>
      <c r="BE7" s="47"/>
      <c r="BF7" s="47" t="str">
        <f>IF(AVERAGE($O7:$Q7)&gt;=6,"Likely",IF(AVERAGE($O7:$Q7)&gt;=4,"Possible","Unlikely"))</f>
        <v>Likely</v>
      </c>
      <c r="BG7" s="47"/>
      <c r="BH7" s="47" t="str">
        <f>INDEX(Table5[[#All],[Ovr]],MATCH(Table3[[#This Row],[PID]],Table5[[#All],[PID]],0))</f>
        <v/>
      </c>
      <c r="BI7" s="47" t="str">
        <f>INDEX(Table5[[#All],[Rnd]],MATCH(Table3[[#This Row],[PID]],Table5[[#All],[PID]],0))</f>
        <v/>
      </c>
      <c r="BJ7" s="47" t="str">
        <f>INDEX(Table5[[#All],[Pick]],MATCH(Table3[[#This Row],[PID]],Table5[[#All],[PID]],0))</f>
        <v/>
      </c>
      <c r="BK7" s="47" t="str">
        <f>INDEX(Table5[[#All],[Team]],MATCH(Table3[[#This Row],[PID]],Table5[[#All],[PID]],0))</f>
        <v/>
      </c>
      <c r="BL7" s="47" t="str">
        <f>IF(OR(Table3[[#This Row],[POS]]="SP",Table3[[#This Row],[POS]]="RP",Table3[[#This Row],[POS]]="CL"),"P",INDEX(Batters[[#All],[zScore]],MATCH(Table3[[#This Row],[PID]],Batters[[#All],[PID]],0)))</f>
        <v>P</v>
      </c>
    </row>
    <row r="8" spans="1:64" ht="15" customHeight="1" x14ac:dyDescent="0.25">
      <c r="A8" s="42">
        <v>16124</v>
      </c>
      <c r="B8" s="42" t="s">
        <v>24</v>
      </c>
      <c r="C8" s="42" t="s">
        <v>1565</v>
      </c>
      <c r="D8" s="42" t="s">
        <v>1566</v>
      </c>
      <c r="E8" s="42">
        <v>18</v>
      </c>
      <c r="F8" s="42" t="s">
        <v>42</v>
      </c>
      <c r="G8" s="42" t="s">
        <v>42</v>
      </c>
      <c r="H8" s="43" t="s">
        <v>702</v>
      </c>
      <c r="I8" s="44" t="s">
        <v>43</v>
      </c>
      <c r="J8" s="42" t="s">
        <v>44</v>
      </c>
      <c r="K8" s="43" t="s">
        <v>47</v>
      </c>
      <c r="L8" s="42">
        <v>2</v>
      </c>
      <c r="M8" s="42">
        <v>2</v>
      </c>
      <c r="N8" s="43">
        <v>2</v>
      </c>
      <c r="O8" s="42">
        <v>5</v>
      </c>
      <c r="P8" s="42">
        <v>6</v>
      </c>
      <c r="Q8" s="43">
        <v>5</v>
      </c>
      <c r="R8" s="42">
        <v>4</v>
      </c>
      <c r="S8" s="42">
        <v>6</v>
      </c>
      <c r="T8" s="42" t="s">
        <v>45</v>
      </c>
      <c r="U8" s="42" t="s">
        <v>45</v>
      </c>
      <c r="V8" s="42">
        <v>2</v>
      </c>
      <c r="W8" s="42">
        <v>6</v>
      </c>
      <c r="X8" s="42">
        <v>2</v>
      </c>
      <c r="Y8" s="42">
        <v>6</v>
      </c>
      <c r="Z8" s="42" t="s">
        <v>45</v>
      </c>
      <c r="AA8" s="42" t="s">
        <v>45</v>
      </c>
      <c r="AB8" s="42">
        <v>3</v>
      </c>
      <c r="AC8" s="42">
        <v>6</v>
      </c>
      <c r="AD8" s="42" t="s">
        <v>45</v>
      </c>
      <c r="AE8" s="42" t="s">
        <v>45</v>
      </c>
      <c r="AF8" s="42" t="s">
        <v>45</v>
      </c>
      <c r="AG8" s="42" t="s">
        <v>45</v>
      </c>
      <c r="AH8" s="42" t="s">
        <v>45</v>
      </c>
      <c r="AI8" s="42" t="s">
        <v>45</v>
      </c>
      <c r="AJ8" s="42" t="s">
        <v>45</v>
      </c>
      <c r="AK8" s="42" t="s">
        <v>45</v>
      </c>
      <c r="AL8" s="42" t="s">
        <v>45</v>
      </c>
      <c r="AM8" s="42" t="s">
        <v>45</v>
      </c>
      <c r="AN8" s="42" t="s">
        <v>45</v>
      </c>
      <c r="AO8" s="43" t="s">
        <v>45</v>
      </c>
      <c r="AP8" s="42" t="s">
        <v>56</v>
      </c>
      <c r="AQ8" s="42">
        <v>7</v>
      </c>
      <c r="AR8" s="50" t="s">
        <v>352</v>
      </c>
      <c r="AS8" s="45" t="s">
        <v>749</v>
      </c>
      <c r="AT8" s="45" t="s">
        <v>705</v>
      </c>
      <c r="AU8" s="46">
        <f>($O$3*(L8-$O$1)/$O$2+$P$3*(M8-$P$1)/$P$2+$Q$3*(N8-$P$1)/$Q$2)/SUM($O$3:$Q$3)</f>
        <v>-2.0690406309742588</v>
      </c>
      <c r="AV8" s="46">
        <f>($O$3*(O8-$O$1)/$O$2+$P$3*(P8-$P$1)/$P$2+$Q$3*(Q8-$Q$1)/$Q$2)/SUM($O$3:$Q$3)</f>
        <v>0.4692166571728863</v>
      </c>
      <c r="AW8" s="47">
        <f>COUNT(R8:AO8)/2</f>
        <v>4</v>
      </c>
      <c r="AX8" s="47">
        <f>IF(AND(S8&lt;&gt;"-",S8&gt;5),1,0)+IF(AND(U8&lt;&gt;"-",U8&gt;5),1,0)+IF(AND(W8&lt;&gt;"-",W8&gt;5),1,0)+IF(AND(Y8&lt;&gt;"-",Y8&gt;5),1,0)+IF(AND(AA8&lt;&gt;"-",AA8&gt;5),1,0)+IF(AND(AC8&lt;&gt;"-",AC8&gt;5),1,0)+IF(AND(AE8&lt;&gt;"-",AE8&gt;5),1,0)+IF(AND(AG8&lt;&gt;"-",AG8&gt;5),1,0)+IF(AND(AI8&lt;&gt;"-",AI8&gt;5),1,0)+IF(AND(AK8&lt;&gt;"-",AK8&gt;5),1,0)+IF(AND(AM8&lt;&gt;"-",AM8&gt;5),1,0)+IF(AND(AO8&lt;&gt;"-",AO8&gt;5),1,0)</f>
        <v>4</v>
      </c>
      <c r="AY8" s="48">
        <f>VLOOKUP(AP8,COND!$A$10:$B$32,2,FALSE)</f>
        <v>1</v>
      </c>
      <c r="AZ8" s="46">
        <f>($AU$3*AU8+$AV$3*AV8+$AW$3*AW8+$AX$3*AX8)*AY8*IF(AQ8&lt;5,0.95,IF(AQ8&lt;7,0.975,1))+$I$3*VLOOKUP(I8,COND!$A$2:$E$7,4,FALSE)+$J$3*VLOOKUP(J8,COND!$A$2:$E$7,2,FALSE)+$K$3*VLOOKUP(K8,COND!$A$2:$E$7,3,FALSE)+IF(BB8="SP",$BB$3,0)+IF($AW8&lt;3,-5,0)+IF(AND($B$2&gt;0,$E8&lt;20),$B$2*25,0)</f>
        <v>67.970525017262872</v>
      </c>
      <c r="BA8" s="49">
        <f>STANDARDIZE(AZ8,AVERAGE($AZ$5:$AZ$570),STDEVP($AZ$5:$AZ$570))</f>
        <v>3.2324173950556707</v>
      </c>
      <c r="BB8" s="47" t="str">
        <f>IF(OR(AND(AQ8&gt;7,AX8&gt;1),AND(AQ8&gt;4,AW8&gt;2)),"SP","RP")</f>
        <v>SP</v>
      </c>
      <c r="BC8" s="47"/>
      <c r="BD8" s="47"/>
      <c r="BE8" s="47"/>
      <c r="BF8" s="47" t="str">
        <f>IF(AVERAGE($O8:$Q8)&gt;=6,"Likely",IF(AVERAGE($O8:$Q8)&gt;=4,"Possible","Unlikely"))</f>
        <v>Possible</v>
      </c>
      <c r="BG8" s="47"/>
      <c r="BH8" s="47" t="str">
        <f>INDEX(Table5[[#All],[Ovr]],MATCH(Table3[[#This Row],[PID]],Table5[[#All],[PID]],0))</f>
        <v/>
      </c>
      <c r="BI8" s="47" t="str">
        <f>INDEX(Table5[[#All],[Rnd]],MATCH(Table3[[#This Row],[PID]],Table5[[#All],[PID]],0))</f>
        <v/>
      </c>
      <c r="BJ8" s="47" t="str">
        <f>INDEX(Table5[[#All],[Pick]],MATCH(Table3[[#This Row],[PID]],Table5[[#All],[PID]],0))</f>
        <v/>
      </c>
      <c r="BK8" s="47" t="str">
        <f>INDEX(Table5[[#All],[Team]],MATCH(Table3[[#This Row],[PID]],Table5[[#All],[PID]],0))</f>
        <v/>
      </c>
      <c r="BL8" s="47" t="str">
        <f>IF(OR(Table3[[#This Row],[POS]]="SP",Table3[[#This Row],[POS]]="RP",Table3[[#This Row],[POS]]="CL"),"P",INDEX(Batters[[#All],[zScore]],MATCH(Table3[[#This Row],[PID]],Batters[[#All],[PID]],0)))</f>
        <v>P</v>
      </c>
    </row>
    <row r="9" spans="1:64" ht="15" customHeight="1" x14ac:dyDescent="0.25">
      <c r="A9" s="42">
        <v>9339</v>
      </c>
      <c r="B9" s="42" t="s">
        <v>24</v>
      </c>
      <c r="C9" s="42" t="s">
        <v>295</v>
      </c>
      <c r="D9" s="42" t="s">
        <v>336</v>
      </c>
      <c r="E9" s="42">
        <v>21</v>
      </c>
      <c r="F9" s="42" t="s">
        <v>53</v>
      </c>
      <c r="G9" s="42" t="s">
        <v>53</v>
      </c>
      <c r="H9" s="43" t="s">
        <v>702</v>
      </c>
      <c r="I9" s="44" t="s">
        <v>43</v>
      </c>
      <c r="J9" s="42" t="s">
        <v>47</v>
      </c>
      <c r="K9" s="43" t="s">
        <v>43</v>
      </c>
      <c r="L9" s="42">
        <v>4</v>
      </c>
      <c r="M9" s="42">
        <v>2</v>
      </c>
      <c r="N9" s="43">
        <v>2</v>
      </c>
      <c r="O9" s="42">
        <v>8</v>
      </c>
      <c r="P9" s="42">
        <v>4</v>
      </c>
      <c r="Q9" s="43">
        <v>5</v>
      </c>
      <c r="R9" s="42">
        <v>6</v>
      </c>
      <c r="S9" s="42">
        <v>9</v>
      </c>
      <c r="T9" s="42">
        <v>2</v>
      </c>
      <c r="U9" s="42">
        <v>8</v>
      </c>
      <c r="V9" s="42">
        <v>2</v>
      </c>
      <c r="W9" s="42">
        <v>3</v>
      </c>
      <c r="X9" s="42">
        <v>4</v>
      </c>
      <c r="Y9" s="42">
        <v>8</v>
      </c>
      <c r="Z9" s="42" t="s">
        <v>45</v>
      </c>
      <c r="AA9" s="42" t="s">
        <v>45</v>
      </c>
      <c r="AB9" s="42" t="s">
        <v>45</v>
      </c>
      <c r="AC9" s="42" t="s">
        <v>45</v>
      </c>
      <c r="AD9" s="42" t="s">
        <v>45</v>
      </c>
      <c r="AE9" s="42" t="s">
        <v>45</v>
      </c>
      <c r="AF9" s="42" t="s">
        <v>45</v>
      </c>
      <c r="AG9" s="42" t="s">
        <v>45</v>
      </c>
      <c r="AH9" s="42" t="s">
        <v>45</v>
      </c>
      <c r="AI9" s="42" t="s">
        <v>45</v>
      </c>
      <c r="AJ9" s="42" t="s">
        <v>45</v>
      </c>
      <c r="AK9" s="42" t="s">
        <v>45</v>
      </c>
      <c r="AL9" s="42" t="s">
        <v>45</v>
      </c>
      <c r="AM9" s="42" t="s">
        <v>45</v>
      </c>
      <c r="AN9" s="42" t="s">
        <v>45</v>
      </c>
      <c r="AO9" s="43" t="s">
        <v>45</v>
      </c>
      <c r="AP9" s="42" t="s">
        <v>63</v>
      </c>
      <c r="AQ9" s="42">
        <v>6</v>
      </c>
      <c r="AR9" s="50" t="s">
        <v>353</v>
      </c>
      <c r="AS9" s="45" t="s">
        <v>427</v>
      </c>
      <c r="AT9" s="45" t="s">
        <v>705</v>
      </c>
      <c r="AU9" s="46">
        <f>($O$3*(L9-$O$1)/$O$2+$P$3*(M9-$P$1)/$P$2+$Q$3*(N9-$P$1)/$Q$2)/SUM($O$3:$Q$3)</f>
        <v>-1.6796579819559116</v>
      </c>
      <c r="AV9" s="46">
        <f>($O$3*(O9-$O$1)/$O$2+$P$3*(P9-$P$1)/$P$2+$Q$3*(Q9-$Q$1)/$Q$2)/SUM($O$3:$Q$3)</f>
        <v>0.66242719784029602</v>
      </c>
      <c r="AW9" s="47">
        <f>COUNT(R9:AO9)/2</f>
        <v>4</v>
      </c>
      <c r="AX9" s="47">
        <f>IF(AND(S9&lt;&gt;"-",S9&gt;5),1,0)+IF(AND(U9&lt;&gt;"-",U9&gt;5),1,0)+IF(AND(W9&lt;&gt;"-",W9&gt;5),1,0)+IF(AND(Y9&lt;&gt;"-",Y9&gt;5),1,0)+IF(AND(AA9&lt;&gt;"-",AA9&gt;5),1,0)+IF(AND(AC9&lt;&gt;"-",AC9&gt;5),1,0)+IF(AND(AE9&lt;&gt;"-",AE9&gt;5),1,0)+IF(AND(AG9&lt;&gt;"-",AG9&gt;5),1,0)+IF(AND(AI9&lt;&gt;"-",AI9&gt;5),1,0)+IF(AND(AK9&lt;&gt;"-",AK9&gt;5),1,0)+IF(AND(AM9&lt;&gt;"-",AM9&gt;5),1,0)+IF(AND(AO9&lt;&gt;"-",AO9&gt;5),1,0)</f>
        <v>3</v>
      </c>
      <c r="AY9" s="48">
        <f>VLOOKUP(AP9,COND!$A$10:$B$32,2,FALSE)</f>
        <v>1.075</v>
      </c>
      <c r="AZ9" s="46">
        <f>($AU$3*AU9+$AV$3*AV9+$AW$3*AW9+$AX$3*AX9)*AY9*IF(AQ9&lt;5,0.95,IF(AQ9&lt;7,0.975,1))+$I$3*VLOOKUP(I9,COND!$A$2:$E$7,4,FALSE)+$J$3*VLOOKUP(J9,COND!$A$2:$E$7,2,FALSE)+$K$3*VLOOKUP(K9,COND!$A$2:$E$7,3,FALSE)+IF(BB9="SP",$BB$3,0)+IF($AW9&lt;3,-5,0)+IF(AND($B$2&gt;0,$E9&lt;20),$B$2*25,0)</f>
        <v>66.86075058025969</v>
      </c>
      <c r="BA9" s="49">
        <f>STANDARDIZE(AZ9,AVERAGE($AZ$5:$AZ$570),STDEVP($AZ$5:$AZ$570))</f>
        <v>3.130646335906845</v>
      </c>
      <c r="BB9" s="47" t="str">
        <f>IF(OR(AND(AQ9&gt;7,AX9&gt;1),AND(AQ9&gt;4,AW9&gt;2)),"SP","RP")</f>
        <v>SP</v>
      </c>
      <c r="BC9" s="47"/>
      <c r="BD9" s="47"/>
      <c r="BE9" s="47"/>
      <c r="BF9" s="47" t="str">
        <f>IF(AVERAGE($O9:$Q9)&gt;=6,"Likely",IF(AVERAGE($O9:$Q9)&gt;=4,"Possible","Unlikely"))</f>
        <v>Possible</v>
      </c>
      <c r="BG9" s="47"/>
      <c r="BH9" s="47" t="str">
        <f>INDEX(Table5[[#All],[Ovr]],MATCH(Table3[[#This Row],[PID]],Table5[[#All],[PID]],0))</f>
        <v/>
      </c>
      <c r="BI9" s="47" t="str">
        <f>INDEX(Table5[[#All],[Rnd]],MATCH(Table3[[#This Row],[PID]],Table5[[#All],[PID]],0))</f>
        <v/>
      </c>
      <c r="BJ9" s="47" t="str">
        <f>INDEX(Table5[[#All],[Pick]],MATCH(Table3[[#This Row],[PID]],Table5[[#All],[PID]],0))</f>
        <v/>
      </c>
      <c r="BK9" s="47" t="str">
        <f>INDEX(Table5[[#All],[Team]],MATCH(Table3[[#This Row],[PID]],Table5[[#All],[PID]],0))</f>
        <v/>
      </c>
      <c r="BL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" spans="1:64" ht="15" customHeight="1" x14ac:dyDescent="0.25">
      <c r="A10" s="42">
        <v>7112</v>
      </c>
      <c r="B10" s="42" t="s">
        <v>49</v>
      </c>
      <c r="C10" s="42" t="s">
        <v>1461</v>
      </c>
      <c r="D10" s="42" t="s">
        <v>393</v>
      </c>
      <c r="E10" s="42">
        <v>21</v>
      </c>
      <c r="F10" s="42" t="s">
        <v>62</v>
      </c>
      <c r="G10" s="42" t="s">
        <v>42</v>
      </c>
      <c r="H10" s="43" t="s">
        <v>702</v>
      </c>
      <c r="I10" s="44" t="s">
        <v>43</v>
      </c>
      <c r="J10" s="42" t="s">
        <v>47</v>
      </c>
      <c r="K10" s="43" t="s">
        <v>47</v>
      </c>
      <c r="L10" s="42">
        <v>4</v>
      </c>
      <c r="M10" s="42">
        <v>3</v>
      </c>
      <c r="N10" s="43">
        <v>5</v>
      </c>
      <c r="O10" s="42">
        <v>7</v>
      </c>
      <c r="P10" s="42">
        <v>4</v>
      </c>
      <c r="Q10" s="43">
        <v>6</v>
      </c>
      <c r="R10" s="42">
        <v>5</v>
      </c>
      <c r="S10" s="42">
        <v>8</v>
      </c>
      <c r="T10" s="42">
        <v>1</v>
      </c>
      <c r="U10" s="42">
        <v>1</v>
      </c>
      <c r="V10" s="42" t="s">
        <v>45</v>
      </c>
      <c r="W10" s="42" t="s">
        <v>45</v>
      </c>
      <c r="X10" s="42">
        <v>5</v>
      </c>
      <c r="Y10" s="42">
        <v>8</v>
      </c>
      <c r="Z10" s="42" t="s">
        <v>45</v>
      </c>
      <c r="AA10" s="42" t="s">
        <v>45</v>
      </c>
      <c r="AB10" s="42" t="s">
        <v>45</v>
      </c>
      <c r="AC10" s="42" t="s">
        <v>45</v>
      </c>
      <c r="AD10" s="42" t="s">
        <v>45</v>
      </c>
      <c r="AE10" s="42" t="s">
        <v>45</v>
      </c>
      <c r="AF10" s="42" t="s">
        <v>45</v>
      </c>
      <c r="AG10" s="42" t="s">
        <v>45</v>
      </c>
      <c r="AH10" s="42" t="s">
        <v>45</v>
      </c>
      <c r="AI10" s="42" t="s">
        <v>45</v>
      </c>
      <c r="AJ10" s="42" t="s">
        <v>45</v>
      </c>
      <c r="AK10" s="42" t="s">
        <v>45</v>
      </c>
      <c r="AL10" s="42" t="s">
        <v>45</v>
      </c>
      <c r="AM10" s="42" t="s">
        <v>45</v>
      </c>
      <c r="AN10" s="42" t="s">
        <v>45</v>
      </c>
      <c r="AO10" s="43" t="s">
        <v>45</v>
      </c>
      <c r="AP10" s="42" t="s">
        <v>56</v>
      </c>
      <c r="AQ10" s="42">
        <v>7</v>
      </c>
      <c r="AR10" s="50" t="s">
        <v>353</v>
      </c>
      <c r="AS10" s="45" t="s">
        <v>627</v>
      </c>
      <c r="AT10" s="45" t="s">
        <v>705</v>
      </c>
      <c r="AU10" s="46">
        <f>($O$3*(L10-$O$1)/$O$2+$P$3*(M10-$P$1)/$P$2+$Q$3*(N10-$P$1)/$Q$2)/SUM($O$3:$Q$3)</f>
        <v>-0.7572645673635251</v>
      </c>
      <c r="AV10" s="46">
        <f>($O$3*(O10-$O$1)/$O$2+$P$3*(P10-$P$1)/$P$2+$Q$3*(Q10-$Q$1)/$Q$2)/SUM($O$3:$Q$3)</f>
        <v>0.71005643938523277</v>
      </c>
      <c r="AW10" s="47">
        <f>COUNT(R10:AO10)/2</f>
        <v>3</v>
      </c>
      <c r="AX10" s="47">
        <f>IF(AND(S10&lt;&gt;"-",S10&gt;5),1,0)+IF(AND(U10&lt;&gt;"-",U10&gt;5),1,0)+IF(AND(W10&lt;&gt;"-",W10&gt;5),1,0)+IF(AND(Y10&lt;&gt;"-",Y10&gt;5),1,0)+IF(AND(AA10&lt;&gt;"-",AA10&gt;5),1,0)+IF(AND(AC10&lt;&gt;"-",AC10&gt;5),1,0)+IF(AND(AE10&lt;&gt;"-",AE10&gt;5),1,0)+IF(AND(AG10&lt;&gt;"-",AG10&gt;5),1,0)+IF(AND(AI10&lt;&gt;"-",AI10&gt;5),1,0)+IF(AND(AK10&lt;&gt;"-",AK10&gt;5),1,0)+IF(AND(AM10&lt;&gt;"-",AM10&gt;5),1,0)+IF(AND(AO10&lt;&gt;"-",AO10&gt;5),1,0)</f>
        <v>2</v>
      </c>
      <c r="AY10" s="48">
        <f>VLOOKUP(AP10,COND!$A$10:$B$32,2,FALSE)</f>
        <v>1</v>
      </c>
      <c r="AZ10" s="46">
        <f>($AU$3*AU10+$AV$3*AV10+$AW$3*AW10+$AX$3*AX10)*AY10*IF(AQ10&lt;5,0.95,IF(AQ10&lt;7,0.975,1))+$I$3*VLOOKUP(I10,COND!$A$2:$E$7,4,FALSE)+$J$3*VLOOKUP(J10,COND!$A$2:$E$7,2,FALSE)+$K$3*VLOOKUP(K10,COND!$A$2:$E$7,3,FALSE)+IF(BB10="SP",$BB$3,0)+IF($AW10&lt;3,-5,0)+IF(AND($B$2&gt;0,$E10&lt;20),$B$2*25,0)</f>
        <v>65.649675874231946</v>
      </c>
      <c r="BA10" s="49">
        <f>STANDARDIZE(AZ10,AVERAGE($AZ$5:$AZ$570),STDEVP($AZ$5:$AZ$570))</f>
        <v>3.0195856091220179</v>
      </c>
      <c r="BB10" s="47" t="str">
        <f>IF(OR(AND(AQ10&gt;7,AX10&gt;1),AND(AQ10&gt;4,AW10&gt;2)),"SP","RP")</f>
        <v>SP</v>
      </c>
      <c r="BC10" s="47"/>
      <c r="BD10" s="47"/>
      <c r="BE10" s="47"/>
      <c r="BF10" s="47" t="str">
        <f>IF(AVERAGE($O10:$Q10)&gt;=6,"Likely",IF(AVERAGE($O10:$Q10)&gt;=4,"Possible","Unlikely"))</f>
        <v>Possible</v>
      </c>
      <c r="BG10" s="47"/>
      <c r="BH10" s="47" t="str">
        <f>INDEX(Table5[[#All],[Ovr]],MATCH(Table3[[#This Row],[PID]],Table5[[#All],[PID]],0))</f>
        <v/>
      </c>
      <c r="BI10" s="47" t="str">
        <f>INDEX(Table5[[#All],[Rnd]],MATCH(Table3[[#This Row],[PID]],Table5[[#All],[PID]],0))</f>
        <v/>
      </c>
      <c r="BJ10" s="47" t="str">
        <f>INDEX(Table5[[#All],[Pick]],MATCH(Table3[[#This Row],[PID]],Table5[[#All],[PID]],0))</f>
        <v/>
      </c>
      <c r="BK10" s="47" t="str">
        <f>INDEX(Table5[[#All],[Team]],MATCH(Table3[[#This Row],[PID]],Table5[[#All],[PID]],0))</f>
        <v/>
      </c>
      <c r="BL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" spans="1:64" ht="15" customHeight="1" x14ac:dyDescent="0.25">
      <c r="A11" s="42">
        <v>8417</v>
      </c>
      <c r="B11" s="42" t="s">
        <v>49</v>
      </c>
      <c r="C11" s="42" t="s">
        <v>370</v>
      </c>
      <c r="D11" s="42" t="s">
        <v>1496</v>
      </c>
      <c r="E11" s="42">
        <v>18</v>
      </c>
      <c r="F11" s="42" t="s">
        <v>42</v>
      </c>
      <c r="G11" s="42" t="s">
        <v>53</v>
      </c>
      <c r="H11" s="43" t="s">
        <v>703</v>
      </c>
      <c r="I11" s="44" t="s">
        <v>44</v>
      </c>
      <c r="J11" s="42" t="s">
        <v>43</v>
      </c>
      <c r="K11" s="43" t="s">
        <v>43</v>
      </c>
      <c r="L11" s="42">
        <v>2</v>
      </c>
      <c r="M11" s="42">
        <v>2</v>
      </c>
      <c r="N11" s="43">
        <v>1</v>
      </c>
      <c r="O11" s="42">
        <v>5</v>
      </c>
      <c r="P11" s="42">
        <v>4</v>
      </c>
      <c r="Q11" s="43">
        <v>7</v>
      </c>
      <c r="R11" s="42">
        <v>3</v>
      </c>
      <c r="S11" s="42">
        <v>7</v>
      </c>
      <c r="T11" s="42">
        <v>1</v>
      </c>
      <c r="U11" s="42">
        <v>2</v>
      </c>
      <c r="V11" s="42" t="s">
        <v>45</v>
      </c>
      <c r="W11" s="42" t="s">
        <v>45</v>
      </c>
      <c r="X11" s="42" t="s">
        <v>45</v>
      </c>
      <c r="Y11" s="42" t="s">
        <v>45</v>
      </c>
      <c r="Z11" s="42">
        <v>3</v>
      </c>
      <c r="AA11" s="42">
        <v>6</v>
      </c>
      <c r="AB11" s="42" t="s">
        <v>45</v>
      </c>
      <c r="AC11" s="42" t="s">
        <v>45</v>
      </c>
      <c r="AD11" s="42" t="s">
        <v>45</v>
      </c>
      <c r="AE11" s="42" t="s">
        <v>45</v>
      </c>
      <c r="AF11" s="42" t="s">
        <v>45</v>
      </c>
      <c r="AG11" s="42" t="s">
        <v>45</v>
      </c>
      <c r="AH11" s="42" t="s">
        <v>45</v>
      </c>
      <c r="AI11" s="42" t="s">
        <v>45</v>
      </c>
      <c r="AJ11" s="42" t="s">
        <v>45</v>
      </c>
      <c r="AK11" s="42" t="s">
        <v>45</v>
      </c>
      <c r="AL11" s="42" t="s">
        <v>45</v>
      </c>
      <c r="AM11" s="42" t="s">
        <v>45</v>
      </c>
      <c r="AN11" s="42" t="s">
        <v>45</v>
      </c>
      <c r="AO11" s="43" t="s">
        <v>45</v>
      </c>
      <c r="AP11" s="42" t="s">
        <v>356</v>
      </c>
      <c r="AQ11" s="42">
        <v>7</v>
      </c>
      <c r="AR11" s="50" t="s">
        <v>352</v>
      </c>
      <c r="AS11" s="45" t="s">
        <v>602</v>
      </c>
      <c r="AT11" s="45" t="s">
        <v>705</v>
      </c>
      <c r="AU11" s="46">
        <f>($O$3*(L11-$O$1)/$O$2+$P$3*(M11-$P$1)/$P$2+$Q$3*(N11-$P$1)/$Q$2)/SUM($O$3:$Q$3)</f>
        <v>-2.311361197028369</v>
      </c>
      <c r="AV11" s="46">
        <f>($O$3*(O11-$O$1)/$O$2+$P$3*(P11-$P$1)/$P$2+$Q$3*(Q11-$Q$1)/$Q$2)/SUM($O$3:$Q$3)</f>
        <v>0.56299435642099616</v>
      </c>
      <c r="AW11" s="47">
        <f>COUNT(R11:AO11)/2</f>
        <v>3</v>
      </c>
      <c r="AX11" s="47">
        <f>IF(AND(S11&lt;&gt;"-",S11&gt;5),1,0)+IF(AND(U11&lt;&gt;"-",U11&gt;5),1,0)+IF(AND(W11&lt;&gt;"-",W11&gt;5),1,0)+IF(AND(Y11&lt;&gt;"-",Y11&gt;5),1,0)+IF(AND(AA11&lt;&gt;"-",AA11&gt;5),1,0)+IF(AND(AC11&lt;&gt;"-",AC11&gt;5),1,0)+IF(AND(AE11&lt;&gt;"-",AE11&gt;5),1,0)+IF(AND(AG11&lt;&gt;"-",AG11&gt;5),1,0)+IF(AND(AI11&lt;&gt;"-",AI11&gt;5),1,0)+IF(AND(AK11&lt;&gt;"-",AK11&gt;5),1,0)+IF(AND(AM11&lt;&gt;"-",AM11&gt;5),1,0)+IF(AND(AO11&lt;&gt;"-",AO11&gt;5),1,0)</f>
        <v>2</v>
      </c>
      <c r="AY11" s="48">
        <f>VLOOKUP(AP11,COND!$A$10:$B$32,2,FALSE)</f>
        <v>1</v>
      </c>
      <c r="AZ11" s="46">
        <f>($AU$3*AU11+$AV$3*AV11+$AW$3*AW11+$AX$3*AX11)*AY11*IF(AQ11&lt;5,0.95,IF(AQ11&lt;7,0.975,1))+$I$3*VLOOKUP(I11,COND!$A$2:$E$7,4,FALSE)+$J$3*VLOOKUP(J11,COND!$A$2:$E$7,2,FALSE)+$K$3*VLOOKUP(K11,COND!$A$2:$E$7,3,FALSE)+IF(BB11="SP",$BB$3,0)+IF($AW11&lt;3,-5,0)+IF(AND($B$2&gt;0,$E11&lt;20),$B$2*25,0)</f>
        <v>66.64761488901425</v>
      </c>
      <c r="BA11" s="49">
        <f>STANDARDIZE(AZ11,AVERAGE($AZ$5:$AZ$570),STDEVP($AZ$5:$AZ$570))</f>
        <v>3.111100882058548</v>
      </c>
      <c r="BB11" s="47" t="str">
        <f>IF(OR(AND(AQ11&gt;7,AX11&gt;1),AND(AQ11&gt;4,AW11&gt;2)),"SP","RP")</f>
        <v>SP</v>
      </c>
      <c r="BC11" s="47"/>
      <c r="BD11" s="47"/>
      <c r="BE11" s="47"/>
      <c r="BF11" s="47" t="str">
        <f>IF(AVERAGE($O11:$Q11)&gt;=6,"Likely",IF(AVERAGE($O11:$Q11)&gt;=4,"Possible","Unlikely"))</f>
        <v>Possible</v>
      </c>
      <c r="BG11" s="47"/>
      <c r="BH11" s="47" t="str">
        <f>INDEX(Table5[[#All],[Ovr]],MATCH(Table3[[#This Row],[PID]],Table5[[#All],[PID]],0))</f>
        <v/>
      </c>
      <c r="BI11" s="47" t="str">
        <f>INDEX(Table5[[#All],[Rnd]],MATCH(Table3[[#This Row],[PID]],Table5[[#All],[PID]],0))</f>
        <v/>
      </c>
      <c r="BJ11" s="47" t="str">
        <f>INDEX(Table5[[#All],[Pick]],MATCH(Table3[[#This Row],[PID]],Table5[[#All],[PID]],0))</f>
        <v/>
      </c>
      <c r="BK11" s="47" t="str">
        <f>INDEX(Table5[[#All],[Team]],MATCH(Table3[[#This Row],[PID]],Table5[[#All],[PID]],0))</f>
        <v/>
      </c>
      <c r="BL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" spans="1:64" ht="15" customHeight="1" x14ac:dyDescent="0.25">
      <c r="A12" s="42">
        <v>9950</v>
      </c>
      <c r="B12" s="42" t="s">
        <v>24</v>
      </c>
      <c r="C12" s="42" t="s">
        <v>186</v>
      </c>
      <c r="D12" s="42" t="s">
        <v>973</v>
      </c>
      <c r="E12" s="42">
        <v>21</v>
      </c>
      <c r="F12" s="42" t="s">
        <v>42</v>
      </c>
      <c r="G12" s="42" t="s">
        <v>42</v>
      </c>
      <c r="H12" s="43" t="s">
        <v>702</v>
      </c>
      <c r="I12" s="44" t="s">
        <v>47</v>
      </c>
      <c r="J12" s="42" t="s">
        <v>43</v>
      </c>
      <c r="K12" s="43" t="s">
        <v>43</v>
      </c>
      <c r="L12" s="42">
        <v>3</v>
      </c>
      <c r="M12" s="42">
        <v>5</v>
      </c>
      <c r="N12" s="43">
        <v>3</v>
      </c>
      <c r="O12" s="42">
        <v>6</v>
      </c>
      <c r="P12" s="42">
        <v>6</v>
      </c>
      <c r="Q12" s="43">
        <v>5</v>
      </c>
      <c r="R12" s="42">
        <v>6</v>
      </c>
      <c r="S12" s="42">
        <v>8</v>
      </c>
      <c r="T12" s="42">
        <v>2</v>
      </c>
      <c r="U12" s="42">
        <v>6</v>
      </c>
      <c r="V12" s="42" t="s">
        <v>45</v>
      </c>
      <c r="W12" s="42" t="s">
        <v>45</v>
      </c>
      <c r="X12" s="42">
        <v>4</v>
      </c>
      <c r="Y12" s="42">
        <v>7</v>
      </c>
      <c r="Z12" s="42" t="s">
        <v>45</v>
      </c>
      <c r="AA12" s="42" t="s">
        <v>45</v>
      </c>
      <c r="AB12" s="42" t="s">
        <v>45</v>
      </c>
      <c r="AC12" s="42" t="s">
        <v>45</v>
      </c>
      <c r="AD12" s="42" t="s">
        <v>45</v>
      </c>
      <c r="AE12" s="42" t="s">
        <v>45</v>
      </c>
      <c r="AF12" s="42" t="s">
        <v>45</v>
      </c>
      <c r="AG12" s="42" t="s">
        <v>45</v>
      </c>
      <c r="AH12" s="42" t="s">
        <v>45</v>
      </c>
      <c r="AI12" s="42" t="s">
        <v>45</v>
      </c>
      <c r="AJ12" s="42" t="s">
        <v>45</v>
      </c>
      <c r="AK12" s="42" t="s">
        <v>45</v>
      </c>
      <c r="AL12" s="42" t="s">
        <v>45</v>
      </c>
      <c r="AM12" s="42" t="s">
        <v>45</v>
      </c>
      <c r="AN12" s="42" t="s">
        <v>45</v>
      </c>
      <c r="AO12" s="43" t="s">
        <v>45</v>
      </c>
      <c r="AP12" s="42" t="s">
        <v>61</v>
      </c>
      <c r="AQ12" s="42">
        <v>7</v>
      </c>
      <c r="AR12" s="50" t="s">
        <v>353</v>
      </c>
      <c r="AS12" s="45" t="s">
        <v>429</v>
      </c>
      <c r="AT12" s="45" t="s">
        <v>47</v>
      </c>
      <c r="AU12" s="46">
        <f>($O$3*(L12-$O$1)/$O$2+$P$3*(M12-$P$1)/$P$2+$Q$3*(N12-$P$1)/$Q$2)/SUM($O$3:$Q$3)</f>
        <v>-1.0457335911208085</v>
      </c>
      <c r="AV12" s="46">
        <f>($O$3*(O12-$O$1)/$O$2+$P$3*(P12-$P$1)/$P$2+$Q$3*(Q12-$Q$1)/$Q$2)/SUM($O$3:$Q$3)</f>
        <v>0.66390798168205989</v>
      </c>
      <c r="AW12" s="47">
        <f>COUNT(R12:AO12)/2</f>
        <v>3</v>
      </c>
      <c r="AX12" s="47">
        <f>IF(AND(S12&lt;&gt;"-",S12&gt;5),1,0)+IF(AND(U12&lt;&gt;"-",U12&gt;5),1,0)+IF(AND(W12&lt;&gt;"-",W12&gt;5),1,0)+IF(AND(Y12&lt;&gt;"-",Y12&gt;5),1,0)+IF(AND(AA12&lt;&gt;"-",AA12&gt;5),1,0)+IF(AND(AC12&lt;&gt;"-",AC12&gt;5),1,0)+IF(AND(AE12&lt;&gt;"-",AE12&gt;5),1,0)+IF(AND(AG12&lt;&gt;"-",AG12&gt;5),1,0)+IF(AND(AI12&lt;&gt;"-",AI12&gt;5),1,0)+IF(AND(AK12&lt;&gt;"-",AK12&gt;5),1,0)+IF(AND(AM12&lt;&gt;"-",AM12&gt;5),1,0)+IF(AND(AO12&lt;&gt;"-",AO12&gt;5),1,0)</f>
        <v>3</v>
      </c>
      <c r="AY12" s="48">
        <f>VLOOKUP(AP12,COND!$A$10:$B$32,2,FALSE)</f>
        <v>1.05</v>
      </c>
      <c r="AZ12" s="46">
        <f>($AU$3*AU12+$AV$3*AV12+$AW$3*AW12+$AX$3*AX12)*AY12*IF(AQ12&lt;5,0.95,IF(AQ12&lt;7,0.975,1))+$I$3*VLOOKUP(I12,COND!$A$2:$E$7,4,FALSE)+$J$3*VLOOKUP(J12,COND!$A$2:$E$7,2,FALSE)+$K$3*VLOOKUP(K12,COND!$A$2:$E$7,3,FALSE)+IF(BB12="SP",$BB$3,0)+IF($AW12&lt;3,-5,0)+IF(AND($B$2&gt;0,$E12&lt;20),$B$2*25,0)</f>
        <v>66.459963561187891</v>
      </c>
      <c r="BA12" s="49">
        <f>STANDARDIZE(AZ12,AVERAGE($AZ$5:$AZ$570),STDEVP($AZ$5:$AZ$570))</f>
        <v>3.0938924532582393</v>
      </c>
      <c r="BB12" s="47" t="str">
        <f>IF(OR(AND(AQ12&gt;7,AX12&gt;1),AND(AQ12&gt;4,AW12&gt;2)),"SP","RP")</f>
        <v>SP</v>
      </c>
      <c r="BC12" s="47"/>
      <c r="BD12" s="47"/>
      <c r="BE12" s="47"/>
      <c r="BF12" s="47" t="str">
        <f>IF(AVERAGE($O12:$Q12)&gt;=6,"Likely",IF(AVERAGE($O12:$Q12)&gt;=4,"Possible","Unlikely"))</f>
        <v>Possible</v>
      </c>
      <c r="BG12" s="47"/>
      <c r="BH12" s="47" t="str">
        <f>INDEX(Table5[[#All],[Ovr]],MATCH(Table3[[#This Row],[PID]],Table5[[#All],[PID]],0))</f>
        <v/>
      </c>
      <c r="BI12" s="47" t="str">
        <f>INDEX(Table5[[#All],[Rnd]],MATCH(Table3[[#This Row],[PID]],Table5[[#All],[PID]],0))</f>
        <v/>
      </c>
      <c r="BJ12" s="47" t="str">
        <f>INDEX(Table5[[#All],[Pick]],MATCH(Table3[[#This Row],[PID]],Table5[[#All],[PID]],0))</f>
        <v/>
      </c>
      <c r="BK12" s="47" t="str">
        <f>INDEX(Table5[[#All],[Team]],MATCH(Table3[[#This Row],[PID]],Table5[[#All],[PID]],0))</f>
        <v/>
      </c>
      <c r="BL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" spans="1:64" ht="15" customHeight="1" x14ac:dyDescent="0.25">
      <c r="A13" s="42">
        <v>7134</v>
      </c>
      <c r="B13" s="42" t="s">
        <v>430</v>
      </c>
      <c r="C13" s="42" t="s">
        <v>1384</v>
      </c>
      <c r="D13" s="42" t="s">
        <v>982</v>
      </c>
      <c r="E13" s="42">
        <v>21</v>
      </c>
      <c r="F13" s="42" t="s">
        <v>53</v>
      </c>
      <c r="G13" s="42" t="s">
        <v>53</v>
      </c>
      <c r="H13" s="43" t="s">
        <v>702</v>
      </c>
      <c r="I13" s="44" t="s">
        <v>43</v>
      </c>
      <c r="J13" s="42" t="s">
        <v>43</v>
      </c>
      <c r="K13" s="43" t="s">
        <v>43</v>
      </c>
      <c r="L13" s="42">
        <v>4</v>
      </c>
      <c r="M13" s="42">
        <v>2</v>
      </c>
      <c r="N13" s="43">
        <v>6</v>
      </c>
      <c r="O13" s="42">
        <v>6</v>
      </c>
      <c r="P13" s="42">
        <v>4</v>
      </c>
      <c r="Q13" s="43">
        <v>7</v>
      </c>
      <c r="R13" s="42">
        <v>5</v>
      </c>
      <c r="S13" s="42">
        <v>8</v>
      </c>
      <c r="T13" s="42">
        <v>1</v>
      </c>
      <c r="U13" s="42">
        <v>1</v>
      </c>
      <c r="V13" s="42" t="s">
        <v>45</v>
      </c>
      <c r="W13" s="42" t="s">
        <v>45</v>
      </c>
      <c r="X13" s="42" t="s">
        <v>45</v>
      </c>
      <c r="Y13" s="42" t="s">
        <v>45</v>
      </c>
      <c r="Z13" s="42">
        <v>5</v>
      </c>
      <c r="AA13" s="42">
        <v>7</v>
      </c>
      <c r="AB13" s="42" t="s">
        <v>45</v>
      </c>
      <c r="AC13" s="42" t="s">
        <v>45</v>
      </c>
      <c r="AD13" s="42" t="s">
        <v>45</v>
      </c>
      <c r="AE13" s="42" t="s">
        <v>45</v>
      </c>
      <c r="AF13" s="42" t="s">
        <v>45</v>
      </c>
      <c r="AG13" s="42" t="s">
        <v>45</v>
      </c>
      <c r="AH13" s="42" t="s">
        <v>45</v>
      </c>
      <c r="AI13" s="42" t="s">
        <v>45</v>
      </c>
      <c r="AJ13" s="42" t="s">
        <v>45</v>
      </c>
      <c r="AK13" s="42" t="s">
        <v>45</v>
      </c>
      <c r="AL13" s="42" t="s">
        <v>45</v>
      </c>
      <c r="AM13" s="42" t="s">
        <v>45</v>
      </c>
      <c r="AN13" s="42" t="s">
        <v>45</v>
      </c>
      <c r="AO13" s="43" t="s">
        <v>45</v>
      </c>
      <c r="AP13" s="42" t="s">
        <v>58</v>
      </c>
      <c r="AQ13" s="42">
        <v>6</v>
      </c>
      <c r="AR13" s="50" t="s">
        <v>353</v>
      </c>
      <c r="AS13" s="45" t="s">
        <v>615</v>
      </c>
      <c r="AT13" s="45" t="s">
        <v>705</v>
      </c>
      <c r="AU13" s="46">
        <f>($O$3*(L13-$O$1)/$O$2+$P$3*(M13-$P$1)/$P$2+$Q$3*(N13-$P$1)/$Q$2)/SUM($O$3:$Q$3)</f>
        <v>-0.71037571773947006</v>
      </c>
      <c r="AV13" s="46">
        <f>($O$3*(O13-$O$1)/$O$2+$P$3*(P13-$P$1)/$P$2+$Q$3*(Q13-$Q$1)/$Q$2)/SUM($O$3:$Q$3)</f>
        <v>0.75768568093016975</v>
      </c>
      <c r="AW13" s="47">
        <f>COUNT(R13:AO13)/2</f>
        <v>3</v>
      </c>
      <c r="AX13" s="47">
        <f>IF(AND(S13&lt;&gt;"-",S13&gt;5),1,0)+IF(AND(U13&lt;&gt;"-",U13&gt;5),1,0)+IF(AND(W13&lt;&gt;"-",W13&gt;5),1,0)+IF(AND(Y13&lt;&gt;"-",Y13&gt;5),1,0)+IF(AND(AA13&lt;&gt;"-",AA13&gt;5),1,0)+IF(AND(AC13&lt;&gt;"-",AC13&gt;5),1,0)+IF(AND(AE13&lt;&gt;"-",AE13&gt;5),1,0)+IF(AND(AG13&lt;&gt;"-",AG13&gt;5),1,0)+IF(AND(AI13&lt;&gt;"-",AI13&gt;5),1,0)+IF(AND(AK13&lt;&gt;"-",AK13&gt;5),1,0)+IF(AND(AM13&lt;&gt;"-",AM13&gt;5),1,0)+IF(AND(AO13&lt;&gt;"-",AO13&gt;5),1,0)</f>
        <v>2</v>
      </c>
      <c r="AY13" s="48">
        <f>VLOOKUP(AP13,COND!$A$10:$B$32,2,FALSE)</f>
        <v>1</v>
      </c>
      <c r="AZ13" s="46">
        <f>($AU$3*AU13+$AV$3*AV13+$AW$3*AW13+$AX$3*AX13)*AY13*IF(AQ13&lt;5,0.95,IF(AQ13&lt;7,0.975,1))+$I$3*VLOOKUP(I13,COND!$A$2:$E$7,4,FALSE)+$J$3*VLOOKUP(J13,COND!$A$2:$E$7,2,FALSE)+$K$3*VLOOKUP(K13,COND!$A$2:$E$7,3,FALSE)+IF(BB13="SP",$BB$3,0)+IF($AW13&lt;3,-5,0)+IF(AND($B$2&gt;0,$E13&lt;20),$B$2*25,0)</f>
        <v>65.536347513179109</v>
      </c>
      <c r="BA13" s="49">
        <f>STANDARDIZE(AZ13,AVERAGE($AZ$5:$AZ$570),STDEVP($AZ$5:$AZ$570))</f>
        <v>3.0091929140378775</v>
      </c>
      <c r="BB13" s="47" t="str">
        <f>IF(OR(AND(AQ13&gt;7,AX13&gt;1),AND(AQ13&gt;4,AW13&gt;2)),"SP","RP")</f>
        <v>SP</v>
      </c>
      <c r="BC13" s="47"/>
      <c r="BD13" s="47"/>
      <c r="BE13" s="47"/>
      <c r="BF13" s="47" t="str">
        <f>IF(AVERAGE($O13:$Q13)&gt;=6,"Likely",IF(AVERAGE($O13:$Q13)&gt;=4,"Possible","Unlikely"))</f>
        <v>Possible</v>
      </c>
      <c r="BG13" s="47"/>
      <c r="BH13" s="47" t="str">
        <f>INDEX(Table5[[#All],[Ovr]],MATCH(Table3[[#This Row],[PID]],Table5[[#All],[PID]],0))</f>
        <v/>
      </c>
      <c r="BI13" s="47" t="str">
        <f>INDEX(Table5[[#All],[Rnd]],MATCH(Table3[[#This Row],[PID]],Table5[[#All],[PID]],0))</f>
        <v/>
      </c>
      <c r="BJ13" s="47" t="str">
        <f>INDEX(Table5[[#All],[Pick]],MATCH(Table3[[#This Row],[PID]],Table5[[#All],[PID]],0))</f>
        <v/>
      </c>
      <c r="BK13" s="47" t="str">
        <f>INDEX(Table5[[#All],[Team]],MATCH(Table3[[#This Row],[PID]],Table5[[#All],[PID]],0))</f>
        <v/>
      </c>
      <c r="BL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" spans="1:64" ht="15" customHeight="1" x14ac:dyDescent="0.25">
      <c r="A14" s="42">
        <v>18040</v>
      </c>
      <c r="B14" s="42" t="s">
        <v>49</v>
      </c>
      <c r="C14" s="42" t="s">
        <v>578</v>
      </c>
      <c r="D14" s="42" t="s">
        <v>744</v>
      </c>
      <c r="E14" s="42">
        <v>21</v>
      </c>
      <c r="F14" s="42" t="s">
        <v>53</v>
      </c>
      <c r="G14" s="42" t="s">
        <v>42</v>
      </c>
      <c r="H14" s="43" t="s">
        <v>907</v>
      </c>
      <c r="I14" s="44" t="s">
        <v>43</v>
      </c>
      <c r="J14" s="42" t="s">
        <v>47</v>
      </c>
      <c r="K14" s="43" t="s">
        <v>43</v>
      </c>
      <c r="L14" s="42">
        <v>5</v>
      </c>
      <c r="M14" s="42">
        <v>2</v>
      </c>
      <c r="N14" s="43">
        <v>2</v>
      </c>
      <c r="O14" s="42">
        <v>10</v>
      </c>
      <c r="P14" s="42">
        <v>4</v>
      </c>
      <c r="Q14" s="43">
        <v>3</v>
      </c>
      <c r="R14" s="42">
        <v>7</v>
      </c>
      <c r="S14" s="42">
        <v>10</v>
      </c>
      <c r="T14" s="42">
        <v>1</v>
      </c>
      <c r="U14" s="42">
        <v>1</v>
      </c>
      <c r="V14" s="42" t="s">
        <v>45</v>
      </c>
      <c r="W14" s="42" t="s">
        <v>45</v>
      </c>
      <c r="X14" s="42">
        <v>4</v>
      </c>
      <c r="Y14" s="42">
        <v>10</v>
      </c>
      <c r="Z14" s="42" t="s">
        <v>45</v>
      </c>
      <c r="AA14" s="42" t="s">
        <v>45</v>
      </c>
      <c r="AB14" s="42" t="s">
        <v>45</v>
      </c>
      <c r="AC14" s="42" t="s">
        <v>45</v>
      </c>
      <c r="AD14" s="42" t="s">
        <v>45</v>
      </c>
      <c r="AE14" s="42" t="s">
        <v>45</v>
      </c>
      <c r="AF14" s="42" t="s">
        <v>45</v>
      </c>
      <c r="AG14" s="42" t="s">
        <v>45</v>
      </c>
      <c r="AH14" s="42" t="s">
        <v>45</v>
      </c>
      <c r="AI14" s="42" t="s">
        <v>45</v>
      </c>
      <c r="AJ14" s="42" t="s">
        <v>45</v>
      </c>
      <c r="AK14" s="42" t="s">
        <v>45</v>
      </c>
      <c r="AL14" s="42" t="s">
        <v>45</v>
      </c>
      <c r="AM14" s="42" t="s">
        <v>45</v>
      </c>
      <c r="AN14" s="42" t="s">
        <v>45</v>
      </c>
      <c r="AO14" s="43" t="s">
        <v>45</v>
      </c>
      <c r="AP14" s="42" t="s">
        <v>63</v>
      </c>
      <c r="AQ14" s="42">
        <v>9</v>
      </c>
      <c r="AR14" s="50" t="s">
        <v>353</v>
      </c>
      <c r="AS14" s="45" t="s">
        <v>634</v>
      </c>
      <c r="AT14" s="45" t="s">
        <v>705</v>
      </c>
      <c r="AU14" s="46">
        <f>($O$3*(L14-$O$1)/$O$2+$P$3*(M14-$P$1)/$P$2+$Q$3*(N14-$P$1)/$Q$2)/SUM($O$3:$Q$3)</f>
        <v>-1.4849666574467382</v>
      </c>
      <c r="AV14" s="46">
        <f>($O$3*(O14-$O$1)/$O$2+$P$3*(P14-$P$1)/$P$2+$Q$3*(Q14-$Q$1)/$Q$2)/SUM($O$3:$Q$3)</f>
        <v>0.56716871475042208</v>
      </c>
      <c r="AW14" s="47">
        <f>COUNT(R14:AO14)/2</f>
        <v>3</v>
      </c>
      <c r="AX14" s="47">
        <f>IF(AND(S14&lt;&gt;"-",S14&gt;5),1,0)+IF(AND(U14&lt;&gt;"-",U14&gt;5),1,0)+IF(AND(W14&lt;&gt;"-",W14&gt;5),1,0)+IF(AND(Y14&lt;&gt;"-",Y14&gt;5),1,0)+IF(AND(AA14&lt;&gt;"-",AA14&gt;5),1,0)+IF(AND(AC14&lt;&gt;"-",AC14&gt;5),1,0)+IF(AND(AE14&lt;&gt;"-",AE14&gt;5),1,0)+IF(AND(AG14&lt;&gt;"-",AG14&gt;5),1,0)+IF(AND(AI14&lt;&gt;"-",AI14&gt;5),1,0)+IF(AND(AK14&lt;&gt;"-",AK14&gt;5),1,0)+IF(AND(AM14&lt;&gt;"-",AM14&gt;5),1,0)+IF(AND(AO14&lt;&gt;"-",AO14&gt;5),1,0)</f>
        <v>2</v>
      </c>
      <c r="AY14" s="48">
        <f>VLOOKUP(AP14,COND!$A$10:$B$32,2,FALSE)</f>
        <v>1.075</v>
      </c>
      <c r="AZ14" s="46">
        <f>($AU$3*AU14+$AV$3*AV14+$AW$3*AW14+$AX$3*AX14)*AY14*IF(AQ14&lt;5,0.95,IF(AQ14&lt;7,0.975,1))+$I$3*VLOOKUP(I14,COND!$A$2:$E$7,4,FALSE)+$J$3*VLOOKUP(J14,COND!$A$2:$E$7,2,FALSE)+$K$3*VLOOKUP(K14,COND!$A$2:$E$7,3,FALSE)+IF(BB14="SP",$BB$3,0)+IF($AW14&lt;3,-5,0)+IF(AND($B$2&gt;0,$E14&lt;20),$B$2*25,0)</f>
        <v>63.474859535783025</v>
      </c>
      <c r="BA14" s="49">
        <f>STANDARDIZE(AZ14,AVERAGE($AZ$5:$AZ$570),STDEVP($AZ$5:$AZ$570))</f>
        <v>2.8201456555258599</v>
      </c>
      <c r="BB14" s="47" t="str">
        <f>IF(OR(AND(AQ14&gt;7,AX14&gt;1),AND(AQ14&gt;4,AW14&gt;2)),"SP","RP")</f>
        <v>SP</v>
      </c>
      <c r="BC14" s="47"/>
      <c r="BD14" s="47"/>
      <c r="BE14" s="47"/>
      <c r="BF14" s="47" t="str">
        <f>IF(AVERAGE($O14:$Q14)&gt;=6,"Likely",IF(AVERAGE($O14:$Q14)&gt;=4,"Possible","Unlikely"))</f>
        <v>Possible</v>
      </c>
      <c r="BG14" s="47"/>
      <c r="BH14" s="47" t="str">
        <f>INDEX(Table5[[#All],[Ovr]],MATCH(Table3[[#This Row],[PID]],Table5[[#All],[PID]],0))</f>
        <v/>
      </c>
      <c r="BI14" s="47" t="str">
        <f>INDEX(Table5[[#All],[Rnd]],MATCH(Table3[[#This Row],[PID]],Table5[[#All],[PID]],0))</f>
        <v/>
      </c>
      <c r="BJ14" s="47" t="str">
        <f>INDEX(Table5[[#All],[Pick]],MATCH(Table3[[#This Row],[PID]],Table5[[#All],[PID]],0))</f>
        <v/>
      </c>
      <c r="BK14" s="47" t="str">
        <f>INDEX(Table5[[#All],[Team]],MATCH(Table3[[#This Row],[PID]],Table5[[#All],[PID]],0))</f>
        <v/>
      </c>
      <c r="BL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" spans="1:64" ht="15" customHeight="1" x14ac:dyDescent="0.25">
      <c r="A15" s="42">
        <v>7687</v>
      </c>
      <c r="B15" s="42" t="s">
        <v>49</v>
      </c>
      <c r="C15" s="42" t="s">
        <v>180</v>
      </c>
      <c r="D15" s="42" t="s">
        <v>407</v>
      </c>
      <c r="E15" s="42">
        <v>18</v>
      </c>
      <c r="F15" s="42" t="s">
        <v>42</v>
      </c>
      <c r="G15" s="42" t="s">
        <v>42</v>
      </c>
      <c r="H15" s="43" t="s">
        <v>702</v>
      </c>
      <c r="I15" s="44" t="s">
        <v>44</v>
      </c>
      <c r="J15" s="42" t="s">
        <v>43</v>
      </c>
      <c r="K15" s="43" t="s">
        <v>43</v>
      </c>
      <c r="L15" s="42">
        <v>3</v>
      </c>
      <c r="M15" s="42">
        <v>2</v>
      </c>
      <c r="N15" s="43">
        <v>1</v>
      </c>
      <c r="O15" s="42">
        <v>7</v>
      </c>
      <c r="P15" s="42">
        <v>5</v>
      </c>
      <c r="Q15" s="43">
        <v>4</v>
      </c>
      <c r="R15" s="42">
        <v>5</v>
      </c>
      <c r="S15" s="42">
        <v>8</v>
      </c>
      <c r="T15" s="42">
        <v>1</v>
      </c>
      <c r="U15" s="42">
        <v>1</v>
      </c>
      <c r="V15" s="42" t="s">
        <v>45</v>
      </c>
      <c r="W15" s="42" t="s">
        <v>45</v>
      </c>
      <c r="X15" s="42">
        <v>3</v>
      </c>
      <c r="Y15" s="42">
        <v>9</v>
      </c>
      <c r="Z15" s="42" t="s">
        <v>45</v>
      </c>
      <c r="AA15" s="42" t="s">
        <v>45</v>
      </c>
      <c r="AB15" s="42" t="s">
        <v>45</v>
      </c>
      <c r="AC15" s="42" t="s">
        <v>45</v>
      </c>
      <c r="AD15" s="42" t="s">
        <v>45</v>
      </c>
      <c r="AE15" s="42" t="s">
        <v>45</v>
      </c>
      <c r="AF15" s="42" t="s">
        <v>45</v>
      </c>
      <c r="AG15" s="42" t="s">
        <v>45</v>
      </c>
      <c r="AH15" s="42" t="s">
        <v>45</v>
      </c>
      <c r="AI15" s="42" t="s">
        <v>45</v>
      </c>
      <c r="AJ15" s="42" t="s">
        <v>45</v>
      </c>
      <c r="AK15" s="42" t="s">
        <v>45</v>
      </c>
      <c r="AL15" s="42" t="s">
        <v>45</v>
      </c>
      <c r="AM15" s="42" t="s">
        <v>45</v>
      </c>
      <c r="AN15" s="42" t="s">
        <v>45</v>
      </c>
      <c r="AO15" s="43" t="s">
        <v>45</v>
      </c>
      <c r="AP15" s="42" t="s">
        <v>54</v>
      </c>
      <c r="AQ15" s="42">
        <v>6</v>
      </c>
      <c r="AR15" s="50" t="s">
        <v>352</v>
      </c>
      <c r="AS15" s="45" t="s">
        <v>649</v>
      </c>
      <c r="AT15" s="45" t="s">
        <v>705</v>
      </c>
      <c r="AU15" s="46">
        <f>($O$3*(L15-$O$1)/$O$2+$P$3*(M15-$P$1)/$P$2+$Q$3*(N15-$P$1)/$Q$2)/SUM($O$3:$Q$3)</f>
        <v>-2.1166698725191955</v>
      </c>
      <c r="AV15" s="46">
        <f>($O$3*(O15-$O$1)/$O$2+$P$3*(P15-$P$1)/$P$2+$Q$3*(Q15-$Q$1)/$Q$2)/SUM($O$3:$Q$3)</f>
        <v>0.4208470237070675</v>
      </c>
      <c r="AW15" s="47">
        <f>COUNT(R15:AO15)/2</f>
        <v>3</v>
      </c>
      <c r="AX15" s="47">
        <f>IF(AND(S15&lt;&gt;"-",S15&gt;5),1,0)+IF(AND(U15&lt;&gt;"-",U15&gt;5),1,0)+IF(AND(W15&lt;&gt;"-",W15&gt;5),1,0)+IF(AND(Y15&lt;&gt;"-",Y15&gt;5),1,0)+IF(AND(AA15&lt;&gt;"-",AA15&gt;5),1,0)+IF(AND(AC15&lt;&gt;"-",AC15&gt;5),1,0)+IF(AND(AE15&lt;&gt;"-",AE15&gt;5),1,0)+IF(AND(AG15&lt;&gt;"-",AG15&gt;5),1,0)+IF(AND(AI15&lt;&gt;"-",AI15&gt;5),1,0)+IF(AND(AK15&lt;&gt;"-",AK15&gt;5),1,0)+IF(AND(AM15&lt;&gt;"-",AM15&gt;5),1,0)+IF(AND(AO15&lt;&gt;"-",AO15&gt;5),1,0)</f>
        <v>2</v>
      </c>
      <c r="AY15" s="48">
        <f>VLOOKUP(AP15,COND!$A$10:$B$32,2,FALSE)</f>
        <v>1.0249999999999999</v>
      </c>
      <c r="AZ15" s="46">
        <f>($AU$3*AU15+$AV$3*AV15+$AW$3*AW15+$AX$3*AX15)*AY15*IF(AQ15&lt;5,0.95,IF(AQ15&lt;7,0.975,1))+$I$3*VLOOKUP(I15,COND!$A$2:$E$7,4,FALSE)+$J$3*VLOOKUP(J15,COND!$A$2:$E$7,2,FALSE)+$K$3*VLOOKUP(K15,COND!$A$2:$E$7,3,FALSE)+IF(BB15="SP",$BB$3,0)+IF($AW15&lt;3,-5,0)+IF(AND($B$2&gt;0,$E15&lt;20),$B$2*25,0)</f>
        <v>63.836110495575234</v>
      </c>
      <c r="BA15" s="49">
        <f>STANDARDIZE(AZ15,AVERAGE($AZ$5:$AZ$570),STDEVP($AZ$5:$AZ$570))</f>
        <v>2.8532739125578583</v>
      </c>
      <c r="BB15" s="47" t="str">
        <f>IF(OR(AND(AQ15&gt;7,AX15&gt;1),AND(AQ15&gt;4,AW15&gt;2)),"SP","RP")</f>
        <v>SP</v>
      </c>
      <c r="BC15" s="47"/>
      <c r="BD15" s="47"/>
      <c r="BE15" s="47"/>
      <c r="BF15" s="47" t="str">
        <f>IF(AVERAGE($O15:$Q15)&gt;=6,"Likely",IF(AVERAGE($O15:$Q15)&gt;=4,"Possible","Unlikely"))</f>
        <v>Possible</v>
      </c>
      <c r="BG15" s="47"/>
      <c r="BH15" s="47" t="str">
        <f>INDEX(Table5[[#All],[Ovr]],MATCH(Table3[[#This Row],[PID]],Table5[[#All],[PID]],0))</f>
        <v/>
      </c>
      <c r="BI15" s="47" t="str">
        <f>INDEX(Table5[[#All],[Rnd]],MATCH(Table3[[#This Row],[PID]],Table5[[#All],[PID]],0))</f>
        <v/>
      </c>
      <c r="BJ15" s="47" t="str">
        <f>INDEX(Table5[[#All],[Pick]],MATCH(Table3[[#This Row],[PID]],Table5[[#All],[PID]],0))</f>
        <v/>
      </c>
      <c r="BK15" s="47" t="str">
        <f>INDEX(Table5[[#All],[Team]],MATCH(Table3[[#This Row],[PID]],Table5[[#All],[PID]],0))</f>
        <v/>
      </c>
      <c r="BL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" spans="1:64" ht="15" customHeight="1" x14ac:dyDescent="0.25">
      <c r="A16" s="42">
        <v>7114</v>
      </c>
      <c r="B16" s="42" t="s">
        <v>24</v>
      </c>
      <c r="C16" s="42" t="s">
        <v>1480</v>
      </c>
      <c r="D16" s="42" t="s">
        <v>644</v>
      </c>
      <c r="E16" s="42">
        <v>21</v>
      </c>
      <c r="F16" s="42" t="s">
        <v>42</v>
      </c>
      <c r="G16" s="42" t="s">
        <v>42</v>
      </c>
      <c r="H16" s="43" t="s">
        <v>702</v>
      </c>
      <c r="I16" s="44" t="s">
        <v>43</v>
      </c>
      <c r="J16" s="42" t="s">
        <v>43</v>
      </c>
      <c r="K16" s="43" t="s">
        <v>43</v>
      </c>
      <c r="L16" s="42">
        <v>3</v>
      </c>
      <c r="M16" s="42">
        <v>2</v>
      </c>
      <c r="N16" s="43">
        <v>4</v>
      </c>
      <c r="O16" s="42">
        <v>6</v>
      </c>
      <c r="P16" s="42">
        <v>4</v>
      </c>
      <c r="Q16" s="43">
        <v>6</v>
      </c>
      <c r="R16" s="42">
        <v>5</v>
      </c>
      <c r="S16" s="42">
        <v>8</v>
      </c>
      <c r="T16" s="42">
        <v>1</v>
      </c>
      <c r="U16" s="42">
        <v>6</v>
      </c>
      <c r="V16" s="42">
        <v>2</v>
      </c>
      <c r="W16" s="42">
        <v>2</v>
      </c>
      <c r="X16" s="42">
        <v>5</v>
      </c>
      <c r="Y16" s="42">
        <v>8</v>
      </c>
      <c r="Z16" s="42" t="s">
        <v>45</v>
      </c>
      <c r="AA16" s="42" t="s">
        <v>45</v>
      </c>
      <c r="AB16" s="42" t="s">
        <v>45</v>
      </c>
      <c r="AC16" s="42" t="s">
        <v>45</v>
      </c>
      <c r="AD16" s="42" t="s">
        <v>45</v>
      </c>
      <c r="AE16" s="42" t="s">
        <v>45</v>
      </c>
      <c r="AF16" s="42" t="s">
        <v>45</v>
      </c>
      <c r="AG16" s="42" t="s">
        <v>45</v>
      </c>
      <c r="AH16" s="42" t="s">
        <v>45</v>
      </c>
      <c r="AI16" s="42" t="s">
        <v>45</v>
      </c>
      <c r="AJ16" s="42" t="s">
        <v>45</v>
      </c>
      <c r="AK16" s="42" t="s">
        <v>45</v>
      </c>
      <c r="AL16" s="42" t="s">
        <v>45</v>
      </c>
      <c r="AM16" s="42" t="s">
        <v>45</v>
      </c>
      <c r="AN16" s="42" t="s">
        <v>45</v>
      </c>
      <c r="AO16" s="43" t="s">
        <v>45</v>
      </c>
      <c r="AP16" s="42" t="s">
        <v>54</v>
      </c>
      <c r="AQ16" s="42">
        <v>7</v>
      </c>
      <c r="AR16" s="50" t="s">
        <v>352</v>
      </c>
      <c r="AS16" s="45" t="s">
        <v>442</v>
      </c>
      <c r="AT16" s="45" t="s">
        <v>47</v>
      </c>
      <c r="AU16" s="46">
        <f>($O$3*(L16-$O$1)/$O$2+$P$3*(M16-$P$1)/$P$2+$Q$3*(N16-$P$1)/$Q$2)/SUM($O$3:$Q$3)</f>
        <v>-1.3897081743568644</v>
      </c>
      <c r="AV16" s="46">
        <f>($O$3*(O16-$O$1)/$O$2+$P$3*(P16-$P$1)/$P$2+$Q$3*(Q16-$Q$1)/$Q$2)/SUM($O$3:$Q$3)</f>
        <v>0.5153651148760594</v>
      </c>
      <c r="AW16" s="47">
        <f>COUNT(R16:AO16)/2</f>
        <v>4</v>
      </c>
      <c r="AX16" s="47">
        <f>IF(AND(S16&lt;&gt;"-",S16&gt;5),1,0)+IF(AND(U16&lt;&gt;"-",U16&gt;5),1,0)+IF(AND(W16&lt;&gt;"-",W16&gt;5),1,0)+IF(AND(Y16&lt;&gt;"-",Y16&gt;5),1,0)+IF(AND(AA16&lt;&gt;"-",AA16&gt;5),1,0)+IF(AND(AC16&lt;&gt;"-",AC16&gt;5),1,0)+IF(AND(AE16&lt;&gt;"-",AE16&gt;5),1,0)+IF(AND(AG16&lt;&gt;"-",AG16&gt;5),1,0)+IF(AND(AI16&lt;&gt;"-",AI16&gt;5),1,0)+IF(AND(AK16&lt;&gt;"-",AK16&gt;5),1,0)+IF(AND(AM16&lt;&gt;"-",AM16&gt;5),1,0)+IF(AND(AO16&lt;&gt;"-",AO16&gt;5),1,0)</f>
        <v>3</v>
      </c>
      <c r="AY16" s="48">
        <f>VLOOKUP(AP16,COND!$A$10:$B$32,2,FALSE)</f>
        <v>1.0249999999999999</v>
      </c>
      <c r="AZ16" s="46">
        <f>($AU$3*AU16+$AV$3*AV16+$AW$3*AW16+$AX$3*AX16)*AY16*IF(AQ16&lt;5,0.95,IF(AQ16&lt;7,0.975,1))+$I$3*VLOOKUP(I16,COND!$A$2:$E$7,4,FALSE)+$J$3*VLOOKUP(J16,COND!$A$2:$E$7,2,FALSE)+$K$3*VLOOKUP(K16,COND!$A$2:$E$7,3,FALSE)+IF(BB16="SP",$BB$3,0)+IF($AW16&lt;3,-5,0)+IF(AND($B$2&gt;0,$E16&lt;20),$B$2*25,0)</f>
        <v>63.17384467921606</v>
      </c>
      <c r="BA16" s="49">
        <f>STANDARDIZE(AZ16,AVERAGE($AZ$5:$AZ$570),STDEVP($AZ$5:$AZ$570))</f>
        <v>2.7925413066141327</v>
      </c>
      <c r="BB16" s="47" t="str">
        <f>IF(OR(AND(AQ16&gt;7,AX16&gt;1),AND(AQ16&gt;4,AW16&gt;2)),"SP","RP")</f>
        <v>SP</v>
      </c>
      <c r="BC16" s="47"/>
      <c r="BD16" s="47"/>
      <c r="BE16" s="47"/>
      <c r="BF16" s="47" t="str">
        <f>IF(AVERAGE($O16:$Q16)&gt;=6,"Likely",IF(AVERAGE($O16:$Q16)&gt;=4,"Possible","Unlikely"))</f>
        <v>Possible</v>
      </c>
      <c r="BG16" s="47"/>
      <c r="BH16" s="47" t="str">
        <f>INDEX(Table5[[#All],[Ovr]],MATCH(Table3[[#This Row],[PID]],Table5[[#All],[PID]],0))</f>
        <v/>
      </c>
      <c r="BI16" s="47" t="str">
        <f>INDEX(Table5[[#All],[Rnd]],MATCH(Table3[[#This Row],[PID]],Table5[[#All],[PID]],0))</f>
        <v/>
      </c>
      <c r="BJ16" s="47" t="str">
        <f>INDEX(Table5[[#All],[Pick]],MATCH(Table3[[#This Row],[PID]],Table5[[#All],[PID]],0))</f>
        <v/>
      </c>
      <c r="BK16" s="47" t="str">
        <f>INDEX(Table5[[#All],[Team]],MATCH(Table3[[#This Row],[PID]],Table5[[#All],[PID]],0))</f>
        <v/>
      </c>
      <c r="BL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" spans="1:64" ht="15" customHeight="1" x14ac:dyDescent="0.25">
      <c r="A17" s="42">
        <v>13432</v>
      </c>
      <c r="B17" s="42" t="s">
        <v>49</v>
      </c>
      <c r="C17" s="42" t="s">
        <v>184</v>
      </c>
      <c r="D17" s="42" t="s">
        <v>1451</v>
      </c>
      <c r="E17" s="42">
        <v>18</v>
      </c>
      <c r="F17" s="42" t="s">
        <v>42</v>
      </c>
      <c r="G17" s="42" t="s">
        <v>42</v>
      </c>
      <c r="H17" s="43" t="s">
        <v>703</v>
      </c>
      <c r="I17" s="44" t="s">
        <v>43</v>
      </c>
      <c r="J17" s="42" t="s">
        <v>43</v>
      </c>
      <c r="K17" s="43" t="s">
        <v>43</v>
      </c>
      <c r="L17" s="42">
        <v>2</v>
      </c>
      <c r="M17" s="42">
        <v>2</v>
      </c>
      <c r="N17" s="43">
        <v>1</v>
      </c>
      <c r="O17" s="42">
        <v>8</v>
      </c>
      <c r="P17" s="42">
        <v>5</v>
      </c>
      <c r="Q17" s="43">
        <v>3</v>
      </c>
      <c r="R17" s="42">
        <v>4</v>
      </c>
      <c r="S17" s="42">
        <v>8</v>
      </c>
      <c r="T17" s="42">
        <v>1</v>
      </c>
      <c r="U17" s="42">
        <v>1</v>
      </c>
      <c r="V17" s="42" t="s">
        <v>45</v>
      </c>
      <c r="W17" s="42" t="s">
        <v>45</v>
      </c>
      <c r="X17" s="42">
        <v>2</v>
      </c>
      <c r="Y17" s="42">
        <v>9</v>
      </c>
      <c r="Z17" s="42" t="s">
        <v>45</v>
      </c>
      <c r="AA17" s="42" t="s">
        <v>45</v>
      </c>
      <c r="AB17" s="42" t="s">
        <v>45</v>
      </c>
      <c r="AC17" s="42" t="s">
        <v>45</v>
      </c>
      <c r="AD17" s="42" t="s">
        <v>45</v>
      </c>
      <c r="AE17" s="42" t="s">
        <v>45</v>
      </c>
      <c r="AF17" s="42" t="s">
        <v>45</v>
      </c>
      <c r="AG17" s="42" t="s">
        <v>45</v>
      </c>
      <c r="AH17" s="42" t="s">
        <v>45</v>
      </c>
      <c r="AI17" s="42" t="s">
        <v>45</v>
      </c>
      <c r="AJ17" s="42" t="s">
        <v>45</v>
      </c>
      <c r="AK17" s="42" t="s">
        <v>45</v>
      </c>
      <c r="AL17" s="42" t="s">
        <v>45</v>
      </c>
      <c r="AM17" s="42" t="s">
        <v>45</v>
      </c>
      <c r="AN17" s="42" t="s">
        <v>45</v>
      </c>
      <c r="AO17" s="43" t="s">
        <v>45</v>
      </c>
      <c r="AP17" s="42" t="s">
        <v>56</v>
      </c>
      <c r="AQ17" s="42">
        <v>8</v>
      </c>
      <c r="AR17" s="50" t="s">
        <v>352</v>
      </c>
      <c r="AS17" s="45" t="s">
        <v>668</v>
      </c>
      <c r="AT17" s="45" t="s">
        <v>705</v>
      </c>
      <c r="AU17" s="46">
        <f>($O$3*(L17-$O$1)/$O$2+$P$3*(M17-$P$1)/$P$2+$Q$3*(N17-$P$1)/$Q$2)/SUM($O$3:$Q$3)</f>
        <v>-2.311361197028369</v>
      </c>
      <c r="AV17" s="46">
        <f>($O$3*(O17-$O$1)/$O$2+$P$3*(P17-$P$1)/$P$2+$Q$3*(Q17-$Q$1)/$Q$2)/SUM($O$3:$Q$3)</f>
        <v>0.37321778216213058</v>
      </c>
      <c r="AW17" s="47">
        <f>COUNT(R17:AO17)/2</f>
        <v>3</v>
      </c>
      <c r="AX17" s="47">
        <f>IF(AND(S17&lt;&gt;"-",S17&gt;5),1,0)+IF(AND(U17&lt;&gt;"-",U17&gt;5),1,0)+IF(AND(W17&lt;&gt;"-",W17&gt;5),1,0)+IF(AND(Y17&lt;&gt;"-",Y17&gt;5),1,0)+IF(AND(AA17&lt;&gt;"-",AA17&gt;5),1,0)+IF(AND(AC17&lt;&gt;"-",AC17&gt;5),1,0)+IF(AND(AE17&lt;&gt;"-",AE17&gt;5),1,0)+IF(AND(AG17&lt;&gt;"-",AG17&gt;5),1,0)+IF(AND(AI17&lt;&gt;"-",AI17&gt;5),1,0)+IF(AND(AK17&lt;&gt;"-",AK17&gt;5),1,0)+IF(AND(AM17&lt;&gt;"-",AM17&gt;5),1,0)+IF(AND(AO17&lt;&gt;"-",AO17&gt;5),1,0)</f>
        <v>2</v>
      </c>
      <c r="AY17" s="48">
        <f>VLOOKUP(AP17,COND!$A$10:$B$32,2,FALSE)</f>
        <v>1</v>
      </c>
      <c r="AZ17" s="46">
        <f>($AU$3*AU17+$AV$3*AV17+$AW$3*AW17+$AX$3*AX17)*AY17*IF(AQ17&lt;5,0.95,IF(AQ17&lt;7,0.975,1))+$I$3*VLOOKUP(I17,COND!$A$2:$E$7,4,FALSE)+$J$3*VLOOKUP(J17,COND!$A$2:$E$7,2,FALSE)+$K$3*VLOOKUP(K17,COND!$A$2:$E$7,3,FALSE)+IF(BB17="SP",$BB$3,0)+IF($AW17&lt;3,-5,0)+IF(AND($B$2&gt;0,$E17&lt;20),$B$2*25,0)</f>
        <v>63.002083403836934</v>
      </c>
      <c r="BA17" s="49">
        <f>STANDARDIZE(AZ17,AVERAGE($AZ$5:$AZ$570),STDEVP($AZ$5:$AZ$570))</f>
        <v>2.7767900635387468</v>
      </c>
      <c r="BB17" s="47" t="str">
        <f>IF(OR(AND(AQ17&gt;7,AX17&gt;1),AND(AQ17&gt;4,AW17&gt;2)),"SP","RP")</f>
        <v>SP</v>
      </c>
      <c r="BC17" s="47"/>
      <c r="BD17" s="47"/>
      <c r="BE17" s="47"/>
      <c r="BF17" s="47" t="str">
        <f>IF(AVERAGE($O17:$Q17)&gt;=6,"Likely",IF(AVERAGE($O17:$Q17)&gt;=4,"Possible","Unlikely"))</f>
        <v>Possible</v>
      </c>
      <c r="BG17" s="47"/>
      <c r="BH17" s="47" t="str">
        <f>INDEX(Table5[[#All],[Ovr]],MATCH(Table3[[#This Row],[PID]],Table5[[#All],[PID]],0))</f>
        <v/>
      </c>
      <c r="BI17" s="47" t="str">
        <f>INDEX(Table5[[#All],[Rnd]],MATCH(Table3[[#This Row],[PID]],Table5[[#All],[PID]],0))</f>
        <v/>
      </c>
      <c r="BJ17" s="47" t="str">
        <f>INDEX(Table5[[#All],[Pick]],MATCH(Table3[[#This Row],[PID]],Table5[[#All],[PID]],0))</f>
        <v/>
      </c>
      <c r="BK17" s="47" t="str">
        <f>INDEX(Table5[[#All],[Team]],MATCH(Table3[[#This Row],[PID]],Table5[[#All],[PID]],0))</f>
        <v/>
      </c>
      <c r="BL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" spans="1:64" ht="15" customHeight="1" x14ac:dyDescent="0.25">
      <c r="A18" s="42">
        <v>16292</v>
      </c>
      <c r="B18" s="42" t="s">
        <v>24</v>
      </c>
      <c r="C18" s="42" t="s">
        <v>1082</v>
      </c>
      <c r="D18" s="42" t="s">
        <v>366</v>
      </c>
      <c r="E18" s="42">
        <v>17</v>
      </c>
      <c r="F18" s="42" t="s">
        <v>53</v>
      </c>
      <c r="G18" s="42" t="s">
        <v>42</v>
      </c>
      <c r="H18" s="43" t="s">
        <v>709</v>
      </c>
      <c r="I18" s="44" t="s">
        <v>43</v>
      </c>
      <c r="J18" s="42" t="s">
        <v>47</v>
      </c>
      <c r="K18" s="43" t="s">
        <v>43</v>
      </c>
      <c r="L18" s="42">
        <v>1</v>
      </c>
      <c r="M18" s="42">
        <v>2</v>
      </c>
      <c r="N18" s="43">
        <v>2</v>
      </c>
      <c r="O18" s="42">
        <v>4</v>
      </c>
      <c r="P18" s="42">
        <v>5</v>
      </c>
      <c r="Q18" s="43">
        <v>6</v>
      </c>
      <c r="R18" s="42" t="s">
        <v>45</v>
      </c>
      <c r="S18" s="42" t="s">
        <v>45</v>
      </c>
      <c r="T18" s="42">
        <v>1</v>
      </c>
      <c r="U18" s="42">
        <v>2</v>
      </c>
      <c r="V18" s="42">
        <v>2</v>
      </c>
      <c r="W18" s="42">
        <v>6</v>
      </c>
      <c r="X18" s="42" t="s">
        <v>45</v>
      </c>
      <c r="Y18" s="42" t="s">
        <v>45</v>
      </c>
      <c r="Z18" s="42" t="s">
        <v>45</v>
      </c>
      <c r="AA18" s="42" t="s">
        <v>45</v>
      </c>
      <c r="AB18" s="42" t="s">
        <v>45</v>
      </c>
      <c r="AC18" s="42" t="s">
        <v>45</v>
      </c>
      <c r="AD18" s="42">
        <v>3</v>
      </c>
      <c r="AE18" s="42">
        <v>6</v>
      </c>
      <c r="AF18" s="42" t="s">
        <v>45</v>
      </c>
      <c r="AG18" s="42" t="s">
        <v>45</v>
      </c>
      <c r="AH18" s="42" t="s">
        <v>45</v>
      </c>
      <c r="AI18" s="42" t="s">
        <v>45</v>
      </c>
      <c r="AJ18" s="42" t="s">
        <v>45</v>
      </c>
      <c r="AK18" s="42" t="s">
        <v>45</v>
      </c>
      <c r="AL18" s="42" t="s">
        <v>45</v>
      </c>
      <c r="AM18" s="42" t="s">
        <v>45</v>
      </c>
      <c r="AN18" s="42" t="s">
        <v>45</v>
      </c>
      <c r="AO18" s="43" t="s">
        <v>45</v>
      </c>
      <c r="AP18" s="42" t="s">
        <v>64</v>
      </c>
      <c r="AQ18" s="42">
        <v>8</v>
      </c>
      <c r="AR18" s="50" t="s">
        <v>353</v>
      </c>
      <c r="AS18" s="45" t="s">
        <v>599</v>
      </c>
      <c r="AT18" s="45" t="s">
        <v>47</v>
      </c>
      <c r="AU18" s="46">
        <f>($O$3*(L18-$O$1)/$O$2+$P$3*(M18-$P$1)/$P$2+$Q$3*(N18-$P$1)/$Q$2)/SUM($O$3:$Q$3)</f>
        <v>-2.2637319554834323</v>
      </c>
      <c r="AV18" s="46">
        <f>($O$3*(O18-$O$1)/$O$2+$P$3*(P18-$P$1)/$P$2+$Q$3*(Q18-$Q$1)/$Q$2)/SUM($O$3:$Q$3)</f>
        <v>0.32141418228776775</v>
      </c>
      <c r="AW18" s="47">
        <f>COUNT(R18:AO18)/2</f>
        <v>3</v>
      </c>
      <c r="AX18" s="47">
        <f>IF(AND(S18&lt;&gt;"-",S18&gt;5),1,0)+IF(AND(U18&lt;&gt;"-",U18&gt;5),1,0)+IF(AND(W18&lt;&gt;"-",W18&gt;5),1,0)+IF(AND(Y18&lt;&gt;"-",Y18&gt;5),1,0)+IF(AND(AA18&lt;&gt;"-",AA18&gt;5),1,0)+IF(AND(AC18&lt;&gt;"-",AC18&gt;5),1,0)+IF(AND(AE18&lt;&gt;"-",AE18&gt;5),1,0)+IF(AND(AG18&lt;&gt;"-",AG18&gt;5),1,0)+IF(AND(AI18&lt;&gt;"-",AI18&gt;5),1,0)+IF(AND(AK18&lt;&gt;"-",AK18&gt;5),1,0)+IF(AND(AM18&lt;&gt;"-",AM18&gt;5),1,0)+IF(AND(AO18&lt;&gt;"-",AO18&gt;5),1,0)</f>
        <v>2</v>
      </c>
      <c r="AY18" s="48">
        <f>VLOOKUP(AP18,COND!$A$10:$B$32,2,FALSE)</f>
        <v>1</v>
      </c>
      <c r="AZ18" s="46">
        <f>($AU$3*AU18+$AV$3*AV18+$AW$3*AW18+$AX$3*AX18)*AY18*IF(AQ18&lt;5,0.95,IF(AQ18&lt;7,0.975,1))+$I$3*VLOOKUP(I18,COND!$A$2:$E$7,4,FALSE)+$J$3*VLOOKUP(J18,COND!$A$2:$E$7,2,FALSE)+$K$3*VLOOKUP(K18,COND!$A$2:$E$7,3,FALSE)+IF(BB18="SP",$BB$3,0)+IF($AW18&lt;3,-5,0)+IF(AND($B$2&gt;0,$E18&lt;20),$B$2*25,0)</f>
        <v>62.275537254658673</v>
      </c>
      <c r="BA18" s="49">
        <f>STANDARDIZE(AZ18,AVERAGE($AZ$5:$AZ$570),STDEVP($AZ$5:$AZ$570))</f>
        <v>2.7101626763355937</v>
      </c>
      <c r="BB18" s="47" t="str">
        <f>IF(OR(AND(AQ18&gt;7,AX18&gt;1),AND(AQ18&gt;4,AW18&gt;2)),"SP","RP")</f>
        <v>SP</v>
      </c>
      <c r="BC18" s="47"/>
      <c r="BD18" s="47"/>
      <c r="BE18" s="47"/>
      <c r="BF18" s="47" t="str">
        <f>IF(AVERAGE($O18:$Q18)&gt;=6,"Likely",IF(AVERAGE($O18:$Q18)&gt;=4,"Possible","Unlikely"))</f>
        <v>Possible</v>
      </c>
      <c r="BG18" s="47"/>
      <c r="BH18" s="47" t="str">
        <f>INDEX(Table5[[#All],[Ovr]],MATCH(Table3[[#This Row],[PID]],Table5[[#All],[PID]],0))</f>
        <v/>
      </c>
      <c r="BI18" s="47" t="str">
        <f>INDEX(Table5[[#All],[Rnd]],MATCH(Table3[[#This Row],[PID]],Table5[[#All],[PID]],0))</f>
        <v/>
      </c>
      <c r="BJ18" s="47" t="str">
        <f>INDEX(Table5[[#All],[Pick]],MATCH(Table3[[#This Row],[PID]],Table5[[#All],[PID]],0))</f>
        <v/>
      </c>
      <c r="BK18" s="47" t="str">
        <f>INDEX(Table5[[#All],[Team]],MATCH(Table3[[#This Row],[PID]],Table5[[#All],[PID]],0))</f>
        <v/>
      </c>
      <c r="BL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" spans="1:64" ht="15" customHeight="1" x14ac:dyDescent="0.25">
      <c r="A19" s="42">
        <v>9657</v>
      </c>
      <c r="B19" s="42" t="s">
        <v>49</v>
      </c>
      <c r="C19" s="42" t="s">
        <v>159</v>
      </c>
      <c r="D19" s="42" t="s">
        <v>1396</v>
      </c>
      <c r="E19" s="42">
        <v>21</v>
      </c>
      <c r="F19" s="42" t="s">
        <v>53</v>
      </c>
      <c r="G19" s="42" t="s">
        <v>42</v>
      </c>
      <c r="H19" s="43" t="s">
        <v>701</v>
      </c>
      <c r="I19" s="44" t="s">
        <v>43</v>
      </c>
      <c r="J19" s="42" t="s">
        <v>43</v>
      </c>
      <c r="K19" s="43" t="s">
        <v>44</v>
      </c>
      <c r="L19" s="42">
        <v>6</v>
      </c>
      <c r="M19" s="42">
        <v>3</v>
      </c>
      <c r="N19" s="43">
        <v>3</v>
      </c>
      <c r="O19" s="42">
        <v>8</v>
      </c>
      <c r="P19" s="42">
        <v>5</v>
      </c>
      <c r="Q19" s="43">
        <v>4</v>
      </c>
      <c r="R19" s="42">
        <v>8</v>
      </c>
      <c r="S19" s="42">
        <v>9</v>
      </c>
      <c r="T19" s="42">
        <v>1</v>
      </c>
      <c r="U19" s="42">
        <v>1</v>
      </c>
      <c r="V19" s="42" t="s">
        <v>45</v>
      </c>
      <c r="W19" s="42" t="s">
        <v>45</v>
      </c>
      <c r="X19" s="42">
        <v>5</v>
      </c>
      <c r="Y19" s="42">
        <v>8</v>
      </c>
      <c r="Z19" s="42" t="s">
        <v>45</v>
      </c>
      <c r="AA19" s="42" t="s">
        <v>45</v>
      </c>
      <c r="AB19" s="42" t="s">
        <v>45</v>
      </c>
      <c r="AC19" s="42" t="s">
        <v>45</v>
      </c>
      <c r="AD19" s="42" t="s">
        <v>45</v>
      </c>
      <c r="AE19" s="42" t="s">
        <v>45</v>
      </c>
      <c r="AF19" s="42" t="s">
        <v>45</v>
      </c>
      <c r="AG19" s="42" t="s">
        <v>45</v>
      </c>
      <c r="AH19" s="42" t="s">
        <v>45</v>
      </c>
      <c r="AI19" s="42" t="s">
        <v>45</v>
      </c>
      <c r="AJ19" s="42" t="s">
        <v>45</v>
      </c>
      <c r="AK19" s="42" t="s">
        <v>45</v>
      </c>
      <c r="AL19" s="42" t="s">
        <v>45</v>
      </c>
      <c r="AM19" s="42" t="s">
        <v>45</v>
      </c>
      <c r="AN19" s="42" t="s">
        <v>45</v>
      </c>
      <c r="AO19" s="43" t="s">
        <v>45</v>
      </c>
      <c r="AP19" s="42" t="s">
        <v>59</v>
      </c>
      <c r="AQ19" s="42">
        <v>6</v>
      </c>
      <c r="AR19" s="50" t="s">
        <v>352</v>
      </c>
      <c r="AS19" s="45" t="s">
        <v>608</v>
      </c>
      <c r="AT19" s="45" t="s">
        <v>47</v>
      </c>
      <c r="AU19" s="46">
        <f>($O$3*(L19-$O$1)/$O$2+$P$3*(M19-$P$1)/$P$2+$Q$3*(N19-$P$1)/$Q$2)/SUM($O$3:$Q$3)</f>
        <v>-0.85252305045339882</v>
      </c>
      <c r="AV19" s="46">
        <f>($O$3*(O19-$O$1)/$O$2+$P$3*(P19-$P$1)/$P$2+$Q$3*(Q19-$Q$1)/$Q$2)/SUM($O$3:$Q$3)</f>
        <v>0.61553834821624098</v>
      </c>
      <c r="AW19" s="47">
        <f>COUNT(R19:AO19)/2</f>
        <v>3</v>
      </c>
      <c r="AX19" s="47">
        <f>IF(AND(S19&lt;&gt;"-",S19&gt;5),1,0)+IF(AND(U19&lt;&gt;"-",U19&gt;5),1,0)+IF(AND(W19&lt;&gt;"-",W19&gt;5),1,0)+IF(AND(Y19&lt;&gt;"-",Y19&gt;5),1,0)+IF(AND(AA19&lt;&gt;"-",AA19&gt;5),1,0)+IF(AND(AC19&lt;&gt;"-",AC19&gt;5),1,0)+IF(AND(AE19&lt;&gt;"-",AE19&gt;5),1,0)+IF(AND(AG19&lt;&gt;"-",AG19&gt;5),1,0)+IF(AND(AI19&lt;&gt;"-",AI19&gt;5),1,0)+IF(AND(AK19&lt;&gt;"-",AK19&gt;5),1,0)+IF(AND(AM19&lt;&gt;"-",AM19&gt;5),1,0)+IF(AND(AO19&lt;&gt;"-",AO19&gt;5),1,0)</f>
        <v>2</v>
      </c>
      <c r="AY19" s="48">
        <f>VLOOKUP(AP19,COND!$A$10:$B$32,2,FALSE)</f>
        <v>1.075</v>
      </c>
      <c r="AZ19" s="46">
        <f>($AU$3*AU19+$AV$3*AV19+$AW$3*AW19+$AX$3*AX19)*AY19*IF(AQ19&lt;5,0.95,IF(AQ19&lt;7,0.975,1))+$I$3*VLOOKUP(I19,COND!$A$2:$E$7,4,FALSE)+$J$3*VLOOKUP(J19,COND!$A$2:$E$7,2,FALSE)+$K$3*VLOOKUP(K19,COND!$A$2:$E$7,3,FALSE)+IF(BB19="SP",$BB$3,0)+IF($AW19&lt;3,-5,0)+IF(AND($B$2&gt;0,$E19&lt;20),$B$2*25,0)</f>
        <v>63.617012480031661</v>
      </c>
      <c r="BA19" s="49">
        <f>STANDARDIZE(AZ19,AVERAGE($AZ$5:$AZ$570),STDEVP($AZ$5:$AZ$570))</f>
        <v>2.833181688087913</v>
      </c>
      <c r="BB19" s="47" t="str">
        <f>IF(OR(AND(AQ19&gt;7,AX19&gt;1),AND(AQ19&gt;4,AW19&gt;2)),"SP","RP")</f>
        <v>SP</v>
      </c>
      <c r="BC19" s="47"/>
      <c r="BD19" s="47"/>
      <c r="BE19" s="47"/>
      <c r="BF19" s="47" t="str">
        <f>IF(AVERAGE($O19:$Q19)&gt;=6,"Likely",IF(AVERAGE($O19:$Q19)&gt;=4,"Possible","Unlikely"))</f>
        <v>Possible</v>
      </c>
      <c r="BG19" s="47"/>
      <c r="BH19" s="47" t="str">
        <f>INDEX(Table5[[#All],[Ovr]],MATCH(Table3[[#This Row],[PID]],Table5[[#All],[PID]],0))</f>
        <v/>
      </c>
      <c r="BI19" s="47" t="str">
        <f>INDEX(Table5[[#All],[Rnd]],MATCH(Table3[[#This Row],[PID]],Table5[[#All],[PID]],0))</f>
        <v/>
      </c>
      <c r="BJ19" s="47" t="str">
        <f>INDEX(Table5[[#All],[Pick]],MATCH(Table3[[#This Row],[PID]],Table5[[#All],[PID]],0))</f>
        <v/>
      </c>
      <c r="BK19" s="47" t="str">
        <f>INDEX(Table5[[#All],[Team]],MATCH(Table3[[#This Row],[PID]],Table5[[#All],[PID]],0))</f>
        <v/>
      </c>
      <c r="BL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" spans="1:64" ht="15" customHeight="1" x14ac:dyDescent="0.25">
      <c r="A20" s="42">
        <v>5184</v>
      </c>
      <c r="B20" s="42" t="s">
        <v>24</v>
      </c>
      <c r="C20" s="42" t="s">
        <v>853</v>
      </c>
      <c r="D20" s="42" t="s">
        <v>1557</v>
      </c>
      <c r="E20" s="42">
        <v>18</v>
      </c>
      <c r="F20" s="42" t="s">
        <v>42</v>
      </c>
      <c r="G20" s="42" t="s">
        <v>42</v>
      </c>
      <c r="H20" s="43" t="s">
        <v>703</v>
      </c>
      <c r="I20" s="44" t="s">
        <v>44</v>
      </c>
      <c r="J20" s="42" t="s">
        <v>43</v>
      </c>
      <c r="K20" s="43" t="s">
        <v>43</v>
      </c>
      <c r="L20" s="42">
        <v>1</v>
      </c>
      <c r="M20" s="42">
        <v>2</v>
      </c>
      <c r="N20" s="43">
        <v>2</v>
      </c>
      <c r="O20" s="42">
        <v>5</v>
      </c>
      <c r="P20" s="42">
        <v>4</v>
      </c>
      <c r="Q20" s="43">
        <v>6</v>
      </c>
      <c r="R20" s="42" t="s">
        <v>45</v>
      </c>
      <c r="S20" s="42" t="s">
        <v>45</v>
      </c>
      <c r="T20" s="42">
        <v>1</v>
      </c>
      <c r="U20" s="42">
        <v>8</v>
      </c>
      <c r="V20" s="42" t="s">
        <v>45</v>
      </c>
      <c r="W20" s="42" t="s">
        <v>45</v>
      </c>
      <c r="X20" s="42">
        <v>2</v>
      </c>
      <c r="Y20" s="42">
        <v>2</v>
      </c>
      <c r="Z20" s="42" t="s">
        <v>45</v>
      </c>
      <c r="AA20" s="42" t="s">
        <v>45</v>
      </c>
      <c r="AB20" s="42" t="s">
        <v>45</v>
      </c>
      <c r="AC20" s="42" t="s">
        <v>45</v>
      </c>
      <c r="AD20" s="42">
        <v>3</v>
      </c>
      <c r="AE20" s="42">
        <v>4</v>
      </c>
      <c r="AF20" s="42">
        <v>3</v>
      </c>
      <c r="AG20" s="42">
        <v>6</v>
      </c>
      <c r="AH20" s="42" t="s">
        <v>45</v>
      </c>
      <c r="AI20" s="42" t="s">
        <v>45</v>
      </c>
      <c r="AJ20" s="42" t="s">
        <v>45</v>
      </c>
      <c r="AK20" s="42" t="s">
        <v>45</v>
      </c>
      <c r="AL20" s="42" t="s">
        <v>45</v>
      </c>
      <c r="AM20" s="42" t="s">
        <v>45</v>
      </c>
      <c r="AN20" s="42" t="s">
        <v>45</v>
      </c>
      <c r="AO20" s="43" t="s">
        <v>45</v>
      </c>
      <c r="AP20" s="42" t="s">
        <v>56</v>
      </c>
      <c r="AQ20" s="42">
        <v>7</v>
      </c>
      <c r="AR20" s="50" t="s">
        <v>352</v>
      </c>
      <c r="AS20" s="45" t="s">
        <v>547</v>
      </c>
      <c r="AT20" s="45" t="s">
        <v>47</v>
      </c>
      <c r="AU20" s="46">
        <f>($O$3*(L20-$O$1)/$O$2+$P$3*(M20-$P$1)/$P$2+$Q$3*(N20-$P$1)/$Q$2)/SUM($O$3:$Q$3)</f>
        <v>-2.2637319554834323</v>
      </c>
      <c r="AV20" s="46">
        <f>($O$3*(O20-$O$1)/$O$2+$P$3*(P20-$P$1)/$P$2+$Q$3*(Q20-$Q$1)/$Q$2)/SUM($O$3:$Q$3)</f>
        <v>0.32067379036688581</v>
      </c>
      <c r="AW20" s="47">
        <f>COUNT(R20:AO20)/2</f>
        <v>4</v>
      </c>
      <c r="AX20" s="47">
        <f>IF(AND(S20&lt;&gt;"-",S20&gt;5),1,0)+IF(AND(U20&lt;&gt;"-",U20&gt;5),1,0)+IF(AND(W20&lt;&gt;"-",W20&gt;5),1,0)+IF(AND(Y20&lt;&gt;"-",Y20&gt;5),1,0)+IF(AND(AA20&lt;&gt;"-",AA20&gt;5),1,0)+IF(AND(AC20&lt;&gt;"-",AC20&gt;5),1,0)+IF(AND(AE20&lt;&gt;"-",AE20&gt;5),1,0)+IF(AND(AG20&lt;&gt;"-",AG20&gt;5),1,0)+IF(AND(AI20&lt;&gt;"-",AI20&gt;5),1,0)+IF(AND(AK20&lt;&gt;"-",AK20&gt;5),1,0)+IF(AND(AM20&lt;&gt;"-",AM20&gt;5),1,0)+IF(AND(AO20&lt;&gt;"-",AO20&gt;5),1,0)</f>
        <v>2</v>
      </c>
      <c r="AY20" s="48">
        <f>VLOOKUP(AP20,COND!$A$10:$B$32,2,FALSE)</f>
        <v>1</v>
      </c>
      <c r="AZ20" s="46">
        <f>($AU$3*AU20+$AV$3*AV20+$AW$3*AW20+$AX$3*AX20)*AY20*IF(AQ20&lt;5,0.95,IF(AQ20&lt;7,0.975,1))+$I$3*VLOOKUP(I20,COND!$A$2:$E$7,4,FALSE)+$J$3*VLOOKUP(J20,COND!$A$2:$E$7,2,FALSE)+$K$3*VLOOKUP(K20,COND!$A$2:$E$7,3,FALSE)+IF(BB20="SP",$BB$3,0)+IF($AW20&lt;3,-5,0)+IF(AND($B$2&gt;0,$E20&lt;20),$B$2*25,0)</f>
        <v>62.310729416241031</v>
      </c>
      <c r="BA20" s="49">
        <f>STANDARDIZE(AZ20,AVERAGE($AZ$5:$AZ$570),STDEVP($AZ$5:$AZ$570))</f>
        <v>2.7133899479671557</v>
      </c>
      <c r="BB20" s="47" t="str">
        <f>IF(OR(AND(AQ20&gt;7,AX20&gt;1),AND(AQ20&gt;4,AW20&gt;2)),"SP","RP")</f>
        <v>SP</v>
      </c>
      <c r="BC20" s="47"/>
      <c r="BD20" s="47"/>
      <c r="BE20" s="47"/>
      <c r="BF20" s="47" t="str">
        <f>IF(AVERAGE($O20:$Q20)&gt;=6,"Likely",IF(AVERAGE($O20:$Q20)&gt;=4,"Possible","Unlikely"))</f>
        <v>Possible</v>
      </c>
      <c r="BG20" s="47"/>
      <c r="BH20" s="47" t="str">
        <f>INDEX(Table5[[#All],[Ovr]],MATCH(Table3[[#This Row],[PID]],Table5[[#All],[PID]],0))</f>
        <v/>
      </c>
      <c r="BI20" s="47" t="str">
        <f>INDEX(Table5[[#All],[Rnd]],MATCH(Table3[[#This Row],[PID]],Table5[[#All],[PID]],0))</f>
        <v/>
      </c>
      <c r="BJ20" s="47" t="str">
        <f>INDEX(Table5[[#All],[Pick]],MATCH(Table3[[#This Row],[PID]],Table5[[#All],[PID]],0))</f>
        <v/>
      </c>
      <c r="BK20" s="47" t="str">
        <f>INDEX(Table5[[#All],[Team]],MATCH(Table3[[#This Row],[PID]],Table5[[#All],[PID]],0))</f>
        <v/>
      </c>
      <c r="BL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" spans="1:64" ht="15" customHeight="1" x14ac:dyDescent="0.25">
      <c r="A21" s="42">
        <v>8994</v>
      </c>
      <c r="B21" s="42" t="s">
        <v>49</v>
      </c>
      <c r="C21" s="42" t="s">
        <v>724</v>
      </c>
      <c r="D21" s="42" t="s">
        <v>1477</v>
      </c>
      <c r="E21" s="42">
        <v>18</v>
      </c>
      <c r="F21" s="42" t="s">
        <v>53</v>
      </c>
      <c r="G21" s="42" t="s">
        <v>53</v>
      </c>
      <c r="H21" s="43" t="s">
        <v>703</v>
      </c>
      <c r="I21" s="44" t="s">
        <v>43</v>
      </c>
      <c r="J21" s="42" t="s">
        <v>43</v>
      </c>
      <c r="K21" s="43" t="s">
        <v>43</v>
      </c>
      <c r="L21" s="42">
        <v>2</v>
      </c>
      <c r="M21" s="42">
        <v>2</v>
      </c>
      <c r="N21" s="43">
        <v>2</v>
      </c>
      <c r="O21" s="42">
        <v>6</v>
      </c>
      <c r="P21" s="42">
        <v>5</v>
      </c>
      <c r="Q21" s="43">
        <v>5</v>
      </c>
      <c r="R21" s="42" t="s">
        <v>45</v>
      </c>
      <c r="S21" s="42" t="s">
        <v>45</v>
      </c>
      <c r="T21" s="42">
        <v>1</v>
      </c>
      <c r="U21" s="42">
        <v>2</v>
      </c>
      <c r="V21" s="42" t="s">
        <v>45</v>
      </c>
      <c r="W21" s="42" t="s">
        <v>45</v>
      </c>
      <c r="X21" s="42">
        <v>3</v>
      </c>
      <c r="Y21" s="42">
        <v>8</v>
      </c>
      <c r="Z21" s="42" t="s">
        <v>45</v>
      </c>
      <c r="AA21" s="42" t="s">
        <v>45</v>
      </c>
      <c r="AB21" s="42" t="s">
        <v>45</v>
      </c>
      <c r="AC21" s="42" t="s">
        <v>45</v>
      </c>
      <c r="AD21" s="42">
        <v>3</v>
      </c>
      <c r="AE21" s="42">
        <v>6</v>
      </c>
      <c r="AF21" s="42" t="s">
        <v>45</v>
      </c>
      <c r="AG21" s="42" t="s">
        <v>45</v>
      </c>
      <c r="AH21" s="42" t="s">
        <v>45</v>
      </c>
      <c r="AI21" s="42" t="s">
        <v>45</v>
      </c>
      <c r="AJ21" s="42" t="s">
        <v>45</v>
      </c>
      <c r="AK21" s="42" t="s">
        <v>45</v>
      </c>
      <c r="AL21" s="42" t="s">
        <v>45</v>
      </c>
      <c r="AM21" s="42" t="s">
        <v>45</v>
      </c>
      <c r="AN21" s="42" t="s">
        <v>45</v>
      </c>
      <c r="AO21" s="43" t="s">
        <v>45</v>
      </c>
      <c r="AP21" s="42" t="s">
        <v>56</v>
      </c>
      <c r="AQ21" s="42">
        <v>4</v>
      </c>
      <c r="AR21" s="50" t="s">
        <v>353</v>
      </c>
      <c r="AS21" s="45" t="s">
        <v>599</v>
      </c>
      <c r="AT21" s="45" t="s">
        <v>47</v>
      </c>
      <c r="AU21" s="46">
        <f>($O$3*(L21-$O$1)/$O$2+$P$3*(M21-$P$1)/$P$2+$Q$3*(N21-$P$1)/$Q$2)/SUM($O$3:$Q$3)</f>
        <v>-2.0690406309742588</v>
      </c>
      <c r="AV21" s="46">
        <f>($O$3*(O21-$O$1)/$O$2+$P$3*(P21-$P$1)/$P$2+$Q$3*(Q21-$Q$1)/$Q$2)/SUM($O$3:$Q$3)</f>
        <v>0.46847626525200436</v>
      </c>
      <c r="AW21" s="47">
        <f>COUNT(R21:AO21)/2</f>
        <v>3</v>
      </c>
      <c r="AX21" s="47">
        <f>IF(AND(S21&lt;&gt;"-",S21&gt;5),1,0)+IF(AND(U21&lt;&gt;"-",U21&gt;5),1,0)+IF(AND(W21&lt;&gt;"-",W21&gt;5),1,0)+IF(AND(Y21&lt;&gt;"-",Y21&gt;5),1,0)+IF(AND(AA21&lt;&gt;"-",AA21&gt;5),1,0)+IF(AND(AC21&lt;&gt;"-",AC21&gt;5),1,0)+IF(AND(AE21&lt;&gt;"-",AE21&gt;5),1,0)+IF(AND(AG21&lt;&gt;"-",AG21&gt;5),1,0)+IF(AND(AI21&lt;&gt;"-",AI21&gt;5),1,0)+IF(AND(AK21&lt;&gt;"-",AK21&gt;5),1,0)+IF(AND(AM21&lt;&gt;"-",AM21&gt;5),1,0)+IF(AND(AO21&lt;&gt;"-",AO21&gt;5),1,0)</f>
        <v>2</v>
      </c>
      <c r="AY21" s="48">
        <f>VLOOKUP(AP21,COND!$A$10:$B$32,2,FALSE)</f>
        <v>1</v>
      </c>
      <c r="AZ21" s="46">
        <f>($AU$3*AU21+$AV$3*AV21+$AW$3*AW21+$AX$3*AX21)*AY21*IF(AQ21&lt;5,0.95,IF(AQ21&lt;7,0.975,1))+$I$3*VLOOKUP(I21,COND!$A$2:$E$7,4,FALSE)+$J$3*VLOOKUP(J21,COND!$A$2:$E$7,2,FALSE)+$K$3*VLOOKUP(K21,COND!$A$2:$E$7,3,FALSE)+IF(BB21="SP",$BB$3,0)+IF($AW21&lt;3,-5,0)+IF(AND($B$2&gt;0,$E21&lt;20),$B$2*25,0)</f>
        <v>62.307931319902977</v>
      </c>
      <c r="BA21" s="49">
        <f>STANDARDIZE(AZ21,AVERAGE($AZ$5:$AZ$570),STDEVP($AZ$5:$AZ$570))</f>
        <v>2.7131333505736412</v>
      </c>
      <c r="BB21" s="47" t="str">
        <f>IF(OR(AND(AQ21&gt;7,AX21&gt;1),AND(AQ21&gt;4,AW21&gt;2)),"SP","RP")</f>
        <v>RP</v>
      </c>
      <c r="BC21" s="47"/>
      <c r="BD21" s="47"/>
      <c r="BE21" s="47"/>
      <c r="BF21" s="47" t="str">
        <f>IF(AVERAGE($O21:$Q21)&gt;=6,"Likely",IF(AVERAGE($O21:$Q21)&gt;=4,"Possible","Unlikely"))</f>
        <v>Possible</v>
      </c>
      <c r="BG21" s="47"/>
      <c r="BH21" s="47" t="str">
        <f>INDEX(Table5[[#All],[Ovr]],MATCH(Table3[[#This Row],[PID]],Table5[[#All],[PID]],0))</f>
        <v/>
      </c>
      <c r="BI21" s="47" t="str">
        <f>INDEX(Table5[[#All],[Rnd]],MATCH(Table3[[#This Row],[PID]],Table5[[#All],[PID]],0))</f>
        <v/>
      </c>
      <c r="BJ21" s="47" t="str">
        <f>INDEX(Table5[[#All],[Pick]],MATCH(Table3[[#This Row],[PID]],Table5[[#All],[PID]],0))</f>
        <v/>
      </c>
      <c r="BK21" s="47" t="str">
        <f>INDEX(Table5[[#All],[Team]],MATCH(Table3[[#This Row],[PID]],Table5[[#All],[PID]],0))</f>
        <v/>
      </c>
      <c r="BL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" spans="1:64" ht="15" customHeight="1" x14ac:dyDescent="0.25">
      <c r="A22" s="42">
        <v>9624</v>
      </c>
      <c r="B22" s="42" t="s">
        <v>24</v>
      </c>
      <c r="C22" s="42" t="s">
        <v>132</v>
      </c>
      <c r="D22" s="42" t="s">
        <v>1290</v>
      </c>
      <c r="E22" s="42">
        <v>21</v>
      </c>
      <c r="F22" s="42" t="s">
        <v>42</v>
      </c>
      <c r="G22" s="42" t="s">
        <v>42</v>
      </c>
      <c r="H22" s="43" t="s">
        <v>702</v>
      </c>
      <c r="I22" s="44" t="s">
        <v>43</v>
      </c>
      <c r="J22" s="42" t="s">
        <v>44</v>
      </c>
      <c r="K22" s="43" t="s">
        <v>44</v>
      </c>
      <c r="L22" s="42">
        <v>3</v>
      </c>
      <c r="M22" s="42">
        <v>2</v>
      </c>
      <c r="N22" s="43">
        <v>3</v>
      </c>
      <c r="O22" s="42">
        <v>6</v>
      </c>
      <c r="P22" s="42">
        <v>4</v>
      </c>
      <c r="Q22" s="43">
        <v>6</v>
      </c>
      <c r="R22" s="42">
        <v>6</v>
      </c>
      <c r="S22" s="42">
        <v>8</v>
      </c>
      <c r="T22" s="42">
        <v>1</v>
      </c>
      <c r="U22" s="42">
        <v>6</v>
      </c>
      <c r="V22" s="42" t="s">
        <v>45</v>
      </c>
      <c r="W22" s="42" t="s">
        <v>45</v>
      </c>
      <c r="X22" s="42">
        <v>4</v>
      </c>
      <c r="Y22" s="42">
        <v>8</v>
      </c>
      <c r="Z22" s="42" t="s">
        <v>45</v>
      </c>
      <c r="AA22" s="42" t="s">
        <v>45</v>
      </c>
      <c r="AB22" s="42" t="s">
        <v>45</v>
      </c>
      <c r="AC22" s="42" t="s">
        <v>45</v>
      </c>
      <c r="AD22" s="42" t="s">
        <v>45</v>
      </c>
      <c r="AE22" s="42" t="s">
        <v>45</v>
      </c>
      <c r="AF22" s="42" t="s">
        <v>45</v>
      </c>
      <c r="AG22" s="42" t="s">
        <v>45</v>
      </c>
      <c r="AH22" s="42" t="s">
        <v>45</v>
      </c>
      <c r="AI22" s="42" t="s">
        <v>45</v>
      </c>
      <c r="AJ22" s="42" t="s">
        <v>45</v>
      </c>
      <c r="AK22" s="42" t="s">
        <v>45</v>
      </c>
      <c r="AL22" s="42" t="s">
        <v>45</v>
      </c>
      <c r="AM22" s="42" t="s">
        <v>45</v>
      </c>
      <c r="AN22" s="42" t="s">
        <v>45</v>
      </c>
      <c r="AO22" s="43" t="s">
        <v>45</v>
      </c>
      <c r="AP22" s="42" t="s">
        <v>46</v>
      </c>
      <c r="AQ22" s="42">
        <v>8</v>
      </c>
      <c r="AR22" s="50" t="s">
        <v>353</v>
      </c>
      <c r="AS22" s="45" t="s">
        <v>423</v>
      </c>
      <c r="AT22" s="45" t="s">
        <v>47</v>
      </c>
      <c r="AU22" s="46">
        <f>($O$3*(L22-$O$1)/$O$2+$P$3*(M22-$P$1)/$P$2+$Q$3*(N22-$P$1)/$Q$2)/SUM($O$3:$Q$3)</f>
        <v>-1.6320287404109748</v>
      </c>
      <c r="AV22" s="46">
        <f>($O$3*(O22-$O$1)/$O$2+$P$3*(P22-$P$1)/$P$2+$Q$3*(Q22-$Q$1)/$Q$2)/SUM($O$3:$Q$3)</f>
        <v>0.5153651148760594</v>
      </c>
      <c r="AW22" s="47">
        <f>COUNT(R22:AO22)/2</f>
        <v>3</v>
      </c>
      <c r="AX22" s="47">
        <f>IF(AND(S22&lt;&gt;"-",S22&gt;5),1,0)+IF(AND(U22&lt;&gt;"-",U22&gt;5),1,0)+IF(AND(W22&lt;&gt;"-",W22&gt;5),1,0)+IF(AND(Y22&lt;&gt;"-",Y22&gt;5),1,0)+IF(AND(AA22&lt;&gt;"-",AA22&gt;5),1,0)+IF(AND(AC22&lt;&gt;"-",AC22&gt;5),1,0)+IF(AND(AE22&lt;&gt;"-",AE22&gt;5),1,0)+IF(AND(AG22&lt;&gt;"-",AG22&gt;5),1,0)+IF(AND(AI22&lt;&gt;"-",AI22&gt;5),1,0)+IF(AND(AK22&lt;&gt;"-",AK22&gt;5),1,0)+IF(AND(AM22&lt;&gt;"-",AM22&gt;5),1,0)+IF(AND(AO22&lt;&gt;"-",AO22&gt;5),1,0)</f>
        <v>3</v>
      </c>
      <c r="AY22" s="48">
        <f>VLOOKUP(AP22,COND!$A$10:$B$32,2,FALSE)</f>
        <v>1.05</v>
      </c>
      <c r="AZ22" s="46">
        <f>($AU$3*AU22+$AV$3*AV22+$AW$3*AW22+$AX$3*AX22)*AY22*IF(AQ22&lt;5,0.95,IF(AQ22&lt;7,0.975,1))+$I$3*VLOOKUP(I22,COND!$A$2:$E$7,4,FALSE)+$J$3*VLOOKUP(J22,COND!$A$2:$E$7,2,FALSE)+$K$3*VLOOKUP(K22,COND!$A$2:$E$7,3,FALSE)+IF(BB22="SP",$BB$3,0)+IF($AW22&lt;3,-5,0)+IF(AND($B$2&gt;0,$E22&lt;20),$B$2*25,0)</f>
        <v>62.392441376910952</v>
      </c>
      <c r="BA22" s="49">
        <f>STANDARDIZE(AZ22,AVERAGE($AZ$5:$AZ$570),STDEVP($AZ$5:$AZ$570))</f>
        <v>2.7208832840048474</v>
      </c>
      <c r="BB22" s="47" t="str">
        <f>IF(OR(AND(AQ22&gt;7,AX22&gt;1),AND(AQ22&gt;4,AW22&gt;2)),"SP","RP")</f>
        <v>SP</v>
      </c>
      <c r="BC22" s="47"/>
      <c r="BD22" s="47"/>
      <c r="BE22" s="47"/>
      <c r="BF22" s="47" t="str">
        <f>IF(AVERAGE($O22:$Q22)&gt;=6,"Likely",IF(AVERAGE($O22:$Q22)&gt;=4,"Possible","Unlikely"))</f>
        <v>Possible</v>
      </c>
      <c r="BG22" s="47"/>
      <c r="BH22" s="47" t="str">
        <f>INDEX(Table5[[#All],[Ovr]],MATCH(Table3[[#This Row],[PID]],Table5[[#All],[PID]],0))</f>
        <v/>
      </c>
      <c r="BI22" s="47" t="str">
        <f>INDEX(Table5[[#All],[Rnd]],MATCH(Table3[[#This Row],[PID]],Table5[[#All],[PID]],0))</f>
        <v/>
      </c>
      <c r="BJ22" s="47" t="str">
        <f>INDEX(Table5[[#All],[Pick]],MATCH(Table3[[#This Row],[PID]],Table5[[#All],[PID]],0))</f>
        <v/>
      </c>
      <c r="BK22" s="47" t="str">
        <f>INDEX(Table5[[#All],[Team]],MATCH(Table3[[#This Row],[PID]],Table5[[#All],[PID]],0))</f>
        <v/>
      </c>
      <c r="BL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" spans="1:64" ht="15" customHeight="1" x14ac:dyDescent="0.25">
      <c r="A23" s="42">
        <v>11760</v>
      </c>
      <c r="B23" s="42" t="s">
        <v>24</v>
      </c>
      <c r="C23" s="42" t="s">
        <v>130</v>
      </c>
      <c r="D23" s="42" t="s">
        <v>1448</v>
      </c>
      <c r="E23" s="42">
        <v>21</v>
      </c>
      <c r="F23" s="42" t="s">
        <v>42</v>
      </c>
      <c r="G23" s="42" t="s">
        <v>42</v>
      </c>
      <c r="H23" s="43" t="s">
        <v>702</v>
      </c>
      <c r="I23" s="44" t="s">
        <v>43</v>
      </c>
      <c r="J23" s="42" t="s">
        <v>43</v>
      </c>
      <c r="K23" s="43" t="s">
        <v>43</v>
      </c>
      <c r="L23" s="42">
        <v>4</v>
      </c>
      <c r="M23" s="42">
        <v>2</v>
      </c>
      <c r="N23" s="43">
        <v>2</v>
      </c>
      <c r="O23" s="42">
        <v>8</v>
      </c>
      <c r="P23" s="42">
        <v>5</v>
      </c>
      <c r="Q23" s="43">
        <v>3</v>
      </c>
      <c r="R23" s="42">
        <v>7</v>
      </c>
      <c r="S23" s="42">
        <v>9</v>
      </c>
      <c r="T23" s="42">
        <v>1</v>
      </c>
      <c r="U23" s="42">
        <v>2</v>
      </c>
      <c r="V23" s="42">
        <v>2</v>
      </c>
      <c r="W23" s="42">
        <v>8</v>
      </c>
      <c r="X23" s="42" t="s">
        <v>45</v>
      </c>
      <c r="Y23" s="42" t="s">
        <v>45</v>
      </c>
      <c r="Z23" s="42" t="s">
        <v>45</v>
      </c>
      <c r="AA23" s="42" t="s">
        <v>45</v>
      </c>
      <c r="AB23" s="42" t="s">
        <v>45</v>
      </c>
      <c r="AC23" s="42" t="s">
        <v>45</v>
      </c>
      <c r="AD23" s="42" t="s">
        <v>45</v>
      </c>
      <c r="AE23" s="42" t="s">
        <v>45</v>
      </c>
      <c r="AF23" s="42">
        <v>6</v>
      </c>
      <c r="AG23" s="42">
        <v>8</v>
      </c>
      <c r="AH23" s="42" t="s">
        <v>45</v>
      </c>
      <c r="AI23" s="42" t="s">
        <v>45</v>
      </c>
      <c r="AJ23" s="42" t="s">
        <v>45</v>
      </c>
      <c r="AK23" s="42" t="s">
        <v>45</v>
      </c>
      <c r="AL23" s="42" t="s">
        <v>45</v>
      </c>
      <c r="AM23" s="42" t="s">
        <v>45</v>
      </c>
      <c r="AN23" s="42" t="s">
        <v>45</v>
      </c>
      <c r="AO23" s="43" t="s">
        <v>45</v>
      </c>
      <c r="AP23" s="42" t="s">
        <v>59</v>
      </c>
      <c r="AQ23" s="42">
        <v>10</v>
      </c>
      <c r="AR23" s="50" t="s">
        <v>353</v>
      </c>
      <c r="AS23" s="45" t="s">
        <v>423</v>
      </c>
      <c r="AT23" s="45" t="s">
        <v>47</v>
      </c>
      <c r="AU23" s="46">
        <f>($O$3*(L23-$O$1)/$O$2+$P$3*(M23-$P$1)/$P$2+$Q$3*(N23-$P$1)/$Q$2)/SUM($O$3:$Q$3)</f>
        <v>-1.6796579819559116</v>
      </c>
      <c r="AV23" s="46">
        <f>($O$3*(O23-$O$1)/$O$2+$P$3*(P23-$P$1)/$P$2+$Q$3*(Q23-$Q$1)/$Q$2)/SUM($O$3:$Q$3)</f>
        <v>0.37321778216213058</v>
      </c>
      <c r="AW23" s="47">
        <f>COUNT(R23:AO23)/2</f>
        <v>4</v>
      </c>
      <c r="AX23" s="47">
        <f>IF(AND(S23&lt;&gt;"-",S23&gt;5),1,0)+IF(AND(U23&lt;&gt;"-",U23&gt;5),1,0)+IF(AND(W23&lt;&gt;"-",W23&gt;5),1,0)+IF(AND(Y23&lt;&gt;"-",Y23&gt;5),1,0)+IF(AND(AA23&lt;&gt;"-",AA23&gt;5),1,0)+IF(AND(AC23&lt;&gt;"-",AC23&gt;5),1,0)+IF(AND(AE23&lt;&gt;"-",AE23&gt;5),1,0)+IF(AND(AG23&lt;&gt;"-",AG23&gt;5),1,0)+IF(AND(AI23&lt;&gt;"-",AI23&gt;5),1,0)+IF(AND(AK23&lt;&gt;"-",AK23&gt;5),1,0)+IF(AND(AM23&lt;&gt;"-",AM23&gt;5),1,0)+IF(AND(AO23&lt;&gt;"-",AO23&gt;5),1,0)</f>
        <v>3</v>
      </c>
      <c r="AY23" s="48">
        <f>VLOOKUP(AP23,COND!$A$10:$B$32,2,FALSE)</f>
        <v>1.075</v>
      </c>
      <c r="AZ23" s="46">
        <f>($AU$3*AU23+$AV$3*AV23+$AW$3*AW23+$AX$3*AX23)*AY23*IF(AQ23&lt;5,0.95,IF(AQ23&lt;7,0.975,1))+$I$3*VLOOKUP(I23,COND!$A$2:$E$7,4,FALSE)+$J$3*VLOOKUP(J23,COND!$A$2:$E$7,2,FALSE)+$K$3*VLOOKUP(K23,COND!$A$2:$E$7,3,FALSE)+IF(BB23="SP",$BB$3,0)+IF($AW23&lt;3,-5,0)+IF(AND($B$2&gt;0,$E23&lt;20),$B$2*25,0)</f>
        <v>60.844305850365288</v>
      </c>
      <c r="BA23" s="49">
        <f>STANDARDIZE(AZ23,AVERAGE($AZ$5:$AZ$570),STDEVP($AZ$5:$AZ$570))</f>
        <v>2.5789126393503023</v>
      </c>
      <c r="BB23" s="47" t="str">
        <f>IF(OR(AND(AQ23&gt;7,AX23&gt;1),AND(AQ23&gt;4,AW23&gt;2)),"SP","RP")</f>
        <v>SP</v>
      </c>
      <c r="BC23" s="47"/>
      <c r="BD23" s="47"/>
      <c r="BE23" s="47"/>
      <c r="BF23" s="47" t="str">
        <f>IF(AVERAGE($O23:$Q23)&gt;=6,"Likely",IF(AVERAGE($O23:$Q23)&gt;=4,"Possible","Unlikely"))</f>
        <v>Possible</v>
      </c>
      <c r="BG23" s="47"/>
      <c r="BH23" s="47" t="str">
        <f>INDEX(Table5[[#All],[Ovr]],MATCH(Table3[[#This Row],[PID]],Table5[[#All],[PID]],0))</f>
        <v/>
      </c>
      <c r="BI23" s="47" t="str">
        <f>INDEX(Table5[[#All],[Rnd]],MATCH(Table3[[#This Row],[PID]],Table5[[#All],[PID]],0))</f>
        <v/>
      </c>
      <c r="BJ23" s="47" t="str">
        <f>INDEX(Table5[[#All],[Pick]],MATCH(Table3[[#This Row],[PID]],Table5[[#All],[PID]],0))</f>
        <v/>
      </c>
      <c r="BK23" s="47" t="str">
        <f>INDEX(Table5[[#All],[Team]],MATCH(Table3[[#This Row],[PID]],Table5[[#All],[PID]],0))</f>
        <v/>
      </c>
      <c r="BL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" spans="1:64" ht="15" customHeight="1" x14ac:dyDescent="0.25">
      <c r="A24" s="42">
        <v>6362</v>
      </c>
      <c r="B24" s="42" t="s">
        <v>24</v>
      </c>
      <c r="C24" s="42" t="s">
        <v>798</v>
      </c>
      <c r="D24" s="42" t="s">
        <v>621</v>
      </c>
      <c r="E24" s="42">
        <v>18</v>
      </c>
      <c r="F24" s="42" t="s">
        <v>53</v>
      </c>
      <c r="G24" s="42" t="s">
        <v>53</v>
      </c>
      <c r="H24" s="43" t="s">
        <v>703</v>
      </c>
      <c r="I24" s="44" t="s">
        <v>43</v>
      </c>
      <c r="J24" s="42" t="s">
        <v>47</v>
      </c>
      <c r="K24" s="43" t="s">
        <v>47</v>
      </c>
      <c r="L24" s="42">
        <v>2</v>
      </c>
      <c r="M24" s="42">
        <v>2</v>
      </c>
      <c r="N24" s="43">
        <v>2</v>
      </c>
      <c r="O24" s="42">
        <v>5</v>
      </c>
      <c r="P24" s="42">
        <v>5</v>
      </c>
      <c r="Q24" s="43">
        <v>4</v>
      </c>
      <c r="R24" s="42">
        <v>4</v>
      </c>
      <c r="S24" s="42">
        <v>7</v>
      </c>
      <c r="T24" s="42">
        <v>1</v>
      </c>
      <c r="U24" s="42">
        <v>5</v>
      </c>
      <c r="V24" s="42">
        <v>2</v>
      </c>
      <c r="W24" s="42">
        <v>5</v>
      </c>
      <c r="X24" s="42">
        <v>2</v>
      </c>
      <c r="Y24" s="42">
        <v>6</v>
      </c>
      <c r="Z24" s="42" t="s">
        <v>45</v>
      </c>
      <c r="AA24" s="42" t="s">
        <v>45</v>
      </c>
      <c r="AB24" s="42">
        <v>3</v>
      </c>
      <c r="AC24" s="42">
        <v>5</v>
      </c>
      <c r="AD24" s="42" t="s">
        <v>45</v>
      </c>
      <c r="AE24" s="42" t="s">
        <v>45</v>
      </c>
      <c r="AF24" s="42" t="s">
        <v>45</v>
      </c>
      <c r="AG24" s="42" t="s">
        <v>45</v>
      </c>
      <c r="AH24" s="42" t="s">
        <v>45</v>
      </c>
      <c r="AI24" s="42" t="s">
        <v>45</v>
      </c>
      <c r="AJ24" s="42" t="s">
        <v>45</v>
      </c>
      <c r="AK24" s="42" t="s">
        <v>45</v>
      </c>
      <c r="AL24" s="42">
        <v>2</v>
      </c>
      <c r="AM24" s="42">
        <v>5</v>
      </c>
      <c r="AN24" s="42" t="s">
        <v>45</v>
      </c>
      <c r="AO24" s="43" t="s">
        <v>45</v>
      </c>
      <c r="AP24" s="42" t="s">
        <v>56</v>
      </c>
      <c r="AQ24" s="42">
        <v>6</v>
      </c>
      <c r="AR24" s="50" t="s">
        <v>352</v>
      </c>
      <c r="AS24" s="45" t="s">
        <v>448</v>
      </c>
      <c r="AT24" s="45" t="s">
        <v>47</v>
      </c>
      <c r="AU24" s="46">
        <f>($O$3*(L24-$O$1)/$O$2+$P$3*(M24-$P$1)/$P$2+$Q$3*(N24-$P$1)/$Q$2)/SUM($O$3:$Q$3)</f>
        <v>-2.0690406309742588</v>
      </c>
      <c r="AV24" s="46">
        <f>($O$3*(O24-$O$1)/$O$2+$P$3*(P24-$P$1)/$P$2+$Q$3*(Q24-$Q$1)/$Q$2)/SUM($O$3:$Q$3)</f>
        <v>3.146437468872048E-2</v>
      </c>
      <c r="AW24" s="47">
        <f>COUNT(R24:AO24)/2</f>
        <v>6</v>
      </c>
      <c r="AX24" s="47">
        <f>IF(AND(S24&lt;&gt;"-",S24&gt;5),1,0)+IF(AND(U24&lt;&gt;"-",U24&gt;5),1,0)+IF(AND(W24&lt;&gt;"-",W24&gt;5),1,0)+IF(AND(Y24&lt;&gt;"-",Y24&gt;5),1,0)+IF(AND(AA24&lt;&gt;"-",AA24&gt;5),1,0)+IF(AND(AC24&lt;&gt;"-",AC24&gt;5),1,0)+IF(AND(AE24&lt;&gt;"-",AE24&gt;5),1,0)+IF(AND(AG24&lt;&gt;"-",AG24&gt;5),1,0)+IF(AND(AI24&lt;&gt;"-",AI24&gt;5),1,0)+IF(AND(AK24&lt;&gt;"-",AK24&gt;5),1,0)+IF(AND(AM24&lt;&gt;"-",AM24&gt;5),1,0)+IF(AND(AO24&lt;&gt;"-",AO24&gt;5),1,0)</f>
        <v>2</v>
      </c>
      <c r="AY24" s="48">
        <f>VLOOKUP(AP24,COND!$A$10:$B$32,2,FALSE)</f>
        <v>1</v>
      </c>
      <c r="AZ24" s="46">
        <f>($AU$3*AU24+$AV$3*AV24+$AW$3*AW24+$AX$3*AX24)*AY24*IF(AQ24&lt;5,0.95,IF(AQ24&lt;7,0.975,1))+$I$3*VLOOKUP(I24,COND!$A$2:$E$7,4,FALSE)+$J$3*VLOOKUP(J24,COND!$A$2:$E$7,2,FALSE)+$K$3*VLOOKUP(K24,COND!$A$2:$E$7,3,FALSE)+IF(BB24="SP",$BB$3,0)+IF($AW24&lt;3,-5,0)+IF(AND($B$2&gt;0,$E24&lt;20),$B$2*25,0)</f>
        <v>58.172592383390068</v>
      </c>
      <c r="BA24" s="49">
        <f>STANDARDIZE(AZ24,AVERAGE($AZ$5:$AZ$570),STDEVP($AZ$5:$AZ$570))</f>
        <v>2.3339050952853198</v>
      </c>
      <c r="BB24" s="47" t="str">
        <f>IF(OR(AND(AQ24&gt;7,AX24&gt;1),AND(AQ24&gt;4,AW24&gt;2)),"SP","RP")</f>
        <v>SP</v>
      </c>
      <c r="BC24" s="47"/>
      <c r="BD24" s="47"/>
      <c r="BE24" s="47"/>
      <c r="BF24" s="47" t="str">
        <f>IF(AVERAGE($O24:$Q24)&gt;=6,"Likely",IF(AVERAGE($O24:$Q24)&gt;=4,"Possible","Unlikely"))</f>
        <v>Possible</v>
      </c>
      <c r="BG24" s="47"/>
      <c r="BH24" s="47" t="str">
        <f>INDEX(Table5[[#All],[Ovr]],MATCH(Table3[[#This Row],[PID]],Table5[[#All],[PID]],0))</f>
        <v/>
      </c>
      <c r="BI24" s="47" t="str">
        <f>INDEX(Table5[[#All],[Rnd]],MATCH(Table3[[#This Row],[PID]],Table5[[#All],[PID]],0))</f>
        <v/>
      </c>
      <c r="BJ24" s="47" t="str">
        <f>INDEX(Table5[[#All],[Pick]],MATCH(Table3[[#This Row],[PID]],Table5[[#All],[PID]],0))</f>
        <v/>
      </c>
      <c r="BK24" s="47" t="str">
        <f>INDEX(Table5[[#All],[Team]],MATCH(Table3[[#This Row],[PID]],Table5[[#All],[PID]],0))</f>
        <v/>
      </c>
      <c r="BL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" spans="1:64" ht="15" customHeight="1" x14ac:dyDescent="0.25">
      <c r="A25" s="42">
        <v>12580</v>
      </c>
      <c r="B25" s="42" t="s">
        <v>49</v>
      </c>
      <c r="C25" s="42" t="s">
        <v>1016</v>
      </c>
      <c r="D25" s="42" t="s">
        <v>1221</v>
      </c>
      <c r="E25" s="42">
        <v>21</v>
      </c>
      <c r="F25" s="42" t="s">
        <v>42</v>
      </c>
      <c r="G25" s="42" t="s">
        <v>42</v>
      </c>
      <c r="H25" s="43" t="s">
        <v>907</v>
      </c>
      <c r="I25" s="44" t="s">
        <v>43</v>
      </c>
      <c r="J25" s="42" t="s">
        <v>43</v>
      </c>
      <c r="K25" s="43" t="s">
        <v>43</v>
      </c>
      <c r="L25" s="42">
        <v>4</v>
      </c>
      <c r="M25" s="42">
        <v>3</v>
      </c>
      <c r="N25" s="43">
        <v>1</v>
      </c>
      <c r="O25" s="42">
        <v>10</v>
      </c>
      <c r="P25" s="42">
        <v>5</v>
      </c>
      <c r="Q25" s="43">
        <v>3</v>
      </c>
      <c r="R25" s="42">
        <v>7</v>
      </c>
      <c r="S25" s="42">
        <v>10</v>
      </c>
      <c r="T25" s="42">
        <v>2</v>
      </c>
      <c r="U25" s="42">
        <v>9</v>
      </c>
      <c r="V25" s="42" t="s">
        <v>45</v>
      </c>
      <c r="W25" s="42" t="s">
        <v>45</v>
      </c>
      <c r="X25" s="42" t="s">
        <v>45</v>
      </c>
      <c r="Y25" s="42" t="s">
        <v>45</v>
      </c>
      <c r="Z25" s="42" t="s">
        <v>45</v>
      </c>
      <c r="AA25" s="42" t="s">
        <v>45</v>
      </c>
      <c r="AB25" s="42" t="s">
        <v>45</v>
      </c>
      <c r="AC25" s="42" t="s">
        <v>45</v>
      </c>
      <c r="AD25" s="42" t="s">
        <v>45</v>
      </c>
      <c r="AE25" s="42" t="s">
        <v>45</v>
      </c>
      <c r="AF25" s="42" t="s">
        <v>45</v>
      </c>
      <c r="AG25" s="42" t="s">
        <v>45</v>
      </c>
      <c r="AH25" s="42" t="s">
        <v>45</v>
      </c>
      <c r="AI25" s="42" t="s">
        <v>45</v>
      </c>
      <c r="AJ25" s="42" t="s">
        <v>45</v>
      </c>
      <c r="AK25" s="42" t="s">
        <v>45</v>
      </c>
      <c r="AL25" s="42" t="s">
        <v>45</v>
      </c>
      <c r="AM25" s="42" t="s">
        <v>45</v>
      </c>
      <c r="AN25" s="42" t="s">
        <v>45</v>
      </c>
      <c r="AO25" s="43" t="s">
        <v>45</v>
      </c>
      <c r="AP25" s="42" t="s">
        <v>59</v>
      </c>
      <c r="AQ25" s="42">
        <v>6</v>
      </c>
      <c r="AR25" s="50" t="s">
        <v>352</v>
      </c>
      <c r="AS25" s="45" t="s">
        <v>438</v>
      </c>
      <c r="AT25" s="45" t="s">
        <v>47</v>
      </c>
      <c r="AU25" s="46">
        <f>($O$3*(L25-$O$1)/$O$2+$P$3*(M25-$P$1)/$P$2+$Q$3*(N25-$P$1)/$Q$2)/SUM($O$3:$Q$3)</f>
        <v>-1.7265468315799666</v>
      </c>
      <c r="AV25" s="46">
        <f>($O$3*(O25-$O$1)/$O$2+$P$3*(P25-$P$1)/$P$2+$Q$3*(Q25-$Q$1)/$Q$2)/SUM($O$3:$Q$3)</f>
        <v>0.7626004311804776</v>
      </c>
      <c r="AW25" s="47">
        <f>COUNT(R25:AO25)/2</f>
        <v>2</v>
      </c>
      <c r="AX25" s="47">
        <f>IF(AND(S25&lt;&gt;"-",S25&gt;5),1,0)+IF(AND(U25&lt;&gt;"-",U25&gt;5),1,0)+IF(AND(W25&lt;&gt;"-",W25&gt;5),1,0)+IF(AND(Y25&lt;&gt;"-",Y25&gt;5),1,0)+IF(AND(AA25&lt;&gt;"-",AA25&gt;5),1,0)+IF(AND(AC25&lt;&gt;"-",AC25&gt;5),1,0)+IF(AND(AE25&lt;&gt;"-",AE25&gt;5),1,0)+IF(AND(AG25&lt;&gt;"-",AG25&gt;5),1,0)+IF(AND(AI25&lt;&gt;"-",AI25&gt;5),1,0)+IF(AND(AK25&lt;&gt;"-",AK25&gt;5),1,0)+IF(AND(AM25&lt;&gt;"-",AM25&gt;5),1,0)+IF(AND(AO25&lt;&gt;"-",AO25&gt;5),1,0)</f>
        <v>2</v>
      </c>
      <c r="AY25" s="48">
        <f>VLOOKUP(AP25,COND!$A$10:$B$32,2,FALSE)</f>
        <v>1.075</v>
      </c>
      <c r="AZ25" s="46">
        <f>($AU$3*AU25+$AV$3*AV25+$AW$3*AW25+$AX$3*AX25)*AY25*IF(AQ25&lt;5,0.95,IF(AQ25&lt;7,0.975,1))+$I$3*VLOOKUP(I25,COND!$A$2:$E$7,4,FALSE)+$J$3*VLOOKUP(J25,COND!$A$2:$E$7,2,FALSE)+$K$3*VLOOKUP(K25,COND!$A$2:$E$7,3,FALSE)+IF(BB25="SP",$BB$3,0)+IF($AW25&lt;3,-5,0)+IF(AND($B$2&gt;0,$E25&lt;20),$B$2*25,0)</f>
        <v>59.292521659050806</v>
      </c>
      <c r="BA25" s="49">
        <f>STANDARDIZE(AZ25,AVERAGE($AZ$5:$AZ$570),STDEVP($AZ$5:$AZ$570))</f>
        <v>2.4366073965417359</v>
      </c>
      <c r="BB25" s="47" t="str">
        <f>IF(OR(AND(AQ25&gt;7,AX25&gt;1),AND(AQ25&gt;4,AW25&gt;2)),"SP","RP")</f>
        <v>RP</v>
      </c>
      <c r="BC25" s="47"/>
      <c r="BD25" s="47"/>
      <c r="BE25" s="47"/>
      <c r="BF25" s="47" t="str">
        <f>IF(AVERAGE($O25:$Q25)&gt;=6,"Likely",IF(AVERAGE($O25:$Q25)&gt;=4,"Possible","Unlikely"))</f>
        <v>Likely</v>
      </c>
      <c r="BG25" s="47"/>
      <c r="BH25" s="47" t="str">
        <f>INDEX(Table5[[#All],[Ovr]],MATCH(Table3[[#This Row],[PID]],Table5[[#All],[PID]],0))</f>
        <v/>
      </c>
      <c r="BI25" s="47" t="str">
        <f>INDEX(Table5[[#All],[Rnd]],MATCH(Table3[[#This Row],[PID]],Table5[[#All],[PID]],0))</f>
        <v/>
      </c>
      <c r="BJ25" s="47" t="str">
        <f>INDEX(Table5[[#All],[Pick]],MATCH(Table3[[#This Row],[PID]],Table5[[#All],[PID]],0))</f>
        <v/>
      </c>
      <c r="BK25" s="47" t="str">
        <f>INDEX(Table5[[#All],[Team]],MATCH(Table3[[#This Row],[PID]],Table5[[#All],[PID]],0))</f>
        <v/>
      </c>
      <c r="BL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" spans="1:64" ht="15" customHeight="1" x14ac:dyDescent="0.25">
      <c r="A26" s="42">
        <v>9402</v>
      </c>
      <c r="B26" s="42" t="s">
        <v>24</v>
      </c>
      <c r="C26" s="42" t="s">
        <v>343</v>
      </c>
      <c r="D26" s="42" t="s">
        <v>334</v>
      </c>
      <c r="E26" s="42">
        <v>20</v>
      </c>
      <c r="F26" s="42" t="s">
        <v>42</v>
      </c>
      <c r="G26" s="42" t="s">
        <v>42</v>
      </c>
      <c r="H26" s="43" t="s">
        <v>703</v>
      </c>
      <c r="I26" s="44" t="s">
        <v>44</v>
      </c>
      <c r="J26" s="42" t="s">
        <v>43</v>
      </c>
      <c r="K26" s="43" t="s">
        <v>43</v>
      </c>
      <c r="L26" s="42">
        <v>3</v>
      </c>
      <c r="M26" s="42">
        <v>2</v>
      </c>
      <c r="N26" s="43">
        <v>2</v>
      </c>
      <c r="O26" s="42">
        <v>6</v>
      </c>
      <c r="P26" s="42">
        <v>4</v>
      </c>
      <c r="Q26" s="43">
        <v>5</v>
      </c>
      <c r="R26" s="42">
        <v>6</v>
      </c>
      <c r="S26" s="42">
        <v>8</v>
      </c>
      <c r="T26" s="42">
        <v>1</v>
      </c>
      <c r="U26" s="42">
        <v>3</v>
      </c>
      <c r="V26" s="42">
        <v>3</v>
      </c>
      <c r="W26" s="42">
        <v>5</v>
      </c>
      <c r="X26" s="42" t="s">
        <v>45</v>
      </c>
      <c r="Y26" s="42" t="s">
        <v>45</v>
      </c>
      <c r="Z26" s="42" t="s">
        <v>45</v>
      </c>
      <c r="AA26" s="42" t="s">
        <v>45</v>
      </c>
      <c r="AB26" s="42">
        <v>4</v>
      </c>
      <c r="AC26" s="42">
        <v>6</v>
      </c>
      <c r="AD26" s="42" t="s">
        <v>45</v>
      </c>
      <c r="AE26" s="42" t="s">
        <v>45</v>
      </c>
      <c r="AF26" s="42">
        <v>4</v>
      </c>
      <c r="AG26" s="42">
        <v>6</v>
      </c>
      <c r="AH26" s="42" t="s">
        <v>45</v>
      </c>
      <c r="AI26" s="42" t="s">
        <v>45</v>
      </c>
      <c r="AJ26" s="42">
        <v>2</v>
      </c>
      <c r="AK26" s="42">
        <v>5</v>
      </c>
      <c r="AL26" s="42" t="s">
        <v>45</v>
      </c>
      <c r="AM26" s="42" t="s">
        <v>45</v>
      </c>
      <c r="AN26" s="42" t="s">
        <v>45</v>
      </c>
      <c r="AO26" s="43" t="s">
        <v>45</v>
      </c>
      <c r="AP26" s="42" t="s">
        <v>48</v>
      </c>
      <c r="AQ26" s="42">
        <v>9</v>
      </c>
      <c r="AR26" s="50" t="s">
        <v>353</v>
      </c>
      <c r="AS26" s="45" t="s">
        <v>425</v>
      </c>
      <c r="AT26" s="45" t="s">
        <v>705</v>
      </c>
      <c r="AU26" s="46">
        <f>($O$3*(L26-$O$1)/$O$2+$P$3*(M26-$P$1)/$P$2+$Q$3*(N26-$P$1)/$Q$2)/SUM($O$3:$Q$3)</f>
        <v>-1.8743493064650851</v>
      </c>
      <c r="AV26" s="46">
        <f>($O$3*(O26-$O$1)/$O$2+$P$3*(P26-$P$1)/$P$2+$Q$3*(Q26-$Q$1)/$Q$2)/SUM($O$3:$Q$3)</f>
        <v>0.27304454882194901</v>
      </c>
      <c r="AW26" s="47">
        <f>COUNT(R26:AO26)/2</f>
        <v>6</v>
      </c>
      <c r="AX26" s="47">
        <f>IF(AND(S26&lt;&gt;"-",S26&gt;5),1,0)+IF(AND(U26&lt;&gt;"-",U26&gt;5),1,0)+IF(AND(W26&lt;&gt;"-",W26&gt;5),1,0)+IF(AND(Y26&lt;&gt;"-",Y26&gt;5),1,0)+IF(AND(AA26&lt;&gt;"-",AA26&gt;5),1,0)+IF(AND(AC26&lt;&gt;"-",AC26&gt;5),1,0)+IF(AND(AE26&lt;&gt;"-",AE26&gt;5),1,0)+IF(AND(AG26&lt;&gt;"-",AG26&gt;5),1,0)+IF(AND(AI26&lt;&gt;"-",AI26&gt;5),1,0)+IF(AND(AK26&lt;&gt;"-",AK26&gt;5),1,0)+IF(AND(AM26&lt;&gt;"-",AM26&gt;5),1,0)+IF(AND(AO26&lt;&gt;"-",AO26&gt;5),1,0)</f>
        <v>3</v>
      </c>
      <c r="AY26" s="48">
        <f>VLOOKUP(AP26,COND!$A$10:$B$32,2,FALSE)</f>
        <v>1.05</v>
      </c>
      <c r="AZ26" s="46">
        <f>($AU$3*AU26+$AV$3*AV26+$AW$3*AW26+$AX$3*AX26)*AY26*IF(AQ26&lt;5,0.95,IF(AQ26&lt;7,0.975,1))+$I$3*VLOOKUP(I26,COND!$A$2:$E$7,4,FALSE)+$J$3*VLOOKUP(J26,COND!$A$2:$E$7,2,FALSE)+$K$3*VLOOKUP(K26,COND!$A$2:$E$7,3,FALSE)+IF(BB26="SP",$BB$3,0)+IF($AW26&lt;3,-5,0)+IF(AND($B$2&gt;0,$E26&lt;20),$B$2*25,0)</f>
        <v>59.277822170903264</v>
      </c>
      <c r="BA26" s="49">
        <f>STANDARDIZE(AZ26,AVERAGE($AZ$5:$AZ$570),STDEVP($AZ$5:$AZ$570))</f>
        <v>2.4352593906516735</v>
      </c>
      <c r="BB26" s="47" t="str">
        <f>IF(OR(AND(AQ26&gt;7,AX26&gt;1),AND(AQ26&gt;4,AW26&gt;2)),"SP","RP")</f>
        <v>SP</v>
      </c>
      <c r="BC26" s="47"/>
      <c r="BD26" s="47"/>
      <c r="BE26" s="47"/>
      <c r="BF26" s="47" t="str">
        <f>IF(AVERAGE($O26:$Q26)&gt;=6,"Likely",IF(AVERAGE($O26:$Q26)&gt;=4,"Possible","Unlikely"))</f>
        <v>Possible</v>
      </c>
      <c r="BG26" s="47"/>
      <c r="BH26" s="47" t="str">
        <f>INDEX(Table5[[#All],[Ovr]],MATCH(Table3[[#This Row],[PID]],Table5[[#All],[PID]],0))</f>
        <v/>
      </c>
      <c r="BI26" s="47" t="str">
        <f>INDEX(Table5[[#All],[Rnd]],MATCH(Table3[[#This Row],[PID]],Table5[[#All],[PID]],0))</f>
        <v/>
      </c>
      <c r="BJ26" s="47" t="str">
        <f>INDEX(Table5[[#All],[Pick]],MATCH(Table3[[#This Row],[PID]],Table5[[#All],[PID]],0))</f>
        <v/>
      </c>
      <c r="BK26" s="47" t="str">
        <f>INDEX(Table5[[#All],[Team]],MATCH(Table3[[#This Row],[PID]],Table5[[#All],[PID]],0))</f>
        <v/>
      </c>
      <c r="BL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" spans="1:64" ht="15" customHeight="1" x14ac:dyDescent="0.25">
      <c r="A27" s="42">
        <v>11703</v>
      </c>
      <c r="B27" s="42" t="s">
        <v>49</v>
      </c>
      <c r="C27" s="42" t="s">
        <v>198</v>
      </c>
      <c r="D27" s="42" t="s">
        <v>847</v>
      </c>
      <c r="E27" s="42">
        <v>21</v>
      </c>
      <c r="F27" s="42" t="s">
        <v>42</v>
      </c>
      <c r="G27" s="42" t="s">
        <v>42</v>
      </c>
      <c r="H27" s="43" t="s">
        <v>702</v>
      </c>
      <c r="I27" s="44" t="s">
        <v>44</v>
      </c>
      <c r="J27" s="42" t="s">
        <v>43</v>
      </c>
      <c r="K27" s="43" t="s">
        <v>43</v>
      </c>
      <c r="L27" s="42">
        <v>4</v>
      </c>
      <c r="M27" s="42">
        <v>3</v>
      </c>
      <c r="N27" s="43">
        <v>2</v>
      </c>
      <c r="O27" s="42">
        <v>7</v>
      </c>
      <c r="P27" s="42">
        <v>5</v>
      </c>
      <c r="Q27" s="43">
        <v>4</v>
      </c>
      <c r="R27" s="42">
        <v>5</v>
      </c>
      <c r="S27" s="42">
        <v>8</v>
      </c>
      <c r="T27" s="42">
        <v>1</v>
      </c>
      <c r="U27" s="42">
        <v>1</v>
      </c>
      <c r="V27" s="42" t="s">
        <v>45</v>
      </c>
      <c r="W27" s="42" t="s">
        <v>45</v>
      </c>
      <c r="X27" s="42" t="s">
        <v>45</v>
      </c>
      <c r="Y27" s="42" t="s">
        <v>45</v>
      </c>
      <c r="Z27" s="42">
        <v>5</v>
      </c>
      <c r="AA27" s="42">
        <v>7</v>
      </c>
      <c r="AB27" s="42" t="s">
        <v>45</v>
      </c>
      <c r="AC27" s="42" t="s">
        <v>45</v>
      </c>
      <c r="AD27" s="42" t="s">
        <v>45</v>
      </c>
      <c r="AE27" s="42" t="s">
        <v>45</v>
      </c>
      <c r="AF27" s="42" t="s">
        <v>45</v>
      </c>
      <c r="AG27" s="42" t="s">
        <v>45</v>
      </c>
      <c r="AH27" s="42" t="s">
        <v>45</v>
      </c>
      <c r="AI27" s="42" t="s">
        <v>45</v>
      </c>
      <c r="AJ27" s="42" t="s">
        <v>45</v>
      </c>
      <c r="AK27" s="42" t="s">
        <v>45</v>
      </c>
      <c r="AL27" s="42" t="s">
        <v>45</v>
      </c>
      <c r="AM27" s="42" t="s">
        <v>45</v>
      </c>
      <c r="AN27" s="42" t="s">
        <v>45</v>
      </c>
      <c r="AO27" s="43" t="s">
        <v>45</v>
      </c>
      <c r="AP27" s="42" t="s">
        <v>54</v>
      </c>
      <c r="AQ27" s="42">
        <v>7</v>
      </c>
      <c r="AR27" s="50" t="s">
        <v>353</v>
      </c>
      <c r="AS27" s="45" t="s">
        <v>745</v>
      </c>
      <c r="AT27" s="45" t="s">
        <v>705</v>
      </c>
      <c r="AU27" s="46">
        <f>($O$3*(L27-$O$1)/$O$2+$P$3*(M27-$P$1)/$P$2+$Q$3*(N27-$P$1)/$Q$2)/SUM($O$3:$Q$3)</f>
        <v>-1.4842262655258562</v>
      </c>
      <c r="AV27" s="46">
        <f>($O$3*(O27-$O$1)/$O$2+$P$3*(P27-$P$1)/$P$2+$Q$3*(Q27-$Q$1)/$Q$2)/SUM($O$3:$Q$3)</f>
        <v>0.4208470237070675</v>
      </c>
      <c r="AW27" s="47">
        <f>COUNT(R27:AO27)/2</f>
        <v>3</v>
      </c>
      <c r="AX27" s="47">
        <f>IF(AND(S27&lt;&gt;"-",S27&gt;5),1,0)+IF(AND(U27&lt;&gt;"-",U27&gt;5),1,0)+IF(AND(W27&lt;&gt;"-",W27&gt;5),1,0)+IF(AND(Y27&lt;&gt;"-",Y27&gt;5),1,0)+IF(AND(AA27&lt;&gt;"-",AA27&gt;5),1,0)+IF(AND(AC27&lt;&gt;"-",AC27&gt;5),1,0)+IF(AND(AE27&lt;&gt;"-",AE27&gt;5),1,0)+IF(AND(AG27&lt;&gt;"-",AG27&gt;5),1,0)+IF(AND(AI27&lt;&gt;"-",AI27&gt;5),1,0)+IF(AND(AK27&lt;&gt;"-",AK27&gt;5),1,0)+IF(AND(AM27&lt;&gt;"-",AM27&gt;5),1,0)+IF(AND(AO27&lt;&gt;"-",AO27&gt;5),1,0)</f>
        <v>2</v>
      </c>
      <c r="AY27" s="48">
        <f>VLOOKUP(AP27,COND!$A$10:$B$32,2,FALSE)</f>
        <v>1.0249999999999999</v>
      </c>
      <c r="AZ27" s="46">
        <f>($AU$3*AU27+$AV$3*AV27+$AW$3*AW27+$AX$3*AX27)*AY27*IF(AQ27&lt;5,0.95,IF(AQ27&lt;7,0.975,1))+$I$3*VLOOKUP(I27,COND!$A$2:$E$7,4,FALSE)+$J$3*VLOOKUP(J27,COND!$A$2:$E$7,2,FALSE)+$K$3*VLOOKUP(K27,COND!$A$2:$E$7,3,FALSE)+IF(BB27="SP",$BB$3,0)+IF($AW27&lt;3,-5,0)+IF(AND($B$2&gt;0,$E27&lt;20),$B$2*25,0)</f>
        <v>59.273097601562085</v>
      </c>
      <c r="BA27" s="49">
        <f>STANDARDIZE(AZ27,AVERAGE($AZ$5:$AZ$570),STDEVP($AZ$5:$AZ$570))</f>
        <v>2.4348261274498535</v>
      </c>
      <c r="BB27" s="47" t="str">
        <f>IF(OR(AND(AQ27&gt;7,AX27&gt;1),AND(AQ27&gt;4,AW27&gt;2)),"SP","RP")</f>
        <v>SP</v>
      </c>
      <c r="BC27" s="47"/>
      <c r="BD27" s="47"/>
      <c r="BE27" s="47"/>
      <c r="BF27" s="47" t="str">
        <f>IF(AVERAGE($O27:$Q27)&gt;=6,"Likely",IF(AVERAGE($O27:$Q27)&gt;=4,"Possible","Unlikely"))</f>
        <v>Possible</v>
      </c>
      <c r="BG27" s="47"/>
      <c r="BH27" s="47" t="str">
        <f>INDEX(Table5[[#All],[Ovr]],MATCH(Table3[[#This Row],[PID]],Table5[[#All],[PID]],0))</f>
        <v/>
      </c>
      <c r="BI27" s="47" t="str">
        <f>INDEX(Table5[[#All],[Rnd]],MATCH(Table3[[#This Row],[PID]],Table5[[#All],[PID]],0))</f>
        <v/>
      </c>
      <c r="BJ27" s="47" t="str">
        <f>INDEX(Table5[[#All],[Pick]],MATCH(Table3[[#This Row],[PID]],Table5[[#All],[PID]],0))</f>
        <v/>
      </c>
      <c r="BK27" s="47" t="str">
        <f>INDEX(Table5[[#All],[Team]],MATCH(Table3[[#This Row],[PID]],Table5[[#All],[PID]],0))</f>
        <v/>
      </c>
      <c r="BL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" spans="1:64" ht="15" customHeight="1" x14ac:dyDescent="0.25">
      <c r="A28" s="42">
        <v>5173</v>
      </c>
      <c r="B28" s="42" t="s">
        <v>49</v>
      </c>
      <c r="C28" s="42" t="s">
        <v>1453</v>
      </c>
      <c r="D28" s="42" t="s">
        <v>1454</v>
      </c>
      <c r="E28" s="42">
        <v>21</v>
      </c>
      <c r="F28" s="42" t="s">
        <v>53</v>
      </c>
      <c r="G28" s="42" t="s">
        <v>42</v>
      </c>
      <c r="H28" s="43" t="s">
        <v>702</v>
      </c>
      <c r="I28" s="44" t="s">
        <v>44</v>
      </c>
      <c r="J28" s="42" t="s">
        <v>43</v>
      </c>
      <c r="K28" s="43" t="s">
        <v>43</v>
      </c>
      <c r="L28" s="42">
        <v>4</v>
      </c>
      <c r="M28" s="42">
        <v>3</v>
      </c>
      <c r="N28" s="43">
        <v>1</v>
      </c>
      <c r="O28" s="42">
        <v>7</v>
      </c>
      <c r="P28" s="42">
        <v>5</v>
      </c>
      <c r="Q28" s="43">
        <v>4</v>
      </c>
      <c r="R28" s="42">
        <v>6</v>
      </c>
      <c r="S28" s="42">
        <v>8</v>
      </c>
      <c r="T28" s="42">
        <v>1</v>
      </c>
      <c r="U28" s="42">
        <v>1</v>
      </c>
      <c r="V28" s="42">
        <v>3</v>
      </c>
      <c r="W28" s="42">
        <v>8</v>
      </c>
      <c r="X28" s="42" t="s">
        <v>45</v>
      </c>
      <c r="Y28" s="42" t="s">
        <v>45</v>
      </c>
      <c r="Z28" s="42" t="s">
        <v>45</v>
      </c>
      <c r="AA28" s="42" t="s">
        <v>45</v>
      </c>
      <c r="AB28" s="42" t="s">
        <v>45</v>
      </c>
      <c r="AC28" s="42" t="s">
        <v>45</v>
      </c>
      <c r="AD28" s="42" t="s">
        <v>45</v>
      </c>
      <c r="AE28" s="42" t="s">
        <v>45</v>
      </c>
      <c r="AF28" s="42" t="s">
        <v>45</v>
      </c>
      <c r="AG28" s="42" t="s">
        <v>45</v>
      </c>
      <c r="AH28" s="42" t="s">
        <v>45</v>
      </c>
      <c r="AI28" s="42" t="s">
        <v>45</v>
      </c>
      <c r="AJ28" s="42" t="s">
        <v>45</v>
      </c>
      <c r="AK28" s="42" t="s">
        <v>45</v>
      </c>
      <c r="AL28" s="42" t="s">
        <v>45</v>
      </c>
      <c r="AM28" s="42" t="s">
        <v>45</v>
      </c>
      <c r="AN28" s="42" t="s">
        <v>45</v>
      </c>
      <c r="AO28" s="43" t="s">
        <v>45</v>
      </c>
      <c r="AP28" s="42" t="s">
        <v>61</v>
      </c>
      <c r="AQ28" s="42">
        <v>6</v>
      </c>
      <c r="AR28" s="50" t="s">
        <v>352</v>
      </c>
      <c r="AS28" s="45" t="s">
        <v>615</v>
      </c>
      <c r="AT28" s="45" t="s">
        <v>47</v>
      </c>
      <c r="AU28" s="46">
        <f>($O$3*(L28-$O$1)/$O$2+$P$3*(M28-$P$1)/$P$2+$Q$3*(N28-$P$1)/$Q$2)/SUM($O$3:$Q$3)</f>
        <v>-1.7265468315799666</v>
      </c>
      <c r="AV28" s="46">
        <f>($O$3*(O28-$O$1)/$O$2+$P$3*(P28-$P$1)/$P$2+$Q$3*(Q28-$Q$1)/$Q$2)/SUM($O$3:$Q$3)</f>
        <v>0.4208470237070675</v>
      </c>
      <c r="AW28" s="47">
        <f>COUNT(R28:AO28)/2</f>
        <v>3</v>
      </c>
      <c r="AX28" s="47">
        <f>IF(AND(S28&lt;&gt;"-",S28&gt;5),1,0)+IF(AND(U28&lt;&gt;"-",U28&gt;5),1,0)+IF(AND(W28&lt;&gt;"-",W28&gt;5),1,0)+IF(AND(Y28&lt;&gt;"-",Y28&gt;5),1,0)+IF(AND(AA28&lt;&gt;"-",AA28&gt;5),1,0)+IF(AND(AC28&lt;&gt;"-",AC28&gt;5),1,0)+IF(AND(AE28&lt;&gt;"-",AE28&gt;5),1,0)+IF(AND(AG28&lt;&gt;"-",AG28&gt;5),1,0)+IF(AND(AI28&lt;&gt;"-",AI28&gt;5),1,0)+IF(AND(AK28&lt;&gt;"-",AK28&gt;5),1,0)+IF(AND(AM28&lt;&gt;"-",AM28&gt;5),1,0)+IF(AND(AO28&lt;&gt;"-",AO28&gt;5),1,0)</f>
        <v>2</v>
      </c>
      <c r="AY28" s="48">
        <f>VLOOKUP(AP28,COND!$A$10:$B$32,2,FALSE)</f>
        <v>1.05</v>
      </c>
      <c r="AZ28" s="46">
        <f>($AU$3*AU28+$AV$3*AV28+$AW$3*AW28+$AX$3*AX28)*AY28*IF(AQ28&lt;5,0.95,IF(AQ28&lt;7,0.975,1))+$I$3*VLOOKUP(I28,COND!$A$2:$E$7,4,FALSE)+$J$3*VLOOKUP(J28,COND!$A$2:$E$7,2,FALSE)+$K$3*VLOOKUP(K28,COND!$A$2:$E$7,3,FALSE)+IF(BB28="SP",$BB$3,0)+IF($AW28&lt;3,-5,0)+IF(AND($B$2&gt;0,$E28&lt;20),$B$2*25,0)</f>
        <v>59.208332346636212</v>
      </c>
      <c r="BA28" s="49">
        <f>STANDARDIZE(AZ28,AVERAGE($AZ$5:$AZ$570),STDEVP($AZ$5:$AZ$570))</f>
        <v>2.4288868767606338</v>
      </c>
      <c r="BB28" s="47" t="str">
        <f>IF(OR(AND(AQ28&gt;7,AX28&gt;1),AND(AQ28&gt;4,AW28&gt;2)),"SP","RP")</f>
        <v>SP</v>
      </c>
      <c r="BC28" s="47"/>
      <c r="BD28" s="47"/>
      <c r="BE28" s="47"/>
      <c r="BF28" s="47" t="str">
        <f>IF(AVERAGE($O28:$Q28)&gt;=6,"Likely",IF(AVERAGE($O28:$Q28)&gt;=4,"Possible","Unlikely"))</f>
        <v>Possible</v>
      </c>
      <c r="BG28" s="47"/>
      <c r="BH28" s="47" t="str">
        <f>INDEX(Table5[[#All],[Ovr]],MATCH(Table3[[#This Row],[PID]],Table5[[#All],[PID]],0))</f>
        <v/>
      </c>
      <c r="BI28" s="47" t="str">
        <f>INDEX(Table5[[#All],[Rnd]],MATCH(Table3[[#This Row],[PID]],Table5[[#All],[PID]],0))</f>
        <v/>
      </c>
      <c r="BJ28" s="47" t="str">
        <f>INDEX(Table5[[#All],[Pick]],MATCH(Table3[[#This Row],[PID]],Table5[[#All],[PID]],0))</f>
        <v/>
      </c>
      <c r="BK28" s="47" t="str">
        <f>INDEX(Table5[[#All],[Team]],MATCH(Table3[[#This Row],[PID]],Table5[[#All],[PID]],0))</f>
        <v/>
      </c>
      <c r="BL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" spans="1:64" ht="15" customHeight="1" x14ac:dyDescent="0.25">
      <c r="A29" s="42">
        <v>16102</v>
      </c>
      <c r="B29" s="42" t="s">
        <v>24</v>
      </c>
      <c r="C29" s="42" t="s">
        <v>173</v>
      </c>
      <c r="D29" s="42" t="s">
        <v>1471</v>
      </c>
      <c r="E29" s="42">
        <v>18</v>
      </c>
      <c r="F29" s="42" t="s">
        <v>42</v>
      </c>
      <c r="G29" s="42" t="s">
        <v>42</v>
      </c>
      <c r="H29" s="43" t="s">
        <v>709</v>
      </c>
      <c r="I29" s="44" t="s">
        <v>44</v>
      </c>
      <c r="J29" s="42" t="s">
        <v>44</v>
      </c>
      <c r="K29" s="43" t="s">
        <v>44</v>
      </c>
      <c r="L29" s="42">
        <v>2</v>
      </c>
      <c r="M29" s="42">
        <v>2</v>
      </c>
      <c r="N29" s="43">
        <v>3</v>
      </c>
      <c r="O29" s="42">
        <v>6</v>
      </c>
      <c r="P29" s="42">
        <v>4</v>
      </c>
      <c r="Q29" s="43">
        <v>5</v>
      </c>
      <c r="R29" s="42">
        <v>5</v>
      </c>
      <c r="S29" s="42">
        <v>8</v>
      </c>
      <c r="T29" s="42">
        <v>1</v>
      </c>
      <c r="U29" s="42">
        <v>2</v>
      </c>
      <c r="V29" s="42" t="s">
        <v>45</v>
      </c>
      <c r="W29" s="42" t="s">
        <v>45</v>
      </c>
      <c r="X29" s="42">
        <v>3</v>
      </c>
      <c r="Y29" s="42">
        <v>8</v>
      </c>
      <c r="Z29" s="42" t="s">
        <v>45</v>
      </c>
      <c r="AA29" s="42" t="s">
        <v>45</v>
      </c>
      <c r="AB29" s="42" t="s">
        <v>45</v>
      </c>
      <c r="AC29" s="42" t="s">
        <v>45</v>
      </c>
      <c r="AD29" s="42" t="s">
        <v>45</v>
      </c>
      <c r="AE29" s="42" t="s">
        <v>45</v>
      </c>
      <c r="AF29" s="42" t="s">
        <v>45</v>
      </c>
      <c r="AG29" s="42" t="s">
        <v>45</v>
      </c>
      <c r="AH29" s="42" t="s">
        <v>45</v>
      </c>
      <c r="AI29" s="42" t="s">
        <v>45</v>
      </c>
      <c r="AJ29" s="42" t="s">
        <v>45</v>
      </c>
      <c r="AK29" s="42" t="s">
        <v>45</v>
      </c>
      <c r="AL29" s="42" t="s">
        <v>45</v>
      </c>
      <c r="AM29" s="42" t="s">
        <v>45</v>
      </c>
      <c r="AN29" s="42" t="s">
        <v>45</v>
      </c>
      <c r="AO29" s="43" t="s">
        <v>45</v>
      </c>
      <c r="AP29" s="42" t="s">
        <v>58</v>
      </c>
      <c r="AQ29" s="42">
        <v>5</v>
      </c>
      <c r="AR29" s="50" t="s">
        <v>353</v>
      </c>
      <c r="AS29" s="45" t="s">
        <v>599</v>
      </c>
      <c r="AT29" s="45" t="s">
        <v>705</v>
      </c>
      <c r="AU29" s="46">
        <f>($O$3*(L29-$O$1)/$O$2+$P$3*(M29-$P$1)/$P$2+$Q$3*(N29-$P$1)/$Q$2)/SUM($O$3:$Q$3)</f>
        <v>-1.8267200649201485</v>
      </c>
      <c r="AV29" s="46">
        <f>($O$3*(O29-$O$1)/$O$2+$P$3*(P29-$P$1)/$P$2+$Q$3*(Q29-$Q$1)/$Q$2)/SUM($O$3:$Q$3)</f>
        <v>0.27304454882194901</v>
      </c>
      <c r="AW29" s="47">
        <f>COUNT(R29:AO29)/2</f>
        <v>3</v>
      </c>
      <c r="AX29" s="47">
        <f>IF(AND(S29&lt;&gt;"-",S29&gt;5),1,0)+IF(AND(U29&lt;&gt;"-",U29&gt;5),1,0)+IF(AND(W29&lt;&gt;"-",W29&gt;5),1,0)+IF(AND(Y29&lt;&gt;"-",Y29&gt;5),1,0)+IF(AND(AA29&lt;&gt;"-",AA29&gt;5),1,0)+IF(AND(AC29&lt;&gt;"-",AC29&gt;5),1,0)+IF(AND(AE29&lt;&gt;"-",AE29&gt;5),1,0)+IF(AND(AG29&lt;&gt;"-",AG29&gt;5),1,0)+IF(AND(AI29&lt;&gt;"-",AI29&gt;5),1,0)+IF(AND(AK29&lt;&gt;"-",AK29&gt;5),1,0)+IF(AND(AM29&lt;&gt;"-",AM29&gt;5),1,0)+IF(AND(AO29&lt;&gt;"-",AO29&gt;5),1,0)</f>
        <v>2</v>
      </c>
      <c r="AY29" s="48">
        <f>VLOOKUP(AP29,COND!$A$10:$B$32,2,FALSE)</f>
        <v>1</v>
      </c>
      <c r="AZ29" s="46">
        <f>($AU$3*AU29+$AV$3*AV29+$AW$3*AW29+$AX$3*AX29)*AY29*IF(AQ29&lt;5,0.95,IF(AQ29&lt;7,0.975,1))+$I$3*VLOOKUP(I29,COND!$A$2:$E$7,4,FALSE)+$J$3*VLOOKUP(J29,COND!$A$2:$E$7,2,FALSE)+$K$3*VLOOKUP(K29,COND!$A$2:$E$7,3,FALSE)+IF(BB29="SP",$BB$3,0)+IF($AW29&lt;3,-5,0)+IF(AND($B$2&gt;0,$E29&lt;20),$B$2*25,0)</f>
        <v>60.11815828936858</v>
      </c>
      <c r="BA29" s="49">
        <f>STANDARDIZE(AZ29,AVERAGE($AZ$5:$AZ$570),STDEVP($AZ$5:$AZ$570))</f>
        <v>2.5123218043869997</v>
      </c>
      <c r="BB29" s="47" t="str">
        <f>IF(OR(AND(AQ29&gt;7,AX29&gt;1),AND(AQ29&gt;4,AW29&gt;2)),"SP","RP")</f>
        <v>SP</v>
      </c>
      <c r="BC29" s="47"/>
      <c r="BD29" s="47"/>
      <c r="BE29" s="47"/>
      <c r="BF29" s="47" t="str">
        <f>IF(AVERAGE($O29:$Q29)&gt;=6,"Likely",IF(AVERAGE($O29:$Q29)&gt;=4,"Possible","Unlikely"))</f>
        <v>Possible</v>
      </c>
      <c r="BG29" s="47"/>
      <c r="BH29" s="47" t="str">
        <f>INDEX(Table5[[#All],[Ovr]],MATCH(Table3[[#This Row],[PID]],Table5[[#All],[PID]],0))</f>
        <v/>
      </c>
      <c r="BI29" s="47" t="str">
        <f>INDEX(Table5[[#All],[Rnd]],MATCH(Table3[[#This Row],[PID]],Table5[[#All],[PID]],0))</f>
        <v/>
      </c>
      <c r="BJ29" s="47" t="str">
        <f>INDEX(Table5[[#All],[Pick]],MATCH(Table3[[#This Row],[PID]],Table5[[#All],[PID]],0))</f>
        <v/>
      </c>
      <c r="BK29" s="47" t="str">
        <f>INDEX(Table5[[#All],[Team]],MATCH(Table3[[#This Row],[PID]],Table5[[#All],[PID]],0))</f>
        <v/>
      </c>
      <c r="BL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" spans="1:64" ht="15" customHeight="1" x14ac:dyDescent="0.25">
      <c r="A30" s="42">
        <v>7410</v>
      </c>
      <c r="B30" s="42" t="s">
        <v>24</v>
      </c>
      <c r="C30" s="42" t="s">
        <v>1347</v>
      </c>
      <c r="D30" s="42" t="s">
        <v>1537</v>
      </c>
      <c r="E30" s="42">
        <v>21</v>
      </c>
      <c r="F30" s="42" t="s">
        <v>42</v>
      </c>
      <c r="G30" s="42" t="s">
        <v>42</v>
      </c>
      <c r="H30" s="43" t="s">
        <v>703</v>
      </c>
      <c r="I30" s="44" t="s">
        <v>43</v>
      </c>
      <c r="J30" s="42" t="s">
        <v>43</v>
      </c>
      <c r="K30" s="43" t="s">
        <v>47</v>
      </c>
      <c r="L30" s="42">
        <v>3</v>
      </c>
      <c r="M30" s="42">
        <v>2</v>
      </c>
      <c r="N30" s="43">
        <v>3</v>
      </c>
      <c r="O30" s="42">
        <v>5</v>
      </c>
      <c r="P30" s="42">
        <v>5</v>
      </c>
      <c r="Q30" s="43">
        <v>5</v>
      </c>
      <c r="R30" s="42" t="s">
        <v>45</v>
      </c>
      <c r="S30" s="42" t="s">
        <v>45</v>
      </c>
      <c r="T30" s="42">
        <v>1</v>
      </c>
      <c r="U30" s="42">
        <v>4</v>
      </c>
      <c r="V30" s="42" t="s">
        <v>45</v>
      </c>
      <c r="W30" s="42" t="s">
        <v>45</v>
      </c>
      <c r="X30" s="42">
        <v>3</v>
      </c>
      <c r="Y30" s="42">
        <v>5</v>
      </c>
      <c r="Z30" s="42" t="s">
        <v>45</v>
      </c>
      <c r="AA30" s="42" t="s">
        <v>45</v>
      </c>
      <c r="AB30" s="42">
        <v>4</v>
      </c>
      <c r="AC30" s="42">
        <v>5</v>
      </c>
      <c r="AD30" s="42">
        <v>4</v>
      </c>
      <c r="AE30" s="42">
        <v>7</v>
      </c>
      <c r="AF30" s="42" t="s">
        <v>45</v>
      </c>
      <c r="AG30" s="42" t="s">
        <v>45</v>
      </c>
      <c r="AH30" s="42" t="s">
        <v>45</v>
      </c>
      <c r="AI30" s="42" t="s">
        <v>45</v>
      </c>
      <c r="AJ30" s="42" t="s">
        <v>45</v>
      </c>
      <c r="AK30" s="42" t="s">
        <v>45</v>
      </c>
      <c r="AL30" s="42">
        <v>3</v>
      </c>
      <c r="AM30" s="42">
        <v>7</v>
      </c>
      <c r="AN30" s="42" t="s">
        <v>45</v>
      </c>
      <c r="AO30" s="43" t="s">
        <v>45</v>
      </c>
      <c r="AP30" s="42" t="s">
        <v>54</v>
      </c>
      <c r="AQ30" s="42">
        <v>8</v>
      </c>
      <c r="AR30" s="50" t="s">
        <v>353</v>
      </c>
      <c r="AS30" s="45" t="s">
        <v>438</v>
      </c>
      <c r="AT30" s="45" t="s">
        <v>47</v>
      </c>
      <c r="AU30" s="46">
        <f>($O$3*(L30-$O$1)/$O$2+$P$3*(M30-$P$1)/$P$2+$Q$3*(N30-$P$1)/$Q$2)/SUM($O$3:$Q$3)</f>
        <v>-1.6320287404109748</v>
      </c>
      <c r="AV30" s="46">
        <f>($O$3*(O30-$O$1)/$O$2+$P$3*(P30-$P$1)/$P$2+$Q$3*(Q30-$Q$1)/$Q$2)/SUM($O$3:$Q$3)</f>
        <v>0.27378494074283088</v>
      </c>
      <c r="AW30" s="47">
        <f>COUNT(R30:AO30)/2</f>
        <v>5</v>
      </c>
      <c r="AX30" s="47">
        <f>IF(AND(S30&lt;&gt;"-",S30&gt;5),1,0)+IF(AND(U30&lt;&gt;"-",U30&gt;5),1,0)+IF(AND(W30&lt;&gt;"-",W30&gt;5),1,0)+IF(AND(Y30&lt;&gt;"-",Y30&gt;5),1,0)+IF(AND(AA30&lt;&gt;"-",AA30&gt;5),1,0)+IF(AND(AC30&lt;&gt;"-",AC30&gt;5),1,0)+IF(AND(AE30&lt;&gt;"-",AE30&gt;5),1,0)+IF(AND(AG30&lt;&gt;"-",AG30&gt;5),1,0)+IF(AND(AI30&lt;&gt;"-",AI30&gt;5),1,0)+IF(AND(AK30&lt;&gt;"-",AK30&gt;5),1,0)+IF(AND(AM30&lt;&gt;"-",AM30&gt;5),1,0)+IF(AND(AO30&lt;&gt;"-",AO30&gt;5),1,0)</f>
        <v>2</v>
      </c>
      <c r="AY30" s="48">
        <f>VLOOKUP(AP30,COND!$A$10:$B$32,2,FALSE)</f>
        <v>1.0249999999999999</v>
      </c>
      <c r="AZ30" s="46">
        <f>($AU$3*AU30+$AV$3*AV30+$AW$3*AW30+$AX$3*AX30)*AY30*IF(AQ30&lt;5,0.95,IF(AQ30&lt;7,0.975,1))+$I$3*VLOOKUP(I30,COND!$A$2:$E$7,4,FALSE)+$J$3*VLOOKUP(J30,COND!$A$2:$E$7,2,FALSE)+$K$3*VLOOKUP(K30,COND!$A$2:$E$7,3,FALSE)+IF(BB30="SP",$BB$3,0)+IF($AW30&lt;3,-5,0)+IF(AND($B$2&gt;0,$E30&lt;20),$B$2*25,0)</f>
        <v>57.703025393443781</v>
      </c>
      <c r="BA30" s="49">
        <f>STANDARDIZE(AZ30,AVERAGE($AZ$5:$AZ$570),STDEVP($AZ$5:$AZ$570))</f>
        <v>2.2908437953357499</v>
      </c>
      <c r="BB30" s="47" t="str">
        <f>IF(OR(AND(AQ30&gt;7,AX30&gt;1),AND(AQ30&gt;4,AW30&gt;2)),"SP","RP")</f>
        <v>SP</v>
      </c>
      <c r="BC30" s="47"/>
      <c r="BD30" s="47"/>
      <c r="BE30" s="47"/>
      <c r="BF30" s="47" t="str">
        <f>IF(AVERAGE($O30:$Q30)&gt;=6,"Likely",IF(AVERAGE($O30:$Q30)&gt;=4,"Possible","Unlikely"))</f>
        <v>Possible</v>
      </c>
      <c r="BG30" s="47"/>
      <c r="BH30" s="47" t="str">
        <f>INDEX(Table5[[#All],[Ovr]],MATCH(Table3[[#This Row],[PID]],Table5[[#All],[PID]],0))</f>
        <v/>
      </c>
      <c r="BI30" s="47" t="str">
        <f>INDEX(Table5[[#All],[Rnd]],MATCH(Table3[[#This Row],[PID]],Table5[[#All],[PID]],0))</f>
        <v/>
      </c>
      <c r="BJ30" s="47" t="str">
        <f>INDEX(Table5[[#All],[Pick]],MATCH(Table3[[#This Row],[PID]],Table5[[#All],[PID]],0))</f>
        <v/>
      </c>
      <c r="BK30" s="47" t="str">
        <f>INDEX(Table5[[#All],[Team]],MATCH(Table3[[#This Row],[PID]],Table5[[#All],[PID]],0))</f>
        <v/>
      </c>
      <c r="BL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" spans="1:64" ht="15" customHeight="1" x14ac:dyDescent="0.25">
      <c r="A31" s="42">
        <v>13044</v>
      </c>
      <c r="B31" s="42" t="s">
        <v>24</v>
      </c>
      <c r="C31" s="42" t="s">
        <v>1033</v>
      </c>
      <c r="D31" s="42" t="s">
        <v>1462</v>
      </c>
      <c r="E31" s="42">
        <v>17</v>
      </c>
      <c r="F31" s="42" t="s">
        <v>42</v>
      </c>
      <c r="G31" s="42" t="s">
        <v>42</v>
      </c>
      <c r="H31" s="43" t="s">
        <v>709</v>
      </c>
      <c r="I31" s="44" t="s">
        <v>43</v>
      </c>
      <c r="J31" s="42" t="s">
        <v>43</v>
      </c>
      <c r="K31" s="43" t="s">
        <v>43</v>
      </c>
      <c r="L31" s="42">
        <v>2</v>
      </c>
      <c r="M31" s="42">
        <v>3</v>
      </c>
      <c r="N31" s="43">
        <v>1</v>
      </c>
      <c r="O31" s="42">
        <v>7</v>
      </c>
      <c r="P31" s="42">
        <v>6</v>
      </c>
      <c r="Q31" s="43">
        <v>2</v>
      </c>
      <c r="R31" s="42">
        <v>5</v>
      </c>
      <c r="S31" s="42">
        <v>9</v>
      </c>
      <c r="T31" s="42">
        <v>1</v>
      </c>
      <c r="U31" s="42">
        <v>1</v>
      </c>
      <c r="V31" s="42">
        <v>2</v>
      </c>
      <c r="W31" s="42">
        <v>9</v>
      </c>
      <c r="X31" s="42" t="s">
        <v>45</v>
      </c>
      <c r="Y31" s="42" t="s">
        <v>45</v>
      </c>
      <c r="Z31" s="42" t="s">
        <v>45</v>
      </c>
      <c r="AA31" s="42" t="s">
        <v>45</v>
      </c>
      <c r="AB31" s="42" t="s">
        <v>45</v>
      </c>
      <c r="AC31" s="42" t="s">
        <v>45</v>
      </c>
      <c r="AD31" s="42" t="s">
        <v>45</v>
      </c>
      <c r="AE31" s="42" t="s">
        <v>45</v>
      </c>
      <c r="AF31" s="42" t="s">
        <v>45</v>
      </c>
      <c r="AG31" s="42" t="s">
        <v>45</v>
      </c>
      <c r="AH31" s="42" t="s">
        <v>45</v>
      </c>
      <c r="AI31" s="42" t="s">
        <v>45</v>
      </c>
      <c r="AJ31" s="42" t="s">
        <v>45</v>
      </c>
      <c r="AK31" s="42" t="s">
        <v>45</v>
      </c>
      <c r="AL31" s="42" t="s">
        <v>45</v>
      </c>
      <c r="AM31" s="42" t="s">
        <v>45</v>
      </c>
      <c r="AN31" s="42" t="s">
        <v>45</v>
      </c>
      <c r="AO31" s="43" t="s">
        <v>45</v>
      </c>
      <c r="AP31" s="42" t="s">
        <v>54</v>
      </c>
      <c r="AQ31" s="42">
        <v>8</v>
      </c>
      <c r="AR31" s="50" t="s">
        <v>354</v>
      </c>
      <c r="AS31" s="45" t="s">
        <v>428</v>
      </c>
      <c r="AT31" s="45" t="s">
        <v>47</v>
      </c>
      <c r="AU31" s="46">
        <f>($O$3*(L31-$O$1)/$O$2+$P$3*(M31-$P$1)/$P$2+$Q$3*(N31-$P$1)/$Q$2)/SUM($O$3:$Q$3)</f>
        <v>-2.1159294805983135</v>
      </c>
      <c r="AV31" s="46">
        <f>($O$3*(O31-$O$1)/$O$2+$P$3*(P31-$P$1)/$P$2+$Q$3*(Q31-$Q$1)/$Q$2)/SUM($O$3:$Q$3)</f>
        <v>0.13163760802890215</v>
      </c>
      <c r="AW31" s="47">
        <f>COUNT(R31:AO31)/2</f>
        <v>3</v>
      </c>
      <c r="AX31" s="47">
        <f>IF(AND(S31&lt;&gt;"-",S31&gt;5),1,0)+IF(AND(U31&lt;&gt;"-",U31&gt;5),1,0)+IF(AND(W31&lt;&gt;"-",W31&gt;5),1,0)+IF(AND(Y31&lt;&gt;"-",Y31&gt;5),1,0)+IF(AND(AA31&lt;&gt;"-",AA31&gt;5),1,0)+IF(AND(AC31&lt;&gt;"-",AC31&gt;5),1,0)+IF(AND(AE31&lt;&gt;"-",AE31&gt;5),1,0)+IF(AND(AG31&lt;&gt;"-",AG31&gt;5),1,0)+IF(AND(AI31&lt;&gt;"-",AI31&gt;5),1,0)+IF(AND(AK31&lt;&gt;"-",AK31&gt;5),1,0)+IF(AND(AM31&lt;&gt;"-",AM31&gt;5),1,0)+IF(AND(AO31&lt;&gt;"-",AO31&gt;5),1,0)</f>
        <v>2</v>
      </c>
      <c r="AY31" s="48">
        <f>VLOOKUP(AP31,COND!$A$10:$B$32,2,FALSE)</f>
        <v>1.0249999999999999</v>
      </c>
      <c r="AZ31" s="46">
        <f>($AU$3*AU31+$AV$3*AV31+$AW$3*AW31+$AX$3*AX31)*AY31*IF(AQ31&lt;5,0.95,IF(AQ31&lt;7,0.975,1))+$I$3*VLOOKUP(I31,COND!$A$2:$E$7,4,FALSE)+$J$3*VLOOKUP(J31,COND!$A$2:$E$7,2,FALSE)+$K$3*VLOOKUP(K31,COND!$A$2:$E$7,3,FALSE)+IF(BB31="SP",$BB$3,0)+IF($AW31&lt;3,-5,0)+IF(AND($B$2&gt;0,$E31&lt;20),$B$2*25,0)</f>
        <v>58.364805421069839</v>
      </c>
      <c r="BA31" s="49">
        <f>STANDARDIZE(AZ31,AVERAGE($AZ$5:$AZ$570),STDEVP($AZ$5:$AZ$570))</f>
        <v>2.3515318523763442</v>
      </c>
      <c r="BB31" s="47" t="str">
        <f>IF(OR(AND(AQ31&gt;7,AX31&gt;1),AND(AQ31&gt;4,AW31&gt;2)),"SP","RP")</f>
        <v>SP</v>
      </c>
      <c r="BC31" s="47"/>
      <c r="BD31" s="47"/>
      <c r="BE31" s="47"/>
      <c r="BF31" s="47" t="str">
        <f>IF(AVERAGE($O31:$Q31)&gt;=6,"Likely",IF(AVERAGE($O31:$Q31)&gt;=4,"Possible","Unlikely"))</f>
        <v>Possible</v>
      </c>
      <c r="BG31" s="47"/>
      <c r="BH31" s="47" t="str">
        <f>INDEX(Table5[[#All],[Ovr]],MATCH(Table3[[#This Row],[PID]],Table5[[#All],[PID]],0))</f>
        <v/>
      </c>
      <c r="BI31" s="47" t="str">
        <f>INDEX(Table5[[#All],[Rnd]],MATCH(Table3[[#This Row],[PID]],Table5[[#All],[PID]],0))</f>
        <v/>
      </c>
      <c r="BJ31" s="47" t="str">
        <f>INDEX(Table5[[#All],[Pick]],MATCH(Table3[[#This Row],[PID]],Table5[[#All],[PID]],0))</f>
        <v/>
      </c>
      <c r="BK31" s="47" t="str">
        <f>INDEX(Table5[[#All],[Team]],MATCH(Table3[[#This Row],[PID]],Table5[[#All],[PID]],0))</f>
        <v/>
      </c>
      <c r="BL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" spans="1:64" ht="15" customHeight="1" x14ac:dyDescent="0.25">
      <c r="A32" s="42">
        <v>17611</v>
      </c>
      <c r="B32" s="42" t="s">
        <v>24</v>
      </c>
      <c r="C32" s="42" t="s">
        <v>294</v>
      </c>
      <c r="D32" s="42" t="s">
        <v>1607</v>
      </c>
      <c r="E32" s="42">
        <v>18</v>
      </c>
      <c r="F32" s="42" t="s">
        <v>53</v>
      </c>
      <c r="G32" s="42" t="s">
        <v>53</v>
      </c>
      <c r="H32" s="43" t="s">
        <v>709</v>
      </c>
      <c r="I32" s="44" t="s">
        <v>43</v>
      </c>
      <c r="J32" s="42" t="s">
        <v>43</v>
      </c>
      <c r="K32" s="43" t="s">
        <v>47</v>
      </c>
      <c r="L32" s="42">
        <v>1</v>
      </c>
      <c r="M32" s="42">
        <v>2</v>
      </c>
      <c r="N32" s="43">
        <v>1</v>
      </c>
      <c r="O32" s="42">
        <v>4</v>
      </c>
      <c r="P32" s="42">
        <v>5</v>
      </c>
      <c r="Q32" s="43">
        <v>5</v>
      </c>
      <c r="R32" s="42">
        <v>3</v>
      </c>
      <c r="S32" s="42">
        <v>6</v>
      </c>
      <c r="T32" s="42">
        <v>1</v>
      </c>
      <c r="U32" s="42">
        <v>1</v>
      </c>
      <c r="V32" s="42">
        <v>1</v>
      </c>
      <c r="W32" s="42">
        <v>7</v>
      </c>
      <c r="X32" s="42" t="s">
        <v>45</v>
      </c>
      <c r="Y32" s="42" t="s">
        <v>45</v>
      </c>
      <c r="Z32" s="42" t="s">
        <v>45</v>
      </c>
      <c r="AA32" s="42" t="s">
        <v>45</v>
      </c>
      <c r="AB32" s="42" t="s">
        <v>45</v>
      </c>
      <c r="AC32" s="42" t="s">
        <v>45</v>
      </c>
      <c r="AD32" s="42" t="s">
        <v>45</v>
      </c>
      <c r="AE32" s="42" t="s">
        <v>45</v>
      </c>
      <c r="AF32" s="42" t="s">
        <v>45</v>
      </c>
      <c r="AG32" s="42" t="s">
        <v>45</v>
      </c>
      <c r="AH32" s="42" t="s">
        <v>45</v>
      </c>
      <c r="AI32" s="42" t="s">
        <v>45</v>
      </c>
      <c r="AJ32" s="42" t="s">
        <v>45</v>
      </c>
      <c r="AK32" s="42" t="s">
        <v>45</v>
      </c>
      <c r="AL32" s="42" t="s">
        <v>45</v>
      </c>
      <c r="AM32" s="42" t="s">
        <v>45</v>
      </c>
      <c r="AN32" s="42" t="s">
        <v>45</v>
      </c>
      <c r="AO32" s="43" t="s">
        <v>45</v>
      </c>
      <c r="AP32" s="42" t="s">
        <v>355</v>
      </c>
      <c r="AQ32" s="42">
        <v>9</v>
      </c>
      <c r="AR32" s="50" t="s">
        <v>353</v>
      </c>
      <c r="AS32" s="45" t="s">
        <v>602</v>
      </c>
      <c r="AT32" s="45" t="s">
        <v>47</v>
      </c>
      <c r="AU32" s="46">
        <f>($O$3*(L32-$O$1)/$O$2+$P$3*(M32-$P$1)/$P$2+$Q$3*(N32-$P$1)/$Q$2)/SUM($O$3:$Q$3)</f>
        <v>-2.5060525215375429</v>
      </c>
      <c r="AV32" s="46">
        <f>($O$3*(O32-$O$1)/$O$2+$P$3*(P32-$P$1)/$P$2+$Q$3*(Q32-$Q$1)/$Q$2)/SUM($O$3:$Q$3)</f>
        <v>7.9093616233657377E-2</v>
      </c>
      <c r="AW32" s="47">
        <f>COUNT(R32:AO32)/2</f>
        <v>3</v>
      </c>
      <c r="AX32" s="47">
        <f>IF(AND(S32&lt;&gt;"-",S32&gt;5),1,0)+IF(AND(U32&lt;&gt;"-",U32&gt;5),1,0)+IF(AND(W32&lt;&gt;"-",W32&gt;5),1,0)+IF(AND(Y32&lt;&gt;"-",Y32&gt;5),1,0)+IF(AND(AA32&lt;&gt;"-",AA32&gt;5),1,0)+IF(AND(AC32&lt;&gt;"-",AC32&gt;5),1,0)+IF(AND(AE32&lt;&gt;"-",AE32&gt;5),1,0)+IF(AND(AG32&lt;&gt;"-",AG32&gt;5),1,0)+IF(AND(AI32&lt;&gt;"-",AI32&gt;5),1,0)+IF(AND(AK32&lt;&gt;"-",AK32&gt;5),1,0)+IF(AND(AM32&lt;&gt;"-",AM32&gt;5),1,0)+IF(AND(AO32&lt;&gt;"-",AO32&gt;5),1,0)</f>
        <v>2</v>
      </c>
      <c r="AY32" s="48">
        <f>VLOOKUP(AP32,COND!$A$10:$B$32,2,FALSE)</f>
        <v>1</v>
      </c>
      <c r="AZ32" s="46">
        <f>($AU$3*AU32+$AV$3*AV32+$AW$3*AW32+$AX$3*AX32)*AY32*IF(AQ32&lt;5,0.95,IF(AQ32&lt;7,0.975,1))+$I$3*VLOOKUP(I32,COND!$A$2:$E$7,4,FALSE)+$J$3*VLOOKUP(J32,COND!$A$2:$E$7,2,FALSE)+$K$3*VLOOKUP(K32,COND!$A$2:$E$7,3,FALSE)+IF(BB32="SP",$BB$3,0)+IF($AW32&lt;3,-5,0)+IF(AND($B$2&gt;0,$E32&lt;20),$B$2*25,0)</f>
        <v>57.380661820365646</v>
      </c>
      <c r="BA32" s="49">
        <f>STANDARDIZE(AZ32,AVERAGE($AZ$5:$AZ$570),STDEVP($AZ$5:$AZ$570))</f>
        <v>2.2612816778736158</v>
      </c>
      <c r="BB32" s="47" t="str">
        <f>IF(OR(AND(AQ32&gt;7,AX32&gt;1),AND(AQ32&gt;4,AW32&gt;2)),"SP","RP")</f>
        <v>SP</v>
      </c>
      <c r="BC32" s="47"/>
      <c r="BD32" s="47"/>
      <c r="BE32" s="47"/>
      <c r="BF32" s="47" t="str">
        <f>IF(AVERAGE($O32:$Q32)&gt;=6,"Likely",IF(AVERAGE($O32:$Q32)&gt;=4,"Possible","Unlikely"))</f>
        <v>Possible</v>
      </c>
      <c r="BG32" s="47"/>
      <c r="BH32" s="47" t="str">
        <f>INDEX(Table5[[#All],[Ovr]],MATCH(Table3[[#This Row],[PID]],Table5[[#All],[PID]],0))</f>
        <v/>
      </c>
      <c r="BI32" s="47" t="str">
        <f>INDEX(Table5[[#All],[Rnd]],MATCH(Table3[[#This Row],[PID]],Table5[[#All],[PID]],0))</f>
        <v/>
      </c>
      <c r="BJ32" s="47" t="str">
        <f>INDEX(Table5[[#All],[Pick]],MATCH(Table3[[#This Row],[PID]],Table5[[#All],[PID]],0))</f>
        <v/>
      </c>
      <c r="BK32" s="47" t="str">
        <f>INDEX(Table5[[#All],[Team]],MATCH(Table3[[#This Row],[PID]],Table5[[#All],[PID]],0))</f>
        <v/>
      </c>
      <c r="BL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" spans="1:64" ht="15" customHeight="1" x14ac:dyDescent="0.25">
      <c r="A33" s="42">
        <v>11503</v>
      </c>
      <c r="B33" s="42" t="s">
        <v>49</v>
      </c>
      <c r="C33" s="42" t="s">
        <v>1201</v>
      </c>
      <c r="D33" s="42" t="s">
        <v>1202</v>
      </c>
      <c r="E33" s="42">
        <v>18</v>
      </c>
      <c r="F33" s="42" t="s">
        <v>42</v>
      </c>
      <c r="G33" s="42" t="s">
        <v>42</v>
      </c>
      <c r="H33" s="43" t="s">
        <v>709</v>
      </c>
      <c r="I33" s="44" t="s">
        <v>43</v>
      </c>
      <c r="J33" s="42" t="s">
        <v>43</v>
      </c>
      <c r="K33" s="43" t="s">
        <v>47</v>
      </c>
      <c r="L33" s="42">
        <v>1</v>
      </c>
      <c r="M33" s="42">
        <v>2</v>
      </c>
      <c r="N33" s="43">
        <v>2</v>
      </c>
      <c r="O33" s="42">
        <v>6</v>
      </c>
      <c r="P33" s="42">
        <v>4</v>
      </c>
      <c r="Q33" s="43">
        <v>5</v>
      </c>
      <c r="R33" s="42">
        <v>3</v>
      </c>
      <c r="S33" s="42">
        <v>5</v>
      </c>
      <c r="T33" s="42">
        <v>1</v>
      </c>
      <c r="U33" s="42">
        <v>9</v>
      </c>
      <c r="V33" s="42">
        <v>1</v>
      </c>
      <c r="W33" s="42">
        <v>1</v>
      </c>
      <c r="X33" s="42" t="s">
        <v>45</v>
      </c>
      <c r="Y33" s="42" t="s">
        <v>45</v>
      </c>
      <c r="Z33" s="42" t="s">
        <v>45</v>
      </c>
      <c r="AA33" s="42" t="s">
        <v>45</v>
      </c>
      <c r="AB33" s="42" t="s">
        <v>45</v>
      </c>
      <c r="AC33" s="42" t="s">
        <v>45</v>
      </c>
      <c r="AD33" s="42" t="s">
        <v>45</v>
      </c>
      <c r="AE33" s="42" t="s">
        <v>45</v>
      </c>
      <c r="AF33" s="42" t="s">
        <v>45</v>
      </c>
      <c r="AG33" s="42" t="s">
        <v>45</v>
      </c>
      <c r="AH33" s="42" t="s">
        <v>45</v>
      </c>
      <c r="AI33" s="42" t="s">
        <v>45</v>
      </c>
      <c r="AJ33" s="42" t="s">
        <v>45</v>
      </c>
      <c r="AK33" s="42" t="s">
        <v>45</v>
      </c>
      <c r="AL33" s="42" t="s">
        <v>45</v>
      </c>
      <c r="AM33" s="42" t="s">
        <v>45</v>
      </c>
      <c r="AN33" s="42" t="s">
        <v>45</v>
      </c>
      <c r="AO33" s="43" t="s">
        <v>45</v>
      </c>
      <c r="AP33" s="42" t="s">
        <v>68</v>
      </c>
      <c r="AQ33" s="42">
        <v>3</v>
      </c>
      <c r="AR33" s="50" t="s">
        <v>353</v>
      </c>
      <c r="AS33" s="45" t="s">
        <v>718</v>
      </c>
      <c r="AT33" s="45" t="s">
        <v>705</v>
      </c>
      <c r="AU33" s="46">
        <f>($O$3*(L33-$O$1)/$O$2+$P$3*(M33-$P$1)/$P$2+$Q$3*(N33-$P$1)/$Q$2)/SUM($O$3:$Q$3)</f>
        <v>-2.2637319554834323</v>
      </c>
      <c r="AV33" s="46">
        <f>($O$3*(O33-$O$1)/$O$2+$P$3*(P33-$P$1)/$P$2+$Q$3*(Q33-$Q$1)/$Q$2)/SUM($O$3:$Q$3)</f>
        <v>0.27304454882194901</v>
      </c>
      <c r="AW33" s="47">
        <f>COUNT(R33:AO33)/2</f>
        <v>3</v>
      </c>
      <c r="AX33" s="47">
        <f>IF(AND(S33&lt;&gt;"-",S33&gt;5),1,0)+IF(AND(U33&lt;&gt;"-",U33&gt;5),1,0)+IF(AND(W33&lt;&gt;"-",W33&gt;5),1,0)+IF(AND(Y33&lt;&gt;"-",Y33&gt;5),1,0)+IF(AND(AA33&lt;&gt;"-",AA33&gt;5),1,0)+IF(AND(AC33&lt;&gt;"-",AC33&gt;5),1,0)+IF(AND(AE33&lt;&gt;"-",AE33&gt;5),1,0)+IF(AND(AG33&lt;&gt;"-",AG33&gt;5),1,0)+IF(AND(AI33&lt;&gt;"-",AI33&gt;5),1,0)+IF(AND(AK33&lt;&gt;"-",AK33&gt;5),1,0)+IF(AND(AM33&lt;&gt;"-",AM33&gt;5),1,0)+IF(AND(AO33&lt;&gt;"-",AO33&gt;5),1,0)</f>
        <v>1</v>
      </c>
      <c r="AY33" s="48">
        <f>VLOOKUP(AP33,COND!$A$10:$B$32,2,FALSE)</f>
        <v>0.95</v>
      </c>
      <c r="AZ33" s="46">
        <f>($AU$3*AU33+$AV$3*AV33+$AW$3*AW33+$AX$3*AX33)*AY33*IF(AQ33&lt;5,0.95,IF(AQ33&lt;7,0.975,1))+$I$3*VLOOKUP(I33,COND!$A$2:$E$7,4,FALSE)+$J$3*VLOOKUP(J33,COND!$A$2:$E$7,2,FALSE)+$K$3*VLOOKUP(K33,COND!$A$2:$E$7,3,FALSE)+IF(BB33="SP",$BB$3,0)+IF($AW33&lt;3,-5,0)+IF(AND($B$2&gt;0,$E33&lt;20),$B$2*25,0)</f>
        <v>57.301725488271416</v>
      </c>
      <c r="BA33" s="49">
        <f>STANDARDIZE(AZ33,AVERAGE($AZ$5:$AZ$570),STDEVP($AZ$5:$AZ$570))</f>
        <v>2.2540428788396007</v>
      </c>
      <c r="BB33" s="47" t="str">
        <f>IF(OR(AND(AQ33&gt;7,AX33&gt;1),AND(AQ33&gt;4,AW33&gt;2)),"SP","RP")</f>
        <v>RP</v>
      </c>
      <c r="BC33" s="47"/>
      <c r="BD33" s="47"/>
      <c r="BE33" s="47"/>
      <c r="BF33" s="47" t="str">
        <f>IF(AVERAGE($O33:$Q33)&gt;=6,"Likely",IF(AVERAGE($O33:$Q33)&gt;=4,"Possible","Unlikely"))</f>
        <v>Possible</v>
      </c>
      <c r="BG33" s="47"/>
      <c r="BH33" s="47" t="str">
        <f>INDEX(Table5[[#All],[Ovr]],MATCH(Table3[[#This Row],[PID]],Table5[[#All],[PID]],0))</f>
        <v/>
      </c>
      <c r="BI33" s="47" t="str">
        <f>INDEX(Table5[[#All],[Rnd]],MATCH(Table3[[#This Row],[PID]],Table5[[#All],[PID]],0))</f>
        <v/>
      </c>
      <c r="BJ33" s="47" t="str">
        <f>INDEX(Table5[[#All],[Pick]],MATCH(Table3[[#This Row],[PID]],Table5[[#All],[PID]],0))</f>
        <v/>
      </c>
      <c r="BK33" s="47" t="str">
        <f>INDEX(Table5[[#All],[Team]],MATCH(Table3[[#This Row],[PID]],Table5[[#All],[PID]],0))</f>
        <v/>
      </c>
      <c r="BL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" spans="1:64" ht="15" customHeight="1" x14ac:dyDescent="0.25">
      <c r="A34" s="42">
        <v>6961</v>
      </c>
      <c r="B34" s="42" t="s">
        <v>430</v>
      </c>
      <c r="C34" s="42" t="s">
        <v>128</v>
      </c>
      <c r="D34" s="42" t="s">
        <v>1456</v>
      </c>
      <c r="E34" s="42">
        <v>21</v>
      </c>
      <c r="F34" s="42" t="s">
        <v>53</v>
      </c>
      <c r="G34" s="42" t="s">
        <v>53</v>
      </c>
      <c r="H34" s="43" t="s">
        <v>709</v>
      </c>
      <c r="I34" s="44" t="s">
        <v>47</v>
      </c>
      <c r="J34" s="42" t="s">
        <v>43</v>
      </c>
      <c r="K34" s="43" t="s">
        <v>47</v>
      </c>
      <c r="L34" s="42">
        <v>5</v>
      </c>
      <c r="M34" s="42">
        <v>2</v>
      </c>
      <c r="N34" s="43">
        <v>5</v>
      </c>
      <c r="O34" s="42">
        <v>7</v>
      </c>
      <c r="P34" s="42">
        <v>3</v>
      </c>
      <c r="Q34" s="43">
        <v>5</v>
      </c>
      <c r="R34" s="42">
        <v>6</v>
      </c>
      <c r="S34" s="42">
        <v>7</v>
      </c>
      <c r="T34" s="42">
        <v>1</v>
      </c>
      <c r="U34" s="42">
        <v>1</v>
      </c>
      <c r="V34" s="42">
        <v>6</v>
      </c>
      <c r="W34" s="42">
        <v>9</v>
      </c>
      <c r="X34" s="42" t="s">
        <v>45</v>
      </c>
      <c r="Y34" s="42" t="s">
        <v>45</v>
      </c>
      <c r="Z34" s="42" t="s">
        <v>45</v>
      </c>
      <c r="AA34" s="42" t="s">
        <v>45</v>
      </c>
      <c r="AB34" s="42" t="s">
        <v>45</v>
      </c>
      <c r="AC34" s="42" t="s">
        <v>45</v>
      </c>
      <c r="AD34" s="42" t="s">
        <v>45</v>
      </c>
      <c r="AE34" s="42" t="s">
        <v>45</v>
      </c>
      <c r="AF34" s="42" t="s">
        <v>45</v>
      </c>
      <c r="AG34" s="42" t="s">
        <v>45</v>
      </c>
      <c r="AH34" s="42" t="s">
        <v>45</v>
      </c>
      <c r="AI34" s="42" t="s">
        <v>45</v>
      </c>
      <c r="AJ34" s="42" t="s">
        <v>45</v>
      </c>
      <c r="AK34" s="42" t="s">
        <v>45</v>
      </c>
      <c r="AL34" s="42" t="s">
        <v>45</v>
      </c>
      <c r="AM34" s="42" t="s">
        <v>45</v>
      </c>
      <c r="AN34" s="42" t="s">
        <v>45</v>
      </c>
      <c r="AO34" s="43" t="s">
        <v>45</v>
      </c>
      <c r="AP34" s="42" t="s">
        <v>57</v>
      </c>
      <c r="AQ34" s="42">
        <v>6</v>
      </c>
      <c r="AR34" s="50" t="s">
        <v>353</v>
      </c>
      <c r="AS34" s="45" t="s">
        <v>45</v>
      </c>
      <c r="AT34" s="45" t="s">
        <v>47</v>
      </c>
      <c r="AU34" s="46">
        <f>($O$3*(L34-$O$1)/$O$2+$P$3*(M34-$P$1)/$P$2+$Q$3*(N34-$P$1)/$Q$2)/SUM($O$3:$Q$3)</f>
        <v>-0.75800495928440703</v>
      </c>
      <c r="AV34" s="46">
        <f>($O$3*(O34-$O$1)/$O$2+$P$3*(P34-$P$1)/$P$2+$Q$3*(Q34-$Q$1)/$Q$2)/SUM($O$3:$Q$3)</f>
        <v>0.27230415690106707</v>
      </c>
      <c r="AW34" s="47">
        <f>COUNT(R34:AO34)/2</f>
        <v>3</v>
      </c>
      <c r="AX34" s="47">
        <f>IF(AND(S34&lt;&gt;"-",S34&gt;5),1,0)+IF(AND(U34&lt;&gt;"-",U34&gt;5),1,0)+IF(AND(W34&lt;&gt;"-",W34&gt;5),1,0)+IF(AND(Y34&lt;&gt;"-",Y34&gt;5),1,0)+IF(AND(AA34&lt;&gt;"-",AA34&gt;5),1,0)+IF(AND(AC34&lt;&gt;"-",AC34&gt;5),1,0)+IF(AND(AE34&lt;&gt;"-",AE34&gt;5),1,0)+IF(AND(AG34&lt;&gt;"-",AG34&gt;5),1,0)+IF(AND(AI34&lt;&gt;"-",AI34&gt;5),1,0)+IF(AND(AK34&lt;&gt;"-",AK34&gt;5),1,0)+IF(AND(AM34&lt;&gt;"-",AM34&gt;5),1,0)+IF(AND(AO34&lt;&gt;"-",AO34&gt;5),1,0)</f>
        <v>2</v>
      </c>
      <c r="AY34" s="48">
        <f>VLOOKUP(AP34,COND!$A$10:$B$32,2,FALSE)</f>
        <v>1</v>
      </c>
      <c r="AZ34" s="46">
        <f>($AU$3*AU34+$AV$3*AV34+$AW$3*AW34+$AX$3*AX34)*AY34*IF(AQ34&lt;5,0.95,IF(AQ34&lt;7,0.975,1))+$I$3*VLOOKUP(I34,COND!$A$2:$E$7,4,FALSE)+$J$3*VLOOKUP(J34,COND!$A$2:$E$7,2,FALSE)+$K$3*VLOOKUP(K34,COND!$A$2:$E$7,3,FALSE)+IF(BB34="SP",$BB$3,0)+IF($AW34&lt;3,-5,0)+IF(AND($B$2&gt;0,$E34&lt;20),$B$2*25,0)</f>
        <v>56.587120092510347</v>
      </c>
      <c r="BA34" s="49">
        <f>STANDARDIZE(AZ34,AVERAGE($AZ$5:$AZ$570),STDEVP($AZ$5:$AZ$570))</f>
        <v>2.1885105097606572</v>
      </c>
      <c r="BB34" s="47" t="str">
        <f>IF(OR(AND(AQ34&gt;7,AX34&gt;1),AND(AQ34&gt;4,AW34&gt;2)),"SP","RP")</f>
        <v>SP</v>
      </c>
      <c r="BC34" s="47"/>
      <c r="BD34" s="47"/>
      <c r="BE34" s="47"/>
      <c r="BF34" s="47" t="str">
        <f>IF(AVERAGE($O34:$Q34)&gt;=6,"Likely",IF(AVERAGE($O34:$Q34)&gt;=4,"Possible","Unlikely"))</f>
        <v>Possible</v>
      </c>
      <c r="BG34" s="47"/>
      <c r="BH34" s="47" t="str">
        <f>INDEX(Table5[[#All],[Ovr]],MATCH(Table3[[#This Row],[PID]],Table5[[#All],[PID]],0))</f>
        <v/>
      </c>
      <c r="BI34" s="47" t="str">
        <f>INDEX(Table5[[#All],[Rnd]],MATCH(Table3[[#This Row],[PID]],Table5[[#All],[PID]],0))</f>
        <v/>
      </c>
      <c r="BJ34" s="47" t="str">
        <f>INDEX(Table5[[#All],[Pick]],MATCH(Table3[[#This Row],[PID]],Table5[[#All],[PID]],0))</f>
        <v/>
      </c>
      <c r="BK34" s="47" t="str">
        <f>INDEX(Table5[[#All],[Team]],MATCH(Table3[[#This Row],[PID]],Table5[[#All],[PID]],0))</f>
        <v/>
      </c>
      <c r="BL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" spans="1:64" ht="15" customHeight="1" x14ac:dyDescent="0.25">
      <c r="A35" s="42">
        <v>7291</v>
      </c>
      <c r="B35" s="42" t="s">
        <v>24</v>
      </c>
      <c r="C35" s="42" t="s">
        <v>724</v>
      </c>
      <c r="D35" s="42" t="s">
        <v>1508</v>
      </c>
      <c r="E35" s="42">
        <v>21</v>
      </c>
      <c r="F35" s="42" t="s">
        <v>42</v>
      </c>
      <c r="G35" s="42" t="s">
        <v>42</v>
      </c>
      <c r="H35" s="43" t="s">
        <v>703</v>
      </c>
      <c r="I35" s="44" t="s">
        <v>44</v>
      </c>
      <c r="J35" s="42" t="s">
        <v>44</v>
      </c>
      <c r="K35" s="43" t="s">
        <v>43</v>
      </c>
      <c r="L35" s="42">
        <v>3</v>
      </c>
      <c r="M35" s="42">
        <v>3</v>
      </c>
      <c r="N35" s="43">
        <v>3</v>
      </c>
      <c r="O35" s="42">
        <v>5</v>
      </c>
      <c r="P35" s="42">
        <v>4</v>
      </c>
      <c r="Q35" s="43">
        <v>6</v>
      </c>
      <c r="R35" s="42" t="s">
        <v>45</v>
      </c>
      <c r="S35" s="42" t="s">
        <v>45</v>
      </c>
      <c r="T35" s="42">
        <v>2</v>
      </c>
      <c r="U35" s="42">
        <v>6</v>
      </c>
      <c r="V35" s="42">
        <v>2</v>
      </c>
      <c r="W35" s="42">
        <v>2</v>
      </c>
      <c r="X35" s="42">
        <v>4</v>
      </c>
      <c r="Y35" s="42">
        <v>6</v>
      </c>
      <c r="Z35" s="42">
        <v>4</v>
      </c>
      <c r="AA35" s="42">
        <v>5</v>
      </c>
      <c r="AB35" s="42" t="s">
        <v>45</v>
      </c>
      <c r="AC35" s="42" t="s">
        <v>45</v>
      </c>
      <c r="AD35" s="42">
        <v>5</v>
      </c>
      <c r="AE35" s="42">
        <v>5</v>
      </c>
      <c r="AF35" s="42" t="s">
        <v>45</v>
      </c>
      <c r="AG35" s="42" t="s">
        <v>45</v>
      </c>
      <c r="AH35" s="42" t="s">
        <v>45</v>
      </c>
      <c r="AI35" s="42" t="s">
        <v>45</v>
      </c>
      <c r="AJ35" s="42" t="s">
        <v>45</v>
      </c>
      <c r="AK35" s="42" t="s">
        <v>45</v>
      </c>
      <c r="AL35" s="42" t="s">
        <v>45</v>
      </c>
      <c r="AM35" s="42" t="s">
        <v>45</v>
      </c>
      <c r="AN35" s="42" t="s">
        <v>45</v>
      </c>
      <c r="AO35" s="43" t="s">
        <v>45</v>
      </c>
      <c r="AP35" s="42" t="s">
        <v>60</v>
      </c>
      <c r="AQ35" s="42">
        <v>6</v>
      </c>
      <c r="AR35" s="50" t="s">
        <v>352</v>
      </c>
      <c r="AS35" s="45" t="s">
        <v>596</v>
      </c>
      <c r="AT35" s="45" t="s">
        <v>705</v>
      </c>
      <c r="AU35" s="46">
        <f>($O$3*(L35-$O$1)/$O$2+$P$3*(M35-$P$1)/$P$2+$Q$3*(N35-$P$1)/$Q$2)/SUM($O$3:$Q$3)</f>
        <v>-1.4365970239809194</v>
      </c>
      <c r="AV35" s="46">
        <f>($O$3*(O35-$O$1)/$O$2+$P$3*(P35-$P$1)/$P$2+$Q$3*(Q35-$Q$1)/$Q$2)/SUM($O$3:$Q$3)</f>
        <v>0.32067379036688581</v>
      </c>
      <c r="AW35" s="47">
        <f>COUNT(R35:AO35)/2</f>
        <v>5</v>
      </c>
      <c r="AX35" s="47">
        <f>IF(AND(S35&lt;&gt;"-",S35&gt;5),1,0)+IF(AND(U35&lt;&gt;"-",U35&gt;5),1,0)+IF(AND(W35&lt;&gt;"-",W35&gt;5),1,0)+IF(AND(Y35&lt;&gt;"-",Y35&gt;5),1,0)+IF(AND(AA35&lt;&gt;"-",AA35&gt;5),1,0)+IF(AND(AC35&lt;&gt;"-",AC35&gt;5),1,0)+IF(AND(AE35&lt;&gt;"-",AE35&gt;5),1,0)+IF(AND(AG35&lt;&gt;"-",AG35&gt;5),1,0)+IF(AND(AI35&lt;&gt;"-",AI35&gt;5),1,0)+IF(AND(AK35&lt;&gt;"-",AK35&gt;5),1,0)+IF(AND(AM35&lt;&gt;"-",AM35&gt;5),1,0)+IF(AND(AO35&lt;&gt;"-",AO35&gt;5),1,0)</f>
        <v>2</v>
      </c>
      <c r="AY35" s="48">
        <f>VLOOKUP(AP35,COND!$A$10:$B$32,2,FALSE)</f>
        <v>1.0249999999999999</v>
      </c>
      <c r="AZ35" s="46">
        <f>($AU$3*AU35+$AV$3*AV35+$AW$3*AW35+$AX$3*AX35)*AY35*IF(AQ35&lt;5,0.95,IF(AQ35&lt;7,0.975,1))+$I$3*VLOOKUP(I35,COND!$A$2:$E$7,4,FALSE)+$J$3*VLOOKUP(J35,COND!$A$2:$E$7,2,FALSE)+$K$3*VLOOKUP(K35,COND!$A$2:$E$7,3,FALSE)+IF(BB35="SP",$BB$3,0)+IF($AW35&lt;3,-5,0)+IF(AND($B$2&gt;0,$E35&lt;20),$B$2*25,0)</f>
        <v>57.669202554789948</v>
      </c>
      <c r="BA35" s="49">
        <f>STANDARDIZE(AZ35,AVERAGE($AZ$5:$AZ$570),STDEVP($AZ$5:$AZ$570))</f>
        <v>2.2877420964693425</v>
      </c>
      <c r="BB35" s="47" t="str">
        <f>IF(OR(AND(AQ35&gt;7,AX35&gt;1),AND(AQ35&gt;4,AW35&gt;2)),"SP","RP")</f>
        <v>SP</v>
      </c>
      <c r="BC35" s="47"/>
      <c r="BD35" s="47"/>
      <c r="BE35" s="47"/>
      <c r="BF35" s="47" t="str">
        <f>IF(AVERAGE($O35:$Q35)&gt;=6,"Likely",IF(AVERAGE($O35:$Q35)&gt;=4,"Possible","Unlikely"))</f>
        <v>Possible</v>
      </c>
      <c r="BG35" s="47"/>
      <c r="BH35" s="47" t="str">
        <f>INDEX(Table5[[#All],[Ovr]],MATCH(Table3[[#This Row],[PID]],Table5[[#All],[PID]],0))</f>
        <v/>
      </c>
      <c r="BI35" s="47" t="str">
        <f>INDEX(Table5[[#All],[Rnd]],MATCH(Table3[[#This Row],[PID]],Table5[[#All],[PID]],0))</f>
        <v/>
      </c>
      <c r="BJ35" s="47" t="str">
        <f>INDEX(Table5[[#All],[Pick]],MATCH(Table3[[#This Row],[PID]],Table5[[#All],[PID]],0))</f>
        <v/>
      </c>
      <c r="BK35" s="47" t="str">
        <f>INDEX(Table5[[#All],[Team]],MATCH(Table3[[#This Row],[PID]],Table5[[#All],[PID]],0))</f>
        <v/>
      </c>
      <c r="BL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" spans="1:64" ht="15" customHeight="1" x14ac:dyDescent="0.25">
      <c r="A36" s="42">
        <v>6542</v>
      </c>
      <c r="B36" s="42" t="s">
        <v>24</v>
      </c>
      <c r="C36" s="42" t="s">
        <v>905</v>
      </c>
      <c r="D36" s="42" t="s">
        <v>1302</v>
      </c>
      <c r="E36" s="42">
        <v>18</v>
      </c>
      <c r="F36" s="42" t="s">
        <v>42</v>
      </c>
      <c r="G36" s="42" t="s">
        <v>42</v>
      </c>
      <c r="H36" s="43" t="s">
        <v>709</v>
      </c>
      <c r="I36" s="44" t="s">
        <v>43</v>
      </c>
      <c r="J36" s="42" t="s">
        <v>43</v>
      </c>
      <c r="K36" s="43" t="s">
        <v>43</v>
      </c>
      <c r="L36" s="42">
        <v>1</v>
      </c>
      <c r="M36" s="42">
        <v>2</v>
      </c>
      <c r="N36" s="43">
        <v>2</v>
      </c>
      <c r="O36" s="42">
        <v>5</v>
      </c>
      <c r="P36" s="42">
        <v>5</v>
      </c>
      <c r="Q36" s="43">
        <v>4</v>
      </c>
      <c r="R36" s="42">
        <v>4</v>
      </c>
      <c r="S36" s="42">
        <v>8</v>
      </c>
      <c r="T36" s="42">
        <v>1</v>
      </c>
      <c r="U36" s="42">
        <v>5</v>
      </c>
      <c r="V36" s="42">
        <v>2</v>
      </c>
      <c r="W36" s="42">
        <v>8</v>
      </c>
      <c r="X36" s="42" t="s">
        <v>45</v>
      </c>
      <c r="Y36" s="42" t="s">
        <v>45</v>
      </c>
      <c r="Z36" s="42" t="s">
        <v>45</v>
      </c>
      <c r="AA36" s="42" t="s">
        <v>45</v>
      </c>
      <c r="AB36" s="42" t="s">
        <v>45</v>
      </c>
      <c r="AC36" s="42" t="s">
        <v>45</v>
      </c>
      <c r="AD36" s="42" t="s">
        <v>45</v>
      </c>
      <c r="AE36" s="42" t="s">
        <v>45</v>
      </c>
      <c r="AF36" s="42" t="s">
        <v>45</v>
      </c>
      <c r="AG36" s="42" t="s">
        <v>45</v>
      </c>
      <c r="AH36" s="42" t="s">
        <v>45</v>
      </c>
      <c r="AI36" s="42" t="s">
        <v>45</v>
      </c>
      <c r="AJ36" s="42" t="s">
        <v>45</v>
      </c>
      <c r="AK36" s="42" t="s">
        <v>45</v>
      </c>
      <c r="AL36" s="42" t="s">
        <v>45</v>
      </c>
      <c r="AM36" s="42" t="s">
        <v>45</v>
      </c>
      <c r="AN36" s="42" t="s">
        <v>45</v>
      </c>
      <c r="AO36" s="43" t="s">
        <v>45</v>
      </c>
      <c r="AP36" s="42" t="s">
        <v>58</v>
      </c>
      <c r="AQ36" s="42">
        <v>5</v>
      </c>
      <c r="AR36" s="50" t="s">
        <v>353</v>
      </c>
      <c r="AS36" s="45" t="s">
        <v>859</v>
      </c>
      <c r="AT36" s="45" t="s">
        <v>47</v>
      </c>
      <c r="AU36" s="46">
        <f>($O$3*(L36-$O$1)/$O$2+$P$3*(M36-$P$1)/$P$2+$Q$3*(N36-$P$1)/$Q$2)/SUM($O$3:$Q$3)</f>
        <v>-2.2637319554834323</v>
      </c>
      <c r="AV36" s="46">
        <f>($O$3*(O36-$O$1)/$O$2+$P$3*(P36-$P$1)/$P$2+$Q$3*(Q36-$Q$1)/$Q$2)/SUM($O$3:$Q$3)</f>
        <v>3.146437468872048E-2</v>
      </c>
      <c r="AW36" s="47">
        <f>COUNT(R36:AO36)/2</f>
        <v>3</v>
      </c>
      <c r="AX36" s="47">
        <f>IF(AND(S36&lt;&gt;"-",S36&gt;5),1,0)+IF(AND(U36&lt;&gt;"-",U36&gt;5),1,0)+IF(AND(W36&lt;&gt;"-",W36&gt;5),1,0)+IF(AND(Y36&lt;&gt;"-",Y36&gt;5),1,0)+IF(AND(AA36&lt;&gt;"-",AA36&gt;5),1,0)+IF(AND(AC36&lt;&gt;"-",AC36&gt;5),1,0)+IF(AND(AE36&lt;&gt;"-",AE36&gt;5),1,0)+IF(AND(AG36&lt;&gt;"-",AG36&gt;5),1,0)+IF(AND(AI36&lt;&gt;"-",AI36&gt;5),1,0)+IF(AND(AK36&lt;&gt;"-",AK36&gt;5),1,0)+IF(AND(AM36&lt;&gt;"-",AM36&gt;5),1,0)+IF(AND(AO36&lt;&gt;"-",AO36&gt;5),1,0)</f>
        <v>2</v>
      </c>
      <c r="AY36" s="48">
        <f>VLOOKUP(AP36,COND!$A$10:$B$32,2,FALSE)</f>
        <v>1</v>
      </c>
      <c r="AZ36" s="46">
        <f>($AU$3*AU36+$AV$3*AV36+$AW$3*AW36+$AX$3*AX36)*AY36*IF(AQ36&lt;5,0.95,IF(AQ36&lt;7,0.975,1))+$I$3*VLOOKUP(I36,COND!$A$2:$E$7,4,FALSE)+$J$3*VLOOKUP(J36,COND!$A$2:$E$7,2,FALSE)+$K$3*VLOOKUP(K36,COND!$A$2:$E$7,3,FALSE)+IF(BB36="SP",$BB$3,0)+IF($AW36&lt;3,-5,0)+IF(AND($B$2&gt;0,$E36&lt;20),$B$2*25,0)</f>
        <v>56.072127575110784</v>
      </c>
      <c r="BA36" s="49">
        <f>STANDARDIZE(AZ36,AVERAGE($AZ$5:$AZ$570),STDEVP($AZ$5:$AZ$570))</f>
        <v>2.1412834947908368</v>
      </c>
      <c r="BB36" s="47" t="str">
        <f>IF(OR(AND(AQ36&gt;7,AX36&gt;1),AND(AQ36&gt;4,AW36&gt;2)),"SP","RP")</f>
        <v>SP</v>
      </c>
      <c r="BC36" s="47"/>
      <c r="BD36" s="47"/>
      <c r="BE36" s="47"/>
      <c r="BF36" s="47" t="str">
        <f>IF(AVERAGE($O36:$Q36)&gt;=6,"Likely",IF(AVERAGE($O36:$Q36)&gt;=4,"Possible","Unlikely"))</f>
        <v>Possible</v>
      </c>
      <c r="BG36" s="47"/>
      <c r="BH36" s="47" t="str">
        <f>INDEX(Table5[[#All],[Ovr]],MATCH(Table3[[#This Row],[PID]],Table5[[#All],[PID]],0))</f>
        <v/>
      </c>
      <c r="BI36" s="47" t="str">
        <f>INDEX(Table5[[#All],[Rnd]],MATCH(Table3[[#This Row],[PID]],Table5[[#All],[PID]],0))</f>
        <v/>
      </c>
      <c r="BJ36" s="47" t="str">
        <f>INDEX(Table5[[#All],[Pick]],MATCH(Table3[[#This Row],[PID]],Table5[[#All],[PID]],0))</f>
        <v/>
      </c>
      <c r="BK36" s="47" t="str">
        <f>INDEX(Table5[[#All],[Team]],MATCH(Table3[[#This Row],[PID]],Table5[[#All],[PID]],0))</f>
        <v/>
      </c>
      <c r="BL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" spans="1:64" ht="15" customHeight="1" x14ac:dyDescent="0.25">
      <c r="A37" s="42">
        <v>13815</v>
      </c>
      <c r="B37" s="42" t="s">
        <v>24</v>
      </c>
      <c r="C37" s="42" t="s">
        <v>1556</v>
      </c>
      <c r="D37" s="42" t="s">
        <v>192</v>
      </c>
      <c r="E37" s="42">
        <v>18</v>
      </c>
      <c r="F37" s="42" t="s">
        <v>53</v>
      </c>
      <c r="G37" s="42" t="s">
        <v>42</v>
      </c>
      <c r="H37" s="43" t="s">
        <v>709</v>
      </c>
      <c r="I37" s="44" t="s">
        <v>43</v>
      </c>
      <c r="J37" s="42" t="s">
        <v>43</v>
      </c>
      <c r="K37" s="43" t="s">
        <v>43</v>
      </c>
      <c r="L37" s="42">
        <v>1</v>
      </c>
      <c r="M37" s="42">
        <v>2</v>
      </c>
      <c r="N37" s="43">
        <v>1</v>
      </c>
      <c r="O37" s="42">
        <v>5</v>
      </c>
      <c r="P37" s="42">
        <v>5</v>
      </c>
      <c r="Q37" s="43">
        <v>4</v>
      </c>
      <c r="R37" s="42">
        <v>3</v>
      </c>
      <c r="S37" s="42">
        <v>7</v>
      </c>
      <c r="T37" s="42">
        <v>1</v>
      </c>
      <c r="U37" s="42">
        <v>1</v>
      </c>
      <c r="V37" s="42" t="s">
        <v>45</v>
      </c>
      <c r="W37" s="42" t="s">
        <v>45</v>
      </c>
      <c r="X37" s="42">
        <v>2</v>
      </c>
      <c r="Y37" s="42">
        <v>6</v>
      </c>
      <c r="Z37" s="42" t="s">
        <v>45</v>
      </c>
      <c r="AA37" s="42" t="s">
        <v>45</v>
      </c>
      <c r="AB37" s="42" t="s">
        <v>45</v>
      </c>
      <c r="AC37" s="42" t="s">
        <v>45</v>
      </c>
      <c r="AD37" s="42" t="s">
        <v>45</v>
      </c>
      <c r="AE37" s="42" t="s">
        <v>45</v>
      </c>
      <c r="AF37" s="42" t="s">
        <v>45</v>
      </c>
      <c r="AG37" s="42" t="s">
        <v>45</v>
      </c>
      <c r="AH37" s="42" t="s">
        <v>45</v>
      </c>
      <c r="AI37" s="42" t="s">
        <v>45</v>
      </c>
      <c r="AJ37" s="42" t="s">
        <v>45</v>
      </c>
      <c r="AK37" s="42" t="s">
        <v>45</v>
      </c>
      <c r="AL37" s="42" t="s">
        <v>45</v>
      </c>
      <c r="AM37" s="42" t="s">
        <v>45</v>
      </c>
      <c r="AN37" s="42" t="s">
        <v>45</v>
      </c>
      <c r="AO37" s="43" t="s">
        <v>45</v>
      </c>
      <c r="AP37" s="42" t="s">
        <v>356</v>
      </c>
      <c r="AQ37" s="42">
        <v>6</v>
      </c>
      <c r="AR37" s="50" t="s">
        <v>353</v>
      </c>
      <c r="AS37" s="45" t="s">
        <v>658</v>
      </c>
      <c r="AT37" s="45" t="s">
        <v>47</v>
      </c>
      <c r="AU37" s="46">
        <f>($O$3*(L37-$O$1)/$O$2+$P$3*(M37-$P$1)/$P$2+$Q$3*(N37-$P$1)/$Q$2)/SUM($O$3:$Q$3)</f>
        <v>-2.5060525215375429</v>
      </c>
      <c r="AV37" s="46">
        <f>($O$3*(O37-$O$1)/$O$2+$P$3*(P37-$P$1)/$P$2+$Q$3*(Q37-$Q$1)/$Q$2)/SUM($O$3:$Q$3)</f>
        <v>3.146437468872048E-2</v>
      </c>
      <c r="AW37" s="47">
        <f>COUNT(R37:AO37)/2</f>
        <v>3</v>
      </c>
      <c r="AX37" s="47">
        <f>IF(AND(S37&lt;&gt;"-",S37&gt;5),1,0)+IF(AND(U37&lt;&gt;"-",U37&gt;5),1,0)+IF(AND(W37&lt;&gt;"-",W37&gt;5),1,0)+IF(AND(Y37&lt;&gt;"-",Y37&gt;5),1,0)+IF(AND(AA37&lt;&gt;"-",AA37&gt;5),1,0)+IF(AND(AC37&lt;&gt;"-",AC37&gt;5),1,0)+IF(AND(AE37&lt;&gt;"-",AE37&gt;5),1,0)+IF(AND(AG37&lt;&gt;"-",AG37&gt;5),1,0)+IF(AND(AI37&lt;&gt;"-",AI37&gt;5),1,0)+IF(AND(AK37&lt;&gt;"-",AK37&gt;5),1,0)+IF(AND(AM37&lt;&gt;"-",AM37&gt;5),1,0)+IF(AND(AO37&lt;&gt;"-",AO37&gt;5),1,0)</f>
        <v>2</v>
      </c>
      <c r="AY37" s="48">
        <f>VLOOKUP(AP37,COND!$A$10:$B$32,2,FALSE)</f>
        <v>1</v>
      </c>
      <c r="AZ37" s="46">
        <f>($AU$3*AU37+$AV$3*AV37+$AW$3*AW37+$AX$3*AX37)*AY37*IF(AQ37&lt;5,0.95,IF(AQ37&lt;7,0.975,1))+$I$3*VLOOKUP(I37,COND!$A$2:$E$7,4,FALSE)+$J$3*VLOOKUP(J37,COND!$A$2:$E$7,2,FALSE)+$K$3*VLOOKUP(K37,COND!$A$2:$E$7,3,FALSE)+IF(BB37="SP",$BB$3,0)+IF($AW37&lt;3,-5,0)+IF(AND($B$2&gt;0,$E37&lt;20),$B$2*25,0)</f>
        <v>56.024875064730224</v>
      </c>
      <c r="BA37" s="49">
        <f>STANDARDIZE(AZ37,AVERAGE($AZ$5:$AZ$570),STDEVP($AZ$5:$AZ$570))</f>
        <v>2.1369502376274654</v>
      </c>
      <c r="BB37" s="47" t="str">
        <f>IF(OR(AND(AQ37&gt;7,AX37&gt;1),AND(AQ37&gt;4,AW37&gt;2)),"SP","RP")</f>
        <v>SP</v>
      </c>
      <c r="BC37" s="47"/>
      <c r="BD37" s="47"/>
      <c r="BE37" s="47"/>
      <c r="BF37" s="47" t="str">
        <f>IF(AVERAGE($O37:$Q37)&gt;=6,"Likely",IF(AVERAGE($O37:$Q37)&gt;=4,"Possible","Unlikely"))</f>
        <v>Possible</v>
      </c>
      <c r="BG37" s="47"/>
      <c r="BH37" s="47" t="str">
        <f>INDEX(Table5[[#All],[Ovr]],MATCH(Table3[[#This Row],[PID]],Table5[[#All],[PID]],0))</f>
        <v/>
      </c>
      <c r="BI37" s="47" t="str">
        <f>INDEX(Table5[[#All],[Rnd]],MATCH(Table3[[#This Row],[PID]],Table5[[#All],[PID]],0))</f>
        <v/>
      </c>
      <c r="BJ37" s="47" t="str">
        <f>INDEX(Table5[[#All],[Pick]],MATCH(Table3[[#This Row],[PID]],Table5[[#All],[PID]],0))</f>
        <v/>
      </c>
      <c r="BK37" s="47" t="str">
        <f>INDEX(Table5[[#All],[Team]],MATCH(Table3[[#This Row],[PID]],Table5[[#All],[PID]],0))</f>
        <v/>
      </c>
      <c r="BL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" spans="1:64" ht="15" customHeight="1" x14ac:dyDescent="0.25">
      <c r="A38" s="42">
        <v>17940</v>
      </c>
      <c r="B38" s="42" t="s">
        <v>24</v>
      </c>
      <c r="C38" s="42" t="s">
        <v>1604</v>
      </c>
      <c r="D38" s="42" t="s">
        <v>201</v>
      </c>
      <c r="E38" s="42">
        <v>18</v>
      </c>
      <c r="F38" s="42" t="s">
        <v>53</v>
      </c>
      <c r="G38" s="42" t="s">
        <v>42</v>
      </c>
      <c r="H38" s="43" t="s">
        <v>709</v>
      </c>
      <c r="I38" s="44" t="s">
        <v>44</v>
      </c>
      <c r="J38" s="42" t="s">
        <v>44</v>
      </c>
      <c r="K38" s="43" t="s">
        <v>43</v>
      </c>
      <c r="L38" s="42">
        <v>2</v>
      </c>
      <c r="M38" s="42">
        <v>2</v>
      </c>
      <c r="N38" s="43">
        <v>2</v>
      </c>
      <c r="O38" s="42">
        <v>4</v>
      </c>
      <c r="P38" s="42">
        <v>5</v>
      </c>
      <c r="Q38" s="43">
        <v>5</v>
      </c>
      <c r="R38" s="42">
        <v>4</v>
      </c>
      <c r="S38" s="42">
        <v>6</v>
      </c>
      <c r="T38" s="42">
        <v>1</v>
      </c>
      <c r="U38" s="42">
        <v>2</v>
      </c>
      <c r="V38" s="42">
        <v>2</v>
      </c>
      <c r="W38" s="42">
        <v>7</v>
      </c>
      <c r="X38" s="42" t="s">
        <v>45</v>
      </c>
      <c r="Y38" s="42" t="s">
        <v>45</v>
      </c>
      <c r="Z38" s="42" t="s">
        <v>45</v>
      </c>
      <c r="AA38" s="42" t="s">
        <v>45</v>
      </c>
      <c r="AB38" s="42" t="s">
        <v>45</v>
      </c>
      <c r="AC38" s="42" t="s">
        <v>45</v>
      </c>
      <c r="AD38" s="42" t="s">
        <v>45</v>
      </c>
      <c r="AE38" s="42" t="s">
        <v>45</v>
      </c>
      <c r="AF38" s="42" t="s">
        <v>45</v>
      </c>
      <c r="AG38" s="42" t="s">
        <v>45</v>
      </c>
      <c r="AH38" s="42" t="s">
        <v>45</v>
      </c>
      <c r="AI38" s="42" t="s">
        <v>45</v>
      </c>
      <c r="AJ38" s="42" t="s">
        <v>45</v>
      </c>
      <c r="AK38" s="42" t="s">
        <v>45</v>
      </c>
      <c r="AL38" s="42" t="s">
        <v>45</v>
      </c>
      <c r="AM38" s="42" t="s">
        <v>45</v>
      </c>
      <c r="AN38" s="42" t="s">
        <v>45</v>
      </c>
      <c r="AO38" s="43" t="s">
        <v>45</v>
      </c>
      <c r="AP38" s="42" t="s">
        <v>58</v>
      </c>
      <c r="AQ38" s="42">
        <v>5</v>
      </c>
      <c r="AR38" s="50" t="s">
        <v>353</v>
      </c>
      <c r="AS38" s="45" t="s">
        <v>718</v>
      </c>
      <c r="AT38" s="45" t="s">
        <v>47</v>
      </c>
      <c r="AU38" s="46">
        <f>($O$3*(L38-$O$1)/$O$2+$P$3*(M38-$P$1)/$P$2+$Q$3*(N38-$P$1)/$Q$2)/SUM($O$3:$Q$3)</f>
        <v>-2.0690406309742588</v>
      </c>
      <c r="AV38" s="46">
        <f>($O$3*(O38-$O$1)/$O$2+$P$3*(P38-$P$1)/$P$2+$Q$3*(Q38-$Q$1)/$Q$2)/SUM($O$3:$Q$3)</f>
        <v>7.9093616233657377E-2</v>
      </c>
      <c r="AW38" s="47">
        <f>COUNT(R38:AO38)/2</f>
        <v>3</v>
      </c>
      <c r="AX38" s="47">
        <f>IF(AND(S38&lt;&gt;"-",S38&gt;5),1,0)+IF(AND(U38&lt;&gt;"-",U38&gt;5),1,0)+IF(AND(W38&lt;&gt;"-",W38&gt;5),1,0)+IF(AND(Y38&lt;&gt;"-",Y38&gt;5),1,0)+IF(AND(AA38&lt;&gt;"-",AA38&gt;5),1,0)+IF(AND(AC38&lt;&gt;"-",AC38&gt;5),1,0)+IF(AND(AE38&lt;&gt;"-",AE38&gt;5),1,0)+IF(AND(AG38&lt;&gt;"-",AG38&gt;5),1,0)+IF(AND(AI38&lt;&gt;"-",AI38&gt;5),1,0)+IF(AND(AK38&lt;&gt;"-",AK38&gt;5),1,0)+IF(AND(AM38&lt;&gt;"-",AM38&gt;5),1,0)+IF(AND(AO38&lt;&gt;"-",AO38&gt;5),1,0)</f>
        <v>2</v>
      </c>
      <c r="AY38" s="48">
        <f>VLOOKUP(AP38,COND!$A$10:$B$32,2,FALSE)</f>
        <v>1</v>
      </c>
      <c r="AZ38" s="46">
        <f>($AU$3*AU38+$AV$3*AV38+$AW$3*AW38+$AX$3*AX38)*AY38*IF(AQ38&lt;5,0.95,IF(AQ38&lt;7,0.975,1))+$I$3*VLOOKUP(I38,COND!$A$2:$E$7,4,FALSE)+$J$3*VLOOKUP(J38,COND!$A$2:$E$7,2,FALSE)+$K$3*VLOOKUP(K38,COND!$A$2:$E$7,3,FALSE)+IF(BB38="SP",$BB$3,0)+IF($AW38&lt;3,-5,0)+IF(AND($B$2&gt;0,$E38&lt;20),$B$2*25,0)</f>
        <v>56.588862593516339</v>
      </c>
      <c r="BA38" s="49">
        <f>STANDARDIZE(AZ38,AVERAGE($AZ$5:$AZ$570),STDEVP($AZ$5:$AZ$570))</f>
        <v>2.1886703045505125</v>
      </c>
      <c r="BB38" s="47" t="str">
        <f>IF(OR(AND(AQ38&gt;7,AX38&gt;1),AND(AQ38&gt;4,AW38&gt;2)),"SP","RP")</f>
        <v>SP</v>
      </c>
      <c r="BC38" s="47"/>
      <c r="BD38" s="47"/>
      <c r="BE38" s="47"/>
      <c r="BF38" s="47" t="str">
        <f>IF(AVERAGE($O38:$Q38)&gt;=6,"Likely",IF(AVERAGE($O38:$Q38)&gt;=4,"Possible","Unlikely"))</f>
        <v>Possible</v>
      </c>
      <c r="BG38" s="47"/>
      <c r="BH38" s="47" t="str">
        <f>INDEX(Table5[[#All],[Ovr]],MATCH(Table3[[#This Row],[PID]],Table5[[#All],[PID]],0))</f>
        <v/>
      </c>
      <c r="BI38" s="47" t="str">
        <f>INDEX(Table5[[#All],[Rnd]],MATCH(Table3[[#This Row],[PID]],Table5[[#All],[PID]],0))</f>
        <v/>
      </c>
      <c r="BJ38" s="47" t="str">
        <f>INDEX(Table5[[#All],[Pick]],MATCH(Table3[[#This Row],[PID]],Table5[[#All],[PID]],0))</f>
        <v/>
      </c>
      <c r="BK38" s="47" t="str">
        <f>INDEX(Table5[[#All],[Team]],MATCH(Table3[[#This Row],[PID]],Table5[[#All],[PID]],0))</f>
        <v/>
      </c>
      <c r="BL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" spans="1:64" ht="15" customHeight="1" x14ac:dyDescent="0.25">
      <c r="A39" s="42">
        <v>6891</v>
      </c>
      <c r="B39" s="42" t="s">
        <v>49</v>
      </c>
      <c r="C39" s="42" t="s">
        <v>1445</v>
      </c>
      <c r="D39" s="42" t="s">
        <v>1446</v>
      </c>
      <c r="E39" s="42">
        <v>20</v>
      </c>
      <c r="F39" s="42" t="s">
        <v>42</v>
      </c>
      <c r="G39" s="42" t="s">
        <v>42</v>
      </c>
      <c r="H39" s="43" t="s">
        <v>703</v>
      </c>
      <c r="I39" s="44" t="s">
        <v>43</v>
      </c>
      <c r="J39" s="42" t="s">
        <v>43</v>
      </c>
      <c r="K39" s="43" t="s">
        <v>47</v>
      </c>
      <c r="L39" s="42">
        <v>7</v>
      </c>
      <c r="M39" s="42">
        <v>2</v>
      </c>
      <c r="N39" s="43">
        <v>2</v>
      </c>
      <c r="O39" s="42">
        <v>9</v>
      </c>
      <c r="P39" s="42">
        <v>3</v>
      </c>
      <c r="Q39" s="43">
        <v>3</v>
      </c>
      <c r="R39" s="42">
        <v>8</v>
      </c>
      <c r="S39" s="42">
        <v>9</v>
      </c>
      <c r="T39" s="42">
        <v>1</v>
      </c>
      <c r="U39" s="42">
        <v>2</v>
      </c>
      <c r="V39" s="42">
        <v>7</v>
      </c>
      <c r="W39" s="42">
        <v>9</v>
      </c>
      <c r="X39" s="42" t="s">
        <v>45</v>
      </c>
      <c r="Y39" s="42" t="s">
        <v>45</v>
      </c>
      <c r="Z39" s="42" t="s">
        <v>45</v>
      </c>
      <c r="AA39" s="42" t="s">
        <v>45</v>
      </c>
      <c r="AB39" s="42" t="s">
        <v>45</v>
      </c>
      <c r="AC39" s="42" t="s">
        <v>45</v>
      </c>
      <c r="AD39" s="42" t="s">
        <v>45</v>
      </c>
      <c r="AE39" s="42" t="s">
        <v>45</v>
      </c>
      <c r="AF39" s="42" t="s">
        <v>45</v>
      </c>
      <c r="AG39" s="42" t="s">
        <v>45</v>
      </c>
      <c r="AH39" s="42" t="s">
        <v>45</v>
      </c>
      <c r="AI39" s="42" t="s">
        <v>45</v>
      </c>
      <c r="AJ39" s="42" t="s">
        <v>45</v>
      </c>
      <c r="AK39" s="42" t="s">
        <v>45</v>
      </c>
      <c r="AL39" s="42" t="s">
        <v>45</v>
      </c>
      <c r="AM39" s="42" t="s">
        <v>45</v>
      </c>
      <c r="AN39" s="42" t="s">
        <v>45</v>
      </c>
      <c r="AO39" s="43" t="s">
        <v>45</v>
      </c>
      <c r="AP39" s="42" t="s">
        <v>59</v>
      </c>
      <c r="AQ39" s="42">
        <v>6</v>
      </c>
      <c r="AR39" s="50" t="s">
        <v>353</v>
      </c>
      <c r="AS39" s="45" t="s">
        <v>45</v>
      </c>
      <c r="AT39" s="45" t="s">
        <v>705</v>
      </c>
      <c r="AU39" s="46">
        <f>($O$3*(L39-$O$1)/$O$2+$P$3*(M39-$P$1)/$P$2+$Q$3*(N39-$P$1)/$Q$2)/SUM($O$3:$Q$3)</f>
        <v>-1.0955840084283912</v>
      </c>
      <c r="AV39" s="46">
        <f>($O$3*(O39-$O$1)/$O$2+$P$3*(P39-$P$1)/$P$2+$Q$3*(Q39-$Q$1)/$Q$2)/SUM($O$3:$Q$3)</f>
        <v>0.17704567381119332</v>
      </c>
      <c r="AW39" s="47">
        <f>COUNT(R39:AO39)/2</f>
        <v>3</v>
      </c>
      <c r="AX39" s="47">
        <f>IF(AND(S39&lt;&gt;"-",S39&gt;5),1,0)+IF(AND(U39&lt;&gt;"-",U39&gt;5),1,0)+IF(AND(W39&lt;&gt;"-",W39&gt;5),1,0)+IF(AND(Y39&lt;&gt;"-",Y39&gt;5),1,0)+IF(AND(AA39&lt;&gt;"-",AA39&gt;5),1,0)+IF(AND(AC39&lt;&gt;"-",AC39&gt;5),1,0)+IF(AND(AE39&lt;&gt;"-",AE39&gt;5),1,0)+IF(AND(AG39&lt;&gt;"-",AG39&gt;5),1,0)+IF(AND(AI39&lt;&gt;"-",AI39&gt;5),1,0)+IF(AND(AK39&lt;&gt;"-",AK39&gt;5),1,0)+IF(AND(AM39&lt;&gt;"-",AM39&gt;5),1,0)+IF(AND(AO39&lt;&gt;"-",AO39&gt;5),1,0)</f>
        <v>2</v>
      </c>
      <c r="AY39" s="48">
        <f>VLOOKUP(AP39,COND!$A$10:$B$32,2,FALSE)</f>
        <v>1.075</v>
      </c>
      <c r="AZ39" s="46">
        <f>($AU$3*AU39+$AV$3*AV39+$AW$3*AW39+$AX$3*AX39)*AY39*IF(AQ39&lt;5,0.95,IF(AQ39&lt;7,0.975,1))+$I$3*VLOOKUP(I39,COND!$A$2:$E$7,4,FALSE)+$J$3*VLOOKUP(J39,COND!$A$2:$E$7,2,FALSE)+$K$3*VLOOKUP(K39,COND!$A$2:$E$7,3,FALSE)+IF(BB39="SP",$BB$3,0)+IF($AW39&lt;3,-5,0)+IF(AND($B$2&gt;0,$E39&lt;20),$B$2*25,0)</f>
        <v>54.974158139500332</v>
      </c>
      <c r="BA39" s="49">
        <f>STANDARDIZE(AZ39,AVERAGE($AZ$5:$AZ$570),STDEVP($AZ$5:$AZ$570))</f>
        <v>2.0405950047253612</v>
      </c>
      <c r="BB39" s="47" t="str">
        <f>IF(OR(AND(AQ39&gt;7,AX39&gt;1),AND(AQ39&gt;4,AW39&gt;2)),"SP","RP")</f>
        <v>SP</v>
      </c>
      <c r="BC39" s="47"/>
      <c r="BD39" s="47"/>
      <c r="BE39" s="47"/>
      <c r="BF39" s="47" t="str">
        <f>IF(AVERAGE($O39:$Q39)&gt;=6,"Likely",IF(AVERAGE($O39:$Q39)&gt;=4,"Possible","Unlikely"))</f>
        <v>Possible</v>
      </c>
      <c r="BG39" s="47"/>
      <c r="BH39" s="47" t="str">
        <f>INDEX(Table5[[#All],[Ovr]],MATCH(Table3[[#This Row],[PID]],Table5[[#All],[PID]],0))</f>
        <v/>
      </c>
      <c r="BI39" s="47" t="str">
        <f>INDEX(Table5[[#All],[Rnd]],MATCH(Table3[[#This Row],[PID]],Table5[[#All],[PID]],0))</f>
        <v/>
      </c>
      <c r="BJ39" s="47" t="str">
        <f>INDEX(Table5[[#All],[Pick]],MATCH(Table3[[#This Row],[PID]],Table5[[#All],[PID]],0))</f>
        <v/>
      </c>
      <c r="BK39" s="47" t="str">
        <f>INDEX(Table5[[#All],[Team]],MATCH(Table3[[#This Row],[PID]],Table5[[#All],[PID]],0))</f>
        <v/>
      </c>
      <c r="BL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" spans="1:64" ht="15" customHeight="1" x14ac:dyDescent="0.25">
      <c r="A40" s="42">
        <v>7963</v>
      </c>
      <c r="B40" s="42" t="s">
        <v>430</v>
      </c>
      <c r="C40" s="42" t="s">
        <v>143</v>
      </c>
      <c r="D40" s="42" t="s">
        <v>373</v>
      </c>
      <c r="E40" s="42">
        <v>18</v>
      </c>
      <c r="F40" s="42" t="s">
        <v>53</v>
      </c>
      <c r="G40" s="42" t="s">
        <v>53</v>
      </c>
      <c r="H40" s="43" t="s">
        <v>709</v>
      </c>
      <c r="I40" s="44" t="s">
        <v>43</v>
      </c>
      <c r="J40" s="42" t="s">
        <v>43</v>
      </c>
      <c r="K40" s="43" t="s">
        <v>43</v>
      </c>
      <c r="L40" s="42">
        <v>2</v>
      </c>
      <c r="M40" s="42">
        <v>2</v>
      </c>
      <c r="N40" s="43">
        <v>1</v>
      </c>
      <c r="O40" s="42">
        <v>6</v>
      </c>
      <c r="P40" s="42">
        <v>5</v>
      </c>
      <c r="Q40" s="43">
        <v>3</v>
      </c>
      <c r="R40" s="42" t="s">
        <v>45</v>
      </c>
      <c r="S40" s="42" t="s">
        <v>45</v>
      </c>
      <c r="T40" s="42">
        <v>1</v>
      </c>
      <c r="U40" s="42">
        <v>1</v>
      </c>
      <c r="V40" s="42">
        <v>2</v>
      </c>
      <c r="W40" s="42">
        <v>8</v>
      </c>
      <c r="X40" s="42" t="s">
        <v>45</v>
      </c>
      <c r="Y40" s="42" t="s">
        <v>45</v>
      </c>
      <c r="Z40" s="42" t="s">
        <v>45</v>
      </c>
      <c r="AA40" s="42" t="s">
        <v>45</v>
      </c>
      <c r="AB40" s="42" t="s">
        <v>45</v>
      </c>
      <c r="AC40" s="42" t="s">
        <v>45</v>
      </c>
      <c r="AD40" s="42">
        <v>4</v>
      </c>
      <c r="AE40" s="42">
        <v>7</v>
      </c>
      <c r="AF40" s="42" t="s">
        <v>45</v>
      </c>
      <c r="AG40" s="42" t="s">
        <v>45</v>
      </c>
      <c r="AH40" s="42" t="s">
        <v>45</v>
      </c>
      <c r="AI40" s="42" t="s">
        <v>45</v>
      </c>
      <c r="AJ40" s="42" t="s">
        <v>45</v>
      </c>
      <c r="AK40" s="42" t="s">
        <v>45</v>
      </c>
      <c r="AL40" s="42" t="s">
        <v>45</v>
      </c>
      <c r="AM40" s="42" t="s">
        <v>45</v>
      </c>
      <c r="AN40" s="42" t="s">
        <v>45</v>
      </c>
      <c r="AO40" s="43" t="s">
        <v>45</v>
      </c>
      <c r="AP40" s="42" t="s">
        <v>58</v>
      </c>
      <c r="AQ40" s="42">
        <v>9</v>
      </c>
      <c r="AR40" s="50" t="s">
        <v>353</v>
      </c>
      <c r="AS40" s="45" t="s">
        <v>599</v>
      </c>
      <c r="AT40" s="45" t="s">
        <v>47</v>
      </c>
      <c r="AU40" s="46">
        <f>($O$3*(L40-$O$1)/$O$2+$P$3*(M40-$P$1)/$P$2+$Q$3*(N40-$P$1)/$Q$2)/SUM($O$3:$Q$3)</f>
        <v>-2.311361197028369</v>
      </c>
      <c r="AV40" s="46">
        <f>($O$3*(O40-$O$1)/$O$2+$P$3*(P40-$P$1)/$P$2+$Q$3*(Q40-$Q$1)/$Q$2)/SUM($O$3:$Q$3)</f>
        <v>-1.6164866856216389E-2</v>
      </c>
      <c r="AW40" s="47">
        <f>COUNT(R40:AO40)/2</f>
        <v>3</v>
      </c>
      <c r="AX40" s="47">
        <f>IF(AND(S40&lt;&gt;"-",S40&gt;5),1,0)+IF(AND(U40&lt;&gt;"-",U40&gt;5),1,0)+IF(AND(W40&lt;&gt;"-",W40&gt;5),1,0)+IF(AND(Y40&lt;&gt;"-",Y40&gt;5),1,0)+IF(AND(AA40&lt;&gt;"-",AA40&gt;5),1,0)+IF(AND(AC40&lt;&gt;"-",AC40&gt;5),1,0)+IF(AND(AE40&lt;&gt;"-",AE40&gt;5),1,0)+IF(AND(AG40&lt;&gt;"-",AG40&gt;5),1,0)+IF(AND(AI40&lt;&gt;"-",AI40&gt;5),1,0)+IF(AND(AK40&lt;&gt;"-",AK40&gt;5),1,0)+IF(AND(AM40&lt;&gt;"-",AM40&gt;5),1,0)+IF(AND(AO40&lt;&gt;"-",AO40&gt;5),1,0)</f>
        <v>2</v>
      </c>
      <c r="AY40" s="48">
        <f>VLOOKUP(AP40,COND!$A$10:$B$32,2,FALSE)</f>
        <v>1</v>
      </c>
      <c r="AZ40" s="46">
        <f>($AU$3*AU40+$AV$3*AV40+$AW$3*AW40+$AX$3*AX40)*AY40*IF(AQ40&lt;5,0.95,IF(AQ40&lt;7,0.975,1))+$I$3*VLOOKUP(I40,COND!$A$2:$E$7,4,FALSE)+$J$3*VLOOKUP(J40,COND!$A$2:$E$7,2,FALSE)+$K$3*VLOOKUP(K40,COND!$A$2:$E$7,3,FALSE)+IF(BB40="SP",$BB$3,0)+IF($AW40&lt;3,-5,0)+IF(AND($B$2&gt;0,$E40&lt;20),$B$2*25,0)</f>
        <v>55.214430423469999</v>
      </c>
      <c r="BA40" s="49">
        <f>STANDARDIZE(AZ40,AVERAGE($AZ$5:$AZ$570),STDEVP($AZ$5:$AZ$570))</f>
        <v>2.0626290001107046</v>
      </c>
      <c r="BB40" s="47" t="str">
        <f>IF(OR(AND(AQ40&gt;7,AX40&gt;1),AND(AQ40&gt;4,AW40&gt;2)),"SP","RP")</f>
        <v>SP</v>
      </c>
      <c r="BC40" s="47"/>
      <c r="BD40" s="47"/>
      <c r="BE40" s="47"/>
      <c r="BF40" s="47" t="str">
        <f>IF(AVERAGE($O40:$Q40)&gt;=6,"Likely",IF(AVERAGE($O40:$Q40)&gt;=4,"Possible","Unlikely"))</f>
        <v>Possible</v>
      </c>
      <c r="BG40" s="47"/>
      <c r="BH40" s="47" t="str">
        <f>INDEX(Table5[[#All],[Ovr]],MATCH(Table3[[#This Row],[PID]],Table5[[#All],[PID]],0))</f>
        <v/>
      </c>
      <c r="BI40" s="47" t="str">
        <f>INDEX(Table5[[#All],[Rnd]],MATCH(Table3[[#This Row],[PID]],Table5[[#All],[PID]],0))</f>
        <v/>
      </c>
      <c r="BJ40" s="47" t="str">
        <f>INDEX(Table5[[#All],[Pick]],MATCH(Table3[[#This Row],[PID]],Table5[[#All],[PID]],0))</f>
        <v/>
      </c>
      <c r="BK40" s="47" t="str">
        <f>INDEX(Table5[[#All],[Team]],MATCH(Table3[[#This Row],[PID]],Table5[[#All],[PID]],0))</f>
        <v/>
      </c>
      <c r="BL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" spans="1:64" ht="15" customHeight="1" x14ac:dyDescent="0.25">
      <c r="A41" s="42">
        <v>5686</v>
      </c>
      <c r="B41" s="42" t="s">
        <v>24</v>
      </c>
      <c r="C41" s="42" t="s">
        <v>639</v>
      </c>
      <c r="D41" s="42" t="s">
        <v>208</v>
      </c>
      <c r="E41" s="42">
        <v>18</v>
      </c>
      <c r="F41" s="42" t="s">
        <v>42</v>
      </c>
      <c r="G41" s="42" t="s">
        <v>42</v>
      </c>
      <c r="H41" s="43" t="s">
        <v>703</v>
      </c>
      <c r="I41" s="44" t="s">
        <v>43</v>
      </c>
      <c r="J41" s="42" t="s">
        <v>43</v>
      </c>
      <c r="K41" s="43" t="s">
        <v>47</v>
      </c>
      <c r="L41" s="42">
        <v>2</v>
      </c>
      <c r="M41" s="42">
        <v>2</v>
      </c>
      <c r="N41" s="43">
        <v>1</v>
      </c>
      <c r="O41" s="42">
        <v>5</v>
      </c>
      <c r="P41" s="42">
        <v>4</v>
      </c>
      <c r="Q41" s="43">
        <v>4</v>
      </c>
      <c r="R41" s="42">
        <v>4</v>
      </c>
      <c r="S41" s="42">
        <v>6</v>
      </c>
      <c r="T41" s="42">
        <v>1</v>
      </c>
      <c r="U41" s="42">
        <v>1</v>
      </c>
      <c r="V41" s="42" t="s">
        <v>45</v>
      </c>
      <c r="W41" s="42" t="s">
        <v>45</v>
      </c>
      <c r="X41" s="42" t="s">
        <v>45</v>
      </c>
      <c r="Y41" s="42" t="s">
        <v>45</v>
      </c>
      <c r="Z41" s="42" t="s">
        <v>45</v>
      </c>
      <c r="AA41" s="42" t="s">
        <v>45</v>
      </c>
      <c r="AB41" s="42">
        <v>3</v>
      </c>
      <c r="AC41" s="42">
        <v>6</v>
      </c>
      <c r="AD41" s="42">
        <v>3</v>
      </c>
      <c r="AE41" s="42">
        <v>6</v>
      </c>
      <c r="AF41" s="42" t="s">
        <v>45</v>
      </c>
      <c r="AG41" s="42" t="s">
        <v>45</v>
      </c>
      <c r="AH41" s="42" t="s">
        <v>45</v>
      </c>
      <c r="AI41" s="42" t="s">
        <v>45</v>
      </c>
      <c r="AJ41" s="42" t="s">
        <v>45</v>
      </c>
      <c r="AK41" s="42" t="s">
        <v>45</v>
      </c>
      <c r="AL41" s="42" t="s">
        <v>45</v>
      </c>
      <c r="AM41" s="42" t="s">
        <v>45</v>
      </c>
      <c r="AN41" s="42" t="s">
        <v>45</v>
      </c>
      <c r="AO41" s="43" t="s">
        <v>45</v>
      </c>
      <c r="AP41" s="42" t="s">
        <v>56</v>
      </c>
      <c r="AQ41" s="42">
        <v>10</v>
      </c>
      <c r="AR41" s="50" t="s">
        <v>353</v>
      </c>
      <c r="AS41" s="45" t="s">
        <v>546</v>
      </c>
      <c r="AT41" s="45" t="s">
        <v>47</v>
      </c>
      <c r="AU41" s="46">
        <f>($O$3*(L41-$O$1)/$O$2+$P$3*(M41-$P$1)/$P$2+$Q$3*(N41-$P$1)/$Q$2)/SUM($O$3:$Q$3)</f>
        <v>-2.311361197028369</v>
      </c>
      <c r="AV41" s="46">
        <f>($O$3*(O41-$O$1)/$O$2+$P$3*(P41-$P$1)/$P$2+$Q$3*(Q41-$Q$1)/$Q$2)/SUM($O$3:$Q$3)</f>
        <v>-0.16396734174133493</v>
      </c>
      <c r="AW41" s="47">
        <f>COUNT(R41:AO41)/2</f>
        <v>4</v>
      </c>
      <c r="AX41" s="47">
        <f>IF(AND(S41&lt;&gt;"-",S41&gt;5),1,0)+IF(AND(U41&lt;&gt;"-",U41&gt;5),1,0)+IF(AND(W41&lt;&gt;"-",W41&gt;5),1,0)+IF(AND(Y41&lt;&gt;"-",Y41&gt;5),1,0)+IF(AND(AA41&lt;&gt;"-",AA41&gt;5),1,0)+IF(AND(AC41&lt;&gt;"-",AC41&gt;5),1,0)+IF(AND(AE41&lt;&gt;"-",AE41&gt;5),1,0)+IF(AND(AG41&lt;&gt;"-",AG41&gt;5),1,0)+IF(AND(AI41&lt;&gt;"-",AI41&gt;5),1,0)+IF(AND(AK41&lt;&gt;"-",AK41&gt;5),1,0)+IF(AND(AM41&lt;&gt;"-",AM41&gt;5),1,0)+IF(AND(AO41&lt;&gt;"-",AO41&gt;5),1,0)</f>
        <v>3</v>
      </c>
      <c r="AY41" s="48">
        <f>VLOOKUP(AP41,COND!$A$10:$B$32,2,FALSE)</f>
        <v>1</v>
      </c>
      <c r="AZ41" s="46">
        <f>($AU$3*AU41+$AV$3*AV41+$AW$3*AW41+$AX$3*AX41)*AY41*IF(AQ41&lt;5,0.95,IF(AQ41&lt;7,0.975,1))+$I$3*VLOOKUP(I41,COND!$A$2:$E$7,4,FALSE)+$J$3*VLOOKUP(J41,COND!$A$2:$E$7,2,FALSE)+$K$3*VLOOKUP(K41,COND!$A$2:$E$7,3,FALSE)+IF(BB41="SP",$BB$3,0)+IF($AW41&lt;3,-5,0)+IF(AND($B$2&gt;0,$E41&lt;20),$B$2*25,0)</f>
        <v>54.308380925767622</v>
      </c>
      <c r="BA41" s="49">
        <f>STANDARDIZE(AZ41,AVERAGE($AZ$5:$AZ$570),STDEVP($AZ$5:$AZ$570))</f>
        <v>1.979540388634454</v>
      </c>
      <c r="BB41" s="47" t="str">
        <f>IF(OR(AND(AQ41&gt;7,AX41&gt;1),AND(AQ41&gt;4,AW41&gt;2)),"SP","RP")</f>
        <v>SP</v>
      </c>
      <c r="BC41" s="47"/>
      <c r="BD41" s="47"/>
      <c r="BE41" s="47"/>
      <c r="BF41" s="47" t="str">
        <f>IF(AVERAGE($O41:$Q41)&gt;=6,"Likely",IF(AVERAGE($O41:$Q41)&gt;=4,"Possible","Unlikely"))</f>
        <v>Possible</v>
      </c>
      <c r="BG41" s="47"/>
      <c r="BH41" s="47" t="str">
        <f>INDEX(Table5[[#All],[Ovr]],MATCH(Table3[[#This Row],[PID]],Table5[[#All],[PID]],0))</f>
        <v/>
      </c>
      <c r="BI41" s="47" t="str">
        <f>INDEX(Table5[[#All],[Rnd]],MATCH(Table3[[#This Row],[PID]],Table5[[#All],[PID]],0))</f>
        <v/>
      </c>
      <c r="BJ41" s="47" t="str">
        <f>INDEX(Table5[[#All],[Pick]],MATCH(Table3[[#This Row],[PID]],Table5[[#All],[PID]],0))</f>
        <v/>
      </c>
      <c r="BK41" s="47" t="str">
        <f>INDEX(Table5[[#All],[Team]],MATCH(Table3[[#This Row],[PID]],Table5[[#All],[PID]],0))</f>
        <v/>
      </c>
      <c r="BL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" spans="1:64" ht="15" customHeight="1" x14ac:dyDescent="0.25">
      <c r="A42" s="42">
        <v>5703</v>
      </c>
      <c r="B42" s="42" t="s">
        <v>24</v>
      </c>
      <c r="C42" s="42" t="s">
        <v>1509</v>
      </c>
      <c r="D42" s="42" t="s">
        <v>390</v>
      </c>
      <c r="E42" s="42">
        <v>21</v>
      </c>
      <c r="F42" s="42" t="s">
        <v>62</v>
      </c>
      <c r="G42" s="42" t="s">
        <v>42</v>
      </c>
      <c r="H42" s="43" t="s">
        <v>703</v>
      </c>
      <c r="I42" s="44" t="s">
        <v>47</v>
      </c>
      <c r="J42" s="42" t="s">
        <v>43</v>
      </c>
      <c r="K42" s="43" t="s">
        <v>43</v>
      </c>
      <c r="L42" s="42">
        <v>2</v>
      </c>
      <c r="M42" s="42">
        <v>2</v>
      </c>
      <c r="N42" s="43">
        <v>2</v>
      </c>
      <c r="O42" s="42">
        <v>5</v>
      </c>
      <c r="P42" s="42">
        <v>5</v>
      </c>
      <c r="Q42" s="43">
        <v>5</v>
      </c>
      <c r="R42" s="42" t="s">
        <v>45</v>
      </c>
      <c r="S42" s="42" t="s">
        <v>45</v>
      </c>
      <c r="T42" s="42">
        <v>1</v>
      </c>
      <c r="U42" s="42">
        <v>2</v>
      </c>
      <c r="V42" s="42">
        <v>3</v>
      </c>
      <c r="W42" s="42">
        <v>7</v>
      </c>
      <c r="X42" s="42">
        <v>3</v>
      </c>
      <c r="Y42" s="42">
        <v>6</v>
      </c>
      <c r="Z42" s="42" t="s">
        <v>45</v>
      </c>
      <c r="AA42" s="42" t="s">
        <v>45</v>
      </c>
      <c r="AB42" s="42" t="s">
        <v>45</v>
      </c>
      <c r="AC42" s="42" t="s">
        <v>45</v>
      </c>
      <c r="AD42" s="42">
        <v>3</v>
      </c>
      <c r="AE42" s="42">
        <v>5</v>
      </c>
      <c r="AF42" s="42" t="s">
        <v>45</v>
      </c>
      <c r="AG42" s="42" t="s">
        <v>45</v>
      </c>
      <c r="AH42" s="42" t="s">
        <v>45</v>
      </c>
      <c r="AI42" s="42" t="s">
        <v>45</v>
      </c>
      <c r="AJ42" s="42" t="s">
        <v>45</v>
      </c>
      <c r="AK42" s="42" t="s">
        <v>45</v>
      </c>
      <c r="AL42" s="42" t="s">
        <v>45</v>
      </c>
      <c r="AM42" s="42" t="s">
        <v>45</v>
      </c>
      <c r="AN42" s="42" t="s">
        <v>45</v>
      </c>
      <c r="AO42" s="43" t="s">
        <v>45</v>
      </c>
      <c r="AP42" s="42" t="s">
        <v>56</v>
      </c>
      <c r="AQ42" s="42">
        <v>4</v>
      </c>
      <c r="AR42" s="50" t="s">
        <v>353</v>
      </c>
      <c r="AS42" s="45" t="s">
        <v>1510</v>
      </c>
      <c r="AT42" s="45" t="s">
        <v>47</v>
      </c>
      <c r="AU42" s="46">
        <f>($O$3*(L42-$O$1)/$O$2+$P$3*(M42-$P$1)/$P$2+$Q$3*(N42-$P$1)/$Q$2)/SUM($O$3:$Q$3)</f>
        <v>-2.0690406309742588</v>
      </c>
      <c r="AV42" s="46">
        <f>($O$3*(O42-$O$1)/$O$2+$P$3*(P42-$P$1)/$P$2+$Q$3*(Q42-$Q$1)/$Q$2)/SUM($O$3:$Q$3)</f>
        <v>0.27378494074283088</v>
      </c>
      <c r="AW42" s="47">
        <f>COUNT(R42:AO42)/2</f>
        <v>4</v>
      </c>
      <c r="AX42" s="47">
        <f>IF(AND(S42&lt;&gt;"-",S42&gt;5),1,0)+IF(AND(U42&lt;&gt;"-",U42&gt;5),1,0)+IF(AND(W42&lt;&gt;"-",W42&gt;5),1,0)+IF(AND(Y42&lt;&gt;"-",Y42&gt;5),1,0)+IF(AND(AA42&lt;&gt;"-",AA42&gt;5),1,0)+IF(AND(AC42&lt;&gt;"-",AC42&gt;5),1,0)+IF(AND(AE42&lt;&gt;"-",AE42&gt;5),1,0)+IF(AND(AG42&lt;&gt;"-",AG42&gt;5),1,0)+IF(AND(AI42&lt;&gt;"-",AI42&gt;5),1,0)+IF(AND(AK42&lt;&gt;"-",AK42&gt;5),1,0)+IF(AND(AM42&lt;&gt;"-",AM42&gt;5),1,0)+IF(AND(AO42&lt;&gt;"-",AO42&gt;5),1,0)</f>
        <v>2</v>
      </c>
      <c r="AY42" s="48">
        <f>VLOOKUP(AP42,COND!$A$10:$B$32,2,FALSE)</f>
        <v>1</v>
      </c>
      <c r="AZ42" s="46">
        <f>($AU$3*AU42+$AV$3*AV42+$AW$3*AW42+$AX$3*AX42)*AY42*IF(AQ42&lt;5,0.95,IF(AQ42&lt;7,0.975,1))+$I$3*VLOOKUP(I42,COND!$A$2:$E$7,4,FALSE)+$J$3*VLOOKUP(J42,COND!$A$2:$E$7,2,FALSE)+$K$3*VLOOKUP(K42,COND!$A$2:$E$7,3,FALSE)+IF(BB42="SP",$BB$3,0)+IF($AW42&lt;3,-5,0)+IF(AND($B$2&gt;0,$E42&lt;20),$B$2*25,0)</f>
        <v>54.308796154228673</v>
      </c>
      <c r="BA42" s="49">
        <f>STANDARDIZE(AZ42,AVERAGE($AZ$5:$AZ$570),STDEVP($AZ$5:$AZ$570))</f>
        <v>1.9795784668590561</v>
      </c>
      <c r="BB42" s="47" t="str">
        <f>IF(OR(AND(AQ42&gt;7,AX42&gt;1),AND(AQ42&gt;4,AW42&gt;2)),"SP","RP")</f>
        <v>RP</v>
      </c>
      <c r="BC42" s="47"/>
      <c r="BD42" s="47"/>
      <c r="BE42" s="47"/>
      <c r="BF42" s="47" t="str">
        <f>IF(AVERAGE($O42:$Q42)&gt;=6,"Likely",IF(AVERAGE($O42:$Q42)&gt;=4,"Possible","Unlikely"))</f>
        <v>Possible</v>
      </c>
      <c r="BG42" s="47"/>
      <c r="BH42" s="47" t="str">
        <f>INDEX(Table5[[#All],[Ovr]],MATCH(Table3[[#This Row],[PID]],Table5[[#All],[PID]],0))</f>
        <v/>
      </c>
      <c r="BI42" s="47" t="str">
        <f>INDEX(Table5[[#All],[Rnd]],MATCH(Table3[[#This Row],[PID]],Table5[[#All],[PID]],0))</f>
        <v/>
      </c>
      <c r="BJ42" s="47" t="str">
        <f>INDEX(Table5[[#All],[Pick]],MATCH(Table3[[#This Row],[PID]],Table5[[#All],[PID]],0))</f>
        <v/>
      </c>
      <c r="BK42" s="47" t="str">
        <f>INDEX(Table5[[#All],[Team]],MATCH(Table3[[#This Row],[PID]],Table5[[#All],[PID]],0))</f>
        <v/>
      </c>
      <c r="BL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" spans="1:64" ht="15" customHeight="1" x14ac:dyDescent="0.25">
      <c r="A43" s="42">
        <v>8315</v>
      </c>
      <c r="B43" s="42" t="s">
        <v>24</v>
      </c>
      <c r="C43" s="42" t="s">
        <v>212</v>
      </c>
      <c r="D43" s="42" t="s">
        <v>296</v>
      </c>
      <c r="E43" s="42">
        <v>18</v>
      </c>
      <c r="F43" s="42" t="s">
        <v>42</v>
      </c>
      <c r="G43" s="42" t="s">
        <v>53</v>
      </c>
      <c r="H43" s="43" t="s">
        <v>709</v>
      </c>
      <c r="I43" s="44" t="s">
        <v>43</v>
      </c>
      <c r="J43" s="42" t="s">
        <v>47</v>
      </c>
      <c r="K43" s="43" t="s">
        <v>43</v>
      </c>
      <c r="L43" s="42">
        <v>1</v>
      </c>
      <c r="M43" s="42">
        <v>2</v>
      </c>
      <c r="N43" s="43">
        <v>1</v>
      </c>
      <c r="O43" s="42">
        <v>4</v>
      </c>
      <c r="P43" s="42">
        <v>5</v>
      </c>
      <c r="Q43" s="43">
        <v>4</v>
      </c>
      <c r="R43" s="42" t="s">
        <v>45</v>
      </c>
      <c r="S43" s="42" t="s">
        <v>45</v>
      </c>
      <c r="T43" s="42">
        <v>1</v>
      </c>
      <c r="U43" s="42">
        <v>1</v>
      </c>
      <c r="V43" s="42" t="s">
        <v>45</v>
      </c>
      <c r="W43" s="42" t="s">
        <v>45</v>
      </c>
      <c r="X43" s="42">
        <v>2</v>
      </c>
      <c r="Y43" s="42">
        <v>8</v>
      </c>
      <c r="Z43" s="42" t="s">
        <v>45</v>
      </c>
      <c r="AA43" s="42" t="s">
        <v>45</v>
      </c>
      <c r="AB43" s="42" t="s">
        <v>45</v>
      </c>
      <c r="AC43" s="42" t="s">
        <v>45</v>
      </c>
      <c r="AD43" s="42">
        <v>3</v>
      </c>
      <c r="AE43" s="42">
        <v>6</v>
      </c>
      <c r="AF43" s="42" t="s">
        <v>45</v>
      </c>
      <c r="AG43" s="42" t="s">
        <v>45</v>
      </c>
      <c r="AH43" s="42" t="s">
        <v>45</v>
      </c>
      <c r="AI43" s="42" t="s">
        <v>45</v>
      </c>
      <c r="AJ43" s="42" t="s">
        <v>45</v>
      </c>
      <c r="AK43" s="42" t="s">
        <v>45</v>
      </c>
      <c r="AL43" s="42" t="s">
        <v>45</v>
      </c>
      <c r="AM43" s="42" t="s">
        <v>45</v>
      </c>
      <c r="AN43" s="42" t="s">
        <v>45</v>
      </c>
      <c r="AO43" s="43" t="s">
        <v>45</v>
      </c>
      <c r="AP43" s="42" t="s">
        <v>356</v>
      </c>
      <c r="AQ43" s="42">
        <v>6</v>
      </c>
      <c r="AR43" s="50" t="s">
        <v>353</v>
      </c>
      <c r="AS43" s="45" t="s">
        <v>764</v>
      </c>
      <c r="AT43" s="45" t="s">
        <v>705</v>
      </c>
      <c r="AU43" s="46">
        <f>($O$3*(L43-$O$1)/$O$2+$P$3*(M43-$P$1)/$P$2+$Q$3*(N43-$P$1)/$Q$2)/SUM($O$3:$Q$3)</f>
        <v>-2.5060525215375429</v>
      </c>
      <c r="AV43" s="46">
        <f>($O$3*(O43-$O$1)/$O$2+$P$3*(P43-$P$1)/$P$2+$Q$3*(Q43-$Q$1)/$Q$2)/SUM($O$3:$Q$3)</f>
        <v>-0.16322694982045299</v>
      </c>
      <c r="AW43" s="47">
        <f>COUNT(R43:AO43)/2</f>
        <v>3</v>
      </c>
      <c r="AX43" s="47">
        <f>IF(AND(S43&lt;&gt;"-",S43&gt;5),1,0)+IF(AND(U43&lt;&gt;"-",U43&gt;5),1,0)+IF(AND(W43&lt;&gt;"-",W43&gt;5),1,0)+IF(AND(Y43&lt;&gt;"-",Y43&gt;5),1,0)+IF(AND(AA43&lt;&gt;"-",AA43&gt;5),1,0)+IF(AND(AC43&lt;&gt;"-",AC43&gt;5),1,0)+IF(AND(AE43&lt;&gt;"-",AE43&gt;5),1,0)+IF(AND(AG43&lt;&gt;"-",AG43&gt;5),1,0)+IF(AND(AI43&lt;&gt;"-",AI43&gt;5),1,0)+IF(AND(AK43&lt;&gt;"-",AK43&gt;5),1,0)+IF(AND(AM43&lt;&gt;"-",AM43&gt;5),1,0)+IF(AND(AO43&lt;&gt;"-",AO43&gt;5),1,0)</f>
        <v>2</v>
      </c>
      <c r="AY43" s="48">
        <f>VLOOKUP(AP43,COND!$A$10:$B$32,2,FALSE)</f>
        <v>1</v>
      </c>
      <c r="AZ43" s="46">
        <f>($AU$3*AU43+$AV$3*AV43+$AW$3*AW43+$AX$3*AX43)*AY43*IF(AQ43&lt;5,0.95,IF(AQ43&lt;7,0.975,1))+$I$3*VLOOKUP(I43,COND!$A$2:$E$7,4,FALSE)+$J$3*VLOOKUP(J43,COND!$A$2:$E$7,2,FALSE)+$K$3*VLOOKUP(K43,COND!$A$2:$E$7,3,FALSE)+IF(BB43="SP",$BB$3,0)+IF($AW43&lt;3,-5,0)+IF(AND($B$2&gt;0,$E43&lt;20),$B$2*25,0)</f>
        <v>52.528394236801347</v>
      </c>
      <c r="BA43" s="49">
        <f>STANDARDIZE(AZ43,AVERAGE($AZ$5:$AZ$570),STDEVP($AZ$5:$AZ$570))</f>
        <v>1.8163080014332438</v>
      </c>
      <c r="BB43" s="47" t="str">
        <f>IF(OR(AND(AQ43&gt;7,AX43&gt;1),AND(AQ43&gt;4,AW43&gt;2)),"SP","RP")</f>
        <v>SP</v>
      </c>
      <c r="BC43" s="47"/>
      <c r="BD43" s="47"/>
      <c r="BE43" s="47"/>
      <c r="BF43" s="47" t="str">
        <f>IF(AVERAGE($O43:$Q43)&gt;=6,"Likely",IF(AVERAGE($O43:$Q43)&gt;=4,"Possible","Unlikely"))</f>
        <v>Possible</v>
      </c>
      <c r="BG43" s="47"/>
      <c r="BH43" s="47" t="str">
        <f>INDEX(Table5[[#All],[Ovr]],MATCH(Table3[[#This Row],[PID]],Table5[[#All],[PID]],0))</f>
        <v/>
      </c>
      <c r="BI43" s="47" t="str">
        <f>INDEX(Table5[[#All],[Rnd]],MATCH(Table3[[#This Row],[PID]],Table5[[#All],[PID]],0))</f>
        <v/>
      </c>
      <c r="BJ43" s="47" t="str">
        <f>INDEX(Table5[[#All],[Pick]],MATCH(Table3[[#This Row],[PID]],Table5[[#All],[PID]],0))</f>
        <v/>
      </c>
      <c r="BK43" s="47" t="str">
        <f>INDEX(Table5[[#All],[Team]],MATCH(Table3[[#This Row],[PID]],Table5[[#All],[PID]],0))</f>
        <v/>
      </c>
      <c r="BL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" spans="1:64" ht="15" customHeight="1" x14ac:dyDescent="0.25">
      <c r="A44" s="42">
        <v>14490</v>
      </c>
      <c r="B44" s="42" t="s">
        <v>24</v>
      </c>
      <c r="C44" s="42" t="s">
        <v>163</v>
      </c>
      <c r="D44" s="42" t="s">
        <v>1723</v>
      </c>
      <c r="E44" s="42">
        <v>18</v>
      </c>
      <c r="F44" s="42" t="s">
        <v>42</v>
      </c>
      <c r="G44" s="42" t="s">
        <v>42</v>
      </c>
      <c r="H44" s="43" t="s">
        <v>709</v>
      </c>
      <c r="I44" s="44" t="s">
        <v>43</v>
      </c>
      <c r="J44" s="42" t="s">
        <v>43</v>
      </c>
      <c r="K44" s="43" t="s">
        <v>43</v>
      </c>
      <c r="L44" s="42">
        <v>1</v>
      </c>
      <c r="M44" s="42">
        <v>2</v>
      </c>
      <c r="N44" s="43">
        <v>2</v>
      </c>
      <c r="O44" s="42">
        <v>4</v>
      </c>
      <c r="P44" s="42">
        <v>4</v>
      </c>
      <c r="Q44" s="43">
        <v>6</v>
      </c>
      <c r="R44" s="42" t="s">
        <v>45</v>
      </c>
      <c r="S44" s="42" t="s">
        <v>45</v>
      </c>
      <c r="T44" s="42">
        <v>2</v>
      </c>
      <c r="U44" s="42">
        <v>6</v>
      </c>
      <c r="V44" s="42" t="s">
        <v>45</v>
      </c>
      <c r="W44" s="42" t="s">
        <v>45</v>
      </c>
      <c r="X44" s="42" t="s">
        <v>45</v>
      </c>
      <c r="Y44" s="42" t="s">
        <v>45</v>
      </c>
      <c r="Z44" s="42" t="s">
        <v>45</v>
      </c>
      <c r="AA44" s="42" t="s">
        <v>45</v>
      </c>
      <c r="AB44" s="42" t="s">
        <v>45</v>
      </c>
      <c r="AC44" s="42" t="s">
        <v>45</v>
      </c>
      <c r="AD44" s="42">
        <v>3</v>
      </c>
      <c r="AE44" s="42">
        <v>7</v>
      </c>
      <c r="AF44" s="42" t="s">
        <v>45</v>
      </c>
      <c r="AG44" s="42" t="s">
        <v>45</v>
      </c>
      <c r="AH44" s="42" t="s">
        <v>45</v>
      </c>
      <c r="AI44" s="42" t="s">
        <v>45</v>
      </c>
      <c r="AJ44" s="42" t="s">
        <v>45</v>
      </c>
      <c r="AK44" s="42" t="s">
        <v>45</v>
      </c>
      <c r="AL44" s="42" t="s">
        <v>45</v>
      </c>
      <c r="AM44" s="42" t="s">
        <v>45</v>
      </c>
      <c r="AN44" s="42" t="s">
        <v>45</v>
      </c>
      <c r="AO44" s="43" t="s">
        <v>45</v>
      </c>
      <c r="AP44" s="42" t="s">
        <v>355</v>
      </c>
      <c r="AQ44" s="42">
        <v>10</v>
      </c>
      <c r="AR44" s="50" t="s">
        <v>353</v>
      </c>
      <c r="AS44" s="45" t="s">
        <v>599</v>
      </c>
      <c r="AT44" s="45" t="s">
        <v>705</v>
      </c>
      <c r="AU44" s="46">
        <f>($O$3*(L44-$O$1)/$O$2+$P$3*(M44-$P$1)/$P$2+$Q$3*(N44-$P$1)/$Q$2)/SUM($O$3:$Q$3)</f>
        <v>-2.2637319554834323</v>
      </c>
      <c r="AV44" s="46">
        <f>($O$3*(O44-$O$1)/$O$2+$P$3*(P44-$P$1)/$P$2+$Q$3*(Q44-$Q$1)/$Q$2)/SUM($O$3:$Q$3)</f>
        <v>0.12598246585771228</v>
      </c>
      <c r="AW44" s="47">
        <f>COUNT(R44:AO44)/2</f>
        <v>2</v>
      </c>
      <c r="AX44" s="47">
        <f>IF(AND(S44&lt;&gt;"-",S44&gt;5),1,0)+IF(AND(U44&lt;&gt;"-",U44&gt;5),1,0)+IF(AND(W44&lt;&gt;"-",W44&gt;5),1,0)+IF(AND(Y44&lt;&gt;"-",Y44&gt;5),1,0)+IF(AND(AA44&lt;&gt;"-",AA44&gt;5),1,0)+IF(AND(AC44&lt;&gt;"-",AC44&gt;5),1,0)+IF(AND(AE44&lt;&gt;"-",AE44&gt;5),1,0)+IF(AND(AG44&lt;&gt;"-",AG44&gt;5),1,0)+IF(AND(AI44&lt;&gt;"-",AI44&gt;5),1,0)+IF(AND(AK44&lt;&gt;"-",AK44&gt;5),1,0)+IF(AND(AM44&lt;&gt;"-",AM44&gt;5),1,0)+IF(AND(AO44&lt;&gt;"-",AO44&gt;5),1,0)</f>
        <v>2</v>
      </c>
      <c r="AY44" s="48">
        <f>VLOOKUP(AP44,COND!$A$10:$B$32,2,FALSE)</f>
        <v>1</v>
      </c>
      <c r="AZ44" s="46">
        <f>($AU$3*AU44+$AV$3*AV44+$AW$3*AW44+$AX$3*AX44)*AY44*IF(AQ44&lt;5,0.95,IF(AQ44&lt;7,0.975,1))+$I$3*VLOOKUP(I44,COND!$A$2:$E$7,4,FALSE)+$J$3*VLOOKUP(J44,COND!$A$2:$E$7,2,FALSE)+$K$3*VLOOKUP(K44,COND!$A$2:$E$7,3,FALSE)+IF(BB44="SP",$BB$3,0)+IF($AW44&lt;3,-5,0)+IF(AND($B$2&gt;0,$E44&lt;20),$B$2*25,0)</f>
        <v>52.566902926057558</v>
      </c>
      <c r="BA44" s="49">
        <f>STANDARDIZE(AZ44,AVERAGE($AZ$5:$AZ$570),STDEVP($AZ$5:$AZ$570))</f>
        <v>1.8198394128276354</v>
      </c>
      <c r="BB44" s="47" t="str">
        <f>IF(OR(AND(AQ44&gt;7,AX44&gt;1),AND(AQ44&gt;4,AW44&gt;2)),"SP","RP")</f>
        <v>SP</v>
      </c>
      <c r="BC44" s="47"/>
      <c r="BD44" s="47"/>
      <c r="BE44" s="47"/>
      <c r="BF44" s="47" t="str">
        <f>IF(AVERAGE($O44:$Q44)&gt;=6,"Likely",IF(AVERAGE($O44:$Q44)&gt;=4,"Possible","Unlikely"))</f>
        <v>Possible</v>
      </c>
      <c r="BG44" s="47"/>
      <c r="BH44" s="47" t="str">
        <f>INDEX(Table5[[#All],[Ovr]],MATCH(Table3[[#This Row],[PID]],Table5[[#All],[PID]],0))</f>
        <v/>
      </c>
      <c r="BI44" s="47" t="str">
        <f>INDEX(Table5[[#All],[Rnd]],MATCH(Table3[[#This Row],[PID]],Table5[[#All],[PID]],0))</f>
        <v/>
      </c>
      <c r="BJ44" s="47" t="str">
        <f>INDEX(Table5[[#All],[Pick]],MATCH(Table3[[#This Row],[PID]],Table5[[#All],[PID]],0))</f>
        <v/>
      </c>
      <c r="BK44" s="47" t="str">
        <f>INDEX(Table5[[#All],[Team]],MATCH(Table3[[#This Row],[PID]],Table5[[#All],[PID]],0))</f>
        <v/>
      </c>
      <c r="BL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" spans="1:64" ht="15" customHeight="1" x14ac:dyDescent="0.25">
      <c r="A45" s="42">
        <v>9858</v>
      </c>
      <c r="B45" s="42" t="s">
        <v>49</v>
      </c>
      <c r="C45" s="42" t="s">
        <v>1449</v>
      </c>
      <c r="D45" s="42" t="s">
        <v>208</v>
      </c>
      <c r="E45" s="42">
        <v>21</v>
      </c>
      <c r="F45" s="42" t="s">
        <v>42</v>
      </c>
      <c r="G45" s="42" t="s">
        <v>42</v>
      </c>
      <c r="H45" s="43" t="s">
        <v>702</v>
      </c>
      <c r="I45" s="44" t="s">
        <v>43</v>
      </c>
      <c r="J45" s="42" t="s">
        <v>43</v>
      </c>
      <c r="K45" s="43" t="s">
        <v>43</v>
      </c>
      <c r="L45" s="42">
        <v>4</v>
      </c>
      <c r="M45" s="42">
        <v>2</v>
      </c>
      <c r="N45" s="43">
        <v>3</v>
      </c>
      <c r="O45" s="42">
        <v>8</v>
      </c>
      <c r="P45" s="42">
        <v>3</v>
      </c>
      <c r="Q45" s="43">
        <v>5</v>
      </c>
      <c r="R45" s="42">
        <v>6</v>
      </c>
      <c r="S45" s="42">
        <v>9</v>
      </c>
      <c r="T45" s="42" t="s">
        <v>45</v>
      </c>
      <c r="U45" s="42" t="s">
        <v>45</v>
      </c>
      <c r="V45" s="42" t="s">
        <v>45</v>
      </c>
      <c r="W45" s="42" t="s">
        <v>45</v>
      </c>
      <c r="X45" s="42">
        <v>4</v>
      </c>
      <c r="Y45" s="42">
        <v>8</v>
      </c>
      <c r="Z45" s="42" t="s">
        <v>45</v>
      </c>
      <c r="AA45" s="42" t="s">
        <v>45</v>
      </c>
      <c r="AB45" s="42" t="s">
        <v>45</v>
      </c>
      <c r="AC45" s="42" t="s">
        <v>45</v>
      </c>
      <c r="AD45" s="42" t="s">
        <v>45</v>
      </c>
      <c r="AE45" s="42" t="s">
        <v>45</v>
      </c>
      <c r="AF45" s="42" t="s">
        <v>45</v>
      </c>
      <c r="AG45" s="42" t="s">
        <v>45</v>
      </c>
      <c r="AH45" s="42" t="s">
        <v>45</v>
      </c>
      <c r="AI45" s="42" t="s">
        <v>45</v>
      </c>
      <c r="AJ45" s="42" t="s">
        <v>45</v>
      </c>
      <c r="AK45" s="42" t="s">
        <v>45</v>
      </c>
      <c r="AL45" s="42" t="s">
        <v>45</v>
      </c>
      <c r="AM45" s="42" t="s">
        <v>45</v>
      </c>
      <c r="AN45" s="42" t="s">
        <v>45</v>
      </c>
      <c r="AO45" s="43" t="s">
        <v>45</v>
      </c>
      <c r="AP45" s="42" t="s">
        <v>61</v>
      </c>
      <c r="AQ45" s="42">
        <v>1</v>
      </c>
      <c r="AR45" s="50" t="s">
        <v>353</v>
      </c>
      <c r="AS45" s="45" t="s">
        <v>733</v>
      </c>
      <c r="AT45" s="45" t="s">
        <v>47</v>
      </c>
      <c r="AU45" s="46">
        <f>($O$3*(L45-$O$1)/$O$2+$P$3*(M45-$P$1)/$P$2+$Q$3*(N45-$P$1)/$Q$2)/SUM($O$3:$Q$3)</f>
        <v>-1.4373374159018013</v>
      </c>
      <c r="AV45" s="46">
        <f>($O$3*(O45-$O$1)/$O$2+$P$3*(P45-$P$1)/$P$2+$Q$3*(Q45-$Q$1)/$Q$2)/SUM($O$3:$Q$3)</f>
        <v>0.46699548141024055</v>
      </c>
      <c r="AW45" s="47">
        <f>COUNT(R45:AO45)/2</f>
        <v>2</v>
      </c>
      <c r="AX45" s="47">
        <f>IF(AND(S45&lt;&gt;"-",S45&gt;5),1,0)+IF(AND(U45&lt;&gt;"-",U45&gt;5),1,0)+IF(AND(W45&lt;&gt;"-",W45&gt;5),1,0)+IF(AND(Y45&lt;&gt;"-",Y45&gt;5),1,0)+IF(AND(AA45&lt;&gt;"-",AA45&gt;5),1,0)+IF(AND(AC45&lt;&gt;"-",AC45&gt;5),1,0)+IF(AND(AE45&lt;&gt;"-",AE45&gt;5),1,0)+IF(AND(AG45&lt;&gt;"-",AG45&gt;5),1,0)+IF(AND(AI45&lt;&gt;"-",AI45&gt;5),1,0)+IF(AND(AK45&lt;&gt;"-",AK45&gt;5),1,0)+IF(AND(AM45&lt;&gt;"-",AM45&gt;5),1,0)+IF(AND(AO45&lt;&gt;"-",AO45&gt;5),1,0)</f>
        <v>2</v>
      </c>
      <c r="AY45" s="48">
        <f>VLOOKUP(AP45,COND!$A$10:$B$32,2,FALSE)</f>
        <v>1.05</v>
      </c>
      <c r="AZ45" s="46">
        <f>($AU$3*AU45+$AV$3*AV45+$AW$3*AW45+$AX$3*AX45)*AY45*IF(AQ45&lt;5,0.95,IF(AQ45&lt;7,0.975,1))+$I$3*VLOOKUP(I45,COND!$A$2:$E$7,4,FALSE)+$J$3*VLOOKUP(J45,COND!$A$2:$E$7,2,FALSE)+$K$3*VLOOKUP(K45,COND!$A$2:$E$7,3,FALSE)+IF(BB45="SP",$BB$3,0)+IF($AW45&lt;3,-5,0)+IF(AND($B$2&gt;0,$E45&lt;20),$B$2*25,0)</f>
        <v>52.521061039661888</v>
      </c>
      <c r="BA45" s="49">
        <f>STANDARDIZE(AZ45,AVERAGE($AZ$5:$AZ$570),STDEVP($AZ$5:$AZ$570))</f>
        <v>1.8156355159128119</v>
      </c>
      <c r="BB45" s="47" t="str">
        <f>IF(OR(AND(AQ45&gt;7,AX45&gt;1),AND(AQ45&gt;4,AW45&gt;2)),"SP","RP")</f>
        <v>RP</v>
      </c>
      <c r="BC45" s="47"/>
      <c r="BD45" s="47"/>
      <c r="BE45" s="47"/>
      <c r="BF45" s="47" t="str">
        <f>IF(AVERAGE($O45:$Q45)&gt;=6,"Likely",IF(AVERAGE($O45:$Q45)&gt;=4,"Possible","Unlikely"))</f>
        <v>Possible</v>
      </c>
      <c r="BG45" s="47"/>
      <c r="BH45" s="47" t="str">
        <f>INDEX(Table5[[#All],[Ovr]],MATCH(Table3[[#This Row],[PID]],Table5[[#All],[PID]],0))</f>
        <v/>
      </c>
      <c r="BI45" s="47" t="str">
        <f>INDEX(Table5[[#All],[Rnd]],MATCH(Table3[[#This Row],[PID]],Table5[[#All],[PID]],0))</f>
        <v/>
      </c>
      <c r="BJ45" s="47" t="str">
        <f>INDEX(Table5[[#All],[Pick]],MATCH(Table3[[#This Row],[PID]],Table5[[#All],[PID]],0))</f>
        <v/>
      </c>
      <c r="BK45" s="47" t="str">
        <f>INDEX(Table5[[#All],[Team]],MATCH(Table3[[#This Row],[PID]],Table5[[#All],[PID]],0))</f>
        <v/>
      </c>
      <c r="BL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" spans="1:64" ht="15" customHeight="1" x14ac:dyDescent="0.25">
      <c r="A46" s="42">
        <v>7081</v>
      </c>
      <c r="B46" s="42" t="s">
        <v>430</v>
      </c>
      <c r="C46" s="42" t="s">
        <v>1455</v>
      </c>
      <c r="D46" s="42" t="s">
        <v>1047</v>
      </c>
      <c r="E46" s="42">
        <v>21</v>
      </c>
      <c r="F46" s="42" t="s">
        <v>42</v>
      </c>
      <c r="G46" s="42" t="s">
        <v>42</v>
      </c>
      <c r="H46" s="43" t="s">
        <v>709</v>
      </c>
      <c r="I46" s="44" t="s">
        <v>47</v>
      </c>
      <c r="J46" s="42" t="s">
        <v>43</v>
      </c>
      <c r="K46" s="43" t="s">
        <v>43</v>
      </c>
      <c r="L46" s="42">
        <v>4</v>
      </c>
      <c r="M46" s="42">
        <v>2</v>
      </c>
      <c r="N46" s="43">
        <v>3</v>
      </c>
      <c r="O46" s="42">
        <v>7</v>
      </c>
      <c r="P46" s="42">
        <v>3</v>
      </c>
      <c r="Q46" s="43">
        <v>4</v>
      </c>
      <c r="R46" s="42">
        <v>7</v>
      </c>
      <c r="S46" s="42">
        <v>9</v>
      </c>
      <c r="T46" s="42">
        <v>1</v>
      </c>
      <c r="U46" s="42">
        <v>1</v>
      </c>
      <c r="V46" s="42">
        <v>3</v>
      </c>
      <c r="W46" s="42">
        <v>4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>
        <v>5</v>
      </c>
      <c r="AG46" s="42">
        <v>7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45</v>
      </c>
      <c r="AN46" s="42" t="s">
        <v>45</v>
      </c>
      <c r="AO46" s="43" t="s">
        <v>45</v>
      </c>
      <c r="AP46" s="42" t="s">
        <v>48</v>
      </c>
      <c r="AQ46" s="42">
        <v>6</v>
      </c>
      <c r="AR46" s="50" t="s">
        <v>353</v>
      </c>
      <c r="AS46" s="45" t="s">
        <v>45</v>
      </c>
      <c r="AT46" s="45" t="s">
        <v>47</v>
      </c>
      <c r="AU46" s="46">
        <f>($O$3*(L46-$O$1)/$O$2+$P$3*(M46-$P$1)/$P$2+$Q$3*(N46-$P$1)/$Q$2)/SUM($O$3:$Q$3)</f>
        <v>-1.4373374159018013</v>
      </c>
      <c r="AV46" s="46">
        <f>($O$3*(O46-$O$1)/$O$2+$P$3*(P46-$P$1)/$P$2+$Q$3*(Q46-$Q$1)/$Q$2)/SUM($O$3:$Q$3)</f>
        <v>2.9983590846956665E-2</v>
      </c>
      <c r="AW46" s="47">
        <f>COUNT(R46:AO46)/2</f>
        <v>4</v>
      </c>
      <c r="AX46" s="47">
        <f>IF(AND(S46&lt;&gt;"-",S46&gt;5),1,0)+IF(AND(U46&lt;&gt;"-",U46&gt;5),1,0)+IF(AND(W46&lt;&gt;"-",W46&gt;5),1,0)+IF(AND(Y46&lt;&gt;"-",Y46&gt;5),1,0)+IF(AND(AA46&lt;&gt;"-",AA46&gt;5),1,0)+IF(AND(AC46&lt;&gt;"-",AC46&gt;5),1,0)+IF(AND(AE46&lt;&gt;"-",AE46&gt;5),1,0)+IF(AND(AG46&lt;&gt;"-",AG46&gt;5),1,0)+IF(AND(AI46&lt;&gt;"-",AI46&gt;5),1,0)+IF(AND(AK46&lt;&gt;"-",AK46&gt;5),1,0)+IF(AND(AM46&lt;&gt;"-",AM46&gt;5),1,0)+IF(AND(AO46&lt;&gt;"-",AO46&gt;5),1,0)</f>
        <v>2</v>
      </c>
      <c r="AY46" s="48">
        <f>VLOOKUP(AP46,COND!$A$10:$B$32,2,FALSE)</f>
        <v>1.05</v>
      </c>
      <c r="AZ46" s="46">
        <f>($AU$3*AU46+$AV$3*AV46+$AW$3*AW46+$AX$3*AX46)*AY46*IF(AQ46&lt;5,0.95,IF(AQ46&lt;7,0.975,1))+$I$3*VLOOKUP(I46,COND!$A$2:$E$7,4,FALSE)+$J$3*VLOOKUP(J46,COND!$A$2:$E$7,2,FALSE)+$K$3*VLOOKUP(K46,COND!$A$2:$E$7,3,FALSE)+IF(BB46="SP",$BB$3,0)+IF($AW46&lt;3,-5,0)+IF(AND($B$2&gt;0,$E46&lt;20),$B$2*25,0)</f>
        <v>52.151494186685539</v>
      </c>
      <c r="BA46" s="49">
        <f>STANDARDIZE(AZ46,AVERAGE($AZ$5:$AZ$570),STDEVP($AZ$5:$AZ$570))</f>
        <v>1.7817446559329535</v>
      </c>
      <c r="BB46" s="47" t="str">
        <f>IF(OR(AND(AQ46&gt;7,AX46&gt;1),AND(AQ46&gt;4,AW46&gt;2)),"SP","RP")</f>
        <v>SP</v>
      </c>
      <c r="BC46" s="47"/>
      <c r="BD46" s="47"/>
      <c r="BE46" s="47"/>
      <c r="BF46" s="47" t="str">
        <f>IF(AVERAGE($O46:$Q46)&gt;=6,"Likely",IF(AVERAGE($O46:$Q46)&gt;=4,"Possible","Unlikely"))</f>
        <v>Possible</v>
      </c>
      <c r="BG46" s="47"/>
      <c r="BH46" s="47" t="str">
        <f>INDEX(Table5[[#All],[Ovr]],MATCH(Table3[[#This Row],[PID]],Table5[[#All],[PID]],0))</f>
        <v/>
      </c>
      <c r="BI46" s="47" t="str">
        <f>INDEX(Table5[[#All],[Rnd]],MATCH(Table3[[#This Row],[PID]],Table5[[#All],[PID]],0))</f>
        <v/>
      </c>
      <c r="BJ46" s="47" t="str">
        <f>INDEX(Table5[[#All],[Pick]],MATCH(Table3[[#This Row],[PID]],Table5[[#All],[PID]],0))</f>
        <v/>
      </c>
      <c r="BK46" s="47" t="str">
        <f>INDEX(Table5[[#All],[Team]],MATCH(Table3[[#This Row],[PID]],Table5[[#All],[PID]],0))</f>
        <v/>
      </c>
      <c r="BL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" spans="1:64" ht="15" customHeight="1" x14ac:dyDescent="0.25">
      <c r="A47" s="42">
        <v>9678</v>
      </c>
      <c r="B47" s="42" t="s">
        <v>49</v>
      </c>
      <c r="C47" s="42" t="s">
        <v>1547</v>
      </c>
      <c r="D47" s="42" t="s">
        <v>1548</v>
      </c>
      <c r="E47" s="42">
        <v>18</v>
      </c>
      <c r="F47" s="42" t="s">
        <v>62</v>
      </c>
      <c r="G47" s="42" t="s">
        <v>42</v>
      </c>
      <c r="H47" s="43" t="s">
        <v>711</v>
      </c>
      <c r="I47" s="44" t="s">
        <v>43</v>
      </c>
      <c r="J47" s="42" t="s">
        <v>43</v>
      </c>
      <c r="K47" s="43" t="s">
        <v>44</v>
      </c>
      <c r="L47" s="42">
        <v>2</v>
      </c>
      <c r="M47" s="42">
        <v>3</v>
      </c>
      <c r="N47" s="43">
        <v>1</v>
      </c>
      <c r="O47" s="42">
        <v>5</v>
      </c>
      <c r="P47" s="42">
        <v>6</v>
      </c>
      <c r="Q47" s="43">
        <v>3</v>
      </c>
      <c r="R47" s="42" t="s">
        <v>45</v>
      </c>
      <c r="S47" s="42" t="s">
        <v>45</v>
      </c>
      <c r="T47" s="42">
        <v>1</v>
      </c>
      <c r="U47" s="42">
        <v>4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>
        <v>3</v>
      </c>
      <c r="AC47" s="42">
        <v>6</v>
      </c>
      <c r="AD47" s="42">
        <v>3</v>
      </c>
      <c r="AE47" s="42">
        <v>7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45</v>
      </c>
      <c r="AN47" s="42" t="s">
        <v>45</v>
      </c>
      <c r="AO47" s="43" t="s">
        <v>45</v>
      </c>
      <c r="AP47" s="42" t="s">
        <v>56</v>
      </c>
      <c r="AQ47" s="42">
        <v>2</v>
      </c>
      <c r="AR47" s="50" t="s">
        <v>352</v>
      </c>
      <c r="AS47" s="45" t="s">
        <v>599</v>
      </c>
      <c r="AT47" s="45" t="s">
        <v>705</v>
      </c>
      <c r="AU47" s="46">
        <f>($O$3*(L47-$O$1)/$O$2+$P$3*(M47-$P$1)/$P$2+$Q$3*(N47-$P$1)/$Q$2)/SUM($O$3:$Q$3)</f>
        <v>-2.1159294805983135</v>
      </c>
      <c r="AV47" s="46">
        <f>($O$3*(O47-$O$1)/$O$2+$P$3*(P47-$P$1)/$P$2+$Q$3*(Q47-$Q$1)/$Q$2)/SUM($O$3:$Q$3)</f>
        <v>-1.5424474935334484E-2</v>
      </c>
      <c r="AW47" s="47">
        <f>COUNT(R47:AO47)/2</f>
        <v>3</v>
      </c>
      <c r="AX47" s="47">
        <f>IF(AND(S47&lt;&gt;"-",S47&gt;5),1,0)+IF(AND(U47&lt;&gt;"-",U47&gt;5),1,0)+IF(AND(W47&lt;&gt;"-",W47&gt;5),1,0)+IF(AND(Y47&lt;&gt;"-",Y47&gt;5),1,0)+IF(AND(AA47&lt;&gt;"-",AA47&gt;5),1,0)+IF(AND(AC47&lt;&gt;"-",AC47&gt;5),1,0)+IF(AND(AE47&lt;&gt;"-",AE47&gt;5),1,0)+IF(AND(AG47&lt;&gt;"-",AG47&gt;5),1,0)+IF(AND(AI47&lt;&gt;"-",AI47&gt;5),1,0)+IF(AND(AK47&lt;&gt;"-",AK47&gt;5),1,0)+IF(AND(AM47&lt;&gt;"-",AM47&gt;5),1,0)+IF(AND(AO47&lt;&gt;"-",AO47&gt;5),1,0)</f>
        <v>2</v>
      </c>
      <c r="AY47" s="48">
        <f>VLOOKUP(AP47,COND!$A$10:$B$32,2,FALSE)</f>
        <v>1</v>
      </c>
      <c r="AZ47" s="46">
        <f>($AU$3*AU47+$AV$3*AV47+$AW$3*AW47+$AX$3*AX47)*AY47*IF(AQ47&lt;5,0.95,IF(AQ47&lt;7,0.975,1))+$I$3*VLOOKUP(I47,COND!$A$2:$E$7,4,FALSE)+$J$3*VLOOKUP(J47,COND!$A$2:$E$7,2,FALSE)+$K$3*VLOOKUP(K47,COND!$A$2:$E$7,3,FALSE)+IF(BB47="SP",$BB$3,0)+IF($AW47&lt;3,-5,0)+IF(AND($B$2&gt;0,$E47&lt;20),$B$2*25,0)</f>
        <v>52.804908374914973</v>
      </c>
      <c r="BA47" s="49">
        <f>STANDARDIZE(AZ47,AVERAGE($AZ$5:$AZ$570),STDEVP($AZ$5:$AZ$570))</f>
        <v>1.8416655297445284</v>
      </c>
      <c r="BB47" s="47" t="str">
        <f>IF(OR(AND(AQ47&gt;7,AX47&gt;1),AND(AQ47&gt;4,AW47&gt;2)),"SP","RP")</f>
        <v>RP</v>
      </c>
      <c r="BC47" s="47"/>
      <c r="BD47" s="47"/>
      <c r="BE47" s="47"/>
      <c r="BF47" s="47" t="str">
        <f>IF(AVERAGE($O47:$Q47)&gt;=6,"Likely",IF(AVERAGE($O47:$Q47)&gt;=4,"Possible","Unlikely"))</f>
        <v>Possible</v>
      </c>
      <c r="BG47" s="47"/>
      <c r="BH47" s="47" t="str">
        <f>INDEX(Table5[[#All],[Ovr]],MATCH(Table3[[#This Row],[PID]],Table5[[#All],[PID]],0))</f>
        <v/>
      </c>
      <c r="BI47" s="47" t="str">
        <f>INDEX(Table5[[#All],[Rnd]],MATCH(Table3[[#This Row],[PID]],Table5[[#All],[PID]],0))</f>
        <v/>
      </c>
      <c r="BJ47" s="47" t="str">
        <f>INDEX(Table5[[#All],[Pick]],MATCH(Table3[[#This Row],[PID]],Table5[[#All],[PID]],0))</f>
        <v/>
      </c>
      <c r="BK47" s="47" t="str">
        <f>INDEX(Table5[[#All],[Team]],MATCH(Table3[[#This Row],[PID]],Table5[[#All],[PID]],0))</f>
        <v/>
      </c>
      <c r="BL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" spans="1:64" ht="15" customHeight="1" x14ac:dyDescent="0.25">
      <c r="A48" s="42">
        <v>13318</v>
      </c>
      <c r="B48" s="42" t="s">
        <v>430</v>
      </c>
      <c r="C48" s="42" t="s">
        <v>145</v>
      </c>
      <c r="D48" s="42" t="s">
        <v>1605</v>
      </c>
      <c r="E48" s="42">
        <v>18</v>
      </c>
      <c r="F48" s="42" t="s">
        <v>42</v>
      </c>
      <c r="G48" s="42" t="s">
        <v>42</v>
      </c>
      <c r="H48" s="43" t="s">
        <v>711</v>
      </c>
      <c r="I48" s="44" t="s">
        <v>43</v>
      </c>
      <c r="J48" s="42" t="s">
        <v>44</v>
      </c>
      <c r="K48" s="43" t="s">
        <v>43</v>
      </c>
      <c r="L48" s="42">
        <v>2</v>
      </c>
      <c r="M48" s="42">
        <v>3</v>
      </c>
      <c r="N48" s="43">
        <v>1</v>
      </c>
      <c r="O48" s="42">
        <v>4</v>
      </c>
      <c r="P48" s="42">
        <v>6</v>
      </c>
      <c r="Q48" s="43">
        <v>4</v>
      </c>
      <c r="R48" s="42">
        <v>4</v>
      </c>
      <c r="S48" s="42">
        <v>6</v>
      </c>
      <c r="T48" s="42">
        <v>1</v>
      </c>
      <c r="U48" s="42">
        <v>1</v>
      </c>
      <c r="V48" s="42">
        <v>2</v>
      </c>
      <c r="W48" s="42">
        <v>4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45</v>
      </c>
      <c r="AN48" s="42" t="s">
        <v>45</v>
      </c>
      <c r="AO48" s="43" t="s">
        <v>45</v>
      </c>
      <c r="AP48" s="42" t="s">
        <v>57</v>
      </c>
      <c r="AQ48" s="42">
        <v>4</v>
      </c>
      <c r="AR48" s="50" t="s">
        <v>353</v>
      </c>
      <c r="AS48" s="45" t="s">
        <v>718</v>
      </c>
      <c r="AT48" s="45" t="s">
        <v>705</v>
      </c>
      <c r="AU48" s="46">
        <f>($O$3*(L48-$O$1)/$O$2+$P$3*(M48-$P$1)/$P$2+$Q$3*(N48-$P$1)/$Q$2)/SUM($O$3:$Q$3)</f>
        <v>-2.1159294805983135</v>
      </c>
      <c r="AV48" s="46">
        <f>($O$3*(O48-$O$1)/$O$2+$P$3*(P48-$P$1)/$P$2+$Q$3*(Q48-$Q$1)/$Q$2)/SUM($O$3:$Q$3)</f>
        <v>3.2204766609602385E-2</v>
      </c>
      <c r="AW48" s="47">
        <f>COUNT(R48:AO48)/2</f>
        <v>3</v>
      </c>
      <c r="AX48" s="47">
        <f>IF(AND(S48&lt;&gt;"-",S48&gt;5),1,0)+IF(AND(U48&lt;&gt;"-",U48&gt;5),1,0)+IF(AND(W48&lt;&gt;"-",W48&gt;5),1,0)+IF(AND(Y48&lt;&gt;"-",Y48&gt;5),1,0)+IF(AND(AA48&lt;&gt;"-",AA48&gt;5),1,0)+IF(AND(AC48&lt;&gt;"-",AC48&gt;5),1,0)+IF(AND(AE48&lt;&gt;"-",AE48&gt;5),1,0)+IF(AND(AG48&lt;&gt;"-",AG48&gt;5),1,0)+IF(AND(AI48&lt;&gt;"-",AI48&gt;5),1,0)+IF(AND(AK48&lt;&gt;"-",AK48&gt;5),1,0)+IF(AND(AM48&lt;&gt;"-",AM48&gt;5),1,0)+IF(AND(AO48&lt;&gt;"-",AO48&gt;5),1,0)</f>
        <v>1</v>
      </c>
      <c r="AY48" s="48">
        <f>VLOOKUP(AP48,COND!$A$10:$B$32,2,FALSE)</f>
        <v>1</v>
      </c>
      <c r="AZ48" s="46">
        <f>($AU$3*AU48+$AV$3*AV48+$AW$3*AW48+$AX$3*AX48)*AY48*IF(AQ48&lt;5,0.95,IF(AQ48&lt;7,0.975,1))+$I$3*VLOOKUP(I48,COND!$A$2:$E$7,4,FALSE)+$J$3*VLOOKUP(J48,COND!$A$2:$E$7,2,FALSE)+$K$3*VLOOKUP(K48,COND!$A$2:$E$7,3,FALSE)+IF(BB48="SP",$BB$3,0)+IF($AW48&lt;3,-5,0)+IF(AND($B$2&gt;0,$E48&lt;20),$B$2*25,0)</f>
        <v>52.522363964268763</v>
      </c>
      <c r="BA48" s="49">
        <f>STANDARDIZE(AZ48,AVERAGE($AZ$5:$AZ$570),STDEVP($AZ$5:$AZ$570))</f>
        <v>1.8157549996680793</v>
      </c>
      <c r="BB48" s="47" t="str">
        <f>IF(OR(AND(AQ48&gt;7,AX48&gt;1),AND(AQ48&gt;4,AW48&gt;2)),"SP","RP")</f>
        <v>RP</v>
      </c>
      <c r="BC48" s="47"/>
      <c r="BD48" s="47"/>
      <c r="BE48" s="47"/>
      <c r="BF48" s="47" t="str">
        <f>IF(AVERAGE($O48:$Q48)&gt;=6,"Likely",IF(AVERAGE($O48:$Q48)&gt;=4,"Possible","Unlikely"))</f>
        <v>Possible</v>
      </c>
      <c r="BG48" s="47"/>
      <c r="BH48" s="47" t="str">
        <f>INDEX(Table5[[#All],[Ovr]],MATCH(Table3[[#This Row],[PID]],Table5[[#All],[PID]],0))</f>
        <v/>
      </c>
      <c r="BI48" s="47" t="str">
        <f>INDEX(Table5[[#All],[Rnd]],MATCH(Table3[[#This Row],[PID]],Table5[[#All],[PID]],0))</f>
        <v/>
      </c>
      <c r="BJ48" s="47" t="str">
        <f>INDEX(Table5[[#All],[Pick]],MATCH(Table3[[#This Row],[PID]],Table5[[#All],[PID]],0))</f>
        <v/>
      </c>
      <c r="BK48" s="47" t="str">
        <f>INDEX(Table5[[#All],[Team]],MATCH(Table3[[#This Row],[PID]],Table5[[#All],[PID]],0))</f>
        <v/>
      </c>
      <c r="BL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" spans="1:64" ht="15" customHeight="1" x14ac:dyDescent="0.25">
      <c r="A49" s="42">
        <v>11022</v>
      </c>
      <c r="B49" s="42" t="s">
        <v>24</v>
      </c>
      <c r="C49" s="42" t="s">
        <v>590</v>
      </c>
      <c r="D49" s="42" t="s">
        <v>816</v>
      </c>
      <c r="E49" s="42">
        <v>18</v>
      </c>
      <c r="F49" s="42" t="s">
        <v>42</v>
      </c>
      <c r="G49" s="42" t="s">
        <v>42</v>
      </c>
      <c r="H49" s="43" t="s">
        <v>709</v>
      </c>
      <c r="I49" s="44" t="s">
        <v>43</v>
      </c>
      <c r="J49" s="42" t="s">
        <v>43</v>
      </c>
      <c r="K49" s="43" t="s">
        <v>43</v>
      </c>
      <c r="L49" s="42">
        <v>3</v>
      </c>
      <c r="M49" s="42">
        <v>2</v>
      </c>
      <c r="N49" s="43">
        <v>1</v>
      </c>
      <c r="O49" s="42">
        <v>5</v>
      </c>
      <c r="P49" s="42">
        <v>5</v>
      </c>
      <c r="Q49" s="43">
        <v>3</v>
      </c>
      <c r="R49" s="42">
        <v>5</v>
      </c>
      <c r="S49" s="42">
        <v>8</v>
      </c>
      <c r="T49" s="42">
        <v>1</v>
      </c>
      <c r="U49" s="42">
        <v>2</v>
      </c>
      <c r="V49" s="42" t="s">
        <v>45</v>
      </c>
      <c r="W49" s="42" t="s">
        <v>45</v>
      </c>
      <c r="X49" s="42" t="s">
        <v>45</v>
      </c>
      <c r="Y49" s="42" t="s">
        <v>45</v>
      </c>
      <c r="Z49" s="42">
        <v>4</v>
      </c>
      <c r="AA49" s="42">
        <v>7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45</v>
      </c>
      <c r="AN49" s="42" t="s">
        <v>45</v>
      </c>
      <c r="AO49" s="43" t="s">
        <v>45</v>
      </c>
      <c r="AP49" s="42" t="s">
        <v>48</v>
      </c>
      <c r="AQ49" s="42">
        <v>7</v>
      </c>
      <c r="AR49" s="50" t="s">
        <v>352</v>
      </c>
      <c r="AS49" s="45" t="s">
        <v>597</v>
      </c>
      <c r="AT49" s="45" t="s">
        <v>705</v>
      </c>
      <c r="AU49" s="46">
        <f>($O$3*(L49-$O$1)/$O$2+$P$3*(M49-$P$1)/$P$2+$Q$3*(N49-$P$1)/$Q$2)/SUM($O$3:$Q$3)</f>
        <v>-2.1166698725191955</v>
      </c>
      <c r="AV49" s="46">
        <f>($O$3*(O49-$O$1)/$O$2+$P$3*(P49-$P$1)/$P$2+$Q$3*(Q49-$Q$1)/$Q$2)/SUM($O$3:$Q$3)</f>
        <v>-0.21085619136538991</v>
      </c>
      <c r="AW49" s="47">
        <f>COUNT(R49:AO49)/2</f>
        <v>3</v>
      </c>
      <c r="AX49" s="47">
        <f>IF(AND(S49&lt;&gt;"-",S49&gt;5),1,0)+IF(AND(U49&lt;&gt;"-",U49&gt;5),1,0)+IF(AND(W49&lt;&gt;"-",W49&gt;5),1,0)+IF(AND(Y49&lt;&gt;"-",Y49&gt;5),1,0)+IF(AND(AA49&lt;&gt;"-",AA49&gt;5),1,0)+IF(AND(AC49&lt;&gt;"-",AC49&gt;5),1,0)+IF(AND(AE49&lt;&gt;"-",AE49&gt;5),1,0)+IF(AND(AG49&lt;&gt;"-",AG49&gt;5),1,0)+IF(AND(AI49&lt;&gt;"-",AI49&gt;5),1,0)+IF(AND(AK49&lt;&gt;"-",AK49&gt;5),1,0)+IF(AND(AM49&lt;&gt;"-",AM49&gt;5),1,0)+IF(AND(AO49&lt;&gt;"-",AO49&gt;5),1,0)</f>
        <v>2</v>
      </c>
      <c r="AY49" s="48">
        <f>VLOOKUP(AP49,COND!$A$10:$B$32,2,FALSE)</f>
        <v>1.05</v>
      </c>
      <c r="AZ49" s="46">
        <f>($AU$3*AU49+$AV$3*AV49+$AW$3*AW49+$AX$3*AX49)*AY49*IF(AQ49&lt;5,0.95,IF(AQ49&lt;7,0.975,1))+$I$3*VLOOKUP(I49,COND!$A$2:$E$7,4,FALSE)+$J$3*VLOOKUP(J49,COND!$A$2:$E$7,2,FALSE)+$K$3*VLOOKUP(K49,COND!$A$2:$E$7,3,FALSE)+IF(BB49="SP",$BB$3,0)+IF($AW49&lt;3,-5,0)+IF(AND($B$2&gt;0,$E49&lt;20),$B$2*25,0)</f>
        <v>51.327519308097777</v>
      </c>
      <c r="BA49" s="49">
        <f>STANDARDIZE(AZ49,AVERAGE($AZ$5:$AZ$570),STDEVP($AZ$5:$AZ$570))</f>
        <v>1.7061826378238079</v>
      </c>
      <c r="BB49" s="47" t="str">
        <f>IF(OR(AND(AQ49&gt;7,AX49&gt;1),AND(AQ49&gt;4,AW49&gt;2)),"SP","RP")</f>
        <v>SP</v>
      </c>
      <c r="BC49" s="47"/>
      <c r="BD49" s="47"/>
      <c r="BE49" s="47"/>
      <c r="BF49" s="47" t="str">
        <f>IF(AVERAGE($O49:$Q49)&gt;=6,"Likely",IF(AVERAGE($O49:$Q49)&gt;=4,"Possible","Unlikely"))</f>
        <v>Possible</v>
      </c>
      <c r="BG49" s="47"/>
      <c r="BH49" s="47" t="str">
        <f>INDEX(Table5[[#All],[Ovr]],MATCH(Table3[[#This Row],[PID]],Table5[[#All],[PID]],0))</f>
        <v/>
      </c>
      <c r="BI49" s="47" t="str">
        <f>INDEX(Table5[[#All],[Rnd]],MATCH(Table3[[#This Row],[PID]],Table5[[#All],[PID]],0))</f>
        <v/>
      </c>
      <c r="BJ49" s="47" t="str">
        <f>INDEX(Table5[[#All],[Pick]],MATCH(Table3[[#This Row],[PID]],Table5[[#All],[PID]],0))</f>
        <v/>
      </c>
      <c r="BK49" s="47" t="str">
        <f>INDEX(Table5[[#All],[Team]],MATCH(Table3[[#This Row],[PID]],Table5[[#All],[PID]],0))</f>
        <v/>
      </c>
      <c r="BL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" spans="1:64" ht="15" customHeight="1" x14ac:dyDescent="0.25">
      <c r="A50" s="42">
        <v>8241</v>
      </c>
      <c r="B50" s="42" t="s">
        <v>24</v>
      </c>
      <c r="C50" s="42" t="s">
        <v>172</v>
      </c>
      <c r="D50" s="42" t="s">
        <v>987</v>
      </c>
      <c r="E50" s="42">
        <v>18</v>
      </c>
      <c r="F50" s="42" t="s">
        <v>42</v>
      </c>
      <c r="G50" s="42" t="s">
        <v>42</v>
      </c>
      <c r="H50" s="43" t="s">
        <v>709</v>
      </c>
      <c r="I50" s="44" t="s">
        <v>43</v>
      </c>
      <c r="J50" s="42" t="s">
        <v>43</v>
      </c>
      <c r="K50" s="43" t="s">
        <v>43</v>
      </c>
      <c r="L50" s="42">
        <v>2</v>
      </c>
      <c r="M50" s="42">
        <v>2</v>
      </c>
      <c r="N50" s="43">
        <v>1</v>
      </c>
      <c r="O50" s="42">
        <v>5</v>
      </c>
      <c r="P50" s="42">
        <v>5</v>
      </c>
      <c r="Q50" s="43">
        <v>3</v>
      </c>
      <c r="R50" s="42">
        <v>4</v>
      </c>
      <c r="S50" s="42">
        <v>8</v>
      </c>
      <c r="T50" s="42">
        <v>1</v>
      </c>
      <c r="U50" s="42">
        <v>2</v>
      </c>
      <c r="V50" s="42" t="s">
        <v>45</v>
      </c>
      <c r="W50" s="42" t="s">
        <v>45</v>
      </c>
      <c r="X50" s="42">
        <v>2</v>
      </c>
      <c r="Y50" s="42">
        <v>7</v>
      </c>
      <c r="Z50" s="42" t="s">
        <v>45</v>
      </c>
      <c r="AA50" s="42" t="s">
        <v>45</v>
      </c>
      <c r="AB50" s="42" t="s">
        <v>45</v>
      </c>
      <c r="AC50" s="42" t="s">
        <v>45</v>
      </c>
      <c r="AD50" s="42" t="s">
        <v>45</v>
      </c>
      <c r="AE50" s="42" t="s">
        <v>45</v>
      </c>
      <c r="AF50" s="42" t="s">
        <v>45</v>
      </c>
      <c r="AG50" s="42" t="s">
        <v>45</v>
      </c>
      <c r="AH50" s="42" t="s">
        <v>45</v>
      </c>
      <c r="AI50" s="42" t="s">
        <v>45</v>
      </c>
      <c r="AJ50" s="42" t="s">
        <v>45</v>
      </c>
      <c r="AK50" s="42" t="s">
        <v>45</v>
      </c>
      <c r="AL50" s="42" t="s">
        <v>45</v>
      </c>
      <c r="AM50" s="42" t="s">
        <v>45</v>
      </c>
      <c r="AN50" s="42" t="s">
        <v>45</v>
      </c>
      <c r="AO50" s="43" t="s">
        <v>45</v>
      </c>
      <c r="AP50" s="42" t="s">
        <v>58</v>
      </c>
      <c r="AQ50" s="42">
        <v>7</v>
      </c>
      <c r="AR50" s="50" t="s">
        <v>352</v>
      </c>
      <c r="AS50" s="45" t="s">
        <v>599</v>
      </c>
      <c r="AT50" s="45" t="s">
        <v>47</v>
      </c>
      <c r="AU50" s="46">
        <f>($O$3*(L50-$O$1)/$O$2+$P$3*(M50-$P$1)/$P$2+$Q$3*(N50-$P$1)/$Q$2)/SUM($O$3:$Q$3)</f>
        <v>-2.311361197028369</v>
      </c>
      <c r="AV50" s="46">
        <f>($O$3*(O50-$O$1)/$O$2+$P$3*(P50-$P$1)/$P$2+$Q$3*(Q50-$Q$1)/$Q$2)/SUM($O$3:$Q$3)</f>
        <v>-0.21085619136538991</v>
      </c>
      <c r="AW50" s="47">
        <f>COUNT(R50:AO50)/2</f>
        <v>3</v>
      </c>
      <c r="AX50" s="47">
        <f>IF(AND(S50&lt;&gt;"-",S50&gt;5),1,0)+IF(AND(U50&lt;&gt;"-",U50&gt;5),1,0)+IF(AND(W50&lt;&gt;"-",W50&gt;5),1,0)+IF(AND(Y50&lt;&gt;"-",Y50&gt;5),1,0)+IF(AND(AA50&lt;&gt;"-",AA50&gt;5),1,0)+IF(AND(AC50&lt;&gt;"-",AC50&gt;5),1,0)+IF(AND(AE50&lt;&gt;"-",AE50&gt;5),1,0)+IF(AND(AG50&lt;&gt;"-",AG50&gt;5),1,0)+IF(AND(AI50&lt;&gt;"-",AI50&gt;5),1,0)+IF(AND(AK50&lt;&gt;"-",AK50&gt;5),1,0)+IF(AND(AM50&lt;&gt;"-",AM50&gt;5),1,0)+IF(AND(AO50&lt;&gt;"-",AO50&gt;5),1,0)</f>
        <v>2</v>
      </c>
      <c r="AY50" s="48">
        <f>VLOOKUP(AP50,COND!$A$10:$B$32,2,FALSE)</f>
        <v>1</v>
      </c>
      <c r="AZ50" s="46">
        <f>($AU$3*AU50+$AV$3*AV50+$AW$3*AW50+$AX$3*AX50)*AY50*IF(AQ50&lt;5,0.95,IF(AQ50&lt;7,0.975,1))+$I$3*VLOOKUP(I50,COND!$A$2:$E$7,4,FALSE)+$J$3*VLOOKUP(J50,COND!$A$2:$E$7,2,FALSE)+$K$3*VLOOKUP(K50,COND!$A$2:$E$7,3,FALSE)+IF(BB50="SP",$BB$3,0)+IF($AW50&lt;3,-5,0)+IF(AND($B$2&gt;0,$E50&lt;20),$B$2*25,0)</f>
        <v>51.320603933286527</v>
      </c>
      <c r="BA50" s="49">
        <f>STANDARDIZE(AZ50,AVERAGE($AZ$5:$AZ$570),STDEVP($AZ$5:$AZ$570))</f>
        <v>1.7055484683966831</v>
      </c>
      <c r="BB50" s="47" t="str">
        <f>IF(OR(AND(AQ50&gt;7,AX50&gt;1),AND(AQ50&gt;4,AW50&gt;2)),"SP","RP")</f>
        <v>SP</v>
      </c>
      <c r="BC50" s="47"/>
      <c r="BD50" s="47"/>
      <c r="BE50" s="47"/>
      <c r="BF50" s="47" t="str">
        <f>IF(AVERAGE($O50:$Q50)&gt;=6,"Likely",IF(AVERAGE($O50:$Q50)&gt;=4,"Possible","Unlikely"))</f>
        <v>Possible</v>
      </c>
      <c r="BG50" s="47"/>
      <c r="BH50" s="47" t="str">
        <f>INDEX(Table5[[#All],[Ovr]],MATCH(Table3[[#This Row],[PID]],Table5[[#All],[PID]],0))</f>
        <v/>
      </c>
      <c r="BI50" s="47" t="str">
        <f>INDEX(Table5[[#All],[Rnd]],MATCH(Table3[[#This Row],[PID]],Table5[[#All],[PID]],0))</f>
        <v/>
      </c>
      <c r="BJ50" s="47" t="str">
        <f>INDEX(Table5[[#All],[Pick]],MATCH(Table3[[#This Row],[PID]],Table5[[#All],[PID]],0))</f>
        <v/>
      </c>
      <c r="BK50" s="47" t="str">
        <f>INDEX(Table5[[#All],[Team]],MATCH(Table3[[#This Row],[PID]],Table5[[#All],[PID]],0))</f>
        <v/>
      </c>
      <c r="BL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" spans="1:64" ht="15" customHeight="1" x14ac:dyDescent="0.25">
      <c r="A51" s="42">
        <v>15165</v>
      </c>
      <c r="B51" s="42" t="s">
        <v>49</v>
      </c>
      <c r="C51" s="42" t="s">
        <v>1524</v>
      </c>
      <c r="D51" s="42" t="s">
        <v>728</v>
      </c>
      <c r="E51" s="42">
        <v>18</v>
      </c>
      <c r="F51" s="42" t="s">
        <v>53</v>
      </c>
      <c r="G51" s="42" t="s">
        <v>53</v>
      </c>
      <c r="H51" s="43" t="s">
        <v>709</v>
      </c>
      <c r="I51" s="44" t="s">
        <v>43</v>
      </c>
      <c r="J51" s="42" t="s">
        <v>44</v>
      </c>
      <c r="K51" s="43" t="s">
        <v>43</v>
      </c>
      <c r="L51" s="42">
        <v>1</v>
      </c>
      <c r="M51" s="42">
        <v>2</v>
      </c>
      <c r="N51" s="43">
        <v>2</v>
      </c>
      <c r="O51" s="42">
        <v>5</v>
      </c>
      <c r="P51" s="42">
        <v>4</v>
      </c>
      <c r="Q51" s="43">
        <v>4</v>
      </c>
      <c r="R51" s="42">
        <v>3</v>
      </c>
      <c r="S51" s="42">
        <v>6</v>
      </c>
      <c r="T51" s="42">
        <v>1</v>
      </c>
      <c r="U51" s="42">
        <v>1</v>
      </c>
      <c r="V51" s="42" t="s">
        <v>45</v>
      </c>
      <c r="W51" s="42" t="s">
        <v>45</v>
      </c>
      <c r="X51" s="42">
        <v>2</v>
      </c>
      <c r="Y51" s="42">
        <v>7</v>
      </c>
      <c r="Z51" s="42" t="s">
        <v>45</v>
      </c>
      <c r="AA51" s="42" t="s">
        <v>45</v>
      </c>
      <c r="AB51" s="42" t="s">
        <v>45</v>
      </c>
      <c r="AC51" s="42" t="s">
        <v>45</v>
      </c>
      <c r="AD51" s="42" t="s">
        <v>45</v>
      </c>
      <c r="AE51" s="42" t="s">
        <v>45</v>
      </c>
      <c r="AF51" s="42" t="s">
        <v>45</v>
      </c>
      <c r="AG51" s="42" t="s">
        <v>45</v>
      </c>
      <c r="AH51" s="42" t="s">
        <v>45</v>
      </c>
      <c r="AI51" s="42" t="s">
        <v>45</v>
      </c>
      <c r="AJ51" s="42" t="s">
        <v>45</v>
      </c>
      <c r="AK51" s="42" t="s">
        <v>45</v>
      </c>
      <c r="AL51" s="42" t="s">
        <v>45</v>
      </c>
      <c r="AM51" s="42" t="s">
        <v>45</v>
      </c>
      <c r="AN51" s="42" t="s">
        <v>45</v>
      </c>
      <c r="AO51" s="43" t="s">
        <v>45</v>
      </c>
      <c r="AP51" s="42" t="s">
        <v>64</v>
      </c>
      <c r="AQ51" s="42">
        <v>10</v>
      </c>
      <c r="AR51" s="50" t="s">
        <v>353</v>
      </c>
      <c r="AS51" s="45" t="s">
        <v>602</v>
      </c>
      <c r="AT51" s="45" t="s">
        <v>47</v>
      </c>
      <c r="AU51" s="46">
        <f>($O$3*(L51-$O$1)/$O$2+$P$3*(M51-$P$1)/$P$2+$Q$3*(N51-$P$1)/$Q$2)/SUM($O$3:$Q$3)</f>
        <v>-2.2637319554834323</v>
      </c>
      <c r="AV51" s="46">
        <f>($O$3*(O51-$O$1)/$O$2+$P$3*(P51-$P$1)/$P$2+$Q$3*(Q51-$Q$1)/$Q$2)/SUM($O$3:$Q$3)</f>
        <v>-0.16396734174133493</v>
      </c>
      <c r="AW51" s="47">
        <f>COUNT(R51:AO51)/2</f>
        <v>3</v>
      </c>
      <c r="AX51" s="47">
        <f>IF(AND(S51&lt;&gt;"-",S51&gt;5),1,0)+IF(AND(U51&lt;&gt;"-",U51&gt;5),1,0)+IF(AND(W51&lt;&gt;"-",W51&gt;5),1,0)+IF(AND(Y51&lt;&gt;"-",Y51&gt;5),1,0)+IF(AND(AA51&lt;&gt;"-",AA51&gt;5),1,0)+IF(AND(AC51&lt;&gt;"-",AC51&gt;5),1,0)+IF(AND(AE51&lt;&gt;"-",AE51&gt;5),1,0)+IF(AND(AG51&lt;&gt;"-",AG51&gt;5),1,0)+IF(AND(AI51&lt;&gt;"-",AI51&gt;5),1,0)+IF(AND(AK51&lt;&gt;"-",AK51&gt;5),1,0)+IF(AND(AM51&lt;&gt;"-",AM51&gt;5),1,0)+IF(AND(AO51&lt;&gt;"-",AO51&gt;5),1,0)</f>
        <v>2</v>
      </c>
      <c r="AY51" s="48">
        <f>VLOOKUP(AP51,COND!$A$10:$B$32,2,FALSE)</f>
        <v>1</v>
      </c>
      <c r="AZ51" s="46">
        <f>($AU$3*AU51+$AV$3*AV51+$AW$3*AW51+$AX$3*AX51)*AY51*IF(AQ51&lt;5,0.95,IF(AQ51&lt;7,0.975,1))+$I$3*VLOOKUP(I51,COND!$A$2:$E$7,4,FALSE)+$J$3*VLOOKUP(J51,COND!$A$2:$E$7,2,FALSE)+$K$3*VLOOKUP(K51,COND!$A$2:$E$7,3,FALSE)+IF(BB51="SP",$BB$3,0)+IF($AW51&lt;3,-5,0)+IF(AND($B$2&gt;0,$E51&lt;20),$B$2*25,0)</f>
        <v>51.96790677407661</v>
      </c>
      <c r="BA51" s="49">
        <f>STANDARDIZE(AZ51,AVERAGE($AZ$5:$AZ$570),STDEVP($AZ$5:$AZ$570))</f>
        <v>1.7649089055276217</v>
      </c>
      <c r="BB51" s="47" t="str">
        <f>IF(OR(AND(AQ51&gt;7,AX51&gt;1),AND(AQ51&gt;4,AW51&gt;2)),"SP","RP")</f>
        <v>SP</v>
      </c>
      <c r="BC51" s="47"/>
      <c r="BD51" s="47"/>
      <c r="BE51" s="47"/>
      <c r="BF51" s="47" t="str">
        <f>IF(AVERAGE($O51:$Q51)&gt;=6,"Likely",IF(AVERAGE($O51:$Q51)&gt;=4,"Possible","Unlikely"))</f>
        <v>Possible</v>
      </c>
      <c r="BG51" s="47"/>
      <c r="BH51" s="47" t="str">
        <f>INDEX(Table5[[#All],[Ovr]],MATCH(Table3[[#This Row],[PID]],Table5[[#All],[PID]],0))</f>
        <v/>
      </c>
      <c r="BI51" s="47" t="str">
        <f>INDEX(Table5[[#All],[Rnd]],MATCH(Table3[[#This Row],[PID]],Table5[[#All],[PID]],0))</f>
        <v/>
      </c>
      <c r="BJ51" s="47" t="str">
        <f>INDEX(Table5[[#All],[Pick]],MATCH(Table3[[#This Row],[PID]],Table5[[#All],[PID]],0))</f>
        <v/>
      </c>
      <c r="BK51" s="47" t="str">
        <f>INDEX(Table5[[#All],[Team]],MATCH(Table3[[#This Row],[PID]],Table5[[#All],[PID]],0))</f>
        <v/>
      </c>
      <c r="BL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" spans="1:64" ht="15" customHeight="1" x14ac:dyDescent="0.25">
      <c r="A52" s="42">
        <v>13000</v>
      </c>
      <c r="B52" s="42" t="s">
        <v>430</v>
      </c>
      <c r="C52" s="42" t="s">
        <v>990</v>
      </c>
      <c r="D52" s="42" t="s">
        <v>773</v>
      </c>
      <c r="E52" s="42">
        <v>18</v>
      </c>
      <c r="F52" s="42" t="s">
        <v>42</v>
      </c>
      <c r="G52" s="42" t="s">
        <v>42</v>
      </c>
      <c r="H52" s="43" t="s">
        <v>709</v>
      </c>
      <c r="I52" s="44" t="s">
        <v>43</v>
      </c>
      <c r="J52" s="42" t="s">
        <v>43</v>
      </c>
      <c r="K52" s="43" t="s">
        <v>44</v>
      </c>
      <c r="L52" s="42">
        <v>2</v>
      </c>
      <c r="M52" s="42">
        <v>2</v>
      </c>
      <c r="N52" s="43">
        <v>1</v>
      </c>
      <c r="O52" s="42">
        <v>5</v>
      </c>
      <c r="P52" s="42">
        <v>4</v>
      </c>
      <c r="Q52" s="43">
        <v>4</v>
      </c>
      <c r="R52" s="42">
        <v>4</v>
      </c>
      <c r="S52" s="42">
        <v>7</v>
      </c>
      <c r="T52" s="42">
        <v>1</v>
      </c>
      <c r="U52" s="42">
        <v>1</v>
      </c>
      <c r="V52" s="42" t="s">
        <v>45</v>
      </c>
      <c r="W52" s="42" t="s">
        <v>45</v>
      </c>
      <c r="X52" s="42" t="s">
        <v>45</v>
      </c>
      <c r="Y52" s="42" t="s">
        <v>45</v>
      </c>
      <c r="Z52" s="42">
        <v>3</v>
      </c>
      <c r="AA52" s="42">
        <v>6</v>
      </c>
      <c r="AB52" s="42" t="s">
        <v>45</v>
      </c>
      <c r="AC52" s="42" t="s">
        <v>45</v>
      </c>
      <c r="AD52" s="42" t="s">
        <v>45</v>
      </c>
      <c r="AE52" s="42" t="s">
        <v>45</v>
      </c>
      <c r="AF52" s="42" t="s">
        <v>45</v>
      </c>
      <c r="AG52" s="42" t="s">
        <v>45</v>
      </c>
      <c r="AH52" s="42" t="s">
        <v>45</v>
      </c>
      <c r="AI52" s="42" t="s">
        <v>45</v>
      </c>
      <c r="AJ52" s="42" t="s">
        <v>45</v>
      </c>
      <c r="AK52" s="42" t="s">
        <v>45</v>
      </c>
      <c r="AL52" s="42" t="s">
        <v>45</v>
      </c>
      <c r="AM52" s="42" t="s">
        <v>45</v>
      </c>
      <c r="AN52" s="42" t="s">
        <v>45</v>
      </c>
      <c r="AO52" s="43" t="s">
        <v>45</v>
      </c>
      <c r="AP52" s="42" t="s">
        <v>56</v>
      </c>
      <c r="AQ52" s="42">
        <v>6</v>
      </c>
      <c r="AR52" s="50" t="s">
        <v>353</v>
      </c>
      <c r="AS52" s="45" t="s">
        <v>734</v>
      </c>
      <c r="AT52" s="45" t="s">
        <v>47</v>
      </c>
      <c r="AU52" s="46">
        <f>($O$3*(L52-$O$1)/$O$2+$P$3*(M52-$P$1)/$P$2+$Q$3*(N52-$P$1)/$Q$2)/SUM($O$3:$Q$3)</f>
        <v>-2.311361197028369</v>
      </c>
      <c r="AV52" s="46">
        <f>($O$3*(O52-$O$1)/$O$2+$P$3*(P52-$P$1)/$P$2+$Q$3*(Q52-$Q$1)/$Q$2)/SUM($O$3:$Q$3)</f>
        <v>-0.16396734174133493</v>
      </c>
      <c r="AW52" s="47">
        <f>COUNT(R52:AO52)/2</f>
        <v>3</v>
      </c>
      <c r="AX52" s="47">
        <f>IF(AND(S52&lt;&gt;"-",S52&gt;5),1,0)+IF(AND(U52&lt;&gt;"-",U52&gt;5),1,0)+IF(AND(W52&lt;&gt;"-",W52&gt;5),1,0)+IF(AND(Y52&lt;&gt;"-",Y52&gt;5),1,0)+IF(AND(AA52&lt;&gt;"-",AA52&gt;5),1,0)+IF(AND(AC52&lt;&gt;"-",AC52&gt;5),1,0)+IF(AND(AE52&lt;&gt;"-",AE52&gt;5),1,0)+IF(AND(AG52&lt;&gt;"-",AG52&gt;5),1,0)+IF(AND(AI52&lt;&gt;"-",AI52&gt;5),1,0)+IF(AND(AK52&lt;&gt;"-",AK52&gt;5),1,0)+IF(AND(AM52&lt;&gt;"-",AM52&gt;5),1,0)+IF(AND(AO52&lt;&gt;"-",AO52&gt;5),1,0)</f>
        <v>2</v>
      </c>
      <c r="AY52" s="48">
        <f>VLOOKUP(AP52,COND!$A$10:$B$32,2,FALSE)</f>
        <v>1</v>
      </c>
      <c r="AZ52" s="46">
        <f>($AU$3*AU52+$AV$3*AV52+$AW$3*AW52+$AX$3*AX52)*AY52*IF(AQ52&lt;5,0.95,IF(AQ52&lt;7,0.975,1))+$I$3*VLOOKUP(I52,COND!$A$2:$E$7,4,FALSE)+$J$3*VLOOKUP(J52,COND!$A$2:$E$7,2,FALSE)+$K$3*VLOOKUP(K52,COND!$A$2:$E$7,3,FALSE)+IF(BB52="SP",$BB$3,0)+IF($AW52&lt;3,-5,0)+IF(AND($B$2&gt;0,$E52&lt;20),$B$2*25,0)</f>
        <v>51.951921402623441</v>
      </c>
      <c r="BA52" s="49">
        <f>STANDARDIZE(AZ52,AVERAGE($AZ$5:$AZ$570),STDEVP($AZ$5:$AZ$570))</f>
        <v>1.7634429786424526</v>
      </c>
      <c r="BB52" s="47" t="str">
        <f>IF(OR(AND(AQ52&gt;7,AX52&gt;1),AND(AQ52&gt;4,AW52&gt;2)),"SP","RP")</f>
        <v>SP</v>
      </c>
      <c r="BC52" s="47"/>
      <c r="BD52" s="47"/>
      <c r="BE52" s="47"/>
      <c r="BF52" s="47" t="str">
        <f>IF(AVERAGE($O52:$Q52)&gt;=6,"Likely",IF(AVERAGE($O52:$Q52)&gt;=4,"Possible","Unlikely"))</f>
        <v>Possible</v>
      </c>
      <c r="BG52" s="47"/>
      <c r="BH52" s="47" t="str">
        <f>INDEX(Table5[[#All],[Ovr]],MATCH(Table3[[#This Row],[PID]],Table5[[#All],[PID]],0))</f>
        <v/>
      </c>
      <c r="BI52" s="47" t="str">
        <f>INDEX(Table5[[#All],[Rnd]],MATCH(Table3[[#This Row],[PID]],Table5[[#All],[PID]],0))</f>
        <v/>
      </c>
      <c r="BJ52" s="47" t="str">
        <f>INDEX(Table5[[#All],[Pick]],MATCH(Table3[[#This Row],[PID]],Table5[[#All],[PID]],0))</f>
        <v/>
      </c>
      <c r="BK52" s="47" t="str">
        <f>INDEX(Table5[[#All],[Team]],MATCH(Table3[[#This Row],[PID]],Table5[[#All],[PID]],0))</f>
        <v/>
      </c>
      <c r="BL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" spans="1:64" ht="15" customHeight="1" x14ac:dyDescent="0.25">
      <c r="A53" s="42">
        <v>9440</v>
      </c>
      <c r="B53" s="42" t="s">
        <v>49</v>
      </c>
      <c r="C53" s="42" t="s">
        <v>1075</v>
      </c>
      <c r="D53" s="42" t="s">
        <v>207</v>
      </c>
      <c r="E53" s="42">
        <v>21</v>
      </c>
      <c r="F53" s="42" t="s">
        <v>42</v>
      </c>
      <c r="G53" s="42" t="s">
        <v>42</v>
      </c>
      <c r="H53" s="43" t="s">
        <v>703</v>
      </c>
      <c r="I53" s="44" t="s">
        <v>43</v>
      </c>
      <c r="J53" s="42" t="s">
        <v>43</v>
      </c>
      <c r="K53" s="43" t="s">
        <v>43</v>
      </c>
      <c r="L53" s="42">
        <v>3</v>
      </c>
      <c r="M53" s="42">
        <v>2</v>
      </c>
      <c r="N53" s="43">
        <v>2</v>
      </c>
      <c r="O53" s="42">
        <v>6</v>
      </c>
      <c r="P53" s="42">
        <v>4</v>
      </c>
      <c r="Q53" s="43">
        <v>5</v>
      </c>
      <c r="R53" s="42">
        <v>6</v>
      </c>
      <c r="S53" s="42">
        <v>8</v>
      </c>
      <c r="T53" s="42" t="s">
        <v>45</v>
      </c>
      <c r="U53" s="42" t="s">
        <v>45</v>
      </c>
      <c r="V53" s="42">
        <v>3</v>
      </c>
      <c r="W53" s="42">
        <v>8</v>
      </c>
      <c r="X53" s="42" t="s">
        <v>45</v>
      </c>
      <c r="Y53" s="42" t="s">
        <v>45</v>
      </c>
      <c r="Z53" s="42" t="s">
        <v>45</v>
      </c>
      <c r="AA53" s="42" t="s">
        <v>45</v>
      </c>
      <c r="AB53" s="42" t="s">
        <v>45</v>
      </c>
      <c r="AC53" s="42" t="s">
        <v>45</v>
      </c>
      <c r="AD53" s="42" t="s">
        <v>45</v>
      </c>
      <c r="AE53" s="42" t="s">
        <v>45</v>
      </c>
      <c r="AF53" s="42" t="s">
        <v>45</v>
      </c>
      <c r="AG53" s="42" t="s">
        <v>45</v>
      </c>
      <c r="AH53" s="42" t="s">
        <v>45</v>
      </c>
      <c r="AI53" s="42" t="s">
        <v>45</v>
      </c>
      <c r="AJ53" s="42" t="s">
        <v>45</v>
      </c>
      <c r="AK53" s="42" t="s">
        <v>45</v>
      </c>
      <c r="AL53" s="42" t="s">
        <v>45</v>
      </c>
      <c r="AM53" s="42" t="s">
        <v>45</v>
      </c>
      <c r="AN53" s="42" t="s">
        <v>45</v>
      </c>
      <c r="AO53" s="43" t="s">
        <v>45</v>
      </c>
      <c r="AP53" s="42" t="s">
        <v>48</v>
      </c>
      <c r="AQ53" s="42">
        <v>8</v>
      </c>
      <c r="AR53" s="50" t="s">
        <v>353</v>
      </c>
      <c r="AS53" s="45" t="s">
        <v>615</v>
      </c>
      <c r="AT53" s="45" t="s">
        <v>705</v>
      </c>
      <c r="AU53" s="46">
        <f>($O$3*(L53-$O$1)/$O$2+$P$3*(M53-$P$1)/$P$2+$Q$3*(N53-$P$1)/$Q$2)/SUM($O$3:$Q$3)</f>
        <v>-1.8743493064650851</v>
      </c>
      <c r="AV53" s="46">
        <f>($O$3*(O53-$O$1)/$O$2+$P$3*(P53-$P$1)/$P$2+$Q$3*(Q53-$Q$1)/$Q$2)/SUM($O$3:$Q$3)</f>
        <v>0.27304454882194901</v>
      </c>
      <c r="AW53" s="47">
        <f>COUNT(R53:AO53)/2</f>
        <v>2</v>
      </c>
      <c r="AX53" s="47">
        <f>IF(AND(S53&lt;&gt;"-",S53&gt;5),1,0)+IF(AND(U53&lt;&gt;"-",U53&gt;5),1,0)+IF(AND(W53&lt;&gt;"-",W53&gt;5),1,0)+IF(AND(Y53&lt;&gt;"-",Y53&gt;5),1,0)+IF(AND(AA53&lt;&gt;"-",AA53&gt;5),1,0)+IF(AND(AC53&lt;&gt;"-",AC53&gt;5),1,0)+IF(AND(AE53&lt;&gt;"-",AE53&gt;5),1,0)+IF(AND(AG53&lt;&gt;"-",AG53&gt;5),1,0)+IF(AND(AI53&lt;&gt;"-",AI53&gt;5),1,0)+IF(AND(AK53&lt;&gt;"-",AK53&gt;5),1,0)+IF(AND(AM53&lt;&gt;"-",AM53&gt;5),1,0)+IF(AND(AO53&lt;&gt;"-",AO53&gt;5),1,0)</f>
        <v>2</v>
      </c>
      <c r="AY53" s="48">
        <f>VLOOKUP(AP53,COND!$A$10:$B$32,2,FALSE)</f>
        <v>1.05</v>
      </c>
      <c r="AZ53" s="46">
        <f>($AU$3*AU53+$AV$3*AV53+$AW$3*AW53+$AX$3*AX53)*AY53*IF(AQ53&lt;5,0.95,IF(AQ53&lt;7,0.975,1))+$I$3*VLOOKUP(I53,COND!$A$2:$E$7,4,FALSE)+$J$3*VLOOKUP(J53,COND!$A$2:$E$7,2,FALSE)+$K$3*VLOOKUP(K53,COND!$A$2:$E$7,3,FALSE)+IF(BB53="SP",$BB$3,0)+IF($AW53&lt;3,-5,0)+IF(AND($B$2&gt;0,$E53&lt;20),$B$2*25,0)</f>
        <v>51.015322170903261</v>
      </c>
      <c r="BA53" s="49">
        <f>STANDARDIZE(AZ53,AVERAGE($AZ$5:$AZ$570),STDEVP($AZ$5:$AZ$570))</f>
        <v>1.6775528259844619</v>
      </c>
      <c r="BB53" s="47" t="str">
        <f>IF(OR(AND(AQ53&gt;7,AX53&gt;1),AND(AQ53&gt;4,AW53&gt;2)),"SP","RP")</f>
        <v>SP</v>
      </c>
      <c r="BC53" s="47"/>
      <c r="BD53" s="47"/>
      <c r="BE53" s="47"/>
      <c r="BF53" s="47" t="str">
        <f>IF(AVERAGE($O53:$Q53)&gt;=6,"Likely",IF(AVERAGE($O53:$Q53)&gt;=4,"Possible","Unlikely"))</f>
        <v>Possible</v>
      </c>
      <c r="BG53" s="47"/>
      <c r="BH53" s="47" t="str">
        <f>INDEX(Table5[[#All],[Ovr]],MATCH(Table3[[#This Row],[PID]],Table5[[#All],[PID]],0))</f>
        <v/>
      </c>
      <c r="BI53" s="47" t="str">
        <f>INDEX(Table5[[#All],[Rnd]],MATCH(Table3[[#This Row],[PID]],Table5[[#All],[PID]],0))</f>
        <v/>
      </c>
      <c r="BJ53" s="47" t="str">
        <f>INDEX(Table5[[#All],[Pick]],MATCH(Table3[[#This Row],[PID]],Table5[[#All],[PID]],0))</f>
        <v/>
      </c>
      <c r="BK53" s="47" t="str">
        <f>INDEX(Table5[[#All],[Team]],MATCH(Table3[[#This Row],[PID]],Table5[[#All],[PID]],0))</f>
        <v/>
      </c>
      <c r="BL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" spans="1:64" ht="15" customHeight="1" x14ac:dyDescent="0.25">
      <c r="A54" s="42">
        <v>10031</v>
      </c>
      <c r="B54" s="42" t="s">
        <v>430</v>
      </c>
      <c r="C54" s="42" t="s">
        <v>974</v>
      </c>
      <c r="D54" s="42" t="s">
        <v>753</v>
      </c>
      <c r="E54" s="42">
        <v>21</v>
      </c>
      <c r="F54" s="42" t="s">
        <v>62</v>
      </c>
      <c r="G54" s="42" t="s">
        <v>42</v>
      </c>
      <c r="H54" s="43" t="s">
        <v>709</v>
      </c>
      <c r="I54" s="44" t="s">
        <v>43</v>
      </c>
      <c r="J54" s="42" t="s">
        <v>47</v>
      </c>
      <c r="K54" s="43" t="s">
        <v>43</v>
      </c>
      <c r="L54" s="42">
        <v>4</v>
      </c>
      <c r="M54" s="42">
        <v>2</v>
      </c>
      <c r="N54" s="43">
        <v>2</v>
      </c>
      <c r="O54" s="42">
        <v>7</v>
      </c>
      <c r="P54" s="42">
        <v>3</v>
      </c>
      <c r="Q54" s="43">
        <v>4</v>
      </c>
      <c r="R54" s="42">
        <v>6</v>
      </c>
      <c r="S54" s="42">
        <v>8</v>
      </c>
      <c r="T54" s="42">
        <v>2</v>
      </c>
      <c r="U54" s="42">
        <v>5</v>
      </c>
      <c r="V54" s="42">
        <v>4</v>
      </c>
      <c r="W54" s="42">
        <v>7</v>
      </c>
      <c r="X54" s="42">
        <v>3</v>
      </c>
      <c r="Y54" s="42">
        <v>4</v>
      </c>
      <c r="Z54" s="42" t="s">
        <v>45</v>
      </c>
      <c r="AA54" s="42" t="s">
        <v>45</v>
      </c>
      <c r="AB54" s="42" t="s">
        <v>45</v>
      </c>
      <c r="AC54" s="42" t="s">
        <v>45</v>
      </c>
      <c r="AD54" s="42" t="s">
        <v>45</v>
      </c>
      <c r="AE54" s="42" t="s">
        <v>45</v>
      </c>
      <c r="AF54" s="42" t="s">
        <v>45</v>
      </c>
      <c r="AG54" s="42" t="s">
        <v>45</v>
      </c>
      <c r="AH54" s="42" t="s">
        <v>45</v>
      </c>
      <c r="AI54" s="42" t="s">
        <v>45</v>
      </c>
      <c r="AJ54" s="42" t="s">
        <v>45</v>
      </c>
      <c r="AK54" s="42" t="s">
        <v>45</v>
      </c>
      <c r="AL54" s="42" t="s">
        <v>45</v>
      </c>
      <c r="AM54" s="42" t="s">
        <v>45</v>
      </c>
      <c r="AN54" s="42" t="s">
        <v>45</v>
      </c>
      <c r="AO54" s="43" t="s">
        <v>45</v>
      </c>
      <c r="AP54" s="42" t="s">
        <v>46</v>
      </c>
      <c r="AQ54" s="42">
        <v>3</v>
      </c>
      <c r="AR54" s="50" t="s">
        <v>352</v>
      </c>
      <c r="AS54" s="45" t="s">
        <v>45</v>
      </c>
      <c r="AT54" s="45" t="s">
        <v>705</v>
      </c>
      <c r="AU54" s="46">
        <f>($O$3*(L54-$O$1)/$O$2+$P$3*(M54-$P$1)/$P$2+$Q$3*(N54-$P$1)/$Q$2)/SUM($O$3:$Q$3)</f>
        <v>-1.6796579819559116</v>
      </c>
      <c r="AV54" s="46">
        <f>($O$3*(O54-$O$1)/$O$2+$P$3*(P54-$P$1)/$P$2+$Q$3*(Q54-$Q$1)/$Q$2)/SUM($O$3:$Q$3)</f>
        <v>2.9983590846956665E-2</v>
      </c>
      <c r="AW54" s="47">
        <f>COUNT(R54:AO54)/2</f>
        <v>4</v>
      </c>
      <c r="AX54" s="47">
        <f>IF(AND(S54&lt;&gt;"-",S54&gt;5),1,0)+IF(AND(U54&lt;&gt;"-",U54&gt;5),1,0)+IF(AND(W54&lt;&gt;"-",W54&gt;5),1,0)+IF(AND(Y54&lt;&gt;"-",Y54&gt;5),1,0)+IF(AND(AA54&lt;&gt;"-",AA54&gt;5),1,0)+IF(AND(AC54&lt;&gt;"-",AC54&gt;5),1,0)+IF(AND(AE54&lt;&gt;"-",AE54&gt;5),1,0)+IF(AND(AG54&lt;&gt;"-",AG54&gt;5),1,0)+IF(AND(AI54&lt;&gt;"-",AI54&gt;5),1,0)+IF(AND(AK54&lt;&gt;"-",AK54&gt;5),1,0)+IF(AND(AM54&lt;&gt;"-",AM54&gt;5),1,0)+IF(AND(AO54&lt;&gt;"-",AO54&gt;5),1,0)</f>
        <v>2</v>
      </c>
      <c r="AY54" s="48">
        <f>VLOOKUP(AP54,COND!$A$10:$B$32,2,FALSE)</f>
        <v>1.05</v>
      </c>
      <c r="AZ54" s="46">
        <f>($AU$3*AU54+$AV$3*AV54+$AW$3*AW54+$AX$3*AX54)*AY54*IF(AQ54&lt;5,0.95,IF(AQ54&lt;7,0.975,1))+$I$3*VLOOKUP(I54,COND!$A$2:$E$7,4,FALSE)+$J$3*VLOOKUP(J54,COND!$A$2:$E$7,2,FALSE)+$K$3*VLOOKUP(K54,COND!$A$2:$E$7,3,FALSE)+IF(BB54="SP",$BB$3,0)+IF($AW54&lt;3,-5,0)+IF(AND($B$2&gt;0,$E54&lt;20),$B$2*25,0)</f>
        <v>50.051830869996579</v>
      </c>
      <c r="BA54" s="49">
        <f>STANDARDIZE(AZ54,AVERAGE($AZ$5:$AZ$570),STDEVP($AZ$5:$AZ$570))</f>
        <v>1.5891965556429497</v>
      </c>
      <c r="BB54" s="47" t="str">
        <f>IF(OR(AND(AQ54&gt;7,AX54&gt;1),AND(AQ54&gt;4,AW54&gt;2)),"SP","RP")</f>
        <v>RP</v>
      </c>
      <c r="BC54" s="47"/>
      <c r="BD54" s="47"/>
      <c r="BE54" s="47"/>
      <c r="BF54" s="47" t="str">
        <f>IF(AVERAGE($O54:$Q54)&gt;=6,"Likely",IF(AVERAGE($O54:$Q54)&gt;=4,"Possible","Unlikely"))</f>
        <v>Possible</v>
      </c>
      <c r="BG54" s="47"/>
      <c r="BH54" s="47" t="str">
        <f>INDEX(Table5[[#All],[Ovr]],MATCH(Table3[[#This Row],[PID]],Table5[[#All],[PID]],0))</f>
        <v/>
      </c>
      <c r="BI54" s="47" t="str">
        <f>INDEX(Table5[[#All],[Rnd]],MATCH(Table3[[#This Row],[PID]],Table5[[#All],[PID]],0))</f>
        <v/>
      </c>
      <c r="BJ54" s="47" t="str">
        <f>INDEX(Table5[[#All],[Pick]],MATCH(Table3[[#This Row],[PID]],Table5[[#All],[PID]],0))</f>
        <v/>
      </c>
      <c r="BK54" s="47" t="str">
        <f>INDEX(Table5[[#All],[Team]],MATCH(Table3[[#This Row],[PID]],Table5[[#All],[PID]],0))</f>
        <v/>
      </c>
      <c r="BL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" spans="1:64" ht="15" customHeight="1" x14ac:dyDescent="0.25">
      <c r="A55" s="42">
        <v>17892</v>
      </c>
      <c r="B55" s="42" t="s">
        <v>24</v>
      </c>
      <c r="C55" s="42" t="s">
        <v>1519</v>
      </c>
      <c r="D55" s="42" t="s">
        <v>1520</v>
      </c>
      <c r="E55" s="42">
        <v>18</v>
      </c>
      <c r="F55" s="42" t="s">
        <v>42</v>
      </c>
      <c r="G55" s="42" t="s">
        <v>42</v>
      </c>
      <c r="H55" s="43" t="s">
        <v>703</v>
      </c>
      <c r="I55" s="44" t="s">
        <v>44</v>
      </c>
      <c r="J55" s="42" t="s">
        <v>43</v>
      </c>
      <c r="K55" s="43" t="s">
        <v>43</v>
      </c>
      <c r="L55" s="42">
        <v>2</v>
      </c>
      <c r="M55" s="42">
        <v>2</v>
      </c>
      <c r="N55" s="43">
        <v>2</v>
      </c>
      <c r="O55" s="42">
        <v>5</v>
      </c>
      <c r="P55" s="42">
        <v>5</v>
      </c>
      <c r="Q55" s="43">
        <v>3</v>
      </c>
      <c r="R55" s="42">
        <v>4</v>
      </c>
      <c r="S55" s="42">
        <v>6</v>
      </c>
      <c r="T55" s="42">
        <v>1</v>
      </c>
      <c r="U55" s="42">
        <v>6</v>
      </c>
      <c r="V55" s="42">
        <v>2</v>
      </c>
      <c r="W55" s="42">
        <v>2</v>
      </c>
      <c r="X55" s="42" t="s">
        <v>45</v>
      </c>
      <c r="Y55" s="42" t="s">
        <v>45</v>
      </c>
      <c r="Z55" s="42" t="s">
        <v>45</v>
      </c>
      <c r="AA55" s="42" t="s">
        <v>45</v>
      </c>
      <c r="AB55" s="42">
        <v>3</v>
      </c>
      <c r="AC55" s="42">
        <v>5</v>
      </c>
      <c r="AD55" s="42" t="s">
        <v>45</v>
      </c>
      <c r="AE55" s="42" t="s">
        <v>45</v>
      </c>
      <c r="AF55" s="42">
        <v>3</v>
      </c>
      <c r="AG55" s="42">
        <v>5</v>
      </c>
      <c r="AH55" s="42">
        <v>1</v>
      </c>
      <c r="AI55" s="42">
        <v>4</v>
      </c>
      <c r="AJ55" s="42" t="s">
        <v>45</v>
      </c>
      <c r="AK55" s="42" t="s">
        <v>45</v>
      </c>
      <c r="AL55" s="42" t="s">
        <v>45</v>
      </c>
      <c r="AM55" s="42" t="s">
        <v>45</v>
      </c>
      <c r="AN55" s="42" t="s">
        <v>45</v>
      </c>
      <c r="AO55" s="43" t="s">
        <v>45</v>
      </c>
      <c r="AP55" s="42" t="s">
        <v>57</v>
      </c>
      <c r="AQ55" s="42">
        <v>4</v>
      </c>
      <c r="AR55" s="50" t="s">
        <v>352</v>
      </c>
      <c r="AS55" s="45" t="s">
        <v>660</v>
      </c>
      <c r="AT55" s="45" t="s">
        <v>705</v>
      </c>
      <c r="AU55" s="46">
        <f>($O$3*(L55-$O$1)/$O$2+$P$3*(M55-$P$1)/$P$2+$Q$3*(N55-$P$1)/$Q$2)/SUM($O$3:$Q$3)</f>
        <v>-2.0690406309742588</v>
      </c>
      <c r="AV55" s="46">
        <f>($O$3*(O55-$O$1)/$O$2+$P$3*(P55-$P$1)/$P$2+$Q$3*(Q55-$Q$1)/$Q$2)/SUM($O$3:$Q$3)</f>
        <v>-0.21085619136538991</v>
      </c>
      <c r="AW55" s="47">
        <f>COUNT(R55:AO55)/2</f>
        <v>6</v>
      </c>
      <c r="AX55" s="47">
        <f>IF(AND(S55&lt;&gt;"-",S55&gt;5),1,0)+IF(AND(U55&lt;&gt;"-",U55&gt;5),1,0)+IF(AND(W55&lt;&gt;"-",W55&gt;5),1,0)+IF(AND(Y55&lt;&gt;"-",Y55&gt;5),1,0)+IF(AND(AA55&lt;&gt;"-",AA55&gt;5),1,0)+IF(AND(AC55&lt;&gt;"-",AC55&gt;5),1,0)+IF(AND(AE55&lt;&gt;"-",AE55&gt;5),1,0)+IF(AND(AG55&lt;&gt;"-",AG55&gt;5),1,0)+IF(AND(AI55&lt;&gt;"-",AI55&gt;5),1,0)+IF(AND(AK55&lt;&gt;"-",AK55&gt;5),1,0)+IF(AND(AM55&lt;&gt;"-",AM55&gt;5),1,0)+IF(AND(AO55&lt;&gt;"-",AO55&gt;5),1,0)</f>
        <v>2</v>
      </c>
      <c r="AY55" s="48">
        <f>VLOOKUP(AP55,COND!$A$10:$B$32,2,FALSE)</f>
        <v>1</v>
      </c>
      <c r="AZ55" s="46">
        <f>($AU$3*AU55+$AV$3*AV55+$AW$3*AW55+$AX$3*AX55)*AY55*IF(AQ55&lt;5,0.95,IF(AQ55&lt;7,0.975,1))+$I$3*VLOOKUP(I55,COND!$A$2:$E$7,4,FALSE)+$J$3*VLOOKUP(J55,COND!$A$2:$E$7,2,FALSE)+$K$3*VLOOKUP(K55,COND!$A$2:$E$7,3,FALSE)+IF(BB55="SP",$BB$3,0)+IF($AW55&lt;3,-5,0)+IF(AND($B$2&gt;0,$E55&lt;20),$B$2*25,0)</f>
        <v>50.675614644172484</v>
      </c>
      <c r="BA55" s="49">
        <f>STANDARDIZE(AZ55,AVERAGE($AZ$5:$AZ$570),STDEVP($AZ$5:$AZ$570))</f>
        <v>1.6464001938427648</v>
      </c>
      <c r="BB55" s="47" t="str">
        <f>IF(OR(AND(AQ55&gt;7,AX55&gt;1),AND(AQ55&gt;4,AW55&gt;2)),"SP","RP")</f>
        <v>RP</v>
      </c>
      <c r="BC55" s="47"/>
      <c r="BD55" s="47"/>
      <c r="BE55" s="47"/>
      <c r="BF55" s="47" t="str">
        <f>IF(AVERAGE($O55:$Q55)&gt;=6,"Likely",IF(AVERAGE($O55:$Q55)&gt;=4,"Possible","Unlikely"))</f>
        <v>Possible</v>
      </c>
      <c r="BG55" s="47"/>
      <c r="BH55" s="47" t="str">
        <f>INDEX(Table5[[#All],[Ovr]],MATCH(Table3[[#This Row],[PID]],Table5[[#All],[PID]],0))</f>
        <v/>
      </c>
      <c r="BI55" s="47" t="str">
        <f>INDEX(Table5[[#All],[Rnd]],MATCH(Table3[[#This Row],[PID]],Table5[[#All],[PID]],0))</f>
        <v/>
      </c>
      <c r="BJ55" s="47" t="str">
        <f>INDEX(Table5[[#All],[Pick]],MATCH(Table3[[#This Row],[PID]],Table5[[#All],[PID]],0))</f>
        <v/>
      </c>
      <c r="BK55" s="47" t="str">
        <f>INDEX(Table5[[#All],[Team]],MATCH(Table3[[#This Row],[PID]],Table5[[#All],[PID]],0))</f>
        <v/>
      </c>
      <c r="BL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" spans="1:64" ht="15" customHeight="1" x14ac:dyDescent="0.25">
      <c r="A56" s="42">
        <v>7151</v>
      </c>
      <c r="B56" s="42" t="s">
        <v>24</v>
      </c>
      <c r="C56" s="42" t="s">
        <v>139</v>
      </c>
      <c r="D56" s="42" t="s">
        <v>1482</v>
      </c>
      <c r="E56" s="42">
        <v>21</v>
      </c>
      <c r="F56" s="42" t="s">
        <v>53</v>
      </c>
      <c r="G56" s="42" t="s">
        <v>53</v>
      </c>
      <c r="H56" s="43" t="s">
        <v>703</v>
      </c>
      <c r="I56" s="44" t="s">
        <v>44</v>
      </c>
      <c r="J56" s="42" t="s">
        <v>43</v>
      </c>
      <c r="K56" s="43" t="s">
        <v>43</v>
      </c>
      <c r="L56" s="42">
        <v>4</v>
      </c>
      <c r="M56" s="42">
        <v>2</v>
      </c>
      <c r="N56" s="43">
        <v>3</v>
      </c>
      <c r="O56" s="42">
        <v>6</v>
      </c>
      <c r="P56" s="42">
        <v>3</v>
      </c>
      <c r="Q56" s="43">
        <v>4</v>
      </c>
      <c r="R56" s="42">
        <v>6</v>
      </c>
      <c r="S56" s="42">
        <v>8</v>
      </c>
      <c r="T56" s="42">
        <v>3</v>
      </c>
      <c r="U56" s="42">
        <v>8</v>
      </c>
      <c r="V56" s="42">
        <v>4</v>
      </c>
      <c r="W56" s="42">
        <v>7</v>
      </c>
      <c r="X56" s="42" t="s">
        <v>45</v>
      </c>
      <c r="Y56" s="42" t="s">
        <v>45</v>
      </c>
      <c r="Z56" s="42" t="s">
        <v>45</v>
      </c>
      <c r="AA56" s="42" t="s">
        <v>45</v>
      </c>
      <c r="AB56" s="42" t="s">
        <v>45</v>
      </c>
      <c r="AC56" s="42" t="s">
        <v>45</v>
      </c>
      <c r="AD56" s="42">
        <v>4</v>
      </c>
      <c r="AE56" s="42">
        <v>7</v>
      </c>
      <c r="AF56" s="42" t="s">
        <v>45</v>
      </c>
      <c r="AG56" s="42" t="s">
        <v>45</v>
      </c>
      <c r="AH56" s="42" t="s">
        <v>45</v>
      </c>
      <c r="AI56" s="42" t="s">
        <v>45</v>
      </c>
      <c r="AJ56" s="42" t="s">
        <v>45</v>
      </c>
      <c r="AK56" s="42" t="s">
        <v>45</v>
      </c>
      <c r="AL56" s="42" t="s">
        <v>45</v>
      </c>
      <c r="AM56" s="42" t="s">
        <v>45</v>
      </c>
      <c r="AN56" s="42" t="s">
        <v>45</v>
      </c>
      <c r="AO56" s="43" t="s">
        <v>45</v>
      </c>
      <c r="AP56" s="42" t="s">
        <v>48</v>
      </c>
      <c r="AQ56" s="42">
        <v>8</v>
      </c>
      <c r="AR56" s="50" t="s">
        <v>353</v>
      </c>
      <c r="AS56" s="45" t="s">
        <v>764</v>
      </c>
      <c r="AT56" s="45" t="s">
        <v>705</v>
      </c>
      <c r="AU56" s="46">
        <f>($O$3*(L56-$O$1)/$O$2+$P$3*(M56-$P$1)/$P$2+$Q$3*(N56-$P$1)/$Q$2)/SUM($O$3:$Q$3)</f>
        <v>-1.4373374159018013</v>
      </c>
      <c r="AV56" s="46">
        <f>($O$3*(O56-$O$1)/$O$2+$P$3*(P56-$P$1)/$P$2+$Q$3*(Q56-$Q$1)/$Q$2)/SUM($O$3:$Q$3)</f>
        <v>-0.16470773366221675</v>
      </c>
      <c r="AW56" s="47">
        <f>COUNT(R56:AO56)/2</f>
        <v>4</v>
      </c>
      <c r="AX56" s="47">
        <f>IF(AND(S56&lt;&gt;"-",S56&gt;5),1,0)+IF(AND(U56&lt;&gt;"-",U56&gt;5),1,0)+IF(AND(W56&lt;&gt;"-",W56&gt;5),1,0)+IF(AND(Y56&lt;&gt;"-",Y56&gt;5),1,0)+IF(AND(AA56&lt;&gt;"-",AA56&gt;5),1,0)+IF(AND(AC56&lt;&gt;"-",AC56&gt;5),1,0)+IF(AND(AE56&lt;&gt;"-",AE56&gt;5),1,0)+IF(AND(AG56&lt;&gt;"-",AG56&gt;5),1,0)+IF(AND(AI56&lt;&gt;"-",AI56&gt;5),1,0)+IF(AND(AK56&lt;&gt;"-",AK56&gt;5),1,0)+IF(AND(AM56&lt;&gt;"-",AM56&gt;5),1,0)+IF(AND(AO56&lt;&gt;"-",AO56&gt;5),1,0)</f>
        <v>4</v>
      </c>
      <c r="AY56" s="48">
        <f>VLOOKUP(AP56,COND!$A$10:$B$32,2,FALSE)</f>
        <v>1.05</v>
      </c>
      <c r="AZ56" s="46">
        <f>($AU$3*AU56+$AV$3*AV56+$AW$3*AW56+$AX$3*AX56)*AY56*IF(AQ56&lt;5,0.95,IF(AQ56&lt;7,0.975,1))+$I$3*VLOOKUP(I56,COND!$A$2:$E$7,4,FALSE)+$J$3*VLOOKUP(J56,COND!$A$2:$E$7,2,FALSE)+$K$3*VLOOKUP(K56,COND!$A$2:$E$7,3,FALSE)+IF(BB56="SP",$BB$3,0)+IF($AW56&lt;3,-5,0)+IF(AND($B$2&gt;0,$E56&lt;20),$B$2*25,0)</f>
        <v>50.43929673575407</v>
      </c>
      <c r="BA56" s="49">
        <f>STANDARDIZE(AZ56,AVERAGE($AZ$5:$AZ$570),STDEVP($AZ$5:$AZ$570))</f>
        <v>1.6247288315968276</v>
      </c>
      <c r="BB56" s="47" t="str">
        <f>IF(OR(AND(AQ56&gt;7,AX56&gt;1),AND(AQ56&gt;4,AW56&gt;2)),"SP","RP")</f>
        <v>SP</v>
      </c>
      <c r="BC56" s="47"/>
      <c r="BD56" s="47"/>
      <c r="BE56" s="47"/>
      <c r="BF56" s="47" t="str">
        <f>IF(AVERAGE($O56:$Q56)&gt;=6,"Likely",IF(AVERAGE($O56:$Q56)&gt;=4,"Possible","Unlikely"))</f>
        <v>Possible</v>
      </c>
      <c r="BG56" s="47"/>
      <c r="BH56" s="47" t="str">
        <f>INDEX(Table5[[#All],[Ovr]],MATCH(Table3[[#This Row],[PID]],Table5[[#All],[PID]],0))</f>
        <v/>
      </c>
      <c r="BI56" s="47" t="str">
        <f>INDEX(Table5[[#All],[Rnd]],MATCH(Table3[[#This Row],[PID]],Table5[[#All],[PID]],0))</f>
        <v/>
      </c>
      <c r="BJ56" s="47" t="str">
        <f>INDEX(Table5[[#All],[Pick]],MATCH(Table3[[#This Row],[PID]],Table5[[#All],[PID]],0))</f>
        <v/>
      </c>
      <c r="BK56" s="47" t="str">
        <f>INDEX(Table5[[#All],[Team]],MATCH(Table3[[#This Row],[PID]],Table5[[#All],[PID]],0))</f>
        <v/>
      </c>
      <c r="BL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" spans="1:64" ht="15" customHeight="1" x14ac:dyDescent="0.25">
      <c r="A57" s="42">
        <v>12959</v>
      </c>
      <c r="B57" s="42" t="s">
        <v>49</v>
      </c>
      <c r="C57" s="42" t="s">
        <v>1486</v>
      </c>
      <c r="D57" s="42" t="s">
        <v>1014</v>
      </c>
      <c r="E57" s="42">
        <v>21</v>
      </c>
      <c r="F57" s="42" t="s">
        <v>42</v>
      </c>
      <c r="G57" s="42" t="s">
        <v>42</v>
      </c>
      <c r="H57" s="43" t="s">
        <v>711</v>
      </c>
      <c r="I57" s="44" t="s">
        <v>43</v>
      </c>
      <c r="J57" s="42" t="s">
        <v>43</v>
      </c>
      <c r="K57" s="43" t="s">
        <v>43</v>
      </c>
      <c r="L57" s="42">
        <v>4</v>
      </c>
      <c r="M57" s="42">
        <v>2</v>
      </c>
      <c r="N57" s="43">
        <v>1</v>
      </c>
      <c r="O57" s="42">
        <v>6</v>
      </c>
      <c r="P57" s="42">
        <v>3</v>
      </c>
      <c r="Q57" s="43">
        <v>4</v>
      </c>
      <c r="R57" s="42">
        <v>5</v>
      </c>
      <c r="S57" s="42">
        <v>7</v>
      </c>
      <c r="T57" s="42">
        <v>1</v>
      </c>
      <c r="U57" s="42">
        <v>5</v>
      </c>
      <c r="V57" s="42">
        <v>2</v>
      </c>
      <c r="W57" s="42">
        <v>3</v>
      </c>
      <c r="X57" s="42" t="s">
        <v>45</v>
      </c>
      <c r="Y57" s="42" t="s">
        <v>45</v>
      </c>
      <c r="Z57" s="42" t="s">
        <v>45</v>
      </c>
      <c r="AA57" s="42" t="s">
        <v>45</v>
      </c>
      <c r="AB57" s="42">
        <v>4</v>
      </c>
      <c r="AC57" s="42">
        <v>6</v>
      </c>
      <c r="AD57" s="42" t="s">
        <v>45</v>
      </c>
      <c r="AE57" s="42" t="s">
        <v>45</v>
      </c>
      <c r="AF57" s="42">
        <v>4</v>
      </c>
      <c r="AG57" s="42">
        <v>6</v>
      </c>
      <c r="AH57" s="42" t="s">
        <v>45</v>
      </c>
      <c r="AI57" s="42" t="s">
        <v>45</v>
      </c>
      <c r="AJ57" s="42" t="s">
        <v>45</v>
      </c>
      <c r="AK57" s="42" t="s">
        <v>45</v>
      </c>
      <c r="AL57" s="42" t="s">
        <v>45</v>
      </c>
      <c r="AM57" s="42" t="s">
        <v>45</v>
      </c>
      <c r="AN57" s="42" t="s">
        <v>45</v>
      </c>
      <c r="AO57" s="43" t="s">
        <v>45</v>
      </c>
      <c r="AP57" s="42" t="s">
        <v>48</v>
      </c>
      <c r="AQ57" s="42">
        <v>7</v>
      </c>
      <c r="AR57" s="50" t="s">
        <v>353</v>
      </c>
      <c r="AS57" s="45" t="s">
        <v>717</v>
      </c>
      <c r="AT57" s="45" t="s">
        <v>47</v>
      </c>
      <c r="AU57" s="46">
        <f>($O$3*(L57-$O$1)/$O$2+$P$3*(M57-$P$1)/$P$2+$Q$3*(N57-$P$1)/$Q$2)/SUM($O$3:$Q$3)</f>
        <v>-1.9219785480100218</v>
      </c>
      <c r="AV57" s="46">
        <f>($O$3*(O57-$O$1)/$O$2+$P$3*(P57-$P$1)/$P$2+$Q$3*(Q57-$Q$1)/$Q$2)/SUM($O$3:$Q$3)</f>
        <v>-0.16470773366221675</v>
      </c>
      <c r="AW57" s="47">
        <f>COUNT(R57:AO57)/2</f>
        <v>5</v>
      </c>
      <c r="AX57" s="47">
        <f>IF(AND(S57&lt;&gt;"-",S57&gt;5),1,0)+IF(AND(U57&lt;&gt;"-",U57&gt;5),1,0)+IF(AND(W57&lt;&gt;"-",W57&gt;5),1,0)+IF(AND(Y57&lt;&gt;"-",Y57&gt;5),1,0)+IF(AND(AA57&lt;&gt;"-",AA57&gt;5),1,0)+IF(AND(AC57&lt;&gt;"-",AC57&gt;5),1,0)+IF(AND(AE57&lt;&gt;"-",AE57&gt;5),1,0)+IF(AND(AG57&lt;&gt;"-",AG57&gt;5),1,0)+IF(AND(AI57&lt;&gt;"-",AI57&gt;5),1,0)+IF(AND(AK57&lt;&gt;"-",AK57&gt;5),1,0)+IF(AND(AM57&lt;&gt;"-",AM57&gt;5),1,0)+IF(AND(AO57&lt;&gt;"-",AO57&gt;5),1,0)</f>
        <v>3</v>
      </c>
      <c r="AY57" s="48">
        <f>VLOOKUP(AP57,COND!$A$10:$B$32,2,FALSE)</f>
        <v>1.05</v>
      </c>
      <c r="AZ57" s="46">
        <f>($AU$3*AU57+$AV$3*AV57+$AW$3*AW57+$AX$3*AX57)*AY57*IF(AQ57&lt;5,0.95,IF(AQ57&lt;7,0.975,1))+$I$3*VLOOKUP(I57,COND!$A$2:$E$7,4,FALSE)+$J$3*VLOOKUP(J57,COND!$A$2:$E$7,2,FALSE)+$K$3*VLOOKUP(K57,COND!$A$2:$E$7,3,FALSE)+IF(BB57="SP",$BB$3,0)+IF($AW57&lt;3,-5,0)+IF(AND($B$2&gt;0,$E57&lt;20),$B$2*25,0)</f>
        <v>49.700022098011345</v>
      </c>
      <c r="BA57" s="49">
        <f>STANDARDIZE(AZ57,AVERAGE($AZ$5:$AZ$570),STDEVP($AZ$5:$AZ$570))</f>
        <v>1.5569341875896099</v>
      </c>
      <c r="BB57" s="47" t="str">
        <f>IF(OR(AND(AQ57&gt;7,AX57&gt;1),AND(AQ57&gt;4,AW57&gt;2)),"SP","RP")</f>
        <v>SP</v>
      </c>
      <c r="BC57" s="47"/>
      <c r="BD57" s="47"/>
      <c r="BE57" s="47"/>
      <c r="BF57" s="47" t="str">
        <f>IF(AVERAGE($O57:$Q57)&gt;=6,"Likely",IF(AVERAGE($O57:$Q57)&gt;=4,"Possible","Unlikely"))</f>
        <v>Possible</v>
      </c>
      <c r="BG57" s="47"/>
      <c r="BH57" s="47" t="str">
        <f>INDEX(Table5[[#All],[Ovr]],MATCH(Table3[[#This Row],[PID]],Table5[[#All],[PID]],0))</f>
        <v/>
      </c>
      <c r="BI57" s="47" t="str">
        <f>INDEX(Table5[[#All],[Rnd]],MATCH(Table3[[#This Row],[PID]],Table5[[#All],[PID]],0))</f>
        <v/>
      </c>
      <c r="BJ57" s="47" t="str">
        <f>INDEX(Table5[[#All],[Pick]],MATCH(Table3[[#This Row],[PID]],Table5[[#All],[PID]],0))</f>
        <v/>
      </c>
      <c r="BK57" s="47" t="str">
        <f>INDEX(Table5[[#All],[Team]],MATCH(Table3[[#This Row],[PID]],Table5[[#All],[PID]],0))</f>
        <v/>
      </c>
      <c r="BL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" spans="1:64" ht="15" customHeight="1" x14ac:dyDescent="0.25">
      <c r="A58" s="42">
        <v>6315</v>
      </c>
      <c r="B58" s="42" t="s">
        <v>430</v>
      </c>
      <c r="C58" s="42" t="s">
        <v>1243</v>
      </c>
      <c r="D58" s="42" t="s">
        <v>728</v>
      </c>
      <c r="E58" s="42">
        <v>18</v>
      </c>
      <c r="F58" s="42" t="s">
        <v>42</v>
      </c>
      <c r="G58" s="42" t="s">
        <v>42</v>
      </c>
      <c r="H58" s="43" t="s">
        <v>711</v>
      </c>
      <c r="I58" s="44" t="s">
        <v>43</v>
      </c>
      <c r="J58" s="42" t="s">
        <v>43</v>
      </c>
      <c r="K58" s="43" t="s">
        <v>43</v>
      </c>
      <c r="L58" s="42">
        <v>2</v>
      </c>
      <c r="M58" s="42">
        <v>2</v>
      </c>
      <c r="N58" s="43">
        <v>2</v>
      </c>
      <c r="O58" s="42">
        <v>4</v>
      </c>
      <c r="P58" s="42">
        <v>5</v>
      </c>
      <c r="Q58" s="43">
        <v>4</v>
      </c>
      <c r="R58" s="42">
        <v>3</v>
      </c>
      <c r="S58" s="42">
        <v>5</v>
      </c>
      <c r="T58" s="42">
        <v>1</v>
      </c>
      <c r="U58" s="42">
        <v>7</v>
      </c>
      <c r="V58" s="42" t="s">
        <v>45</v>
      </c>
      <c r="W58" s="42" t="s">
        <v>45</v>
      </c>
      <c r="X58" s="42" t="s">
        <v>45</v>
      </c>
      <c r="Y58" s="42" t="s">
        <v>45</v>
      </c>
      <c r="Z58" s="42" t="s">
        <v>45</v>
      </c>
      <c r="AA58" s="42" t="s">
        <v>45</v>
      </c>
      <c r="AB58" s="42">
        <v>3</v>
      </c>
      <c r="AC58" s="42">
        <v>5</v>
      </c>
      <c r="AD58" s="42">
        <v>3</v>
      </c>
      <c r="AE58" s="42">
        <v>4</v>
      </c>
      <c r="AF58" s="42" t="s">
        <v>45</v>
      </c>
      <c r="AG58" s="42" t="s">
        <v>45</v>
      </c>
      <c r="AH58" s="42" t="s">
        <v>45</v>
      </c>
      <c r="AI58" s="42" t="s">
        <v>45</v>
      </c>
      <c r="AJ58" s="42" t="s">
        <v>45</v>
      </c>
      <c r="AK58" s="42" t="s">
        <v>45</v>
      </c>
      <c r="AL58" s="42" t="s">
        <v>45</v>
      </c>
      <c r="AM58" s="42" t="s">
        <v>45</v>
      </c>
      <c r="AN58" s="42" t="s">
        <v>45</v>
      </c>
      <c r="AO58" s="43" t="s">
        <v>45</v>
      </c>
      <c r="AP58" s="42" t="s">
        <v>356</v>
      </c>
      <c r="AQ58" s="42">
        <v>3</v>
      </c>
      <c r="AR58" s="50" t="s">
        <v>352</v>
      </c>
      <c r="AS58" s="45" t="s">
        <v>758</v>
      </c>
      <c r="AT58" s="45" t="s">
        <v>47</v>
      </c>
      <c r="AU58" s="46">
        <f>($O$3*(L58-$O$1)/$O$2+$P$3*(M58-$P$1)/$P$2+$Q$3*(N58-$P$1)/$Q$2)/SUM($O$3:$Q$3)</f>
        <v>-2.0690406309742588</v>
      </c>
      <c r="AV58" s="46">
        <f>($O$3*(O58-$O$1)/$O$2+$P$3*(P58-$P$1)/$P$2+$Q$3*(Q58-$Q$1)/$Q$2)/SUM($O$3:$Q$3)</f>
        <v>-0.16322694982045299</v>
      </c>
      <c r="AW58" s="47">
        <f>COUNT(R58:AO58)/2</f>
        <v>4</v>
      </c>
      <c r="AX58" s="47">
        <f>IF(AND(S58&lt;&gt;"-",S58&gt;5),1,0)+IF(AND(U58&lt;&gt;"-",U58&gt;5),1,0)+IF(AND(W58&lt;&gt;"-",W58&gt;5),1,0)+IF(AND(Y58&lt;&gt;"-",Y58&gt;5),1,0)+IF(AND(AA58&lt;&gt;"-",AA58&gt;5),1,0)+IF(AND(AC58&lt;&gt;"-",AC58&gt;5),1,0)+IF(AND(AE58&lt;&gt;"-",AE58&gt;5),1,0)+IF(AND(AG58&lt;&gt;"-",AG58&gt;5),1,0)+IF(AND(AI58&lt;&gt;"-",AI58&gt;5),1,0)+IF(AND(AK58&lt;&gt;"-",AK58&gt;5),1,0)+IF(AND(AM58&lt;&gt;"-",AM58&gt;5),1,0)+IF(AND(AO58&lt;&gt;"-",AO58&gt;5),1,0)</f>
        <v>1</v>
      </c>
      <c r="AY58" s="48">
        <f>VLOOKUP(AP58,COND!$A$10:$B$32,2,FALSE)</f>
        <v>1</v>
      </c>
      <c r="AZ58" s="46">
        <f>($AU$3*AU58+$AV$3*AV58+$AW$3*AW58+$AX$3*AX58)*AY58*IF(AQ58&lt;5,0.95,IF(AQ58&lt;7,0.975,1))+$I$3*VLOOKUP(I58,COND!$A$2:$E$7,4,FALSE)+$J$3*VLOOKUP(J58,COND!$A$2:$E$7,2,FALSE)+$K$3*VLOOKUP(K58,COND!$A$2:$E$7,3,FALSE)+IF(BB58="SP",$BB$3,0)+IF($AW58&lt;3,-5,0)+IF(AND($B$2&gt;0,$E58&lt;20),$B$2*25,0)</f>
        <v>49.593070233526284</v>
      </c>
      <c r="BA58" s="49">
        <f>STANDARDIZE(AZ58,AVERAGE($AZ$5:$AZ$570),STDEVP($AZ$5:$AZ$570))</f>
        <v>1.5471262444944536</v>
      </c>
      <c r="BB58" s="47" t="str">
        <f>IF(OR(AND(AQ58&gt;7,AX58&gt;1),AND(AQ58&gt;4,AW58&gt;2)),"SP","RP")</f>
        <v>RP</v>
      </c>
      <c r="BC58" s="47"/>
      <c r="BD58" s="47"/>
      <c r="BE58" s="47"/>
      <c r="BF58" s="47" t="str">
        <f>IF(AVERAGE($O58:$Q58)&gt;=6,"Likely",IF(AVERAGE($O58:$Q58)&gt;=4,"Possible","Unlikely"))</f>
        <v>Possible</v>
      </c>
      <c r="BG58" s="47"/>
      <c r="BH58" s="47" t="str">
        <f>INDEX(Table5[[#All],[Ovr]],MATCH(Table3[[#This Row],[PID]],Table5[[#All],[PID]],0))</f>
        <v/>
      </c>
      <c r="BI58" s="47" t="str">
        <f>INDEX(Table5[[#All],[Rnd]],MATCH(Table3[[#This Row],[PID]],Table5[[#All],[PID]],0))</f>
        <v/>
      </c>
      <c r="BJ58" s="47" t="str">
        <f>INDEX(Table5[[#All],[Pick]],MATCH(Table3[[#This Row],[PID]],Table5[[#All],[PID]],0))</f>
        <v/>
      </c>
      <c r="BK58" s="47" t="str">
        <f>INDEX(Table5[[#All],[Team]],MATCH(Table3[[#This Row],[PID]],Table5[[#All],[PID]],0))</f>
        <v/>
      </c>
      <c r="BL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" spans="1:64" ht="15" customHeight="1" x14ac:dyDescent="0.25">
      <c r="A59" s="42">
        <v>9710</v>
      </c>
      <c r="B59" s="42" t="s">
        <v>24</v>
      </c>
      <c r="C59" s="42" t="s">
        <v>175</v>
      </c>
      <c r="D59" s="42" t="s">
        <v>574</v>
      </c>
      <c r="E59" s="42">
        <v>21</v>
      </c>
      <c r="F59" s="42" t="s">
        <v>42</v>
      </c>
      <c r="G59" s="42" t="s">
        <v>42</v>
      </c>
      <c r="H59" s="43" t="s">
        <v>709</v>
      </c>
      <c r="I59" s="44" t="s">
        <v>43</v>
      </c>
      <c r="J59" s="42" t="s">
        <v>47</v>
      </c>
      <c r="K59" s="43" t="s">
        <v>43</v>
      </c>
      <c r="L59" s="42">
        <v>3</v>
      </c>
      <c r="M59" s="42">
        <v>3</v>
      </c>
      <c r="N59" s="43">
        <v>2</v>
      </c>
      <c r="O59" s="42">
        <v>6</v>
      </c>
      <c r="P59" s="42">
        <v>5</v>
      </c>
      <c r="Q59" s="43">
        <v>3</v>
      </c>
      <c r="R59" s="42">
        <v>7</v>
      </c>
      <c r="S59" s="42">
        <v>9</v>
      </c>
      <c r="T59" s="42">
        <v>1</v>
      </c>
      <c r="U59" s="42">
        <v>1</v>
      </c>
      <c r="V59" s="42">
        <v>3</v>
      </c>
      <c r="W59" s="42">
        <v>9</v>
      </c>
      <c r="X59" s="42" t="s">
        <v>45</v>
      </c>
      <c r="Y59" s="42" t="s">
        <v>45</v>
      </c>
      <c r="Z59" s="42" t="s">
        <v>45</v>
      </c>
      <c r="AA59" s="42" t="s">
        <v>45</v>
      </c>
      <c r="AB59" s="42" t="s">
        <v>45</v>
      </c>
      <c r="AC59" s="42" t="s">
        <v>45</v>
      </c>
      <c r="AD59" s="42" t="s">
        <v>45</v>
      </c>
      <c r="AE59" s="42" t="s">
        <v>45</v>
      </c>
      <c r="AF59" s="42" t="s">
        <v>45</v>
      </c>
      <c r="AG59" s="42" t="s">
        <v>45</v>
      </c>
      <c r="AH59" s="42" t="s">
        <v>45</v>
      </c>
      <c r="AI59" s="42" t="s">
        <v>45</v>
      </c>
      <c r="AJ59" s="42" t="s">
        <v>45</v>
      </c>
      <c r="AK59" s="42" t="s">
        <v>45</v>
      </c>
      <c r="AL59" s="42" t="s">
        <v>45</v>
      </c>
      <c r="AM59" s="42" t="s">
        <v>45</v>
      </c>
      <c r="AN59" s="42" t="s">
        <v>45</v>
      </c>
      <c r="AO59" s="43" t="s">
        <v>45</v>
      </c>
      <c r="AP59" s="42" t="s">
        <v>46</v>
      </c>
      <c r="AQ59" s="42">
        <v>4</v>
      </c>
      <c r="AR59" s="50" t="s">
        <v>352</v>
      </c>
      <c r="AS59" s="45" t="s">
        <v>1226</v>
      </c>
      <c r="AT59" s="45" t="s">
        <v>705</v>
      </c>
      <c r="AU59" s="46">
        <f>($O$3*(L59-$O$1)/$O$2+$P$3*(M59-$P$1)/$P$2+$Q$3*(N59-$P$1)/$Q$2)/SUM($O$3:$Q$3)</f>
        <v>-1.6789175900350299</v>
      </c>
      <c r="AV59" s="46">
        <f>($O$3*(O59-$O$1)/$O$2+$P$3*(P59-$P$1)/$P$2+$Q$3*(Q59-$Q$1)/$Q$2)/SUM($O$3:$Q$3)</f>
        <v>-1.6164866856216389E-2</v>
      </c>
      <c r="AW59" s="47">
        <f>COUNT(R59:AO59)/2</f>
        <v>3</v>
      </c>
      <c r="AX59" s="47">
        <f>IF(AND(S59&lt;&gt;"-",S59&gt;5),1,0)+IF(AND(U59&lt;&gt;"-",U59&gt;5),1,0)+IF(AND(W59&lt;&gt;"-",W59&gt;5),1,0)+IF(AND(Y59&lt;&gt;"-",Y59&gt;5),1,0)+IF(AND(AA59&lt;&gt;"-",AA59&gt;5),1,0)+IF(AND(AC59&lt;&gt;"-",AC59&gt;5),1,0)+IF(AND(AE59&lt;&gt;"-",AE59&gt;5),1,0)+IF(AND(AG59&lt;&gt;"-",AG59&gt;5),1,0)+IF(AND(AI59&lt;&gt;"-",AI59&gt;5),1,0)+IF(AND(AK59&lt;&gt;"-",AK59&gt;5),1,0)+IF(AND(AM59&lt;&gt;"-",AM59&gt;5),1,0)+IF(AND(AO59&lt;&gt;"-",AO59&gt;5),1,0)</f>
        <v>2</v>
      </c>
      <c r="AY59" s="48">
        <f>VLOOKUP(AP59,COND!$A$10:$B$32,2,FALSE)</f>
        <v>1.05</v>
      </c>
      <c r="AZ59" s="46">
        <f>($AU$3*AU59+$AV$3*AV59+$AW$3*AW59+$AX$3*AX59)*AY59*IF(AQ59&lt;5,0.95,IF(AQ59&lt;7,0.975,1))+$I$3*VLOOKUP(I59,COND!$A$2:$E$7,4,FALSE)+$J$3*VLOOKUP(J59,COND!$A$2:$E$7,2,FALSE)+$K$3*VLOOKUP(K59,COND!$A$2:$E$7,3,FALSE)+IF(BB59="SP",$BB$3,0)+IF($AW59&lt;3,-5,0)+IF(AND($B$2&gt;0,$E59&lt;20),$B$2*25,0)</f>
        <v>48.632566847006494</v>
      </c>
      <c r="BA59" s="49">
        <f>STANDARDIZE(AZ59,AVERAGE($AZ$5:$AZ$570),STDEVP($AZ$5:$AZ$570))</f>
        <v>1.459043978672834</v>
      </c>
      <c r="BB59" s="47" t="str">
        <f>IF(OR(AND(AQ59&gt;7,AX59&gt;1),AND(AQ59&gt;4,AW59&gt;2)),"SP","RP")</f>
        <v>RP</v>
      </c>
      <c r="BC59" s="47"/>
      <c r="BD59" s="47"/>
      <c r="BE59" s="47"/>
      <c r="BF59" s="47" t="str">
        <f>IF(AVERAGE($O59:$Q59)&gt;=6,"Likely",IF(AVERAGE($O59:$Q59)&gt;=4,"Possible","Unlikely"))</f>
        <v>Possible</v>
      </c>
      <c r="BG59" s="47"/>
      <c r="BH59" s="47" t="str">
        <f>INDEX(Table5[[#All],[Ovr]],MATCH(Table3[[#This Row],[PID]],Table5[[#All],[PID]],0))</f>
        <v/>
      </c>
      <c r="BI59" s="47" t="str">
        <f>INDEX(Table5[[#All],[Rnd]],MATCH(Table3[[#This Row],[PID]],Table5[[#All],[PID]],0))</f>
        <v/>
      </c>
      <c r="BJ59" s="47" t="str">
        <f>INDEX(Table5[[#All],[Pick]],MATCH(Table3[[#This Row],[PID]],Table5[[#All],[PID]],0))</f>
        <v/>
      </c>
      <c r="BK59" s="47" t="str">
        <f>INDEX(Table5[[#All],[Team]],MATCH(Table3[[#This Row],[PID]],Table5[[#All],[PID]],0))</f>
        <v/>
      </c>
      <c r="BL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" spans="1:64" ht="15" customHeight="1" x14ac:dyDescent="0.25">
      <c r="A60" s="42">
        <v>11680</v>
      </c>
      <c r="B60" s="42" t="s">
        <v>24</v>
      </c>
      <c r="C60" s="42" t="s">
        <v>197</v>
      </c>
      <c r="D60" s="42" t="s">
        <v>1483</v>
      </c>
      <c r="E60" s="42">
        <v>21</v>
      </c>
      <c r="F60" s="42" t="s">
        <v>42</v>
      </c>
      <c r="G60" s="42" t="s">
        <v>42</v>
      </c>
      <c r="H60" s="43" t="s">
        <v>703</v>
      </c>
      <c r="I60" s="44" t="s">
        <v>43</v>
      </c>
      <c r="J60" s="42" t="s">
        <v>43</v>
      </c>
      <c r="K60" s="43" t="s">
        <v>43</v>
      </c>
      <c r="L60" s="42">
        <v>2</v>
      </c>
      <c r="M60" s="42">
        <v>2</v>
      </c>
      <c r="N60" s="43">
        <v>2</v>
      </c>
      <c r="O60" s="42">
        <v>6</v>
      </c>
      <c r="P60" s="42">
        <v>3</v>
      </c>
      <c r="Q60" s="43">
        <v>4</v>
      </c>
      <c r="R60" s="42">
        <v>5</v>
      </c>
      <c r="S60" s="42">
        <v>6</v>
      </c>
      <c r="T60" s="42">
        <v>1</v>
      </c>
      <c r="U60" s="42">
        <v>5</v>
      </c>
      <c r="V60" s="42">
        <v>3</v>
      </c>
      <c r="W60" s="42">
        <v>8</v>
      </c>
      <c r="X60" s="42">
        <v>3</v>
      </c>
      <c r="Y60" s="42">
        <v>7</v>
      </c>
      <c r="Z60" s="42" t="s">
        <v>45</v>
      </c>
      <c r="AA60" s="42" t="s">
        <v>45</v>
      </c>
      <c r="AB60" s="42" t="s">
        <v>45</v>
      </c>
      <c r="AC60" s="42" t="s">
        <v>45</v>
      </c>
      <c r="AD60" s="42" t="s">
        <v>45</v>
      </c>
      <c r="AE60" s="42" t="s">
        <v>45</v>
      </c>
      <c r="AF60" s="42" t="s">
        <v>45</v>
      </c>
      <c r="AG60" s="42" t="s">
        <v>45</v>
      </c>
      <c r="AH60" s="42" t="s">
        <v>45</v>
      </c>
      <c r="AI60" s="42" t="s">
        <v>45</v>
      </c>
      <c r="AJ60" s="42" t="s">
        <v>45</v>
      </c>
      <c r="AK60" s="42" t="s">
        <v>45</v>
      </c>
      <c r="AL60" s="42" t="s">
        <v>45</v>
      </c>
      <c r="AM60" s="42" t="s">
        <v>45</v>
      </c>
      <c r="AN60" s="42" t="s">
        <v>45</v>
      </c>
      <c r="AO60" s="43" t="s">
        <v>45</v>
      </c>
      <c r="AP60" s="42" t="s">
        <v>54</v>
      </c>
      <c r="AQ60" s="42">
        <v>8</v>
      </c>
      <c r="AR60" s="50" t="s">
        <v>353</v>
      </c>
      <c r="AS60" s="45" t="s">
        <v>1484</v>
      </c>
      <c r="AT60" s="45" t="s">
        <v>705</v>
      </c>
      <c r="AU60" s="46">
        <f>($O$3*(L60-$O$1)/$O$2+$P$3*(M60-$P$1)/$P$2+$Q$3*(N60-$P$1)/$Q$2)/SUM($O$3:$Q$3)</f>
        <v>-2.0690406309742588</v>
      </c>
      <c r="AV60" s="46">
        <f>($O$3*(O60-$O$1)/$O$2+$P$3*(P60-$P$1)/$P$2+$Q$3*(Q60-$Q$1)/$Q$2)/SUM($O$3:$Q$3)</f>
        <v>-0.16470773366221675</v>
      </c>
      <c r="AW60" s="47">
        <f>COUNT(R60:AO60)/2</f>
        <v>4</v>
      </c>
      <c r="AX60" s="47">
        <f>IF(AND(S60&lt;&gt;"-",S60&gt;5),1,0)+IF(AND(U60&lt;&gt;"-",U60&gt;5),1,0)+IF(AND(W60&lt;&gt;"-",W60&gt;5),1,0)+IF(AND(Y60&lt;&gt;"-",Y60&gt;5),1,0)+IF(AND(AA60&lt;&gt;"-",AA60&gt;5),1,0)+IF(AND(AC60&lt;&gt;"-",AC60&gt;5),1,0)+IF(AND(AE60&lt;&gt;"-",AE60&gt;5),1,0)+IF(AND(AG60&lt;&gt;"-",AG60&gt;5),1,0)+IF(AND(AI60&lt;&gt;"-",AI60&gt;5),1,0)+IF(AND(AK60&lt;&gt;"-",AK60&gt;5),1,0)+IF(AND(AM60&lt;&gt;"-",AM60&gt;5),1,0)+IF(AND(AO60&lt;&gt;"-",AO60&gt;5),1,0)</f>
        <v>3</v>
      </c>
      <c r="AY60" s="48">
        <f>VLOOKUP(AP60,COND!$A$10:$B$32,2,FALSE)</f>
        <v>1.0249999999999999</v>
      </c>
      <c r="AZ60" s="46">
        <f>($AU$3*AU60+$AV$3*AV60+$AW$3*AW60+$AX$3*AX60)*AY60*IF(AQ60&lt;5,0.95,IF(AQ60&lt;7,0.975,1))+$I$3*VLOOKUP(I60,COND!$A$2:$E$7,4,FALSE)+$J$3*VLOOKUP(J60,COND!$A$2:$E$7,2,FALSE)+$K$3*VLOOKUP(K60,COND!$A$2:$E$7,3,FALSE)+IF(BB60="SP",$BB$3,0)+IF($AW60&lt;3,-5,0)+IF(AND($B$2&gt;0,$E60&lt;20),$B$2*25,0)</f>
        <v>49.093088130574834</v>
      </c>
      <c r="BA60" s="49">
        <f>STANDARDIZE(AZ60,AVERAGE($AZ$5:$AZ$570),STDEVP($AZ$5:$AZ$570))</f>
        <v>1.5012757486853847</v>
      </c>
      <c r="BB60" s="47" t="str">
        <f>IF(OR(AND(AQ60&gt;7,AX60&gt;1),AND(AQ60&gt;4,AW60&gt;2)),"SP","RP")</f>
        <v>SP</v>
      </c>
      <c r="BC60" s="47"/>
      <c r="BD60" s="47"/>
      <c r="BE60" s="47"/>
      <c r="BF60" s="47" t="str">
        <f>IF(AVERAGE($O60:$Q60)&gt;=6,"Likely",IF(AVERAGE($O60:$Q60)&gt;=4,"Possible","Unlikely"))</f>
        <v>Possible</v>
      </c>
      <c r="BG60" s="47"/>
      <c r="BH60" s="47" t="str">
        <f>INDEX(Table5[[#All],[Ovr]],MATCH(Table3[[#This Row],[PID]],Table5[[#All],[PID]],0))</f>
        <v/>
      </c>
      <c r="BI60" s="47" t="str">
        <f>INDEX(Table5[[#All],[Rnd]],MATCH(Table3[[#This Row],[PID]],Table5[[#All],[PID]],0))</f>
        <v/>
      </c>
      <c r="BJ60" s="47" t="str">
        <f>INDEX(Table5[[#All],[Pick]],MATCH(Table3[[#This Row],[PID]],Table5[[#All],[PID]],0))</f>
        <v/>
      </c>
      <c r="BK60" s="47" t="str">
        <f>INDEX(Table5[[#All],[Team]],MATCH(Table3[[#This Row],[PID]],Table5[[#All],[PID]],0))</f>
        <v/>
      </c>
      <c r="BL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" spans="1:64" ht="15" customHeight="1" x14ac:dyDescent="0.25">
      <c r="A61" s="42">
        <v>7782</v>
      </c>
      <c r="B61" s="42" t="s">
        <v>24</v>
      </c>
      <c r="C61" s="42" t="s">
        <v>833</v>
      </c>
      <c r="D61" s="42" t="s">
        <v>1381</v>
      </c>
      <c r="E61" s="42">
        <v>18</v>
      </c>
      <c r="F61" s="42" t="s">
        <v>53</v>
      </c>
      <c r="G61" s="42" t="s">
        <v>53</v>
      </c>
      <c r="H61" s="43" t="s">
        <v>703</v>
      </c>
      <c r="I61" s="44" t="s">
        <v>44</v>
      </c>
      <c r="J61" s="42" t="s">
        <v>43</v>
      </c>
      <c r="K61" s="43" t="s">
        <v>44</v>
      </c>
      <c r="L61" s="42">
        <v>2</v>
      </c>
      <c r="M61" s="42">
        <v>2</v>
      </c>
      <c r="N61" s="43">
        <v>1</v>
      </c>
      <c r="O61" s="42">
        <v>4</v>
      </c>
      <c r="P61" s="42">
        <v>4</v>
      </c>
      <c r="Q61" s="43">
        <v>4</v>
      </c>
      <c r="R61" s="42">
        <v>4</v>
      </c>
      <c r="S61" s="42">
        <v>6</v>
      </c>
      <c r="T61" s="42">
        <v>1</v>
      </c>
      <c r="U61" s="42">
        <v>6</v>
      </c>
      <c r="V61" s="42">
        <v>2</v>
      </c>
      <c r="W61" s="42">
        <v>5</v>
      </c>
      <c r="X61" s="42" t="s">
        <v>45</v>
      </c>
      <c r="Y61" s="42" t="s">
        <v>45</v>
      </c>
      <c r="Z61" s="42" t="s">
        <v>45</v>
      </c>
      <c r="AA61" s="42" t="s">
        <v>45</v>
      </c>
      <c r="AB61" s="42">
        <v>3</v>
      </c>
      <c r="AC61" s="42">
        <v>6</v>
      </c>
      <c r="AD61" s="42" t="s">
        <v>45</v>
      </c>
      <c r="AE61" s="42" t="s">
        <v>45</v>
      </c>
      <c r="AF61" s="42" t="s">
        <v>45</v>
      </c>
      <c r="AG61" s="42" t="s">
        <v>45</v>
      </c>
      <c r="AH61" s="42" t="s">
        <v>45</v>
      </c>
      <c r="AI61" s="42" t="s">
        <v>45</v>
      </c>
      <c r="AJ61" s="42" t="s">
        <v>45</v>
      </c>
      <c r="AK61" s="42" t="s">
        <v>45</v>
      </c>
      <c r="AL61" s="42" t="s">
        <v>45</v>
      </c>
      <c r="AM61" s="42" t="s">
        <v>45</v>
      </c>
      <c r="AN61" s="42" t="s">
        <v>45</v>
      </c>
      <c r="AO61" s="43" t="s">
        <v>45</v>
      </c>
      <c r="AP61" s="42" t="s">
        <v>56</v>
      </c>
      <c r="AQ61" s="42">
        <v>6</v>
      </c>
      <c r="AR61" s="50" t="s">
        <v>353</v>
      </c>
      <c r="AS61" s="45" t="s">
        <v>749</v>
      </c>
      <c r="AT61" s="45" t="s">
        <v>705</v>
      </c>
      <c r="AU61" s="46">
        <f>($O$3*(L61-$O$1)/$O$2+$P$3*(M61-$P$1)/$P$2+$Q$3*(N61-$P$1)/$Q$2)/SUM($O$3:$Q$3)</f>
        <v>-2.311361197028369</v>
      </c>
      <c r="AV61" s="46">
        <f>($O$3*(O61-$O$1)/$O$2+$P$3*(P61-$P$1)/$P$2+$Q$3*(Q61-$Q$1)/$Q$2)/SUM($O$3:$Q$3)</f>
        <v>-0.35865866625050846</v>
      </c>
      <c r="AW61" s="47">
        <f>COUNT(R61:AO61)/2</f>
        <v>4</v>
      </c>
      <c r="AX61" s="47">
        <f>IF(AND(S61&lt;&gt;"-",S61&gt;5),1,0)+IF(AND(U61&lt;&gt;"-",U61&gt;5),1,0)+IF(AND(W61&lt;&gt;"-",W61&gt;5),1,0)+IF(AND(Y61&lt;&gt;"-",Y61&gt;5),1,0)+IF(AND(AA61&lt;&gt;"-",AA61&gt;5),1,0)+IF(AND(AC61&lt;&gt;"-",AC61&gt;5),1,0)+IF(AND(AE61&lt;&gt;"-",AE61&gt;5),1,0)+IF(AND(AG61&lt;&gt;"-",AG61&gt;5),1,0)+IF(AND(AI61&lt;&gt;"-",AI61&gt;5),1,0)+IF(AND(AK61&lt;&gt;"-",AK61&gt;5),1,0)+IF(AND(AM61&lt;&gt;"-",AM61&gt;5),1,0)+IF(AND(AO61&lt;&gt;"-",AO61&gt;5),1,0)</f>
        <v>3</v>
      </c>
      <c r="AY61" s="48">
        <f>VLOOKUP(AP61,COND!$A$10:$B$32,2,FALSE)</f>
        <v>1</v>
      </c>
      <c r="AZ61" s="46">
        <f>($AU$3*AU61+$AV$3*AV61+$AW$3*AW61+$AX$3*AX61)*AY61*IF(AQ61&lt;5,0.95,IF(AQ61&lt;7,0.975,1))+$I$3*VLOOKUP(I61,COND!$A$2:$E$7,4,FALSE)+$J$3*VLOOKUP(J61,COND!$A$2:$E$7,2,FALSE)+$K$3*VLOOKUP(K61,COND!$A$2:$E$7,3,FALSE)+IF(BB61="SP",$BB$3,0)+IF($AW61&lt;3,-5,0)+IF(AND($B$2&gt;0,$E61&lt;20),$B$2*25,0)</f>
        <v>49.711690574694558</v>
      </c>
      <c r="BA61" s="49">
        <f>STANDARDIZE(AZ61,AVERAGE($AZ$5:$AZ$570),STDEVP($AZ$5:$AZ$570))</f>
        <v>1.558004236773578</v>
      </c>
      <c r="BB61" s="47" t="str">
        <f>IF(OR(AND(AQ61&gt;7,AX61&gt;1),AND(AQ61&gt;4,AW61&gt;2)),"SP","RP")</f>
        <v>SP</v>
      </c>
      <c r="BC61" s="47"/>
      <c r="BD61" s="47"/>
      <c r="BE61" s="47"/>
      <c r="BF61" s="47" t="str">
        <f>IF(AVERAGE($O61:$Q61)&gt;=6,"Likely",IF(AVERAGE($O61:$Q61)&gt;=4,"Possible","Unlikely"))</f>
        <v>Possible</v>
      </c>
      <c r="BG61" s="47"/>
      <c r="BH61" s="47" t="str">
        <f>INDEX(Table5[[#All],[Ovr]],MATCH(Table3[[#This Row],[PID]],Table5[[#All],[PID]],0))</f>
        <v/>
      </c>
      <c r="BI61" s="47" t="str">
        <f>INDEX(Table5[[#All],[Rnd]],MATCH(Table3[[#This Row],[PID]],Table5[[#All],[PID]],0))</f>
        <v/>
      </c>
      <c r="BJ61" s="47" t="str">
        <f>INDEX(Table5[[#All],[Pick]],MATCH(Table3[[#This Row],[PID]],Table5[[#All],[PID]],0))</f>
        <v/>
      </c>
      <c r="BK61" s="47" t="str">
        <f>INDEX(Table5[[#All],[Team]],MATCH(Table3[[#This Row],[PID]],Table5[[#All],[PID]],0))</f>
        <v/>
      </c>
      <c r="BL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" spans="1:64" ht="15" customHeight="1" x14ac:dyDescent="0.25">
      <c r="A62" s="42">
        <v>7088</v>
      </c>
      <c r="B62" s="42" t="s">
        <v>24</v>
      </c>
      <c r="C62" s="42" t="s">
        <v>151</v>
      </c>
      <c r="D62" s="42" t="s">
        <v>330</v>
      </c>
      <c r="E62" s="42">
        <v>21</v>
      </c>
      <c r="F62" s="42" t="s">
        <v>62</v>
      </c>
      <c r="G62" s="42" t="s">
        <v>42</v>
      </c>
      <c r="H62" s="43" t="s">
        <v>703</v>
      </c>
      <c r="I62" s="44" t="s">
        <v>43</v>
      </c>
      <c r="J62" s="42" t="s">
        <v>43</v>
      </c>
      <c r="K62" s="43" t="s">
        <v>43</v>
      </c>
      <c r="L62" s="42">
        <v>2</v>
      </c>
      <c r="M62" s="42">
        <v>2</v>
      </c>
      <c r="N62" s="43">
        <v>4</v>
      </c>
      <c r="O62" s="42">
        <v>5</v>
      </c>
      <c r="P62" s="42">
        <v>3</v>
      </c>
      <c r="Q62" s="43">
        <v>5</v>
      </c>
      <c r="R62" s="42">
        <v>5</v>
      </c>
      <c r="S62" s="42">
        <v>7</v>
      </c>
      <c r="T62" s="42">
        <v>1</v>
      </c>
      <c r="U62" s="42">
        <v>1</v>
      </c>
      <c r="V62" s="42">
        <v>2</v>
      </c>
      <c r="W62" s="42">
        <v>7</v>
      </c>
      <c r="X62" s="42">
        <v>3</v>
      </c>
      <c r="Y62" s="42">
        <v>5</v>
      </c>
      <c r="Z62" s="42" t="s">
        <v>45</v>
      </c>
      <c r="AA62" s="42" t="s">
        <v>45</v>
      </c>
      <c r="AB62" s="42" t="s">
        <v>45</v>
      </c>
      <c r="AC62" s="42" t="s">
        <v>45</v>
      </c>
      <c r="AD62" s="42" t="s">
        <v>45</v>
      </c>
      <c r="AE62" s="42" t="s">
        <v>45</v>
      </c>
      <c r="AF62" s="42" t="s">
        <v>45</v>
      </c>
      <c r="AG62" s="42" t="s">
        <v>45</v>
      </c>
      <c r="AH62" s="42" t="s">
        <v>45</v>
      </c>
      <c r="AI62" s="42" t="s">
        <v>45</v>
      </c>
      <c r="AJ62" s="42" t="s">
        <v>45</v>
      </c>
      <c r="AK62" s="42" t="s">
        <v>45</v>
      </c>
      <c r="AL62" s="42" t="s">
        <v>45</v>
      </c>
      <c r="AM62" s="42" t="s">
        <v>45</v>
      </c>
      <c r="AN62" s="42" t="s">
        <v>45</v>
      </c>
      <c r="AO62" s="43" t="s">
        <v>45</v>
      </c>
      <c r="AP62" s="42" t="s">
        <v>54</v>
      </c>
      <c r="AQ62" s="42">
        <v>10</v>
      </c>
      <c r="AR62" s="50" t="s">
        <v>353</v>
      </c>
      <c r="AS62" s="45" t="s">
        <v>1510</v>
      </c>
      <c r="AT62" s="45" t="s">
        <v>705</v>
      </c>
      <c r="AU62" s="46">
        <f>($O$3*(L62-$O$1)/$O$2+$P$3*(M62-$P$1)/$P$2+$Q$3*(N62-$P$1)/$Q$2)/SUM($O$3:$Q$3)</f>
        <v>-1.5843994988660377</v>
      </c>
      <c r="AV62" s="46">
        <f>($O$3*(O62-$O$1)/$O$2+$P$3*(P62-$P$1)/$P$2+$Q$3*(Q62-$Q$1)/$Q$2)/SUM($O$3:$Q$3)</f>
        <v>-0.11707849211727993</v>
      </c>
      <c r="AW62" s="47">
        <f>COUNT(R62:AO62)/2</f>
        <v>4</v>
      </c>
      <c r="AX62" s="47">
        <f>IF(AND(S62&lt;&gt;"-",S62&gt;5),1,0)+IF(AND(U62&lt;&gt;"-",U62&gt;5),1,0)+IF(AND(W62&lt;&gt;"-",W62&gt;5),1,0)+IF(AND(Y62&lt;&gt;"-",Y62&gt;5),1,0)+IF(AND(AA62&lt;&gt;"-",AA62&gt;5),1,0)+IF(AND(AC62&lt;&gt;"-",AC62&gt;5),1,0)+IF(AND(AE62&lt;&gt;"-",AE62&gt;5),1,0)+IF(AND(AG62&lt;&gt;"-",AG62&gt;5),1,0)+IF(AND(AI62&lt;&gt;"-",AI62&gt;5),1,0)+IF(AND(AK62&lt;&gt;"-",AK62&gt;5),1,0)+IF(AND(AM62&lt;&gt;"-",AM62&gt;5),1,0)+IF(AND(AO62&lt;&gt;"-",AO62&gt;5),1,0)</f>
        <v>2</v>
      </c>
      <c r="AY62" s="48">
        <f>VLOOKUP(AP62,COND!$A$10:$B$32,2,FALSE)</f>
        <v>1.0249999999999999</v>
      </c>
      <c r="AZ62" s="46">
        <f>($AU$3*AU62+$AV$3*AV62+$AW$3*AW62+$AX$3*AX62)*AY62*IF(AQ62&lt;5,0.95,IF(AQ62&lt;7,0.975,1))+$I$3*VLOOKUP(I62,COND!$A$2:$E$7,4,FALSE)+$J$3*VLOOKUP(J62,COND!$A$2:$E$7,2,FALSE)+$K$3*VLOOKUP(K62,COND!$A$2:$E$7,3,FALSE)+IF(BB62="SP",$BB$3,0)+IF($AW62&lt;3,-5,0)+IF(AND($B$2&gt;0,$E62&lt;20),$B$2*25,0)</f>
        <v>48.887589014328228</v>
      </c>
      <c r="BA62" s="49">
        <f>STANDARDIZE(AZ62,AVERAGE($AZ$5:$AZ$570),STDEVP($AZ$5:$AZ$570))</f>
        <v>1.4824306014038884</v>
      </c>
      <c r="BB62" s="47" t="str">
        <f>IF(OR(AND(AQ62&gt;7,AX62&gt;1),AND(AQ62&gt;4,AW62&gt;2)),"SP","RP")</f>
        <v>SP</v>
      </c>
      <c r="BC62" s="47"/>
      <c r="BD62" s="47"/>
      <c r="BE62" s="47"/>
      <c r="BF62" s="47" t="str">
        <f>IF(AVERAGE($O62:$Q62)&gt;=6,"Likely",IF(AVERAGE($O62:$Q62)&gt;=4,"Possible","Unlikely"))</f>
        <v>Possible</v>
      </c>
      <c r="BG62" s="47"/>
      <c r="BH62" s="47" t="str">
        <f>INDEX(Table5[[#All],[Ovr]],MATCH(Table3[[#This Row],[PID]],Table5[[#All],[PID]],0))</f>
        <v/>
      </c>
      <c r="BI62" s="47" t="str">
        <f>INDEX(Table5[[#All],[Rnd]],MATCH(Table3[[#This Row],[PID]],Table5[[#All],[PID]],0))</f>
        <v/>
      </c>
      <c r="BJ62" s="47" t="str">
        <f>INDEX(Table5[[#All],[Pick]],MATCH(Table3[[#This Row],[PID]],Table5[[#All],[PID]],0))</f>
        <v/>
      </c>
      <c r="BK62" s="47" t="str">
        <f>INDEX(Table5[[#All],[Team]],MATCH(Table3[[#This Row],[PID]],Table5[[#All],[PID]],0))</f>
        <v/>
      </c>
      <c r="BL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" spans="1:64" ht="15" customHeight="1" x14ac:dyDescent="0.25">
      <c r="A63" s="42">
        <v>12525</v>
      </c>
      <c r="B63" s="42" t="s">
        <v>430</v>
      </c>
      <c r="C63" s="42" t="s">
        <v>183</v>
      </c>
      <c r="D63" s="42" t="s">
        <v>1555</v>
      </c>
      <c r="E63" s="42">
        <v>18</v>
      </c>
      <c r="F63" s="42" t="s">
        <v>62</v>
      </c>
      <c r="G63" s="42" t="s">
        <v>42</v>
      </c>
      <c r="H63" s="43" t="s">
        <v>709</v>
      </c>
      <c r="I63" s="44" t="s">
        <v>43</v>
      </c>
      <c r="J63" s="42" t="s">
        <v>47</v>
      </c>
      <c r="K63" s="43" t="s">
        <v>43</v>
      </c>
      <c r="L63" s="42">
        <v>2</v>
      </c>
      <c r="M63" s="42">
        <v>3</v>
      </c>
      <c r="N63" s="43">
        <v>1</v>
      </c>
      <c r="O63" s="42">
        <v>5</v>
      </c>
      <c r="P63" s="42">
        <v>6</v>
      </c>
      <c r="Q63" s="43">
        <v>3</v>
      </c>
      <c r="R63" s="42" t="s">
        <v>45</v>
      </c>
      <c r="S63" s="42" t="s">
        <v>45</v>
      </c>
      <c r="T63" s="42" t="s">
        <v>45</v>
      </c>
      <c r="U63" s="42" t="s">
        <v>45</v>
      </c>
      <c r="V63" s="42" t="s">
        <v>45</v>
      </c>
      <c r="W63" s="42" t="s">
        <v>45</v>
      </c>
      <c r="X63" s="42">
        <v>3</v>
      </c>
      <c r="Y63" s="42">
        <v>7</v>
      </c>
      <c r="Z63" s="42">
        <v>4</v>
      </c>
      <c r="AA63" s="42">
        <v>7</v>
      </c>
      <c r="AB63" s="42" t="s">
        <v>45</v>
      </c>
      <c r="AC63" s="42" t="s">
        <v>45</v>
      </c>
      <c r="AD63" s="42" t="s">
        <v>45</v>
      </c>
      <c r="AE63" s="42" t="s">
        <v>45</v>
      </c>
      <c r="AF63" s="42" t="s">
        <v>45</v>
      </c>
      <c r="AG63" s="42" t="s">
        <v>45</v>
      </c>
      <c r="AH63" s="42" t="s">
        <v>45</v>
      </c>
      <c r="AI63" s="42" t="s">
        <v>45</v>
      </c>
      <c r="AJ63" s="42" t="s">
        <v>45</v>
      </c>
      <c r="AK63" s="42" t="s">
        <v>45</v>
      </c>
      <c r="AL63" s="42" t="s">
        <v>45</v>
      </c>
      <c r="AM63" s="42" t="s">
        <v>45</v>
      </c>
      <c r="AN63" s="42" t="s">
        <v>45</v>
      </c>
      <c r="AO63" s="43" t="s">
        <v>45</v>
      </c>
      <c r="AP63" s="42" t="s">
        <v>54</v>
      </c>
      <c r="AQ63" s="42">
        <v>7</v>
      </c>
      <c r="AR63" s="50" t="s">
        <v>352</v>
      </c>
      <c r="AS63" s="45" t="s">
        <v>599</v>
      </c>
      <c r="AT63" s="45" t="s">
        <v>705</v>
      </c>
      <c r="AU63" s="46">
        <f>($O$3*(L63-$O$1)/$O$2+$P$3*(M63-$P$1)/$P$2+$Q$3*(N63-$P$1)/$Q$2)/SUM($O$3:$Q$3)</f>
        <v>-2.1159294805983135</v>
      </c>
      <c r="AV63" s="46">
        <f>($O$3*(O63-$O$1)/$O$2+$P$3*(P63-$P$1)/$P$2+$Q$3*(Q63-$Q$1)/$Q$2)/SUM($O$3:$Q$3)</f>
        <v>-1.5424474935334484E-2</v>
      </c>
      <c r="AW63" s="47">
        <f>COUNT(R63:AO63)/2</f>
        <v>2</v>
      </c>
      <c r="AX63" s="47">
        <f>IF(AND(S63&lt;&gt;"-",S63&gt;5),1,0)+IF(AND(U63&lt;&gt;"-",U63&gt;5),1,0)+IF(AND(W63&lt;&gt;"-",W63&gt;5),1,0)+IF(AND(Y63&lt;&gt;"-",Y63&gt;5),1,0)+IF(AND(AA63&lt;&gt;"-",AA63&gt;5),1,0)+IF(AND(AC63&lt;&gt;"-",AC63&gt;5),1,0)+IF(AND(AE63&lt;&gt;"-",AE63&gt;5),1,0)+IF(AND(AG63&lt;&gt;"-",AG63&gt;5),1,0)+IF(AND(AI63&lt;&gt;"-",AI63&gt;5),1,0)+IF(AND(AK63&lt;&gt;"-",AK63&gt;5),1,0)+IF(AND(AM63&lt;&gt;"-",AM63&gt;5),1,0)+IF(AND(AO63&lt;&gt;"-",AO63&gt;5),1,0)</f>
        <v>2</v>
      </c>
      <c r="AY63" s="48">
        <f>VLOOKUP(AP63,COND!$A$10:$B$32,2,FALSE)</f>
        <v>1.0249999999999999</v>
      </c>
      <c r="AZ63" s="46">
        <f>($AU$3*AU63+$AV$3*AV63+$AW$3*AW63+$AX$3*AX63)*AY63*IF(AQ63&lt;5,0.95,IF(AQ63&lt;7,0.975,1))+$I$3*VLOOKUP(I63,COND!$A$2:$E$7,4,FALSE)+$J$3*VLOOKUP(J63,COND!$A$2:$E$7,2,FALSE)+$K$3*VLOOKUP(K63,COND!$A$2:$E$7,3,FALSE)+IF(BB63="SP",$BB$3,0)+IF($AW63&lt;3,-5,0)+IF(AND($B$2&gt;0,$E63&lt;20),$B$2*25,0)</f>
        <v>48.137532720302985</v>
      </c>
      <c r="BA63" s="49">
        <f>STANDARDIZE(AZ63,AVERAGE($AZ$5:$AZ$570),STDEVP($AZ$5:$AZ$570))</f>
        <v>1.4136472334337962</v>
      </c>
      <c r="BB63" s="47" t="str">
        <f>IF(OR(AND(AQ63&gt;7,AX63&gt;1),AND(AQ63&gt;4,AW63&gt;2)),"SP","RP")</f>
        <v>RP</v>
      </c>
      <c r="BC63" s="47"/>
      <c r="BD63" s="47"/>
      <c r="BE63" s="47"/>
      <c r="BF63" s="47" t="str">
        <f>IF(AVERAGE($O63:$Q63)&gt;=6,"Likely",IF(AVERAGE($O63:$Q63)&gt;=4,"Possible","Unlikely"))</f>
        <v>Possible</v>
      </c>
      <c r="BG63" s="47"/>
      <c r="BH63" s="47" t="str">
        <f>INDEX(Table5[[#All],[Ovr]],MATCH(Table3[[#This Row],[PID]],Table5[[#All],[PID]],0))</f>
        <v/>
      </c>
      <c r="BI63" s="47" t="str">
        <f>INDEX(Table5[[#All],[Rnd]],MATCH(Table3[[#This Row],[PID]],Table5[[#All],[PID]],0))</f>
        <v/>
      </c>
      <c r="BJ63" s="47" t="str">
        <f>INDEX(Table5[[#All],[Pick]],MATCH(Table3[[#This Row],[PID]],Table5[[#All],[PID]],0))</f>
        <v/>
      </c>
      <c r="BK63" s="47" t="str">
        <f>INDEX(Table5[[#All],[Team]],MATCH(Table3[[#This Row],[PID]],Table5[[#All],[PID]],0))</f>
        <v/>
      </c>
      <c r="BL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" spans="1:64" ht="15" customHeight="1" x14ac:dyDescent="0.25">
      <c r="A64" s="42">
        <v>6844</v>
      </c>
      <c r="B64" s="42" t="s">
        <v>24</v>
      </c>
      <c r="C64" s="42" t="s">
        <v>798</v>
      </c>
      <c r="D64" s="42" t="s">
        <v>716</v>
      </c>
      <c r="E64" s="42">
        <v>21</v>
      </c>
      <c r="F64" s="42" t="s">
        <v>53</v>
      </c>
      <c r="G64" s="42" t="s">
        <v>53</v>
      </c>
      <c r="H64" s="43" t="s">
        <v>703</v>
      </c>
      <c r="I64" s="44" t="s">
        <v>43</v>
      </c>
      <c r="J64" s="42" t="s">
        <v>43</v>
      </c>
      <c r="K64" s="43" t="s">
        <v>43</v>
      </c>
      <c r="L64" s="42">
        <v>4</v>
      </c>
      <c r="M64" s="42">
        <v>2</v>
      </c>
      <c r="N64" s="43">
        <v>2</v>
      </c>
      <c r="O64" s="42">
        <v>7</v>
      </c>
      <c r="P64" s="42">
        <v>4</v>
      </c>
      <c r="Q64" s="43">
        <v>2</v>
      </c>
      <c r="R64" s="42" t="s">
        <v>45</v>
      </c>
      <c r="S64" s="42" t="s">
        <v>45</v>
      </c>
      <c r="T64" s="42">
        <v>4</v>
      </c>
      <c r="U64" s="42">
        <v>8</v>
      </c>
      <c r="V64" s="42" t="s">
        <v>45</v>
      </c>
      <c r="W64" s="42" t="s">
        <v>45</v>
      </c>
      <c r="X64" s="42">
        <v>4</v>
      </c>
      <c r="Y64" s="42">
        <v>6</v>
      </c>
      <c r="Z64" s="42" t="s">
        <v>45</v>
      </c>
      <c r="AA64" s="42" t="s">
        <v>45</v>
      </c>
      <c r="AB64" s="42" t="s">
        <v>45</v>
      </c>
      <c r="AC64" s="42" t="s">
        <v>45</v>
      </c>
      <c r="AD64" s="42">
        <v>5</v>
      </c>
      <c r="AE64" s="42">
        <v>7</v>
      </c>
      <c r="AF64" s="42">
        <v>6</v>
      </c>
      <c r="AG64" s="42">
        <v>8</v>
      </c>
      <c r="AH64" s="42" t="s">
        <v>45</v>
      </c>
      <c r="AI64" s="42" t="s">
        <v>45</v>
      </c>
      <c r="AJ64" s="42" t="s">
        <v>45</v>
      </c>
      <c r="AK64" s="42" t="s">
        <v>45</v>
      </c>
      <c r="AL64" s="42" t="s">
        <v>45</v>
      </c>
      <c r="AM64" s="42" t="s">
        <v>45</v>
      </c>
      <c r="AN64" s="42" t="s">
        <v>45</v>
      </c>
      <c r="AO64" s="43" t="s">
        <v>45</v>
      </c>
      <c r="AP64" s="42" t="s">
        <v>61</v>
      </c>
      <c r="AQ64" s="42">
        <v>8</v>
      </c>
      <c r="AR64" s="50" t="s">
        <v>353</v>
      </c>
      <c r="AS64" s="45" t="s">
        <v>591</v>
      </c>
      <c r="AT64" s="45" t="s">
        <v>47</v>
      </c>
      <c r="AU64" s="46">
        <f>($O$3*(L64-$O$1)/$O$2+$P$3*(M64-$P$1)/$P$2+$Q$3*(N64-$P$1)/$Q$2)/SUM($O$3:$Q$3)</f>
        <v>-1.6796579819559116</v>
      </c>
      <c r="AV64" s="46">
        <f>($O$3*(O64-$O$1)/$O$2+$P$3*(P64-$P$1)/$P$2+$Q$3*(Q64-$Q$1)/$Q$2)/SUM($O$3:$Q$3)</f>
        <v>-0.25922582483120871</v>
      </c>
      <c r="AW64" s="47">
        <f>COUNT(R64:AO64)/2</f>
        <v>4</v>
      </c>
      <c r="AX64" s="47">
        <f>IF(AND(S64&lt;&gt;"-",S64&gt;5),1,0)+IF(AND(U64&lt;&gt;"-",U64&gt;5),1,0)+IF(AND(W64&lt;&gt;"-",W64&gt;5),1,0)+IF(AND(Y64&lt;&gt;"-",Y64&gt;5),1,0)+IF(AND(AA64&lt;&gt;"-",AA64&gt;5),1,0)+IF(AND(AC64&lt;&gt;"-",AC64&gt;5),1,0)+IF(AND(AE64&lt;&gt;"-",AE64&gt;5),1,0)+IF(AND(AG64&lt;&gt;"-",AG64&gt;5),1,0)+IF(AND(AI64&lt;&gt;"-",AI64&gt;5),1,0)+IF(AND(AK64&lt;&gt;"-",AK64&gt;5),1,0)+IF(AND(AM64&lt;&gt;"-",AM64&gt;5),1,0)+IF(AND(AO64&lt;&gt;"-",AO64&gt;5),1,0)</f>
        <v>4</v>
      </c>
      <c r="AY64" s="48">
        <f>VLOOKUP(AP64,COND!$A$10:$B$32,2,FALSE)</f>
        <v>1.05</v>
      </c>
      <c r="AZ64" s="46">
        <f>($AU$3*AU64+$AV$3*AV64+$AW$3*AW64+$AX$3*AX64)*AY64*IF(AQ64&lt;5,0.95,IF(AQ64&lt;7,0.975,1))+$I$3*VLOOKUP(I64,COND!$A$2:$E$7,4,FALSE)+$J$3*VLOOKUP(J64,COND!$A$2:$E$7,2,FALSE)+$K$3*VLOOKUP(K64,COND!$A$2:$E$7,3,FALSE)+IF(BB64="SP",$BB$3,0)+IF($AW64&lt;3,-5,0)+IF(AND($B$2&gt;0,$E64&lt;20),$B$2*25,0)</f>
        <v>48.553529502333873</v>
      </c>
      <c r="BA64" s="49">
        <f>STANDARDIZE(AZ64,AVERAGE($AZ$5:$AZ$570),STDEVP($AZ$5:$AZ$570))</f>
        <v>1.4517959163536436</v>
      </c>
      <c r="BB64" s="47" t="str">
        <f>IF(OR(AND(AQ64&gt;7,AX64&gt;1),AND(AQ64&gt;4,AW64&gt;2)),"SP","RP")</f>
        <v>SP</v>
      </c>
      <c r="BC64" s="47"/>
      <c r="BD64" s="47"/>
      <c r="BE64" s="47"/>
      <c r="BF64" s="47" t="str">
        <f>IF(AVERAGE($O64:$Q64)&gt;=6,"Likely",IF(AVERAGE($O64:$Q64)&gt;=4,"Possible","Unlikely"))</f>
        <v>Possible</v>
      </c>
      <c r="BG64" s="47"/>
      <c r="BH64" s="47" t="str">
        <f>INDEX(Table5[[#All],[Ovr]],MATCH(Table3[[#This Row],[PID]],Table5[[#All],[PID]],0))</f>
        <v/>
      </c>
      <c r="BI64" s="47" t="str">
        <f>INDEX(Table5[[#All],[Rnd]],MATCH(Table3[[#This Row],[PID]],Table5[[#All],[PID]],0))</f>
        <v/>
      </c>
      <c r="BJ64" s="47" t="str">
        <f>INDEX(Table5[[#All],[Pick]],MATCH(Table3[[#This Row],[PID]],Table5[[#All],[PID]],0))</f>
        <v/>
      </c>
      <c r="BK64" s="47" t="str">
        <f>INDEX(Table5[[#All],[Team]],MATCH(Table3[[#This Row],[PID]],Table5[[#All],[PID]],0))</f>
        <v/>
      </c>
      <c r="BL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" spans="1:64" ht="15" customHeight="1" x14ac:dyDescent="0.25">
      <c r="A65" s="42">
        <v>13888</v>
      </c>
      <c r="B65" s="42" t="s">
        <v>430</v>
      </c>
      <c r="C65" s="42" t="s">
        <v>191</v>
      </c>
      <c r="D65" s="42" t="s">
        <v>1463</v>
      </c>
      <c r="E65" s="42">
        <v>18</v>
      </c>
      <c r="F65" s="42" t="s">
        <v>42</v>
      </c>
      <c r="G65" s="42" t="s">
        <v>42</v>
      </c>
      <c r="H65" s="43" t="s">
        <v>721</v>
      </c>
      <c r="I65" s="44" t="s">
        <v>43</v>
      </c>
      <c r="J65" s="42" t="s">
        <v>43</v>
      </c>
      <c r="K65" s="43" t="s">
        <v>47</v>
      </c>
      <c r="L65" s="42">
        <v>2</v>
      </c>
      <c r="M65" s="42">
        <v>2</v>
      </c>
      <c r="N65" s="43">
        <v>1</v>
      </c>
      <c r="O65" s="42">
        <v>6</v>
      </c>
      <c r="P65" s="42">
        <v>3</v>
      </c>
      <c r="Q65" s="43">
        <v>3</v>
      </c>
      <c r="R65" s="42">
        <v>4</v>
      </c>
      <c r="S65" s="42">
        <v>7</v>
      </c>
      <c r="T65" s="42">
        <v>1</v>
      </c>
      <c r="U65" s="42">
        <v>2</v>
      </c>
      <c r="V65" s="42">
        <v>2</v>
      </c>
      <c r="W65" s="42">
        <v>7</v>
      </c>
      <c r="X65" s="42" t="s">
        <v>45</v>
      </c>
      <c r="Y65" s="42" t="s">
        <v>45</v>
      </c>
      <c r="Z65" s="42" t="s">
        <v>45</v>
      </c>
      <c r="AA65" s="42" t="s">
        <v>45</v>
      </c>
      <c r="AB65" s="42" t="s">
        <v>45</v>
      </c>
      <c r="AC65" s="42" t="s">
        <v>45</v>
      </c>
      <c r="AD65" s="42" t="s">
        <v>45</v>
      </c>
      <c r="AE65" s="42" t="s">
        <v>45</v>
      </c>
      <c r="AF65" s="42" t="s">
        <v>45</v>
      </c>
      <c r="AG65" s="42" t="s">
        <v>45</v>
      </c>
      <c r="AH65" s="42" t="s">
        <v>45</v>
      </c>
      <c r="AI65" s="42" t="s">
        <v>45</v>
      </c>
      <c r="AJ65" s="42" t="s">
        <v>45</v>
      </c>
      <c r="AK65" s="42" t="s">
        <v>45</v>
      </c>
      <c r="AL65" s="42" t="s">
        <v>45</v>
      </c>
      <c r="AM65" s="42" t="s">
        <v>45</v>
      </c>
      <c r="AN65" s="42" t="s">
        <v>45</v>
      </c>
      <c r="AO65" s="43" t="s">
        <v>45</v>
      </c>
      <c r="AP65" s="42" t="s">
        <v>58</v>
      </c>
      <c r="AQ65" s="42">
        <v>6</v>
      </c>
      <c r="AR65" s="50" t="s">
        <v>353</v>
      </c>
      <c r="AS65" s="45" t="s">
        <v>718</v>
      </c>
      <c r="AT65" s="45" t="s">
        <v>47</v>
      </c>
      <c r="AU65" s="46">
        <f>($O$3*(L65-$O$1)/$O$2+$P$3*(M65-$P$1)/$P$2+$Q$3*(N65-$P$1)/$Q$2)/SUM($O$3:$Q$3)</f>
        <v>-2.311361197028369</v>
      </c>
      <c r="AV65" s="46">
        <f>($O$3*(O65-$O$1)/$O$2+$P$3*(P65-$P$1)/$P$2+$Q$3*(Q65-$Q$1)/$Q$2)/SUM($O$3:$Q$3)</f>
        <v>-0.40702829971632715</v>
      </c>
      <c r="AW65" s="47">
        <f>COUNT(R65:AO65)/2</f>
        <v>3</v>
      </c>
      <c r="AX65" s="47">
        <f>IF(AND(S65&lt;&gt;"-",S65&gt;5),1,0)+IF(AND(U65&lt;&gt;"-",U65&gt;5),1,0)+IF(AND(W65&lt;&gt;"-",W65&gt;5),1,0)+IF(AND(Y65&lt;&gt;"-",Y65&gt;5),1,0)+IF(AND(AA65&lt;&gt;"-",AA65&gt;5),1,0)+IF(AND(AC65&lt;&gt;"-",AC65&gt;5),1,0)+IF(AND(AE65&lt;&gt;"-",AE65&gt;5),1,0)+IF(AND(AG65&lt;&gt;"-",AG65&gt;5),1,0)+IF(AND(AI65&lt;&gt;"-",AI65&gt;5),1,0)+IF(AND(AK65&lt;&gt;"-",AK65&gt;5),1,0)+IF(AND(AM65&lt;&gt;"-",AM65&gt;5),1,0)+IF(AND(AO65&lt;&gt;"-",AO65&gt;5),1,0)</f>
        <v>2</v>
      </c>
      <c r="AY65" s="48">
        <f>VLOOKUP(AP65,COND!$A$10:$B$32,2,FALSE)</f>
        <v>1</v>
      </c>
      <c r="AZ65" s="46">
        <f>($AU$3*AU65+$AV$3*AV65+$AW$3*AW65+$AX$3*AX65)*AY65*IF(AQ65&lt;5,0.95,IF(AQ65&lt;7,0.975,1))+$I$3*VLOOKUP(I65,COND!$A$2:$E$7,4,FALSE)+$J$3*VLOOKUP(J65,COND!$A$2:$E$7,2,FALSE)+$K$3*VLOOKUP(K65,COND!$A$2:$E$7,3,FALSE)+IF(BB65="SP",$BB$3,0)+IF($AW65&lt;3,-5,0)+IF(AND($B$2&gt;0,$E65&lt;20),$B$2*25,0)</f>
        <v>47.812232722111091</v>
      </c>
      <c r="BA65" s="49">
        <f>STANDARDIZE(AZ65,AVERAGE($AZ$5:$AZ$570),STDEVP($AZ$5:$AZ$570))</f>
        <v>1.383815833238186</v>
      </c>
      <c r="BB65" s="47" t="str">
        <f>IF(OR(AND(AQ65&gt;7,AX65&gt;1),AND(AQ65&gt;4,AW65&gt;2)),"SP","RP")</f>
        <v>SP</v>
      </c>
      <c r="BC65" s="47"/>
      <c r="BD65" s="47"/>
      <c r="BE65" s="47"/>
      <c r="BF65" s="47" t="str">
        <f>IF(AVERAGE($O65:$Q65)&gt;=6,"Likely",IF(AVERAGE($O65:$Q65)&gt;=4,"Possible","Unlikely"))</f>
        <v>Possible</v>
      </c>
      <c r="BG65" s="47"/>
      <c r="BH65" s="47" t="str">
        <f>INDEX(Table5[[#All],[Ovr]],MATCH(Table3[[#This Row],[PID]],Table5[[#All],[PID]],0))</f>
        <v/>
      </c>
      <c r="BI65" s="47" t="str">
        <f>INDEX(Table5[[#All],[Rnd]],MATCH(Table3[[#This Row],[PID]],Table5[[#All],[PID]],0))</f>
        <v/>
      </c>
      <c r="BJ65" s="47" t="str">
        <f>INDEX(Table5[[#All],[Pick]],MATCH(Table3[[#This Row],[PID]],Table5[[#All],[PID]],0))</f>
        <v/>
      </c>
      <c r="BK65" s="47" t="str">
        <f>INDEX(Table5[[#All],[Team]],MATCH(Table3[[#This Row],[PID]],Table5[[#All],[PID]],0))</f>
        <v/>
      </c>
      <c r="BL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" spans="1:64" ht="15" customHeight="1" x14ac:dyDescent="0.25">
      <c r="A66" s="42">
        <v>13099</v>
      </c>
      <c r="B66" s="42" t="s">
        <v>430</v>
      </c>
      <c r="C66" s="42" t="s">
        <v>173</v>
      </c>
      <c r="D66" s="42" t="s">
        <v>575</v>
      </c>
      <c r="E66" s="42">
        <v>18</v>
      </c>
      <c r="F66" s="42" t="s">
        <v>62</v>
      </c>
      <c r="G66" s="42" t="s">
        <v>42</v>
      </c>
      <c r="H66" s="43" t="s">
        <v>721</v>
      </c>
      <c r="I66" s="44" t="s">
        <v>43</v>
      </c>
      <c r="J66" s="42" t="s">
        <v>43</v>
      </c>
      <c r="K66" s="43" t="s">
        <v>43</v>
      </c>
      <c r="L66" s="42">
        <v>1</v>
      </c>
      <c r="M66" s="42">
        <v>2</v>
      </c>
      <c r="N66" s="43">
        <v>1</v>
      </c>
      <c r="O66" s="42">
        <v>6</v>
      </c>
      <c r="P66" s="42">
        <v>2</v>
      </c>
      <c r="Q66" s="43">
        <v>4</v>
      </c>
      <c r="R66" s="42">
        <v>3</v>
      </c>
      <c r="S66" s="42">
        <v>6</v>
      </c>
      <c r="T66" s="42">
        <v>1</v>
      </c>
      <c r="U66" s="42">
        <v>1</v>
      </c>
      <c r="V66" s="42">
        <v>1</v>
      </c>
      <c r="W66" s="42">
        <v>8</v>
      </c>
      <c r="X66" s="42" t="s">
        <v>45</v>
      </c>
      <c r="Y66" s="42" t="s">
        <v>45</v>
      </c>
      <c r="Z66" s="42" t="s">
        <v>45</v>
      </c>
      <c r="AA66" s="42" t="s">
        <v>45</v>
      </c>
      <c r="AB66" s="42" t="s">
        <v>45</v>
      </c>
      <c r="AC66" s="42" t="s">
        <v>45</v>
      </c>
      <c r="AD66" s="42" t="s">
        <v>45</v>
      </c>
      <c r="AE66" s="42" t="s">
        <v>45</v>
      </c>
      <c r="AF66" s="42" t="s">
        <v>45</v>
      </c>
      <c r="AG66" s="42" t="s">
        <v>45</v>
      </c>
      <c r="AH66" s="42" t="s">
        <v>45</v>
      </c>
      <c r="AI66" s="42" t="s">
        <v>45</v>
      </c>
      <c r="AJ66" s="42" t="s">
        <v>45</v>
      </c>
      <c r="AK66" s="42" t="s">
        <v>45</v>
      </c>
      <c r="AL66" s="42" t="s">
        <v>45</v>
      </c>
      <c r="AM66" s="42" t="s">
        <v>45</v>
      </c>
      <c r="AN66" s="42" t="s">
        <v>45</v>
      </c>
      <c r="AO66" s="43" t="s">
        <v>45</v>
      </c>
      <c r="AP66" s="42" t="s">
        <v>68</v>
      </c>
      <c r="AQ66" s="42">
        <v>8</v>
      </c>
      <c r="AR66" s="50" t="s">
        <v>353</v>
      </c>
      <c r="AS66" s="45" t="s">
        <v>718</v>
      </c>
      <c r="AT66" s="45" t="s">
        <v>705</v>
      </c>
      <c r="AU66" s="46">
        <f>($O$3*(L66-$O$1)/$O$2+$P$3*(M66-$P$1)/$P$2+$Q$3*(N66-$P$1)/$Q$2)/SUM($O$3:$Q$3)</f>
        <v>-2.5060525215375429</v>
      </c>
      <c r="AV66" s="46">
        <f>($O$3*(O66-$O$1)/$O$2+$P$3*(P66-$P$1)/$P$2+$Q$3*(Q66-$Q$1)/$Q$2)/SUM($O$3:$Q$3)</f>
        <v>-0.36013945009227222</v>
      </c>
      <c r="AW66" s="47">
        <f>COUNT(R66:AO66)/2</f>
        <v>3</v>
      </c>
      <c r="AX66" s="47">
        <f>IF(AND(S66&lt;&gt;"-",S66&gt;5),1,0)+IF(AND(U66&lt;&gt;"-",U66&gt;5),1,0)+IF(AND(W66&lt;&gt;"-",W66&gt;5),1,0)+IF(AND(Y66&lt;&gt;"-",Y66&gt;5),1,0)+IF(AND(AA66&lt;&gt;"-",AA66&gt;5),1,0)+IF(AND(AC66&lt;&gt;"-",AC66&gt;5),1,0)+IF(AND(AE66&lt;&gt;"-",AE66&gt;5),1,0)+IF(AND(AG66&lt;&gt;"-",AG66&gt;5),1,0)+IF(AND(AI66&lt;&gt;"-",AI66&gt;5),1,0)+IF(AND(AK66&lt;&gt;"-",AK66&gt;5),1,0)+IF(AND(AM66&lt;&gt;"-",AM66&gt;5),1,0)+IF(AND(AO66&lt;&gt;"-",AO66&gt;5),1,0)</f>
        <v>2</v>
      </c>
      <c r="AY66" s="48">
        <f>VLOOKUP(AP66,COND!$A$10:$B$32,2,FALSE)</f>
        <v>0.95</v>
      </c>
      <c r="AZ66" s="46">
        <f>($AU$3*AU66+$AV$3*AV66+$AW$3*AW66+$AX$3*AX66)*AY66*IF(AQ66&lt;5,0.95,IF(AQ66&lt;7,0.975,1))+$I$3*VLOOKUP(I66,COND!$A$2:$E$7,4,FALSE)+$J$3*VLOOKUP(J66,COND!$A$2:$E$7,2,FALSE)+$K$3*VLOOKUP(K66,COND!$A$2:$E$7,3,FALSE)+IF(BB66="SP",$BB$3,0)+IF($AW66&lt;3,-5,0)+IF(AND($B$2&gt;0,$E66&lt;20),$B$2*25,0)</f>
        <v>48.4812004691547</v>
      </c>
      <c r="BA66" s="49">
        <f>STANDARDIZE(AZ66,AVERAGE($AZ$5:$AZ$570),STDEVP($AZ$5:$AZ$570))</f>
        <v>1.4451630348703284</v>
      </c>
      <c r="BB66" s="47" t="str">
        <f>IF(OR(AND(AQ66&gt;7,AX66&gt;1),AND(AQ66&gt;4,AW66&gt;2)),"SP","RP")</f>
        <v>SP</v>
      </c>
      <c r="BC66" s="47"/>
      <c r="BD66" s="47"/>
      <c r="BE66" s="47"/>
      <c r="BF66" s="47" t="str">
        <f>IF(AVERAGE($O66:$Q66)&gt;=6,"Likely",IF(AVERAGE($O66:$Q66)&gt;=4,"Possible","Unlikely"))</f>
        <v>Possible</v>
      </c>
      <c r="BG66" s="47"/>
      <c r="BH66" s="47" t="str">
        <f>INDEX(Table5[[#All],[Ovr]],MATCH(Table3[[#This Row],[PID]],Table5[[#All],[PID]],0))</f>
        <v/>
      </c>
      <c r="BI66" s="47" t="str">
        <f>INDEX(Table5[[#All],[Rnd]],MATCH(Table3[[#This Row],[PID]],Table5[[#All],[PID]],0))</f>
        <v/>
      </c>
      <c r="BJ66" s="47" t="str">
        <f>INDEX(Table5[[#All],[Pick]],MATCH(Table3[[#This Row],[PID]],Table5[[#All],[PID]],0))</f>
        <v/>
      </c>
      <c r="BK66" s="47" t="str">
        <f>INDEX(Table5[[#All],[Team]],MATCH(Table3[[#This Row],[PID]],Table5[[#All],[PID]],0))</f>
        <v/>
      </c>
      <c r="BL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" spans="1:64" ht="15" customHeight="1" x14ac:dyDescent="0.25">
      <c r="A67" s="42">
        <v>9014</v>
      </c>
      <c r="B67" s="42" t="s">
        <v>430</v>
      </c>
      <c r="C67" s="42" t="s">
        <v>1475</v>
      </c>
      <c r="D67" s="42" t="s">
        <v>1218</v>
      </c>
      <c r="E67" s="42">
        <v>17</v>
      </c>
      <c r="F67" s="42" t="s">
        <v>42</v>
      </c>
      <c r="G67" s="42" t="s">
        <v>42</v>
      </c>
      <c r="H67" s="43" t="s">
        <v>711</v>
      </c>
      <c r="I67" s="44" t="s">
        <v>43</v>
      </c>
      <c r="J67" s="42" t="s">
        <v>43</v>
      </c>
      <c r="K67" s="43" t="s">
        <v>43</v>
      </c>
      <c r="L67" s="42">
        <v>3</v>
      </c>
      <c r="M67" s="42">
        <v>2</v>
      </c>
      <c r="N67" s="43">
        <v>1</v>
      </c>
      <c r="O67" s="42">
        <v>6</v>
      </c>
      <c r="P67" s="42">
        <v>5</v>
      </c>
      <c r="Q67" s="43">
        <v>2</v>
      </c>
      <c r="R67" s="42">
        <v>5</v>
      </c>
      <c r="S67" s="42">
        <v>7</v>
      </c>
      <c r="T67" s="42">
        <v>1</v>
      </c>
      <c r="U67" s="42">
        <v>2</v>
      </c>
      <c r="V67" s="42">
        <v>3</v>
      </c>
      <c r="W67" s="42">
        <v>9</v>
      </c>
      <c r="X67" s="42" t="s">
        <v>45</v>
      </c>
      <c r="Y67" s="42" t="s">
        <v>45</v>
      </c>
      <c r="Z67" s="42" t="s">
        <v>45</v>
      </c>
      <c r="AA67" s="42" t="s">
        <v>45</v>
      </c>
      <c r="AB67" s="42" t="s">
        <v>45</v>
      </c>
      <c r="AC67" s="42" t="s">
        <v>45</v>
      </c>
      <c r="AD67" s="42" t="s">
        <v>45</v>
      </c>
      <c r="AE67" s="42" t="s">
        <v>45</v>
      </c>
      <c r="AF67" s="42" t="s">
        <v>45</v>
      </c>
      <c r="AG67" s="42" t="s">
        <v>45</v>
      </c>
      <c r="AH67" s="42" t="s">
        <v>45</v>
      </c>
      <c r="AI67" s="42" t="s">
        <v>45</v>
      </c>
      <c r="AJ67" s="42" t="s">
        <v>45</v>
      </c>
      <c r="AK67" s="42" t="s">
        <v>45</v>
      </c>
      <c r="AL67" s="42" t="s">
        <v>45</v>
      </c>
      <c r="AM67" s="42" t="s">
        <v>45</v>
      </c>
      <c r="AN67" s="42" t="s">
        <v>45</v>
      </c>
      <c r="AO67" s="43" t="s">
        <v>45</v>
      </c>
      <c r="AP67" s="42" t="s">
        <v>54</v>
      </c>
      <c r="AQ67" s="42">
        <v>4</v>
      </c>
      <c r="AR67" s="50" t="s">
        <v>353</v>
      </c>
      <c r="AS67" s="45" t="s">
        <v>718</v>
      </c>
      <c r="AT67" s="45" t="s">
        <v>705</v>
      </c>
      <c r="AU67" s="46">
        <f>($O$3*(L67-$O$1)/$O$2+$P$3*(M67-$P$1)/$P$2+$Q$3*(N67-$P$1)/$Q$2)/SUM($O$3:$Q$3)</f>
        <v>-2.1166698725191955</v>
      </c>
      <c r="AV67" s="46">
        <f>($O$3*(O67-$O$1)/$O$2+$P$3*(P67-$P$1)/$P$2+$Q$3*(Q67-$Q$1)/$Q$2)/SUM($O$3:$Q$3)</f>
        <v>-0.25848543291032677</v>
      </c>
      <c r="AW67" s="47">
        <f>COUNT(R67:AO67)/2</f>
        <v>3</v>
      </c>
      <c r="AX67" s="47">
        <f>IF(AND(S67&lt;&gt;"-",S67&gt;5),1,0)+IF(AND(U67&lt;&gt;"-",U67&gt;5),1,0)+IF(AND(W67&lt;&gt;"-",W67&gt;5),1,0)+IF(AND(Y67&lt;&gt;"-",Y67&gt;5),1,0)+IF(AND(AA67&lt;&gt;"-",AA67&gt;5),1,0)+IF(AND(AC67&lt;&gt;"-",AC67&gt;5),1,0)+IF(AND(AE67&lt;&gt;"-",AE67&gt;5),1,0)+IF(AND(AG67&lt;&gt;"-",AG67&gt;5),1,0)+IF(AND(AI67&lt;&gt;"-",AI67&gt;5),1,0)+IF(AND(AK67&lt;&gt;"-",AK67&gt;5),1,0)+IF(AND(AM67&lt;&gt;"-",AM67&gt;5),1,0)+IF(AND(AO67&lt;&gt;"-",AO67&gt;5),1,0)</f>
        <v>2</v>
      </c>
      <c r="AY67" s="48">
        <f>VLOOKUP(AP67,COND!$A$10:$B$32,2,FALSE)</f>
        <v>1.0249999999999999</v>
      </c>
      <c r="AZ67" s="46">
        <f>($AU$3*AU67+$AV$3*AV67+$AW$3*AW67+$AX$3*AX67)*AY67*IF(AQ67&lt;5,0.95,IF(AQ67&lt;7,0.975,1))+$I$3*VLOOKUP(I67,COND!$A$2:$E$7,4,FALSE)+$J$3*VLOOKUP(J67,COND!$A$2:$E$7,2,FALSE)+$K$3*VLOOKUP(K67,COND!$A$2:$E$7,3,FALSE)+IF(BB67="SP",$BB$3,0)+IF($AW67&lt;3,-5,0)+IF(AND($B$2&gt;0,$E67&lt;20),$B$2*25,0)</f>
        <v>48.448774736398278</v>
      </c>
      <c r="BA67" s="49">
        <f>STANDARDIZE(AZ67,AVERAGE($AZ$5:$AZ$570),STDEVP($AZ$5:$AZ$570))</f>
        <v>1.4421894565860698</v>
      </c>
      <c r="BB67" s="47" t="str">
        <f>IF(OR(AND(AQ67&gt;7,AX67&gt;1),AND(AQ67&gt;4,AW67&gt;2)),"SP","RP")</f>
        <v>RP</v>
      </c>
      <c r="BC67" s="47"/>
      <c r="BD67" s="47"/>
      <c r="BE67" s="47"/>
      <c r="BF67" s="47" t="str">
        <f>IF(AVERAGE($O67:$Q67)&gt;=6,"Likely",IF(AVERAGE($O67:$Q67)&gt;=4,"Possible","Unlikely"))</f>
        <v>Possible</v>
      </c>
      <c r="BG67" s="47"/>
      <c r="BH67" s="47" t="str">
        <f>INDEX(Table5[[#All],[Ovr]],MATCH(Table3[[#This Row],[PID]],Table5[[#All],[PID]],0))</f>
        <v/>
      </c>
      <c r="BI67" s="47" t="str">
        <f>INDEX(Table5[[#All],[Rnd]],MATCH(Table3[[#This Row],[PID]],Table5[[#All],[PID]],0))</f>
        <v/>
      </c>
      <c r="BJ67" s="47" t="str">
        <f>INDEX(Table5[[#All],[Pick]],MATCH(Table3[[#This Row],[PID]],Table5[[#All],[PID]],0))</f>
        <v/>
      </c>
      <c r="BK67" s="47" t="str">
        <f>INDEX(Table5[[#All],[Team]],MATCH(Table3[[#This Row],[PID]],Table5[[#All],[PID]],0))</f>
        <v/>
      </c>
      <c r="BL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8" spans="1:64" ht="15" customHeight="1" x14ac:dyDescent="0.25">
      <c r="A68" s="42">
        <v>12269</v>
      </c>
      <c r="B68" s="42" t="s">
        <v>430</v>
      </c>
      <c r="C68" s="42" t="s">
        <v>454</v>
      </c>
      <c r="D68" s="42" t="s">
        <v>157</v>
      </c>
      <c r="E68" s="42">
        <v>18</v>
      </c>
      <c r="F68" s="42" t="s">
        <v>62</v>
      </c>
      <c r="G68" s="42" t="s">
        <v>42</v>
      </c>
      <c r="H68" s="43" t="s">
        <v>721</v>
      </c>
      <c r="I68" s="44" t="s">
        <v>43</v>
      </c>
      <c r="J68" s="42" t="s">
        <v>47</v>
      </c>
      <c r="K68" s="43" t="s">
        <v>43</v>
      </c>
      <c r="L68" s="42">
        <v>3</v>
      </c>
      <c r="M68" s="42">
        <v>2</v>
      </c>
      <c r="N68" s="43">
        <v>1</v>
      </c>
      <c r="O68" s="42">
        <v>6</v>
      </c>
      <c r="P68" s="42">
        <v>3</v>
      </c>
      <c r="Q68" s="43">
        <v>3</v>
      </c>
      <c r="R68" s="42">
        <v>5</v>
      </c>
      <c r="S68" s="42">
        <v>8</v>
      </c>
      <c r="T68" s="42">
        <v>1</v>
      </c>
      <c r="U68" s="42">
        <v>1</v>
      </c>
      <c r="V68" s="42" t="s">
        <v>45</v>
      </c>
      <c r="W68" s="42" t="s">
        <v>45</v>
      </c>
      <c r="X68" s="42">
        <v>3</v>
      </c>
      <c r="Y68" s="42">
        <v>7</v>
      </c>
      <c r="Z68" s="42" t="s">
        <v>45</v>
      </c>
      <c r="AA68" s="42" t="s">
        <v>45</v>
      </c>
      <c r="AB68" s="42" t="s">
        <v>45</v>
      </c>
      <c r="AC68" s="42" t="s">
        <v>45</v>
      </c>
      <c r="AD68" s="42" t="s">
        <v>45</v>
      </c>
      <c r="AE68" s="42" t="s">
        <v>45</v>
      </c>
      <c r="AF68" s="42" t="s">
        <v>45</v>
      </c>
      <c r="AG68" s="42" t="s">
        <v>45</v>
      </c>
      <c r="AH68" s="42" t="s">
        <v>45</v>
      </c>
      <c r="AI68" s="42" t="s">
        <v>45</v>
      </c>
      <c r="AJ68" s="42" t="s">
        <v>45</v>
      </c>
      <c r="AK68" s="42" t="s">
        <v>45</v>
      </c>
      <c r="AL68" s="42" t="s">
        <v>45</v>
      </c>
      <c r="AM68" s="42" t="s">
        <v>45</v>
      </c>
      <c r="AN68" s="42" t="s">
        <v>45</v>
      </c>
      <c r="AO68" s="43" t="s">
        <v>45</v>
      </c>
      <c r="AP68" s="42" t="s">
        <v>54</v>
      </c>
      <c r="AQ68" s="42">
        <v>6</v>
      </c>
      <c r="AR68" s="50" t="s">
        <v>353</v>
      </c>
      <c r="AS68" s="45" t="s">
        <v>758</v>
      </c>
      <c r="AT68" s="45" t="s">
        <v>705</v>
      </c>
      <c r="AU68" s="46">
        <f>($O$3*(L68-$O$1)/$O$2+$P$3*(M68-$P$1)/$P$2+$Q$3*(N68-$P$1)/$Q$2)/SUM($O$3:$Q$3)</f>
        <v>-2.1166698725191955</v>
      </c>
      <c r="AV68" s="46">
        <f>($O$3*(O68-$O$1)/$O$2+$P$3*(P68-$P$1)/$P$2+$Q$3*(Q68-$Q$1)/$Q$2)/SUM($O$3:$Q$3)</f>
        <v>-0.40702829971632715</v>
      </c>
      <c r="AW68" s="47">
        <f>COUNT(R68:AO68)/2</f>
        <v>3</v>
      </c>
      <c r="AX68" s="47">
        <f>IF(AND(S68&lt;&gt;"-",S68&gt;5),1,0)+IF(AND(U68&lt;&gt;"-",U68&gt;5),1,0)+IF(AND(W68&lt;&gt;"-",W68&gt;5),1,0)+IF(AND(Y68&lt;&gt;"-",Y68&gt;5),1,0)+IF(AND(AA68&lt;&gt;"-",AA68&gt;5),1,0)+IF(AND(AC68&lt;&gt;"-",AC68&gt;5),1,0)+IF(AND(AE68&lt;&gt;"-",AE68&gt;5),1,0)+IF(AND(AG68&lt;&gt;"-",AG68&gt;5),1,0)+IF(AND(AI68&lt;&gt;"-",AI68&gt;5),1,0)+IF(AND(AK68&lt;&gt;"-",AK68&gt;5),1,0)+IF(AND(AM68&lt;&gt;"-",AM68&gt;5),1,0)+IF(AND(AO68&lt;&gt;"-",AO68&gt;5),1,0)</f>
        <v>2</v>
      </c>
      <c r="AY68" s="48">
        <f>VLOOKUP(AP68,COND!$A$10:$B$32,2,FALSE)</f>
        <v>1.0249999999999999</v>
      </c>
      <c r="AZ68" s="46">
        <f>($AU$3*AU68+$AV$3*AV68+$AW$3*AW68+$AX$3*AX68)*AY68*IF(AQ68&lt;5,0.95,IF(AQ68&lt;7,0.975,1))+$I$3*VLOOKUP(I68,COND!$A$2:$E$7,4,FALSE)+$J$3*VLOOKUP(J68,COND!$A$2:$E$7,2,FALSE)+$K$3*VLOOKUP(K68,COND!$A$2:$E$7,3,FALSE)+IF(BB68="SP",$BB$3,0)+IF($AW68&lt;3,-5,0)+IF(AND($B$2&gt;0,$E68&lt;20),$B$2*25,0)</f>
        <v>47.73895246865014</v>
      </c>
      <c r="BA68" s="49">
        <f>STANDARDIZE(AZ68,AVERAGE($AZ$5:$AZ$570),STDEVP($AZ$5:$AZ$570))</f>
        <v>1.3770957207894308</v>
      </c>
      <c r="BB68" s="47" t="str">
        <f>IF(OR(AND(AQ68&gt;7,AX68&gt;1),AND(AQ68&gt;4,AW68&gt;2)),"SP","RP")</f>
        <v>SP</v>
      </c>
      <c r="BC68" s="47"/>
      <c r="BD68" s="47"/>
      <c r="BE68" s="47"/>
      <c r="BF68" s="47" t="str">
        <f>IF(AVERAGE($O68:$Q68)&gt;=6,"Likely",IF(AVERAGE($O68:$Q68)&gt;=4,"Possible","Unlikely"))</f>
        <v>Possible</v>
      </c>
      <c r="BG68" s="47"/>
      <c r="BH68" s="47" t="str">
        <f>INDEX(Table5[[#All],[Ovr]],MATCH(Table3[[#This Row],[PID]],Table5[[#All],[PID]],0))</f>
        <v/>
      </c>
      <c r="BI68" s="47" t="str">
        <f>INDEX(Table5[[#All],[Rnd]],MATCH(Table3[[#This Row],[PID]],Table5[[#All],[PID]],0))</f>
        <v/>
      </c>
      <c r="BJ68" s="47" t="str">
        <f>INDEX(Table5[[#All],[Pick]],MATCH(Table3[[#This Row],[PID]],Table5[[#All],[PID]],0))</f>
        <v/>
      </c>
      <c r="BK68" s="47" t="str">
        <f>INDEX(Table5[[#All],[Team]],MATCH(Table3[[#This Row],[PID]],Table5[[#All],[PID]],0))</f>
        <v/>
      </c>
      <c r="BL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9" spans="1:64" ht="15" customHeight="1" x14ac:dyDescent="0.25">
      <c r="A69" s="42">
        <v>8387</v>
      </c>
      <c r="B69" s="42" t="s">
        <v>24</v>
      </c>
      <c r="C69" s="42" t="s">
        <v>1033</v>
      </c>
      <c r="D69" s="42" t="s">
        <v>1420</v>
      </c>
      <c r="E69" s="42">
        <v>18</v>
      </c>
      <c r="F69" s="42" t="s">
        <v>42</v>
      </c>
      <c r="G69" s="42" t="s">
        <v>42</v>
      </c>
      <c r="H69" s="43" t="s">
        <v>711</v>
      </c>
      <c r="I69" s="44" t="s">
        <v>43</v>
      </c>
      <c r="J69" s="42" t="s">
        <v>43</v>
      </c>
      <c r="K69" s="43" t="s">
        <v>43</v>
      </c>
      <c r="L69" s="42">
        <v>1</v>
      </c>
      <c r="M69" s="42">
        <v>2</v>
      </c>
      <c r="N69" s="43">
        <v>1</v>
      </c>
      <c r="O69" s="42">
        <v>4</v>
      </c>
      <c r="P69" s="42">
        <v>4</v>
      </c>
      <c r="Q69" s="43">
        <v>4</v>
      </c>
      <c r="R69" s="42">
        <v>4</v>
      </c>
      <c r="S69" s="42">
        <v>7</v>
      </c>
      <c r="T69" s="42">
        <v>1</v>
      </c>
      <c r="U69" s="42">
        <v>1</v>
      </c>
      <c r="V69" s="42" t="s">
        <v>45</v>
      </c>
      <c r="W69" s="42" t="s">
        <v>45</v>
      </c>
      <c r="X69" s="42" t="s">
        <v>45</v>
      </c>
      <c r="Y69" s="42" t="s">
        <v>45</v>
      </c>
      <c r="Z69" s="42" t="s">
        <v>45</v>
      </c>
      <c r="AA69" s="42" t="s">
        <v>45</v>
      </c>
      <c r="AB69" s="42">
        <v>3</v>
      </c>
      <c r="AC69" s="42">
        <v>6</v>
      </c>
      <c r="AD69" s="42" t="s">
        <v>45</v>
      </c>
      <c r="AE69" s="42" t="s">
        <v>45</v>
      </c>
      <c r="AF69" s="42" t="s">
        <v>45</v>
      </c>
      <c r="AG69" s="42" t="s">
        <v>45</v>
      </c>
      <c r="AH69" s="42" t="s">
        <v>45</v>
      </c>
      <c r="AI69" s="42" t="s">
        <v>45</v>
      </c>
      <c r="AJ69" s="42" t="s">
        <v>45</v>
      </c>
      <c r="AK69" s="42" t="s">
        <v>45</v>
      </c>
      <c r="AL69" s="42" t="s">
        <v>45</v>
      </c>
      <c r="AM69" s="42" t="s">
        <v>45</v>
      </c>
      <c r="AN69" s="42" t="s">
        <v>45</v>
      </c>
      <c r="AO69" s="43" t="s">
        <v>45</v>
      </c>
      <c r="AP69" s="42" t="s">
        <v>57</v>
      </c>
      <c r="AQ69" s="42">
        <v>8</v>
      </c>
      <c r="AR69" s="50" t="s">
        <v>353</v>
      </c>
      <c r="AS69" s="45" t="s">
        <v>599</v>
      </c>
      <c r="AT69" s="45" t="s">
        <v>705</v>
      </c>
      <c r="AU69" s="46">
        <f>($O$3*(L69-$O$1)/$O$2+$P$3*(M69-$P$1)/$P$2+$Q$3*(N69-$P$1)/$Q$2)/SUM($O$3:$Q$3)</f>
        <v>-2.5060525215375429</v>
      </c>
      <c r="AV69" s="46">
        <f>($O$3*(O69-$O$1)/$O$2+$P$3*(P69-$P$1)/$P$2+$Q$3*(Q69-$Q$1)/$Q$2)/SUM($O$3:$Q$3)</f>
        <v>-0.35865866625050846</v>
      </c>
      <c r="AW69" s="47">
        <f>COUNT(R69:AO69)/2</f>
        <v>3</v>
      </c>
      <c r="AX69" s="47">
        <f>IF(AND(S69&lt;&gt;"-",S69&gt;5),1,0)+IF(AND(U69&lt;&gt;"-",U69&gt;5),1,0)+IF(AND(W69&lt;&gt;"-",W69&gt;5),1,0)+IF(AND(Y69&lt;&gt;"-",Y69&gt;5),1,0)+IF(AND(AA69&lt;&gt;"-",AA69&gt;5),1,0)+IF(AND(AC69&lt;&gt;"-",AC69&gt;5),1,0)+IF(AND(AE69&lt;&gt;"-",AE69&gt;5),1,0)+IF(AND(AG69&lt;&gt;"-",AG69&gt;5),1,0)+IF(AND(AI69&lt;&gt;"-",AI69&gt;5),1,0)+IF(AND(AK69&lt;&gt;"-",AK69&gt;5),1,0)+IF(AND(AM69&lt;&gt;"-",AM69&gt;5),1,0)+IF(AND(AO69&lt;&gt;"-",AO69&gt;5),1,0)</f>
        <v>2</v>
      </c>
      <c r="AY69" s="48">
        <f>VLOOKUP(AP69,COND!$A$10:$B$32,2,FALSE)</f>
        <v>1</v>
      </c>
      <c r="AZ69" s="46">
        <f>($AU$3*AU69+$AV$3*AV69+$AW$3*AW69+$AX$3*AX69)*AY69*IF(AQ69&lt;5,0.95,IF(AQ69&lt;7,0.975,1))+$I$3*VLOOKUP(I69,COND!$A$2:$E$7,4,FALSE)+$J$3*VLOOKUP(J69,COND!$A$2:$E$7,2,FALSE)+$K$3*VLOOKUP(K69,COND!$A$2:$E$7,3,FALSE)+IF(BB69="SP",$BB$3,0)+IF($AW69&lt;3,-5,0)+IF(AND($B$2&gt;0,$E69&lt;20),$B$2*25,0)</f>
        <v>48.325616170682324</v>
      </c>
      <c r="BA69" s="49">
        <f>STANDARDIZE(AZ69,AVERAGE($AZ$5:$AZ$570),STDEVP($AZ$5:$AZ$570))</f>
        <v>1.4308952897191438</v>
      </c>
      <c r="BB69" s="47" t="str">
        <f>IF(OR(AND(AQ69&gt;7,AX69&gt;1),AND(AQ69&gt;4,AW69&gt;2)),"SP","RP")</f>
        <v>SP</v>
      </c>
      <c r="BC69" s="47"/>
      <c r="BD69" s="47"/>
      <c r="BE69" s="47"/>
      <c r="BF69" s="47" t="str">
        <f>IF(AVERAGE($O69:$Q69)&gt;=6,"Likely",IF(AVERAGE($O69:$Q69)&gt;=4,"Possible","Unlikely"))</f>
        <v>Possible</v>
      </c>
      <c r="BG69" s="47"/>
      <c r="BH69" s="47" t="str">
        <f>INDEX(Table5[[#All],[Ovr]],MATCH(Table3[[#This Row],[PID]],Table5[[#All],[PID]],0))</f>
        <v/>
      </c>
      <c r="BI69" s="47" t="str">
        <f>INDEX(Table5[[#All],[Rnd]],MATCH(Table3[[#This Row],[PID]],Table5[[#All],[PID]],0))</f>
        <v/>
      </c>
      <c r="BJ69" s="47" t="str">
        <f>INDEX(Table5[[#All],[Pick]],MATCH(Table3[[#This Row],[PID]],Table5[[#All],[PID]],0))</f>
        <v/>
      </c>
      <c r="BK69" s="47" t="str">
        <f>INDEX(Table5[[#All],[Team]],MATCH(Table3[[#This Row],[PID]],Table5[[#All],[PID]],0))</f>
        <v/>
      </c>
      <c r="BL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70" spans="1:64" ht="15" customHeight="1" x14ac:dyDescent="0.25">
      <c r="A70" s="42">
        <v>10240</v>
      </c>
      <c r="B70" s="42" t="s">
        <v>430</v>
      </c>
      <c r="C70" s="42" t="s">
        <v>724</v>
      </c>
      <c r="D70" s="42" t="s">
        <v>1549</v>
      </c>
      <c r="E70" s="42">
        <v>21</v>
      </c>
      <c r="F70" s="42" t="s">
        <v>53</v>
      </c>
      <c r="G70" s="42" t="s">
        <v>53</v>
      </c>
      <c r="H70" s="43" t="s">
        <v>709</v>
      </c>
      <c r="I70" s="44" t="s">
        <v>43</v>
      </c>
      <c r="J70" s="42" t="s">
        <v>43</v>
      </c>
      <c r="K70" s="43" t="s">
        <v>43</v>
      </c>
      <c r="L70" s="42">
        <v>3</v>
      </c>
      <c r="M70" s="42">
        <v>2</v>
      </c>
      <c r="N70" s="43">
        <v>3</v>
      </c>
      <c r="O70" s="42">
        <v>5</v>
      </c>
      <c r="P70" s="42">
        <v>3</v>
      </c>
      <c r="Q70" s="43">
        <v>5</v>
      </c>
      <c r="R70" s="42">
        <v>5</v>
      </c>
      <c r="S70" s="42">
        <v>7</v>
      </c>
      <c r="T70" s="42">
        <v>1</v>
      </c>
      <c r="U70" s="42">
        <v>1</v>
      </c>
      <c r="V70" s="42">
        <v>3</v>
      </c>
      <c r="W70" s="42">
        <v>5</v>
      </c>
      <c r="X70" s="42" t="s">
        <v>45</v>
      </c>
      <c r="Y70" s="42" t="s">
        <v>45</v>
      </c>
      <c r="Z70" s="42" t="s">
        <v>45</v>
      </c>
      <c r="AA70" s="42" t="s">
        <v>45</v>
      </c>
      <c r="AB70" s="42">
        <v>4</v>
      </c>
      <c r="AC70" s="42">
        <v>5</v>
      </c>
      <c r="AD70" s="42" t="s">
        <v>45</v>
      </c>
      <c r="AE70" s="42" t="s">
        <v>45</v>
      </c>
      <c r="AF70" s="42">
        <v>4</v>
      </c>
      <c r="AG70" s="42">
        <v>5</v>
      </c>
      <c r="AH70" s="42" t="s">
        <v>45</v>
      </c>
      <c r="AI70" s="42" t="s">
        <v>45</v>
      </c>
      <c r="AJ70" s="42" t="s">
        <v>45</v>
      </c>
      <c r="AK70" s="42" t="s">
        <v>45</v>
      </c>
      <c r="AL70" s="42" t="s">
        <v>45</v>
      </c>
      <c r="AM70" s="42" t="s">
        <v>45</v>
      </c>
      <c r="AN70" s="42" t="s">
        <v>45</v>
      </c>
      <c r="AO70" s="43" t="s">
        <v>45</v>
      </c>
      <c r="AP70" s="42" t="s">
        <v>54</v>
      </c>
      <c r="AQ70" s="42">
        <v>5</v>
      </c>
      <c r="AR70" s="50" t="s">
        <v>352</v>
      </c>
      <c r="AS70" s="45" t="s">
        <v>45</v>
      </c>
      <c r="AT70" s="45" t="s">
        <v>47</v>
      </c>
      <c r="AU70" s="46">
        <f>($O$3*(L70-$O$1)/$O$2+$P$3*(M70-$P$1)/$P$2+$Q$3*(N70-$P$1)/$Q$2)/SUM($O$3:$Q$3)</f>
        <v>-1.6320287404109748</v>
      </c>
      <c r="AV70" s="46">
        <f>($O$3*(O70-$O$1)/$O$2+$P$3*(P70-$P$1)/$P$2+$Q$3*(Q70-$Q$1)/$Q$2)/SUM($O$3:$Q$3)</f>
        <v>-0.11707849211727993</v>
      </c>
      <c r="AW70" s="47">
        <f>COUNT(R70:AO70)/2</f>
        <v>5</v>
      </c>
      <c r="AX70" s="47">
        <f>IF(AND(S70&lt;&gt;"-",S70&gt;5),1,0)+IF(AND(U70&lt;&gt;"-",U70&gt;5),1,0)+IF(AND(W70&lt;&gt;"-",W70&gt;5),1,0)+IF(AND(Y70&lt;&gt;"-",Y70&gt;5),1,0)+IF(AND(AA70&lt;&gt;"-",AA70&gt;5),1,0)+IF(AND(AC70&lt;&gt;"-",AC70&gt;5),1,0)+IF(AND(AE70&lt;&gt;"-",AE70&gt;5),1,0)+IF(AND(AG70&lt;&gt;"-",AG70&gt;5),1,0)+IF(AND(AI70&lt;&gt;"-",AI70&gt;5),1,0)+IF(AND(AK70&lt;&gt;"-",AK70&gt;5),1,0)+IF(AND(AM70&lt;&gt;"-",AM70&gt;5),1,0)+IF(AND(AO70&lt;&gt;"-",AO70&gt;5),1,0)</f>
        <v>1</v>
      </c>
      <c r="AY70" s="48">
        <f>VLOOKUP(AP70,COND!$A$10:$B$32,2,FALSE)</f>
        <v>1.0249999999999999</v>
      </c>
      <c r="AZ70" s="46">
        <f>($AU$3*AU70+$AV$3*AV70+$AW$3*AW70+$AX$3*AX70)*AY70*IF(AQ70&lt;5,0.95,IF(AQ70&lt;7,0.975,1))+$I$3*VLOOKUP(I70,COND!$A$2:$E$7,4,FALSE)+$J$3*VLOOKUP(J70,COND!$A$2:$E$7,2,FALSE)+$K$3*VLOOKUP(K70,COND!$A$2:$E$7,3,FALSE)+IF(BB70="SP",$BB$3,0)+IF($AW70&lt;3,-5,0)+IF(AND($B$2&gt;0,$E70&lt;20),$B$2*25,0)</f>
        <v>48.081348144316223</v>
      </c>
      <c r="BA70" s="49">
        <f>STANDARDIZE(AZ70,AVERAGE($AZ$5:$AZ$570),STDEVP($AZ$5:$AZ$570))</f>
        <v>1.4084948676778855</v>
      </c>
      <c r="BB70" s="47" t="str">
        <f>IF(OR(AND(AQ70&gt;7,AX70&gt;1),AND(AQ70&gt;4,AW70&gt;2)),"SP","RP")</f>
        <v>SP</v>
      </c>
      <c r="BC70" s="47"/>
      <c r="BD70" s="47"/>
      <c r="BE70" s="47"/>
      <c r="BF70" s="47" t="str">
        <f>IF(AVERAGE($O70:$Q70)&gt;=6,"Likely",IF(AVERAGE($O70:$Q70)&gt;=4,"Possible","Unlikely"))</f>
        <v>Possible</v>
      </c>
      <c r="BG70" s="47"/>
      <c r="BH70" s="47" t="str">
        <f>INDEX(Table5[[#All],[Ovr]],MATCH(Table3[[#This Row],[PID]],Table5[[#All],[PID]],0))</f>
        <v/>
      </c>
      <c r="BI70" s="47" t="str">
        <f>INDEX(Table5[[#All],[Rnd]],MATCH(Table3[[#This Row],[PID]],Table5[[#All],[PID]],0))</f>
        <v/>
      </c>
      <c r="BJ70" s="47" t="str">
        <f>INDEX(Table5[[#All],[Pick]],MATCH(Table3[[#This Row],[PID]],Table5[[#All],[PID]],0))</f>
        <v/>
      </c>
      <c r="BK70" s="47" t="str">
        <f>INDEX(Table5[[#All],[Team]],MATCH(Table3[[#This Row],[PID]],Table5[[#All],[PID]],0))</f>
        <v/>
      </c>
      <c r="BL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71" spans="1:64" ht="15" customHeight="1" x14ac:dyDescent="0.25">
      <c r="A71" s="42">
        <v>10504</v>
      </c>
      <c r="B71" s="42" t="s">
        <v>24</v>
      </c>
      <c r="C71" s="42" t="s">
        <v>179</v>
      </c>
      <c r="D71" s="42" t="s">
        <v>209</v>
      </c>
      <c r="E71" s="42">
        <v>21</v>
      </c>
      <c r="F71" s="42" t="s">
        <v>53</v>
      </c>
      <c r="G71" s="42" t="s">
        <v>53</v>
      </c>
      <c r="H71" s="43" t="s">
        <v>709</v>
      </c>
      <c r="I71" s="44" t="s">
        <v>43</v>
      </c>
      <c r="J71" s="42" t="s">
        <v>43</v>
      </c>
      <c r="K71" s="43" t="s">
        <v>43</v>
      </c>
      <c r="L71" s="42">
        <v>3</v>
      </c>
      <c r="M71" s="42">
        <v>2</v>
      </c>
      <c r="N71" s="43">
        <v>1</v>
      </c>
      <c r="O71" s="42">
        <v>6</v>
      </c>
      <c r="P71" s="42">
        <v>4</v>
      </c>
      <c r="Q71" s="43">
        <v>3</v>
      </c>
      <c r="R71" s="42">
        <v>5</v>
      </c>
      <c r="S71" s="42">
        <v>7</v>
      </c>
      <c r="T71" s="42" t="s">
        <v>45</v>
      </c>
      <c r="U71" s="42" t="s">
        <v>45</v>
      </c>
      <c r="V71" s="42">
        <v>4</v>
      </c>
      <c r="W71" s="42">
        <v>7</v>
      </c>
      <c r="X71" s="42">
        <v>4</v>
      </c>
      <c r="Y71" s="42">
        <v>8</v>
      </c>
      <c r="Z71" s="42" t="s">
        <v>45</v>
      </c>
      <c r="AA71" s="42" t="s">
        <v>45</v>
      </c>
      <c r="AB71" s="42" t="s">
        <v>45</v>
      </c>
      <c r="AC71" s="42" t="s">
        <v>45</v>
      </c>
      <c r="AD71" s="42" t="s">
        <v>45</v>
      </c>
      <c r="AE71" s="42" t="s">
        <v>45</v>
      </c>
      <c r="AF71" s="42" t="s">
        <v>45</v>
      </c>
      <c r="AG71" s="42" t="s">
        <v>45</v>
      </c>
      <c r="AH71" s="42" t="s">
        <v>45</v>
      </c>
      <c r="AI71" s="42" t="s">
        <v>45</v>
      </c>
      <c r="AJ71" s="42" t="s">
        <v>45</v>
      </c>
      <c r="AK71" s="42" t="s">
        <v>45</v>
      </c>
      <c r="AL71" s="42" t="s">
        <v>45</v>
      </c>
      <c r="AM71" s="42" t="s">
        <v>45</v>
      </c>
      <c r="AN71" s="42" t="s">
        <v>45</v>
      </c>
      <c r="AO71" s="43" t="s">
        <v>45</v>
      </c>
      <c r="AP71" s="42" t="s">
        <v>54</v>
      </c>
      <c r="AQ71" s="42">
        <v>8</v>
      </c>
      <c r="AR71" s="50" t="s">
        <v>353</v>
      </c>
      <c r="AS71" s="45" t="s">
        <v>608</v>
      </c>
      <c r="AT71" s="45" t="s">
        <v>47</v>
      </c>
      <c r="AU71" s="46">
        <f>($O$3*(L71-$O$1)/$O$2+$P$3*(M71-$P$1)/$P$2+$Q$3*(N71-$P$1)/$Q$2)/SUM($O$3:$Q$3)</f>
        <v>-2.1166698725191955</v>
      </c>
      <c r="AV71" s="46">
        <f>($O$3*(O71-$O$1)/$O$2+$P$3*(P71-$P$1)/$P$2+$Q$3*(Q71-$Q$1)/$Q$2)/SUM($O$3:$Q$3)</f>
        <v>-0.21159658328627182</v>
      </c>
      <c r="AW71" s="47">
        <f>COUNT(R71:AO71)/2</f>
        <v>3</v>
      </c>
      <c r="AX71" s="47">
        <f>IF(AND(S71&lt;&gt;"-",S71&gt;5),1,0)+IF(AND(U71&lt;&gt;"-",U71&gt;5),1,0)+IF(AND(W71&lt;&gt;"-",W71&gt;5),1,0)+IF(AND(Y71&lt;&gt;"-",Y71&gt;5),1,0)+IF(AND(AA71&lt;&gt;"-",AA71&gt;5),1,0)+IF(AND(AC71&lt;&gt;"-",AC71&gt;5),1,0)+IF(AND(AE71&lt;&gt;"-",AE71&gt;5),1,0)+IF(AND(AG71&lt;&gt;"-",AG71&gt;5),1,0)+IF(AND(AI71&lt;&gt;"-",AI71&gt;5),1,0)+IF(AND(AK71&lt;&gt;"-",AK71&gt;5),1,0)+IF(AND(AM71&lt;&gt;"-",AM71&gt;5),1,0)+IF(AND(AO71&lt;&gt;"-",AO71&gt;5),1,0)</f>
        <v>3</v>
      </c>
      <c r="AY71" s="48">
        <f>VLOOKUP(AP71,COND!$A$10:$B$32,2,FALSE)</f>
        <v>1.0249999999999999</v>
      </c>
      <c r="AZ71" s="46">
        <f>($AU$3*AU71+$AV$3*AV71+$AW$3*AW71+$AX$3*AX71)*AY71*IF(AQ71&lt;5,0.95,IF(AQ71&lt;7,0.975,1))+$I$3*VLOOKUP(I71,COND!$A$2:$E$7,4,FALSE)+$J$3*VLOOKUP(J71,COND!$A$2:$E$7,2,FALSE)+$K$3*VLOOKUP(K71,COND!$A$2:$E$7,3,FALSE)+IF(BB71="SP",$BB$3,0)+IF($AW71&lt;3,-5,0)+IF(AND($B$2&gt;0,$E71&lt;20),$B$2*25,0)</f>
        <v>47.60960271876499</v>
      </c>
      <c r="BA71" s="49">
        <f>STANDARDIZE(AZ71,AVERAGE($AZ$5:$AZ$570),STDEVP($AZ$5:$AZ$570))</f>
        <v>1.365233795872512</v>
      </c>
      <c r="BB71" s="47" t="str">
        <f>IF(OR(AND(AQ71&gt;7,AX71&gt;1),AND(AQ71&gt;4,AW71&gt;2)),"SP","RP")</f>
        <v>SP</v>
      </c>
      <c r="BC71" s="47"/>
      <c r="BD71" s="47"/>
      <c r="BE71" s="47"/>
      <c r="BF71" s="47" t="str">
        <f>IF(AVERAGE($O71:$Q71)&gt;=6,"Likely",IF(AVERAGE($O71:$Q71)&gt;=4,"Possible","Unlikely"))</f>
        <v>Possible</v>
      </c>
      <c r="BG71" s="47"/>
      <c r="BH71" s="47" t="str">
        <f>INDEX(Table5[[#All],[Ovr]],MATCH(Table3[[#This Row],[PID]],Table5[[#All],[PID]],0))</f>
        <v/>
      </c>
      <c r="BI71" s="47" t="str">
        <f>INDEX(Table5[[#All],[Rnd]],MATCH(Table3[[#This Row],[PID]],Table5[[#All],[PID]],0))</f>
        <v/>
      </c>
      <c r="BJ71" s="47" t="str">
        <f>INDEX(Table5[[#All],[Pick]],MATCH(Table3[[#This Row],[PID]],Table5[[#All],[PID]],0))</f>
        <v/>
      </c>
      <c r="BK71" s="47" t="str">
        <f>INDEX(Table5[[#All],[Team]],MATCH(Table3[[#This Row],[PID]],Table5[[#All],[PID]],0))</f>
        <v/>
      </c>
      <c r="BL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72" spans="1:64" ht="15" customHeight="1" x14ac:dyDescent="0.25">
      <c r="A72" s="42">
        <v>9476</v>
      </c>
      <c r="B72" s="42" t="s">
        <v>24</v>
      </c>
      <c r="C72" s="42" t="s">
        <v>159</v>
      </c>
      <c r="D72" s="42" t="s">
        <v>1491</v>
      </c>
      <c r="E72" s="42">
        <v>21</v>
      </c>
      <c r="F72" s="42" t="s">
        <v>53</v>
      </c>
      <c r="G72" s="42" t="s">
        <v>53</v>
      </c>
      <c r="H72" s="43" t="s">
        <v>703</v>
      </c>
      <c r="I72" s="44" t="s">
        <v>43</v>
      </c>
      <c r="J72" s="42" t="s">
        <v>43</v>
      </c>
      <c r="K72" s="43" t="s">
        <v>43</v>
      </c>
      <c r="L72" s="42">
        <v>2</v>
      </c>
      <c r="M72" s="42">
        <v>2</v>
      </c>
      <c r="N72" s="43">
        <v>2</v>
      </c>
      <c r="O72" s="42">
        <v>6</v>
      </c>
      <c r="P72" s="42">
        <v>4</v>
      </c>
      <c r="Q72" s="43">
        <v>3</v>
      </c>
      <c r="R72" s="42">
        <v>5</v>
      </c>
      <c r="S72" s="42">
        <v>6</v>
      </c>
      <c r="T72" s="42">
        <v>2</v>
      </c>
      <c r="U72" s="42">
        <v>7</v>
      </c>
      <c r="V72" s="42">
        <v>4</v>
      </c>
      <c r="W72" s="42">
        <v>9</v>
      </c>
      <c r="X72" s="42" t="s">
        <v>45</v>
      </c>
      <c r="Y72" s="42" t="s">
        <v>45</v>
      </c>
      <c r="Z72" s="42" t="s">
        <v>45</v>
      </c>
      <c r="AA72" s="42" t="s">
        <v>45</v>
      </c>
      <c r="AB72" s="42" t="s">
        <v>45</v>
      </c>
      <c r="AC72" s="42" t="s">
        <v>45</v>
      </c>
      <c r="AD72" s="42" t="s">
        <v>45</v>
      </c>
      <c r="AE72" s="42" t="s">
        <v>45</v>
      </c>
      <c r="AF72" s="42" t="s">
        <v>45</v>
      </c>
      <c r="AG72" s="42" t="s">
        <v>45</v>
      </c>
      <c r="AH72" s="42" t="s">
        <v>45</v>
      </c>
      <c r="AI72" s="42" t="s">
        <v>45</v>
      </c>
      <c r="AJ72" s="42" t="s">
        <v>45</v>
      </c>
      <c r="AK72" s="42" t="s">
        <v>45</v>
      </c>
      <c r="AL72" s="42" t="s">
        <v>45</v>
      </c>
      <c r="AM72" s="42" t="s">
        <v>45</v>
      </c>
      <c r="AN72" s="42" t="s">
        <v>45</v>
      </c>
      <c r="AO72" s="43" t="s">
        <v>45</v>
      </c>
      <c r="AP72" s="42" t="s">
        <v>58</v>
      </c>
      <c r="AQ72" s="42">
        <v>9</v>
      </c>
      <c r="AR72" s="50" t="s">
        <v>353</v>
      </c>
      <c r="AS72" s="45" t="s">
        <v>617</v>
      </c>
      <c r="AT72" s="45" t="s">
        <v>705</v>
      </c>
      <c r="AU72" s="46">
        <f>($O$3*(L72-$O$1)/$O$2+$P$3*(M72-$P$1)/$P$2+$Q$3*(N72-$P$1)/$Q$2)/SUM($O$3:$Q$3)</f>
        <v>-2.0690406309742588</v>
      </c>
      <c r="AV72" s="46">
        <f>($O$3*(O72-$O$1)/$O$2+$P$3*(P72-$P$1)/$P$2+$Q$3*(Q72-$Q$1)/$Q$2)/SUM($O$3:$Q$3)</f>
        <v>-0.21159658328627182</v>
      </c>
      <c r="AW72" s="47">
        <f>COUNT(R72:AO72)/2</f>
        <v>3</v>
      </c>
      <c r="AX72" s="47">
        <f>IF(AND(S72&lt;&gt;"-",S72&gt;5),1,0)+IF(AND(U72&lt;&gt;"-",U72&gt;5),1,0)+IF(AND(W72&lt;&gt;"-",W72&gt;5),1,0)+IF(AND(Y72&lt;&gt;"-",Y72&gt;5),1,0)+IF(AND(AA72&lt;&gt;"-",AA72&gt;5),1,0)+IF(AND(AC72&lt;&gt;"-",AC72&gt;5),1,0)+IF(AND(AE72&lt;&gt;"-",AE72&gt;5),1,0)+IF(AND(AG72&lt;&gt;"-",AG72&gt;5),1,0)+IF(AND(AI72&lt;&gt;"-",AI72&gt;5),1,0)+IF(AND(AK72&lt;&gt;"-",AK72&gt;5),1,0)+IF(AND(AM72&lt;&gt;"-",AM72&gt;5),1,0)+IF(AND(AO72&lt;&gt;"-",AO72&gt;5),1,0)</f>
        <v>3</v>
      </c>
      <c r="AY72" s="48">
        <f>VLOOKUP(AP72,COND!$A$10:$B$32,2,FALSE)</f>
        <v>1</v>
      </c>
      <c r="AZ72" s="46">
        <f>($AU$3*AU72+$AV$3*AV72+$AW$3*AW72+$AX$3*AX72)*AY72*IF(AQ72&lt;5,0.95,IF(AQ72&lt;7,0.975,1))+$I$3*VLOOKUP(I72,COND!$A$2:$E$7,4,FALSE)+$J$3*VLOOKUP(J72,COND!$A$2:$E$7,2,FALSE)+$K$3*VLOOKUP(K72,COND!$A$2:$E$7,3,FALSE)+IF(BB72="SP",$BB$3,0)+IF($AW72&lt;3,-5,0)+IF(AND($B$2&gt;0,$E72&lt;20),$B$2*25,0)</f>
        <v>47.604260208079708</v>
      </c>
      <c r="BA72" s="49">
        <f>STANDARDIZE(AZ72,AVERAGE($AZ$5:$AZ$570),STDEVP($AZ$5:$AZ$570))</f>
        <v>1.3647438648083012</v>
      </c>
      <c r="BB72" s="47" t="str">
        <f>IF(OR(AND(AQ72&gt;7,AX72&gt;1),AND(AQ72&gt;4,AW72&gt;2)),"SP","RP")</f>
        <v>SP</v>
      </c>
      <c r="BC72" s="47"/>
      <c r="BD72" s="47"/>
      <c r="BE72" s="47"/>
      <c r="BF72" s="47" t="str">
        <f>IF(AVERAGE($O72:$Q72)&gt;=6,"Likely",IF(AVERAGE($O72:$Q72)&gt;=4,"Possible","Unlikely"))</f>
        <v>Possible</v>
      </c>
      <c r="BG72" s="47"/>
      <c r="BH72" s="47" t="str">
        <f>INDEX(Table5[[#All],[Ovr]],MATCH(Table3[[#This Row],[PID]],Table5[[#All],[PID]],0))</f>
        <v/>
      </c>
      <c r="BI72" s="47" t="str">
        <f>INDEX(Table5[[#All],[Rnd]],MATCH(Table3[[#This Row],[PID]],Table5[[#All],[PID]],0))</f>
        <v/>
      </c>
      <c r="BJ72" s="47" t="str">
        <f>INDEX(Table5[[#All],[Pick]],MATCH(Table3[[#This Row],[PID]],Table5[[#All],[PID]],0))</f>
        <v/>
      </c>
      <c r="BK72" s="47" t="str">
        <f>INDEX(Table5[[#All],[Team]],MATCH(Table3[[#This Row],[PID]],Table5[[#All],[PID]],0))</f>
        <v/>
      </c>
      <c r="BL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73" spans="1:64" ht="15" customHeight="1" x14ac:dyDescent="0.25">
      <c r="A73" s="42">
        <v>13533</v>
      </c>
      <c r="B73" s="42" t="s">
        <v>24</v>
      </c>
      <c r="C73" s="42" t="s">
        <v>915</v>
      </c>
      <c r="D73" s="42" t="s">
        <v>740</v>
      </c>
      <c r="E73" s="42">
        <v>18</v>
      </c>
      <c r="F73" s="42" t="s">
        <v>42</v>
      </c>
      <c r="G73" s="42" t="s">
        <v>42</v>
      </c>
      <c r="H73" s="43" t="s">
        <v>709</v>
      </c>
      <c r="I73" s="44" t="s">
        <v>43</v>
      </c>
      <c r="J73" s="42" t="s">
        <v>43</v>
      </c>
      <c r="K73" s="43" t="s">
        <v>43</v>
      </c>
      <c r="L73" s="42">
        <v>1</v>
      </c>
      <c r="M73" s="42">
        <v>3</v>
      </c>
      <c r="N73" s="43">
        <v>1</v>
      </c>
      <c r="O73" s="42">
        <v>4</v>
      </c>
      <c r="P73" s="42">
        <v>5</v>
      </c>
      <c r="Q73" s="43">
        <v>3</v>
      </c>
      <c r="R73" s="42">
        <v>4</v>
      </c>
      <c r="S73" s="42">
        <v>6</v>
      </c>
      <c r="T73" s="42" t="s">
        <v>45</v>
      </c>
      <c r="U73" s="42" t="s">
        <v>45</v>
      </c>
      <c r="V73" s="42">
        <v>2</v>
      </c>
      <c r="W73" s="42">
        <v>6</v>
      </c>
      <c r="X73" s="42">
        <v>2</v>
      </c>
      <c r="Y73" s="42">
        <v>5</v>
      </c>
      <c r="Z73" s="42" t="s">
        <v>45</v>
      </c>
      <c r="AA73" s="42" t="s">
        <v>45</v>
      </c>
      <c r="AB73" s="42" t="s">
        <v>45</v>
      </c>
      <c r="AC73" s="42" t="s">
        <v>45</v>
      </c>
      <c r="AD73" s="42" t="s">
        <v>45</v>
      </c>
      <c r="AE73" s="42" t="s">
        <v>45</v>
      </c>
      <c r="AF73" s="42" t="s">
        <v>45</v>
      </c>
      <c r="AG73" s="42" t="s">
        <v>45</v>
      </c>
      <c r="AH73" s="42" t="s">
        <v>45</v>
      </c>
      <c r="AI73" s="42" t="s">
        <v>45</v>
      </c>
      <c r="AJ73" s="42" t="s">
        <v>45</v>
      </c>
      <c r="AK73" s="42" t="s">
        <v>45</v>
      </c>
      <c r="AL73" s="42" t="s">
        <v>45</v>
      </c>
      <c r="AM73" s="42" t="s">
        <v>45</v>
      </c>
      <c r="AN73" s="42" t="s">
        <v>45</v>
      </c>
      <c r="AO73" s="43" t="s">
        <v>45</v>
      </c>
      <c r="AP73" s="42" t="s">
        <v>57</v>
      </c>
      <c r="AQ73" s="42">
        <v>6</v>
      </c>
      <c r="AR73" s="50" t="s">
        <v>352</v>
      </c>
      <c r="AS73" s="45" t="s">
        <v>599</v>
      </c>
      <c r="AT73" s="45" t="s">
        <v>47</v>
      </c>
      <c r="AU73" s="46">
        <f>($O$3*(L73-$O$1)/$O$2+$P$3*(M73-$P$1)/$P$2+$Q$3*(N73-$P$1)/$Q$2)/SUM($O$3:$Q$3)</f>
        <v>-2.310620805107487</v>
      </c>
      <c r="AV73" s="46">
        <f>($O$3*(O73-$O$1)/$O$2+$P$3*(P73-$P$1)/$P$2+$Q$3*(Q73-$Q$1)/$Q$2)/SUM($O$3:$Q$3)</f>
        <v>-0.40554751587456339</v>
      </c>
      <c r="AW73" s="47">
        <f>COUNT(R73:AO73)/2</f>
        <v>3</v>
      </c>
      <c r="AX73" s="47">
        <f>IF(AND(S73&lt;&gt;"-",S73&gt;5),1,0)+IF(AND(U73&lt;&gt;"-",U73&gt;5),1,0)+IF(AND(W73&lt;&gt;"-",W73&gt;5),1,0)+IF(AND(Y73&lt;&gt;"-",Y73&gt;5),1,0)+IF(AND(AA73&lt;&gt;"-",AA73&gt;5),1,0)+IF(AND(AC73&lt;&gt;"-",AC73&gt;5),1,0)+IF(AND(AE73&lt;&gt;"-",AE73&gt;5),1,0)+IF(AND(AG73&lt;&gt;"-",AG73&gt;5),1,0)+IF(AND(AI73&lt;&gt;"-",AI73&gt;5),1,0)+IF(AND(AK73&lt;&gt;"-",AK73&gt;5),1,0)+IF(AND(AM73&lt;&gt;"-",AM73&gt;5),1,0)+IF(AND(AO73&lt;&gt;"-",AO73&gt;5),1,0)</f>
        <v>2</v>
      </c>
      <c r="AY73" s="48">
        <f>VLOOKUP(AP73,COND!$A$10:$B$32,2,FALSE)</f>
        <v>1</v>
      </c>
      <c r="AZ73" s="46">
        <f>($AU$3*AU73+$AV$3*AV73+$AW$3*AW73+$AX$3*AX73)*AY73*IF(AQ73&lt;5,0.95,IF(AQ73&lt;7,0.975,1))+$I$3*VLOOKUP(I73,COND!$A$2:$E$7,4,FALSE)+$J$3*VLOOKUP(J73,COND!$A$2:$E$7,2,FALSE)+$K$3*VLOOKUP(K73,COND!$A$2:$E$7,3,FALSE)+IF(BB73="SP",$BB$3,0)+IF($AW73&lt;3,-5,0)+IF(AND($B$2&gt;0,$E73&lt;20),$B$2*25,0)</f>
        <v>47.541252383450058</v>
      </c>
      <c r="BA73" s="49">
        <f>STANDARDIZE(AZ73,AVERAGE($AZ$5:$AZ$570),STDEVP($AZ$5:$AZ$570))</f>
        <v>1.3589657779886599</v>
      </c>
      <c r="BB73" s="47" t="str">
        <f>IF(OR(AND(AQ73&gt;7,AX73&gt;1),AND(AQ73&gt;4,AW73&gt;2)),"SP","RP")</f>
        <v>SP</v>
      </c>
      <c r="BC73" s="47"/>
      <c r="BD73" s="47"/>
      <c r="BE73" s="47"/>
      <c r="BF73" s="47" t="str">
        <f>IF(AVERAGE($O73:$Q73)&gt;=6,"Likely",IF(AVERAGE($O73:$Q73)&gt;=4,"Possible","Unlikely"))</f>
        <v>Possible</v>
      </c>
      <c r="BG73" s="47"/>
      <c r="BH73" s="47" t="str">
        <f>INDEX(Table5[[#All],[Ovr]],MATCH(Table3[[#This Row],[PID]],Table5[[#All],[PID]],0))</f>
        <v/>
      </c>
      <c r="BI73" s="47" t="str">
        <f>INDEX(Table5[[#All],[Rnd]],MATCH(Table3[[#This Row],[PID]],Table5[[#All],[PID]],0))</f>
        <v/>
      </c>
      <c r="BJ73" s="47" t="str">
        <f>INDEX(Table5[[#All],[Pick]],MATCH(Table3[[#This Row],[PID]],Table5[[#All],[PID]],0))</f>
        <v/>
      </c>
      <c r="BK73" s="47" t="str">
        <f>INDEX(Table5[[#All],[Team]],MATCH(Table3[[#This Row],[PID]],Table5[[#All],[PID]],0))</f>
        <v/>
      </c>
      <c r="BL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74" spans="1:64" ht="15" customHeight="1" x14ac:dyDescent="0.25">
      <c r="A74" s="42">
        <v>8126</v>
      </c>
      <c r="B74" s="42" t="s">
        <v>24</v>
      </c>
      <c r="C74" s="42" t="s">
        <v>645</v>
      </c>
      <c r="D74" s="42" t="s">
        <v>714</v>
      </c>
      <c r="E74" s="42">
        <v>18</v>
      </c>
      <c r="F74" s="42" t="s">
        <v>42</v>
      </c>
      <c r="G74" s="42" t="s">
        <v>42</v>
      </c>
      <c r="H74" s="43" t="s">
        <v>709</v>
      </c>
      <c r="I74" s="44" t="s">
        <v>43</v>
      </c>
      <c r="J74" s="42" t="s">
        <v>43</v>
      </c>
      <c r="K74" s="43" t="s">
        <v>44</v>
      </c>
      <c r="L74" s="42">
        <v>2</v>
      </c>
      <c r="M74" s="42">
        <v>2</v>
      </c>
      <c r="N74" s="43">
        <v>1</v>
      </c>
      <c r="O74" s="42">
        <v>4</v>
      </c>
      <c r="P74" s="42">
        <v>5</v>
      </c>
      <c r="Q74" s="43">
        <v>5</v>
      </c>
      <c r="R74" s="42">
        <v>5</v>
      </c>
      <c r="S74" s="42">
        <v>8</v>
      </c>
      <c r="T74" s="42" t="s">
        <v>45</v>
      </c>
      <c r="U74" s="42" t="s">
        <v>45</v>
      </c>
      <c r="V74" s="42">
        <v>2</v>
      </c>
      <c r="W74" s="42">
        <v>5</v>
      </c>
      <c r="X74" s="42" t="s">
        <v>45</v>
      </c>
      <c r="Y74" s="42" t="s">
        <v>45</v>
      </c>
      <c r="Z74" s="42" t="s">
        <v>45</v>
      </c>
      <c r="AA74" s="42" t="s">
        <v>45</v>
      </c>
      <c r="AB74" s="42" t="s">
        <v>45</v>
      </c>
      <c r="AC74" s="42" t="s">
        <v>45</v>
      </c>
      <c r="AD74" s="42" t="s">
        <v>45</v>
      </c>
      <c r="AE74" s="42" t="s">
        <v>45</v>
      </c>
      <c r="AF74" s="42" t="s">
        <v>45</v>
      </c>
      <c r="AG74" s="42" t="s">
        <v>45</v>
      </c>
      <c r="AH74" s="42" t="s">
        <v>45</v>
      </c>
      <c r="AI74" s="42" t="s">
        <v>45</v>
      </c>
      <c r="AJ74" s="42" t="s">
        <v>45</v>
      </c>
      <c r="AK74" s="42" t="s">
        <v>45</v>
      </c>
      <c r="AL74" s="42" t="s">
        <v>45</v>
      </c>
      <c r="AM74" s="42" t="s">
        <v>45</v>
      </c>
      <c r="AN74" s="42" t="s">
        <v>45</v>
      </c>
      <c r="AO74" s="43" t="s">
        <v>45</v>
      </c>
      <c r="AP74" s="42" t="s">
        <v>61</v>
      </c>
      <c r="AQ74" s="42">
        <v>3</v>
      </c>
      <c r="AR74" s="50" t="s">
        <v>352</v>
      </c>
      <c r="AS74" s="45" t="s">
        <v>602</v>
      </c>
      <c r="AT74" s="45" t="s">
        <v>47</v>
      </c>
      <c r="AU74" s="46">
        <f>($O$3*(L74-$O$1)/$O$2+$P$3*(M74-$P$1)/$P$2+$Q$3*(N74-$P$1)/$Q$2)/SUM($O$3:$Q$3)</f>
        <v>-2.311361197028369</v>
      </c>
      <c r="AV74" s="46">
        <f>($O$3*(O74-$O$1)/$O$2+$P$3*(P74-$P$1)/$P$2+$Q$3*(Q74-$Q$1)/$Q$2)/SUM($O$3:$Q$3)</f>
        <v>7.9093616233657377E-2</v>
      </c>
      <c r="AW74" s="47">
        <f>COUNT(R74:AO74)/2</f>
        <v>2</v>
      </c>
      <c r="AX74" s="47">
        <f>IF(AND(S74&lt;&gt;"-",S74&gt;5),1,0)+IF(AND(U74&lt;&gt;"-",U74&gt;5),1,0)+IF(AND(W74&lt;&gt;"-",W74&gt;5),1,0)+IF(AND(Y74&lt;&gt;"-",Y74&gt;5),1,0)+IF(AND(AA74&lt;&gt;"-",AA74&gt;5),1,0)+IF(AND(AC74&lt;&gt;"-",AC74&gt;5),1,0)+IF(AND(AE74&lt;&gt;"-",AE74&gt;5),1,0)+IF(AND(AG74&lt;&gt;"-",AG74&gt;5),1,0)+IF(AND(AI74&lt;&gt;"-",AI74&gt;5),1,0)+IF(AND(AK74&lt;&gt;"-",AK74&gt;5),1,0)+IF(AND(AM74&lt;&gt;"-",AM74&gt;5),1,0)+IF(AND(AO74&lt;&gt;"-",AO74&gt;5),1,0)</f>
        <v>1</v>
      </c>
      <c r="AY74" s="48">
        <f>VLOOKUP(AP74,COND!$A$10:$B$32,2,FALSE)</f>
        <v>1.05</v>
      </c>
      <c r="AZ74" s="46">
        <f>($AU$3*AU74+$AV$3*AV74+$AW$3*AW74+$AX$3*AX74)*AY74*IF(AQ74&lt;5,0.95,IF(AQ74&lt;7,0.975,1))+$I$3*VLOOKUP(I74,COND!$A$2:$E$7,4,FALSE)+$J$3*VLOOKUP(J74,COND!$A$2:$E$7,2,FALSE)+$K$3*VLOOKUP(K74,COND!$A$2:$E$7,3,FALSE)+IF(BB74="SP",$BB$3,0)+IF($AW74&lt;3,-5,0)+IF(AND($B$2&gt;0,$E74&lt;20),$B$2*25,0)</f>
        <v>48.061176085054299</v>
      </c>
      <c r="BA74" s="49">
        <f>STANDARDIZE(AZ74,AVERAGE($AZ$5:$AZ$570),STDEVP($AZ$5:$AZ$570))</f>
        <v>1.4066450036263736</v>
      </c>
      <c r="BB74" s="47" t="str">
        <f>IF(OR(AND(AQ74&gt;7,AX74&gt;1),AND(AQ74&gt;4,AW74&gt;2)),"SP","RP")</f>
        <v>RP</v>
      </c>
      <c r="BC74" s="47"/>
      <c r="BD74" s="47"/>
      <c r="BE74" s="47"/>
      <c r="BF74" s="47" t="str">
        <f>IF(AVERAGE($O74:$Q74)&gt;=6,"Likely",IF(AVERAGE($O74:$Q74)&gt;=4,"Possible","Unlikely"))</f>
        <v>Possible</v>
      </c>
      <c r="BG74" s="47"/>
      <c r="BH74" s="47" t="str">
        <f>INDEX(Table5[[#All],[Ovr]],MATCH(Table3[[#This Row],[PID]],Table5[[#All],[PID]],0))</f>
        <v/>
      </c>
      <c r="BI74" s="47" t="str">
        <f>INDEX(Table5[[#All],[Rnd]],MATCH(Table3[[#This Row],[PID]],Table5[[#All],[PID]],0))</f>
        <v/>
      </c>
      <c r="BJ74" s="47" t="str">
        <f>INDEX(Table5[[#All],[Pick]],MATCH(Table3[[#This Row],[PID]],Table5[[#All],[PID]],0))</f>
        <v/>
      </c>
      <c r="BK74" s="47" t="str">
        <f>INDEX(Table5[[#All],[Team]],MATCH(Table3[[#This Row],[PID]],Table5[[#All],[PID]],0))</f>
        <v/>
      </c>
      <c r="BL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75" spans="1:64" ht="15" customHeight="1" x14ac:dyDescent="0.25">
      <c r="A75" s="42">
        <v>9537</v>
      </c>
      <c r="B75" s="42" t="s">
        <v>24</v>
      </c>
      <c r="C75" s="42" t="s">
        <v>915</v>
      </c>
      <c r="D75" s="42" t="s">
        <v>1490</v>
      </c>
      <c r="E75" s="42">
        <v>21</v>
      </c>
      <c r="F75" s="42" t="s">
        <v>53</v>
      </c>
      <c r="G75" s="42" t="s">
        <v>53</v>
      </c>
      <c r="H75" s="43" t="s">
        <v>703</v>
      </c>
      <c r="I75" s="44" t="s">
        <v>43</v>
      </c>
      <c r="J75" s="42" t="s">
        <v>47</v>
      </c>
      <c r="K75" s="43" t="s">
        <v>44</v>
      </c>
      <c r="L75" s="42">
        <v>3</v>
      </c>
      <c r="M75" s="42">
        <v>3</v>
      </c>
      <c r="N75" s="43">
        <v>1</v>
      </c>
      <c r="O75" s="42">
        <v>6</v>
      </c>
      <c r="P75" s="42">
        <v>5</v>
      </c>
      <c r="Q75" s="43">
        <v>2</v>
      </c>
      <c r="R75" s="42" t="s">
        <v>45</v>
      </c>
      <c r="S75" s="42" t="s">
        <v>45</v>
      </c>
      <c r="T75" s="42">
        <v>2</v>
      </c>
      <c r="U75" s="42">
        <v>8</v>
      </c>
      <c r="V75" s="42">
        <v>3</v>
      </c>
      <c r="W75" s="42">
        <v>3</v>
      </c>
      <c r="X75" s="42">
        <v>4</v>
      </c>
      <c r="Y75" s="42">
        <v>8</v>
      </c>
      <c r="Z75" s="42" t="s">
        <v>45</v>
      </c>
      <c r="AA75" s="42" t="s">
        <v>45</v>
      </c>
      <c r="AB75" s="42" t="s">
        <v>45</v>
      </c>
      <c r="AC75" s="42" t="s">
        <v>45</v>
      </c>
      <c r="AD75" s="42">
        <v>5</v>
      </c>
      <c r="AE75" s="42">
        <v>7</v>
      </c>
      <c r="AF75" s="42" t="s">
        <v>45</v>
      </c>
      <c r="AG75" s="42" t="s">
        <v>45</v>
      </c>
      <c r="AH75" s="42" t="s">
        <v>45</v>
      </c>
      <c r="AI75" s="42" t="s">
        <v>45</v>
      </c>
      <c r="AJ75" s="42" t="s">
        <v>45</v>
      </c>
      <c r="AK75" s="42" t="s">
        <v>45</v>
      </c>
      <c r="AL75" s="42" t="s">
        <v>45</v>
      </c>
      <c r="AM75" s="42" t="s">
        <v>45</v>
      </c>
      <c r="AN75" s="42" t="s">
        <v>45</v>
      </c>
      <c r="AO75" s="43" t="s">
        <v>45</v>
      </c>
      <c r="AP75" s="42" t="s">
        <v>60</v>
      </c>
      <c r="AQ75" s="42">
        <v>9</v>
      </c>
      <c r="AR75" s="50" t="s">
        <v>353</v>
      </c>
      <c r="AS75" s="45" t="s">
        <v>429</v>
      </c>
      <c r="AT75" s="45" t="s">
        <v>47</v>
      </c>
      <c r="AU75" s="46">
        <f>($O$3*(L75-$O$1)/$O$2+$P$3*(M75-$P$1)/$P$2+$Q$3*(N75-$P$1)/$Q$2)/SUM($O$3:$Q$3)</f>
        <v>-1.9212381560891401</v>
      </c>
      <c r="AV75" s="46">
        <f>($O$3*(O75-$O$1)/$O$2+$P$3*(P75-$P$1)/$P$2+$Q$3*(Q75-$Q$1)/$Q$2)/SUM($O$3:$Q$3)</f>
        <v>-0.25848543291032677</v>
      </c>
      <c r="AW75" s="47">
        <f>COUNT(R75:AO75)/2</f>
        <v>4</v>
      </c>
      <c r="AX75" s="47">
        <f>IF(AND(S75&lt;&gt;"-",S75&gt;5),1,0)+IF(AND(U75&lt;&gt;"-",U75&gt;5),1,0)+IF(AND(W75&lt;&gt;"-",W75&gt;5),1,0)+IF(AND(Y75&lt;&gt;"-",Y75&gt;5),1,0)+IF(AND(AA75&lt;&gt;"-",AA75&gt;5),1,0)+IF(AND(AC75&lt;&gt;"-",AC75&gt;5),1,0)+IF(AND(AE75&lt;&gt;"-",AE75&gt;5),1,0)+IF(AND(AG75&lt;&gt;"-",AG75&gt;5),1,0)+IF(AND(AI75&lt;&gt;"-",AI75&gt;5),1,0)+IF(AND(AK75&lt;&gt;"-",AK75&gt;5),1,0)+IF(AND(AM75&lt;&gt;"-",AM75&gt;5),1,0)+IF(AND(AO75&lt;&gt;"-",AO75&gt;5),1,0)</f>
        <v>3</v>
      </c>
      <c r="AY75" s="48">
        <f>VLOOKUP(AP75,COND!$A$10:$B$32,2,FALSE)</f>
        <v>1.0249999999999999</v>
      </c>
      <c r="AZ75" s="46">
        <f>($AU$3*AU75+$AV$3*AV75+$AW$3*AW75+$AX$3*AX75)*AY75*IF(AQ75&lt;5,0.95,IF(AQ75&lt;7,0.975,1))+$I$3*VLOOKUP(I75,COND!$A$2:$E$7,4,FALSE)+$J$3*VLOOKUP(J75,COND!$A$2:$E$7,2,FALSE)+$K$3*VLOOKUP(K75,COND!$A$2:$E$7,3,FALSE)+IF(BB75="SP",$BB$3,0)+IF($AW75&lt;3,-5,0)+IF(AND($B$2&gt;0,$E75&lt;20),$B$2*25,0)</f>
        <v>47.200944803340022</v>
      </c>
      <c r="BA75" s="49">
        <f>STANDARDIZE(AZ75,AVERAGE($AZ$5:$AZ$570),STDEVP($AZ$5:$AZ$570))</f>
        <v>1.3277581183874028</v>
      </c>
      <c r="BB75" s="47" t="str">
        <f>IF(OR(AND(AQ75&gt;7,AX75&gt;1),AND(AQ75&gt;4,AW75&gt;2)),"SP","RP")</f>
        <v>SP</v>
      </c>
      <c r="BC75" s="47"/>
      <c r="BD75" s="47"/>
      <c r="BE75" s="47"/>
      <c r="BF75" s="47" t="str">
        <f>IF(AVERAGE($O75:$Q75)&gt;=6,"Likely",IF(AVERAGE($O75:$Q75)&gt;=4,"Possible","Unlikely"))</f>
        <v>Possible</v>
      </c>
      <c r="BG75" s="47"/>
      <c r="BH75" s="47" t="str">
        <f>INDEX(Table5[[#All],[Ovr]],MATCH(Table3[[#This Row],[PID]],Table5[[#All],[PID]],0))</f>
        <v/>
      </c>
      <c r="BI75" s="47" t="str">
        <f>INDEX(Table5[[#All],[Rnd]],MATCH(Table3[[#This Row],[PID]],Table5[[#All],[PID]],0))</f>
        <v/>
      </c>
      <c r="BJ75" s="47" t="str">
        <f>INDEX(Table5[[#All],[Pick]],MATCH(Table3[[#This Row],[PID]],Table5[[#All],[PID]],0))</f>
        <v/>
      </c>
      <c r="BK75" s="47" t="str">
        <f>INDEX(Table5[[#All],[Team]],MATCH(Table3[[#This Row],[PID]],Table5[[#All],[PID]],0))</f>
        <v/>
      </c>
      <c r="BL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76" spans="1:64" ht="15" customHeight="1" x14ac:dyDescent="0.25">
      <c r="A76" s="42">
        <v>13399</v>
      </c>
      <c r="B76" s="42" t="s">
        <v>430</v>
      </c>
      <c r="C76" s="42" t="s">
        <v>189</v>
      </c>
      <c r="D76" s="42" t="s">
        <v>777</v>
      </c>
      <c r="E76" s="42">
        <v>18</v>
      </c>
      <c r="F76" s="42" t="s">
        <v>42</v>
      </c>
      <c r="G76" s="42" t="s">
        <v>42</v>
      </c>
      <c r="H76" s="43" t="s">
        <v>709</v>
      </c>
      <c r="I76" s="44" t="s">
        <v>44</v>
      </c>
      <c r="J76" s="42" t="s">
        <v>44</v>
      </c>
      <c r="K76" s="43" t="s">
        <v>44</v>
      </c>
      <c r="L76" s="42">
        <v>3</v>
      </c>
      <c r="M76" s="42">
        <v>2</v>
      </c>
      <c r="N76" s="43">
        <v>1</v>
      </c>
      <c r="O76" s="42">
        <v>7</v>
      </c>
      <c r="P76" s="42">
        <v>5</v>
      </c>
      <c r="Q76" s="43">
        <v>2</v>
      </c>
      <c r="R76" s="42">
        <v>5</v>
      </c>
      <c r="S76" s="42">
        <v>8</v>
      </c>
      <c r="T76" s="42" t="s">
        <v>45</v>
      </c>
      <c r="U76" s="42" t="s">
        <v>45</v>
      </c>
      <c r="V76" s="42" t="s">
        <v>45</v>
      </c>
      <c r="W76" s="42" t="s">
        <v>45</v>
      </c>
      <c r="X76" s="42">
        <v>3</v>
      </c>
      <c r="Y76" s="42">
        <v>9</v>
      </c>
      <c r="Z76" s="42" t="s">
        <v>45</v>
      </c>
      <c r="AA76" s="42" t="s">
        <v>45</v>
      </c>
      <c r="AB76" s="42" t="s">
        <v>45</v>
      </c>
      <c r="AC76" s="42" t="s">
        <v>45</v>
      </c>
      <c r="AD76" s="42" t="s">
        <v>45</v>
      </c>
      <c r="AE76" s="42" t="s">
        <v>45</v>
      </c>
      <c r="AF76" s="42" t="s">
        <v>45</v>
      </c>
      <c r="AG76" s="42" t="s">
        <v>45</v>
      </c>
      <c r="AH76" s="42" t="s">
        <v>45</v>
      </c>
      <c r="AI76" s="42" t="s">
        <v>45</v>
      </c>
      <c r="AJ76" s="42" t="s">
        <v>45</v>
      </c>
      <c r="AK76" s="42" t="s">
        <v>45</v>
      </c>
      <c r="AL76" s="42" t="s">
        <v>45</v>
      </c>
      <c r="AM76" s="42" t="s">
        <v>45</v>
      </c>
      <c r="AN76" s="42" t="s">
        <v>45</v>
      </c>
      <c r="AO76" s="43" t="s">
        <v>45</v>
      </c>
      <c r="AP76" s="42" t="s">
        <v>54</v>
      </c>
      <c r="AQ76" s="42">
        <v>10</v>
      </c>
      <c r="AR76" s="50" t="s">
        <v>353</v>
      </c>
      <c r="AS76" s="45" t="s">
        <v>658</v>
      </c>
      <c r="AT76" s="45" t="s">
        <v>47</v>
      </c>
      <c r="AU76" s="46">
        <f>($O$3*(L76-$O$1)/$O$2+$P$3*(M76-$P$1)/$P$2+$Q$3*(N76-$P$1)/$Q$2)/SUM($O$3:$Q$3)</f>
        <v>-2.1166698725191955</v>
      </c>
      <c r="AV76" s="46">
        <f>($O$3*(O76-$O$1)/$O$2+$P$3*(P76-$P$1)/$P$2+$Q$3*(Q76-$Q$1)/$Q$2)/SUM($O$3:$Q$3)</f>
        <v>-6.3794108401153279E-2</v>
      </c>
      <c r="AW76" s="47">
        <f>COUNT(R76:AO76)/2</f>
        <v>2</v>
      </c>
      <c r="AX76" s="47">
        <f>IF(AND(S76&lt;&gt;"-",S76&gt;5),1,0)+IF(AND(U76&lt;&gt;"-",U76&gt;5),1,0)+IF(AND(W76&lt;&gt;"-",W76&gt;5),1,0)+IF(AND(Y76&lt;&gt;"-",Y76&gt;5),1,0)+IF(AND(AA76&lt;&gt;"-",AA76&gt;5),1,0)+IF(AND(AC76&lt;&gt;"-",AC76&gt;5),1,0)+IF(AND(AE76&lt;&gt;"-",AE76&gt;5),1,0)+IF(AND(AG76&lt;&gt;"-",AG76&gt;5),1,0)+IF(AND(AI76&lt;&gt;"-",AI76&gt;5),1,0)+IF(AND(AK76&lt;&gt;"-",AK76&gt;5),1,0)+IF(AND(AM76&lt;&gt;"-",AM76&gt;5),1,0)+IF(AND(AO76&lt;&gt;"-",AO76&gt;5),1,0)</f>
        <v>2</v>
      </c>
      <c r="AY76" s="48">
        <f>VLOOKUP(AP76,COND!$A$10:$B$32,2,FALSE)</f>
        <v>1.0249999999999999</v>
      </c>
      <c r="AZ76" s="46">
        <f>($AU$3*AU76+$AV$3*AV76+$AW$3*AW76+$AX$3*AX76)*AY76*IF(AQ76&lt;5,0.95,IF(AQ76&lt;7,0.975,1))+$I$3*VLOOKUP(I76,COND!$A$2:$E$7,4,FALSE)+$J$3*VLOOKUP(J76,COND!$A$2:$E$7,2,FALSE)+$K$3*VLOOKUP(K76,COND!$A$2:$E$7,3,FALSE)+IF(BB76="SP",$BB$3,0)+IF($AW76&lt;3,-5,0)+IF(AND($B$2&gt;0,$E76&lt;20),$B$2*25,0)</f>
        <v>48.095803453909923</v>
      </c>
      <c r="BA76" s="49">
        <f>STANDARDIZE(AZ76,AVERAGE($AZ$5:$AZ$570),STDEVP($AZ$5:$AZ$570))</f>
        <v>1.4098204813509194</v>
      </c>
      <c r="BB76" s="47" t="str">
        <f>IF(OR(AND(AQ76&gt;7,AX76&gt;1),AND(AQ76&gt;4,AW76&gt;2)),"SP","RP")</f>
        <v>SP</v>
      </c>
      <c r="BC76" s="47"/>
      <c r="BD76" s="47"/>
      <c r="BE76" s="47"/>
      <c r="BF76" s="47" t="str">
        <f>IF(AVERAGE($O76:$Q76)&gt;=6,"Likely",IF(AVERAGE($O76:$Q76)&gt;=4,"Possible","Unlikely"))</f>
        <v>Possible</v>
      </c>
      <c r="BG76" s="47"/>
      <c r="BH76" s="47" t="str">
        <f>INDEX(Table5[[#All],[Ovr]],MATCH(Table3[[#This Row],[PID]],Table5[[#All],[PID]],0))</f>
        <v/>
      </c>
      <c r="BI76" s="47" t="str">
        <f>INDEX(Table5[[#All],[Rnd]],MATCH(Table3[[#This Row],[PID]],Table5[[#All],[PID]],0))</f>
        <v/>
      </c>
      <c r="BJ76" s="47" t="str">
        <f>INDEX(Table5[[#All],[Pick]],MATCH(Table3[[#This Row],[PID]],Table5[[#All],[PID]],0))</f>
        <v/>
      </c>
      <c r="BK76" s="47" t="str">
        <f>INDEX(Table5[[#All],[Team]],MATCH(Table3[[#This Row],[PID]],Table5[[#All],[PID]],0))</f>
        <v/>
      </c>
      <c r="BL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77" spans="1:64" ht="15" customHeight="1" x14ac:dyDescent="0.25">
      <c r="A77" s="42">
        <v>15565</v>
      </c>
      <c r="B77" s="42" t="s">
        <v>24</v>
      </c>
      <c r="C77" s="42" t="s">
        <v>1398</v>
      </c>
      <c r="D77" s="42" t="s">
        <v>796</v>
      </c>
      <c r="E77" s="42">
        <v>18</v>
      </c>
      <c r="F77" s="42" t="s">
        <v>53</v>
      </c>
      <c r="G77" s="42" t="s">
        <v>53</v>
      </c>
      <c r="H77" s="43" t="s">
        <v>721</v>
      </c>
      <c r="I77" s="44" t="s">
        <v>43</v>
      </c>
      <c r="J77" s="42" t="s">
        <v>43</v>
      </c>
      <c r="K77" s="43" t="s">
        <v>47</v>
      </c>
      <c r="L77" s="42">
        <v>1</v>
      </c>
      <c r="M77" s="42">
        <v>2</v>
      </c>
      <c r="N77" s="43">
        <v>2</v>
      </c>
      <c r="O77" s="42">
        <v>3</v>
      </c>
      <c r="P77" s="42">
        <v>3</v>
      </c>
      <c r="Q77" s="43">
        <v>6</v>
      </c>
      <c r="R77" s="42">
        <v>3</v>
      </c>
      <c r="S77" s="42">
        <v>4</v>
      </c>
      <c r="T77" s="42" t="s">
        <v>45</v>
      </c>
      <c r="U77" s="42" t="s">
        <v>45</v>
      </c>
      <c r="V77" s="42" t="s">
        <v>45</v>
      </c>
      <c r="W77" s="42" t="s">
        <v>45</v>
      </c>
      <c r="X77" s="42" t="s">
        <v>45</v>
      </c>
      <c r="Y77" s="42" t="s">
        <v>45</v>
      </c>
      <c r="Z77" s="42" t="s">
        <v>45</v>
      </c>
      <c r="AA77" s="42" t="s">
        <v>45</v>
      </c>
      <c r="AB77" s="42">
        <v>2</v>
      </c>
      <c r="AC77" s="42">
        <v>5</v>
      </c>
      <c r="AD77" s="42" t="s">
        <v>45</v>
      </c>
      <c r="AE77" s="42" t="s">
        <v>45</v>
      </c>
      <c r="AF77" s="42" t="s">
        <v>45</v>
      </c>
      <c r="AG77" s="42" t="s">
        <v>45</v>
      </c>
      <c r="AH77" s="42">
        <v>1</v>
      </c>
      <c r="AI77" s="42">
        <v>5</v>
      </c>
      <c r="AJ77" s="42" t="s">
        <v>45</v>
      </c>
      <c r="AK77" s="42" t="s">
        <v>45</v>
      </c>
      <c r="AL77" s="42" t="s">
        <v>45</v>
      </c>
      <c r="AM77" s="42" t="s">
        <v>45</v>
      </c>
      <c r="AN77" s="42" t="s">
        <v>45</v>
      </c>
      <c r="AO77" s="43" t="s">
        <v>45</v>
      </c>
      <c r="AP77" s="42" t="s">
        <v>64</v>
      </c>
      <c r="AQ77" s="42">
        <v>9</v>
      </c>
      <c r="AR77" s="50" t="s">
        <v>353</v>
      </c>
      <c r="AS77" s="45" t="s">
        <v>718</v>
      </c>
      <c r="AT77" s="45" t="s">
        <v>47</v>
      </c>
      <c r="AU77" s="46">
        <f>($O$3*(L77-$O$1)/$O$2+$P$3*(M77-$P$1)/$P$2+$Q$3*(N77-$P$1)/$Q$2)/SUM($O$3:$Q$3)</f>
        <v>-2.2637319554834323</v>
      </c>
      <c r="AV77" s="46">
        <f>($O$3*(O77-$O$1)/$O$2+$P$3*(P77-$P$1)/$P$2+$Q$3*(Q77-$Q$1)/$Q$2)/SUM($O$3:$Q$3)</f>
        <v>-0.26414057508151656</v>
      </c>
      <c r="AW77" s="47">
        <f>COUNT(R77:AO77)/2</f>
        <v>3</v>
      </c>
      <c r="AX77" s="47">
        <f>IF(AND(S77&lt;&gt;"-",S77&gt;5),1,0)+IF(AND(U77&lt;&gt;"-",U77&gt;5),1,0)+IF(AND(W77&lt;&gt;"-",W77&gt;5),1,0)+IF(AND(Y77&lt;&gt;"-",Y77&gt;5),1,0)+IF(AND(AA77&lt;&gt;"-",AA77&gt;5),1,0)+IF(AND(AC77&lt;&gt;"-",AC77&gt;5),1,0)+IF(AND(AE77&lt;&gt;"-",AE77&gt;5),1,0)+IF(AND(AG77&lt;&gt;"-",AG77&gt;5),1,0)+IF(AND(AI77&lt;&gt;"-",AI77&gt;5),1,0)+IF(AND(AK77&lt;&gt;"-",AK77&gt;5),1,0)+IF(AND(AM77&lt;&gt;"-",AM77&gt;5),1,0)+IF(AND(AO77&lt;&gt;"-",AO77&gt;5),1,0)</f>
        <v>0</v>
      </c>
      <c r="AY77" s="48">
        <f>VLOOKUP(AP77,COND!$A$10:$B$32,2,FALSE)</f>
        <v>1</v>
      </c>
      <c r="AZ77" s="46">
        <f>($AU$3*AU77+$AV$3*AV77+$AW$3*AW77+$AX$3*AX77)*AY77*IF(AQ77&lt;5,0.95,IF(AQ77&lt;7,0.975,1))+$I$3*VLOOKUP(I77,COND!$A$2:$E$7,4,FALSE)+$J$3*VLOOKUP(J77,COND!$A$2:$E$7,2,FALSE)+$K$3*VLOOKUP(K77,COND!$A$2:$E$7,3,FALSE)+IF(BB77="SP",$BB$3,0)+IF($AW77&lt;3,-5,0)+IF(AND($B$2&gt;0,$E77&lt;20),$B$2*25,0)</f>
        <v>48.064442107272981</v>
      </c>
      <c r="BA77" s="49">
        <f>STANDARDIZE(AZ77,AVERAGE($AZ$5:$AZ$676),STDEVP($AZ$5:$AZ$676))</f>
        <v>1.5485744239683712</v>
      </c>
      <c r="BB77" s="47" t="str">
        <f>IF(OR(AND(AQ77&gt;7,AX77&gt;1),AND(AQ77&gt;4,AW77&gt;2)),"SP","RP")</f>
        <v>SP</v>
      </c>
      <c r="BC77" s="47"/>
      <c r="BD77" s="47"/>
      <c r="BE77" s="47"/>
      <c r="BF77" s="47" t="str">
        <f>IF(AVERAGE($O77:$Q77)&gt;=6,"Likely",IF(AVERAGE($O77:$Q77)&gt;=4,"Possible","Unlikely"))</f>
        <v>Possible</v>
      </c>
      <c r="BG77" s="47"/>
      <c r="BH77" s="47" t="str">
        <f>INDEX(Table5[[#All],[Ovr]],MATCH(Table3[[#This Row],[PID]],Table5[[#All],[PID]],0))</f>
        <v/>
      </c>
      <c r="BI77" s="47" t="str">
        <f>INDEX(Table5[[#All],[Rnd]],MATCH(Table3[[#This Row],[PID]],Table5[[#All],[PID]],0))</f>
        <v/>
      </c>
      <c r="BJ77" s="47" t="str">
        <f>INDEX(Table5[[#All],[Pick]],MATCH(Table3[[#This Row],[PID]],Table5[[#All],[PID]],0))</f>
        <v/>
      </c>
      <c r="BK77" s="47" t="str">
        <f>INDEX(Table5[[#All],[Team]],MATCH(Table3[[#This Row],[PID]],Table5[[#All],[PID]],0))</f>
        <v/>
      </c>
      <c r="BL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78" spans="1:64" ht="15" customHeight="1" x14ac:dyDescent="0.25">
      <c r="A78" s="42">
        <v>9340</v>
      </c>
      <c r="B78" s="42" t="s">
        <v>430</v>
      </c>
      <c r="C78" s="42" t="s">
        <v>124</v>
      </c>
      <c r="D78" s="42" t="s">
        <v>375</v>
      </c>
      <c r="E78" s="42">
        <v>21</v>
      </c>
      <c r="F78" s="42" t="s">
        <v>42</v>
      </c>
      <c r="G78" s="42" t="s">
        <v>42</v>
      </c>
      <c r="H78" s="43" t="s">
        <v>721</v>
      </c>
      <c r="I78" s="44" t="s">
        <v>43</v>
      </c>
      <c r="J78" s="42" t="s">
        <v>43</v>
      </c>
      <c r="K78" s="43" t="s">
        <v>47</v>
      </c>
      <c r="L78" s="42">
        <v>4</v>
      </c>
      <c r="M78" s="42">
        <v>2</v>
      </c>
      <c r="N78" s="43">
        <v>2</v>
      </c>
      <c r="O78" s="42">
        <v>6</v>
      </c>
      <c r="P78" s="42">
        <v>4</v>
      </c>
      <c r="Q78" s="43">
        <v>3</v>
      </c>
      <c r="R78" s="42">
        <v>6</v>
      </c>
      <c r="S78" s="42">
        <v>7</v>
      </c>
      <c r="T78" s="42">
        <v>1</v>
      </c>
      <c r="U78" s="42">
        <v>4</v>
      </c>
      <c r="V78" s="42">
        <v>3</v>
      </c>
      <c r="W78" s="42">
        <v>5</v>
      </c>
      <c r="X78" s="42">
        <v>4</v>
      </c>
      <c r="Y78" s="42">
        <v>5</v>
      </c>
      <c r="Z78" s="42" t="s">
        <v>45</v>
      </c>
      <c r="AA78" s="42" t="s">
        <v>45</v>
      </c>
      <c r="AB78" s="42">
        <v>4</v>
      </c>
      <c r="AC78" s="42">
        <v>6</v>
      </c>
      <c r="AD78" s="42" t="s">
        <v>45</v>
      </c>
      <c r="AE78" s="42" t="s">
        <v>45</v>
      </c>
      <c r="AF78" s="42" t="s">
        <v>45</v>
      </c>
      <c r="AG78" s="42" t="s">
        <v>45</v>
      </c>
      <c r="AH78" s="42" t="s">
        <v>45</v>
      </c>
      <c r="AI78" s="42" t="s">
        <v>45</v>
      </c>
      <c r="AJ78" s="42" t="s">
        <v>45</v>
      </c>
      <c r="AK78" s="42" t="s">
        <v>45</v>
      </c>
      <c r="AL78" s="42" t="s">
        <v>45</v>
      </c>
      <c r="AM78" s="42" t="s">
        <v>45</v>
      </c>
      <c r="AN78" s="42" t="s">
        <v>45</v>
      </c>
      <c r="AO78" s="43" t="s">
        <v>45</v>
      </c>
      <c r="AP78" s="42" t="s">
        <v>48</v>
      </c>
      <c r="AQ78" s="42">
        <v>3</v>
      </c>
      <c r="AR78" s="50" t="s">
        <v>352</v>
      </c>
      <c r="AS78" s="45" t="s">
        <v>45</v>
      </c>
      <c r="AT78" s="45" t="s">
        <v>705</v>
      </c>
      <c r="AU78" s="46">
        <f>($O$3*(L78-$O$1)/$O$2+$P$3*(M78-$P$1)/$P$2+$Q$3*(N78-$P$1)/$Q$2)/SUM($O$3:$Q$3)</f>
        <v>-1.6796579819559116</v>
      </c>
      <c r="AV78" s="46">
        <f>($O$3*(O78-$O$1)/$O$2+$P$3*(P78-$P$1)/$P$2+$Q$3*(Q78-$Q$1)/$Q$2)/SUM($O$3:$Q$3)</f>
        <v>-0.21159658328627182</v>
      </c>
      <c r="AW78" s="47">
        <f>COUNT(R78:AO78)/2</f>
        <v>5</v>
      </c>
      <c r="AX78" s="47">
        <f>IF(AND(S78&lt;&gt;"-",S78&gt;5),1,0)+IF(AND(U78&lt;&gt;"-",U78&gt;5),1,0)+IF(AND(W78&lt;&gt;"-",W78&gt;5),1,0)+IF(AND(Y78&lt;&gt;"-",Y78&gt;5),1,0)+IF(AND(AA78&lt;&gt;"-",AA78&gt;5),1,0)+IF(AND(AC78&lt;&gt;"-",AC78&gt;5),1,0)+IF(AND(AE78&lt;&gt;"-",AE78&gt;5),1,0)+IF(AND(AG78&lt;&gt;"-",AG78&gt;5),1,0)+IF(AND(AI78&lt;&gt;"-",AI78&gt;5),1,0)+IF(AND(AK78&lt;&gt;"-",AK78&gt;5),1,0)+IF(AND(AM78&lt;&gt;"-",AM78&gt;5),1,0)+IF(AND(AO78&lt;&gt;"-",AO78&gt;5),1,0)</f>
        <v>2</v>
      </c>
      <c r="AY78" s="48">
        <f>VLOOKUP(AP78,COND!$A$10:$B$32,2,FALSE)</f>
        <v>1.05</v>
      </c>
      <c r="AZ78" s="46">
        <f>($AU$3*AU78+$AV$3*AV78+$AW$3*AW78+$AX$3*AX78)*AY78*IF(AQ78&lt;5,0.95,IF(AQ78&lt;7,0.975,1))+$I$3*VLOOKUP(I78,COND!$A$2:$E$7,4,FALSE)+$J$3*VLOOKUP(J78,COND!$A$2:$E$7,2,FALSE)+$K$3*VLOOKUP(K78,COND!$A$2:$E$7,3,FALSE)+IF(BB78="SP",$BB$3,0)+IF($AW78&lt;3,-5,0)+IF(AND($B$2&gt;0,$E78&lt;20),$B$2*25,0)</f>
        <v>45.731056396038674</v>
      </c>
      <c r="BA78" s="49">
        <f>STANDARDIZE(AZ78,AVERAGE($AZ$5:$AZ$570),STDEVP($AZ$5:$AZ$570))</f>
        <v>1.1929630690027779</v>
      </c>
      <c r="BB78" s="47" t="str">
        <f>IF(OR(AND(AQ78&gt;7,AX78&gt;1),AND(AQ78&gt;4,AW78&gt;2)),"SP","RP")</f>
        <v>RP</v>
      </c>
      <c r="BC78" s="47"/>
      <c r="BD78" s="47"/>
      <c r="BE78" s="47"/>
      <c r="BF78" s="47" t="str">
        <f>IF(AVERAGE($O78:$Q78)&gt;=6,"Likely",IF(AVERAGE($O78:$Q78)&gt;=4,"Possible","Unlikely"))</f>
        <v>Possible</v>
      </c>
      <c r="BG78" s="47"/>
      <c r="BH78" s="47" t="str">
        <f>INDEX(Table5[[#All],[Ovr]],MATCH(Table3[[#This Row],[PID]],Table5[[#All],[PID]],0))</f>
        <v/>
      </c>
      <c r="BI78" s="47" t="str">
        <f>INDEX(Table5[[#All],[Rnd]],MATCH(Table3[[#This Row],[PID]],Table5[[#All],[PID]],0))</f>
        <v/>
      </c>
      <c r="BJ78" s="47" t="str">
        <f>INDEX(Table5[[#All],[Pick]],MATCH(Table3[[#This Row],[PID]],Table5[[#All],[PID]],0))</f>
        <v/>
      </c>
      <c r="BK78" s="47" t="str">
        <f>INDEX(Table5[[#All],[Team]],MATCH(Table3[[#This Row],[PID]],Table5[[#All],[PID]],0))</f>
        <v/>
      </c>
      <c r="BL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79" spans="1:64" ht="15" customHeight="1" x14ac:dyDescent="0.25">
      <c r="A79" s="42">
        <v>17927</v>
      </c>
      <c r="B79" s="42" t="s">
        <v>49</v>
      </c>
      <c r="C79" s="42" t="s">
        <v>1642</v>
      </c>
      <c r="D79" s="42" t="s">
        <v>971</v>
      </c>
      <c r="E79" s="42">
        <v>18</v>
      </c>
      <c r="F79" s="42" t="s">
        <v>53</v>
      </c>
      <c r="G79" s="42" t="s">
        <v>53</v>
      </c>
      <c r="H79" s="43" t="s">
        <v>721</v>
      </c>
      <c r="I79" s="44" t="s">
        <v>43</v>
      </c>
      <c r="J79" s="42" t="s">
        <v>43</v>
      </c>
      <c r="K79" s="43" t="s">
        <v>43</v>
      </c>
      <c r="L79" s="42">
        <v>2</v>
      </c>
      <c r="M79" s="42">
        <v>2</v>
      </c>
      <c r="N79" s="43">
        <v>2</v>
      </c>
      <c r="O79" s="42">
        <v>4</v>
      </c>
      <c r="P79" s="42">
        <v>4</v>
      </c>
      <c r="Q79" s="43">
        <v>4</v>
      </c>
      <c r="R79" s="42" t="s">
        <v>45</v>
      </c>
      <c r="S79" s="42" t="s">
        <v>45</v>
      </c>
      <c r="T79" s="42">
        <v>1</v>
      </c>
      <c r="U79" s="42">
        <v>4</v>
      </c>
      <c r="V79" s="42" t="s">
        <v>45</v>
      </c>
      <c r="W79" s="42" t="s">
        <v>45</v>
      </c>
      <c r="X79" s="42">
        <v>3</v>
      </c>
      <c r="Y79" s="42">
        <v>5</v>
      </c>
      <c r="Z79" s="42" t="s">
        <v>45</v>
      </c>
      <c r="AA79" s="42" t="s">
        <v>45</v>
      </c>
      <c r="AB79" s="42">
        <v>3</v>
      </c>
      <c r="AC79" s="42">
        <v>3</v>
      </c>
      <c r="AD79" s="42">
        <v>3</v>
      </c>
      <c r="AE79" s="42">
        <v>5</v>
      </c>
      <c r="AF79" s="42" t="s">
        <v>45</v>
      </c>
      <c r="AG79" s="42" t="s">
        <v>45</v>
      </c>
      <c r="AH79" s="42" t="s">
        <v>45</v>
      </c>
      <c r="AI79" s="42" t="s">
        <v>45</v>
      </c>
      <c r="AJ79" s="42" t="s">
        <v>45</v>
      </c>
      <c r="AK79" s="42" t="s">
        <v>45</v>
      </c>
      <c r="AL79" s="42" t="s">
        <v>45</v>
      </c>
      <c r="AM79" s="42" t="s">
        <v>45</v>
      </c>
      <c r="AN79" s="42" t="s">
        <v>45</v>
      </c>
      <c r="AO79" s="43" t="s">
        <v>45</v>
      </c>
      <c r="AP79" s="42" t="s">
        <v>355</v>
      </c>
      <c r="AQ79" s="42">
        <v>8</v>
      </c>
      <c r="AR79" s="50" t="s">
        <v>352</v>
      </c>
      <c r="AS79" s="45" t="s">
        <v>606</v>
      </c>
      <c r="AT79" s="45" t="s">
        <v>47</v>
      </c>
      <c r="AU79" s="46">
        <f>($O$3*(L79-$O$1)/$O$2+$P$3*(M79-$P$1)/$P$2+$Q$3*(N79-$P$1)/$Q$2)/SUM($O$3:$Q$3)</f>
        <v>-2.0690406309742588</v>
      </c>
      <c r="AV79" s="46">
        <f>($O$3*(O79-$O$1)/$O$2+$P$3*(P79-$P$1)/$P$2+$Q$3*(Q79-$Q$1)/$Q$2)/SUM($O$3:$Q$3)</f>
        <v>-0.35865866625050846</v>
      </c>
      <c r="AW79" s="47">
        <f>COUNT(R79:AO79)/2</f>
        <v>4</v>
      </c>
      <c r="AX79" s="47">
        <f>IF(AND(S79&lt;&gt;"-",S79&gt;5),1,0)+IF(AND(U79&lt;&gt;"-",U79&gt;5),1,0)+IF(AND(W79&lt;&gt;"-",W79&gt;5),1,0)+IF(AND(Y79&lt;&gt;"-",Y79&gt;5),1,0)+IF(AND(AA79&lt;&gt;"-",AA79&gt;5),1,0)+IF(AND(AC79&lt;&gt;"-",AC79&gt;5),1,0)+IF(AND(AE79&lt;&gt;"-",AE79&gt;5),1,0)+IF(AND(AG79&lt;&gt;"-",AG79&gt;5),1,0)+IF(AND(AI79&lt;&gt;"-",AI79&gt;5),1,0)+IF(AND(AK79&lt;&gt;"-",AK79&gt;5),1,0)+IF(AND(AM79&lt;&gt;"-",AM79&gt;5),1,0)+IF(AND(AO79&lt;&gt;"-",AO79&gt;5),1,0)</f>
        <v>0</v>
      </c>
      <c r="AY79" s="48">
        <f>VLOOKUP(AP79,COND!$A$10:$B$32,2,FALSE)</f>
        <v>1</v>
      </c>
      <c r="AZ79" s="46">
        <f>($AU$3*AU79+$AV$3*AV79+$AW$3*AW79+$AX$3*AX79)*AY79*IF(AQ79&lt;5,0.95,IF(AQ79&lt;7,0.975,1))+$I$3*VLOOKUP(I79,COND!$A$2:$E$7,4,FALSE)+$J$3*VLOOKUP(J79,COND!$A$2:$E$7,2,FALSE)+$K$3*VLOOKUP(K79,COND!$A$2:$E$7,3,FALSE)+IF(BB79="SP",$BB$3,0)+IF($AW79&lt;3,-5,0)+IF(AND($B$2&gt;0,$E79&lt;20),$B$2*25,0)</f>
        <v>46.41301854879498</v>
      </c>
      <c r="BA79" s="49">
        <f>STANDARDIZE(AZ79,AVERAGE($AZ$5:$AZ$570),STDEVP($AZ$5:$AZ$570))</f>
        <v>1.2555019131780321</v>
      </c>
      <c r="BB79" s="47" t="str">
        <f>IF(OR(AND(AQ79&gt;7,AX79&gt;1),AND(AQ79&gt;4,AW79&gt;2)),"SP","RP")</f>
        <v>SP</v>
      </c>
      <c r="BC79" s="47"/>
      <c r="BD79" s="47"/>
      <c r="BE79" s="47"/>
      <c r="BF79" s="47" t="str">
        <f>IF(AVERAGE($O79:$Q79)&gt;=6,"Likely",IF(AVERAGE($O79:$Q79)&gt;=4,"Possible","Unlikely"))</f>
        <v>Possible</v>
      </c>
      <c r="BG79" s="47"/>
      <c r="BH79" s="47" t="str">
        <f>INDEX(Table5[[#All],[Ovr]],MATCH(Table3[[#This Row],[PID]],Table5[[#All],[PID]],0))</f>
        <v/>
      </c>
      <c r="BI79" s="47" t="str">
        <f>INDEX(Table5[[#All],[Rnd]],MATCH(Table3[[#This Row],[PID]],Table5[[#All],[PID]],0))</f>
        <v/>
      </c>
      <c r="BJ79" s="47" t="str">
        <f>INDEX(Table5[[#All],[Pick]],MATCH(Table3[[#This Row],[PID]],Table5[[#All],[PID]],0))</f>
        <v/>
      </c>
      <c r="BK79" s="47" t="str">
        <f>INDEX(Table5[[#All],[Team]],MATCH(Table3[[#This Row],[PID]],Table5[[#All],[PID]],0))</f>
        <v/>
      </c>
      <c r="BL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80" spans="1:64" ht="15" customHeight="1" x14ac:dyDescent="0.25">
      <c r="A80" s="42">
        <v>15153</v>
      </c>
      <c r="B80" s="42" t="s">
        <v>24</v>
      </c>
      <c r="C80" s="42" t="s">
        <v>329</v>
      </c>
      <c r="D80" s="42" t="s">
        <v>1216</v>
      </c>
      <c r="E80" s="42">
        <v>18</v>
      </c>
      <c r="F80" s="42" t="s">
        <v>62</v>
      </c>
      <c r="G80" s="42" t="s">
        <v>42</v>
      </c>
      <c r="H80" s="43" t="s">
        <v>721</v>
      </c>
      <c r="I80" s="44" t="s">
        <v>43</v>
      </c>
      <c r="J80" s="42" t="s">
        <v>44</v>
      </c>
      <c r="K80" s="43" t="s">
        <v>43</v>
      </c>
      <c r="L80" s="42">
        <v>1</v>
      </c>
      <c r="M80" s="42">
        <v>2</v>
      </c>
      <c r="N80" s="43">
        <v>1</v>
      </c>
      <c r="O80" s="42">
        <v>4</v>
      </c>
      <c r="P80" s="42">
        <v>5</v>
      </c>
      <c r="Q80" s="43">
        <v>3</v>
      </c>
      <c r="R80" s="42" t="s">
        <v>45</v>
      </c>
      <c r="S80" s="42" t="s">
        <v>45</v>
      </c>
      <c r="T80" s="42">
        <v>1</v>
      </c>
      <c r="U80" s="42">
        <v>5</v>
      </c>
      <c r="V80" s="42" t="s">
        <v>45</v>
      </c>
      <c r="W80" s="42" t="s">
        <v>45</v>
      </c>
      <c r="X80" s="42" t="s">
        <v>45</v>
      </c>
      <c r="Y80" s="42" t="s">
        <v>45</v>
      </c>
      <c r="Z80" s="42" t="s">
        <v>45</v>
      </c>
      <c r="AA80" s="42" t="s">
        <v>45</v>
      </c>
      <c r="AB80" s="42">
        <v>3</v>
      </c>
      <c r="AC80" s="42">
        <v>6</v>
      </c>
      <c r="AD80" s="42">
        <v>3</v>
      </c>
      <c r="AE80" s="42">
        <v>6</v>
      </c>
      <c r="AF80" s="42" t="s">
        <v>45</v>
      </c>
      <c r="AG80" s="42" t="s">
        <v>45</v>
      </c>
      <c r="AH80" s="42" t="s">
        <v>45</v>
      </c>
      <c r="AI80" s="42" t="s">
        <v>45</v>
      </c>
      <c r="AJ80" s="42" t="s">
        <v>45</v>
      </c>
      <c r="AK80" s="42" t="s">
        <v>45</v>
      </c>
      <c r="AL80" s="42" t="s">
        <v>45</v>
      </c>
      <c r="AM80" s="42" t="s">
        <v>45</v>
      </c>
      <c r="AN80" s="42" t="s">
        <v>45</v>
      </c>
      <c r="AO80" s="43" t="s">
        <v>45</v>
      </c>
      <c r="AP80" s="42" t="s">
        <v>56</v>
      </c>
      <c r="AQ80" s="42">
        <v>7</v>
      </c>
      <c r="AR80" s="50" t="s">
        <v>352</v>
      </c>
      <c r="AS80" s="45" t="s">
        <v>764</v>
      </c>
      <c r="AT80" s="45" t="s">
        <v>47</v>
      </c>
      <c r="AU80" s="46">
        <f>($O$3*(L80-$O$1)/$O$2+$P$3*(M80-$P$1)/$P$2+$Q$3*(N80-$P$1)/$Q$2)/SUM($O$3:$Q$3)</f>
        <v>-2.5060525215375429</v>
      </c>
      <c r="AV80" s="46">
        <f>($O$3*(O80-$O$1)/$O$2+$P$3*(P80-$P$1)/$P$2+$Q$3*(Q80-$Q$1)/$Q$2)/SUM($O$3:$Q$3)</f>
        <v>-0.40554751587456339</v>
      </c>
      <c r="AW80" s="47">
        <f>COUNT(R80:AO80)/2</f>
        <v>3</v>
      </c>
      <c r="AX80" s="47">
        <f>IF(AND(S80&lt;&gt;"-",S80&gt;5),1,0)+IF(AND(U80&lt;&gt;"-",U80&gt;5),1,0)+IF(AND(W80&lt;&gt;"-",W80&gt;5),1,0)+IF(AND(Y80&lt;&gt;"-",Y80&gt;5),1,0)+IF(AND(AA80&lt;&gt;"-",AA80&gt;5),1,0)+IF(AND(AC80&lt;&gt;"-",AC80&gt;5),1,0)+IF(AND(AE80&lt;&gt;"-",AE80&gt;5),1,0)+IF(AND(AG80&lt;&gt;"-",AG80&gt;5),1,0)+IF(AND(AI80&lt;&gt;"-",AI80&gt;5),1,0)+IF(AND(AK80&lt;&gt;"-",AK80&gt;5),1,0)+IF(AND(AM80&lt;&gt;"-",AM80&gt;5),1,0)+IF(AND(AO80&lt;&gt;"-",AO80&gt;5),1,0)</f>
        <v>2</v>
      </c>
      <c r="AY80" s="48">
        <f>VLOOKUP(AP80,COND!$A$10:$B$32,2,FALSE)</f>
        <v>1</v>
      </c>
      <c r="AZ80" s="46">
        <f>($AU$3*AU80+$AV$3*AV80+$AW$3*AW80+$AX$3*AX80)*AY80*IF(AQ80&lt;5,0.95,IF(AQ80&lt;7,0.975,1))+$I$3*VLOOKUP(I80,COND!$A$2:$E$7,4,FALSE)+$J$3*VLOOKUP(J80,COND!$A$2:$E$7,2,FALSE)+$K$3*VLOOKUP(K80,COND!$A$2:$E$7,3,FALSE)+IF(BB80="SP",$BB$3,0)+IF($AW80&lt;3,-5,0)+IF(AND($B$2&gt;0,$E80&lt;20),$B$2*25,0)</f>
        <v>47.087839178201222</v>
      </c>
      <c r="BA80" s="49">
        <f>STANDARDIZE(AZ80,AVERAGE($AZ$5:$AZ$570),STDEVP($AZ$5:$AZ$570))</f>
        <v>1.3173858491385728</v>
      </c>
      <c r="BB80" s="47" t="str">
        <f>IF(OR(AND(AQ80&gt;7,AX80&gt;1),AND(AQ80&gt;4,AW80&gt;2)),"SP","RP")</f>
        <v>SP</v>
      </c>
      <c r="BC80" s="47"/>
      <c r="BD80" s="47"/>
      <c r="BE80" s="47"/>
      <c r="BF80" s="47" t="str">
        <f>IF(AVERAGE($O80:$Q80)&gt;=6,"Likely",IF(AVERAGE($O80:$Q80)&gt;=4,"Possible","Unlikely"))</f>
        <v>Possible</v>
      </c>
      <c r="BG80" s="47"/>
      <c r="BH80" s="47" t="str">
        <f>INDEX(Table5[[#All],[Ovr]],MATCH(Table3[[#This Row],[PID]],Table5[[#All],[PID]],0))</f>
        <v/>
      </c>
      <c r="BI80" s="47" t="str">
        <f>INDEX(Table5[[#All],[Rnd]],MATCH(Table3[[#This Row],[PID]],Table5[[#All],[PID]],0))</f>
        <v/>
      </c>
      <c r="BJ80" s="47" t="str">
        <f>INDEX(Table5[[#All],[Pick]],MATCH(Table3[[#This Row],[PID]],Table5[[#All],[PID]],0))</f>
        <v/>
      </c>
      <c r="BK80" s="47" t="str">
        <f>INDEX(Table5[[#All],[Team]],MATCH(Table3[[#This Row],[PID]],Table5[[#All],[PID]],0))</f>
        <v/>
      </c>
      <c r="BL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81" spans="1:64" ht="15" customHeight="1" x14ac:dyDescent="0.25">
      <c r="A81" s="42">
        <v>15574</v>
      </c>
      <c r="B81" s="42" t="s">
        <v>24</v>
      </c>
      <c r="C81" s="42" t="s">
        <v>380</v>
      </c>
      <c r="D81" s="42" t="s">
        <v>774</v>
      </c>
      <c r="E81" s="42">
        <v>18</v>
      </c>
      <c r="F81" s="42" t="s">
        <v>62</v>
      </c>
      <c r="G81" s="42" t="s">
        <v>42</v>
      </c>
      <c r="H81" s="43" t="s">
        <v>711</v>
      </c>
      <c r="I81" s="44" t="s">
        <v>43</v>
      </c>
      <c r="J81" s="42" t="s">
        <v>44</v>
      </c>
      <c r="K81" s="43" t="s">
        <v>43</v>
      </c>
      <c r="L81" s="42">
        <v>1</v>
      </c>
      <c r="M81" s="42">
        <v>2</v>
      </c>
      <c r="N81" s="43">
        <v>1</v>
      </c>
      <c r="O81" s="42">
        <v>5</v>
      </c>
      <c r="P81" s="42">
        <v>4</v>
      </c>
      <c r="Q81" s="43">
        <v>3</v>
      </c>
      <c r="R81" s="42" t="s">
        <v>45</v>
      </c>
      <c r="S81" s="42" t="s">
        <v>45</v>
      </c>
      <c r="T81" s="42">
        <v>1</v>
      </c>
      <c r="U81" s="42">
        <v>1</v>
      </c>
      <c r="V81" s="42" t="s">
        <v>45</v>
      </c>
      <c r="W81" s="42" t="s">
        <v>45</v>
      </c>
      <c r="X81" s="42">
        <v>2</v>
      </c>
      <c r="Y81" s="42">
        <v>8</v>
      </c>
      <c r="Z81" s="42" t="s">
        <v>45</v>
      </c>
      <c r="AA81" s="42" t="s">
        <v>45</v>
      </c>
      <c r="AB81" s="42" t="s">
        <v>45</v>
      </c>
      <c r="AC81" s="42" t="s">
        <v>45</v>
      </c>
      <c r="AD81" s="42">
        <v>3</v>
      </c>
      <c r="AE81" s="42">
        <v>7</v>
      </c>
      <c r="AF81" s="42" t="s">
        <v>45</v>
      </c>
      <c r="AG81" s="42" t="s">
        <v>45</v>
      </c>
      <c r="AH81" s="42" t="s">
        <v>45</v>
      </c>
      <c r="AI81" s="42" t="s">
        <v>45</v>
      </c>
      <c r="AJ81" s="42" t="s">
        <v>45</v>
      </c>
      <c r="AK81" s="42" t="s">
        <v>45</v>
      </c>
      <c r="AL81" s="42" t="s">
        <v>45</v>
      </c>
      <c r="AM81" s="42" t="s">
        <v>45</v>
      </c>
      <c r="AN81" s="42" t="s">
        <v>45</v>
      </c>
      <c r="AO81" s="43" t="s">
        <v>45</v>
      </c>
      <c r="AP81" s="42" t="s">
        <v>56</v>
      </c>
      <c r="AQ81" s="42">
        <v>9</v>
      </c>
      <c r="AR81" s="50" t="s">
        <v>353</v>
      </c>
      <c r="AS81" s="45" t="s">
        <v>599</v>
      </c>
      <c r="AT81" s="45" t="s">
        <v>47</v>
      </c>
      <c r="AU81" s="46">
        <f>($O$3*(L81-$O$1)/$O$2+$P$3*(M81-$P$1)/$P$2+$Q$3*(N81-$P$1)/$Q$2)/SUM($O$3:$Q$3)</f>
        <v>-2.5060525215375429</v>
      </c>
      <c r="AV81" s="46">
        <f>($O$3*(O81-$O$1)/$O$2+$P$3*(P81-$P$1)/$P$2+$Q$3*(Q81-$Q$1)/$Q$2)/SUM($O$3:$Q$3)</f>
        <v>-0.40628790779544532</v>
      </c>
      <c r="AW81" s="47">
        <f>COUNT(R81:AO81)/2</f>
        <v>3</v>
      </c>
      <c r="AX81" s="47">
        <f>IF(AND(S81&lt;&gt;"-",S81&gt;5),1,0)+IF(AND(U81&lt;&gt;"-",U81&gt;5),1,0)+IF(AND(W81&lt;&gt;"-",W81&gt;5),1,0)+IF(AND(Y81&lt;&gt;"-",Y81&gt;5),1,0)+IF(AND(AA81&lt;&gt;"-",AA81&gt;5),1,0)+IF(AND(AC81&lt;&gt;"-",AC81&gt;5),1,0)+IF(AND(AE81&lt;&gt;"-",AE81&gt;5),1,0)+IF(AND(AG81&lt;&gt;"-",AG81&gt;5),1,0)+IF(AND(AI81&lt;&gt;"-",AI81&gt;5),1,0)+IF(AND(AK81&lt;&gt;"-",AK81&gt;5),1,0)+IF(AND(AM81&lt;&gt;"-",AM81&gt;5),1,0)+IF(AND(AO81&lt;&gt;"-",AO81&gt;5),1,0)</f>
        <v>2</v>
      </c>
      <c r="AY81" s="48">
        <f>VLOOKUP(AP81,COND!$A$10:$B$32,2,FALSE)</f>
        <v>1</v>
      </c>
      <c r="AZ81" s="46">
        <f>($AU$3*AU81+$AV$3*AV81+$AW$3*AW81+$AX$3*AX81)*AY81*IF(AQ81&lt;5,0.95,IF(AQ81&lt;7,0.975,1))+$I$3*VLOOKUP(I81,COND!$A$2:$E$7,4,FALSE)+$J$3*VLOOKUP(J81,COND!$A$2:$E$7,2,FALSE)+$K$3*VLOOKUP(K81,COND!$A$2:$E$7,3,FALSE)+IF(BB81="SP",$BB$3,0)+IF($AW81&lt;3,-5,0)+IF(AND($B$2&gt;0,$E81&lt;20),$B$2*25,0)</f>
        <v>47.073031339783583</v>
      </c>
      <c r="BA81" s="49">
        <f>STANDARDIZE(AZ81,AVERAGE($AZ$5:$AZ$570),STDEVP($AZ$5:$AZ$570))</f>
        <v>1.3160279070656438</v>
      </c>
      <c r="BB81" s="47" t="str">
        <f>IF(OR(AND(AQ81&gt;7,AX81&gt;1),AND(AQ81&gt;4,AW81&gt;2)),"SP","RP")</f>
        <v>SP</v>
      </c>
      <c r="BC81" s="47"/>
      <c r="BD81" s="47"/>
      <c r="BE81" s="47"/>
      <c r="BF81" s="47" t="str">
        <f>IF(AVERAGE($O81:$Q81)&gt;=6,"Likely",IF(AVERAGE($O81:$Q81)&gt;=4,"Possible","Unlikely"))</f>
        <v>Possible</v>
      </c>
      <c r="BG81" s="47"/>
      <c r="BH81" s="47" t="str">
        <f>INDEX(Table5[[#All],[Ovr]],MATCH(Table3[[#This Row],[PID]],Table5[[#All],[PID]],0))</f>
        <v/>
      </c>
      <c r="BI81" s="47" t="str">
        <f>INDEX(Table5[[#All],[Rnd]],MATCH(Table3[[#This Row],[PID]],Table5[[#All],[PID]],0))</f>
        <v/>
      </c>
      <c r="BJ81" s="47" t="str">
        <f>INDEX(Table5[[#All],[Pick]],MATCH(Table3[[#This Row],[PID]],Table5[[#All],[PID]],0))</f>
        <v/>
      </c>
      <c r="BK81" s="47" t="str">
        <f>INDEX(Table5[[#All],[Team]],MATCH(Table3[[#This Row],[PID]],Table5[[#All],[PID]],0))</f>
        <v/>
      </c>
      <c r="BL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82" spans="1:64" ht="15" customHeight="1" x14ac:dyDescent="0.25">
      <c r="A82" s="42">
        <v>8974</v>
      </c>
      <c r="B82" s="42" t="s">
        <v>24</v>
      </c>
      <c r="C82" s="42" t="s">
        <v>997</v>
      </c>
      <c r="D82" s="42" t="s">
        <v>1660</v>
      </c>
      <c r="E82" s="42">
        <v>18</v>
      </c>
      <c r="F82" s="42" t="s">
        <v>62</v>
      </c>
      <c r="G82" s="42" t="s">
        <v>42</v>
      </c>
      <c r="H82" s="43" t="s">
        <v>703</v>
      </c>
      <c r="I82" s="44" t="s">
        <v>43</v>
      </c>
      <c r="J82" s="42" t="s">
        <v>44</v>
      </c>
      <c r="K82" s="43" t="s">
        <v>44</v>
      </c>
      <c r="L82" s="42">
        <v>1</v>
      </c>
      <c r="M82" s="42">
        <v>2</v>
      </c>
      <c r="N82" s="43">
        <v>1</v>
      </c>
      <c r="O82" s="42">
        <v>4</v>
      </c>
      <c r="P82" s="42">
        <v>4</v>
      </c>
      <c r="Q82" s="43">
        <v>4</v>
      </c>
      <c r="R82" s="42">
        <v>3</v>
      </c>
      <c r="S82" s="42">
        <v>5</v>
      </c>
      <c r="T82" s="42">
        <v>1</v>
      </c>
      <c r="U82" s="42">
        <v>6</v>
      </c>
      <c r="V82" s="42" t="s">
        <v>45</v>
      </c>
      <c r="W82" s="42" t="s">
        <v>45</v>
      </c>
      <c r="X82" s="42">
        <v>2</v>
      </c>
      <c r="Y82" s="42">
        <v>6</v>
      </c>
      <c r="Z82" s="42" t="s">
        <v>45</v>
      </c>
      <c r="AA82" s="42" t="s">
        <v>45</v>
      </c>
      <c r="AB82" s="42" t="s">
        <v>45</v>
      </c>
      <c r="AC82" s="42" t="s">
        <v>45</v>
      </c>
      <c r="AD82" s="42" t="s">
        <v>45</v>
      </c>
      <c r="AE82" s="42" t="s">
        <v>45</v>
      </c>
      <c r="AF82" s="42" t="s">
        <v>45</v>
      </c>
      <c r="AG82" s="42" t="s">
        <v>45</v>
      </c>
      <c r="AH82" s="42" t="s">
        <v>45</v>
      </c>
      <c r="AI82" s="42" t="s">
        <v>45</v>
      </c>
      <c r="AJ82" s="42" t="s">
        <v>45</v>
      </c>
      <c r="AK82" s="42" t="s">
        <v>45</v>
      </c>
      <c r="AL82" s="42" t="s">
        <v>45</v>
      </c>
      <c r="AM82" s="42" t="s">
        <v>45</v>
      </c>
      <c r="AN82" s="42" t="s">
        <v>45</v>
      </c>
      <c r="AO82" s="43" t="s">
        <v>45</v>
      </c>
      <c r="AP82" s="42" t="s">
        <v>356</v>
      </c>
      <c r="AQ82" s="42">
        <v>8</v>
      </c>
      <c r="AR82" s="50" t="s">
        <v>353</v>
      </c>
      <c r="AS82" s="45" t="s">
        <v>668</v>
      </c>
      <c r="AT82" s="45" t="s">
        <v>47</v>
      </c>
      <c r="AU82" s="46">
        <f>($O$3*(L82-$O$1)/$O$2+$P$3*(M82-$P$1)/$P$2+$Q$3*(N82-$P$1)/$Q$2)/SUM($O$3:$Q$3)</f>
        <v>-2.5060525215375429</v>
      </c>
      <c r="AV82" s="46">
        <f>($O$3*(O82-$O$1)/$O$2+$P$3*(P82-$P$1)/$P$2+$Q$3*(Q82-$Q$1)/$Q$2)/SUM($O$3:$Q$3)</f>
        <v>-0.35865866625050846</v>
      </c>
      <c r="AW82" s="47">
        <f>COUNT(R82:AO82)/2</f>
        <v>3</v>
      </c>
      <c r="AX82" s="47">
        <f>IF(AND(S82&lt;&gt;"-",S82&gt;5),1,0)+IF(AND(U82&lt;&gt;"-",U82&gt;5),1,0)+IF(AND(W82&lt;&gt;"-",W82&gt;5),1,0)+IF(AND(Y82&lt;&gt;"-",Y82&gt;5),1,0)+IF(AND(AA82&lt;&gt;"-",AA82&gt;5),1,0)+IF(AND(AC82&lt;&gt;"-",AC82&gt;5),1,0)+IF(AND(AE82&lt;&gt;"-",AE82&gt;5),1,0)+IF(AND(AG82&lt;&gt;"-",AG82&gt;5),1,0)+IF(AND(AI82&lt;&gt;"-",AI82&gt;5),1,0)+IF(AND(AK82&lt;&gt;"-",AK82&gt;5),1,0)+IF(AND(AM82&lt;&gt;"-",AM82&gt;5),1,0)+IF(AND(AO82&lt;&gt;"-",AO82&gt;5),1,0)</f>
        <v>2</v>
      </c>
      <c r="AY82" s="48">
        <f>VLOOKUP(AP82,COND!$A$10:$B$32,2,FALSE)</f>
        <v>1</v>
      </c>
      <c r="AZ82" s="46">
        <f>($AU$3*AU82+$AV$3*AV82+$AW$3*AW82+$AX$3*AX82)*AY82*IF(AQ82&lt;5,0.95,IF(AQ82&lt;7,0.975,1))+$I$3*VLOOKUP(I82,COND!$A$2:$E$7,4,FALSE)+$J$3*VLOOKUP(J82,COND!$A$2:$E$7,2,FALSE)+$K$3*VLOOKUP(K82,COND!$A$2:$E$7,3,FALSE)+IF(BB82="SP",$BB$3,0)+IF($AW82&lt;3,-5,0)+IF(AND($B$2&gt;0,$E82&lt;20),$B$2*25,0)</f>
        <v>47.725616170682315</v>
      </c>
      <c r="BA82" s="49">
        <f>STANDARDIZE(AZ82,AVERAGE($AZ$5:$AZ$570),STDEVP($AZ$5:$AZ$570))</f>
        <v>1.3758727252652456</v>
      </c>
      <c r="BB82" s="47" t="str">
        <f>IF(OR(AND(AQ82&gt;7,AX82&gt;1),AND(AQ82&gt;4,AW82&gt;2)),"SP","RP")</f>
        <v>SP</v>
      </c>
      <c r="BC82" s="47"/>
      <c r="BD82" s="47"/>
      <c r="BE82" s="47"/>
      <c r="BF82" s="47" t="str">
        <f>IF(AVERAGE($O82:$Q82)&gt;=6,"Likely",IF(AVERAGE($O82:$Q82)&gt;=4,"Possible","Unlikely"))</f>
        <v>Possible</v>
      </c>
      <c r="BG82" s="47"/>
      <c r="BH82" s="47" t="str">
        <f>INDEX(Table5[[#All],[Ovr]],MATCH(Table3[[#This Row],[PID]],Table5[[#All],[PID]],0))</f>
        <v/>
      </c>
      <c r="BI82" s="47" t="str">
        <f>INDEX(Table5[[#All],[Rnd]],MATCH(Table3[[#This Row],[PID]],Table5[[#All],[PID]],0))</f>
        <v/>
      </c>
      <c r="BJ82" s="47" t="str">
        <f>INDEX(Table5[[#All],[Pick]],MATCH(Table3[[#This Row],[PID]],Table5[[#All],[PID]],0))</f>
        <v/>
      </c>
      <c r="BK82" s="47" t="str">
        <f>INDEX(Table5[[#All],[Team]],MATCH(Table3[[#This Row],[PID]],Table5[[#All],[PID]],0))</f>
        <v/>
      </c>
      <c r="BL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83" spans="1:64" ht="15" customHeight="1" x14ac:dyDescent="0.25">
      <c r="A83" s="42">
        <v>8026</v>
      </c>
      <c r="B83" s="42" t="s">
        <v>24</v>
      </c>
      <c r="C83" s="42" t="s">
        <v>167</v>
      </c>
      <c r="D83" s="42" t="s">
        <v>395</v>
      </c>
      <c r="E83" s="42">
        <v>18</v>
      </c>
      <c r="F83" s="42" t="s">
        <v>53</v>
      </c>
      <c r="G83" s="42" t="s">
        <v>42</v>
      </c>
      <c r="H83" s="43" t="s">
        <v>721</v>
      </c>
      <c r="I83" s="44" t="s">
        <v>44</v>
      </c>
      <c r="J83" s="42" t="s">
        <v>43</v>
      </c>
      <c r="K83" s="43" t="s">
        <v>43</v>
      </c>
      <c r="L83" s="42">
        <v>1</v>
      </c>
      <c r="M83" s="42">
        <v>2</v>
      </c>
      <c r="N83" s="43">
        <v>1</v>
      </c>
      <c r="O83" s="42">
        <v>4</v>
      </c>
      <c r="P83" s="42">
        <v>5</v>
      </c>
      <c r="Q83" s="43">
        <v>3</v>
      </c>
      <c r="R83" s="42">
        <v>3</v>
      </c>
      <c r="S83" s="42">
        <v>5</v>
      </c>
      <c r="T83" s="42">
        <v>1</v>
      </c>
      <c r="U83" s="42">
        <v>7</v>
      </c>
      <c r="V83" s="42" t="s">
        <v>45</v>
      </c>
      <c r="W83" s="42" t="s">
        <v>45</v>
      </c>
      <c r="X83" s="42">
        <v>2</v>
      </c>
      <c r="Y83" s="42">
        <v>5</v>
      </c>
      <c r="Z83" s="42" t="s">
        <v>45</v>
      </c>
      <c r="AA83" s="42" t="s">
        <v>45</v>
      </c>
      <c r="AB83" s="42" t="s">
        <v>45</v>
      </c>
      <c r="AC83" s="42" t="s">
        <v>45</v>
      </c>
      <c r="AD83" s="42" t="s">
        <v>45</v>
      </c>
      <c r="AE83" s="42" t="s">
        <v>45</v>
      </c>
      <c r="AF83" s="42" t="s">
        <v>45</v>
      </c>
      <c r="AG83" s="42" t="s">
        <v>45</v>
      </c>
      <c r="AH83" s="42" t="s">
        <v>45</v>
      </c>
      <c r="AI83" s="42" t="s">
        <v>45</v>
      </c>
      <c r="AJ83" s="42" t="s">
        <v>45</v>
      </c>
      <c r="AK83" s="42" t="s">
        <v>45</v>
      </c>
      <c r="AL83" s="42" t="s">
        <v>45</v>
      </c>
      <c r="AM83" s="42" t="s">
        <v>45</v>
      </c>
      <c r="AN83" s="42" t="s">
        <v>45</v>
      </c>
      <c r="AO83" s="43" t="s">
        <v>45</v>
      </c>
      <c r="AP83" s="42" t="s">
        <v>355</v>
      </c>
      <c r="AQ83" s="42">
        <v>8</v>
      </c>
      <c r="AR83" s="50" t="s">
        <v>352</v>
      </c>
      <c r="AS83" s="45" t="s">
        <v>749</v>
      </c>
      <c r="AT83" s="45" t="s">
        <v>47</v>
      </c>
      <c r="AU83" s="46">
        <f>($O$3*(L83-$O$1)/$O$2+$P$3*(M83-$P$1)/$P$2+$Q$3*(N83-$P$1)/$Q$2)/SUM($O$3:$Q$3)</f>
        <v>-2.5060525215375429</v>
      </c>
      <c r="AV83" s="46">
        <f>($O$3*(O83-$O$1)/$O$2+$P$3*(P83-$P$1)/$P$2+$Q$3*(Q83-$Q$1)/$Q$2)/SUM($O$3:$Q$3)</f>
        <v>-0.40554751587456339</v>
      </c>
      <c r="AW83" s="47">
        <f>COUNT(R83:AO83)/2</f>
        <v>3</v>
      </c>
      <c r="AX83" s="47">
        <f>IF(AND(S83&lt;&gt;"-",S83&gt;5),1,0)+IF(AND(U83&lt;&gt;"-",U83&gt;5),1,0)+IF(AND(W83&lt;&gt;"-",W83&gt;5),1,0)+IF(AND(Y83&lt;&gt;"-",Y83&gt;5),1,0)+IF(AND(AA83&lt;&gt;"-",AA83&gt;5),1,0)+IF(AND(AC83&lt;&gt;"-",AC83&gt;5),1,0)+IF(AND(AE83&lt;&gt;"-",AE83&gt;5),1,0)+IF(AND(AG83&lt;&gt;"-",AG83&gt;5),1,0)+IF(AND(AI83&lt;&gt;"-",AI83&gt;5),1,0)+IF(AND(AK83&lt;&gt;"-",AK83&gt;5),1,0)+IF(AND(AM83&lt;&gt;"-",AM83&gt;5),1,0)+IF(AND(AO83&lt;&gt;"-",AO83&gt;5),1,0)</f>
        <v>1</v>
      </c>
      <c r="AY83" s="48">
        <f>VLOOKUP(AP83,COND!$A$10:$B$32,2,FALSE)</f>
        <v>1</v>
      </c>
      <c r="AZ83" s="46">
        <f>($AU$3*AU83+$AV$3*AV83+$AW$3*AW83+$AX$3*AX83)*AY83*IF(AQ83&lt;5,0.95,IF(AQ83&lt;7,0.975,1))+$I$3*VLOOKUP(I83,COND!$A$2:$E$7,4,FALSE)+$J$3*VLOOKUP(J83,COND!$A$2:$E$7,2,FALSE)+$K$3*VLOOKUP(K83,COND!$A$2:$E$7,3,FALSE)+IF(BB83="SP",$BB$3,0)+IF($AW83&lt;3,-5,0)+IF(AND($B$2&gt;0,$E83&lt;20),$B$2*25,0)</f>
        <v>45.987839178201227</v>
      </c>
      <c r="BA83" s="49">
        <f>STANDARDIZE(AZ83,AVERAGE($AZ$5:$AZ$570),STDEVP($AZ$5:$AZ$570))</f>
        <v>1.2165111476397616</v>
      </c>
      <c r="BB83" s="47" t="str">
        <f>IF(OR(AND(AQ83&gt;7,AX83&gt;1),AND(AQ83&gt;4,AW83&gt;2)),"SP","RP")</f>
        <v>SP</v>
      </c>
      <c r="BC83" s="47"/>
      <c r="BD83" s="47"/>
      <c r="BE83" s="47"/>
      <c r="BF83" s="47" t="str">
        <f>IF(AVERAGE($O83:$Q83)&gt;=6,"Likely",IF(AVERAGE($O83:$Q83)&gt;=4,"Possible","Unlikely"))</f>
        <v>Possible</v>
      </c>
      <c r="BG83" s="47"/>
      <c r="BH83" s="47" t="str">
        <f>INDEX(Table5[[#All],[Ovr]],MATCH(Table3[[#This Row],[PID]],Table5[[#All],[PID]],0))</f>
        <v/>
      </c>
      <c r="BI83" s="47" t="str">
        <f>INDEX(Table5[[#All],[Rnd]],MATCH(Table3[[#This Row],[PID]],Table5[[#All],[PID]],0))</f>
        <v/>
      </c>
      <c r="BJ83" s="47" t="str">
        <f>INDEX(Table5[[#All],[Pick]],MATCH(Table3[[#This Row],[PID]],Table5[[#All],[PID]],0))</f>
        <v/>
      </c>
      <c r="BK83" s="47" t="str">
        <f>INDEX(Table5[[#All],[Team]],MATCH(Table3[[#This Row],[PID]],Table5[[#All],[PID]],0))</f>
        <v/>
      </c>
      <c r="BL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84" spans="1:64" ht="15" customHeight="1" x14ac:dyDescent="0.25">
      <c r="A84" s="42">
        <v>7079</v>
      </c>
      <c r="B84" s="42" t="s">
        <v>430</v>
      </c>
      <c r="C84" s="42" t="s">
        <v>450</v>
      </c>
      <c r="D84" s="42" t="s">
        <v>1487</v>
      </c>
      <c r="E84" s="42">
        <v>21</v>
      </c>
      <c r="F84" s="42" t="s">
        <v>42</v>
      </c>
      <c r="G84" s="42" t="s">
        <v>42</v>
      </c>
      <c r="H84" s="43" t="s">
        <v>709</v>
      </c>
      <c r="I84" s="44" t="s">
        <v>43</v>
      </c>
      <c r="J84" s="42" t="s">
        <v>43</v>
      </c>
      <c r="K84" s="43" t="s">
        <v>43</v>
      </c>
      <c r="L84" s="42">
        <v>4</v>
      </c>
      <c r="M84" s="42">
        <v>3</v>
      </c>
      <c r="N84" s="43">
        <v>4</v>
      </c>
      <c r="O84" s="42">
        <v>6</v>
      </c>
      <c r="P84" s="42">
        <v>4</v>
      </c>
      <c r="Q84" s="43">
        <v>4</v>
      </c>
      <c r="R84" s="42">
        <v>5</v>
      </c>
      <c r="S84" s="42">
        <v>7</v>
      </c>
      <c r="T84" s="42" t="s">
        <v>45</v>
      </c>
      <c r="U84" s="42" t="s">
        <v>45</v>
      </c>
      <c r="V84" s="42" t="s">
        <v>45</v>
      </c>
      <c r="W84" s="42" t="s">
        <v>45</v>
      </c>
      <c r="X84" s="42" t="s">
        <v>45</v>
      </c>
      <c r="Y84" s="42" t="s">
        <v>45</v>
      </c>
      <c r="Z84" s="42" t="s">
        <v>45</v>
      </c>
      <c r="AA84" s="42" t="s">
        <v>45</v>
      </c>
      <c r="AB84" s="42">
        <v>5</v>
      </c>
      <c r="AC84" s="42">
        <v>7</v>
      </c>
      <c r="AD84" s="42" t="s">
        <v>45</v>
      </c>
      <c r="AE84" s="42" t="s">
        <v>45</v>
      </c>
      <c r="AF84" s="42" t="s">
        <v>45</v>
      </c>
      <c r="AG84" s="42" t="s">
        <v>45</v>
      </c>
      <c r="AH84" s="42" t="s">
        <v>45</v>
      </c>
      <c r="AI84" s="42" t="s">
        <v>45</v>
      </c>
      <c r="AJ84" s="42" t="s">
        <v>45</v>
      </c>
      <c r="AK84" s="42" t="s">
        <v>45</v>
      </c>
      <c r="AL84" s="42" t="s">
        <v>45</v>
      </c>
      <c r="AM84" s="42" t="s">
        <v>45</v>
      </c>
      <c r="AN84" s="42" t="s">
        <v>45</v>
      </c>
      <c r="AO84" s="43" t="s">
        <v>45</v>
      </c>
      <c r="AP84" s="42" t="s">
        <v>56</v>
      </c>
      <c r="AQ84" s="42">
        <v>9</v>
      </c>
      <c r="AR84" s="50" t="s">
        <v>353</v>
      </c>
      <c r="AS84" s="45" t="s">
        <v>45</v>
      </c>
      <c r="AT84" s="45" t="s">
        <v>47</v>
      </c>
      <c r="AU84" s="46">
        <f>($O$3*(L84-$O$1)/$O$2+$P$3*(M84-$P$1)/$P$2+$Q$3*(N84-$P$1)/$Q$2)/SUM($O$3:$Q$3)</f>
        <v>-0.99958513341763544</v>
      </c>
      <c r="AV84" s="46">
        <f>($O$3*(O84-$O$1)/$O$2+$P$3*(P84-$P$1)/$P$2+$Q$3*(Q84-$Q$1)/$Q$2)/SUM($O$3:$Q$3)</f>
        <v>3.0723982767838571E-2</v>
      </c>
      <c r="AW84" s="47">
        <f>COUNT(R84:AO84)/2</f>
        <v>2</v>
      </c>
      <c r="AX84" s="47">
        <f>IF(AND(S84&lt;&gt;"-",S84&gt;5),1,0)+IF(AND(U84&lt;&gt;"-",U84&gt;5),1,0)+IF(AND(W84&lt;&gt;"-",W84&gt;5),1,0)+IF(AND(Y84&lt;&gt;"-",Y84&gt;5),1,0)+IF(AND(AA84&lt;&gt;"-",AA84&gt;5),1,0)+IF(AND(AC84&lt;&gt;"-",AC84&gt;5),1,0)+IF(AND(AE84&lt;&gt;"-",AE84&gt;5),1,0)+IF(AND(AG84&lt;&gt;"-",AG84&gt;5),1,0)+IF(AND(AI84&lt;&gt;"-",AI84&gt;5),1,0)+IF(AND(AK84&lt;&gt;"-",AK84&gt;5),1,0)+IF(AND(AM84&lt;&gt;"-",AM84&gt;5),1,0)+IF(AND(AO84&lt;&gt;"-",AO84&gt;5),1,0)</f>
        <v>2</v>
      </c>
      <c r="AY84" s="48">
        <f>VLOOKUP(AP84,COND!$A$10:$B$32,2,FALSE)</f>
        <v>1</v>
      </c>
      <c r="AZ84" s="46">
        <f>($AU$3*AU84+$AV$3*AV84+$AW$3*AW84+$AX$3*AX84)*AY84*IF(AQ84&lt;5,0.95,IF(AQ84&lt;7,0.975,1))+$I$3*VLOOKUP(I84,COND!$A$2:$E$7,4,FALSE)+$J$3*VLOOKUP(J84,COND!$A$2:$E$7,2,FALSE)+$K$3*VLOOKUP(K84,COND!$A$2:$E$7,3,FALSE)+IF(BB84="SP",$BB$3,0)+IF($AW84&lt;3,-5,0)+IF(AND($B$2&gt;0,$E84&lt;20),$B$2*25,0)</f>
        <v>45.914562628673245</v>
      </c>
      <c r="BA84" s="49">
        <f>STANDARDIZE(AZ84,AVERAGE($AZ$5:$AZ$570),STDEVP($AZ$5:$AZ$570))</f>
        <v>1.2097913748574904</v>
      </c>
      <c r="BB84" s="47" t="str">
        <f>IF(OR(AND(AQ84&gt;7,AX84&gt;1),AND(AQ84&gt;4,AW84&gt;2)),"SP","RP")</f>
        <v>SP</v>
      </c>
      <c r="BC84" s="47"/>
      <c r="BD84" s="47"/>
      <c r="BE84" s="47"/>
      <c r="BF84" s="47" t="str">
        <f>IF(AVERAGE($O84:$Q84)&gt;=6,"Likely",IF(AVERAGE($O84:$Q84)&gt;=4,"Possible","Unlikely"))</f>
        <v>Possible</v>
      </c>
      <c r="BG84" s="47"/>
      <c r="BH84" s="47" t="str">
        <f>INDEX(Table5[[#All],[Ovr]],MATCH(Table3[[#This Row],[PID]],Table5[[#All],[PID]],0))</f>
        <v/>
      </c>
      <c r="BI84" s="47" t="str">
        <f>INDEX(Table5[[#All],[Rnd]],MATCH(Table3[[#This Row],[PID]],Table5[[#All],[PID]],0))</f>
        <v/>
      </c>
      <c r="BJ84" s="47" t="str">
        <f>INDEX(Table5[[#All],[Pick]],MATCH(Table3[[#This Row],[PID]],Table5[[#All],[PID]],0))</f>
        <v/>
      </c>
      <c r="BK84" s="47" t="str">
        <f>INDEX(Table5[[#All],[Team]],MATCH(Table3[[#This Row],[PID]],Table5[[#All],[PID]],0))</f>
        <v/>
      </c>
      <c r="BL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85" spans="1:64" ht="15" customHeight="1" x14ac:dyDescent="0.25">
      <c r="A85" s="42">
        <v>13002</v>
      </c>
      <c r="B85" s="42" t="s">
        <v>430</v>
      </c>
      <c r="C85" s="42" t="s">
        <v>167</v>
      </c>
      <c r="D85" s="42" t="s">
        <v>1472</v>
      </c>
      <c r="E85" s="42">
        <v>18</v>
      </c>
      <c r="F85" s="42" t="s">
        <v>42</v>
      </c>
      <c r="G85" s="42" t="s">
        <v>42</v>
      </c>
      <c r="H85" s="43" t="s">
        <v>721</v>
      </c>
      <c r="I85" s="44" t="s">
        <v>43</v>
      </c>
      <c r="J85" s="42" t="s">
        <v>43</v>
      </c>
      <c r="K85" s="43" t="s">
        <v>47</v>
      </c>
      <c r="L85" s="42">
        <v>2</v>
      </c>
      <c r="M85" s="42">
        <v>2</v>
      </c>
      <c r="N85" s="43">
        <v>1</v>
      </c>
      <c r="O85" s="42">
        <v>6</v>
      </c>
      <c r="P85" s="42">
        <v>5</v>
      </c>
      <c r="Q85" s="43">
        <v>2</v>
      </c>
      <c r="R85" s="42">
        <v>4</v>
      </c>
      <c r="S85" s="42">
        <v>7</v>
      </c>
      <c r="T85" s="42" t="s">
        <v>45</v>
      </c>
      <c r="U85" s="42" t="s">
        <v>45</v>
      </c>
      <c r="V85" s="42" t="s">
        <v>45</v>
      </c>
      <c r="W85" s="42" t="s">
        <v>45</v>
      </c>
      <c r="X85" s="42">
        <v>2</v>
      </c>
      <c r="Y85" s="42">
        <v>9</v>
      </c>
      <c r="Z85" s="42" t="s">
        <v>45</v>
      </c>
      <c r="AA85" s="42" t="s">
        <v>45</v>
      </c>
      <c r="AB85" s="42" t="s">
        <v>45</v>
      </c>
      <c r="AC85" s="42" t="s">
        <v>45</v>
      </c>
      <c r="AD85" s="42" t="s">
        <v>45</v>
      </c>
      <c r="AE85" s="42" t="s">
        <v>45</v>
      </c>
      <c r="AF85" s="42" t="s">
        <v>45</v>
      </c>
      <c r="AG85" s="42" t="s">
        <v>45</v>
      </c>
      <c r="AH85" s="42" t="s">
        <v>45</v>
      </c>
      <c r="AI85" s="42" t="s">
        <v>45</v>
      </c>
      <c r="AJ85" s="42" t="s">
        <v>45</v>
      </c>
      <c r="AK85" s="42" t="s">
        <v>45</v>
      </c>
      <c r="AL85" s="42" t="s">
        <v>45</v>
      </c>
      <c r="AM85" s="42" t="s">
        <v>45</v>
      </c>
      <c r="AN85" s="42" t="s">
        <v>45</v>
      </c>
      <c r="AO85" s="43" t="s">
        <v>45</v>
      </c>
      <c r="AP85" s="42" t="s">
        <v>58</v>
      </c>
      <c r="AQ85" s="42">
        <v>9</v>
      </c>
      <c r="AR85" s="50" t="s">
        <v>352</v>
      </c>
      <c r="AS85" s="45" t="s">
        <v>739</v>
      </c>
      <c r="AT85" s="45" t="s">
        <v>47</v>
      </c>
      <c r="AU85" s="46">
        <f>($O$3*(L85-$O$1)/$O$2+$P$3*(M85-$P$1)/$P$2+$Q$3*(N85-$P$1)/$Q$2)/SUM($O$3:$Q$3)</f>
        <v>-2.311361197028369</v>
      </c>
      <c r="AV85" s="46">
        <f>($O$3*(O85-$O$1)/$O$2+$P$3*(P85-$P$1)/$P$2+$Q$3*(Q85-$Q$1)/$Q$2)/SUM($O$3:$Q$3)</f>
        <v>-0.25848543291032677</v>
      </c>
      <c r="AW85" s="47">
        <f>COUNT(R85:AO85)/2</f>
        <v>2</v>
      </c>
      <c r="AX85" s="47">
        <f>IF(AND(S85&lt;&gt;"-",S85&gt;5),1,0)+IF(AND(U85&lt;&gt;"-",U85&gt;5),1,0)+IF(AND(W85&lt;&gt;"-",W85&gt;5),1,0)+IF(AND(Y85&lt;&gt;"-",Y85&gt;5),1,0)+IF(AND(AA85&lt;&gt;"-",AA85&gt;5),1,0)+IF(AND(AC85&lt;&gt;"-",AC85&gt;5),1,0)+IF(AND(AE85&lt;&gt;"-",AE85&gt;5),1,0)+IF(AND(AG85&lt;&gt;"-",AG85&gt;5),1,0)+IF(AND(AI85&lt;&gt;"-",AI85&gt;5),1,0)+IF(AND(AK85&lt;&gt;"-",AK85&gt;5),1,0)+IF(AND(AM85&lt;&gt;"-",AM85&gt;5),1,0)+IF(AND(AO85&lt;&gt;"-",AO85&gt;5),1,0)</f>
        <v>2</v>
      </c>
      <c r="AY85" s="48">
        <f>VLOOKUP(AP85,COND!$A$10:$B$32,2,FALSE)</f>
        <v>1</v>
      </c>
      <c r="AZ85" s="46">
        <f>($AU$3*AU85+$AV$3*AV85+$AW$3*AW85+$AX$3*AX85)*AY85*IF(AQ85&lt;5,0.95,IF(AQ85&lt;7,0.975,1))+$I$3*VLOOKUP(I85,COND!$A$2:$E$7,4,FALSE)+$J$3*VLOOKUP(J85,COND!$A$2:$E$7,2,FALSE)+$K$3*VLOOKUP(K85,COND!$A$2:$E$7,3,FALSE)+IF(BB85="SP",$BB$3,0)+IF($AW85&lt;3,-5,0)+IF(AND($B$2&gt;0,$E85&lt;20),$B$2*25,0)</f>
        <v>45.168019102387788</v>
      </c>
      <c r="BA85" s="49">
        <f>STANDARDIZE(AZ85,AVERAGE($AZ$5:$AZ$570),STDEVP($AZ$5:$AZ$570))</f>
        <v>1.1413301427030216</v>
      </c>
      <c r="BB85" s="47" t="str">
        <f>IF(OR(AND(AQ85&gt;7,AX85&gt;1),AND(AQ85&gt;4,AW85&gt;2)),"SP","RP")</f>
        <v>SP</v>
      </c>
      <c r="BC85" s="47"/>
      <c r="BD85" s="47"/>
      <c r="BE85" s="47"/>
      <c r="BF85" s="47" t="str">
        <f>IF(AVERAGE($O85:$Q85)&gt;=6,"Likely",IF(AVERAGE($O85:$Q85)&gt;=4,"Possible","Unlikely"))</f>
        <v>Possible</v>
      </c>
      <c r="BG85" s="47"/>
      <c r="BH85" s="47" t="str">
        <f>INDEX(Table5[[#All],[Ovr]],MATCH(Table3[[#This Row],[PID]],Table5[[#All],[PID]],0))</f>
        <v/>
      </c>
      <c r="BI85" s="47" t="str">
        <f>INDEX(Table5[[#All],[Rnd]],MATCH(Table3[[#This Row],[PID]],Table5[[#All],[PID]],0))</f>
        <v/>
      </c>
      <c r="BJ85" s="47" t="str">
        <f>INDEX(Table5[[#All],[Pick]],MATCH(Table3[[#This Row],[PID]],Table5[[#All],[PID]],0))</f>
        <v/>
      </c>
      <c r="BK85" s="47" t="str">
        <f>INDEX(Table5[[#All],[Team]],MATCH(Table3[[#This Row],[PID]],Table5[[#All],[PID]],0))</f>
        <v/>
      </c>
      <c r="BL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86" spans="1:64" ht="15" customHeight="1" x14ac:dyDescent="0.25">
      <c r="A86" s="42">
        <v>9327</v>
      </c>
      <c r="B86" s="42" t="s">
        <v>24</v>
      </c>
      <c r="C86" s="42" t="s">
        <v>210</v>
      </c>
      <c r="D86" s="42" t="s">
        <v>1225</v>
      </c>
      <c r="E86" s="42">
        <v>20</v>
      </c>
      <c r="F86" s="42" t="s">
        <v>53</v>
      </c>
      <c r="G86" s="42" t="s">
        <v>53</v>
      </c>
      <c r="H86" s="43" t="s">
        <v>709</v>
      </c>
      <c r="I86" s="44" t="s">
        <v>44</v>
      </c>
      <c r="J86" s="42" t="s">
        <v>43</v>
      </c>
      <c r="K86" s="43" t="s">
        <v>43</v>
      </c>
      <c r="L86" s="42">
        <v>2</v>
      </c>
      <c r="M86" s="42">
        <v>2</v>
      </c>
      <c r="N86" s="43">
        <v>1</v>
      </c>
      <c r="O86" s="42">
        <v>6</v>
      </c>
      <c r="P86" s="42">
        <v>3</v>
      </c>
      <c r="Q86" s="43">
        <v>3</v>
      </c>
      <c r="R86" s="42">
        <v>5</v>
      </c>
      <c r="S86" s="42">
        <v>7</v>
      </c>
      <c r="T86" s="42">
        <v>2</v>
      </c>
      <c r="U86" s="42">
        <v>7</v>
      </c>
      <c r="V86" s="42">
        <v>2</v>
      </c>
      <c r="W86" s="42">
        <v>6</v>
      </c>
      <c r="X86" s="42">
        <v>3</v>
      </c>
      <c r="Y86" s="42">
        <v>6</v>
      </c>
      <c r="Z86" s="42" t="s">
        <v>45</v>
      </c>
      <c r="AA86" s="42" t="s">
        <v>45</v>
      </c>
      <c r="AB86" s="42" t="s">
        <v>45</v>
      </c>
      <c r="AC86" s="42" t="s">
        <v>45</v>
      </c>
      <c r="AD86" s="42" t="s">
        <v>45</v>
      </c>
      <c r="AE86" s="42" t="s">
        <v>45</v>
      </c>
      <c r="AF86" s="42">
        <v>4</v>
      </c>
      <c r="AG86" s="42">
        <v>4</v>
      </c>
      <c r="AH86" s="42" t="s">
        <v>45</v>
      </c>
      <c r="AI86" s="42" t="s">
        <v>45</v>
      </c>
      <c r="AJ86" s="42" t="s">
        <v>45</v>
      </c>
      <c r="AK86" s="42" t="s">
        <v>45</v>
      </c>
      <c r="AL86" s="42" t="s">
        <v>45</v>
      </c>
      <c r="AM86" s="42" t="s">
        <v>45</v>
      </c>
      <c r="AN86" s="42" t="s">
        <v>45</v>
      </c>
      <c r="AO86" s="43" t="s">
        <v>45</v>
      </c>
      <c r="AP86" s="42" t="s">
        <v>60</v>
      </c>
      <c r="AQ86" s="42">
        <v>7</v>
      </c>
      <c r="AR86" s="50" t="s">
        <v>353</v>
      </c>
      <c r="AS86" s="45" t="s">
        <v>1226</v>
      </c>
      <c r="AT86" s="45" t="s">
        <v>47</v>
      </c>
      <c r="AU86" s="46">
        <f>($O$3*(L86-$O$1)/$O$2+$P$3*(M86-$P$1)/$P$2+$Q$3*(N86-$P$1)/$Q$2)/SUM($O$3:$Q$3)</f>
        <v>-2.311361197028369</v>
      </c>
      <c r="AV86" s="46">
        <f>($O$3*(O86-$O$1)/$O$2+$P$3*(P86-$P$1)/$P$2+$Q$3*(Q86-$Q$1)/$Q$2)/SUM($O$3:$Q$3)</f>
        <v>-0.40702829971632715</v>
      </c>
      <c r="AW86" s="47">
        <f>COUNT(R86:AO86)/2</f>
        <v>5</v>
      </c>
      <c r="AX86" s="47">
        <f>IF(AND(S86&lt;&gt;"-",S86&gt;5),1,0)+IF(AND(U86&lt;&gt;"-",U86&gt;5),1,0)+IF(AND(W86&lt;&gt;"-",W86&gt;5),1,0)+IF(AND(Y86&lt;&gt;"-",Y86&gt;5),1,0)+IF(AND(AA86&lt;&gt;"-",AA86&gt;5),1,0)+IF(AND(AC86&lt;&gt;"-",AC86&gt;5),1,0)+IF(AND(AE86&lt;&gt;"-",AE86&gt;5),1,0)+IF(AND(AG86&lt;&gt;"-",AG86&gt;5),1,0)+IF(AND(AI86&lt;&gt;"-",AI86&gt;5),1,0)+IF(AND(AK86&lt;&gt;"-",AK86&gt;5),1,0)+IF(AND(AM86&lt;&gt;"-",AM86&gt;5),1,0)+IF(AND(AO86&lt;&gt;"-",AO86&gt;5),1,0)</f>
        <v>4</v>
      </c>
      <c r="AY86" s="48">
        <f>VLOOKUP(AP86,COND!$A$10:$B$32,2,FALSE)</f>
        <v>1.0249999999999999</v>
      </c>
      <c r="AZ86" s="46">
        <f>($AU$3*AU86+$AV$3*AV86+$AW$3*AW86+$AX$3*AX86)*AY86*IF(AQ86&lt;5,0.95,IF(AQ86&lt;7,0.975,1))+$I$3*VLOOKUP(I86,COND!$A$2:$E$7,4,FALSE)+$J$3*VLOOKUP(J86,COND!$A$2:$E$7,2,FALSE)+$K$3*VLOOKUP(K86,COND!$A$2:$E$7,3,FALSE)+IF(BB86="SP",$BB$3,0)+IF($AW86&lt;3,-5,0)+IF(AND($B$2&gt;0,$E86&lt;20),$B$2*25,0)</f>
        <v>45.719590810424478</v>
      </c>
      <c r="BA86" s="49">
        <f>STANDARDIZE(AZ86,AVERAGE($AZ$5:$AZ$570),STDEVP($AZ$5:$AZ$570))</f>
        <v>1.1919116257970133</v>
      </c>
      <c r="BB86" s="47" t="str">
        <f>IF(OR(AND(AQ86&gt;7,AX86&gt;1),AND(AQ86&gt;4,AW86&gt;2)),"SP","RP")</f>
        <v>SP</v>
      </c>
      <c r="BC86" s="47"/>
      <c r="BD86" s="47"/>
      <c r="BE86" s="47"/>
      <c r="BF86" s="47" t="str">
        <f>IF(AVERAGE($O86:$Q86)&gt;=6,"Likely",IF(AVERAGE($O86:$Q86)&gt;=4,"Possible","Unlikely"))</f>
        <v>Possible</v>
      </c>
      <c r="BG86" s="47"/>
      <c r="BH86" s="47" t="str">
        <f>INDEX(Table5[[#All],[Ovr]],MATCH(Table3[[#This Row],[PID]],Table5[[#All],[PID]],0))</f>
        <v/>
      </c>
      <c r="BI86" s="47" t="str">
        <f>INDEX(Table5[[#All],[Rnd]],MATCH(Table3[[#This Row],[PID]],Table5[[#All],[PID]],0))</f>
        <v/>
      </c>
      <c r="BJ86" s="47" t="str">
        <f>INDEX(Table5[[#All],[Pick]],MATCH(Table3[[#This Row],[PID]],Table5[[#All],[PID]],0))</f>
        <v/>
      </c>
      <c r="BK86" s="47" t="str">
        <f>INDEX(Table5[[#All],[Team]],MATCH(Table3[[#This Row],[PID]],Table5[[#All],[PID]],0))</f>
        <v/>
      </c>
      <c r="BL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87" spans="1:64" ht="15" customHeight="1" x14ac:dyDescent="0.25">
      <c r="A87" s="42">
        <v>5964</v>
      </c>
      <c r="B87" s="42" t="s">
        <v>430</v>
      </c>
      <c r="C87" s="42" t="s">
        <v>137</v>
      </c>
      <c r="D87" s="42" t="s">
        <v>1450</v>
      </c>
      <c r="E87" s="42">
        <v>18</v>
      </c>
      <c r="F87" s="42" t="s">
        <v>53</v>
      </c>
      <c r="G87" s="42" t="s">
        <v>53</v>
      </c>
      <c r="H87" s="43" t="s">
        <v>709</v>
      </c>
      <c r="I87" s="44" t="s">
        <v>44</v>
      </c>
      <c r="J87" s="42" t="s">
        <v>44</v>
      </c>
      <c r="K87" s="43" t="s">
        <v>44</v>
      </c>
      <c r="L87" s="42">
        <v>3</v>
      </c>
      <c r="M87" s="42">
        <v>2</v>
      </c>
      <c r="N87" s="43">
        <v>1</v>
      </c>
      <c r="O87" s="42">
        <v>8</v>
      </c>
      <c r="P87" s="42">
        <v>3</v>
      </c>
      <c r="Q87" s="43">
        <v>3</v>
      </c>
      <c r="R87" s="42">
        <v>5</v>
      </c>
      <c r="S87" s="42">
        <v>8</v>
      </c>
      <c r="T87" s="42" t="s">
        <v>45</v>
      </c>
      <c r="U87" s="42" t="s">
        <v>45</v>
      </c>
      <c r="V87" s="42" t="s">
        <v>45</v>
      </c>
      <c r="W87" s="42" t="s">
        <v>45</v>
      </c>
      <c r="X87" s="42">
        <v>3</v>
      </c>
      <c r="Y87" s="42">
        <v>9</v>
      </c>
      <c r="Z87" s="42" t="s">
        <v>45</v>
      </c>
      <c r="AA87" s="42" t="s">
        <v>45</v>
      </c>
      <c r="AB87" s="42" t="s">
        <v>45</v>
      </c>
      <c r="AC87" s="42" t="s">
        <v>45</v>
      </c>
      <c r="AD87" s="42" t="s">
        <v>45</v>
      </c>
      <c r="AE87" s="42" t="s">
        <v>45</v>
      </c>
      <c r="AF87" s="42" t="s">
        <v>45</v>
      </c>
      <c r="AG87" s="42" t="s">
        <v>45</v>
      </c>
      <c r="AH87" s="42" t="s">
        <v>45</v>
      </c>
      <c r="AI87" s="42" t="s">
        <v>45</v>
      </c>
      <c r="AJ87" s="42" t="s">
        <v>45</v>
      </c>
      <c r="AK87" s="42" t="s">
        <v>45</v>
      </c>
      <c r="AL87" s="42" t="s">
        <v>45</v>
      </c>
      <c r="AM87" s="42" t="s">
        <v>45</v>
      </c>
      <c r="AN87" s="42" t="s">
        <v>45</v>
      </c>
      <c r="AO87" s="43" t="s">
        <v>45</v>
      </c>
      <c r="AP87" s="42" t="s">
        <v>54</v>
      </c>
      <c r="AQ87" s="42">
        <v>4</v>
      </c>
      <c r="AR87" s="50" t="s">
        <v>353</v>
      </c>
      <c r="AS87" s="45" t="s">
        <v>758</v>
      </c>
      <c r="AT87" s="45" t="s">
        <v>47</v>
      </c>
      <c r="AU87" s="46">
        <f>($O$3*(L87-$O$1)/$O$2+$P$3*(M87-$P$1)/$P$2+$Q$3*(N87-$P$1)/$Q$2)/SUM($O$3:$Q$3)</f>
        <v>-2.1166698725191955</v>
      </c>
      <c r="AV87" s="46">
        <f>($O$3*(O87-$O$1)/$O$2+$P$3*(P87-$P$1)/$P$2+$Q$3*(Q87-$Q$1)/$Q$2)/SUM($O$3:$Q$3)</f>
        <v>-1.7645650697980231E-2</v>
      </c>
      <c r="AW87" s="47">
        <f>COUNT(R87:AO87)/2</f>
        <v>2</v>
      </c>
      <c r="AX87" s="47">
        <f>IF(AND(S87&lt;&gt;"-",S87&gt;5),1,0)+IF(AND(U87&lt;&gt;"-",U87&gt;5),1,0)+IF(AND(W87&lt;&gt;"-",W87&gt;5),1,0)+IF(AND(Y87&lt;&gt;"-",Y87&gt;5),1,0)+IF(AND(AA87&lt;&gt;"-",AA87&gt;5),1,0)+IF(AND(AC87&lt;&gt;"-",AC87&gt;5),1,0)+IF(AND(AE87&lt;&gt;"-",AE87&gt;5),1,0)+IF(AND(AG87&lt;&gt;"-",AG87&gt;5),1,0)+IF(AND(AI87&lt;&gt;"-",AI87&gt;5),1,0)+IF(AND(AK87&lt;&gt;"-",AK87&gt;5),1,0)+IF(AND(AM87&lt;&gt;"-",AM87&gt;5),1,0)+IF(AND(AO87&lt;&gt;"-",AO87&gt;5),1,0)</f>
        <v>2</v>
      </c>
      <c r="AY87" s="48">
        <f>VLOOKUP(AP87,COND!$A$10:$B$32,2,FALSE)</f>
        <v>1.0249999999999999</v>
      </c>
      <c r="AZ87" s="46">
        <f>($AU$3*AU87+$AV$3*AV87+$AW$3*AW87+$AX$3*AX87)*AY87*IF(AQ87&lt;5,0.95,IF(AQ87&lt;7,0.975,1))+$I$3*VLOOKUP(I87,COND!$A$2:$E$7,4,FALSE)+$J$3*VLOOKUP(J87,COND!$A$2:$E$7,2,FALSE)+$K$3*VLOOKUP(K87,COND!$A$2:$E$7,3,FALSE)+IF(BB87="SP",$BB$3,0)+IF($AW87&lt;3,-5,0)+IF(AND($B$2&gt;0,$E87&lt;20),$B$2*25,0)</f>
        <v>46.902254494983723</v>
      </c>
      <c r="BA87" s="49">
        <f>STANDARDIZE(AZ87,AVERAGE($AZ$5:$AZ$570),STDEVP($AZ$5:$AZ$570))</f>
        <v>1.3003669404819211</v>
      </c>
      <c r="BB87" s="47" t="str">
        <f>IF(OR(AND(AQ87&gt;7,AX87&gt;1),AND(AQ87&gt;4,AW87&gt;2)),"SP","RP")</f>
        <v>RP</v>
      </c>
      <c r="BC87" s="47"/>
      <c r="BD87" s="47"/>
      <c r="BE87" s="47"/>
      <c r="BF87" s="47" t="str">
        <f>IF(AVERAGE($O87:$Q87)&gt;=6,"Likely",IF(AVERAGE($O87:$Q87)&gt;=4,"Possible","Unlikely"))</f>
        <v>Possible</v>
      </c>
      <c r="BG87" s="47"/>
      <c r="BH87" s="47" t="str">
        <f>INDEX(Table5[[#All],[Ovr]],MATCH(Table3[[#This Row],[PID]],Table5[[#All],[PID]],0))</f>
        <v/>
      </c>
      <c r="BI87" s="47" t="str">
        <f>INDEX(Table5[[#All],[Rnd]],MATCH(Table3[[#This Row],[PID]],Table5[[#All],[PID]],0))</f>
        <v/>
      </c>
      <c r="BJ87" s="47" t="str">
        <f>INDEX(Table5[[#All],[Pick]],MATCH(Table3[[#This Row],[PID]],Table5[[#All],[PID]],0))</f>
        <v/>
      </c>
      <c r="BK87" s="47" t="str">
        <f>INDEX(Table5[[#All],[Team]],MATCH(Table3[[#This Row],[PID]],Table5[[#All],[PID]],0))</f>
        <v/>
      </c>
      <c r="BL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88" spans="1:64" ht="15" customHeight="1" x14ac:dyDescent="0.25">
      <c r="A88" s="42">
        <v>13540</v>
      </c>
      <c r="B88" s="42" t="s">
        <v>24</v>
      </c>
      <c r="C88" s="42" t="s">
        <v>1332</v>
      </c>
      <c r="D88" s="42" t="s">
        <v>1333</v>
      </c>
      <c r="E88" s="42">
        <v>18</v>
      </c>
      <c r="F88" s="42" t="s">
        <v>42</v>
      </c>
      <c r="G88" s="42" t="s">
        <v>42</v>
      </c>
      <c r="H88" s="43" t="s">
        <v>709</v>
      </c>
      <c r="I88" s="44" t="s">
        <v>43</v>
      </c>
      <c r="J88" s="42" t="s">
        <v>44</v>
      </c>
      <c r="K88" s="43" t="s">
        <v>44</v>
      </c>
      <c r="L88" s="42">
        <v>2</v>
      </c>
      <c r="M88" s="42">
        <v>2</v>
      </c>
      <c r="N88" s="43">
        <v>1</v>
      </c>
      <c r="O88" s="42">
        <v>6</v>
      </c>
      <c r="P88" s="42">
        <v>4</v>
      </c>
      <c r="Q88" s="43">
        <v>2</v>
      </c>
      <c r="R88" s="42">
        <v>5</v>
      </c>
      <c r="S88" s="42">
        <v>8</v>
      </c>
      <c r="T88" s="42" t="s">
        <v>45</v>
      </c>
      <c r="U88" s="42" t="s">
        <v>45</v>
      </c>
      <c r="V88" s="42">
        <v>2</v>
      </c>
      <c r="W88" s="42">
        <v>7</v>
      </c>
      <c r="X88" s="42" t="s">
        <v>45</v>
      </c>
      <c r="Y88" s="42" t="s">
        <v>45</v>
      </c>
      <c r="Z88" s="42" t="s">
        <v>45</v>
      </c>
      <c r="AA88" s="42" t="s">
        <v>45</v>
      </c>
      <c r="AB88" s="42" t="s">
        <v>45</v>
      </c>
      <c r="AC88" s="42" t="s">
        <v>45</v>
      </c>
      <c r="AD88" s="42" t="s">
        <v>45</v>
      </c>
      <c r="AE88" s="42" t="s">
        <v>45</v>
      </c>
      <c r="AF88" s="42" t="s">
        <v>45</v>
      </c>
      <c r="AG88" s="42" t="s">
        <v>45</v>
      </c>
      <c r="AH88" s="42">
        <v>1</v>
      </c>
      <c r="AI88" s="42">
        <v>7</v>
      </c>
      <c r="AJ88" s="42" t="s">
        <v>45</v>
      </c>
      <c r="AK88" s="42" t="s">
        <v>45</v>
      </c>
      <c r="AL88" s="42" t="s">
        <v>45</v>
      </c>
      <c r="AM88" s="42" t="s">
        <v>45</v>
      </c>
      <c r="AN88" s="42" t="s">
        <v>45</v>
      </c>
      <c r="AO88" s="43" t="s">
        <v>45</v>
      </c>
      <c r="AP88" s="42" t="s">
        <v>61</v>
      </c>
      <c r="AQ88" s="42">
        <v>8</v>
      </c>
      <c r="AR88" s="50" t="s">
        <v>353</v>
      </c>
      <c r="AS88" s="45" t="s">
        <v>634</v>
      </c>
      <c r="AT88" s="45" t="s">
        <v>47</v>
      </c>
      <c r="AU88" s="46">
        <f>($O$3*(L88-$O$1)/$O$2+$P$3*(M88-$P$1)/$P$2+$Q$3*(N88-$P$1)/$Q$2)/SUM($O$3:$Q$3)</f>
        <v>-2.311361197028369</v>
      </c>
      <c r="AV88" s="46">
        <f>($O$3*(O88-$O$1)/$O$2+$P$3*(P88-$P$1)/$P$2+$Q$3*(Q88-$Q$1)/$Q$2)/SUM($O$3:$Q$3)</f>
        <v>-0.45391714934038213</v>
      </c>
      <c r="AW88" s="47">
        <f>COUNT(R88:AO88)/2</f>
        <v>3</v>
      </c>
      <c r="AX88" s="47">
        <f>IF(AND(S88&lt;&gt;"-",S88&gt;5),1,0)+IF(AND(U88&lt;&gt;"-",U88&gt;5),1,0)+IF(AND(W88&lt;&gt;"-",W88&gt;5),1,0)+IF(AND(Y88&lt;&gt;"-",Y88&gt;5),1,0)+IF(AND(AA88&lt;&gt;"-",AA88&gt;5),1,0)+IF(AND(AC88&lt;&gt;"-",AC88&gt;5),1,0)+IF(AND(AE88&lt;&gt;"-",AE88&gt;5),1,0)+IF(AND(AG88&lt;&gt;"-",AG88&gt;5),1,0)+IF(AND(AI88&lt;&gt;"-",AI88&gt;5),1,0)+IF(AND(AK88&lt;&gt;"-",AK88&gt;5),1,0)+IF(AND(AM88&lt;&gt;"-",AM88&gt;5),1,0)+IF(AND(AO88&lt;&gt;"-",AO88&gt;5),1,0)</f>
        <v>3</v>
      </c>
      <c r="AY88" s="48">
        <f>VLOOKUP(AP88,COND!$A$10:$B$32,2,FALSE)</f>
        <v>1.05</v>
      </c>
      <c r="AZ88" s="46">
        <f>($AU$3*AU88+$AV$3*AV88+$AW$3*AW88+$AX$3*AX88)*AY88*IF(AQ88&lt;5,0.95,IF(AQ88&lt;7,0.975,1))+$I$3*VLOOKUP(I88,COND!$A$2:$E$7,4,FALSE)+$J$3*VLOOKUP(J88,COND!$A$2:$E$7,2,FALSE)+$K$3*VLOOKUP(K88,COND!$A$2:$E$7,3,FALSE)+IF(BB88="SP",$BB$3,0)+IF($AW88&lt;3,-5,0)+IF(AND($B$2&gt;0,$E88&lt;20),$B$2*25,0)</f>
        <v>46.894854012476017</v>
      </c>
      <c r="BA88" s="49">
        <f>STANDARDIZE(AZ88,AVERAGE($AZ$5:$AZ$570),STDEVP($AZ$5:$AZ$570))</f>
        <v>1.2996882846056377</v>
      </c>
      <c r="BB88" s="47" t="str">
        <f>IF(OR(AND(AQ88&gt;7,AX88&gt;1),AND(AQ88&gt;4,AW88&gt;2)),"SP","RP")</f>
        <v>SP</v>
      </c>
      <c r="BC88" s="47"/>
      <c r="BD88" s="47"/>
      <c r="BE88" s="47"/>
      <c r="BF88" s="47" t="str">
        <f>IF(AVERAGE($O88:$Q88)&gt;=6,"Likely",IF(AVERAGE($O88:$Q88)&gt;=4,"Possible","Unlikely"))</f>
        <v>Possible</v>
      </c>
      <c r="BG88" s="47"/>
      <c r="BH88" s="47" t="str">
        <f>INDEX(Table5[[#All],[Ovr]],MATCH(Table3[[#This Row],[PID]],Table5[[#All],[PID]],0))</f>
        <v/>
      </c>
      <c r="BI88" s="47" t="str">
        <f>INDEX(Table5[[#All],[Rnd]],MATCH(Table3[[#This Row],[PID]],Table5[[#All],[PID]],0))</f>
        <v/>
      </c>
      <c r="BJ88" s="47" t="str">
        <f>INDEX(Table5[[#All],[Pick]],MATCH(Table3[[#This Row],[PID]],Table5[[#All],[PID]],0))</f>
        <v/>
      </c>
      <c r="BK88" s="47" t="str">
        <f>INDEX(Table5[[#All],[Team]],MATCH(Table3[[#This Row],[PID]],Table5[[#All],[PID]],0))</f>
        <v/>
      </c>
      <c r="BL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89" spans="1:64" ht="15" customHeight="1" x14ac:dyDescent="0.25">
      <c r="A89" s="42">
        <v>9561</v>
      </c>
      <c r="B89" s="42" t="s">
        <v>24</v>
      </c>
      <c r="C89" s="42" t="s">
        <v>568</v>
      </c>
      <c r="D89" s="42" t="s">
        <v>1677</v>
      </c>
      <c r="E89" s="42">
        <v>20</v>
      </c>
      <c r="F89" s="42" t="s">
        <v>53</v>
      </c>
      <c r="G89" s="42" t="s">
        <v>53</v>
      </c>
      <c r="H89" s="43" t="s">
        <v>703</v>
      </c>
      <c r="I89" s="44" t="s">
        <v>43</v>
      </c>
      <c r="J89" s="42" t="s">
        <v>43</v>
      </c>
      <c r="K89" s="43" t="s">
        <v>43</v>
      </c>
      <c r="L89" s="42">
        <v>2</v>
      </c>
      <c r="M89" s="42">
        <v>2</v>
      </c>
      <c r="N89" s="43">
        <v>2</v>
      </c>
      <c r="O89" s="42">
        <v>4</v>
      </c>
      <c r="P89" s="42">
        <v>2</v>
      </c>
      <c r="Q89" s="43">
        <v>6</v>
      </c>
      <c r="R89" s="42" t="s">
        <v>45</v>
      </c>
      <c r="S89" s="42" t="s">
        <v>45</v>
      </c>
      <c r="T89" s="42">
        <v>3</v>
      </c>
      <c r="U89" s="42">
        <v>5</v>
      </c>
      <c r="V89" s="42">
        <v>4</v>
      </c>
      <c r="W89" s="42">
        <v>6</v>
      </c>
      <c r="X89" s="42" t="s">
        <v>45</v>
      </c>
      <c r="Y89" s="42" t="s">
        <v>45</v>
      </c>
      <c r="Z89" s="42" t="s">
        <v>45</v>
      </c>
      <c r="AA89" s="42" t="s">
        <v>45</v>
      </c>
      <c r="AB89" s="42" t="s">
        <v>45</v>
      </c>
      <c r="AC89" s="42" t="s">
        <v>45</v>
      </c>
      <c r="AD89" s="42" t="s">
        <v>45</v>
      </c>
      <c r="AE89" s="42" t="s">
        <v>45</v>
      </c>
      <c r="AF89" s="42" t="s">
        <v>45</v>
      </c>
      <c r="AG89" s="42" t="s">
        <v>45</v>
      </c>
      <c r="AH89" s="42" t="s">
        <v>45</v>
      </c>
      <c r="AI89" s="42" t="s">
        <v>45</v>
      </c>
      <c r="AJ89" s="42" t="s">
        <v>45</v>
      </c>
      <c r="AK89" s="42" t="s">
        <v>45</v>
      </c>
      <c r="AL89" s="42" t="s">
        <v>45</v>
      </c>
      <c r="AM89" s="42" t="s">
        <v>45</v>
      </c>
      <c r="AN89" s="42">
        <v>4</v>
      </c>
      <c r="AO89" s="43">
        <v>7</v>
      </c>
      <c r="AP89" s="42" t="s">
        <v>58</v>
      </c>
      <c r="AQ89" s="42">
        <v>9</v>
      </c>
      <c r="AR89" s="50" t="s">
        <v>353</v>
      </c>
      <c r="AS89" s="45" t="s">
        <v>704</v>
      </c>
      <c r="AT89" s="45" t="s">
        <v>705</v>
      </c>
      <c r="AU89" s="46">
        <f>($O$3*(L89-$O$1)/$O$2+$P$3*(M89-$P$1)/$P$2+$Q$3*(N89-$P$1)/$Q$2)/SUM($O$3:$Q$3)</f>
        <v>-2.0690406309742588</v>
      </c>
      <c r="AV89" s="46">
        <f>($O$3*(O89-$O$1)/$O$2+$P$3*(P89-$P$1)/$P$2+$Q$3*(Q89-$Q$1)/$Q$2)/SUM($O$3:$Q$3)</f>
        <v>-0.26488096700239849</v>
      </c>
      <c r="AW89" s="47">
        <f>COUNT(R89:AO89)/2</f>
        <v>3</v>
      </c>
      <c r="AX89" s="47">
        <f>IF(AND(S89&lt;&gt;"-",S89&gt;5),1,0)+IF(AND(U89&lt;&gt;"-",U89&gt;5),1,0)+IF(AND(W89&lt;&gt;"-",W89&gt;5),1,0)+IF(AND(Y89&lt;&gt;"-",Y89&gt;5),1,0)+IF(AND(AA89&lt;&gt;"-",AA89&gt;5),1,0)+IF(AND(AC89&lt;&gt;"-",AC89&gt;5),1,0)+IF(AND(AE89&lt;&gt;"-",AE89&gt;5),1,0)+IF(AND(AG89&lt;&gt;"-",AG89&gt;5),1,0)+IF(AND(AI89&lt;&gt;"-",AI89&gt;5),1,0)+IF(AND(AK89&lt;&gt;"-",AK89&gt;5),1,0)+IF(AND(AM89&lt;&gt;"-",AM89&gt;5),1,0)+IF(AND(AO89&lt;&gt;"-",AO89&gt;5),1,0)</f>
        <v>2</v>
      </c>
      <c r="AY89" s="48">
        <f>VLOOKUP(AP89,COND!$A$10:$B$32,2,FALSE)</f>
        <v>1</v>
      </c>
      <c r="AZ89" s="46">
        <f>($AU$3*AU89+$AV$3*AV89+$AW$3*AW89+$AX$3*AX89)*AY89*IF(AQ89&lt;5,0.95,IF(AQ89&lt;7,0.975,1))+$I$3*VLOOKUP(I89,COND!$A$2:$E$7,4,FALSE)+$J$3*VLOOKUP(J89,COND!$A$2:$E$7,2,FALSE)+$K$3*VLOOKUP(K89,COND!$A$2:$E$7,3,FALSE)+IF(BB89="SP",$BB$3,0)+IF($AW89&lt;3,-5,0)+IF(AND($B$2&gt;0,$E89&lt;20),$B$2*25,0)</f>
        <v>45.288572533757176</v>
      </c>
      <c r="BA89" s="49">
        <f>STANDARDIZE(AZ89,AVERAGE($AZ$5:$AZ$570),STDEVP($AZ$5:$AZ$570))</f>
        <v>1.1523854076157893</v>
      </c>
      <c r="BB89" s="47" t="str">
        <f>IF(OR(AND(AQ89&gt;7,AX89&gt;1),AND(AQ89&gt;4,AW89&gt;2)),"SP","RP")</f>
        <v>SP</v>
      </c>
      <c r="BC89" s="47"/>
      <c r="BD89" s="47"/>
      <c r="BE89" s="47"/>
      <c r="BF89" s="47" t="str">
        <f>IF(AVERAGE($O89:$Q89)&gt;=6,"Likely",IF(AVERAGE($O89:$Q89)&gt;=4,"Possible","Unlikely"))</f>
        <v>Possible</v>
      </c>
      <c r="BG89" s="47"/>
      <c r="BH89" s="47" t="str">
        <f>INDEX(Table5[[#All],[Ovr]],MATCH(Table3[[#This Row],[PID]],Table5[[#All],[PID]],0))</f>
        <v/>
      </c>
      <c r="BI89" s="47" t="str">
        <f>INDEX(Table5[[#All],[Rnd]],MATCH(Table3[[#This Row],[PID]],Table5[[#All],[PID]],0))</f>
        <v/>
      </c>
      <c r="BJ89" s="47" t="str">
        <f>INDEX(Table5[[#All],[Pick]],MATCH(Table3[[#This Row],[PID]],Table5[[#All],[PID]],0))</f>
        <v/>
      </c>
      <c r="BK89" s="47" t="str">
        <f>INDEX(Table5[[#All],[Team]],MATCH(Table3[[#This Row],[PID]],Table5[[#All],[PID]],0))</f>
        <v/>
      </c>
      <c r="BL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90" spans="1:64" ht="15" customHeight="1" x14ac:dyDescent="0.25">
      <c r="A90" s="42">
        <v>10458</v>
      </c>
      <c r="B90" s="42" t="s">
        <v>24</v>
      </c>
      <c r="C90" s="42" t="s">
        <v>779</v>
      </c>
      <c r="D90" s="42" t="s">
        <v>839</v>
      </c>
      <c r="E90" s="42">
        <v>21</v>
      </c>
      <c r="F90" s="42" t="s">
        <v>42</v>
      </c>
      <c r="G90" s="42" t="s">
        <v>42</v>
      </c>
      <c r="H90" s="43" t="s">
        <v>703</v>
      </c>
      <c r="I90" s="44" t="s">
        <v>43</v>
      </c>
      <c r="J90" s="42" t="s">
        <v>47</v>
      </c>
      <c r="K90" s="43" t="s">
        <v>44</v>
      </c>
      <c r="L90" s="42">
        <v>3</v>
      </c>
      <c r="M90" s="42">
        <v>3</v>
      </c>
      <c r="N90" s="43">
        <v>1</v>
      </c>
      <c r="O90" s="42">
        <v>6</v>
      </c>
      <c r="P90" s="42">
        <v>5</v>
      </c>
      <c r="Q90" s="43">
        <v>2</v>
      </c>
      <c r="R90" s="42">
        <v>6</v>
      </c>
      <c r="S90" s="42">
        <v>7</v>
      </c>
      <c r="T90" s="42">
        <v>1</v>
      </c>
      <c r="U90" s="42">
        <v>5</v>
      </c>
      <c r="V90" s="42">
        <v>3</v>
      </c>
      <c r="W90" s="42">
        <v>7</v>
      </c>
      <c r="X90" s="42">
        <v>4</v>
      </c>
      <c r="Y90" s="42">
        <v>6</v>
      </c>
      <c r="Z90" s="42" t="s">
        <v>45</v>
      </c>
      <c r="AA90" s="42" t="s">
        <v>45</v>
      </c>
      <c r="AB90" s="42" t="s">
        <v>45</v>
      </c>
      <c r="AC90" s="42" t="s">
        <v>45</v>
      </c>
      <c r="AD90" s="42" t="s">
        <v>45</v>
      </c>
      <c r="AE90" s="42" t="s">
        <v>45</v>
      </c>
      <c r="AF90" s="42" t="s">
        <v>45</v>
      </c>
      <c r="AG90" s="42" t="s">
        <v>45</v>
      </c>
      <c r="AH90" s="42" t="s">
        <v>45</v>
      </c>
      <c r="AI90" s="42" t="s">
        <v>45</v>
      </c>
      <c r="AJ90" s="42" t="s">
        <v>45</v>
      </c>
      <c r="AK90" s="42" t="s">
        <v>45</v>
      </c>
      <c r="AL90" s="42" t="s">
        <v>45</v>
      </c>
      <c r="AM90" s="42" t="s">
        <v>45</v>
      </c>
      <c r="AN90" s="42" t="s">
        <v>45</v>
      </c>
      <c r="AO90" s="43" t="s">
        <v>45</v>
      </c>
      <c r="AP90" s="42" t="s">
        <v>61</v>
      </c>
      <c r="AQ90" s="42">
        <v>4</v>
      </c>
      <c r="AR90" s="50" t="s">
        <v>353</v>
      </c>
      <c r="AS90" s="45" t="s">
        <v>745</v>
      </c>
      <c r="AT90" s="45" t="s">
        <v>47</v>
      </c>
      <c r="AU90" s="46">
        <f>($O$3*(L90-$O$1)/$O$2+$P$3*(M90-$P$1)/$P$2+$Q$3*(N90-$P$1)/$Q$2)/SUM($O$3:$Q$3)</f>
        <v>-1.9212381560891401</v>
      </c>
      <c r="AV90" s="46">
        <f>($O$3*(O90-$O$1)/$O$2+$P$3*(P90-$P$1)/$P$2+$Q$3*(Q90-$Q$1)/$Q$2)/SUM($O$3:$Q$3)</f>
        <v>-0.25848543291032677</v>
      </c>
      <c r="AW90" s="47">
        <f>COUNT(R90:AO90)/2</f>
        <v>4</v>
      </c>
      <c r="AX90" s="47">
        <f>IF(AND(S90&lt;&gt;"-",S90&gt;5),1,0)+IF(AND(U90&lt;&gt;"-",U90&gt;5),1,0)+IF(AND(W90&lt;&gt;"-",W90&gt;5),1,0)+IF(AND(Y90&lt;&gt;"-",Y90&gt;5),1,0)+IF(AND(AA90&lt;&gt;"-",AA90&gt;5),1,0)+IF(AND(AC90&lt;&gt;"-",AC90&gt;5),1,0)+IF(AND(AE90&lt;&gt;"-",AE90&gt;5),1,0)+IF(AND(AG90&lt;&gt;"-",AG90&gt;5),1,0)+IF(AND(AI90&lt;&gt;"-",AI90&gt;5),1,0)+IF(AND(AK90&lt;&gt;"-",AK90&gt;5),1,0)+IF(AND(AM90&lt;&gt;"-",AM90&gt;5),1,0)+IF(AND(AO90&lt;&gt;"-",AO90&gt;5),1,0)</f>
        <v>3</v>
      </c>
      <c r="AY90" s="48">
        <f>VLOOKUP(AP90,COND!$A$10:$B$32,2,FALSE)</f>
        <v>1.05</v>
      </c>
      <c r="AZ90" s="46">
        <f>($AU$3*AU90+$AV$3*AV90+$AW$3*AW90+$AX$3*AX90)*AY90*IF(AQ90&lt;5,0.95,IF(AQ90&lt;7,0.975,1))+$I$3*VLOOKUP(I90,COND!$A$2:$E$7,4,FALSE)+$J$3*VLOOKUP(J90,COND!$A$2:$E$7,2,FALSE)+$K$3*VLOOKUP(K90,COND!$A$2:$E$7,3,FALSE)+IF(BB90="SP",$BB$3,0)+IF($AW90&lt;3,-5,0)+IF(AND($B$2&gt;0,$E90&lt;20),$B$2*25,0)</f>
        <v>45.195553601299196</v>
      </c>
      <c r="BA90" s="49">
        <f>STANDARDIZE(AZ90,AVERAGE($AZ$5:$AZ$570),STDEVP($AZ$5:$AZ$570))</f>
        <v>1.1438551739381195</v>
      </c>
      <c r="BB90" s="47" t="str">
        <f>IF(OR(AND(AQ90&gt;7,AX90&gt;1),AND(AQ90&gt;4,AW90&gt;2)),"SP","RP")</f>
        <v>RP</v>
      </c>
      <c r="BC90" s="47"/>
      <c r="BD90" s="47"/>
      <c r="BE90" s="47"/>
      <c r="BF90" s="47" t="str">
        <f>IF(AVERAGE($O90:$Q90)&gt;=6,"Likely",IF(AVERAGE($O90:$Q90)&gt;=4,"Possible","Unlikely"))</f>
        <v>Possible</v>
      </c>
      <c r="BG90" s="47"/>
      <c r="BH90" s="47" t="str">
        <f>INDEX(Table5[[#All],[Ovr]],MATCH(Table3[[#This Row],[PID]],Table5[[#All],[PID]],0))</f>
        <v/>
      </c>
      <c r="BI90" s="47" t="str">
        <f>INDEX(Table5[[#All],[Rnd]],MATCH(Table3[[#This Row],[PID]],Table5[[#All],[PID]],0))</f>
        <v/>
      </c>
      <c r="BJ90" s="47" t="str">
        <f>INDEX(Table5[[#All],[Pick]],MATCH(Table3[[#This Row],[PID]],Table5[[#All],[PID]],0))</f>
        <v/>
      </c>
      <c r="BK90" s="47" t="str">
        <f>INDEX(Table5[[#All],[Team]],MATCH(Table3[[#This Row],[PID]],Table5[[#All],[PID]],0))</f>
        <v/>
      </c>
      <c r="BL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91" spans="1:64" ht="15" customHeight="1" x14ac:dyDescent="0.25">
      <c r="A91" s="42">
        <v>14602</v>
      </c>
      <c r="B91" s="42" t="s">
        <v>430</v>
      </c>
      <c r="C91" s="42" t="s">
        <v>953</v>
      </c>
      <c r="D91" s="42" t="s">
        <v>1014</v>
      </c>
      <c r="E91" s="42">
        <v>18</v>
      </c>
      <c r="F91" s="42" t="s">
        <v>42</v>
      </c>
      <c r="G91" s="42" t="s">
        <v>42</v>
      </c>
      <c r="H91" s="43" t="s">
        <v>721</v>
      </c>
      <c r="I91" s="44" t="s">
        <v>43</v>
      </c>
      <c r="J91" s="42" t="s">
        <v>47</v>
      </c>
      <c r="K91" s="43" t="s">
        <v>47</v>
      </c>
      <c r="L91" s="42">
        <v>2</v>
      </c>
      <c r="M91" s="42">
        <v>2</v>
      </c>
      <c r="N91" s="43">
        <v>1</v>
      </c>
      <c r="O91" s="42">
        <v>6</v>
      </c>
      <c r="P91" s="42">
        <v>3</v>
      </c>
      <c r="Q91" s="43">
        <v>2</v>
      </c>
      <c r="R91" s="42">
        <v>4</v>
      </c>
      <c r="S91" s="42">
        <v>7</v>
      </c>
      <c r="T91" s="42">
        <v>1</v>
      </c>
      <c r="U91" s="42">
        <v>1</v>
      </c>
      <c r="V91" s="42" t="s">
        <v>45</v>
      </c>
      <c r="W91" s="42" t="s">
        <v>45</v>
      </c>
      <c r="X91" s="42">
        <v>2</v>
      </c>
      <c r="Y91" s="42">
        <v>7</v>
      </c>
      <c r="Z91" s="42" t="s">
        <v>45</v>
      </c>
      <c r="AA91" s="42" t="s">
        <v>45</v>
      </c>
      <c r="AB91" s="42" t="s">
        <v>45</v>
      </c>
      <c r="AC91" s="42" t="s">
        <v>45</v>
      </c>
      <c r="AD91" s="42" t="s">
        <v>45</v>
      </c>
      <c r="AE91" s="42" t="s">
        <v>45</v>
      </c>
      <c r="AF91" s="42" t="s">
        <v>45</v>
      </c>
      <c r="AG91" s="42" t="s">
        <v>45</v>
      </c>
      <c r="AH91" s="42" t="s">
        <v>45</v>
      </c>
      <c r="AI91" s="42" t="s">
        <v>45</v>
      </c>
      <c r="AJ91" s="42" t="s">
        <v>45</v>
      </c>
      <c r="AK91" s="42" t="s">
        <v>45</v>
      </c>
      <c r="AL91" s="42" t="s">
        <v>45</v>
      </c>
      <c r="AM91" s="42" t="s">
        <v>45</v>
      </c>
      <c r="AN91" s="42" t="s">
        <v>45</v>
      </c>
      <c r="AO91" s="43" t="s">
        <v>45</v>
      </c>
      <c r="AP91" s="42" t="s">
        <v>56</v>
      </c>
      <c r="AQ91" s="42">
        <v>6</v>
      </c>
      <c r="AR91" s="50" t="s">
        <v>353</v>
      </c>
      <c r="AS91" s="45" t="s">
        <v>739</v>
      </c>
      <c r="AT91" s="45" t="s">
        <v>705</v>
      </c>
      <c r="AU91" s="46">
        <f>($O$3*(L91-$O$1)/$O$2+$P$3*(M91-$P$1)/$P$2+$Q$3*(N91-$P$1)/$Q$2)/SUM($O$3:$Q$3)</f>
        <v>-2.311361197028369</v>
      </c>
      <c r="AV91" s="46">
        <f>($O$3*(O91-$O$1)/$O$2+$P$3*(P91-$P$1)/$P$2+$Q$3*(Q91-$Q$1)/$Q$2)/SUM($O$3:$Q$3)</f>
        <v>-0.64934886577043749</v>
      </c>
      <c r="AW91" s="47">
        <f>COUNT(R91:AO91)/2</f>
        <v>3</v>
      </c>
      <c r="AX91" s="47">
        <f>IF(AND(S91&lt;&gt;"-",S91&gt;5),1,0)+IF(AND(U91&lt;&gt;"-",U91&gt;5),1,0)+IF(AND(W91&lt;&gt;"-",W91&gt;5),1,0)+IF(AND(Y91&lt;&gt;"-",Y91&gt;5),1,0)+IF(AND(AA91&lt;&gt;"-",AA91&gt;5),1,0)+IF(AND(AC91&lt;&gt;"-",AC91&gt;5),1,0)+IF(AND(AE91&lt;&gt;"-",AE91&gt;5),1,0)+IF(AND(AG91&lt;&gt;"-",AG91&gt;5),1,0)+IF(AND(AI91&lt;&gt;"-",AI91&gt;5),1,0)+IF(AND(AK91&lt;&gt;"-",AK91&gt;5),1,0)+IF(AND(AM91&lt;&gt;"-",AM91&gt;5),1,0)+IF(AND(AO91&lt;&gt;"-",AO91&gt;5),1,0)</f>
        <v>2</v>
      </c>
      <c r="AY91" s="48">
        <f>VLOOKUP(AP91,COND!$A$10:$B$32,2,FALSE)</f>
        <v>1</v>
      </c>
      <c r="AZ91" s="46">
        <f>($AU$3*AU91+$AV$3*AV91+$AW$3*AW91+$AX$3*AX91)*AY91*IF(AQ91&lt;5,0.95,IF(AQ91&lt;7,0.975,1))+$I$3*VLOOKUP(I91,COND!$A$2:$E$7,4,FALSE)+$J$3*VLOOKUP(J91,COND!$A$2:$E$7,2,FALSE)+$K$3*VLOOKUP(K91,COND!$A$2:$E$7,3,FALSE)+IF(BB91="SP",$BB$3,0)+IF($AW91&lt;3,-5,0)+IF(AND($B$2&gt;0,$E91&lt;20),$B$2*25,0)</f>
        <v>43.386981684055939</v>
      </c>
      <c r="BA91" s="49">
        <f>STANDARDIZE(AZ91,AVERAGE($AZ$5:$AZ$570),STDEVP($AZ$5:$AZ$570))</f>
        <v>0.9780013991280766</v>
      </c>
      <c r="BB91" s="47" t="str">
        <f>IF(OR(AND(AQ91&gt;7,AX91&gt;1),AND(AQ91&gt;4,AW91&gt;2)),"SP","RP")</f>
        <v>SP</v>
      </c>
      <c r="BC91" s="47"/>
      <c r="BD91" s="47"/>
      <c r="BE91" s="47"/>
      <c r="BF91" s="47" t="str">
        <f>IF(AVERAGE($O91:$Q91)&gt;=6,"Likely",IF(AVERAGE($O91:$Q91)&gt;=4,"Possible","Unlikely"))</f>
        <v>Unlikely</v>
      </c>
      <c r="BG91" s="47"/>
      <c r="BH91" s="47" t="str">
        <f>INDEX(Table5[[#All],[Ovr]],MATCH(Table3[[#This Row],[PID]],Table5[[#All],[PID]],0))</f>
        <v/>
      </c>
      <c r="BI91" s="47" t="str">
        <f>INDEX(Table5[[#All],[Rnd]],MATCH(Table3[[#This Row],[PID]],Table5[[#All],[PID]],0))</f>
        <v/>
      </c>
      <c r="BJ91" s="47" t="str">
        <f>INDEX(Table5[[#All],[Pick]],MATCH(Table3[[#This Row],[PID]],Table5[[#All],[PID]],0))</f>
        <v/>
      </c>
      <c r="BK91" s="47" t="str">
        <f>INDEX(Table5[[#All],[Team]],MATCH(Table3[[#This Row],[PID]],Table5[[#All],[PID]],0))</f>
        <v/>
      </c>
      <c r="BL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92" spans="1:64" ht="15" customHeight="1" x14ac:dyDescent="0.25">
      <c r="A92" s="42">
        <v>7621</v>
      </c>
      <c r="B92" s="42" t="s">
        <v>24</v>
      </c>
      <c r="C92" s="42" t="s">
        <v>125</v>
      </c>
      <c r="D92" s="42" t="s">
        <v>810</v>
      </c>
      <c r="E92" s="42">
        <v>18</v>
      </c>
      <c r="F92" s="42" t="s">
        <v>53</v>
      </c>
      <c r="G92" s="42" t="s">
        <v>53</v>
      </c>
      <c r="H92" s="43" t="s">
        <v>721</v>
      </c>
      <c r="I92" s="44" t="s">
        <v>47</v>
      </c>
      <c r="J92" s="42" t="s">
        <v>47</v>
      </c>
      <c r="K92" s="43" t="s">
        <v>43</v>
      </c>
      <c r="L92" s="42">
        <v>2</v>
      </c>
      <c r="M92" s="42">
        <v>2</v>
      </c>
      <c r="N92" s="43">
        <v>1</v>
      </c>
      <c r="O92" s="42">
        <v>4</v>
      </c>
      <c r="P92" s="42">
        <v>4</v>
      </c>
      <c r="Q92" s="43">
        <v>3</v>
      </c>
      <c r="R92" s="42">
        <v>3</v>
      </c>
      <c r="S92" s="42">
        <v>7</v>
      </c>
      <c r="T92" s="42">
        <v>1</v>
      </c>
      <c r="U92" s="42">
        <v>2</v>
      </c>
      <c r="V92" s="42" t="s">
        <v>45</v>
      </c>
      <c r="W92" s="42" t="s">
        <v>45</v>
      </c>
      <c r="X92" s="42" t="s">
        <v>45</v>
      </c>
      <c r="Y92" s="42" t="s">
        <v>45</v>
      </c>
      <c r="Z92" s="42">
        <v>3</v>
      </c>
      <c r="AA92" s="42">
        <v>6</v>
      </c>
      <c r="AB92" s="42" t="s">
        <v>45</v>
      </c>
      <c r="AC92" s="42" t="s">
        <v>45</v>
      </c>
      <c r="AD92" s="42" t="s">
        <v>45</v>
      </c>
      <c r="AE92" s="42" t="s">
        <v>45</v>
      </c>
      <c r="AF92" s="42" t="s">
        <v>45</v>
      </c>
      <c r="AG92" s="42" t="s">
        <v>45</v>
      </c>
      <c r="AH92" s="42" t="s">
        <v>45</v>
      </c>
      <c r="AI92" s="42" t="s">
        <v>45</v>
      </c>
      <c r="AJ92" s="42" t="s">
        <v>45</v>
      </c>
      <c r="AK92" s="42" t="s">
        <v>45</v>
      </c>
      <c r="AL92" s="42" t="s">
        <v>45</v>
      </c>
      <c r="AM92" s="42" t="s">
        <v>45</v>
      </c>
      <c r="AN92" s="42" t="s">
        <v>45</v>
      </c>
      <c r="AO92" s="43" t="s">
        <v>45</v>
      </c>
      <c r="AP92" s="42" t="s">
        <v>356</v>
      </c>
      <c r="AQ92" s="42">
        <v>7</v>
      </c>
      <c r="AR92" s="50" t="s">
        <v>352</v>
      </c>
      <c r="AS92" s="45" t="s">
        <v>718</v>
      </c>
      <c r="AT92" s="45" t="s">
        <v>47</v>
      </c>
      <c r="AU92" s="46">
        <f>($O$3*(L92-$O$1)/$O$2+$P$3*(M92-$P$1)/$P$2+$Q$3*(N92-$P$1)/$Q$2)/SUM($O$3:$Q$3)</f>
        <v>-2.311361197028369</v>
      </c>
      <c r="AV92" s="46">
        <f>($O$3*(O92-$O$1)/$O$2+$P$3*(P92-$P$1)/$P$2+$Q$3*(Q92-$Q$1)/$Q$2)/SUM($O$3:$Q$3)</f>
        <v>-0.6009792323046188</v>
      </c>
      <c r="AW92" s="47">
        <f>COUNT(R92:AO92)/2</f>
        <v>3</v>
      </c>
      <c r="AX92" s="47">
        <f>IF(AND(S92&lt;&gt;"-",S92&gt;5),1,0)+IF(AND(U92&lt;&gt;"-",U92&gt;5),1,0)+IF(AND(W92&lt;&gt;"-",W92&gt;5),1,0)+IF(AND(Y92&lt;&gt;"-",Y92&gt;5),1,0)+IF(AND(AA92&lt;&gt;"-",AA92&gt;5),1,0)+IF(AND(AC92&lt;&gt;"-",AC92&gt;5),1,0)+IF(AND(AE92&lt;&gt;"-",AE92&gt;5),1,0)+IF(AND(AG92&lt;&gt;"-",AG92&gt;5),1,0)+IF(AND(AI92&lt;&gt;"-",AI92&gt;5),1,0)+IF(AND(AK92&lt;&gt;"-",AK92&gt;5),1,0)+IF(AND(AM92&lt;&gt;"-",AM92&gt;5),1,0)+IF(AND(AO92&lt;&gt;"-",AO92&gt;5),1,0)</f>
        <v>2</v>
      </c>
      <c r="AY92" s="48">
        <f>VLOOKUP(AP92,COND!$A$10:$B$32,2,FALSE)</f>
        <v>1</v>
      </c>
      <c r="AZ92" s="46">
        <f>($AU$3*AU92+$AV$3*AV92+$AW$3*AW92+$AX$3*AX92)*AY92*IF(AQ92&lt;5,0.95,IF(AQ92&lt;7,0.975,1))+$I$3*VLOOKUP(I92,COND!$A$2:$E$7,4,FALSE)+$J$3*VLOOKUP(J92,COND!$A$2:$E$7,2,FALSE)+$K$3*VLOOKUP(K92,COND!$A$2:$E$7,3,FALSE)+IF(BB92="SP",$BB$3,0)+IF($AW92&lt;3,-5,0)+IF(AND($B$2&gt;0,$E92&lt;20),$B$2*25,0)</f>
        <v>44.043143114501945</v>
      </c>
      <c r="BA92" s="49">
        <f>STANDARDIZE(AZ92,AVERAGE($AZ$5:$AZ$570),STDEVP($AZ$5:$AZ$570))</f>
        <v>1.0381742067928712</v>
      </c>
      <c r="BB92" s="47" t="str">
        <f>IF(OR(AND(AQ92&gt;7,AX92&gt;1),AND(AQ92&gt;4,AW92&gt;2)),"SP","RP")</f>
        <v>SP</v>
      </c>
      <c r="BC92" s="47"/>
      <c r="BD92" s="47"/>
      <c r="BE92" s="47"/>
      <c r="BF92" s="47" t="str">
        <f>IF(AVERAGE($O92:$Q92)&gt;=6,"Likely",IF(AVERAGE($O92:$Q92)&gt;=4,"Possible","Unlikely"))</f>
        <v>Unlikely</v>
      </c>
      <c r="BG92" s="47"/>
      <c r="BH92" s="47" t="str">
        <f>INDEX(Table5[[#All],[Ovr]],MATCH(Table3[[#This Row],[PID]],Table5[[#All],[PID]],0))</f>
        <v/>
      </c>
      <c r="BI92" s="47" t="str">
        <f>INDEX(Table5[[#All],[Rnd]],MATCH(Table3[[#This Row],[PID]],Table5[[#All],[PID]],0))</f>
        <v/>
      </c>
      <c r="BJ92" s="47" t="str">
        <f>INDEX(Table5[[#All],[Pick]],MATCH(Table3[[#This Row],[PID]],Table5[[#All],[PID]],0))</f>
        <v/>
      </c>
      <c r="BK92" s="47" t="str">
        <f>INDEX(Table5[[#All],[Team]],MATCH(Table3[[#This Row],[PID]],Table5[[#All],[PID]],0))</f>
        <v/>
      </c>
      <c r="BL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93" spans="1:64" ht="15" customHeight="1" x14ac:dyDescent="0.25">
      <c r="A93" s="42">
        <v>12546</v>
      </c>
      <c r="B93" s="42" t="s">
        <v>430</v>
      </c>
      <c r="C93" s="42" t="s">
        <v>185</v>
      </c>
      <c r="D93" s="42" t="s">
        <v>910</v>
      </c>
      <c r="E93" s="42">
        <v>18</v>
      </c>
      <c r="F93" s="42" t="s">
        <v>42</v>
      </c>
      <c r="G93" s="42" t="s">
        <v>42</v>
      </c>
      <c r="H93" s="43" t="s">
        <v>721</v>
      </c>
      <c r="I93" s="44" t="s">
        <v>43</v>
      </c>
      <c r="J93" s="42" t="s">
        <v>47</v>
      </c>
      <c r="K93" s="43" t="s">
        <v>43</v>
      </c>
      <c r="L93" s="42">
        <v>1</v>
      </c>
      <c r="M93" s="42">
        <v>2</v>
      </c>
      <c r="N93" s="43">
        <v>1</v>
      </c>
      <c r="O93" s="42">
        <v>5</v>
      </c>
      <c r="P93" s="42">
        <v>5</v>
      </c>
      <c r="Q93" s="43">
        <v>2</v>
      </c>
      <c r="R93" s="42">
        <v>3</v>
      </c>
      <c r="S93" s="42">
        <v>5</v>
      </c>
      <c r="T93" s="42">
        <v>1</v>
      </c>
      <c r="U93" s="42">
        <v>7</v>
      </c>
      <c r="V93" s="42" t="s">
        <v>45</v>
      </c>
      <c r="W93" s="42" t="s">
        <v>45</v>
      </c>
      <c r="X93" s="42">
        <v>2</v>
      </c>
      <c r="Y93" s="42">
        <v>2</v>
      </c>
      <c r="Z93" s="42" t="s">
        <v>45</v>
      </c>
      <c r="AA93" s="42" t="s">
        <v>45</v>
      </c>
      <c r="AB93" s="42" t="s">
        <v>45</v>
      </c>
      <c r="AC93" s="42" t="s">
        <v>45</v>
      </c>
      <c r="AD93" s="42" t="s">
        <v>45</v>
      </c>
      <c r="AE93" s="42" t="s">
        <v>45</v>
      </c>
      <c r="AF93" s="42" t="s">
        <v>45</v>
      </c>
      <c r="AG93" s="42" t="s">
        <v>45</v>
      </c>
      <c r="AH93" s="42" t="s">
        <v>45</v>
      </c>
      <c r="AI93" s="42" t="s">
        <v>45</v>
      </c>
      <c r="AJ93" s="42" t="s">
        <v>45</v>
      </c>
      <c r="AK93" s="42" t="s">
        <v>45</v>
      </c>
      <c r="AL93" s="42" t="s">
        <v>45</v>
      </c>
      <c r="AM93" s="42" t="s">
        <v>45</v>
      </c>
      <c r="AN93" s="42" t="s">
        <v>45</v>
      </c>
      <c r="AO93" s="43" t="s">
        <v>45</v>
      </c>
      <c r="AP93" s="42" t="s">
        <v>64</v>
      </c>
      <c r="AQ93" s="42">
        <v>4</v>
      </c>
      <c r="AR93" s="50" t="s">
        <v>353</v>
      </c>
      <c r="AS93" s="45" t="s">
        <v>718</v>
      </c>
      <c r="AT93" s="45" t="s">
        <v>705</v>
      </c>
      <c r="AU93" s="46">
        <f>($O$3*(L93-$O$1)/$O$2+$P$3*(M93-$P$1)/$P$2+$Q$3*(N93-$P$1)/$Q$2)/SUM($O$3:$Q$3)</f>
        <v>-2.5060525215375429</v>
      </c>
      <c r="AV93" s="46">
        <f>($O$3*(O93-$O$1)/$O$2+$P$3*(P93-$P$1)/$P$2+$Q$3*(Q93-$Q$1)/$Q$2)/SUM($O$3:$Q$3)</f>
        <v>-0.45317675741950025</v>
      </c>
      <c r="AW93" s="47">
        <f>COUNT(R93:AO93)/2</f>
        <v>3</v>
      </c>
      <c r="AX93" s="47">
        <f>IF(AND(S93&lt;&gt;"-",S93&gt;5),1,0)+IF(AND(U93&lt;&gt;"-",U93&gt;5),1,0)+IF(AND(W93&lt;&gt;"-",W93&gt;5),1,0)+IF(AND(Y93&lt;&gt;"-",Y93&gt;5),1,0)+IF(AND(AA93&lt;&gt;"-",AA93&gt;5),1,0)+IF(AND(AC93&lt;&gt;"-",AC93&gt;5),1,0)+IF(AND(AE93&lt;&gt;"-",AE93&gt;5),1,0)+IF(AND(AG93&lt;&gt;"-",AG93&gt;5),1,0)+IF(AND(AI93&lt;&gt;"-",AI93&gt;5),1,0)+IF(AND(AK93&lt;&gt;"-",AK93&gt;5),1,0)+IF(AND(AM93&lt;&gt;"-",AM93&gt;5),1,0)+IF(AND(AO93&lt;&gt;"-",AO93&gt;5),1,0)</f>
        <v>1</v>
      </c>
      <c r="AY93" s="48">
        <f>VLOOKUP(AP93,COND!$A$10:$B$32,2,FALSE)</f>
        <v>1</v>
      </c>
      <c r="AZ93" s="46">
        <f>($AU$3*AU93+$AV$3*AV93+$AW$3*AW93+$AX$3*AX93)*AY93*IF(AQ93&lt;5,0.95,IF(AQ93&lt;7,0.975,1))+$I$3*VLOOKUP(I93,COND!$A$2:$E$7,4,FALSE)+$J$3*VLOOKUP(J93,COND!$A$2:$E$7,2,FALSE)+$K$3*VLOOKUP(K93,COND!$A$2:$E$7,3,FALSE)+IF(BB93="SP",$BB$3,0)+IF($AW93&lt;3,-5,0)+IF(AND($B$2&gt;0,$E93&lt;20),$B$2*25,0)</f>
        <v>43.825991629937363</v>
      </c>
      <c r="BA93" s="49">
        <f>STANDARDIZE(AZ93,AVERAGE($AZ$5:$AZ$570),STDEVP($AZ$5:$AZ$570))</f>
        <v>1.0182604875333476</v>
      </c>
      <c r="BB93" s="47" t="str">
        <f>IF(OR(AND(AQ93&gt;7,AX93&gt;1),AND(AQ93&gt;4,AW93&gt;2)),"SP","RP")</f>
        <v>RP</v>
      </c>
      <c r="BC93" s="47"/>
      <c r="BD93" s="47"/>
      <c r="BE93" s="47"/>
      <c r="BF93" s="47" t="str">
        <f>IF(AVERAGE($O93:$Q93)&gt;=6,"Likely",IF(AVERAGE($O93:$Q93)&gt;=4,"Possible","Unlikely"))</f>
        <v>Possible</v>
      </c>
      <c r="BG93" s="47"/>
      <c r="BH93" s="47" t="str">
        <f>INDEX(Table5[[#All],[Ovr]],MATCH(Table3[[#This Row],[PID]],Table5[[#All],[PID]],0))</f>
        <v/>
      </c>
      <c r="BI93" s="47" t="str">
        <f>INDEX(Table5[[#All],[Rnd]],MATCH(Table3[[#This Row],[PID]],Table5[[#All],[PID]],0))</f>
        <v/>
      </c>
      <c r="BJ93" s="47" t="str">
        <f>INDEX(Table5[[#All],[Pick]],MATCH(Table3[[#This Row],[PID]],Table5[[#All],[PID]],0))</f>
        <v/>
      </c>
      <c r="BK93" s="47" t="str">
        <f>INDEX(Table5[[#All],[Team]],MATCH(Table3[[#This Row],[PID]],Table5[[#All],[PID]],0))</f>
        <v/>
      </c>
      <c r="BL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94" spans="1:64" ht="15" customHeight="1" x14ac:dyDescent="0.25">
      <c r="A94" s="42">
        <v>13700</v>
      </c>
      <c r="B94" s="42" t="s">
        <v>430</v>
      </c>
      <c r="C94" s="42" t="s">
        <v>125</v>
      </c>
      <c r="D94" s="42" t="s">
        <v>1514</v>
      </c>
      <c r="E94" s="42">
        <v>18</v>
      </c>
      <c r="F94" s="42" t="s">
        <v>42</v>
      </c>
      <c r="G94" s="42" t="s">
        <v>42</v>
      </c>
      <c r="H94" s="43" t="s">
        <v>711</v>
      </c>
      <c r="I94" s="44" t="s">
        <v>44</v>
      </c>
      <c r="J94" s="42" t="s">
        <v>44</v>
      </c>
      <c r="K94" s="43" t="s">
        <v>43</v>
      </c>
      <c r="L94" s="42">
        <v>2</v>
      </c>
      <c r="M94" s="42">
        <v>2</v>
      </c>
      <c r="N94" s="43">
        <v>1</v>
      </c>
      <c r="O94" s="42">
        <v>5</v>
      </c>
      <c r="P94" s="42">
        <v>3</v>
      </c>
      <c r="Q94" s="43">
        <v>5</v>
      </c>
      <c r="R94" s="42">
        <v>4</v>
      </c>
      <c r="S94" s="42">
        <v>6</v>
      </c>
      <c r="T94" s="42" t="s">
        <v>45</v>
      </c>
      <c r="U94" s="42" t="s">
        <v>45</v>
      </c>
      <c r="V94" s="42" t="s">
        <v>45</v>
      </c>
      <c r="W94" s="42" t="s">
        <v>45</v>
      </c>
      <c r="X94" s="42" t="s">
        <v>45</v>
      </c>
      <c r="Y94" s="42" t="s">
        <v>45</v>
      </c>
      <c r="Z94" s="42" t="s">
        <v>45</v>
      </c>
      <c r="AA94" s="42" t="s">
        <v>45</v>
      </c>
      <c r="AB94" s="42">
        <v>3</v>
      </c>
      <c r="AC94" s="42">
        <v>6</v>
      </c>
      <c r="AD94" s="42" t="s">
        <v>45</v>
      </c>
      <c r="AE94" s="42" t="s">
        <v>45</v>
      </c>
      <c r="AF94" s="42" t="s">
        <v>45</v>
      </c>
      <c r="AG94" s="42" t="s">
        <v>45</v>
      </c>
      <c r="AH94" s="42" t="s">
        <v>45</v>
      </c>
      <c r="AI94" s="42" t="s">
        <v>45</v>
      </c>
      <c r="AJ94" s="42" t="s">
        <v>45</v>
      </c>
      <c r="AK94" s="42" t="s">
        <v>45</v>
      </c>
      <c r="AL94" s="42" t="s">
        <v>45</v>
      </c>
      <c r="AM94" s="42" t="s">
        <v>45</v>
      </c>
      <c r="AN94" s="42" t="s">
        <v>45</v>
      </c>
      <c r="AO94" s="43" t="s">
        <v>45</v>
      </c>
      <c r="AP94" s="42" t="s">
        <v>58</v>
      </c>
      <c r="AQ94" s="42">
        <v>4</v>
      </c>
      <c r="AR94" s="50" t="s">
        <v>353</v>
      </c>
      <c r="AS94" s="45" t="s">
        <v>606</v>
      </c>
      <c r="AT94" s="45" t="s">
        <v>47</v>
      </c>
      <c r="AU94" s="46">
        <f>($O$3*(L94-$O$1)/$O$2+$P$3*(M94-$P$1)/$P$2+$Q$3*(N94-$P$1)/$Q$2)/SUM($O$3:$Q$3)</f>
        <v>-2.311361197028369</v>
      </c>
      <c r="AV94" s="46">
        <f>($O$3*(O94-$O$1)/$O$2+$P$3*(P94-$P$1)/$P$2+$Q$3*(Q94-$Q$1)/$Q$2)/SUM($O$3:$Q$3)</f>
        <v>-0.11707849211727993</v>
      </c>
      <c r="AW94" s="47">
        <f>COUNT(R94:AO94)/2</f>
        <v>2</v>
      </c>
      <c r="AX94" s="47">
        <f>IF(AND(S94&lt;&gt;"-",S94&gt;5),1,0)+IF(AND(U94&lt;&gt;"-",U94&gt;5),1,0)+IF(AND(W94&lt;&gt;"-",W94&gt;5),1,0)+IF(AND(Y94&lt;&gt;"-",Y94&gt;5),1,0)+IF(AND(AA94&lt;&gt;"-",AA94&gt;5),1,0)+IF(AND(AC94&lt;&gt;"-",AC94&gt;5),1,0)+IF(AND(AE94&lt;&gt;"-",AE94&gt;5),1,0)+IF(AND(AG94&lt;&gt;"-",AG94&gt;5),1,0)+IF(AND(AI94&lt;&gt;"-",AI94&gt;5),1,0)+IF(AND(AK94&lt;&gt;"-",AK94&gt;5),1,0)+IF(AND(AM94&lt;&gt;"-",AM94&gt;5),1,0)+IF(AND(AO94&lt;&gt;"-",AO94&gt;5),1,0)</f>
        <v>2</v>
      </c>
      <c r="AY94" s="48">
        <f>VLOOKUP(AP94,COND!$A$10:$B$32,2,FALSE)</f>
        <v>1</v>
      </c>
      <c r="AZ94" s="46">
        <f>($AU$3*AU94+$AV$3*AV94+$AW$3*AW94+$AX$3*AX94)*AY94*IF(AQ94&lt;5,0.95,IF(AQ94&lt;7,0.975,1))+$I$3*VLOOKUP(I94,COND!$A$2:$E$7,4,FALSE)+$J$3*VLOOKUP(J94,COND!$A$2:$E$7,2,FALSE)+$K$3*VLOOKUP(K94,COND!$A$2:$E$7,3,FALSE)+IF(BB94="SP",$BB$3,0)+IF($AW94&lt;3,-5,0)+IF(AND($B$2&gt;0,$E94&lt;20),$B$2*25,0)</f>
        <v>45.211350022336291</v>
      </c>
      <c r="BA94" s="49">
        <f>STANDARDIZE(AZ94,AVERAGE($AZ$5:$AZ$570),STDEVP($AZ$5:$AZ$570))</f>
        <v>1.1453037732625435</v>
      </c>
      <c r="BB94" s="47" t="str">
        <f>IF(OR(AND(AQ94&gt;7,AX94&gt;1),AND(AQ94&gt;4,AW94&gt;2)),"SP","RP")</f>
        <v>RP</v>
      </c>
      <c r="BC94" s="47"/>
      <c r="BD94" s="47"/>
      <c r="BE94" s="47"/>
      <c r="BF94" s="47" t="str">
        <f>IF(AVERAGE($O94:$Q94)&gt;=6,"Likely",IF(AVERAGE($O94:$Q94)&gt;=4,"Possible","Unlikely"))</f>
        <v>Possible</v>
      </c>
      <c r="BG94" s="47"/>
      <c r="BH94" s="47" t="str">
        <f>INDEX(Table5[[#All],[Ovr]],MATCH(Table3[[#This Row],[PID]],Table5[[#All],[PID]],0))</f>
        <v/>
      </c>
      <c r="BI94" s="47" t="str">
        <f>INDEX(Table5[[#All],[Rnd]],MATCH(Table3[[#This Row],[PID]],Table5[[#All],[PID]],0))</f>
        <v/>
      </c>
      <c r="BJ94" s="47" t="str">
        <f>INDEX(Table5[[#All],[Pick]],MATCH(Table3[[#This Row],[PID]],Table5[[#All],[PID]],0))</f>
        <v/>
      </c>
      <c r="BK94" s="47" t="str">
        <f>INDEX(Table5[[#All],[Team]],MATCH(Table3[[#This Row],[PID]],Table5[[#All],[PID]],0))</f>
        <v/>
      </c>
      <c r="BL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95" spans="1:64" ht="15" customHeight="1" x14ac:dyDescent="0.25">
      <c r="A95" s="42">
        <v>12979</v>
      </c>
      <c r="B95" s="42" t="s">
        <v>49</v>
      </c>
      <c r="C95" s="42" t="s">
        <v>560</v>
      </c>
      <c r="D95" s="42" t="s">
        <v>1007</v>
      </c>
      <c r="E95" s="42">
        <v>18</v>
      </c>
      <c r="F95" s="42" t="s">
        <v>42</v>
      </c>
      <c r="G95" s="42" t="s">
        <v>42</v>
      </c>
      <c r="H95" s="43" t="s">
        <v>711</v>
      </c>
      <c r="I95" s="44" t="s">
        <v>43</v>
      </c>
      <c r="J95" s="42" t="s">
        <v>43</v>
      </c>
      <c r="K95" s="43" t="s">
        <v>43</v>
      </c>
      <c r="L95" s="42">
        <v>2</v>
      </c>
      <c r="M95" s="42">
        <v>2</v>
      </c>
      <c r="N95" s="43">
        <v>1</v>
      </c>
      <c r="O95" s="42">
        <v>6</v>
      </c>
      <c r="P95" s="42">
        <v>4</v>
      </c>
      <c r="Q95" s="43">
        <v>3</v>
      </c>
      <c r="R95" s="42">
        <v>4</v>
      </c>
      <c r="S95" s="42">
        <v>7</v>
      </c>
      <c r="T95" s="42" t="s">
        <v>45</v>
      </c>
      <c r="U95" s="42" t="s">
        <v>45</v>
      </c>
      <c r="V95" s="42" t="s">
        <v>45</v>
      </c>
      <c r="W95" s="42" t="s">
        <v>45</v>
      </c>
      <c r="X95" s="42">
        <v>3</v>
      </c>
      <c r="Y95" s="42">
        <v>8</v>
      </c>
      <c r="Z95" s="42" t="s">
        <v>45</v>
      </c>
      <c r="AA95" s="42" t="s">
        <v>45</v>
      </c>
      <c r="AB95" s="42" t="s">
        <v>45</v>
      </c>
      <c r="AC95" s="42" t="s">
        <v>45</v>
      </c>
      <c r="AD95" s="42" t="s">
        <v>45</v>
      </c>
      <c r="AE95" s="42" t="s">
        <v>45</v>
      </c>
      <c r="AF95" s="42" t="s">
        <v>45</v>
      </c>
      <c r="AG95" s="42" t="s">
        <v>45</v>
      </c>
      <c r="AH95" s="42" t="s">
        <v>45</v>
      </c>
      <c r="AI95" s="42" t="s">
        <v>45</v>
      </c>
      <c r="AJ95" s="42" t="s">
        <v>45</v>
      </c>
      <c r="AK95" s="42" t="s">
        <v>45</v>
      </c>
      <c r="AL95" s="42" t="s">
        <v>45</v>
      </c>
      <c r="AM95" s="42" t="s">
        <v>45</v>
      </c>
      <c r="AN95" s="42" t="s">
        <v>45</v>
      </c>
      <c r="AO95" s="43" t="s">
        <v>45</v>
      </c>
      <c r="AP95" s="42" t="s">
        <v>60</v>
      </c>
      <c r="AQ95" s="42">
        <v>2</v>
      </c>
      <c r="AR95" s="50" t="s">
        <v>353</v>
      </c>
      <c r="AS95" s="45" t="s">
        <v>739</v>
      </c>
      <c r="AT95" s="45" t="s">
        <v>705</v>
      </c>
      <c r="AU95" s="46">
        <f>($O$3*(L95-$O$1)/$O$2+$P$3*(M95-$P$1)/$P$2+$Q$3*(N95-$P$1)/$Q$2)/SUM($O$3:$Q$3)</f>
        <v>-2.311361197028369</v>
      </c>
      <c r="AV95" s="46">
        <f>($O$3*(O95-$O$1)/$O$2+$P$3*(P95-$P$1)/$P$2+$Q$3*(Q95-$Q$1)/$Q$2)/SUM($O$3:$Q$3)</f>
        <v>-0.21159658328627182</v>
      </c>
      <c r="AW95" s="47">
        <f>COUNT(R95:AO95)/2</f>
        <v>2</v>
      </c>
      <c r="AX95" s="47">
        <f>IF(AND(S95&lt;&gt;"-",S95&gt;5),1,0)+IF(AND(U95&lt;&gt;"-",U95&gt;5),1,0)+IF(AND(W95&lt;&gt;"-",W95&gt;5),1,0)+IF(AND(Y95&lt;&gt;"-",Y95&gt;5),1,0)+IF(AND(AA95&lt;&gt;"-",AA95&gt;5),1,0)+IF(AND(AC95&lt;&gt;"-",AC95&gt;5),1,0)+IF(AND(AE95&lt;&gt;"-",AE95&gt;5),1,0)+IF(AND(AG95&lt;&gt;"-",AG95&gt;5),1,0)+IF(AND(AI95&lt;&gt;"-",AI95&gt;5),1,0)+IF(AND(AK95&lt;&gt;"-",AK95&gt;5),1,0)+IF(AND(AM95&lt;&gt;"-",AM95&gt;5),1,0)+IF(AND(AO95&lt;&gt;"-",AO95&gt;5),1,0)</f>
        <v>2</v>
      </c>
      <c r="AY95" s="48">
        <f>VLOOKUP(AP95,COND!$A$10:$B$32,2,FALSE)</f>
        <v>1.0249999999999999</v>
      </c>
      <c r="AZ95" s="46">
        <f>($AU$3*AU95+$AV$3*AV95+$AW$3*AW95+$AX$3*AX95)*AY95*IF(AQ95&lt;5,0.95,IF(AQ95&lt;7,0.975,1))+$I$3*VLOOKUP(I95,COND!$A$2:$E$7,4,FALSE)+$J$3*VLOOKUP(J95,COND!$A$2:$E$7,2,FALSE)+$K$3*VLOOKUP(K95,COND!$A$2:$E$7,3,FALSE)+IF(BB95="SP",$BB$3,0)+IF($AW95&lt;3,-5,0)+IF(AND($B$2&gt;0,$E95&lt;20),$B$2*25,0)</f>
        <v>43.837143947378578</v>
      </c>
      <c r="BA95" s="49">
        <f>STANDARDIZE(AZ95,AVERAGE($AZ$5:$AZ$570),STDEVP($AZ$5:$AZ$570))</f>
        <v>1.0192832027087135</v>
      </c>
      <c r="BB95" s="47" t="str">
        <f>IF(OR(AND(AQ95&gt;7,AX95&gt;1),AND(AQ95&gt;4,AW95&gt;2)),"SP","RP")</f>
        <v>RP</v>
      </c>
      <c r="BC95" s="47"/>
      <c r="BD95" s="47"/>
      <c r="BE95" s="47"/>
      <c r="BF95" s="47" t="str">
        <f>IF(AVERAGE($O95:$Q95)&gt;=6,"Likely",IF(AVERAGE($O95:$Q95)&gt;=4,"Possible","Unlikely"))</f>
        <v>Possible</v>
      </c>
      <c r="BG95" s="47"/>
      <c r="BH95" s="47" t="str">
        <f>INDEX(Table5[[#All],[Ovr]],MATCH(Table3[[#This Row],[PID]],Table5[[#All],[PID]],0))</f>
        <v/>
      </c>
      <c r="BI95" s="47" t="str">
        <f>INDEX(Table5[[#All],[Rnd]],MATCH(Table3[[#This Row],[PID]],Table5[[#All],[PID]],0))</f>
        <v/>
      </c>
      <c r="BJ95" s="47" t="str">
        <f>INDEX(Table5[[#All],[Pick]],MATCH(Table3[[#This Row],[PID]],Table5[[#All],[PID]],0))</f>
        <v/>
      </c>
      <c r="BK95" s="47" t="str">
        <f>INDEX(Table5[[#All],[Team]],MATCH(Table3[[#This Row],[PID]],Table5[[#All],[PID]],0))</f>
        <v/>
      </c>
      <c r="BL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96" spans="1:64" ht="15" customHeight="1" x14ac:dyDescent="0.25">
      <c r="A96" s="42">
        <v>13324</v>
      </c>
      <c r="B96" s="42" t="s">
        <v>430</v>
      </c>
      <c r="C96" s="42" t="s">
        <v>136</v>
      </c>
      <c r="D96" s="42" t="s">
        <v>336</v>
      </c>
      <c r="E96" s="42">
        <v>18</v>
      </c>
      <c r="F96" s="42" t="s">
        <v>42</v>
      </c>
      <c r="G96" s="42" t="s">
        <v>42</v>
      </c>
      <c r="H96" s="43" t="s">
        <v>721</v>
      </c>
      <c r="I96" s="44" t="s">
        <v>43</v>
      </c>
      <c r="J96" s="42" t="s">
        <v>43</v>
      </c>
      <c r="K96" s="43" t="s">
        <v>43</v>
      </c>
      <c r="L96" s="42">
        <v>3</v>
      </c>
      <c r="M96" s="42">
        <v>2</v>
      </c>
      <c r="N96" s="43">
        <v>1</v>
      </c>
      <c r="O96" s="42">
        <v>8</v>
      </c>
      <c r="P96" s="42">
        <v>2</v>
      </c>
      <c r="Q96" s="43">
        <v>3</v>
      </c>
      <c r="R96" s="42">
        <v>6</v>
      </c>
      <c r="S96" s="42">
        <v>9</v>
      </c>
      <c r="T96" s="42">
        <v>1</v>
      </c>
      <c r="U96" s="42">
        <v>8</v>
      </c>
      <c r="V96" s="42" t="s">
        <v>45</v>
      </c>
      <c r="W96" s="42" t="s">
        <v>45</v>
      </c>
      <c r="X96" s="42" t="s">
        <v>45</v>
      </c>
      <c r="Y96" s="42" t="s">
        <v>45</v>
      </c>
      <c r="Z96" s="42" t="s">
        <v>45</v>
      </c>
      <c r="AA96" s="42" t="s">
        <v>45</v>
      </c>
      <c r="AB96" s="42" t="s">
        <v>45</v>
      </c>
      <c r="AC96" s="42" t="s">
        <v>45</v>
      </c>
      <c r="AD96" s="42" t="s">
        <v>45</v>
      </c>
      <c r="AE96" s="42" t="s">
        <v>45</v>
      </c>
      <c r="AF96" s="42" t="s">
        <v>45</v>
      </c>
      <c r="AG96" s="42" t="s">
        <v>45</v>
      </c>
      <c r="AH96" s="42" t="s">
        <v>45</v>
      </c>
      <c r="AI96" s="42" t="s">
        <v>45</v>
      </c>
      <c r="AJ96" s="42" t="s">
        <v>45</v>
      </c>
      <c r="AK96" s="42" t="s">
        <v>45</v>
      </c>
      <c r="AL96" s="42" t="s">
        <v>45</v>
      </c>
      <c r="AM96" s="42" t="s">
        <v>45</v>
      </c>
      <c r="AN96" s="42" t="s">
        <v>45</v>
      </c>
      <c r="AO96" s="43" t="s">
        <v>45</v>
      </c>
      <c r="AP96" s="42" t="s">
        <v>61</v>
      </c>
      <c r="AQ96" s="42">
        <v>3</v>
      </c>
      <c r="AR96" s="50" t="s">
        <v>353</v>
      </c>
      <c r="AS96" s="45" t="s">
        <v>745</v>
      </c>
      <c r="AT96" s="45" t="s">
        <v>705</v>
      </c>
      <c r="AU96" s="46">
        <f>($O$3*(L96-$O$1)/$O$2+$P$3*(M96-$P$1)/$P$2+$Q$3*(N96-$P$1)/$Q$2)/SUM($O$3:$Q$3)</f>
        <v>-2.1166698725191955</v>
      </c>
      <c r="AV96" s="46">
        <f>($O$3*(O96-$O$1)/$O$2+$P$3*(P96-$P$1)/$P$2+$Q$3*(Q96-$Q$1)/$Q$2)/SUM($O$3:$Q$3)</f>
        <v>-0.21307736712803566</v>
      </c>
      <c r="AW96" s="47">
        <f>COUNT(R96:AO96)/2</f>
        <v>2</v>
      </c>
      <c r="AX96" s="47">
        <f>IF(AND(S96&lt;&gt;"-",S96&gt;5),1,0)+IF(AND(U96&lt;&gt;"-",U96&gt;5),1,0)+IF(AND(W96&lt;&gt;"-",W96&gt;5),1,0)+IF(AND(Y96&lt;&gt;"-",Y96&gt;5),1,0)+IF(AND(AA96&lt;&gt;"-",AA96&gt;5),1,0)+IF(AND(AC96&lt;&gt;"-",AC96&gt;5),1,0)+IF(AND(AE96&lt;&gt;"-",AE96&gt;5),1,0)+IF(AND(AG96&lt;&gt;"-",AG96&gt;5),1,0)+IF(AND(AI96&lt;&gt;"-",AI96&gt;5),1,0)+IF(AND(AK96&lt;&gt;"-",AK96&gt;5),1,0)+IF(AND(AM96&lt;&gt;"-",AM96&gt;5),1,0)+IF(AND(AO96&lt;&gt;"-",AO96&gt;5),1,0)</f>
        <v>2</v>
      </c>
      <c r="AY96" s="48">
        <f>VLOOKUP(AP96,COND!$A$10:$B$32,2,FALSE)</f>
        <v>1.05</v>
      </c>
      <c r="AZ96" s="46">
        <f>($AU$3*AU96+$AV$3*AV96+$AW$3*AW96+$AX$3*AX96)*AY96*IF(AQ96&lt;5,0.95,IF(AQ96&lt;7,0.975,1))+$I$3*VLOOKUP(I96,COND!$A$2:$E$7,4,FALSE)+$J$3*VLOOKUP(J96,COND!$A$2:$E$7,2,FALSE)+$K$3*VLOOKUP(K96,COND!$A$2:$E$7,3,FALSE)+IF(BB96="SP",$BB$3,0)+IF($AW96&lt;3,-5,0)+IF(AND($B$2&gt;0,$E96&lt;20),$B$2*25,0)</f>
        <v>43.81808088622811</v>
      </c>
      <c r="BA96" s="49">
        <f>STANDARDIZE(AZ96,AVERAGE($AZ$5:$AZ$570),STDEVP($AZ$5:$AZ$570))</f>
        <v>1.0175350385239799</v>
      </c>
      <c r="BB96" s="47" t="str">
        <f>IF(OR(AND(AQ96&gt;7,AX96&gt;1),AND(AQ96&gt;4,AW96&gt;2)),"SP","RP")</f>
        <v>RP</v>
      </c>
      <c r="BC96" s="47"/>
      <c r="BD96" s="47"/>
      <c r="BE96" s="47"/>
      <c r="BF96" s="47" t="str">
        <f>IF(AVERAGE($O96:$Q96)&gt;=6,"Likely",IF(AVERAGE($O96:$Q96)&gt;=4,"Possible","Unlikely"))</f>
        <v>Possible</v>
      </c>
      <c r="BG96" s="47"/>
      <c r="BH96" s="47" t="str">
        <f>INDEX(Table5[[#All],[Ovr]],MATCH(Table3[[#This Row],[PID]],Table5[[#All],[PID]],0))</f>
        <v/>
      </c>
      <c r="BI96" s="47" t="str">
        <f>INDEX(Table5[[#All],[Rnd]],MATCH(Table3[[#This Row],[PID]],Table5[[#All],[PID]],0))</f>
        <v/>
      </c>
      <c r="BJ96" s="47" t="str">
        <f>INDEX(Table5[[#All],[Pick]],MATCH(Table3[[#This Row],[PID]],Table5[[#All],[PID]],0))</f>
        <v/>
      </c>
      <c r="BK96" s="47" t="str">
        <f>INDEX(Table5[[#All],[Team]],MATCH(Table3[[#This Row],[PID]],Table5[[#All],[PID]],0))</f>
        <v/>
      </c>
      <c r="BL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97" spans="1:64" ht="15" customHeight="1" x14ac:dyDescent="0.25">
      <c r="A97" s="42">
        <v>12650</v>
      </c>
      <c r="B97" s="42" t="s">
        <v>430</v>
      </c>
      <c r="C97" s="42" t="s">
        <v>1467</v>
      </c>
      <c r="D97" s="42" t="s">
        <v>1468</v>
      </c>
      <c r="E97" s="42">
        <v>18</v>
      </c>
      <c r="F97" s="42" t="s">
        <v>42</v>
      </c>
      <c r="G97" s="42" t="s">
        <v>42</v>
      </c>
      <c r="H97" s="43" t="s">
        <v>721</v>
      </c>
      <c r="I97" s="44" t="s">
        <v>44</v>
      </c>
      <c r="J97" s="42" t="s">
        <v>43</v>
      </c>
      <c r="K97" s="43" t="s">
        <v>43</v>
      </c>
      <c r="L97" s="42">
        <v>2</v>
      </c>
      <c r="M97" s="42">
        <v>2</v>
      </c>
      <c r="N97" s="43">
        <v>1</v>
      </c>
      <c r="O97" s="42">
        <v>6</v>
      </c>
      <c r="P97" s="42">
        <v>2</v>
      </c>
      <c r="Q97" s="43">
        <v>3</v>
      </c>
      <c r="R97" s="42">
        <v>4</v>
      </c>
      <c r="S97" s="42">
        <v>7</v>
      </c>
      <c r="T97" s="42">
        <v>1</v>
      </c>
      <c r="U97" s="42">
        <v>2</v>
      </c>
      <c r="V97" s="42">
        <v>2</v>
      </c>
      <c r="W97" s="42">
        <v>8</v>
      </c>
      <c r="X97" s="42" t="s">
        <v>45</v>
      </c>
      <c r="Y97" s="42" t="s">
        <v>45</v>
      </c>
      <c r="Z97" s="42" t="s">
        <v>45</v>
      </c>
      <c r="AA97" s="42" t="s">
        <v>45</v>
      </c>
      <c r="AB97" s="42" t="s">
        <v>45</v>
      </c>
      <c r="AC97" s="42" t="s">
        <v>45</v>
      </c>
      <c r="AD97" s="42" t="s">
        <v>45</v>
      </c>
      <c r="AE97" s="42" t="s">
        <v>45</v>
      </c>
      <c r="AF97" s="42" t="s">
        <v>45</v>
      </c>
      <c r="AG97" s="42" t="s">
        <v>45</v>
      </c>
      <c r="AH97" s="42" t="s">
        <v>45</v>
      </c>
      <c r="AI97" s="42" t="s">
        <v>45</v>
      </c>
      <c r="AJ97" s="42" t="s">
        <v>45</v>
      </c>
      <c r="AK97" s="42" t="s">
        <v>45</v>
      </c>
      <c r="AL97" s="42" t="s">
        <v>45</v>
      </c>
      <c r="AM97" s="42" t="s">
        <v>45</v>
      </c>
      <c r="AN97" s="42" t="s">
        <v>45</v>
      </c>
      <c r="AO97" s="43" t="s">
        <v>45</v>
      </c>
      <c r="AP97" s="42" t="s">
        <v>58</v>
      </c>
      <c r="AQ97" s="42">
        <v>6</v>
      </c>
      <c r="AR97" s="50" t="s">
        <v>353</v>
      </c>
      <c r="AS97" s="45" t="s">
        <v>730</v>
      </c>
      <c r="AT97" s="45" t="s">
        <v>705</v>
      </c>
      <c r="AU97" s="46">
        <f>($O$3*(L97-$O$1)/$O$2+$P$3*(M97-$P$1)/$P$2+$Q$3*(N97-$P$1)/$Q$2)/SUM($O$3:$Q$3)</f>
        <v>-2.311361197028369</v>
      </c>
      <c r="AV97" s="46">
        <f>($O$3*(O97-$O$1)/$O$2+$P$3*(P97-$P$1)/$P$2+$Q$3*(Q97-$Q$1)/$Q$2)/SUM($O$3:$Q$3)</f>
        <v>-0.60246001614638267</v>
      </c>
      <c r="AW97" s="47">
        <f>COUNT(R97:AO97)/2</f>
        <v>3</v>
      </c>
      <c r="AX97" s="47">
        <f>IF(AND(S97&lt;&gt;"-",S97&gt;5),1,0)+IF(AND(U97&lt;&gt;"-",U97&gt;5),1,0)+IF(AND(W97&lt;&gt;"-",W97&gt;5),1,0)+IF(AND(Y97&lt;&gt;"-",Y97&gt;5),1,0)+IF(AND(AA97&lt;&gt;"-",AA97&gt;5),1,0)+IF(AND(AC97&lt;&gt;"-",AC97&gt;5),1,0)+IF(AND(AE97&lt;&gt;"-",AE97&gt;5),1,0)+IF(AND(AG97&lt;&gt;"-",AG97&gt;5),1,0)+IF(AND(AI97&lt;&gt;"-",AI97&gt;5),1,0)+IF(AND(AK97&lt;&gt;"-",AK97&gt;5),1,0)+IF(AND(AM97&lt;&gt;"-",AM97&gt;5),1,0)+IF(AND(AO97&lt;&gt;"-",AO97&gt;5),1,0)</f>
        <v>2</v>
      </c>
      <c r="AY97" s="48">
        <f>VLOOKUP(AP97,COND!$A$10:$B$32,2,FALSE)</f>
        <v>1</v>
      </c>
      <c r="AZ97" s="46">
        <f>($AU$3*AU97+$AV$3*AV97+$AW$3*AW97+$AX$3*AX97)*AY97*IF(AQ97&lt;5,0.95,IF(AQ97&lt;7,0.975,1))+$I$3*VLOOKUP(I97,COND!$A$2:$E$7,4,FALSE)+$J$3*VLOOKUP(J97,COND!$A$2:$E$7,2,FALSE)+$K$3*VLOOKUP(K97,COND!$A$2:$E$7,3,FALSE)+IF(BB97="SP",$BB$3,0)+IF($AW97&lt;3,-5,0)+IF(AND($B$2&gt;0,$E97&lt;20),$B$2*25,0)</f>
        <v>43.551314251725003</v>
      </c>
      <c r="BA97" s="49">
        <f>STANDARDIZE(AZ97,AVERAGE($AZ$5:$AZ$570),STDEVP($AZ$5:$AZ$570))</f>
        <v>0.99307139795548571</v>
      </c>
      <c r="BB97" s="47" t="str">
        <f>IF(OR(AND(AQ97&gt;7,AX97&gt;1),AND(AQ97&gt;4,AW97&gt;2)),"SP","RP")</f>
        <v>SP</v>
      </c>
      <c r="BC97" s="47"/>
      <c r="BD97" s="47"/>
      <c r="BE97" s="47"/>
      <c r="BF97" s="47" t="str">
        <f>IF(AVERAGE($O97:$Q97)&gt;=6,"Likely",IF(AVERAGE($O97:$Q97)&gt;=4,"Possible","Unlikely"))</f>
        <v>Unlikely</v>
      </c>
      <c r="BG97" s="47"/>
      <c r="BH97" s="47" t="str">
        <f>INDEX(Table5[[#All],[Ovr]],MATCH(Table3[[#This Row],[PID]],Table5[[#All],[PID]],0))</f>
        <v/>
      </c>
      <c r="BI97" s="47" t="str">
        <f>INDEX(Table5[[#All],[Rnd]],MATCH(Table3[[#This Row],[PID]],Table5[[#All],[PID]],0))</f>
        <v/>
      </c>
      <c r="BJ97" s="47" t="str">
        <f>INDEX(Table5[[#All],[Pick]],MATCH(Table3[[#This Row],[PID]],Table5[[#All],[PID]],0))</f>
        <v/>
      </c>
      <c r="BK97" s="47" t="str">
        <f>INDEX(Table5[[#All],[Team]],MATCH(Table3[[#This Row],[PID]],Table5[[#All],[PID]],0))</f>
        <v/>
      </c>
      <c r="BL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98" spans="1:64" ht="15" customHeight="1" x14ac:dyDescent="0.25">
      <c r="A98" s="42">
        <v>15987</v>
      </c>
      <c r="B98" s="42" t="s">
        <v>430</v>
      </c>
      <c r="C98" s="42" t="s">
        <v>163</v>
      </c>
      <c r="D98" s="42" t="s">
        <v>1735</v>
      </c>
      <c r="E98" s="42">
        <v>18</v>
      </c>
      <c r="F98" s="42" t="s">
        <v>62</v>
      </c>
      <c r="G98" s="42" t="s">
        <v>42</v>
      </c>
      <c r="H98" s="43" t="s">
        <v>721</v>
      </c>
      <c r="I98" s="44" t="s">
        <v>43</v>
      </c>
      <c r="J98" s="42" t="s">
        <v>43</v>
      </c>
      <c r="K98" s="43" t="s">
        <v>43</v>
      </c>
      <c r="L98" s="42">
        <v>2</v>
      </c>
      <c r="M98" s="42">
        <v>2</v>
      </c>
      <c r="N98" s="43">
        <v>2</v>
      </c>
      <c r="O98" s="42">
        <v>4</v>
      </c>
      <c r="P98" s="42">
        <v>3</v>
      </c>
      <c r="Q98" s="43">
        <v>4</v>
      </c>
      <c r="R98" s="42">
        <v>4</v>
      </c>
      <c r="S98" s="42">
        <v>6</v>
      </c>
      <c r="T98" s="42">
        <v>1</v>
      </c>
      <c r="U98" s="42">
        <v>2</v>
      </c>
      <c r="V98" s="42" t="s">
        <v>45</v>
      </c>
      <c r="W98" s="42" t="s">
        <v>45</v>
      </c>
      <c r="X98" s="42">
        <v>2</v>
      </c>
      <c r="Y98" s="42">
        <v>6</v>
      </c>
      <c r="Z98" s="42" t="s">
        <v>45</v>
      </c>
      <c r="AA98" s="42" t="s">
        <v>45</v>
      </c>
      <c r="AB98" s="42" t="s">
        <v>45</v>
      </c>
      <c r="AC98" s="42" t="s">
        <v>45</v>
      </c>
      <c r="AD98" s="42" t="s">
        <v>45</v>
      </c>
      <c r="AE98" s="42" t="s">
        <v>45</v>
      </c>
      <c r="AF98" s="42" t="s">
        <v>45</v>
      </c>
      <c r="AG98" s="42" t="s">
        <v>45</v>
      </c>
      <c r="AH98" s="42">
        <v>1</v>
      </c>
      <c r="AI98" s="42">
        <v>4</v>
      </c>
      <c r="AJ98" s="42" t="s">
        <v>45</v>
      </c>
      <c r="AK98" s="42" t="s">
        <v>45</v>
      </c>
      <c r="AL98" s="42" t="s">
        <v>45</v>
      </c>
      <c r="AM98" s="42" t="s">
        <v>45</v>
      </c>
      <c r="AN98" s="42" t="s">
        <v>45</v>
      </c>
      <c r="AO98" s="43" t="s">
        <v>45</v>
      </c>
      <c r="AP98" s="42" t="s">
        <v>56</v>
      </c>
      <c r="AQ98" s="42">
        <v>2</v>
      </c>
      <c r="AR98" s="50" t="s">
        <v>353</v>
      </c>
      <c r="AS98" s="45" t="s">
        <v>718</v>
      </c>
      <c r="AT98" s="45" t="s">
        <v>47</v>
      </c>
      <c r="AU98" s="46">
        <f>($O$3*(L98-$O$1)/$O$2+$P$3*(M98-$P$1)/$P$2+$Q$3*(N98-$P$1)/$Q$2)/SUM($O$3:$Q$3)</f>
        <v>-2.0690406309742588</v>
      </c>
      <c r="AV98" s="46">
        <f>($O$3*(O98-$O$1)/$O$2+$P$3*(P98-$P$1)/$P$2+$Q$3*(Q98-$Q$1)/$Q$2)/SUM($O$3:$Q$3)</f>
        <v>-0.55409038268056388</v>
      </c>
      <c r="AW98" s="47">
        <f>COUNT(R98:AO98)/2</f>
        <v>4</v>
      </c>
      <c r="AX98" s="47">
        <f>IF(AND(S98&lt;&gt;"-",S98&gt;5),1,0)+IF(AND(U98&lt;&gt;"-",U98&gt;5),1,0)+IF(AND(W98&lt;&gt;"-",W98&gt;5),1,0)+IF(AND(Y98&lt;&gt;"-",Y98&gt;5),1,0)+IF(AND(AA98&lt;&gt;"-",AA98&gt;5),1,0)+IF(AND(AC98&lt;&gt;"-",AC98&gt;5),1,0)+IF(AND(AE98&lt;&gt;"-",AE98&gt;5),1,0)+IF(AND(AG98&lt;&gt;"-",AG98&gt;5),1,0)+IF(AND(AI98&lt;&gt;"-",AI98&gt;5),1,0)+IF(AND(AK98&lt;&gt;"-",AK98&gt;5),1,0)+IF(AND(AM98&lt;&gt;"-",AM98&gt;5),1,0)+IF(AND(AO98&lt;&gt;"-",AO98&gt;5),1,0)</f>
        <v>2</v>
      </c>
      <c r="AY98" s="48">
        <f>VLOOKUP(AP98,COND!$A$10:$B$32,2,FALSE)</f>
        <v>1</v>
      </c>
      <c r="AZ98" s="46">
        <f>($AU$3*AU98+$AV$3*AV98+$AW$3*AW98+$AX$3*AX98)*AY98*IF(AQ98&lt;5,0.95,IF(AQ98&lt;7,0.975,1))+$I$3*VLOOKUP(I98,COND!$A$2:$E$7,4,FALSE)+$J$3*VLOOKUP(J98,COND!$A$2:$E$7,2,FALSE)+$K$3*VLOOKUP(K98,COND!$A$2:$E$7,3,FALSE)+IF(BB98="SP",$BB$3,0)+IF($AW98&lt;3,-5,0)+IF(AND($B$2&gt;0,$E98&lt;20),$B$2*25,0)</f>
        <v>43.354165009184179</v>
      </c>
      <c r="BA98" s="49">
        <f>STANDARDIZE(AZ98,AVERAGE($AZ$5:$AZ$570),STDEVP($AZ$5:$AZ$570))</f>
        <v>0.97499196978091984</v>
      </c>
      <c r="BB98" s="47" t="str">
        <f>IF(OR(AND(AQ98&gt;7,AX98&gt;1),AND(AQ98&gt;4,AW98&gt;2)),"SP","RP")</f>
        <v>RP</v>
      </c>
      <c r="BC98" s="47"/>
      <c r="BD98" s="47"/>
      <c r="BE98" s="47"/>
      <c r="BF98" s="47" t="str">
        <f>IF(AVERAGE($O98:$Q98)&gt;=6,"Likely",IF(AVERAGE($O98:$Q98)&gt;=4,"Possible","Unlikely"))</f>
        <v>Unlikely</v>
      </c>
      <c r="BG98" s="47"/>
      <c r="BH98" s="47" t="str">
        <f>INDEX(Table5[[#All],[Ovr]],MATCH(Table3[[#This Row],[PID]],Table5[[#All],[PID]],0))</f>
        <v/>
      </c>
      <c r="BI98" s="47" t="str">
        <f>INDEX(Table5[[#All],[Rnd]],MATCH(Table3[[#This Row],[PID]],Table5[[#All],[PID]],0))</f>
        <v/>
      </c>
      <c r="BJ98" s="47" t="str">
        <f>INDEX(Table5[[#All],[Pick]],MATCH(Table3[[#This Row],[PID]],Table5[[#All],[PID]],0))</f>
        <v/>
      </c>
      <c r="BK98" s="47" t="str">
        <f>INDEX(Table5[[#All],[Team]],MATCH(Table3[[#This Row],[PID]],Table5[[#All],[PID]],0))</f>
        <v/>
      </c>
      <c r="BL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99" spans="1:64" ht="15" customHeight="1" x14ac:dyDescent="0.25">
      <c r="A99" s="42">
        <v>15600</v>
      </c>
      <c r="B99" s="42" t="s">
        <v>430</v>
      </c>
      <c r="C99" s="42" t="s">
        <v>1672</v>
      </c>
      <c r="D99" s="42" t="s">
        <v>1673</v>
      </c>
      <c r="E99" s="42">
        <v>18</v>
      </c>
      <c r="F99" s="42" t="s">
        <v>53</v>
      </c>
      <c r="G99" s="42" t="s">
        <v>53</v>
      </c>
      <c r="H99" s="43" t="s">
        <v>721</v>
      </c>
      <c r="I99" s="44" t="s">
        <v>43</v>
      </c>
      <c r="J99" s="42" t="s">
        <v>43</v>
      </c>
      <c r="K99" s="43" t="s">
        <v>47</v>
      </c>
      <c r="L99" s="42">
        <v>2</v>
      </c>
      <c r="M99" s="42">
        <v>2</v>
      </c>
      <c r="N99" s="43">
        <v>1</v>
      </c>
      <c r="O99" s="42">
        <v>4</v>
      </c>
      <c r="P99" s="42">
        <v>4</v>
      </c>
      <c r="Q99" s="43">
        <v>3</v>
      </c>
      <c r="R99" s="42">
        <v>3</v>
      </c>
      <c r="S99" s="42">
        <v>5</v>
      </c>
      <c r="T99" s="42">
        <v>1</v>
      </c>
      <c r="U99" s="42">
        <v>5</v>
      </c>
      <c r="V99" s="42" t="s">
        <v>45</v>
      </c>
      <c r="W99" s="42" t="s">
        <v>45</v>
      </c>
      <c r="X99" s="42">
        <v>2</v>
      </c>
      <c r="Y99" s="42">
        <v>4</v>
      </c>
      <c r="Z99" s="42" t="s">
        <v>45</v>
      </c>
      <c r="AA99" s="42" t="s">
        <v>45</v>
      </c>
      <c r="AB99" s="42">
        <v>3</v>
      </c>
      <c r="AC99" s="42">
        <v>5</v>
      </c>
      <c r="AD99" s="42">
        <v>3</v>
      </c>
      <c r="AE99" s="42">
        <v>4</v>
      </c>
      <c r="AF99" s="42" t="s">
        <v>45</v>
      </c>
      <c r="AG99" s="42" t="s">
        <v>45</v>
      </c>
      <c r="AH99" s="42" t="s">
        <v>45</v>
      </c>
      <c r="AI99" s="42" t="s">
        <v>45</v>
      </c>
      <c r="AJ99" s="42" t="s">
        <v>45</v>
      </c>
      <c r="AK99" s="42" t="s">
        <v>45</v>
      </c>
      <c r="AL99" s="42" t="s">
        <v>45</v>
      </c>
      <c r="AM99" s="42" t="s">
        <v>45</v>
      </c>
      <c r="AN99" s="42" t="s">
        <v>45</v>
      </c>
      <c r="AO99" s="43" t="s">
        <v>45</v>
      </c>
      <c r="AP99" s="42" t="s">
        <v>355</v>
      </c>
      <c r="AQ99" s="42">
        <v>6</v>
      </c>
      <c r="AR99" s="50" t="s">
        <v>353</v>
      </c>
      <c r="AS99" s="45" t="s">
        <v>718</v>
      </c>
      <c r="AT99" s="45" t="s">
        <v>705</v>
      </c>
      <c r="AU99" s="46">
        <f>($O$3*(L99-$O$1)/$O$2+$P$3*(M99-$P$1)/$P$2+$Q$3*(N99-$P$1)/$Q$2)/SUM($O$3:$Q$3)</f>
        <v>-2.311361197028369</v>
      </c>
      <c r="AV99" s="46">
        <f>($O$3*(O99-$O$1)/$O$2+$P$3*(P99-$P$1)/$P$2+$Q$3*(Q99-$Q$1)/$Q$2)/SUM($O$3:$Q$3)</f>
        <v>-0.6009792323046188</v>
      </c>
      <c r="AW99" s="47">
        <f>COUNT(R99:AO99)/2</f>
        <v>5</v>
      </c>
      <c r="AX99" s="47">
        <f>IF(AND(S99&lt;&gt;"-",S99&gt;5),1,0)+IF(AND(U99&lt;&gt;"-",U99&gt;5),1,0)+IF(AND(W99&lt;&gt;"-",W99&gt;5),1,0)+IF(AND(Y99&lt;&gt;"-",Y99&gt;5),1,0)+IF(AND(AA99&lt;&gt;"-",AA99&gt;5),1,0)+IF(AND(AC99&lt;&gt;"-",AC99&gt;5),1,0)+IF(AND(AE99&lt;&gt;"-",AE99&gt;5),1,0)+IF(AND(AG99&lt;&gt;"-",AG99&gt;5),1,0)+IF(AND(AI99&lt;&gt;"-",AI99&gt;5),1,0)+IF(AND(AK99&lt;&gt;"-",AK99&gt;5),1,0)+IF(AND(AM99&lt;&gt;"-",AM99&gt;5),1,0)+IF(AND(AO99&lt;&gt;"-",AO99&gt;5),1,0)</f>
        <v>0</v>
      </c>
      <c r="AY99" s="48">
        <f>VLOOKUP(AP99,COND!$A$10:$B$32,2,FALSE)</f>
        <v>1</v>
      </c>
      <c r="AZ99" s="46">
        <f>($AU$3*AU99+$AV$3*AV99+$AW$3*AW99+$AX$3*AX99)*AY99*IF(AQ99&lt;5,0.95,IF(AQ99&lt;7,0.975,1))+$I$3*VLOOKUP(I99,COND!$A$2:$E$7,4,FALSE)+$J$3*VLOOKUP(J99,COND!$A$2:$E$7,2,FALSE)+$K$3*VLOOKUP(K99,COND!$A$2:$E$7,3,FALSE)+IF(BB99="SP",$BB$3,0)+IF($AW99&lt;3,-5,0)+IF(AND($B$2&gt;0,$E99&lt;20),$B$2*25,0)</f>
        <v>42.567689536639406</v>
      </c>
      <c r="BA99" s="49">
        <f>STANDARDIZE(AZ99,AVERAGE($AZ$5:$AZ$570),STDEVP($AZ$5:$AZ$570))</f>
        <v>0.90286880748174636</v>
      </c>
      <c r="BB99" s="47" t="str">
        <f>IF(OR(AND(AQ99&gt;7,AX99&gt;1),AND(AQ99&gt;4,AW99&gt;2)),"SP","RP")</f>
        <v>SP</v>
      </c>
      <c r="BC99" s="47"/>
      <c r="BD99" s="47"/>
      <c r="BE99" s="47"/>
      <c r="BF99" s="47" t="str">
        <f>IF(AVERAGE($O99:$Q99)&gt;=6,"Likely",IF(AVERAGE($O99:$Q99)&gt;=4,"Possible","Unlikely"))</f>
        <v>Unlikely</v>
      </c>
      <c r="BG99" s="47"/>
      <c r="BH99" s="47" t="str">
        <f>INDEX(Table5[[#All],[Ovr]],MATCH(Table3[[#This Row],[PID]],Table5[[#All],[PID]],0))</f>
        <v/>
      </c>
      <c r="BI99" s="47" t="str">
        <f>INDEX(Table5[[#All],[Rnd]],MATCH(Table3[[#This Row],[PID]],Table5[[#All],[PID]],0))</f>
        <v/>
      </c>
      <c r="BJ99" s="47" t="str">
        <f>INDEX(Table5[[#All],[Pick]],MATCH(Table3[[#This Row],[PID]],Table5[[#All],[PID]],0))</f>
        <v/>
      </c>
      <c r="BK99" s="47" t="str">
        <f>INDEX(Table5[[#All],[Team]],MATCH(Table3[[#This Row],[PID]],Table5[[#All],[PID]],0))</f>
        <v/>
      </c>
      <c r="BL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0" spans="1:64" ht="15" customHeight="1" x14ac:dyDescent="0.25">
      <c r="A100" s="42">
        <v>9625</v>
      </c>
      <c r="B100" s="42" t="s">
        <v>49</v>
      </c>
      <c r="C100" s="42" t="s">
        <v>577</v>
      </c>
      <c r="D100" s="42" t="s">
        <v>157</v>
      </c>
      <c r="E100" s="42">
        <v>21</v>
      </c>
      <c r="F100" s="42" t="s">
        <v>42</v>
      </c>
      <c r="G100" s="42" t="s">
        <v>42</v>
      </c>
      <c r="H100" s="43" t="s">
        <v>721</v>
      </c>
      <c r="I100" s="44" t="s">
        <v>47</v>
      </c>
      <c r="J100" s="42" t="s">
        <v>43</v>
      </c>
      <c r="K100" s="43" t="s">
        <v>43</v>
      </c>
      <c r="L100" s="42">
        <v>3</v>
      </c>
      <c r="M100" s="42">
        <v>2</v>
      </c>
      <c r="N100" s="43">
        <v>2</v>
      </c>
      <c r="O100" s="42">
        <v>5</v>
      </c>
      <c r="P100" s="42">
        <v>2</v>
      </c>
      <c r="Q100" s="43">
        <v>5</v>
      </c>
      <c r="R100" s="42">
        <v>5</v>
      </c>
      <c r="S100" s="42">
        <v>7</v>
      </c>
      <c r="T100" s="42">
        <v>1</v>
      </c>
      <c r="U100" s="42">
        <v>4</v>
      </c>
      <c r="V100" s="42" t="s">
        <v>45</v>
      </c>
      <c r="W100" s="42" t="s">
        <v>45</v>
      </c>
      <c r="X100" s="42" t="s">
        <v>45</v>
      </c>
      <c r="Y100" s="42" t="s">
        <v>45</v>
      </c>
      <c r="Z100" s="42" t="s">
        <v>45</v>
      </c>
      <c r="AA100" s="42" t="s">
        <v>45</v>
      </c>
      <c r="AB100" s="42" t="s">
        <v>45</v>
      </c>
      <c r="AC100" s="42" t="s">
        <v>45</v>
      </c>
      <c r="AD100" s="42">
        <v>4</v>
      </c>
      <c r="AE100" s="42">
        <v>6</v>
      </c>
      <c r="AF100" s="42">
        <v>3</v>
      </c>
      <c r="AG100" s="42">
        <v>3</v>
      </c>
      <c r="AH100" s="42" t="s">
        <v>45</v>
      </c>
      <c r="AI100" s="42" t="s">
        <v>45</v>
      </c>
      <c r="AJ100" s="42" t="s">
        <v>45</v>
      </c>
      <c r="AK100" s="42" t="s">
        <v>45</v>
      </c>
      <c r="AL100" s="42" t="s">
        <v>45</v>
      </c>
      <c r="AM100" s="42" t="s">
        <v>45</v>
      </c>
      <c r="AN100" s="42" t="s">
        <v>45</v>
      </c>
      <c r="AO100" s="43" t="s">
        <v>45</v>
      </c>
      <c r="AP100" s="42" t="s">
        <v>58</v>
      </c>
      <c r="AQ100" s="42">
        <v>4</v>
      </c>
      <c r="AR100" s="50" t="s">
        <v>353</v>
      </c>
      <c r="AS100" s="45" t="s">
        <v>45</v>
      </c>
      <c r="AT100" s="45" t="s">
        <v>47</v>
      </c>
      <c r="AU100" s="46">
        <f>($O$3*(L100-$O$1)/$O$2+$P$3*(M100-$P$1)/$P$2+$Q$3*(N100-$P$1)/$Q$2)/SUM($O$3:$Q$3)</f>
        <v>-1.8743493064650851</v>
      </c>
      <c r="AV100" s="46">
        <f>($O$3*(O100-$O$1)/$O$2+$P$3*(P100-$P$1)/$P$2+$Q$3*(Q100-$Q$1)/$Q$2)/SUM($O$3:$Q$3)</f>
        <v>-0.31251020854733541</v>
      </c>
      <c r="AW100" s="47">
        <f>COUNT(R100:AO100)/2</f>
        <v>4</v>
      </c>
      <c r="AX100" s="47">
        <f>IF(AND(S100&lt;&gt;"-",S100&gt;5),1,0)+IF(AND(U100&lt;&gt;"-",U100&gt;5),1,0)+IF(AND(W100&lt;&gt;"-",W100&gt;5),1,0)+IF(AND(Y100&lt;&gt;"-",Y100&gt;5),1,0)+IF(AND(AA100&lt;&gt;"-",AA100&gt;5),1,0)+IF(AND(AC100&lt;&gt;"-",AC100&gt;5),1,0)+IF(AND(AE100&lt;&gt;"-",AE100&gt;5),1,0)+IF(AND(AG100&lt;&gt;"-",AG100&gt;5),1,0)+IF(AND(AI100&lt;&gt;"-",AI100&gt;5),1,0)+IF(AND(AK100&lt;&gt;"-",AK100&gt;5),1,0)+IF(AND(AM100&lt;&gt;"-",AM100&gt;5),1,0)+IF(AND(AO100&lt;&gt;"-",AO100&gt;5),1,0)</f>
        <v>2</v>
      </c>
      <c r="AY100" s="48">
        <f>VLOOKUP(AP100,COND!$A$10:$B$32,2,FALSE)</f>
        <v>1</v>
      </c>
      <c r="AZ100" s="46">
        <f>($AU$3*AU100+$AV$3*AV100+$AW$3*AW100+$AX$3*AX100)*AY100*IF(AQ100&lt;5,0.95,IF(AQ100&lt;7,0.975,1))+$I$3*VLOOKUP(I100,COND!$A$2:$E$7,4,FALSE)+$J$3*VLOOKUP(J100,COND!$A$2:$E$7,2,FALSE)+$K$3*VLOOKUP(K100,COND!$A$2:$E$7,3,FALSE)+IF(BB100="SP",$BB$3,0)+IF($AW100&lt;3,-5,0)+IF(AND($B$2&gt;0,$E100&lt;20),$B$2*25,0)</f>
        <v>43.206179669372261</v>
      </c>
      <c r="BA100" s="49">
        <f>STANDARDIZE(AZ100,AVERAGE($AZ$5:$AZ$570),STDEVP($AZ$5:$AZ$570))</f>
        <v>0.96142108161753126</v>
      </c>
      <c r="BB100" s="47" t="str">
        <f>IF(OR(AND(AQ100&gt;7,AX100&gt;1),AND(AQ100&gt;4,AW100&gt;2)),"SP","RP")</f>
        <v>RP</v>
      </c>
      <c r="BC100" s="47"/>
      <c r="BD100" s="47"/>
      <c r="BE100" s="47"/>
      <c r="BF100" s="47" t="str">
        <f>IF(AVERAGE($O100:$Q100)&gt;=6,"Likely",IF(AVERAGE($O100:$Q100)&gt;=4,"Possible","Unlikely"))</f>
        <v>Possible</v>
      </c>
      <c r="BG100" s="47"/>
      <c r="BH100" s="47" t="str">
        <f>INDEX(Table5[[#All],[Ovr]],MATCH(Table3[[#This Row],[PID]],Table5[[#All],[PID]],0))</f>
        <v/>
      </c>
      <c r="BI100" s="47" t="str">
        <f>INDEX(Table5[[#All],[Rnd]],MATCH(Table3[[#This Row],[PID]],Table5[[#All],[PID]],0))</f>
        <v/>
      </c>
      <c r="BJ100" s="47" t="str">
        <f>INDEX(Table5[[#All],[Pick]],MATCH(Table3[[#This Row],[PID]],Table5[[#All],[PID]],0))</f>
        <v/>
      </c>
      <c r="BK100" s="47" t="str">
        <f>INDEX(Table5[[#All],[Team]],MATCH(Table3[[#This Row],[PID]],Table5[[#All],[PID]],0))</f>
        <v/>
      </c>
      <c r="BL1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1" spans="1:64" ht="15" customHeight="1" x14ac:dyDescent="0.25">
      <c r="A101" s="42">
        <v>15373</v>
      </c>
      <c r="B101" s="42" t="s">
        <v>49</v>
      </c>
      <c r="C101" s="42" t="s">
        <v>592</v>
      </c>
      <c r="D101" s="42" t="s">
        <v>1478</v>
      </c>
      <c r="E101" s="42">
        <v>18</v>
      </c>
      <c r="F101" s="42" t="s">
        <v>42</v>
      </c>
      <c r="G101" s="42" t="s">
        <v>42</v>
      </c>
      <c r="H101" s="43" t="s">
        <v>721</v>
      </c>
      <c r="I101" s="44" t="s">
        <v>43</v>
      </c>
      <c r="J101" s="42" t="s">
        <v>43</v>
      </c>
      <c r="K101" s="43" t="s">
        <v>43</v>
      </c>
      <c r="L101" s="42">
        <v>3</v>
      </c>
      <c r="M101" s="42">
        <v>2</v>
      </c>
      <c r="N101" s="43">
        <v>1</v>
      </c>
      <c r="O101" s="42">
        <v>6</v>
      </c>
      <c r="P101" s="42">
        <v>5</v>
      </c>
      <c r="Q101" s="43">
        <v>2</v>
      </c>
      <c r="R101" s="42">
        <v>4</v>
      </c>
      <c r="S101" s="42">
        <v>8</v>
      </c>
      <c r="T101" s="42" t="s">
        <v>45</v>
      </c>
      <c r="U101" s="42" t="s">
        <v>45</v>
      </c>
      <c r="V101" s="42" t="s">
        <v>45</v>
      </c>
      <c r="W101" s="42" t="s">
        <v>45</v>
      </c>
      <c r="X101" s="42" t="s">
        <v>45</v>
      </c>
      <c r="Y101" s="42" t="s">
        <v>45</v>
      </c>
      <c r="Z101" s="42" t="s">
        <v>45</v>
      </c>
      <c r="AA101" s="42" t="s">
        <v>45</v>
      </c>
      <c r="AB101" s="42">
        <v>4</v>
      </c>
      <c r="AC101" s="42">
        <v>7</v>
      </c>
      <c r="AD101" s="42" t="s">
        <v>45</v>
      </c>
      <c r="AE101" s="42" t="s">
        <v>45</v>
      </c>
      <c r="AF101" s="42" t="s">
        <v>45</v>
      </c>
      <c r="AG101" s="42" t="s">
        <v>45</v>
      </c>
      <c r="AH101" s="42" t="s">
        <v>45</v>
      </c>
      <c r="AI101" s="42" t="s">
        <v>45</v>
      </c>
      <c r="AJ101" s="42" t="s">
        <v>45</v>
      </c>
      <c r="AK101" s="42" t="s">
        <v>45</v>
      </c>
      <c r="AL101" s="42" t="s">
        <v>45</v>
      </c>
      <c r="AM101" s="42" t="s">
        <v>45</v>
      </c>
      <c r="AN101" s="42" t="s">
        <v>45</v>
      </c>
      <c r="AO101" s="43" t="s">
        <v>45</v>
      </c>
      <c r="AP101" s="42" t="s">
        <v>60</v>
      </c>
      <c r="AQ101" s="42">
        <v>5</v>
      </c>
      <c r="AR101" s="50" t="s">
        <v>352</v>
      </c>
      <c r="AS101" s="45" t="s">
        <v>718</v>
      </c>
      <c r="AT101" s="45" t="s">
        <v>47</v>
      </c>
      <c r="AU101" s="46">
        <f>($O$3*(L101-$O$1)/$O$2+$P$3*(M101-$P$1)/$P$2+$Q$3*(N101-$P$1)/$Q$2)/SUM($O$3:$Q$3)</f>
        <v>-2.1166698725191955</v>
      </c>
      <c r="AV101" s="46">
        <f>($O$3*(O101-$O$1)/$O$2+$P$3*(P101-$P$1)/$P$2+$Q$3*(Q101-$Q$1)/$Q$2)/SUM($O$3:$Q$3)</f>
        <v>-0.25848543291032677</v>
      </c>
      <c r="AW101" s="47">
        <f>COUNT(R101:AO101)/2</f>
        <v>2</v>
      </c>
      <c r="AX101" s="47">
        <f>IF(AND(S101&lt;&gt;"-",S101&gt;5),1,0)+IF(AND(U101&lt;&gt;"-",U101&gt;5),1,0)+IF(AND(W101&lt;&gt;"-",W101&gt;5),1,0)+IF(AND(Y101&lt;&gt;"-",Y101&gt;5),1,0)+IF(AND(AA101&lt;&gt;"-",AA101&gt;5),1,0)+IF(AND(AC101&lt;&gt;"-",AC101&gt;5),1,0)+IF(AND(AE101&lt;&gt;"-",AE101&gt;5),1,0)+IF(AND(AG101&lt;&gt;"-",AG101&gt;5),1,0)+IF(AND(AI101&lt;&gt;"-",AI101&gt;5),1,0)+IF(AND(AK101&lt;&gt;"-",AK101&gt;5),1,0)+IF(AND(AM101&lt;&gt;"-",AM101&gt;5),1,0)+IF(AND(AO101&lt;&gt;"-",AO101&gt;5),1,0)</f>
        <v>2</v>
      </c>
      <c r="AY101" s="48">
        <f>VLOOKUP(AP101,COND!$A$10:$B$32,2,FALSE)</f>
        <v>1.0249999999999999</v>
      </c>
      <c r="AZ101" s="46">
        <f>($AU$3*AU101+$AV$3*AV101+$AW$3*AW101+$AX$3*AX101)*AY101*IF(AQ101&lt;5,0.95,IF(AQ101&lt;7,0.975,1))+$I$3*VLOOKUP(I101,COND!$A$2:$E$7,4,FALSE)+$J$3*VLOOKUP(J101,COND!$A$2:$E$7,2,FALSE)+$K$3*VLOOKUP(K101,COND!$A$2:$E$7,3,FALSE)+IF(BB101="SP",$BB$3,0)+IF($AW101&lt;3,-5,0)+IF(AND($B$2&gt;0,$E101&lt;20),$B$2*25,0)</f>
        <v>42.908265518935067</v>
      </c>
      <c r="BA101" s="49">
        <f>STANDARDIZE(AZ101,AVERAGE($AZ$5:$AZ$570),STDEVP($AZ$5:$AZ$570))</f>
        <v>0.93410108071060038</v>
      </c>
      <c r="BB101" s="47" t="str">
        <f>IF(OR(AND(AQ101&gt;7,AX101&gt;1),AND(AQ101&gt;4,AW101&gt;2)),"SP","RP")</f>
        <v>RP</v>
      </c>
      <c r="BC101" s="47"/>
      <c r="BD101" s="47"/>
      <c r="BE101" s="47"/>
      <c r="BF101" s="47" t="str">
        <f>IF(AVERAGE($O101:$Q101)&gt;=6,"Likely",IF(AVERAGE($O101:$Q101)&gt;=4,"Possible","Unlikely"))</f>
        <v>Possible</v>
      </c>
      <c r="BG101" s="47"/>
      <c r="BH101" s="47" t="str">
        <f>INDEX(Table5[[#All],[Ovr]],MATCH(Table3[[#This Row],[PID]],Table5[[#All],[PID]],0))</f>
        <v/>
      </c>
      <c r="BI101" s="47" t="str">
        <f>INDEX(Table5[[#All],[Rnd]],MATCH(Table3[[#This Row],[PID]],Table5[[#All],[PID]],0))</f>
        <v/>
      </c>
      <c r="BJ101" s="47" t="str">
        <f>INDEX(Table5[[#All],[Pick]],MATCH(Table3[[#This Row],[PID]],Table5[[#All],[PID]],0))</f>
        <v/>
      </c>
      <c r="BK101" s="47" t="str">
        <f>INDEX(Table5[[#All],[Team]],MATCH(Table3[[#This Row],[PID]],Table5[[#All],[PID]],0))</f>
        <v/>
      </c>
      <c r="BL1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2" spans="1:64" ht="15" customHeight="1" x14ac:dyDescent="0.25">
      <c r="A102" s="42">
        <v>15712</v>
      </c>
      <c r="B102" s="42" t="s">
        <v>430</v>
      </c>
      <c r="C102" s="42" t="s">
        <v>646</v>
      </c>
      <c r="D102" s="42" t="s">
        <v>1500</v>
      </c>
      <c r="E102" s="42">
        <v>18</v>
      </c>
      <c r="F102" s="42" t="s">
        <v>42</v>
      </c>
      <c r="G102" s="42" t="s">
        <v>42</v>
      </c>
      <c r="H102" s="43" t="s">
        <v>721</v>
      </c>
      <c r="I102" s="44" t="s">
        <v>43</v>
      </c>
      <c r="J102" s="42" t="s">
        <v>44</v>
      </c>
      <c r="K102" s="43" t="s">
        <v>43</v>
      </c>
      <c r="L102" s="42">
        <v>2</v>
      </c>
      <c r="M102" s="42">
        <v>2</v>
      </c>
      <c r="N102" s="43">
        <v>1</v>
      </c>
      <c r="O102" s="42">
        <v>5</v>
      </c>
      <c r="P102" s="42">
        <v>3</v>
      </c>
      <c r="Q102" s="43">
        <v>3</v>
      </c>
      <c r="R102" s="42">
        <v>3</v>
      </c>
      <c r="S102" s="42">
        <v>5</v>
      </c>
      <c r="T102" s="42">
        <v>2</v>
      </c>
      <c r="U102" s="42">
        <v>7</v>
      </c>
      <c r="V102" s="42" t="s">
        <v>45</v>
      </c>
      <c r="W102" s="42" t="s">
        <v>45</v>
      </c>
      <c r="X102" s="42">
        <v>2</v>
      </c>
      <c r="Y102" s="42">
        <v>6</v>
      </c>
      <c r="Z102" s="42" t="s">
        <v>45</v>
      </c>
      <c r="AA102" s="42" t="s">
        <v>45</v>
      </c>
      <c r="AB102" s="42" t="s">
        <v>45</v>
      </c>
      <c r="AC102" s="42" t="s">
        <v>45</v>
      </c>
      <c r="AD102" s="42" t="s">
        <v>45</v>
      </c>
      <c r="AE102" s="42" t="s">
        <v>45</v>
      </c>
      <c r="AF102" s="42" t="s">
        <v>45</v>
      </c>
      <c r="AG102" s="42" t="s">
        <v>45</v>
      </c>
      <c r="AH102" s="42" t="s">
        <v>45</v>
      </c>
      <c r="AI102" s="42" t="s">
        <v>45</v>
      </c>
      <c r="AJ102" s="42" t="s">
        <v>45</v>
      </c>
      <c r="AK102" s="42" t="s">
        <v>45</v>
      </c>
      <c r="AL102" s="42" t="s">
        <v>45</v>
      </c>
      <c r="AM102" s="42" t="s">
        <v>45</v>
      </c>
      <c r="AN102" s="42" t="s">
        <v>45</v>
      </c>
      <c r="AO102" s="43" t="s">
        <v>45</v>
      </c>
      <c r="AP102" s="42" t="s">
        <v>355</v>
      </c>
      <c r="AQ102" s="42">
        <v>6</v>
      </c>
      <c r="AR102" s="50" t="s">
        <v>353</v>
      </c>
      <c r="AS102" s="45" t="s">
        <v>599</v>
      </c>
      <c r="AT102" s="45" t="s">
        <v>47</v>
      </c>
      <c r="AU102" s="46">
        <f>($O$3*(L102-$O$1)/$O$2+$P$3*(M102-$P$1)/$P$2+$Q$3*(N102-$P$1)/$Q$2)/SUM($O$3:$Q$3)</f>
        <v>-2.311361197028369</v>
      </c>
      <c r="AV102" s="46">
        <f>($O$3*(O102-$O$1)/$O$2+$P$3*(P102-$P$1)/$P$2+$Q$3*(Q102-$Q$1)/$Q$2)/SUM($O$3:$Q$3)</f>
        <v>-0.60171962422550074</v>
      </c>
      <c r="AW102" s="47">
        <f>COUNT(R102:AO102)/2</f>
        <v>3</v>
      </c>
      <c r="AX102" s="47">
        <f>IF(AND(S102&lt;&gt;"-",S102&gt;5),1,0)+IF(AND(U102&lt;&gt;"-",U102&gt;5),1,0)+IF(AND(W102&lt;&gt;"-",W102&gt;5),1,0)+IF(AND(Y102&lt;&gt;"-",Y102&gt;5),1,0)+IF(AND(AA102&lt;&gt;"-",AA102&gt;5),1,0)+IF(AND(AC102&lt;&gt;"-",AC102&gt;5),1,0)+IF(AND(AE102&lt;&gt;"-",AE102&gt;5),1,0)+IF(AND(AG102&lt;&gt;"-",AG102&gt;5),1,0)+IF(AND(AI102&lt;&gt;"-",AI102&gt;5),1,0)+IF(AND(AK102&lt;&gt;"-",AK102&gt;5),1,0)+IF(AND(AM102&lt;&gt;"-",AM102&gt;5),1,0)+IF(AND(AO102&lt;&gt;"-",AO102&gt;5),1,0)</f>
        <v>2</v>
      </c>
      <c r="AY102" s="48">
        <f>VLOOKUP(AP102,COND!$A$10:$B$32,2,FALSE)</f>
        <v>1</v>
      </c>
      <c r="AZ102" s="46">
        <f>($AU$3*AU102+$AV$3*AV102+$AW$3*AW102+$AX$3*AX102)*AY102*IF(AQ102&lt;5,0.95,IF(AQ102&lt;7,0.975,1))+$I$3*VLOOKUP(I102,COND!$A$2:$E$7,4,FALSE)+$J$3*VLOOKUP(J102,COND!$A$2:$E$7,2,FALSE)+$K$3*VLOOKUP(K102,COND!$A$2:$E$7,3,FALSE)+IF(BB102="SP",$BB$3,0)+IF($AW102&lt;3,-5,0)+IF(AND($B$2&gt;0,$E102&lt;20),$B$2*25,0)</f>
        <v>43.4157518941822</v>
      </c>
      <c r="BA102" s="49">
        <f>STANDARDIZE(AZ102,AVERAGE($AZ$5:$AZ$570),STDEVP($AZ$5:$AZ$570))</f>
        <v>0.98063975036311712</v>
      </c>
      <c r="BB102" s="47" t="str">
        <f>IF(OR(AND(AQ102&gt;7,AX102&gt;1),AND(AQ102&gt;4,AW102&gt;2)),"SP","RP")</f>
        <v>SP</v>
      </c>
      <c r="BC102" s="47"/>
      <c r="BD102" s="47"/>
      <c r="BE102" s="47"/>
      <c r="BF102" s="47" t="str">
        <f>IF(AVERAGE($O102:$Q102)&gt;=6,"Likely",IF(AVERAGE($O102:$Q102)&gt;=4,"Possible","Unlikely"))</f>
        <v>Unlikely</v>
      </c>
      <c r="BG102" s="47"/>
      <c r="BH102" s="47" t="str">
        <f>INDEX(Table5[[#All],[Ovr]],MATCH(Table3[[#This Row],[PID]],Table5[[#All],[PID]],0))</f>
        <v/>
      </c>
      <c r="BI102" s="47" t="str">
        <f>INDEX(Table5[[#All],[Rnd]],MATCH(Table3[[#This Row],[PID]],Table5[[#All],[PID]],0))</f>
        <v/>
      </c>
      <c r="BJ102" s="47" t="str">
        <f>INDEX(Table5[[#All],[Pick]],MATCH(Table3[[#This Row],[PID]],Table5[[#All],[PID]],0))</f>
        <v/>
      </c>
      <c r="BK102" s="47" t="str">
        <f>INDEX(Table5[[#All],[Team]],MATCH(Table3[[#This Row],[PID]],Table5[[#All],[PID]],0))</f>
        <v/>
      </c>
      <c r="BL1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3" spans="1:64" ht="15" customHeight="1" x14ac:dyDescent="0.25">
      <c r="A103" s="42">
        <v>9988</v>
      </c>
      <c r="B103" s="42" t="s">
        <v>24</v>
      </c>
      <c r="C103" s="42" t="s">
        <v>179</v>
      </c>
      <c r="D103" s="42" t="s">
        <v>336</v>
      </c>
      <c r="E103" s="42">
        <v>21</v>
      </c>
      <c r="F103" s="42" t="s">
        <v>42</v>
      </c>
      <c r="G103" s="42" t="s">
        <v>42</v>
      </c>
      <c r="H103" s="43" t="s">
        <v>703</v>
      </c>
      <c r="I103" s="44" t="s">
        <v>44</v>
      </c>
      <c r="J103" s="42" t="s">
        <v>43</v>
      </c>
      <c r="K103" s="43" t="s">
        <v>43</v>
      </c>
      <c r="L103" s="42">
        <v>4</v>
      </c>
      <c r="M103" s="42">
        <v>2</v>
      </c>
      <c r="N103" s="43">
        <v>1</v>
      </c>
      <c r="O103" s="42">
        <v>6</v>
      </c>
      <c r="P103" s="42">
        <v>3</v>
      </c>
      <c r="Q103" s="43">
        <v>3</v>
      </c>
      <c r="R103" s="42">
        <v>6</v>
      </c>
      <c r="S103" s="42">
        <v>7</v>
      </c>
      <c r="T103" s="42">
        <v>1</v>
      </c>
      <c r="U103" s="42">
        <v>2</v>
      </c>
      <c r="V103" s="42" t="s">
        <v>45</v>
      </c>
      <c r="W103" s="42" t="s">
        <v>45</v>
      </c>
      <c r="X103" s="42">
        <v>3</v>
      </c>
      <c r="Y103" s="42">
        <v>5</v>
      </c>
      <c r="Z103" s="42" t="s">
        <v>45</v>
      </c>
      <c r="AA103" s="42" t="s">
        <v>45</v>
      </c>
      <c r="AB103" s="42" t="s">
        <v>45</v>
      </c>
      <c r="AC103" s="42" t="s">
        <v>45</v>
      </c>
      <c r="AD103" s="42">
        <v>5</v>
      </c>
      <c r="AE103" s="42">
        <v>7</v>
      </c>
      <c r="AF103" s="42" t="s">
        <v>45</v>
      </c>
      <c r="AG103" s="42" t="s">
        <v>45</v>
      </c>
      <c r="AH103" s="42" t="s">
        <v>45</v>
      </c>
      <c r="AI103" s="42" t="s">
        <v>45</v>
      </c>
      <c r="AJ103" s="42" t="s">
        <v>45</v>
      </c>
      <c r="AK103" s="42" t="s">
        <v>45</v>
      </c>
      <c r="AL103" s="42" t="s">
        <v>45</v>
      </c>
      <c r="AM103" s="42" t="s">
        <v>45</v>
      </c>
      <c r="AN103" s="42" t="s">
        <v>45</v>
      </c>
      <c r="AO103" s="43" t="s">
        <v>45</v>
      </c>
      <c r="AP103" s="42" t="s">
        <v>46</v>
      </c>
      <c r="AQ103" s="42">
        <v>8</v>
      </c>
      <c r="AR103" s="50" t="s">
        <v>353</v>
      </c>
      <c r="AS103" s="45" t="s">
        <v>431</v>
      </c>
      <c r="AT103" s="45" t="s">
        <v>47</v>
      </c>
      <c r="AU103" s="46">
        <f>($O$3*(L103-$O$1)/$O$2+$P$3*(M103-$P$1)/$P$2+$Q$3*(N103-$P$1)/$Q$2)/SUM($O$3:$Q$3)</f>
        <v>-1.9219785480100218</v>
      </c>
      <c r="AV103" s="46">
        <f>($O$3*(O103-$O$1)/$O$2+$P$3*(P103-$P$1)/$P$2+$Q$3*(Q103-$Q$1)/$Q$2)/SUM($O$3:$Q$3)</f>
        <v>-0.40702829971632715</v>
      </c>
      <c r="AW103" s="47">
        <f>COUNT(R103:AO103)/2</f>
        <v>4</v>
      </c>
      <c r="AX103" s="47">
        <f>IF(AND(S103&lt;&gt;"-",S103&gt;5),1,0)+IF(AND(U103&lt;&gt;"-",U103&gt;5),1,0)+IF(AND(W103&lt;&gt;"-",W103&gt;5),1,0)+IF(AND(Y103&lt;&gt;"-",Y103&gt;5),1,0)+IF(AND(AA103&lt;&gt;"-",AA103&gt;5),1,0)+IF(AND(AC103&lt;&gt;"-",AC103&gt;5),1,0)+IF(AND(AE103&lt;&gt;"-",AE103&gt;5),1,0)+IF(AND(AG103&lt;&gt;"-",AG103&gt;5),1,0)+IF(AND(AI103&lt;&gt;"-",AI103&gt;5),1,0)+IF(AND(AK103&lt;&gt;"-",AK103&gt;5),1,0)+IF(AND(AM103&lt;&gt;"-",AM103&gt;5),1,0)+IF(AND(AO103&lt;&gt;"-",AO103&gt;5),1,0)</f>
        <v>2</v>
      </c>
      <c r="AY103" s="48">
        <f>VLOOKUP(AP103,COND!$A$10:$B$32,2,FALSE)</f>
        <v>1.05</v>
      </c>
      <c r="AZ103" s="46">
        <f>($AU$3*AU103+$AV$3*AV103+$AW$3*AW103+$AX$3*AX103)*AY103*IF(AQ103&lt;5,0.95,IF(AQ103&lt;7,0.975,1))+$I$3*VLOOKUP(I103,COND!$A$2:$E$7,4,FALSE)+$J$3*VLOOKUP(J103,COND!$A$2:$E$7,2,FALSE)+$K$3*VLOOKUP(K103,COND!$A$2:$E$7,3,FALSE)+IF(BB103="SP",$BB$3,0)+IF($AW103&lt;3,-5,0)+IF(AND($B$2&gt;0,$E103&lt;20),$B$2*25,0)</f>
        <v>42.623790210875022</v>
      </c>
      <c r="BA103" s="49">
        <f>STANDARDIZE(AZ103,AVERAGE($AZ$5:$AZ$570),STDEVP($AZ$5:$AZ$570))</f>
        <v>0.90801347908847341</v>
      </c>
      <c r="BB103" s="47" t="str">
        <f>IF(OR(AND(AQ103&gt;7,AX103&gt;1),AND(AQ103&gt;4,AW103&gt;2)),"SP","RP")</f>
        <v>SP</v>
      </c>
      <c r="BC103" s="47"/>
      <c r="BD103" s="47"/>
      <c r="BE103" s="47"/>
      <c r="BF103" s="47" t="str">
        <f>IF(AVERAGE($O103:$Q103)&gt;=6,"Likely",IF(AVERAGE($O103:$Q103)&gt;=4,"Possible","Unlikely"))</f>
        <v>Possible</v>
      </c>
      <c r="BG103" s="47"/>
      <c r="BH103" s="47" t="str">
        <f>INDEX(Table5[[#All],[Ovr]],MATCH(Table3[[#This Row],[PID]],Table5[[#All],[PID]],0))</f>
        <v/>
      </c>
      <c r="BI103" s="47" t="str">
        <f>INDEX(Table5[[#All],[Rnd]],MATCH(Table3[[#This Row],[PID]],Table5[[#All],[PID]],0))</f>
        <v/>
      </c>
      <c r="BJ103" s="47" t="str">
        <f>INDEX(Table5[[#All],[Pick]],MATCH(Table3[[#This Row],[PID]],Table5[[#All],[PID]],0))</f>
        <v/>
      </c>
      <c r="BK103" s="47" t="str">
        <f>INDEX(Table5[[#All],[Team]],MATCH(Table3[[#This Row],[PID]],Table5[[#All],[PID]],0))</f>
        <v/>
      </c>
      <c r="BL1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4" spans="1:64" ht="15" customHeight="1" x14ac:dyDescent="0.25">
      <c r="A104" s="42">
        <v>8743</v>
      </c>
      <c r="B104" s="42" t="s">
        <v>24</v>
      </c>
      <c r="C104" s="42" t="s">
        <v>724</v>
      </c>
      <c r="D104" s="42" t="s">
        <v>1271</v>
      </c>
      <c r="E104" s="42">
        <v>18</v>
      </c>
      <c r="F104" s="42" t="s">
        <v>42</v>
      </c>
      <c r="G104" s="42" t="s">
        <v>42</v>
      </c>
      <c r="H104" s="43" t="s">
        <v>711</v>
      </c>
      <c r="I104" s="44" t="s">
        <v>43</v>
      </c>
      <c r="J104" s="42" t="s">
        <v>43</v>
      </c>
      <c r="K104" s="43" t="s">
        <v>43</v>
      </c>
      <c r="L104" s="42">
        <v>1</v>
      </c>
      <c r="M104" s="42">
        <v>3</v>
      </c>
      <c r="N104" s="43">
        <v>1</v>
      </c>
      <c r="O104" s="42">
        <v>5</v>
      </c>
      <c r="P104" s="42">
        <v>5</v>
      </c>
      <c r="Q104" s="43">
        <v>3</v>
      </c>
      <c r="R104" s="42" t="s">
        <v>45</v>
      </c>
      <c r="S104" s="42" t="s">
        <v>45</v>
      </c>
      <c r="T104" s="42">
        <v>1</v>
      </c>
      <c r="U104" s="42">
        <v>3</v>
      </c>
      <c r="V104" s="42" t="s">
        <v>45</v>
      </c>
      <c r="W104" s="42" t="s">
        <v>45</v>
      </c>
      <c r="X104" s="42" t="s">
        <v>45</v>
      </c>
      <c r="Y104" s="42" t="s">
        <v>45</v>
      </c>
      <c r="Z104" s="42">
        <v>4</v>
      </c>
      <c r="AA104" s="42">
        <v>8</v>
      </c>
      <c r="AB104" s="42" t="s">
        <v>45</v>
      </c>
      <c r="AC104" s="42" t="s">
        <v>45</v>
      </c>
      <c r="AD104" s="42" t="s">
        <v>45</v>
      </c>
      <c r="AE104" s="42" t="s">
        <v>45</v>
      </c>
      <c r="AF104" s="42" t="s">
        <v>45</v>
      </c>
      <c r="AG104" s="42" t="s">
        <v>45</v>
      </c>
      <c r="AH104" s="42" t="s">
        <v>45</v>
      </c>
      <c r="AI104" s="42" t="s">
        <v>45</v>
      </c>
      <c r="AJ104" s="42" t="s">
        <v>45</v>
      </c>
      <c r="AK104" s="42" t="s">
        <v>45</v>
      </c>
      <c r="AL104" s="42" t="s">
        <v>45</v>
      </c>
      <c r="AM104" s="42" t="s">
        <v>45</v>
      </c>
      <c r="AN104" s="42" t="s">
        <v>45</v>
      </c>
      <c r="AO104" s="43" t="s">
        <v>45</v>
      </c>
      <c r="AP104" s="42" t="s">
        <v>58</v>
      </c>
      <c r="AQ104" s="42">
        <v>7</v>
      </c>
      <c r="AR104" s="50" t="s">
        <v>352</v>
      </c>
      <c r="AS104" s="45" t="s">
        <v>599</v>
      </c>
      <c r="AT104" s="45" t="s">
        <v>705</v>
      </c>
      <c r="AU104" s="46">
        <f>($O$3*(L104-$O$1)/$O$2+$P$3*(M104-$P$1)/$P$2+$Q$3*(N104-$P$1)/$Q$2)/SUM($O$3:$Q$3)</f>
        <v>-2.310620805107487</v>
      </c>
      <c r="AV104" s="46">
        <f>($O$3*(O104-$O$1)/$O$2+$P$3*(P104-$P$1)/$P$2+$Q$3*(Q104-$Q$1)/$Q$2)/SUM($O$3:$Q$3)</f>
        <v>-0.21085619136538991</v>
      </c>
      <c r="AW104" s="47">
        <f>COUNT(R104:AO104)/2</f>
        <v>2</v>
      </c>
      <c r="AX104" s="47">
        <f>IF(AND(S104&lt;&gt;"-",S104&gt;5),1,0)+IF(AND(U104&lt;&gt;"-",U104&gt;5),1,0)+IF(AND(W104&lt;&gt;"-",W104&gt;5),1,0)+IF(AND(Y104&lt;&gt;"-",Y104&gt;5),1,0)+IF(AND(AA104&lt;&gt;"-",AA104&gt;5),1,0)+IF(AND(AC104&lt;&gt;"-",AC104&gt;5),1,0)+IF(AND(AE104&lt;&gt;"-",AE104&gt;5),1,0)+IF(AND(AG104&lt;&gt;"-",AG104&gt;5),1,0)+IF(AND(AI104&lt;&gt;"-",AI104&gt;5),1,0)+IF(AND(AK104&lt;&gt;"-",AK104&gt;5),1,0)+IF(AND(AM104&lt;&gt;"-",AM104&gt;5),1,0)+IF(AND(AO104&lt;&gt;"-",AO104&gt;5),1,0)</f>
        <v>1</v>
      </c>
      <c r="AY104" s="48">
        <f>VLOOKUP(AP104,COND!$A$10:$B$32,2,FALSE)</f>
        <v>1</v>
      </c>
      <c r="AZ104" s="46">
        <f>($AU$3*AU104+$AV$3*AV104+$AW$3*AW104+$AX$3*AX104)*AY104*IF(AQ104&lt;5,0.95,IF(AQ104&lt;7,0.975,1))+$I$3*VLOOKUP(I104,COND!$A$2:$E$7,4,FALSE)+$J$3*VLOOKUP(J104,COND!$A$2:$E$7,2,FALSE)+$K$3*VLOOKUP(K104,COND!$A$2:$E$7,3,FALSE)+IF(BB104="SP",$BB$3,0)+IF($AW104&lt;3,-5,0)+IF(AND($B$2&gt;0,$E104&lt;20),$B$2*25,0)</f>
        <v>42.570752011670706</v>
      </c>
      <c r="BA104" s="49">
        <f>STANDARDIZE(AZ104,AVERAGE($AZ$5:$AZ$570),STDEVP($AZ$5:$AZ$570))</f>
        <v>0.90314964953140986</v>
      </c>
      <c r="BB104" s="47" t="str">
        <f>IF(OR(AND(AQ104&gt;7,AX104&gt;1),AND(AQ104&gt;4,AW104&gt;2)),"SP","RP")</f>
        <v>RP</v>
      </c>
      <c r="BC104" s="47"/>
      <c r="BD104" s="47"/>
      <c r="BE104" s="47"/>
      <c r="BF104" s="47" t="str">
        <f>IF(AVERAGE($O104:$Q104)&gt;=6,"Likely",IF(AVERAGE($O104:$Q104)&gt;=4,"Possible","Unlikely"))</f>
        <v>Possible</v>
      </c>
      <c r="BG104" s="47"/>
      <c r="BH104" s="47" t="str">
        <f>INDEX(Table5[[#All],[Ovr]],MATCH(Table3[[#This Row],[PID]],Table5[[#All],[PID]],0))</f>
        <v/>
      </c>
      <c r="BI104" s="47" t="str">
        <f>INDEX(Table5[[#All],[Rnd]],MATCH(Table3[[#This Row],[PID]],Table5[[#All],[PID]],0))</f>
        <v/>
      </c>
      <c r="BJ104" s="47" t="str">
        <f>INDEX(Table5[[#All],[Pick]],MATCH(Table3[[#This Row],[PID]],Table5[[#All],[PID]],0))</f>
        <v/>
      </c>
      <c r="BK104" s="47" t="str">
        <f>INDEX(Table5[[#All],[Team]],MATCH(Table3[[#This Row],[PID]],Table5[[#All],[PID]],0))</f>
        <v/>
      </c>
      <c r="BL1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5" spans="1:64" ht="15" customHeight="1" x14ac:dyDescent="0.25">
      <c r="A105" s="42">
        <v>15169</v>
      </c>
      <c r="B105" s="42" t="s">
        <v>49</v>
      </c>
      <c r="C105" s="42" t="s">
        <v>135</v>
      </c>
      <c r="D105" s="42" t="s">
        <v>1553</v>
      </c>
      <c r="E105" s="42">
        <v>18</v>
      </c>
      <c r="F105" s="42" t="s">
        <v>42</v>
      </c>
      <c r="G105" s="42" t="s">
        <v>42</v>
      </c>
      <c r="H105" s="43" t="s">
        <v>721</v>
      </c>
      <c r="I105" s="44" t="s">
        <v>44</v>
      </c>
      <c r="J105" s="42" t="s">
        <v>43</v>
      </c>
      <c r="K105" s="43" t="s">
        <v>43</v>
      </c>
      <c r="L105" s="42">
        <v>2</v>
      </c>
      <c r="M105" s="42">
        <v>2</v>
      </c>
      <c r="N105" s="43">
        <v>1</v>
      </c>
      <c r="O105" s="42">
        <v>5</v>
      </c>
      <c r="P105" s="42">
        <v>4</v>
      </c>
      <c r="Q105" s="43">
        <v>2</v>
      </c>
      <c r="R105" s="42" t="s">
        <v>45</v>
      </c>
      <c r="S105" s="42" t="s">
        <v>45</v>
      </c>
      <c r="T105" s="42">
        <v>1</v>
      </c>
      <c r="U105" s="42">
        <v>2</v>
      </c>
      <c r="V105" s="42">
        <v>2</v>
      </c>
      <c r="W105" s="42">
        <v>6</v>
      </c>
      <c r="X105" s="42" t="s">
        <v>45</v>
      </c>
      <c r="Y105" s="42" t="s">
        <v>45</v>
      </c>
      <c r="Z105" s="42" t="s">
        <v>45</v>
      </c>
      <c r="AA105" s="42" t="s">
        <v>45</v>
      </c>
      <c r="AB105" s="42" t="s">
        <v>45</v>
      </c>
      <c r="AC105" s="42" t="s">
        <v>45</v>
      </c>
      <c r="AD105" s="42">
        <v>4</v>
      </c>
      <c r="AE105" s="42">
        <v>6</v>
      </c>
      <c r="AF105" s="42" t="s">
        <v>45</v>
      </c>
      <c r="AG105" s="42" t="s">
        <v>45</v>
      </c>
      <c r="AH105" s="42" t="s">
        <v>45</v>
      </c>
      <c r="AI105" s="42" t="s">
        <v>45</v>
      </c>
      <c r="AJ105" s="42" t="s">
        <v>45</v>
      </c>
      <c r="AK105" s="42" t="s">
        <v>45</v>
      </c>
      <c r="AL105" s="42" t="s">
        <v>45</v>
      </c>
      <c r="AM105" s="42" t="s">
        <v>45</v>
      </c>
      <c r="AN105" s="42" t="s">
        <v>45</v>
      </c>
      <c r="AO105" s="43" t="s">
        <v>45</v>
      </c>
      <c r="AP105" s="42" t="s">
        <v>60</v>
      </c>
      <c r="AQ105" s="42">
        <v>9</v>
      </c>
      <c r="AR105" s="50" t="s">
        <v>353</v>
      </c>
      <c r="AS105" s="45" t="s">
        <v>718</v>
      </c>
      <c r="AT105" s="45" t="s">
        <v>705</v>
      </c>
      <c r="AU105" s="46">
        <f>($O$3*(L105-$O$1)/$O$2+$P$3*(M105-$P$1)/$P$2+$Q$3*(N105-$P$1)/$Q$2)/SUM($O$3:$Q$3)</f>
        <v>-2.311361197028369</v>
      </c>
      <c r="AV105" s="46">
        <f>($O$3*(O105-$O$1)/$O$2+$P$3*(P105-$P$1)/$P$2+$Q$3*(Q105-$Q$1)/$Q$2)/SUM($O$3:$Q$3)</f>
        <v>-0.64860847384955567</v>
      </c>
      <c r="AW105" s="47">
        <f>COUNT(R105:AO105)/2</f>
        <v>3</v>
      </c>
      <c r="AX105" s="47">
        <f>IF(AND(S105&lt;&gt;"-",S105&gt;5),1,0)+IF(AND(U105&lt;&gt;"-",U105&gt;5),1,0)+IF(AND(W105&lt;&gt;"-",W105&gt;5),1,0)+IF(AND(Y105&lt;&gt;"-",Y105&gt;5),1,0)+IF(AND(AA105&lt;&gt;"-",AA105&gt;5),1,0)+IF(AND(AC105&lt;&gt;"-",AC105&gt;5),1,0)+IF(AND(AE105&lt;&gt;"-",AE105&gt;5),1,0)+IF(AND(AG105&lt;&gt;"-",AG105&gt;5),1,0)+IF(AND(AI105&lt;&gt;"-",AI105&gt;5),1,0)+IF(AND(AK105&lt;&gt;"-",AK105&gt;5),1,0)+IF(AND(AM105&lt;&gt;"-",AM105&gt;5),1,0)+IF(AND(AO105&lt;&gt;"-",AO105&gt;5),1,0)</f>
        <v>2</v>
      </c>
      <c r="AY105" s="48">
        <f>VLOOKUP(AP105,COND!$A$10:$B$32,2,FALSE)</f>
        <v>1.0249999999999999</v>
      </c>
      <c r="AZ105" s="46">
        <f>($AU$3*AU105+$AV$3*AV105+$AW$3*AW105+$AX$3*AX105)*AY105*IF(AQ105&lt;5,0.95,IF(AQ105&lt;7,0.975,1))+$I$3*VLOOKUP(I105,COND!$A$2:$E$7,4,FALSE)+$J$3*VLOOKUP(J105,COND!$A$2:$E$7,2,FALSE)+$K$3*VLOOKUP(K105,COND!$A$2:$E$7,3,FALSE)+IF(BB105="SP",$BB$3,0)+IF($AW105&lt;3,-5,0)+IF(AND($B$2&gt;0,$E105&lt;20),$B$2*25,0)</f>
        <v>42.179697240693294</v>
      </c>
      <c r="BA105" s="49">
        <f>STANDARDIZE(AZ105,AVERAGE($AZ$5:$AZ$570),STDEVP($AZ$5:$AZ$570))</f>
        <v>0.86728825562956202</v>
      </c>
      <c r="BB105" s="47" t="str">
        <f>IF(OR(AND(AQ105&gt;7,AX105&gt;1),AND(AQ105&gt;4,AW105&gt;2)),"SP","RP")</f>
        <v>SP</v>
      </c>
      <c r="BC105" s="47"/>
      <c r="BD105" s="47"/>
      <c r="BE105" s="47"/>
      <c r="BF105" s="47" t="str">
        <f>IF(AVERAGE($O105:$Q105)&gt;=6,"Likely",IF(AVERAGE($O105:$Q105)&gt;=4,"Possible","Unlikely"))</f>
        <v>Unlikely</v>
      </c>
      <c r="BG105" s="47"/>
      <c r="BH105" s="47" t="str">
        <f>INDEX(Table5[[#All],[Ovr]],MATCH(Table3[[#This Row],[PID]],Table5[[#All],[PID]],0))</f>
        <v/>
      </c>
      <c r="BI105" s="47" t="str">
        <f>INDEX(Table5[[#All],[Rnd]],MATCH(Table3[[#This Row],[PID]],Table5[[#All],[PID]],0))</f>
        <v/>
      </c>
      <c r="BJ105" s="47" t="str">
        <f>INDEX(Table5[[#All],[Pick]],MATCH(Table3[[#This Row],[PID]],Table5[[#All],[PID]],0))</f>
        <v/>
      </c>
      <c r="BK105" s="47" t="str">
        <f>INDEX(Table5[[#All],[Team]],MATCH(Table3[[#This Row],[PID]],Table5[[#All],[PID]],0))</f>
        <v/>
      </c>
      <c r="BL1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6" spans="1:64" ht="15" customHeight="1" x14ac:dyDescent="0.25">
      <c r="A106" s="42">
        <v>8140</v>
      </c>
      <c r="B106" s="42" t="s">
        <v>24</v>
      </c>
      <c r="C106" s="42" t="s">
        <v>380</v>
      </c>
      <c r="D106" s="42" t="s">
        <v>328</v>
      </c>
      <c r="E106" s="42">
        <v>18</v>
      </c>
      <c r="F106" s="42" t="s">
        <v>53</v>
      </c>
      <c r="G106" s="42" t="s">
        <v>53</v>
      </c>
      <c r="H106" s="43" t="s">
        <v>709</v>
      </c>
      <c r="I106" s="44" t="s">
        <v>44</v>
      </c>
      <c r="J106" s="42" t="s">
        <v>43</v>
      </c>
      <c r="K106" s="43" t="s">
        <v>47</v>
      </c>
      <c r="L106" s="42">
        <v>1</v>
      </c>
      <c r="M106" s="42">
        <v>2</v>
      </c>
      <c r="N106" s="43">
        <v>1</v>
      </c>
      <c r="O106" s="42">
        <v>4</v>
      </c>
      <c r="P106" s="42">
        <v>5</v>
      </c>
      <c r="Q106" s="43">
        <v>2</v>
      </c>
      <c r="R106" s="42">
        <v>3</v>
      </c>
      <c r="S106" s="42">
        <v>5</v>
      </c>
      <c r="T106" s="42">
        <v>1</v>
      </c>
      <c r="U106" s="42">
        <v>7</v>
      </c>
      <c r="V106" s="42">
        <v>1</v>
      </c>
      <c r="W106" s="42">
        <v>5</v>
      </c>
      <c r="X106" s="42" t="s">
        <v>45</v>
      </c>
      <c r="Y106" s="42" t="s">
        <v>45</v>
      </c>
      <c r="Z106" s="42" t="s">
        <v>45</v>
      </c>
      <c r="AA106" s="42" t="s">
        <v>45</v>
      </c>
      <c r="AB106" s="42" t="s">
        <v>45</v>
      </c>
      <c r="AC106" s="42" t="s">
        <v>45</v>
      </c>
      <c r="AD106" s="42" t="s">
        <v>45</v>
      </c>
      <c r="AE106" s="42" t="s">
        <v>45</v>
      </c>
      <c r="AF106" s="42" t="s">
        <v>45</v>
      </c>
      <c r="AG106" s="42" t="s">
        <v>45</v>
      </c>
      <c r="AH106" s="42" t="s">
        <v>45</v>
      </c>
      <c r="AI106" s="42" t="s">
        <v>45</v>
      </c>
      <c r="AJ106" s="42" t="s">
        <v>45</v>
      </c>
      <c r="AK106" s="42" t="s">
        <v>45</v>
      </c>
      <c r="AL106" s="42" t="s">
        <v>45</v>
      </c>
      <c r="AM106" s="42" t="s">
        <v>45</v>
      </c>
      <c r="AN106" s="42" t="s">
        <v>45</v>
      </c>
      <c r="AO106" s="43" t="s">
        <v>45</v>
      </c>
      <c r="AP106" s="42" t="s">
        <v>355</v>
      </c>
      <c r="AQ106" s="42">
        <v>9</v>
      </c>
      <c r="AR106" s="50" t="s">
        <v>352</v>
      </c>
      <c r="AS106" s="45" t="s">
        <v>660</v>
      </c>
      <c r="AT106" s="45" t="s">
        <v>47</v>
      </c>
      <c r="AU106" s="46">
        <f>($O$3*(L106-$O$1)/$O$2+$P$3*(M106-$P$1)/$P$2+$Q$3*(N106-$P$1)/$Q$2)/SUM($O$3:$Q$3)</f>
        <v>-2.5060525215375429</v>
      </c>
      <c r="AV106" s="46">
        <f>($O$3*(O106-$O$1)/$O$2+$P$3*(P106-$P$1)/$P$2+$Q$3*(Q106-$Q$1)/$Q$2)/SUM($O$3:$Q$3)</f>
        <v>-0.64786808192867373</v>
      </c>
      <c r="AW106" s="47">
        <f>COUNT(R106:AO106)/2</f>
        <v>3</v>
      </c>
      <c r="AX106" s="47">
        <f>IF(AND(S106&lt;&gt;"-",S106&gt;5),1,0)+IF(AND(U106&lt;&gt;"-",U106&gt;5),1,0)+IF(AND(W106&lt;&gt;"-",W106&gt;5),1,0)+IF(AND(Y106&lt;&gt;"-",Y106&gt;5),1,0)+IF(AND(AA106&lt;&gt;"-",AA106&gt;5),1,0)+IF(AND(AC106&lt;&gt;"-",AC106&gt;5),1,0)+IF(AND(AE106&lt;&gt;"-",AE106&gt;5),1,0)+IF(AND(AG106&lt;&gt;"-",AG106&gt;5),1,0)+IF(AND(AI106&lt;&gt;"-",AI106&gt;5),1,0)+IF(AND(AK106&lt;&gt;"-",AK106&gt;5),1,0)+IF(AND(AM106&lt;&gt;"-",AM106&gt;5),1,0)+IF(AND(AO106&lt;&gt;"-",AO106&gt;5),1,0)</f>
        <v>1</v>
      </c>
      <c r="AY106" s="48">
        <f>VLOOKUP(AP106,COND!$A$10:$B$32,2,FALSE)</f>
        <v>1</v>
      </c>
      <c r="AZ106" s="46">
        <f>($AU$3*AU106+$AV$3*AV106+$AW$3*AW106+$AX$3*AX106)*AY106*IF(AQ106&lt;5,0.95,IF(AQ106&lt;7,0.975,1))+$I$3*VLOOKUP(I106,COND!$A$2:$E$7,4,FALSE)+$J$3*VLOOKUP(J106,COND!$A$2:$E$7,2,FALSE)+$K$3*VLOOKUP(K106,COND!$A$2:$E$7,3,FALSE)+IF(BB106="SP",$BB$3,0)+IF($AW106&lt;3,-5,0)+IF(AND($B$2&gt;0,$E106&lt;20),$B$2*25,0)</f>
        <v>41.441427857119024</v>
      </c>
      <c r="BA106" s="49">
        <f>STANDARDIZE(AZ106,AVERAGE($AZ$5:$AZ$570),STDEVP($AZ$5:$AZ$570))</f>
        <v>0.79958579772613814</v>
      </c>
      <c r="BB106" s="47" t="str">
        <f>IF(OR(AND(AQ106&gt;7,AX106&gt;1),AND(AQ106&gt;4,AW106&gt;2)),"SP","RP")</f>
        <v>SP</v>
      </c>
      <c r="BC106" s="47"/>
      <c r="BD106" s="47"/>
      <c r="BE106" s="47"/>
      <c r="BF106" s="47" t="str">
        <f>IF(AVERAGE($O106:$Q106)&gt;=6,"Likely",IF(AVERAGE($O106:$Q106)&gt;=4,"Possible","Unlikely"))</f>
        <v>Unlikely</v>
      </c>
      <c r="BG106" s="47"/>
      <c r="BH106" s="47" t="str">
        <f>INDEX(Table5[[#All],[Ovr]],MATCH(Table3[[#This Row],[PID]],Table5[[#All],[PID]],0))</f>
        <v/>
      </c>
      <c r="BI106" s="47" t="str">
        <f>INDEX(Table5[[#All],[Rnd]],MATCH(Table3[[#This Row],[PID]],Table5[[#All],[PID]],0))</f>
        <v/>
      </c>
      <c r="BJ106" s="47" t="str">
        <f>INDEX(Table5[[#All],[Pick]],MATCH(Table3[[#This Row],[PID]],Table5[[#All],[PID]],0))</f>
        <v/>
      </c>
      <c r="BK106" s="47" t="str">
        <f>INDEX(Table5[[#All],[Team]],MATCH(Table3[[#This Row],[PID]],Table5[[#All],[PID]],0))</f>
        <v/>
      </c>
      <c r="BL1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7" spans="1:64" ht="15" customHeight="1" x14ac:dyDescent="0.25">
      <c r="A107" s="42">
        <v>7547</v>
      </c>
      <c r="B107" s="42" t="s">
        <v>24</v>
      </c>
      <c r="C107" s="42" t="s">
        <v>1010</v>
      </c>
      <c r="D107" s="42" t="s">
        <v>716</v>
      </c>
      <c r="E107" s="42">
        <v>18</v>
      </c>
      <c r="F107" s="42" t="s">
        <v>42</v>
      </c>
      <c r="G107" s="42" t="s">
        <v>42</v>
      </c>
      <c r="H107" s="43" t="s">
        <v>721</v>
      </c>
      <c r="I107" s="44" t="s">
        <v>43</v>
      </c>
      <c r="J107" s="42" t="s">
        <v>47</v>
      </c>
      <c r="K107" s="43" t="s">
        <v>43</v>
      </c>
      <c r="L107" s="42">
        <v>2</v>
      </c>
      <c r="M107" s="42">
        <v>1</v>
      </c>
      <c r="N107" s="43">
        <v>1</v>
      </c>
      <c r="O107" s="42">
        <v>5</v>
      </c>
      <c r="P107" s="42">
        <v>2</v>
      </c>
      <c r="Q107" s="43">
        <v>3</v>
      </c>
      <c r="R107" s="42">
        <v>4</v>
      </c>
      <c r="S107" s="42">
        <v>7</v>
      </c>
      <c r="T107" s="42" t="s">
        <v>45</v>
      </c>
      <c r="U107" s="42" t="s">
        <v>45</v>
      </c>
      <c r="V107" s="42">
        <v>2</v>
      </c>
      <c r="W107" s="42">
        <v>6</v>
      </c>
      <c r="X107" s="42">
        <v>2</v>
      </c>
      <c r="Y107" s="42">
        <v>6</v>
      </c>
      <c r="Z107" s="42" t="s">
        <v>45</v>
      </c>
      <c r="AA107" s="42" t="s">
        <v>45</v>
      </c>
      <c r="AB107" s="42" t="s">
        <v>45</v>
      </c>
      <c r="AC107" s="42" t="s">
        <v>45</v>
      </c>
      <c r="AD107" s="42" t="s">
        <v>45</v>
      </c>
      <c r="AE107" s="42" t="s">
        <v>45</v>
      </c>
      <c r="AF107" s="42" t="s">
        <v>45</v>
      </c>
      <c r="AG107" s="42" t="s">
        <v>45</v>
      </c>
      <c r="AH107" s="42" t="s">
        <v>45</v>
      </c>
      <c r="AI107" s="42" t="s">
        <v>45</v>
      </c>
      <c r="AJ107" s="42" t="s">
        <v>45</v>
      </c>
      <c r="AK107" s="42" t="s">
        <v>45</v>
      </c>
      <c r="AL107" s="42" t="s">
        <v>45</v>
      </c>
      <c r="AM107" s="42" t="s">
        <v>45</v>
      </c>
      <c r="AN107" s="42" t="s">
        <v>45</v>
      </c>
      <c r="AO107" s="43" t="s">
        <v>45</v>
      </c>
      <c r="AP107" s="42" t="s">
        <v>58</v>
      </c>
      <c r="AQ107" s="42">
        <v>6</v>
      </c>
      <c r="AR107" s="50" t="s">
        <v>14</v>
      </c>
      <c r="AS107" s="45" t="s">
        <v>599</v>
      </c>
      <c r="AT107" s="45" t="s">
        <v>47</v>
      </c>
      <c r="AU107" s="46">
        <f>($O$3*(L107-$O$1)/$O$2+$P$3*(M107-$P$1)/$P$2+$Q$3*(N107-$P$1)/$Q$2)/SUM($O$3:$Q$3)</f>
        <v>-2.5067929134584248</v>
      </c>
      <c r="AV107" s="46">
        <f>($O$3*(O107-$O$1)/$O$2+$P$3*(P107-$P$1)/$P$2+$Q$3*(Q107-$Q$1)/$Q$2)/SUM($O$3:$Q$3)</f>
        <v>-0.79715134065555615</v>
      </c>
      <c r="AW107" s="47">
        <f>COUNT(R107:AO107)/2</f>
        <v>3</v>
      </c>
      <c r="AX107" s="47">
        <f>IF(AND(S107&lt;&gt;"-",S107&gt;5),1,0)+IF(AND(U107&lt;&gt;"-",U107&gt;5),1,0)+IF(AND(W107&lt;&gt;"-",W107&gt;5),1,0)+IF(AND(Y107&lt;&gt;"-",Y107&gt;5),1,0)+IF(AND(AA107&lt;&gt;"-",AA107&gt;5),1,0)+IF(AND(AC107&lt;&gt;"-",AC107&gt;5),1,0)+IF(AND(AE107&lt;&gt;"-",AE107&gt;5),1,0)+IF(AND(AG107&lt;&gt;"-",AG107&gt;5),1,0)+IF(AND(AI107&lt;&gt;"-",AI107&gt;5),1,0)+IF(AND(AK107&lt;&gt;"-",AK107&gt;5),1,0)+IF(AND(AM107&lt;&gt;"-",AM107&gt;5),1,0)+IF(AND(AO107&lt;&gt;"-",AO107&gt;5),1,0)</f>
        <v>3</v>
      </c>
      <c r="AY107" s="48">
        <f>VLOOKUP(AP107,COND!$A$10:$B$32,2,FALSE)</f>
        <v>1</v>
      </c>
      <c r="AZ107" s="46">
        <f>($AU$3*AU107+$AV$3*AV107+$AW$3*AW107+$AX$3*AX107)*AY107*IF(AQ107&lt;5,0.95,IF(AQ107&lt;7,0.975,1))+$I$3*VLOOKUP(I107,COND!$A$2:$E$7,4,FALSE)+$J$3*VLOOKUP(J107,COND!$A$2:$E$7,2,FALSE)+$K$3*VLOOKUP(K107,COND!$A$2:$E$7,3,FALSE)+IF(BB107="SP",$BB$3,0)+IF($AW107&lt;3,-5,0)+IF(AND($B$2&gt;0,$E107&lt;20),$B$2*25,0)</f>
        <v>41.385474239092261</v>
      </c>
      <c r="BA107" s="49">
        <f>STANDARDIZE(AZ107,AVERAGE($AZ$5:$AZ$570),STDEVP($AZ$5:$AZ$570))</f>
        <v>0.79445461180229426</v>
      </c>
      <c r="BB107" s="47" t="str">
        <f>IF(OR(AND(AQ107&gt;7,AX107&gt;1),AND(AQ107&gt;4,AW107&gt;2)),"SP","RP")</f>
        <v>SP</v>
      </c>
      <c r="BC107" s="47"/>
      <c r="BD107" s="47"/>
      <c r="BE107" s="47"/>
      <c r="BF107" s="47" t="str">
        <f>IF(AVERAGE($O107:$Q107)&gt;=6,"Likely",IF(AVERAGE($O107:$Q107)&gt;=4,"Possible","Unlikely"))</f>
        <v>Unlikely</v>
      </c>
      <c r="BG107" s="47"/>
      <c r="BH107" s="47" t="str">
        <f>INDEX(Table5[[#All],[Ovr]],MATCH(Table3[[#This Row],[PID]],Table5[[#All],[PID]],0))</f>
        <v/>
      </c>
      <c r="BI107" s="47" t="str">
        <f>INDEX(Table5[[#All],[Rnd]],MATCH(Table3[[#This Row],[PID]],Table5[[#All],[PID]],0))</f>
        <v/>
      </c>
      <c r="BJ107" s="47" t="str">
        <f>INDEX(Table5[[#All],[Pick]],MATCH(Table3[[#This Row],[PID]],Table5[[#All],[PID]],0))</f>
        <v/>
      </c>
      <c r="BK107" s="47" t="str">
        <f>INDEX(Table5[[#All],[Team]],MATCH(Table3[[#This Row],[PID]],Table5[[#All],[PID]],0))</f>
        <v/>
      </c>
      <c r="BL1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8" spans="1:64" ht="15" customHeight="1" x14ac:dyDescent="0.25">
      <c r="A108" s="42">
        <v>6420</v>
      </c>
      <c r="B108" s="42" t="s">
        <v>430</v>
      </c>
      <c r="C108" s="42" t="s">
        <v>1505</v>
      </c>
      <c r="D108" s="42" t="s">
        <v>1795</v>
      </c>
      <c r="E108" s="42">
        <v>18</v>
      </c>
      <c r="F108" s="42" t="s">
        <v>53</v>
      </c>
      <c r="G108" s="42" t="s">
        <v>53</v>
      </c>
      <c r="H108" s="43" t="s">
        <v>721</v>
      </c>
      <c r="I108" s="44" t="s">
        <v>44</v>
      </c>
      <c r="J108" s="42" t="s">
        <v>43</v>
      </c>
      <c r="K108" s="43" t="s">
        <v>47</v>
      </c>
      <c r="L108" s="42">
        <v>1</v>
      </c>
      <c r="M108" s="42">
        <v>2</v>
      </c>
      <c r="N108" s="43">
        <v>1</v>
      </c>
      <c r="O108" s="42">
        <v>3</v>
      </c>
      <c r="P108" s="42">
        <v>4</v>
      </c>
      <c r="Q108" s="43">
        <v>4</v>
      </c>
      <c r="R108" s="42" t="s">
        <v>45</v>
      </c>
      <c r="S108" s="42" t="s">
        <v>45</v>
      </c>
      <c r="T108" s="42">
        <v>1</v>
      </c>
      <c r="U108" s="42">
        <v>1</v>
      </c>
      <c r="V108" s="42">
        <v>2</v>
      </c>
      <c r="W108" s="42">
        <v>4</v>
      </c>
      <c r="X108" s="42" t="s">
        <v>45</v>
      </c>
      <c r="Y108" s="42" t="s">
        <v>45</v>
      </c>
      <c r="Z108" s="42" t="s">
        <v>45</v>
      </c>
      <c r="AA108" s="42" t="s">
        <v>45</v>
      </c>
      <c r="AB108" s="42" t="s">
        <v>45</v>
      </c>
      <c r="AC108" s="42" t="s">
        <v>45</v>
      </c>
      <c r="AD108" s="42">
        <v>3</v>
      </c>
      <c r="AE108" s="42">
        <v>4</v>
      </c>
      <c r="AF108" s="42" t="s">
        <v>45</v>
      </c>
      <c r="AG108" s="42" t="s">
        <v>45</v>
      </c>
      <c r="AH108" s="42" t="s">
        <v>45</v>
      </c>
      <c r="AI108" s="42" t="s">
        <v>45</v>
      </c>
      <c r="AJ108" s="42" t="s">
        <v>45</v>
      </c>
      <c r="AK108" s="42" t="s">
        <v>45</v>
      </c>
      <c r="AL108" s="42" t="s">
        <v>45</v>
      </c>
      <c r="AM108" s="42" t="s">
        <v>45</v>
      </c>
      <c r="AN108" s="42" t="s">
        <v>45</v>
      </c>
      <c r="AO108" s="43" t="s">
        <v>45</v>
      </c>
      <c r="AP108" s="42" t="s">
        <v>65</v>
      </c>
      <c r="AQ108" s="42">
        <v>6</v>
      </c>
      <c r="AR108" s="50" t="s">
        <v>353</v>
      </c>
      <c r="AS108" s="45" t="s">
        <v>627</v>
      </c>
      <c r="AT108" s="45" t="s">
        <v>47</v>
      </c>
      <c r="AU108" s="46">
        <f>($O$3*(L108-$O$1)/$O$2+$P$3*(M108-$P$1)/$P$2+$Q$3*(N108-$P$1)/$Q$2)/SUM($O$3:$Q$3)</f>
        <v>-2.5060525215375429</v>
      </c>
      <c r="AV108" s="46">
        <f>($O$3*(O108-$O$1)/$O$2+$P$3*(P108-$P$1)/$P$2+$Q$3*(Q108-$Q$1)/$Q$2)/SUM($O$3:$Q$3)</f>
        <v>-0.55334999075968205</v>
      </c>
      <c r="AW108" s="47">
        <f>COUNT(R108:AO108)/2</f>
        <v>3</v>
      </c>
      <c r="AX108" s="47">
        <f>IF(AND(S108&lt;&gt;"-",S108&gt;5),1,0)+IF(AND(U108&lt;&gt;"-",U108&gt;5),1,0)+IF(AND(W108&lt;&gt;"-",W108&gt;5),1,0)+IF(AND(Y108&lt;&gt;"-",Y108&gt;5),1,0)+IF(AND(AA108&lt;&gt;"-",AA108&gt;5),1,0)+IF(AND(AC108&lt;&gt;"-",AC108&gt;5),1,0)+IF(AND(AE108&lt;&gt;"-",AE108&gt;5),1,0)+IF(AND(AG108&lt;&gt;"-",AG108&gt;5),1,0)+IF(AND(AI108&lt;&gt;"-",AI108&gt;5),1,0)+IF(AND(AK108&lt;&gt;"-",AK108&gt;5),1,0)+IF(AND(AM108&lt;&gt;"-",AM108&gt;5),1,0)+IF(AND(AO108&lt;&gt;"-",AO108&gt;5),1,0)</f>
        <v>0</v>
      </c>
      <c r="AY108" s="48">
        <f>VLOOKUP(AP108,COND!$A$10:$B$32,2,FALSE)</f>
        <v>0.95</v>
      </c>
      <c r="AZ108" s="46">
        <f>($AU$3*AU108+$AV$3*AV108+$AW$3*AW108+$AX$3*AX108)*AY108*IF(AQ108&lt;5,0.95,IF(AQ108&lt;7,0.975,1))+$I$3*VLOOKUP(I108,COND!$A$2:$E$7,4,FALSE)+$J$3*VLOOKUP(J108,COND!$A$2:$E$7,2,FALSE)+$K$3*VLOOKUP(K108,COND!$A$2:$E$7,3,FALSE)+IF(BB108="SP",$BB$3,0)+IF($AW108&lt;3,-5,0)+IF(AND($B$2&gt;0,$E108&lt;20),$B$2*25,0)</f>
        <v>42.824320191562066</v>
      </c>
      <c r="BA108" s="49">
        <f>STANDARDIZE(AZ108,AVERAGE($AZ$5:$AZ$676),STDEVP($AZ$5:$AZ$676))</f>
        <v>1.0893165061705044</v>
      </c>
      <c r="BB108" s="47" t="str">
        <f>IF(OR(AND(AQ108&gt;7,AX108&gt;1),AND(AQ108&gt;4,AW108&gt;2)),"SP","RP")</f>
        <v>SP</v>
      </c>
      <c r="BC108" s="47"/>
      <c r="BD108" s="47"/>
      <c r="BE108" s="47"/>
      <c r="BF108" s="47" t="str">
        <f>IF(AVERAGE($O108:$Q108)&gt;=6,"Likely",IF(AVERAGE($O108:$Q108)&gt;=4,"Possible","Unlikely"))</f>
        <v>Unlikely</v>
      </c>
      <c r="BG108" s="47"/>
      <c r="BH108" s="47" t="str">
        <f>INDEX(Table5[[#All],[Ovr]],MATCH(Table3[[#This Row],[PID]],Table5[[#All],[PID]],0))</f>
        <v/>
      </c>
      <c r="BI108" s="47" t="str">
        <f>INDEX(Table5[[#All],[Rnd]],MATCH(Table3[[#This Row],[PID]],Table5[[#All],[PID]],0))</f>
        <v/>
      </c>
      <c r="BJ108" s="47" t="str">
        <f>INDEX(Table5[[#All],[Pick]],MATCH(Table3[[#This Row],[PID]],Table5[[#All],[PID]],0))</f>
        <v/>
      </c>
      <c r="BK108" s="47" t="str">
        <f>INDEX(Table5[[#All],[Team]],MATCH(Table3[[#This Row],[PID]],Table5[[#All],[PID]],0))</f>
        <v/>
      </c>
      <c r="BL1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9" spans="1:64" ht="15" customHeight="1" x14ac:dyDescent="0.25">
      <c r="A109" s="42">
        <v>6903</v>
      </c>
      <c r="B109" s="42" t="s">
        <v>430</v>
      </c>
      <c r="C109" s="42" t="s">
        <v>123</v>
      </c>
      <c r="D109" s="42" t="s">
        <v>631</v>
      </c>
      <c r="E109" s="42">
        <v>21</v>
      </c>
      <c r="F109" s="42" t="s">
        <v>53</v>
      </c>
      <c r="G109" s="42" t="s">
        <v>53</v>
      </c>
      <c r="H109" s="43" t="s">
        <v>721</v>
      </c>
      <c r="I109" s="44" t="s">
        <v>43</v>
      </c>
      <c r="J109" s="42" t="s">
        <v>43</v>
      </c>
      <c r="K109" s="43" t="s">
        <v>43</v>
      </c>
      <c r="L109" s="42">
        <v>2</v>
      </c>
      <c r="M109" s="42">
        <v>2</v>
      </c>
      <c r="N109" s="43">
        <v>1</v>
      </c>
      <c r="O109" s="42">
        <v>6</v>
      </c>
      <c r="P109" s="42">
        <v>4</v>
      </c>
      <c r="Q109" s="43">
        <v>2</v>
      </c>
      <c r="R109" s="42">
        <v>4</v>
      </c>
      <c r="S109" s="42">
        <v>7</v>
      </c>
      <c r="T109" s="42">
        <v>1</v>
      </c>
      <c r="U109" s="42">
        <v>1</v>
      </c>
      <c r="V109" s="42" t="s">
        <v>45</v>
      </c>
      <c r="W109" s="42" t="s">
        <v>45</v>
      </c>
      <c r="X109" s="42">
        <v>2</v>
      </c>
      <c r="Y109" s="42">
        <v>7</v>
      </c>
      <c r="Z109" s="42" t="s">
        <v>45</v>
      </c>
      <c r="AA109" s="42" t="s">
        <v>45</v>
      </c>
      <c r="AB109" s="42" t="s">
        <v>45</v>
      </c>
      <c r="AC109" s="42" t="s">
        <v>45</v>
      </c>
      <c r="AD109" s="42" t="s">
        <v>45</v>
      </c>
      <c r="AE109" s="42" t="s">
        <v>45</v>
      </c>
      <c r="AF109" s="42" t="s">
        <v>45</v>
      </c>
      <c r="AG109" s="42" t="s">
        <v>45</v>
      </c>
      <c r="AH109" s="42" t="s">
        <v>45</v>
      </c>
      <c r="AI109" s="42" t="s">
        <v>45</v>
      </c>
      <c r="AJ109" s="42" t="s">
        <v>45</v>
      </c>
      <c r="AK109" s="42" t="s">
        <v>45</v>
      </c>
      <c r="AL109" s="42" t="s">
        <v>45</v>
      </c>
      <c r="AM109" s="42" t="s">
        <v>45</v>
      </c>
      <c r="AN109" s="42" t="s">
        <v>45</v>
      </c>
      <c r="AO109" s="43" t="s">
        <v>45</v>
      </c>
      <c r="AP109" s="42" t="s">
        <v>57</v>
      </c>
      <c r="AQ109" s="42">
        <v>8</v>
      </c>
      <c r="AR109" s="50" t="s">
        <v>353</v>
      </c>
      <c r="AS109" s="45" t="s">
        <v>45</v>
      </c>
      <c r="AT109" s="45" t="s">
        <v>47</v>
      </c>
      <c r="AU109" s="46">
        <f>($O$3*(L109-$O$1)/$O$2+$P$3*(M109-$P$1)/$P$2+$Q$3*(N109-$P$1)/$Q$2)/SUM($O$3:$Q$3)</f>
        <v>-2.311361197028369</v>
      </c>
      <c r="AV109" s="46">
        <f>($O$3*(O109-$O$1)/$O$2+$P$3*(P109-$P$1)/$P$2+$Q$3*(Q109-$Q$1)/$Q$2)/SUM($O$3:$Q$3)</f>
        <v>-0.45391714934038213</v>
      </c>
      <c r="AW109" s="47">
        <f>COUNT(R109:AO109)/2</f>
        <v>3</v>
      </c>
      <c r="AX109" s="47">
        <f>IF(AND(S109&lt;&gt;"-",S109&gt;5),1,0)+IF(AND(U109&lt;&gt;"-",U109&gt;5),1,0)+IF(AND(W109&lt;&gt;"-",W109&gt;5),1,0)+IF(AND(Y109&lt;&gt;"-",Y109&gt;5),1,0)+IF(AND(AA109&lt;&gt;"-",AA109&gt;5),1,0)+IF(AND(AC109&lt;&gt;"-",AC109&gt;5),1,0)+IF(AND(AE109&lt;&gt;"-",AE109&gt;5),1,0)+IF(AND(AG109&lt;&gt;"-",AG109&gt;5),1,0)+IF(AND(AI109&lt;&gt;"-",AI109&gt;5),1,0)+IF(AND(AK109&lt;&gt;"-",AK109&gt;5),1,0)+IF(AND(AM109&lt;&gt;"-",AM109&gt;5),1,0)+IF(AND(AO109&lt;&gt;"-",AO109&gt;5),1,0)</f>
        <v>2</v>
      </c>
      <c r="AY109" s="48">
        <f>VLOOKUP(AP109,COND!$A$10:$B$32,2,FALSE)</f>
        <v>1</v>
      </c>
      <c r="AZ109" s="46">
        <f>($AU$3*AU109+$AV$3*AV109+$AW$3*AW109+$AX$3*AX109)*AY109*IF(AQ109&lt;5,0.95,IF(AQ109&lt;7,0.975,1))+$I$3*VLOOKUP(I109,COND!$A$2:$E$7,4,FALSE)+$J$3*VLOOKUP(J109,COND!$A$2:$E$7,2,FALSE)+$K$3*VLOOKUP(K109,COND!$A$2:$E$7,3,FALSE)+IF(BB109="SP",$BB$3,0)+IF($AW109&lt;3,-5,0)+IF(AND($B$2&gt;0,$E109&lt;20),$B$2*25,0)</f>
        <v>41.459384773786681</v>
      </c>
      <c r="BA109" s="49">
        <f>STANDARDIZE(AZ109,AVERAGE($AZ$5:$AZ$570),STDEVP($AZ$5:$AZ$570))</f>
        <v>0.80123252373403719</v>
      </c>
      <c r="BB109" s="47" t="str">
        <f>IF(OR(AND(AQ109&gt;7,AX109&gt;1),AND(AQ109&gt;4,AW109&gt;2)),"SP","RP")</f>
        <v>SP</v>
      </c>
      <c r="BC109" s="47"/>
      <c r="BD109" s="47"/>
      <c r="BE109" s="47"/>
      <c r="BF109" s="47" t="str">
        <f>IF(AVERAGE($O109:$Q109)&gt;=6,"Likely",IF(AVERAGE($O109:$Q109)&gt;=4,"Possible","Unlikely"))</f>
        <v>Possible</v>
      </c>
      <c r="BG109" s="47"/>
      <c r="BH109" s="47" t="str">
        <f>INDEX(Table5[[#All],[Ovr]],MATCH(Table3[[#This Row],[PID]],Table5[[#All],[PID]],0))</f>
        <v/>
      </c>
      <c r="BI109" s="47" t="str">
        <f>INDEX(Table5[[#All],[Rnd]],MATCH(Table3[[#This Row],[PID]],Table5[[#All],[PID]],0))</f>
        <v/>
      </c>
      <c r="BJ109" s="47" t="str">
        <f>INDEX(Table5[[#All],[Pick]],MATCH(Table3[[#This Row],[PID]],Table5[[#All],[PID]],0))</f>
        <v/>
      </c>
      <c r="BK109" s="47" t="str">
        <f>INDEX(Table5[[#All],[Team]],MATCH(Table3[[#This Row],[PID]],Table5[[#All],[PID]],0))</f>
        <v/>
      </c>
      <c r="BL1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0" spans="1:64" ht="15" customHeight="1" x14ac:dyDescent="0.25">
      <c r="A110" s="42">
        <v>12620</v>
      </c>
      <c r="B110" s="42" t="s">
        <v>430</v>
      </c>
      <c r="C110" s="42" t="s">
        <v>386</v>
      </c>
      <c r="D110" s="42" t="s">
        <v>1756</v>
      </c>
      <c r="E110" s="42">
        <v>18</v>
      </c>
      <c r="F110" s="42" t="s">
        <v>42</v>
      </c>
      <c r="G110" s="42" t="s">
        <v>42</v>
      </c>
      <c r="H110" s="43" t="s">
        <v>721</v>
      </c>
      <c r="I110" s="44" t="s">
        <v>44</v>
      </c>
      <c r="J110" s="42" t="s">
        <v>43</v>
      </c>
      <c r="K110" s="43" t="s">
        <v>44</v>
      </c>
      <c r="L110" s="42">
        <v>1</v>
      </c>
      <c r="M110" s="42">
        <v>2</v>
      </c>
      <c r="N110" s="43">
        <v>1</v>
      </c>
      <c r="O110" s="42">
        <v>3</v>
      </c>
      <c r="P110" s="42">
        <v>4</v>
      </c>
      <c r="Q110" s="43">
        <v>4</v>
      </c>
      <c r="R110" s="42" t="s">
        <v>45</v>
      </c>
      <c r="S110" s="42" t="s">
        <v>45</v>
      </c>
      <c r="T110" s="42" t="s">
        <v>45</v>
      </c>
      <c r="U110" s="42" t="s">
        <v>45</v>
      </c>
      <c r="V110" s="42">
        <v>1</v>
      </c>
      <c r="W110" s="42">
        <v>4</v>
      </c>
      <c r="X110" s="42">
        <v>1</v>
      </c>
      <c r="Y110" s="42">
        <v>4</v>
      </c>
      <c r="Z110" s="42" t="s">
        <v>45</v>
      </c>
      <c r="AA110" s="42" t="s">
        <v>45</v>
      </c>
      <c r="AB110" s="42" t="s">
        <v>45</v>
      </c>
      <c r="AC110" s="42" t="s">
        <v>45</v>
      </c>
      <c r="AD110" s="42">
        <v>2</v>
      </c>
      <c r="AE110" s="42">
        <v>4</v>
      </c>
      <c r="AF110" s="42" t="s">
        <v>45</v>
      </c>
      <c r="AG110" s="42" t="s">
        <v>45</v>
      </c>
      <c r="AH110" s="42" t="s">
        <v>45</v>
      </c>
      <c r="AI110" s="42" t="s">
        <v>45</v>
      </c>
      <c r="AJ110" s="42" t="s">
        <v>45</v>
      </c>
      <c r="AK110" s="42" t="s">
        <v>45</v>
      </c>
      <c r="AL110" s="42" t="s">
        <v>45</v>
      </c>
      <c r="AM110" s="42" t="s">
        <v>45</v>
      </c>
      <c r="AN110" s="42" t="s">
        <v>45</v>
      </c>
      <c r="AO110" s="43" t="s">
        <v>45</v>
      </c>
      <c r="AP110" s="42" t="s">
        <v>65</v>
      </c>
      <c r="AQ110" s="42">
        <v>8</v>
      </c>
      <c r="AR110" s="50" t="s">
        <v>353</v>
      </c>
      <c r="AS110" s="45" t="s">
        <v>718</v>
      </c>
      <c r="AT110" s="45" t="s">
        <v>47</v>
      </c>
      <c r="AU110" s="46">
        <f>($O$3*(L110-$O$1)/$O$2+$P$3*(M110-$P$1)/$P$2+$Q$3*(N110-$P$1)/$Q$2)/SUM($O$3:$Q$3)</f>
        <v>-2.5060525215375429</v>
      </c>
      <c r="AV110" s="46">
        <f>($O$3*(O110-$O$1)/$O$2+$P$3*(P110-$P$1)/$P$2+$Q$3*(Q110-$Q$1)/$Q$2)/SUM($O$3:$Q$3)</f>
        <v>-0.55334999075968205</v>
      </c>
      <c r="AW110" s="47">
        <f>COUNT(R110:AO110)/2</f>
        <v>3</v>
      </c>
      <c r="AX110" s="47">
        <f>IF(AND(S110&lt;&gt;"-",S110&gt;5),1,0)+IF(AND(U110&lt;&gt;"-",U110&gt;5),1,0)+IF(AND(W110&lt;&gt;"-",W110&gt;5),1,0)+IF(AND(Y110&lt;&gt;"-",Y110&gt;5),1,0)+IF(AND(AA110&lt;&gt;"-",AA110&gt;5),1,0)+IF(AND(AC110&lt;&gt;"-",AC110&gt;5),1,0)+IF(AND(AE110&lt;&gt;"-",AE110&gt;5),1,0)+IF(AND(AG110&lt;&gt;"-",AG110&gt;5),1,0)+IF(AND(AI110&lt;&gt;"-",AI110&gt;5),1,0)+IF(AND(AK110&lt;&gt;"-",AK110&gt;5),1,0)+IF(AND(AM110&lt;&gt;"-",AM110&gt;5),1,0)+IF(AND(AO110&lt;&gt;"-",AO110&gt;5),1,0)</f>
        <v>0</v>
      </c>
      <c r="AY110" s="48">
        <f>VLOOKUP(AP110,COND!$A$10:$B$32,2,FALSE)</f>
        <v>0.95</v>
      </c>
      <c r="AZ110" s="46">
        <f>($AU$3*AU110+$AV$3*AV110+$AW$3*AW110+$AX$3*AX110)*AY110*IF(AQ110&lt;5,0.95,IF(AQ110&lt;7,0.975,1))+$I$3*VLOOKUP(I110,COND!$A$2:$E$7,4,FALSE)+$J$3*VLOOKUP(J110,COND!$A$2:$E$7,2,FALSE)+$K$3*VLOOKUP(K110,COND!$A$2:$E$7,3,FALSE)+IF(BB110="SP",$BB$3,0)+IF($AW110&lt;3,-5,0)+IF(AND($B$2&gt;0,$E110&lt;20),$B$2*25,0)</f>
        <v>41.985200196473912</v>
      </c>
      <c r="BA110" s="49">
        <f>STANDARDIZE(AZ110,AVERAGE($AZ$5:$AZ$570),STDEVP($AZ$5:$AZ$570))</f>
        <v>0.84945204537680619</v>
      </c>
      <c r="BB110" s="47" t="str">
        <f>IF(OR(AND(AQ110&gt;7,AX110&gt;1),AND(AQ110&gt;4,AW110&gt;2)),"SP","RP")</f>
        <v>SP</v>
      </c>
      <c r="BC110" s="47"/>
      <c r="BD110" s="47"/>
      <c r="BE110" s="47"/>
      <c r="BF110" s="47" t="str">
        <f>IF(AVERAGE($O110:$Q110)&gt;=6,"Likely",IF(AVERAGE($O110:$Q110)&gt;=4,"Possible","Unlikely"))</f>
        <v>Unlikely</v>
      </c>
      <c r="BG110" s="47"/>
      <c r="BH110" s="47" t="str">
        <f>INDEX(Table5[[#All],[Ovr]],MATCH(Table3[[#This Row],[PID]],Table5[[#All],[PID]],0))</f>
        <v/>
      </c>
      <c r="BI110" s="47" t="str">
        <f>INDEX(Table5[[#All],[Rnd]],MATCH(Table3[[#This Row],[PID]],Table5[[#All],[PID]],0))</f>
        <v/>
      </c>
      <c r="BJ110" s="47" t="str">
        <f>INDEX(Table5[[#All],[Pick]],MATCH(Table3[[#This Row],[PID]],Table5[[#All],[PID]],0))</f>
        <v/>
      </c>
      <c r="BK110" s="47" t="str">
        <f>INDEX(Table5[[#All],[Team]],MATCH(Table3[[#This Row],[PID]],Table5[[#All],[PID]],0))</f>
        <v/>
      </c>
      <c r="BL1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1" spans="1:64" ht="15" customHeight="1" x14ac:dyDescent="0.25">
      <c r="A111" s="42">
        <v>9301</v>
      </c>
      <c r="B111" s="42" t="s">
        <v>49</v>
      </c>
      <c r="C111" s="42" t="s">
        <v>370</v>
      </c>
      <c r="D111" s="42" t="s">
        <v>153</v>
      </c>
      <c r="E111" s="42">
        <v>21</v>
      </c>
      <c r="F111" s="42" t="s">
        <v>42</v>
      </c>
      <c r="G111" s="42" t="s">
        <v>42</v>
      </c>
      <c r="H111" s="43" t="s">
        <v>721</v>
      </c>
      <c r="I111" s="44" t="s">
        <v>43</v>
      </c>
      <c r="J111" s="42" t="s">
        <v>43</v>
      </c>
      <c r="K111" s="43" t="s">
        <v>43</v>
      </c>
      <c r="L111" s="42">
        <v>4</v>
      </c>
      <c r="M111" s="42">
        <v>1</v>
      </c>
      <c r="N111" s="43">
        <v>1</v>
      </c>
      <c r="O111" s="42">
        <v>8</v>
      </c>
      <c r="P111" s="42">
        <v>2</v>
      </c>
      <c r="Q111" s="43">
        <v>2</v>
      </c>
      <c r="R111" s="42">
        <v>6</v>
      </c>
      <c r="S111" s="42">
        <v>9</v>
      </c>
      <c r="T111" s="42">
        <v>1</v>
      </c>
      <c r="U111" s="42">
        <v>1</v>
      </c>
      <c r="V111" s="42">
        <v>3</v>
      </c>
      <c r="W111" s="42">
        <v>8</v>
      </c>
      <c r="X111" s="42" t="s">
        <v>45</v>
      </c>
      <c r="Y111" s="42" t="s">
        <v>45</v>
      </c>
      <c r="Z111" s="42" t="s">
        <v>45</v>
      </c>
      <c r="AA111" s="42" t="s">
        <v>45</v>
      </c>
      <c r="AB111" s="42" t="s">
        <v>45</v>
      </c>
      <c r="AC111" s="42" t="s">
        <v>45</v>
      </c>
      <c r="AD111" s="42" t="s">
        <v>45</v>
      </c>
      <c r="AE111" s="42" t="s">
        <v>45</v>
      </c>
      <c r="AF111" s="42" t="s">
        <v>45</v>
      </c>
      <c r="AG111" s="42" t="s">
        <v>45</v>
      </c>
      <c r="AH111" s="42" t="s">
        <v>45</v>
      </c>
      <c r="AI111" s="42" t="s">
        <v>45</v>
      </c>
      <c r="AJ111" s="42" t="s">
        <v>45</v>
      </c>
      <c r="AK111" s="42" t="s">
        <v>45</v>
      </c>
      <c r="AL111" s="42" t="s">
        <v>45</v>
      </c>
      <c r="AM111" s="42" t="s">
        <v>45</v>
      </c>
      <c r="AN111" s="42" t="s">
        <v>45</v>
      </c>
      <c r="AO111" s="43" t="s">
        <v>45</v>
      </c>
      <c r="AP111" s="42" t="s">
        <v>46</v>
      </c>
      <c r="AQ111" s="42">
        <v>8</v>
      </c>
      <c r="AR111" s="50" t="s">
        <v>357</v>
      </c>
      <c r="AS111" s="45" t="s">
        <v>45</v>
      </c>
      <c r="AT111" s="45" t="s">
        <v>47</v>
      </c>
      <c r="AU111" s="46">
        <f>($O$3*(L111-$O$1)/$O$2+$P$3*(M111-$P$1)/$P$2+$Q$3*(N111-$P$1)/$Q$2)/SUM($O$3:$Q$3)</f>
        <v>-2.1174102644400774</v>
      </c>
      <c r="AV111" s="46">
        <f>($O$3*(O111-$O$1)/$O$2+$P$3*(P111-$P$1)/$P$2+$Q$3*(Q111-$Q$1)/$Q$2)/SUM($O$3:$Q$3)</f>
        <v>-0.455397933182146</v>
      </c>
      <c r="AW111" s="47">
        <f>COUNT(R111:AO111)/2</f>
        <v>3</v>
      </c>
      <c r="AX111" s="47">
        <f>IF(AND(S111&lt;&gt;"-",S111&gt;5),1,0)+IF(AND(U111&lt;&gt;"-",U111&gt;5),1,0)+IF(AND(W111&lt;&gt;"-",W111&gt;5),1,0)+IF(AND(Y111&lt;&gt;"-",Y111&gt;5),1,0)+IF(AND(AA111&lt;&gt;"-",AA111&gt;5),1,0)+IF(AND(AC111&lt;&gt;"-",AC111&gt;5),1,0)+IF(AND(AE111&lt;&gt;"-",AE111&gt;5),1,0)+IF(AND(AG111&lt;&gt;"-",AG111&gt;5),1,0)+IF(AND(AI111&lt;&gt;"-",AI111&gt;5),1,0)+IF(AND(AK111&lt;&gt;"-",AK111&gt;5),1,0)+IF(AND(AM111&lt;&gt;"-",AM111&gt;5),1,0)+IF(AND(AO111&lt;&gt;"-",AO111&gt;5),1,0)</f>
        <v>2</v>
      </c>
      <c r="AY111" s="48">
        <f>VLOOKUP(AP111,COND!$A$10:$B$32,2,FALSE)</f>
        <v>1.05</v>
      </c>
      <c r="AZ111" s="46">
        <f>($AU$3*AU111+$AV$3*AV111+$AW$3*AW111+$AX$3*AX111)*AY111*IF(AQ111&lt;5,0.95,IF(AQ111&lt;7,0.975,1))+$I$3*VLOOKUP(I111,COND!$A$2:$E$7,4,FALSE)+$J$3*VLOOKUP(J111,COND!$A$2:$E$7,2,FALSE)+$K$3*VLOOKUP(K111,COND!$A$2:$E$7,3,FALSE)+IF(BB111="SP",$BB$3,0)+IF($AW111&lt;3,-5,0)+IF(AND($B$2&gt;0,$E111&lt;20),$B$2*25,0)</f>
        <v>41.191987247642516</v>
      </c>
      <c r="BA111" s="49">
        <f>STANDARDIZE(AZ111,AVERAGE($AZ$5:$AZ$570),STDEVP($AZ$5:$AZ$570))</f>
        <v>0.77671102770557043</v>
      </c>
      <c r="BB111" s="47" t="str">
        <f>IF(OR(AND(AQ111&gt;7,AX111&gt;1),AND(AQ111&gt;4,AW111&gt;2)),"SP","RP")</f>
        <v>SP</v>
      </c>
      <c r="BC111" s="47"/>
      <c r="BD111" s="47"/>
      <c r="BE111" s="47"/>
      <c r="BF111" s="47" t="str">
        <f>IF(AVERAGE($O111:$Q111)&gt;=6,"Likely",IF(AVERAGE($O111:$Q111)&gt;=4,"Possible","Unlikely"))</f>
        <v>Possible</v>
      </c>
      <c r="BG111" s="47"/>
      <c r="BH111" s="47" t="str">
        <f>INDEX(Table5[[#All],[Ovr]],MATCH(Table3[[#This Row],[PID]],Table5[[#All],[PID]],0))</f>
        <v/>
      </c>
      <c r="BI111" s="47" t="str">
        <f>INDEX(Table5[[#All],[Rnd]],MATCH(Table3[[#This Row],[PID]],Table5[[#All],[PID]],0))</f>
        <v/>
      </c>
      <c r="BJ111" s="47" t="str">
        <f>INDEX(Table5[[#All],[Pick]],MATCH(Table3[[#This Row],[PID]],Table5[[#All],[PID]],0))</f>
        <v/>
      </c>
      <c r="BK111" s="47" t="str">
        <f>INDEX(Table5[[#All],[Team]],MATCH(Table3[[#This Row],[PID]],Table5[[#All],[PID]],0))</f>
        <v/>
      </c>
      <c r="BL1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2" spans="1:64" ht="15" customHeight="1" x14ac:dyDescent="0.25">
      <c r="A112" s="42">
        <v>7543</v>
      </c>
      <c r="B112" s="42" t="s">
        <v>24</v>
      </c>
      <c r="C112" s="42" t="s">
        <v>443</v>
      </c>
      <c r="D112" s="42" t="s">
        <v>1697</v>
      </c>
      <c r="E112" s="42">
        <v>18</v>
      </c>
      <c r="F112" s="42" t="s">
        <v>42</v>
      </c>
      <c r="G112" s="42" t="s">
        <v>42</v>
      </c>
      <c r="H112" s="43" t="s">
        <v>721</v>
      </c>
      <c r="I112" s="44" t="s">
        <v>44</v>
      </c>
      <c r="J112" s="42" t="s">
        <v>43</v>
      </c>
      <c r="K112" s="43" t="s">
        <v>47</v>
      </c>
      <c r="L112" s="42">
        <v>1</v>
      </c>
      <c r="M112" s="42">
        <v>2</v>
      </c>
      <c r="N112" s="43">
        <v>1</v>
      </c>
      <c r="O112" s="42">
        <v>4</v>
      </c>
      <c r="P112" s="42">
        <v>3</v>
      </c>
      <c r="Q112" s="43">
        <v>3</v>
      </c>
      <c r="R112" s="42" t="s">
        <v>45</v>
      </c>
      <c r="S112" s="42" t="s">
        <v>45</v>
      </c>
      <c r="T112" s="42">
        <v>1</v>
      </c>
      <c r="U112" s="42">
        <v>1</v>
      </c>
      <c r="V112" s="42" t="s">
        <v>45</v>
      </c>
      <c r="W112" s="42" t="s">
        <v>45</v>
      </c>
      <c r="X112" s="42">
        <v>2</v>
      </c>
      <c r="Y112" s="42">
        <v>7</v>
      </c>
      <c r="Z112" s="42" t="s">
        <v>45</v>
      </c>
      <c r="AA112" s="42" t="s">
        <v>45</v>
      </c>
      <c r="AB112" s="42" t="s">
        <v>45</v>
      </c>
      <c r="AC112" s="42" t="s">
        <v>45</v>
      </c>
      <c r="AD112" s="42">
        <v>3</v>
      </c>
      <c r="AE112" s="42">
        <v>6</v>
      </c>
      <c r="AF112" s="42" t="s">
        <v>45</v>
      </c>
      <c r="AG112" s="42" t="s">
        <v>45</v>
      </c>
      <c r="AH112" s="42" t="s">
        <v>45</v>
      </c>
      <c r="AI112" s="42" t="s">
        <v>45</v>
      </c>
      <c r="AJ112" s="42" t="s">
        <v>45</v>
      </c>
      <c r="AK112" s="42" t="s">
        <v>45</v>
      </c>
      <c r="AL112" s="42" t="s">
        <v>45</v>
      </c>
      <c r="AM112" s="42" t="s">
        <v>45</v>
      </c>
      <c r="AN112" s="42" t="s">
        <v>45</v>
      </c>
      <c r="AO112" s="43" t="s">
        <v>45</v>
      </c>
      <c r="AP112" s="42" t="s">
        <v>355</v>
      </c>
      <c r="AQ112" s="42">
        <v>8</v>
      </c>
      <c r="AR112" s="50" t="s">
        <v>353</v>
      </c>
      <c r="AS112" s="45" t="s">
        <v>745</v>
      </c>
      <c r="AT112" s="45" t="s">
        <v>705</v>
      </c>
      <c r="AU112" s="46">
        <f>($O$3*(L112-$O$1)/$O$2+$P$3*(M112-$P$1)/$P$2+$Q$3*(N112-$P$1)/$Q$2)/SUM($O$3:$Q$3)</f>
        <v>-2.5060525215375429</v>
      </c>
      <c r="AV112" s="46">
        <f>($O$3*(O112-$O$1)/$O$2+$P$3*(P112-$P$1)/$P$2+$Q$3*(Q112-$Q$1)/$Q$2)/SUM($O$3:$Q$3)</f>
        <v>-0.79641094873467422</v>
      </c>
      <c r="AW112" s="47">
        <f>COUNT(R112:AO112)/2</f>
        <v>3</v>
      </c>
      <c r="AX112" s="47">
        <f>IF(AND(S112&lt;&gt;"-",S112&gt;5),1,0)+IF(AND(U112&lt;&gt;"-",U112&gt;5),1,0)+IF(AND(W112&lt;&gt;"-",W112&gt;5),1,0)+IF(AND(Y112&lt;&gt;"-",Y112&gt;5),1,0)+IF(AND(AA112&lt;&gt;"-",AA112&gt;5),1,0)+IF(AND(AC112&lt;&gt;"-",AC112&gt;5),1,0)+IF(AND(AE112&lt;&gt;"-",AE112&gt;5),1,0)+IF(AND(AG112&lt;&gt;"-",AG112&gt;5),1,0)+IF(AND(AI112&lt;&gt;"-",AI112&gt;5),1,0)+IF(AND(AK112&lt;&gt;"-",AK112&gt;5),1,0)+IF(AND(AM112&lt;&gt;"-",AM112&gt;5),1,0)+IF(AND(AO112&lt;&gt;"-",AO112&gt;5),1,0)</f>
        <v>2</v>
      </c>
      <c r="AY112" s="48">
        <f>VLOOKUP(AP112,COND!$A$10:$B$32,2,FALSE)</f>
        <v>1</v>
      </c>
      <c r="AZ112" s="46">
        <f>($AU$3*AU112+$AV$3*AV112+$AW$3*AW112+$AX$3*AX112)*AY112*IF(AQ112&lt;5,0.95,IF(AQ112&lt;7,0.975,1))+$I$3*VLOOKUP(I112,COND!$A$2:$E$7,4,FALSE)+$J$3*VLOOKUP(J112,COND!$A$2:$E$7,2,FALSE)+$K$3*VLOOKUP(K112,COND!$A$2:$E$7,3,FALSE)+IF(BB112="SP",$BB$3,0)+IF($AW112&lt;3,-5,0)+IF(AND($B$2&gt;0,$E112&lt;20),$B$2*25,0)</f>
        <v>39.720570520999004</v>
      </c>
      <c r="BA112" s="49">
        <f>STANDARDIZE(AZ112,AVERAGE($AZ$5:$AZ$570),STDEVP($AZ$5:$AZ$570))</f>
        <v>0.6417758249050951</v>
      </c>
      <c r="BB112" s="47" t="str">
        <f>IF(OR(AND(AQ112&gt;7,AX112&gt;1),AND(AQ112&gt;4,AW112&gt;2)),"SP","RP")</f>
        <v>SP</v>
      </c>
      <c r="BC112" s="47"/>
      <c r="BD112" s="47"/>
      <c r="BE112" s="47"/>
      <c r="BF112" s="47" t="str">
        <f>IF(AVERAGE($O112:$Q112)&gt;=6,"Likely",IF(AVERAGE($O112:$Q112)&gt;=4,"Possible","Unlikely"))</f>
        <v>Unlikely</v>
      </c>
      <c r="BG112" s="47"/>
      <c r="BH112" s="47" t="str">
        <f>INDEX(Table5[[#All],[Ovr]],MATCH(Table3[[#This Row],[PID]],Table5[[#All],[PID]],0))</f>
        <v/>
      </c>
      <c r="BI112" s="47" t="str">
        <f>INDEX(Table5[[#All],[Rnd]],MATCH(Table3[[#This Row],[PID]],Table5[[#All],[PID]],0))</f>
        <v/>
      </c>
      <c r="BJ112" s="47" t="str">
        <f>INDEX(Table5[[#All],[Pick]],MATCH(Table3[[#This Row],[PID]],Table5[[#All],[PID]],0))</f>
        <v/>
      </c>
      <c r="BK112" s="47" t="str">
        <f>INDEX(Table5[[#All],[Team]],MATCH(Table3[[#This Row],[PID]],Table5[[#All],[PID]],0))</f>
        <v/>
      </c>
      <c r="BL1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3" spans="1:64" ht="15" customHeight="1" x14ac:dyDescent="0.25">
      <c r="A113" s="42">
        <v>17933</v>
      </c>
      <c r="B113" s="42" t="s">
        <v>24</v>
      </c>
      <c r="C113" s="42" t="s">
        <v>391</v>
      </c>
      <c r="D113" s="42" t="s">
        <v>1180</v>
      </c>
      <c r="E113" s="42">
        <v>18</v>
      </c>
      <c r="F113" s="42" t="s">
        <v>42</v>
      </c>
      <c r="G113" s="42" t="s">
        <v>42</v>
      </c>
      <c r="H113" s="43" t="s">
        <v>721</v>
      </c>
      <c r="I113" s="44" t="s">
        <v>47</v>
      </c>
      <c r="J113" s="42" t="s">
        <v>47</v>
      </c>
      <c r="K113" s="43" t="s">
        <v>43</v>
      </c>
      <c r="L113" s="42">
        <v>2</v>
      </c>
      <c r="M113" s="42">
        <v>2</v>
      </c>
      <c r="N113" s="43">
        <v>1</v>
      </c>
      <c r="O113" s="42">
        <v>4</v>
      </c>
      <c r="P113" s="42">
        <v>4</v>
      </c>
      <c r="Q113" s="43">
        <v>2</v>
      </c>
      <c r="R113" s="42">
        <v>3</v>
      </c>
      <c r="S113" s="42">
        <v>6</v>
      </c>
      <c r="T113" s="42" t="s">
        <v>45</v>
      </c>
      <c r="U113" s="42" t="s">
        <v>45</v>
      </c>
      <c r="V113" s="42">
        <v>2</v>
      </c>
      <c r="W113" s="42">
        <v>7</v>
      </c>
      <c r="X113" s="42" t="s">
        <v>45</v>
      </c>
      <c r="Y113" s="42" t="s">
        <v>45</v>
      </c>
      <c r="Z113" s="42">
        <v>3</v>
      </c>
      <c r="AA113" s="42">
        <v>5</v>
      </c>
      <c r="AB113" s="42" t="s">
        <v>45</v>
      </c>
      <c r="AC113" s="42" t="s">
        <v>45</v>
      </c>
      <c r="AD113" s="42" t="s">
        <v>45</v>
      </c>
      <c r="AE113" s="42" t="s">
        <v>45</v>
      </c>
      <c r="AF113" s="42" t="s">
        <v>45</v>
      </c>
      <c r="AG113" s="42" t="s">
        <v>45</v>
      </c>
      <c r="AH113" s="42" t="s">
        <v>45</v>
      </c>
      <c r="AI113" s="42" t="s">
        <v>45</v>
      </c>
      <c r="AJ113" s="42" t="s">
        <v>45</v>
      </c>
      <c r="AK113" s="42" t="s">
        <v>45</v>
      </c>
      <c r="AL113" s="42" t="s">
        <v>45</v>
      </c>
      <c r="AM113" s="42" t="s">
        <v>45</v>
      </c>
      <c r="AN113" s="42" t="s">
        <v>45</v>
      </c>
      <c r="AO113" s="43" t="s">
        <v>45</v>
      </c>
      <c r="AP113" s="42" t="s">
        <v>356</v>
      </c>
      <c r="AQ113" s="42">
        <v>6</v>
      </c>
      <c r="AR113" s="50" t="s">
        <v>353</v>
      </c>
      <c r="AS113" s="45" t="s">
        <v>730</v>
      </c>
      <c r="AT113" s="45" t="s">
        <v>705</v>
      </c>
      <c r="AU113" s="46">
        <f>($O$3*(L113-$O$1)/$O$2+$P$3*(M113-$P$1)/$P$2+$Q$3*(N113-$P$1)/$Q$2)/SUM($O$3:$Q$3)</f>
        <v>-2.311361197028369</v>
      </c>
      <c r="AV113" s="46">
        <f>($O$3*(O113-$O$1)/$O$2+$P$3*(P113-$P$1)/$P$2+$Q$3*(Q113-$Q$1)/$Q$2)/SUM($O$3:$Q$3)</f>
        <v>-0.84329979835872926</v>
      </c>
      <c r="AW113" s="47">
        <f>COUNT(R113:AO113)/2</f>
        <v>3</v>
      </c>
      <c r="AX113" s="47">
        <f>IF(AND(S113&lt;&gt;"-",S113&gt;5),1,0)+IF(AND(U113&lt;&gt;"-",U113&gt;5),1,0)+IF(AND(W113&lt;&gt;"-",W113&gt;5),1,0)+IF(AND(Y113&lt;&gt;"-",Y113&gt;5),1,0)+IF(AND(AA113&lt;&gt;"-",AA113&gt;5),1,0)+IF(AND(AC113&lt;&gt;"-",AC113&gt;5),1,0)+IF(AND(AE113&lt;&gt;"-",AE113&gt;5),1,0)+IF(AND(AG113&lt;&gt;"-",AG113&gt;5),1,0)+IF(AND(AI113&lt;&gt;"-",AI113&gt;5),1,0)+IF(AND(AK113&lt;&gt;"-",AK113&gt;5),1,0)+IF(AND(AM113&lt;&gt;"-",AM113&gt;5),1,0)+IF(AND(AO113&lt;&gt;"-",AO113&gt;5),1,0)</f>
        <v>2</v>
      </c>
      <c r="AY113" s="48">
        <f>VLOOKUP(AP113,COND!$A$10:$B$32,2,FALSE)</f>
        <v>1</v>
      </c>
      <c r="AZ113" s="46">
        <f>($AU$3*AU113+$AV$3*AV113+$AW$3*AW113+$AX$3*AX113)*AY113*IF(AQ113&lt;5,0.95,IF(AQ113&lt;7,0.975,1))+$I$3*VLOOKUP(I113,COND!$A$2:$E$7,4,FALSE)+$J$3*VLOOKUP(J113,COND!$A$2:$E$7,2,FALSE)+$K$3*VLOOKUP(K113,COND!$A$2:$E$7,3,FALSE)+IF(BB113="SP",$BB$3,0)+IF($AW113&lt;3,-5,0)+IF(AND($B$2&gt;0,$E113&lt;20),$B$2*25,0)</f>
        <v>39.529938498584244</v>
      </c>
      <c r="BA113" s="49">
        <f>STANDARDIZE(AZ113,AVERAGE($AZ$5:$AZ$570),STDEVP($AZ$5:$AZ$570))</f>
        <v>0.62429405367127355</v>
      </c>
      <c r="BB113" s="47" t="str">
        <f>IF(OR(AND(AQ113&gt;7,AX113&gt;1),AND(AQ113&gt;4,AW113&gt;2)),"SP","RP")</f>
        <v>SP</v>
      </c>
      <c r="BC113" s="47"/>
      <c r="BD113" s="47"/>
      <c r="BE113" s="47"/>
      <c r="BF113" s="47" t="str">
        <f>IF(AVERAGE($O113:$Q113)&gt;=6,"Likely",IF(AVERAGE($O113:$Q113)&gt;=4,"Possible","Unlikely"))</f>
        <v>Unlikely</v>
      </c>
      <c r="BG113" s="47"/>
      <c r="BH113" s="47" t="str">
        <f>INDEX(Table5[[#All],[Ovr]],MATCH(Table3[[#This Row],[PID]],Table5[[#All],[PID]],0))</f>
        <v/>
      </c>
      <c r="BI113" s="47" t="str">
        <f>INDEX(Table5[[#All],[Rnd]],MATCH(Table3[[#This Row],[PID]],Table5[[#All],[PID]],0))</f>
        <v/>
      </c>
      <c r="BJ113" s="47" t="str">
        <f>INDEX(Table5[[#All],[Pick]],MATCH(Table3[[#This Row],[PID]],Table5[[#All],[PID]],0))</f>
        <v/>
      </c>
      <c r="BK113" s="47" t="str">
        <f>INDEX(Table5[[#All],[Team]],MATCH(Table3[[#This Row],[PID]],Table5[[#All],[PID]],0))</f>
        <v/>
      </c>
      <c r="BL1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4" spans="1:64" ht="15" customHeight="1" x14ac:dyDescent="0.25">
      <c r="A114" s="42">
        <v>12766</v>
      </c>
      <c r="B114" s="42" t="s">
        <v>24</v>
      </c>
      <c r="C114" s="42" t="s">
        <v>343</v>
      </c>
      <c r="D114" s="42" t="s">
        <v>847</v>
      </c>
      <c r="E114" s="42">
        <v>18</v>
      </c>
      <c r="F114" s="42" t="s">
        <v>42</v>
      </c>
      <c r="G114" s="42" t="s">
        <v>42</v>
      </c>
      <c r="H114" s="43" t="s">
        <v>709</v>
      </c>
      <c r="I114" s="44" t="s">
        <v>43</v>
      </c>
      <c r="J114" s="42" t="s">
        <v>43</v>
      </c>
      <c r="K114" s="43" t="s">
        <v>43</v>
      </c>
      <c r="L114" s="42">
        <v>2</v>
      </c>
      <c r="M114" s="42">
        <v>2</v>
      </c>
      <c r="N114" s="43">
        <v>1</v>
      </c>
      <c r="O114" s="42">
        <v>4</v>
      </c>
      <c r="P114" s="42">
        <v>2</v>
      </c>
      <c r="Q114" s="43">
        <v>4</v>
      </c>
      <c r="R114" s="42">
        <v>4</v>
      </c>
      <c r="S114" s="42">
        <v>7</v>
      </c>
      <c r="T114" s="42">
        <v>1</v>
      </c>
      <c r="U114" s="42">
        <v>1</v>
      </c>
      <c r="V114" s="42">
        <v>2</v>
      </c>
      <c r="W114" s="42">
        <v>5</v>
      </c>
      <c r="X114" s="42" t="s">
        <v>45</v>
      </c>
      <c r="Y114" s="42" t="s">
        <v>45</v>
      </c>
      <c r="Z114" s="42" t="s">
        <v>45</v>
      </c>
      <c r="AA114" s="42" t="s">
        <v>45</v>
      </c>
      <c r="AB114" s="42">
        <v>3</v>
      </c>
      <c r="AC114" s="42">
        <v>5</v>
      </c>
      <c r="AD114" s="42" t="s">
        <v>45</v>
      </c>
      <c r="AE114" s="42" t="s">
        <v>45</v>
      </c>
      <c r="AF114" s="42" t="s">
        <v>45</v>
      </c>
      <c r="AG114" s="42" t="s">
        <v>45</v>
      </c>
      <c r="AH114" s="42" t="s">
        <v>45</v>
      </c>
      <c r="AI114" s="42" t="s">
        <v>45</v>
      </c>
      <c r="AJ114" s="42" t="s">
        <v>45</v>
      </c>
      <c r="AK114" s="42" t="s">
        <v>45</v>
      </c>
      <c r="AL114" s="42" t="s">
        <v>45</v>
      </c>
      <c r="AM114" s="42" t="s">
        <v>45</v>
      </c>
      <c r="AN114" s="42" t="s">
        <v>45</v>
      </c>
      <c r="AO114" s="43" t="s">
        <v>45</v>
      </c>
      <c r="AP114" s="42" t="s">
        <v>58</v>
      </c>
      <c r="AQ114" s="42">
        <v>6</v>
      </c>
      <c r="AR114" s="50" t="s">
        <v>353</v>
      </c>
      <c r="AS114" s="45" t="s">
        <v>658</v>
      </c>
      <c r="AT114" s="45" t="s">
        <v>47</v>
      </c>
      <c r="AU114" s="46">
        <f>($O$3*(L114-$O$1)/$O$2+$P$3*(M114-$P$1)/$P$2+$Q$3*(N114-$P$1)/$Q$2)/SUM($O$3:$Q$3)</f>
        <v>-2.311361197028369</v>
      </c>
      <c r="AV114" s="46">
        <f>($O$3*(O114-$O$1)/$O$2+$P$3*(P114-$P$1)/$P$2+$Q$3*(Q114-$Q$1)/$Q$2)/SUM($O$3:$Q$3)</f>
        <v>-0.74952209911061918</v>
      </c>
      <c r="AW114" s="47">
        <f>COUNT(R114:AO114)/2</f>
        <v>4</v>
      </c>
      <c r="AX114" s="47">
        <f>IF(AND(S114&lt;&gt;"-",S114&gt;5),1,0)+IF(AND(U114&lt;&gt;"-",U114&gt;5),1,0)+IF(AND(W114&lt;&gt;"-",W114&gt;5),1,0)+IF(AND(Y114&lt;&gt;"-",Y114&gt;5),1,0)+IF(AND(AA114&lt;&gt;"-",AA114&gt;5),1,0)+IF(AND(AC114&lt;&gt;"-",AC114&gt;5),1,0)+IF(AND(AE114&lt;&gt;"-",AE114&gt;5),1,0)+IF(AND(AG114&lt;&gt;"-",AG114&gt;5),1,0)+IF(AND(AI114&lt;&gt;"-",AI114&gt;5),1,0)+IF(AND(AK114&lt;&gt;"-",AK114&gt;5),1,0)+IF(AND(AM114&lt;&gt;"-",AM114&gt;5),1,0)+IF(AND(AO114&lt;&gt;"-",AO114&gt;5),1,0)</f>
        <v>1</v>
      </c>
      <c r="AY114" s="48">
        <f>VLOOKUP(AP114,COND!$A$10:$B$32,2,FALSE)</f>
        <v>1</v>
      </c>
      <c r="AZ114" s="46">
        <f>($AU$3*AU114+$AV$3*AV114+$AW$3*AW114+$AX$3*AX114)*AY114*IF(AQ114&lt;5,0.95,IF(AQ114&lt;7,0.975,1))+$I$3*VLOOKUP(I114,COND!$A$2:$E$7,4,FALSE)+$J$3*VLOOKUP(J114,COND!$A$2:$E$7,2,FALSE)+$K$3*VLOOKUP(K114,COND!$A$2:$E$7,3,FALSE)+IF(BB114="SP",$BB$3,0)+IF($AW114&lt;3,-5,0)+IF(AND($B$2&gt;0,$E114&lt;20),$B$2*25,0)</f>
        <v>40.102353633922391</v>
      </c>
      <c r="BA114" s="49">
        <f>STANDARDIZE(AZ114,AVERAGE($AZ$5:$AZ$570),STDEVP($AZ$5:$AZ$570))</f>
        <v>0.67678696813548944</v>
      </c>
      <c r="BB114" s="47" t="str">
        <f>IF(OR(AND(AQ114&gt;7,AX114&gt;1),AND(AQ114&gt;4,AW114&gt;2)),"SP","RP")</f>
        <v>SP</v>
      </c>
      <c r="BC114" s="47"/>
      <c r="BD114" s="47"/>
      <c r="BE114" s="47"/>
      <c r="BF114" s="47" t="str">
        <f>IF(AVERAGE($O114:$Q114)&gt;=6,"Likely",IF(AVERAGE($O114:$Q114)&gt;=4,"Possible","Unlikely"))</f>
        <v>Unlikely</v>
      </c>
      <c r="BG114" s="47"/>
      <c r="BH114" s="47" t="str">
        <f>INDEX(Table5[[#All],[Ovr]],MATCH(Table3[[#This Row],[PID]],Table5[[#All],[PID]],0))</f>
        <v/>
      </c>
      <c r="BI114" s="47" t="str">
        <f>INDEX(Table5[[#All],[Rnd]],MATCH(Table3[[#This Row],[PID]],Table5[[#All],[PID]],0))</f>
        <v/>
      </c>
      <c r="BJ114" s="47" t="str">
        <f>INDEX(Table5[[#All],[Pick]],MATCH(Table3[[#This Row],[PID]],Table5[[#All],[PID]],0))</f>
        <v/>
      </c>
      <c r="BK114" s="47" t="str">
        <f>INDEX(Table5[[#All],[Team]],MATCH(Table3[[#This Row],[PID]],Table5[[#All],[PID]],0))</f>
        <v/>
      </c>
      <c r="BL1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5" spans="1:64" ht="15" customHeight="1" x14ac:dyDescent="0.25">
      <c r="A115" s="42">
        <v>8214</v>
      </c>
      <c r="B115" s="42" t="s">
        <v>430</v>
      </c>
      <c r="C115" s="42" t="s">
        <v>143</v>
      </c>
      <c r="D115" s="42" t="s">
        <v>1513</v>
      </c>
      <c r="E115" s="42">
        <v>18</v>
      </c>
      <c r="F115" s="42" t="s">
        <v>42</v>
      </c>
      <c r="G115" s="42" t="s">
        <v>42</v>
      </c>
      <c r="H115" s="43" t="s">
        <v>721</v>
      </c>
      <c r="I115" s="44" t="s">
        <v>43</v>
      </c>
      <c r="J115" s="42" t="s">
        <v>43</v>
      </c>
      <c r="K115" s="43" t="s">
        <v>43</v>
      </c>
      <c r="L115" s="42">
        <v>2</v>
      </c>
      <c r="M115" s="42">
        <v>2</v>
      </c>
      <c r="N115" s="43">
        <v>1</v>
      </c>
      <c r="O115" s="42">
        <v>5</v>
      </c>
      <c r="P115" s="42">
        <v>2</v>
      </c>
      <c r="Q115" s="43">
        <v>3</v>
      </c>
      <c r="R115" s="42">
        <v>3</v>
      </c>
      <c r="S115" s="42">
        <v>6</v>
      </c>
      <c r="T115" s="42">
        <v>1</v>
      </c>
      <c r="U115" s="42">
        <v>1</v>
      </c>
      <c r="V115" s="42" t="s">
        <v>45</v>
      </c>
      <c r="W115" s="42" t="s">
        <v>45</v>
      </c>
      <c r="X115" s="42">
        <v>2</v>
      </c>
      <c r="Y115" s="42">
        <v>7</v>
      </c>
      <c r="Z115" s="42" t="s">
        <v>45</v>
      </c>
      <c r="AA115" s="42" t="s">
        <v>45</v>
      </c>
      <c r="AB115" s="42" t="s">
        <v>45</v>
      </c>
      <c r="AC115" s="42" t="s">
        <v>45</v>
      </c>
      <c r="AD115" s="42" t="s">
        <v>45</v>
      </c>
      <c r="AE115" s="42" t="s">
        <v>45</v>
      </c>
      <c r="AF115" s="42" t="s">
        <v>45</v>
      </c>
      <c r="AG115" s="42" t="s">
        <v>45</v>
      </c>
      <c r="AH115" s="42" t="s">
        <v>45</v>
      </c>
      <c r="AI115" s="42" t="s">
        <v>45</v>
      </c>
      <c r="AJ115" s="42" t="s">
        <v>45</v>
      </c>
      <c r="AK115" s="42" t="s">
        <v>45</v>
      </c>
      <c r="AL115" s="42" t="s">
        <v>45</v>
      </c>
      <c r="AM115" s="42" t="s">
        <v>45</v>
      </c>
      <c r="AN115" s="42" t="s">
        <v>45</v>
      </c>
      <c r="AO115" s="43" t="s">
        <v>45</v>
      </c>
      <c r="AP115" s="42" t="s">
        <v>356</v>
      </c>
      <c r="AQ115" s="42">
        <v>6</v>
      </c>
      <c r="AR115" s="50" t="s">
        <v>353</v>
      </c>
      <c r="AS115" s="45" t="s">
        <v>718</v>
      </c>
      <c r="AT115" s="45" t="s">
        <v>47</v>
      </c>
      <c r="AU115" s="46">
        <f>($O$3*(L115-$O$1)/$O$2+$P$3*(M115-$P$1)/$P$2+$Q$3*(N115-$P$1)/$Q$2)/SUM($O$3:$Q$3)</f>
        <v>-2.311361197028369</v>
      </c>
      <c r="AV115" s="46">
        <f>($O$3*(O115-$O$1)/$O$2+$P$3*(P115-$P$1)/$P$2+$Q$3*(Q115-$Q$1)/$Q$2)/SUM($O$3:$Q$3)</f>
        <v>-0.79715134065555615</v>
      </c>
      <c r="AW115" s="47">
        <f>COUNT(R115:AO115)/2</f>
        <v>3</v>
      </c>
      <c r="AX115" s="47">
        <f>IF(AND(S115&lt;&gt;"-",S115&gt;5),1,0)+IF(AND(U115&lt;&gt;"-",U115&gt;5),1,0)+IF(AND(W115&lt;&gt;"-",W115&gt;5),1,0)+IF(AND(Y115&lt;&gt;"-",Y115&gt;5),1,0)+IF(AND(AA115&lt;&gt;"-",AA115&gt;5),1,0)+IF(AND(AC115&lt;&gt;"-",AC115&gt;5),1,0)+IF(AND(AE115&lt;&gt;"-",AE115&gt;5),1,0)+IF(AND(AG115&lt;&gt;"-",AG115&gt;5),1,0)+IF(AND(AI115&lt;&gt;"-",AI115&gt;5),1,0)+IF(AND(AK115&lt;&gt;"-",AK115&gt;5),1,0)+IF(AND(AM115&lt;&gt;"-",AM115&gt;5),1,0)+IF(AND(AO115&lt;&gt;"-",AO115&gt;5),1,0)</f>
        <v>2</v>
      </c>
      <c r="AY115" s="48">
        <f>VLOOKUP(AP115,COND!$A$10:$B$32,2,FALSE)</f>
        <v>1</v>
      </c>
      <c r="AZ115" s="46">
        <f>($AU$3*AU115+$AV$3*AV115+$AW$3*AW115+$AX$3*AX115)*AY115*IF(AQ115&lt;5,0.95,IF(AQ115&lt;7,0.975,1))+$I$3*VLOOKUP(I115,COND!$A$2:$E$7,4,FALSE)+$J$3*VLOOKUP(J115,COND!$A$2:$E$7,2,FALSE)+$K$3*VLOOKUP(K115,COND!$A$2:$E$7,3,FALSE)+IF(BB115="SP",$BB$3,0)+IF($AW115&lt;3,-5,0)+IF(AND($B$2&gt;0,$E115&lt;20),$B$2*25,0)</f>
        <v>39.904833423796127</v>
      </c>
      <c r="BA115" s="49">
        <f>STANDARDIZE(AZ115,AVERAGE($AZ$5:$AZ$570),STDEVP($AZ$5:$AZ$570))</f>
        <v>0.65867352064778995</v>
      </c>
      <c r="BB115" s="47" t="str">
        <f>IF(OR(AND(AQ115&gt;7,AX115&gt;1),AND(AQ115&gt;4,AW115&gt;2)),"SP","RP")</f>
        <v>SP</v>
      </c>
      <c r="BC115" s="47"/>
      <c r="BD115" s="47"/>
      <c r="BE115" s="47"/>
      <c r="BF115" s="47" t="str">
        <f>IF(AVERAGE($O115:$Q115)&gt;=6,"Likely",IF(AVERAGE($O115:$Q115)&gt;=4,"Possible","Unlikely"))</f>
        <v>Unlikely</v>
      </c>
      <c r="BG115" s="47"/>
      <c r="BH115" s="47" t="str">
        <f>INDEX(Table5[[#All],[Ovr]],MATCH(Table3[[#This Row],[PID]],Table5[[#All],[PID]],0))</f>
        <v/>
      </c>
      <c r="BI115" s="47" t="str">
        <f>INDEX(Table5[[#All],[Rnd]],MATCH(Table3[[#This Row],[PID]],Table5[[#All],[PID]],0))</f>
        <v/>
      </c>
      <c r="BJ115" s="47" t="str">
        <f>INDEX(Table5[[#All],[Pick]],MATCH(Table3[[#This Row],[PID]],Table5[[#All],[PID]],0))</f>
        <v/>
      </c>
      <c r="BK115" s="47" t="str">
        <f>INDEX(Table5[[#All],[Team]],MATCH(Table3[[#This Row],[PID]],Table5[[#All],[PID]],0))</f>
        <v/>
      </c>
      <c r="BL1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6" spans="1:64" ht="15" customHeight="1" x14ac:dyDescent="0.25">
      <c r="A116" s="42">
        <v>14538</v>
      </c>
      <c r="B116" s="42" t="s">
        <v>24</v>
      </c>
      <c r="C116" s="42" t="s">
        <v>655</v>
      </c>
      <c r="D116" s="42" t="s">
        <v>1572</v>
      </c>
      <c r="E116" s="42">
        <v>18</v>
      </c>
      <c r="F116" s="42" t="s">
        <v>53</v>
      </c>
      <c r="G116" s="42" t="s">
        <v>53</v>
      </c>
      <c r="H116" s="43" t="s">
        <v>721</v>
      </c>
      <c r="I116" s="44" t="s">
        <v>43</v>
      </c>
      <c r="J116" s="42" t="s">
        <v>44</v>
      </c>
      <c r="K116" s="43" t="s">
        <v>43</v>
      </c>
      <c r="L116" s="42">
        <v>1</v>
      </c>
      <c r="M116" s="42">
        <v>2</v>
      </c>
      <c r="N116" s="43">
        <v>1</v>
      </c>
      <c r="O116" s="42">
        <v>4</v>
      </c>
      <c r="P116" s="42">
        <v>3</v>
      </c>
      <c r="Q116" s="43">
        <v>4</v>
      </c>
      <c r="R116" s="42">
        <v>3</v>
      </c>
      <c r="S116" s="42">
        <v>5</v>
      </c>
      <c r="T116" s="42" t="s">
        <v>45</v>
      </c>
      <c r="U116" s="42" t="s">
        <v>45</v>
      </c>
      <c r="V116" s="42" t="s">
        <v>45</v>
      </c>
      <c r="W116" s="42" t="s">
        <v>45</v>
      </c>
      <c r="X116" s="42" t="s">
        <v>45</v>
      </c>
      <c r="Y116" s="42" t="s">
        <v>45</v>
      </c>
      <c r="Z116" s="42" t="s">
        <v>45</v>
      </c>
      <c r="AA116" s="42" t="s">
        <v>45</v>
      </c>
      <c r="AB116" s="42" t="s">
        <v>45</v>
      </c>
      <c r="AC116" s="42" t="s">
        <v>45</v>
      </c>
      <c r="AD116" s="42">
        <v>2</v>
      </c>
      <c r="AE116" s="42">
        <v>5</v>
      </c>
      <c r="AF116" s="42">
        <v>2</v>
      </c>
      <c r="AG116" s="42">
        <v>5</v>
      </c>
      <c r="AH116" s="42" t="s">
        <v>45</v>
      </c>
      <c r="AI116" s="42" t="s">
        <v>45</v>
      </c>
      <c r="AJ116" s="42" t="s">
        <v>45</v>
      </c>
      <c r="AK116" s="42" t="s">
        <v>45</v>
      </c>
      <c r="AL116" s="42" t="s">
        <v>45</v>
      </c>
      <c r="AM116" s="42" t="s">
        <v>45</v>
      </c>
      <c r="AN116" s="42" t="s">
        <v>45</v>
      </c>
      <c r="AO116" s="43" t="s">
        <v>45</v>
      </c>
      <c r="AP116" s="42" t="s">
        <v>68</v>
      </c>
      <c r="AQ116" s="42">
        <v>3</v>
      </c>
      <c r="AR116" s="50" t="s">
        <v>353</v>
      </c>
      <c r="AS116" s="45" t="s">
        <v>739</v>
      </c>
      <c r="AT116" s="45" t="s">
        <v>47</v>
      </c>
      <c r="AU116" s="46">
        <f>($O$3*(L116-$O$1)/$O$2+$P$3*(M116-$P$1)/$P$2+$Q$3*(N116-$P$1)/$Q$2)/SUM($O$3:$Q$3)</f>
        <v>-2.5060525215375429</v>
      </c>
      <c r="AV116" s="46">
        <f>($O$3*(O116-$O$1)/$O$2+$P$3*(P116-$P$1)/$P$2+$Q$3*(Q116-$Q$1)/$Q$2)/SUM($O$3:$Q$3)</f>
        <v>-0.55409038268056388</v>
      </c>
      <c r="AW116" s="47">
        <f>COUNT(R116:AO116)/2</f>
        <v>3</v>
      </c>
      <c r="AX116" s="47">
        <f>IF(AND(S116&lt;&gt;"-",S116&gt;5),1,0)+IF(AND(U116&lt;&gt;"-",U116&gt;5),1,0)+IF(AND(W116&lt;&gt;"-",W116&gt;5),1,0)+IF(AND(Y116&lt;&gt;"-",Y116&gt;5),1,0)+IF(AND(AA116&lt;&gt;"-",AA116&gt;5),1,0)+IF(AND(AC116&lt;&gt;"-",AC116&gt;5),1,0)+IF(AND(AE116&lt;&gt;"-",AE116&gt;5),1,0)+IF(AND(AG116&lt;&gt;"-",AG116&gt;5),1,0)+IF(AND(AI116&lt;&gt;"-",AI116&gt;5),1,0)+IF(AND(AK116&lt;&gt;"-",AK116&gt;5),1,0)+IF(AND(AM116&lt;&gt;"-",AM116&gt;5),1,0)+IF(AND(AO116&lt;&gt;"-",AO116&gt;5),1,0)</f>
        <v>0</v>
      </c>
      <c r="AY116" s="48">
        <f>VLOOKUP(AP116,COND!$A$10:$B$32,2,FALSE)</f>
        <v>0.95</v>
      </c>
      <c r="AZ116" s="46">
        <f>($AU$3*AU116+$AV$3*AV116+$AW$3*AW116+$AX$3*AX116)*AY116*IF(AQ116&lt;5,0.95,IF(AQ116&lt;7,0.975,1))+$I$3*VLOOKUP(I116,COND!$A$2:$E$7,4,FALSE)+$J$3*VLOOKUP(J116,COND!$A$2:$E$7,2,FALSE)+$K$3*VLOOKUP(K116,COND!$A$2:$E$7,3,FALSE)+IF(BB116="SP",$BB$3,0)+IF($AW116&lt;3,-5,0)+IF(AND($B$2&gt;0,$E116&lt;20),$B$2*25,0)</f>
        <v>40.600076112478291</v>
      </c>
      <c r="BA116" s="49">
        <f>STANDARDIZE(AZ116,AVERAGE($AZ$5:$AZ$570),STDEVP($AZ$5:$AZ$570))</f>
        <v>0.72243024672964873</v>
      </c>
      <c r="BB116" s="47" t="str">
        <f>IF(OR(AND(AQ116&gt;7,AX116&gt;1),AND(AQ116&gt;4,AW116&gt;2)),"SP","RP")</f>
        <v>RP</v>
      </c>
      <c r="BC116" s="47"/>
      <c r="BD116" s="47"/>
      <c r="BE116" s="47"/>
      <c r="BF116" s="47" t="str">
        <f>IF(AVERAGE($O116:$Q116)&gt;=6,"Likely",IF(AVERAGE($O116:$Q116)&gt;=4,"Possible","Unlikely"))</f>
        <v>Unlikely</v>
      </c>
      <c r="BG116" s="47"/>
      <c r="BH116" s="47" t="str">
        <f>INDEX(Table5[[#All],[Ovr]],MATCH(Table3[[#This Row],[PID]],Table5[[#All],[PID]],0))</f>
        <v/>
      </c>
      <c r="BI116" s="47" t="str">
        <f>INDEX(Table5[[#All],[Rnd]],MATCH(Table3[[#This Row],[PID]],Table5[[#All],[PID]],0))</f>
        <v/>
      </c>
      <c r="BJ116" s="47" t="str">
        <f>INDEX(Table5[[#All],[Pick]],MATCH(Table3[[#This Row],[PID]],Table5[[#All],[PID]],0))</f>
        <v/>
      </c>
      <c r="BK116" s="47" t="str">
        <f>INDEX(Table5[[#All],[Team]],MATCH(Table3[[#This Row],[PID]],Table5[[#All],[PID]],0))</f>
        <v/>
      </c>
      <c r="BL1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7" spans="1:64" ht="15" customHeight="1" x14ac:dyDescent="0.25">
      <c r="A117" s="42">
        <v>5978</v>
      </c>
      <c r="B117" s="42" t="s">
        <v>24</v>
      </c>
      <c r="C117" s="42" t="s">
        <v>766</v>
      </c>
      <c r="D117" s="42" t="s">
        <v>816</v>
      </c>
      <c r="E117" s="42">
        <v>21</v>
      </c>
      <c r="F117" s="42" t="s">
        <v>42</v>
      </c>
      <c r="G117" s="42" t="s">
        <v>42</v>
      </c>
      <c r="H117" s="43" t="s">
        <v>709</v>
      </c>
      <c r="I117" s="44" t="s">
        <v>43</v>
      </c>
      <c r="J117" s="42" t="s">
        <v>43</v>
      </c>
      <c r="K117" s="43" t="s">
        <v>43</v>
      </c>
      <c r="L117" s="42">
        <v>2</v>
      </c>
      <c r="M117" s="42">
        <v>2</v>
      </c>
      <c r="N117" s="43">
        <v>2</v>
      </c>
      <c r="O117" s="42">
        <v>5</v>
      </c>
      <c r="P117" s="42">
        <v>2</v>
      </c>
      <c r="Q117" s="43">
        <v>4</v>
      </c>
      <c r="R117" s="42">
        <v>5</v>
      </c>
      <c r="S117" s="42">
        <v>6</v>
      </c>
      <c r="T117" s="42">
        <v>1</v>
      </c>
      <c r="U117" s="42">
        <v>6</v>
      </c>
      <c r="V117" s="42" t="s">
        <v>45</v>
      </c>
      <c r="W117" s="42" t="s">
        <v>45</v>
      </c>
      <c r="X117" s="42">
        <v>3</v>
      </c>
      <c r="Y117" s="42">
        <v>5</v>
      </c>
      <c r="Z117" s="42" t="s">
        <v>45</v>
      </c>
      <c r="AA117" s="42" t="s">
        <v>45</v>
      </c>
      <c r="AB117" s="42" t="s">
        <v>45</v>
      </c>
      <c r="AC117" s="42" t="s">
        <v>45</v>
      </c>
      <c r="AD117" s="42" t="s">
        <v>45</v>
      </c>
      <c r="AE117" s="42" t="s">
        <v>45</v>
      </c>
      <c r="AF117" s="42">
        <v>4</v>
      </c>
      <c r="AG117" s="42">
        <v>5</v>
      </c>
      <c r="AH117" s="42" t="s">
        <v>45</v>
      </c>
      <c r="AI117" s="42" t="s">
        <v>45</v>
      </c>
      <c r="AJ117" s="42" t="s">
        <v>45</v>
      </c>
      <c r="AK117" s="42" t="s">
        <v>45</v>
      </c>
      <c r="AL117" s="42" t="s">
        <v>45</v>
      </c>
      <c r="AM117" s="42" t="s">
        <v>45</v>
      </c>
      <c r="AN117" s="42" t="s">
        <v>45</v>
      </c>
      <c r="AO117" s="43" t="s">
        <v>45</v>
      </c>
      <c r="AP117" s="42" t="s">
        <v>54</v>
      </c>
      <c r="AQ117" s="42">
        <v>10</v>
      </c>
      <c r="AR117" s="50" t="s">
        <v>353</v>
      </c>
      <c r="AS117" s="45" t="s">
        <v>658</v>
      </c>
      <c r="AT117" s="45" t="s">
        <v>705</v>
      </c>
      <c r="AU117" s="46">
        <f>($O$3*(L117-$O$1)/$O$2+$P$3*(M117-$P$1)/$P$2+$Q$3*(N117-$P$1)/$Q$2)/SUM($O$3:$Q$3)</f>
        <v>-2.0690406309742588</v>
      </c>
      <c r="AV117" s="46">
        <f>($O$3*(O117-$O$1)/$O$2+$P$3*(P117-$P$1)/$P$2+$Q$3*(Q117-$Q$1)/$Q$2)/SUM($O$3:$Q$3)</f>
        <v>-0.55483077460144581</v>
      </c>
      <c r="AW117" s="47">
        <f>COUNT(R117:AO117)/2</f>
        <v>4</v>
      </c>
      <c r="AX117" s="47">
        <f>IF(AND(S117&lt;&gt;"-",S117&gt;5),1,0)+IF(AND(U117&lt;&gt;"-",U117&gt;5),1,0)+IF(AND(W117&lt;&gt;"-",W117&gt;5),1,0)+IF(AND(Y117&lt;&gt;"-",Y117&gt;5),1,0)+IF(AND(AA117&lt;&gt;"-",AA117&gt;5),1,0)+IF(AND(AC117&lt;&gt;"-",AC117&gt;5),1,0)+IF(AND(AE117&lt;&gt;"-",AE117&gt;5),1,0)+IF(AND(AG117&lt;&gt;"-",AG117&gt;5),1,0)+IF(AND(AI117&lt;&gt;"-",AI117&gt;5),1,0)+IF(AND(AK117&lt;&gt;"-",AK117&gt;5),1,0)+IF(AND(AM117&lt;&gt;"-",AM117&gt;5),1,0)+IF(AND(AO117&lt;&gt;"-",AO117&gt;5),1,0)</f>
        <v>2</v>
      </c>
      <c r="AY117" s="48">
        <f>VLOOKUP(AP117,COND!$A$10:$B$32,2,FALSE)</f>
        <v>1.0249999999999999</v>
      </c>
      <c r="AZ117" s="46">
        <f>($AU$3*AU117+$AV$3*AV117+$AW$3*AW117+$AX$3*AX117)*AY117*IF(AQ117&lt;5,0.95,IF(AQ117&lt;7,0.975,1))+$I$3*VLOOKUP(I117,COND!$A$2:$E$7,4,FALSE)+$J$3*VLOOKUP(J117,COND!$A$2:$E$7,2,FALSE)+$K$3*VLOOKUP(K117,COND!$A$2:$E$7,3,FALSE)+IF(BB117="SP",$BB$3,0)+IF($AW117&lt;3,-5,0)+IF(AND($B$2&gt;0,$E117&lt;20),$B$2*25,0)</f>
        <v>39.814315791320638</v>
      </c>
      <c r="BA117" s="49">
        <f>STANDARDIZE(AZ117,AVERAGE($AZ$5:$AZ$570),STDEVP($AZ$5:$AZ$570))</f>
        <v>0.65037266686929529</v>
      </c>
      <c r="BB117" s="47" t="str">
        <f>IF(OR(AND(AQ117&gt;7,AX117&gt;1),AND(AQ117&gt;4,AW117&gt;2)),"SP","RP")</f>
        <v>SP</v>
      </c>
      <c r="BC117" s="47"/>
      <c r="BD117" s="47"/>
      <c r="BE117" s="47"/>
      <c r="BF117" s="47" t="str">
        <f>IF(AVERAGE($O117:$Q117)&gt;=6,"Likely",IF(AVERAGE($O117:$Q117)&gt;=4,"Possible","Unlikely"))</f>
        <v>Unlikely</v>
      </c>
      <c r="BG117" s="47"/>
      <c r="BH117" s="47" t="str">
        <f>INDEX(Table5[[#All],[Ovr]],MATCH(Table3[[#This Row],[PID]],Table5[[#All],[PID]],0))</f>
        <v/>
      </c>
      <c r="BI117" s="47" t="str">
        <f>INDEX(Table5[[#All],[Rnd]],MATCH(Table3[[#This Row],[PID]],Table5[[#All],[PID]],0))</f>
        <v/>
      </c>
      <c r="BJ117" s="47" t="str">
        <f>INDEX(Table5[[#All],[Pick]],MATCH(Table3[[#This Row],[PID]],Table5[[#All],[PID]],0))</f>
        <v/>
      </c>
      <c r="BK117" s="47" t="str">
        <f>INDEX(Table5[[#All],[Team]],MATCH(Table3[[#This Row],[PID]],Table5[[#All],[PID]],0))</f>
        <v/>
      </c>
      <c r="BL1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8" spans="1:64" ht="15" customHeight="1" x14ac:dyDescent="0.25">
      <c r="A118" s="42">
        <v>12192</v>
      </c>
      <c r="B118" s="42" t="s">
        <v>24</v>
      </c>
      <c r="C118" s="42" t="s">
        <v>360</v>
      </c>
      <c r="D118" s="42" t="s">
        <v>816</v>
      </c>
      <c r="E118" s="42">
        <v>21</v>
      </c>
      <c r="F118" s="42" t="s">
        <v>62</v>
      </c>
      <c r="G118" s="42" t="s">
        <v>42</v>
      </c>
      <c r="H118" s="43" t="s">
        <v>711</v>
      </c>
      <c r="I118" s="44" t="s">
        <v>43</v>
      </c>
      <c r="J118" s="42" t="s">
        <v>43</v>
      </c>
      <c r="K118" s="43" t="s">
        <v>43</v>
      </c>
      <c r="L118" s="42">
        <v>2</v>
      </c>
      <c r="M118" s="42">
        <v>3</v>
      </c>
      <c r="N118" s="43">
        <v>1</v>
      </c>
      <c r="O118" s="42">
        <v>5</v>
      </c>
      <c r="P118" s="42">
        <v>3</v>
      </c>
      <c r="Q118" s="43">
        <v>3</v>
      </c>
      <c r="R118" s="42">
        <v>4</v>
      </c>
      <c r="S118" s="42">
        <v>6</v>
      </c>
      <c r="T118" s="42" t="s">
        <v>45</v>
      </c>
      <c r="U118" s="42" t="s">
        <v>45</v>
      </c>
      <c r="V118" s="42">
        <v>2</v>
      </c>
      <c r="W118" s="42">
        <v>6</v>
      </c>
      <c r="X118" s="42" t="s">
        <v>45</v>
      </c>
      <c r="Y118" s="42" t="s">
        <v>45</v>
      </c>
      <c r="Z118" s="42" t="s">
        <v>45</v>
      </c>
      <c r="AA118" s="42" t="s">
        <v>45</v>
      </c>
      <c r="AB118" s="42" t="s">
        <v>45</v>
      </c>
      <c r="AC118" s="42" t="s">
        <v>45</v>
      </c>
      <c r="AD118" s="42" t="s">
        <v>45</v>
      </c>
      <c r="AE118" s="42" t="s">
        <v>45</v>
      </c>
      <c r="AF118" s="42" t="s">
        <v>45</v>
      </c>
      <c r="AG118" s="42" t="s">
        <v>45</v>
      </c>
      <c r="AH118" s="42">
        <v>2</v>
      </c>
      <c r="AI118" s="42">
        <v>8</v>
      </c>
      <c r="AJ118" s="42" t="s">
        <v>45</v>
      </c>
      <c r="AK118" s="42" t="s">
        <v>45</v>
      </c>
      <c r="AL118" s="42" t="s">
        <v>45</v>
      </c>
      <c r="AM118" s="42" t="s">
        <v>45</v>
      </c>
      <c r="AN118" s="42" t="s">
        <v>45</v>
      </c>
      <c r="AO118" s="43" t="s">
        <v>45</v>
      </c>
      <c r="AP118" s="42" t="s">
        <v>56</v>
      </c>
      <c r="AQ118" s="42">
        <v>10</v>
      </c>
      <c r="AR118" s="50" t="s">
        <v>352</v>
      </c>
      <c r="AS118" s="45" t="s">
        <v>45</v>
      </c>
      <c r="AT118" s="45" t="s">
        <v>47</v>
      </c>
      <c r="AU118" s="46">
        <f>($O$3*(L118-$O$1)/$O$2+$P$3*(M118-$P$1)/$P$2+$Q$3*(N118-$P$1)/$Q$2)/SUM($O$3:$Q$3)</f>
        <v>-2.1159294805983135</v>
      </c>
      <c r="AV118" s="46">
        <f>($O$3*(O118-$O$1)/$O$2+$P$3*(P118-$P$1)/$P$2+$Q$3*(Q118-$Q$1)/$Q$2)/SUM($O$3:$Q$3)</f>
        <v>-0.60171962422550074</v>
      </c>
      <c r="AW118" s="47">
        <f>COUNT(R118:AO118)/2</f>
        <v>3</v>
      </c>
      <c r="AX118" s="47">
        <f>IF(AND(S118&lt;&gt;"-",S118&gt;5),1,0)+IF(AND(U118&lt;&gt;"-",U118&gt;5),1,0)+IF(AND(W118&lt;&gt;"-",W118&gt;5),1,0)+IF(AND(Y118&lt;&gt;"-",Y118&gt;5),1,0)+IF(AND(AA118&lt;&gt;"-",AA118&gt;5),1,0)+IF(AND(AC118&lt;&gt;"-",AC118&gt;5),1,0)+IF(AND(AE118&lt;&gt;"-",AE118&gt;5),1,0)+IF(AND(AG118&lt;&gt;"-",AG118&gt;5),1,0)+IF(AND(AI118&lt;&gt;"-",AI118&gt;5),1,0)+IF(AND(AK118&lt;&gt;"-",AK118&gt;5),1,0)+IF(AND(AM118&lt;&gt;"-",AM118&gt;5),1,0)+IF(AND(AO118&lt;&gt;"-",AO118&gt;5),1,0)</f>
        <v>3</v>
      </c>
      <c r="AY118" s="48">
        <f>VLOOKUP(AP118,COND!$A$10:$B$32,2,FALSE)</f>
        <v>1</v>
      </c>
      <c r="AZ118" s="46">
        <f>($AU$3*AU118+$AV$3*AV118+$AW$3*AW118+$AX$3*AX118)*AY118*IF(AQ118&lt;5,0.95,IF(AQ118&lt;7,0.975,1))+$I$3*VLOOKUP(I118,COND!$A$2:$E$7,4,FALSE)+$J$3*VLOOKUP(J118,COND!$A$2:$E$7,2,FALSE)+$K$3*VLOOKUP(K118,COND!$A$2:$E$7,3,FALSE)+IF(BB118="SP",$BB$3,0)+IF($AW118&lt;3,-5,0)+IF(AND($B$2&gt;0,$E118&lt;20),$B$2*25,0)</f>
        <v>39.792421619370323</v>
      </c>
      <c r="BA118" s="49">
        <f>STANDARDIZE(AZ118,AVERAGE($AZ$5:$AZ$570),STDEVP($AZ$5:$AZ$570))</f>
        <v>0.64836487772379381</v>
      </c>
      <c r="BB118" s="47" t="str">
        <f>IF(OR(AND(AQ118&gt;7,AX118&gt;1),AND(AQ118&gt;4,AW118&gt;2)),"SP","RP")</f>
        <v>SP</v>
      </c>
      <c r="BC118" s="47"/>
      <c r="BD118" s="47"/>
      <c r="BE118" s="47"/>
      <c r="BF118" s="47" t="str">
        <f>IF(AVERAGE($O118:$Q118)&gt;=6,"Likely",IF(AVERAGE($O118:$Q118)&gt;=4,"Possible","Unlikely"))</f>
        <v>Unlikely</v>
      </c>
      <c r="BG118" s="47"/>
      <c r="BH118" s="47" t="str">
        <f>INDEX(Table5[[#All],[Ovr]],MATCH(Table3[[#This Row],[PID]],Table5[[#All],[PID]],0))</f>
        <v/>
      </c>
      <c r="BI118" s="47" t="str">
        <f>INDEX(Table5[[#All],[Rnd]],MATCH(Table3[[#This Row],[PID]],Table5[[#All],[PID]],0))</f>
        <v/>
      </c>
      <c r="BJ118" s="47" t="str">
        <f>INDEX(Table5[[#All],[Pick]],MATCH(Table3[[#This Row],[PID]],Table5[[#All],[PID]],0))</f>
        <v/>
      </c>
      <c r="BK118" s="47" t="str">
        <f>INDEX(Table5[[#All],[Team]],MATCH(Table3[[#This Row],[PID]],Table5[[#All],[PID]],0))</f>
        <v/>
      </c>
      <c r="BL1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9" spans="1:64" ht="15" customHeight="1" x14ac:dyDescent="0.25">
      <c r="A119" s="42">
        <v>7229</v>
      </c>
      <c r="B119" s="42" t="s">
        <v>24</v>
      </c>
      <c r="C119" s="42" t="s">
        <v>1542</v>
      </c>
      <c r="D119" s="42" t="s">
        <v>664</v>
      </c>
      <c r="E119" s="42">
        <v>21</v>
      </c>
      <c r="F119" s="42" t="s">
        <v>53</v>
      </c>
      <c r="G119" s="42" t="s">
        <v>42</v>
      </c>
      <c r="H119" s="43" t="s">
        <v>721</v>
      </c>
      <c r="I119" s="44" t="s">
        <v>43</v>
      </c>
      <c r="J119" s="42" t="s">
        <v>43</v>
      </c>
      <c r="K119" s="43" t="s">
        <v>47</v>
      </c>
      <c r="L119" s="42">
        <v>4</v>
      </c>
      <c r="M119" s="42">
        <v>2</v>
      </c>
      <c r="N119" s="43">
        <v>3</v>
      </c>
      <c r="O119" s="42">
        <v>5</v>
      </c>
      <c r="P119" s="42">
        <v>3</v>
      </c>
      <c r="Q119" s="43">
        <v>3</v>
      </c>
      <c r="R119" s="42">
        <v>6</v>
      </c>
      <c r="S119" s="42">
        <v>6</v>
      </c>
      <c r="T119" s="42">
        <v>2</v>
      </c>
      <c r="U119" s="42">
        <v>4</v>
      </c>
      <c r="V119" s="42">
        <v>2</v>
      </c>
      <c r="W119" s="42">
        <v>4</v>
      </c>
      <c r="X119" s="42" t="s">
        <v>45</v>
      </c>
      <c r="Y119" s="42" t="s">
        <v>45</v>
      </c>
      <c r="Z119" s="42" t="s">
        <v>45</v>
      </c>
      <c r="AA119" s="42" t="s">
        <v>45</v>
      </c>
      <c r="AB119" s="42">
        <v>4</v>
      </c>
      <c r="AC119" s="42">
        <v>5</v>
      </c>
      <c r="AD119" s="42" t="s">
        <v>45</v>
      </c>
      <c r="AE119" s="42" t="s">
        <v>45</v>
      </c>
      <c r="AF119" s="42">
        <v>4</v>
      </c>
      <c r="AG119" s="42">
        <v>5</v>
      </c>
      <c r="AH119" s="42">
        <v>1</v>
      </c>
      <c r="AI119" s="42">
        <v>5</v>
      </c>
      <c r="AJ119" s="42" t="s">
        <v>45</v>
      </c>
      <c r="AK119" s="42" t="s">
        <v>45</v>
      </c>
      <c r="AL119" s="42" t="s">
        <v>45</v>
      </c>
      <c r="AM119" s="42" t="s">
        <v>45</v>
      </c>
      <c r="AN119" s="42" t="s">
        <v>45</v>
      </c>
      <c r="AO119" s="43" t="s">
        <v>45</v>
      </c>
      <c r="AP119" s="42" t="s">
        <v>61</v>
      </c>
      <c r="AQ119" s="42">
        <v>7</v>
      </c>
      <c r="AR119" s="50" t="s">
        <v>353</v>
      </c>
      <c r="AS119" s="45" t="s">
        <v>45</v>
      </c>
      <c r="AT119" s="45" t="s">
        <v>47</v>
      </c>
      <c r="AU119" s="46">
        <f>($O$3*(L119-$O$1)/$O$2+$P$3*(M119-$P$1)/$P$2+$Q$3*(N119-$P$1)/$Q$2)/SUM($O$3:$Q$3)</f>
        <v>-1.4373374159018013</v>
      </c>
      <c r="AV119" s="46">
        <f>($O$3*(O119-$O$1)/$O$2+$P$3*(P119-$P$1)/$P$2+$Q$3*(Q119-$Q$1)/$Q$2)/SUM($O$3:$Q$3)</f>
        <v>-0.60171962422550074</v>
      </c>
      <c r="AW119" s="47">
        <f>COUNT(R119:AO119)/2</f>
        <v>6</v>
      </c>
      <c r="AX119" s="47">
        <f>IF(AND(S119&lt;&gt;"-",S119&gt;5),1,0)+IF(AND(U119&lt;&gt;"-",U119&gt;5),1,0)+IF(AND(W119&lt;&gt;"-",W119&gt;5),1,0)+IF(AND(Y119&lt;&gt;"-",Y119&gt;5),1,0)+IF(AND(AA119&lt;&gt;"-",AA119&gt;5),1,0)+IF(AND(AC119&lt;&gt;"-",AC119&gt;5),1,0)+IF(AND(AE119&lt;&gt;"-",AE119&gt;5),1,0)+IF(AND(AG119&lt;&gt;"-",AG119&gt;5),1,0)+IF(AND(AI119&lt;&gt;"-",AI119&gt;5),1,0)+IF(AND(AK119&lt;&gt;"-",AK119&gt;5),1,0)+IF(AND(AM119&lt;&gt;"-",AM119&gt;5),1,0)+IF(AND(AO119&lt;&gt;"-",AO119&gt;5),1,0)</f>
        <v>1</v>
      </c>
      <c r="AY119" s="48">
        <f>VLOOKUP(AP119,COND!$A$10:$B$32,2,FALSE)</f>
        <v>1.05</v>
      </c>
      <c r="AZ119" s="46">
        <f>($AU$3*AU119+$AV$3*AV119+$AW$3*AW119+$AX$3*AX119)*AY119*IF(AQ119&lt;5,0.95,IF(AQ119&lt;7,0.975,1))+$I$3*VLOOKUP(I119,COND!$A$2:$E$7,4,FALSE)+$J$3*VLOOKUP(J119,COND!$A$2:$E$7,2,FALSE)+$K$3*VLOOKUP(K119,COND!$A$2:$E$7,3,FALSE)+IF(BB119="SP",$BB$3,0)+IF($AW119&lt;3,-5,0)+IF(AND($B$2&gt;0,$E119&lt;20),$B$2*25,0)</f>
        <v>38.8245470339251</v>
      </c>
      <c r="BA119" s="49">
        <f>STANDARDIZE(AZ119,AVERAGE($AZ$5:$AZ$570),STDEVP($AZ$5:$AZ$570))</f>
        <v>0.55960664145554551</v>
      </c>
      <c r="BB119" s="47" t="str">
        <f>IF(OR(AND(AQ119&gt;7,AX119&gt;1),AND(AQ119&gt;4,AW119&gt;2)),"SP","RP")</f>
        <v>SP</v>
      </c>
      <c r="BC119" s="47"/>
      <c r="BD119" s="47"/>
      <c r="BE119" s="47"/>
      <c r="BF119" s="47" t="str">
        <f>IF(AVERAGE($O119:$Q119)&gt;=6,"Likely",IF(AVERAGE($O119:$Q119)&gt;=4,"Possible","Unlikely"))</f>
        <v>Unlikely</v>
      </c>
      <c r="BG119" s="47"/>
      <c r="BH119" s="47" t="str">
        <f>INDEX(Table5[[#All],[Ovr]],MATCH(Table3[[#This Row],[PID]],Table5[[#All],[PID]],0))</f>
        <v/>
      </c>
      <c r="BI119" s="47" t="str">
        <f>INDEX(Table5[[#All],[Rnd]],MATCH(Table3[[#This Row],[PID]],Table5[[#All],[PID]],0))</f>
        <v/>
      </c>
      <c r="BJ119" s="47" t="str">
        <f>INDEX(Table5[[#All],[Pick]],MATCH(Table3[[#This Row],[PID]],Table5[[#All],[PID]],0))</f>
        <v/>
      </c>
      <c r="BK119" s="47" t="str">
        <f>INDEX(Table5[[#All],[Team]],MATCH(Table3[[#This Row],[PID]],Table5[[#All],[PID]],0))</f>
        <v/>
      </c>
      <c r="BL1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0" spans="1:64" ht="15" customHeight="1" x14ac:dyDescent="0.25">
      <c r="A120" s="42">
        <v>11656</v>
      </c>
      <c r="B120" s="42" t="s">
        <v>24</v>
      </c>
      <c r="C120" s="42" t="s">
        <v>145</v>
      </c>
      <c r="D120" s="42" t="s">
        <v>736</v>
      </c>
      <c r="E120" s="42">
        <v>21</v>
      </c>
      <c r="F120" s="42" t="s">
        <v>42</v>
      </c>
      <c r="G120" s="42" t="s">
        <v>42</v>
      </c>
      <c r="H120" s="43" t="s">
        <v>721</v>
      </c>
      <c r="I120" s="44" t="s">
        <v>43</v>
      </c>
      <c r="J120" s="42" t="s">
        <v>43</v>
      </c>
      <c r="K120" s="43" t="s">
        <v>44</v>
      </c>
      <c r="L120" s="42">
        <v>3</v>
      </c>
      <c r="M120" s="42">
        <v>1</v>
      </c>
      <c r="N120" s="43">
        <v>2</v>
      </c>
      <c r="O120" s="42">
        <v>5</v>
      </c>
      <c r="P120" s="42">
        <v>2</v>
      </c>
      <c r="Q120" s="43">
        <v>4</v>
      </c>
      <c r="R120" s="42">
        <v>5</v>
      </c>
      <c r="S120" s="42">
        <v>6</v>
      </c>
      <c r="T120" s="42">
        <v>1</v>
      </c>
      <c r="U120" s="42">
        <v>4</v>
      </c>
      <c r="V120" s="42">
        <v>2</v>
      </c>
      <c r="W120" s="42">
        <v>5</v>
      </c>
      <c r="X120" s="42">
        <v>3</v>
      </c>
      <c r="Y120" s="42">
        <v>6</v>
      </c>
      <c r="Z120" s="42" t="s">
        <v>45</v>
      </c>
      <c r="AA120" s="42" t="s">
        <v>45</v>
      </c>
      <c r="AB120" s="42" t="s">
        <v>45</v>
      </c>
      <c r="AC120" s="42" t="s">
        <v>45</v>
      </c>
      <c r="AD120" s="42" t="s">
        <v>45</v>
      </c>
      <c r="AE120" s="42" t="s">
        <v>45</v>
      </c>
      <c r="AF120" s="42">
        <v>4</v>
      </c>
      <c r="AG120" s="42">
        <v>5</v>
      </c>
      <c r="AH120" s="42" t="s">
        <v>45</v>
      </c>
      <c r="AI120" s="42" t="s">
        <v>45</v>
      </c>
      <c r="AJ120" s="42" t="s">
        <v>45</v>
      </c>
      <c r="AK120" s="42" t="s">
        <v>45</v>
      </c>
      <c r="AL120" s="42" t="s">
        <v>45</v>
      </c>
      <c r="AM120" s="42" t="s">
        <v>45</v>
      </c>
      <c r="AN120" s="42" t="s">
        <v>45</v>
      </c>
      <c r="AO120" s="43" t="s">
        <v>45</v>
      </c>
      <c r="AP120" s="42" t="s">
        <v>58</v>
      </c>
      <c r="AQ120" s="42">
        <v>7</v>
      </c>
      <c r="AR120" s="50" t="s">
        <v>14</v>
      </c>
      <c r="AS120" s="45" t="s">
        <v>45</v>
      </c>
      <c r="AT120" s="45" t="s">
        <v>705</v>
      </c>
      <c r="AU120" s="46">
        <f>($O$3*(L120-$O$1)/$O$2+$P$3*(M120-$P$1)/$P$2+$Q$3*(N120-$P$1)/$Q$2)/SUM($O$3:$Q$3)</f>
        <v>-2.0697810228951408</v>
      </c>
      <c r="AV120" s="46">
        <f>($O$3*(O120-$O$1)/$O$2+$P$3*(P120-$P$1)/$P$2+$Q$3*(Q120-$Q$1)/$Q$2)/SUM($O$3:$Q$3)</f>
        <v>-0.55483077460144581</v>
      </c>
      <c r="AW120" s="47">
        <f>COUNT(R120:AO120)/2</f>
        <v>5</v>
      </c>
      <c r="AX120" s="47">
        <f>IF(AND(S120&lt;&gt;"-",S120&gt;5),1,0)+IF(AND(U120&lt;&gt;"-",U120&gt;5),1,0)+IF(AND(W120&lt;&gt;"-",W120&gt;5),1,0)+IF(AND(Y120&lt;&gt;"-",Y120&gt;5),1,0)+IF(AND(AA120&lt;&gt;"-",AA120&gt;5),1,0)+IF(AND(AC120&lt;&gt;"-",AC120&gt;5),1,0)+IF(AND(AE120&lt;&gt;"-",AE120&gt;5),1,0)+IF(AND(AG120&lt;&gt;"-",AG120&gt;5),1,0)+IF(AND(AI120&lt;&gt;"-",AI120&gt;5),1,0)+IF(AND(AK120&lt;&gt;"-",AK120&gt;5),1,0)+IF(AND(AM120&lt;&gt;"-",AM120&gt;5),1,0)+IF(AND(AO120&lt;&gt;"-",AO120&gt;5),1,0)</f>
        <v>2</v>
      </c>
      <c r="AY120" s="48">
        <f>VLOOKUP(AP120,COND!$A$10:$B$32,2,FALSE)</f>
        <v>1</v>
      </c>
      <c r="AZ120" s="46">
        <f>($AU$3*AU120+$AV$3*AV120+$AW$3*AW120+$AX$3*AX120)*AY120*IF(AQ120&lt;5,0.95,IF(AQ120&lt;7,0.975,1))+$I$3*VLOOKUP(I120,COND!$A$2:$E$7,4,FALSE)+$J$3*VLOOKUP(J120,COND!$A$2:$E$7,2,FALSE)+$K$3*VLOOKUP(K120,COND!$A$2:$E$7,3,FALSE)+IF(BB120="SP",$BB$3,0)+IF($AW120&lt;3,-5,0)+IF(AND($B$2&gt;0,$E120&lt;20),$B$2*25,0)</f>
        <v>40.189428303392049</v>
      </c>
      <c r="BA120" s="49">
        <f>STANDARDIZE(AZ120,AVERAGE($AZ$5:$AZ$570),STDEVP($AZ$5:$AZ$570))</f>
        <v>0.68477208749081619</v>
      </c>
      <c r="BB120" s="47" t="str">
        <f>IF(OR(AND(AQ120&gt;7,AX120&gt;1),AND(AQ120&gt;4,AW120&gt;2)),"SP","RP")</f>
        <v>SP</v>
      </c>
      <c r="BC120" s="47"/>
      <c r="BD120" s="47"/>
      <c r="BE120" s="47"/>
      <c r="BF120" s="47" t="str">
        <f>IF(AVERAGE($O120:$Q120)&gt;=6,"Likely",IF(AVERAGE($O120:$Q120)&gt;=4,"Possible","Unlikely"))</f>
        <v>Unlikely</v>
      </c>
      <c r="BG120" s="47"/>
      <c r="BH120" s="47" t="str">
        <f>INDEX(Table5[[#All],[Ovr]],MATCH(Table3[[#This Row],[PID]],Table5[[#All],[PID]],0))</f>
        <v/>
      </c>
      <c r="BI120" s="47" t="str">
        <f>INDEX(Table5[[#All],[Rnd]],MATCH(Table3[[#This Row],[PID]],Table5[[#All],[PID]],0))</f>
        <v/>
      </c>
      <c r="BJ120" s="47" t="str">
        <f>INDEX(Table5[[#All],[Pick]],MATCH(Table3[[#This Row],[PID]],Table5[[#All],[PID]],0))</f>
        <v/>
      </c>
      <c r="BK120" s="47" t="str">
        <f>INDEX(Table5[[#All],[Team]],MATCH(Table3[[#This Row],[PID]],Table5[[#All],[PID]],0))</f>
        <v/>
      </c>
      <c r="BL1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1" spans="1:64" ht="15" customHeight="1" x14ac:dyDescent="0.25">
      <c r="A121" s="42">
        <v>12642</v>
      </c>
      <c r="B121" s="42" t="s">
        <v>430</v>
      </c>
      <c r="C121" s="42" t="s">
        <v>598</v>
      </c>
      <c r="D121" s="42" t="s">
        <v>780</v>
      </c>
      <c r="E121" s="42">
        <v>18</v>
      </c>
      <c r="F121" s="42" t="s">
        <v>53</v>
      </c>
      <c r="G121" s="42" t="s">
        <v>42</v>
      </c>
      <c r="H121" s="43" t="s">
        <v>721</v>
      </c>
      <c r="I121" s="44" t="s">
        <v>43</v>
      </c>
      <c r="J121" s="42" t="s">
        <v>43</v>
      </c>
      <c r="K121" s="43" t="s">
        <v>43</v>
      </c>
      <c r="L121" s="42">
        <v>1</v>
      </c>
      <c r="M121" s="42">
        <v>2</v>
      </c>
      <c r="N121" s="43">
        <v>1</v>
      </c>
      <c r="O121" s="42">
        <v>3</v>
      </c>
      <c r="P121" s="42">
        <v>3</v>
      </c>
      <c r="Q121" s="43">
        <v>4</v>
      </c>
      <c r="R121" s="42" t="s">
        <v>45</v>
      </c>
      <c r="S121" s="42" t="s">
        <v>45</v>
      </c>
      <c r="T121" s="42" t="s">
        <v>45</v>
      </c>
      <c r="U121" s="42" t="s">
        <v>45</v>
      </c>
      <c r="V121" s="42" t="s">
        <v>45</v>
      </c>
      <c r="W121" s="42" t="s">
        <v>45</v>
      </c>
      <c r="X121" s="42">
        <v>1</v>
      </c>
      <c r="Y121" s="42">
        <v>4</v>
      </c>
      <c r="Z121" s="42" t="s">
        <v>45</v>
      </c>
      <c r="AA121" s="42" t="s">
        <v>45</v>
      </c>
      <c r="AB121" s="42">
        <v>2</v>
      </c>
      <c r="AC121" s="42">
        <v>4</v>
      </c>
      <c r="AD121" s="42">
        <v>2</v>
      </c>
      <c r="AE121" s="42">
        <v>3</v>
      </c>
      <c r="AF121" s="42" t="s">
        <v>45</v>
      </c>
      <c r="AG121" s="42" t="s">
        <v>45</v>
      </c>
      <c r="AH121" s="42" t="s">
        <v>45</v>
      </c>
      <c r="AI121" s="42" t="s">
        <v>45</v>
      </c>
      <c r="AJ121" s="42" t="s">
        <v>45</v>
      </c>
      <c r="AK121" s="42" t="s">
        <v>45</v>
      </c>
      <c r="AL121" s="42" t="s">
        <v>45</v>
      </c>
      <c r="AM121" s="42" t="s">
        <v>45</v>
      </c>
      <c r="AN121" s="42" t="s">
        <v>45</v>
      </c>
      <c r="AO121" s="43" t="s">
        <v>45</v>
      </c>
      <c r="AP121" s="42" t="s">
        <v>67</v>
      </c>
      <c r="AQ121" s="42">
        <v>9</v>
      </c>
      <c r="AR121" s="50" t="s">
        <v>353</v>
      </c>
      <c r="AS121" s="45" t="s">
        <v>739</v>
      </c>
      <c r="AT121" s="45" t="s">
        <v>47</v>
      </c>
      <c r="AU121" s="46">
        <f>($O$3*(L121-$O$1)/$O$2+$P$3*(M121-$P$1)/$P$2+$Q$3*(N121-$P$1)/$Q$2)/SUM($O$3:$Q$3)</f>
        <v>-2.5060525215375429</v>
      </c>
      <c r="AV121" s="46">
        <f>($O$3*(O121-$O$1)/$O$2+$P$3*(P121-$P$1)/$P$2+$Q$3*(Q121-$Q$1)/$Q$2)/SUM($O$3:$Q$3)</f>
        <v>-0.74878170718973724</v>
      </c>
      <c r="AW121" s="47">
        <f>COUNT(R121:AO121)/2</f>
        <v>3</v>
      </c>
      <c r="AX121" s="47">
        <f>IF(AND(S121&lt;&gt;"-",S121&gt;5),1,0)+IF(AND(U121&lt;&gt;"-",U121&gt;5),1,0)+IF(AND(W121&lt;&gt;"-",W121&gt;5),1,0)+IF(AND(Y121&lt;&gt;"-",Y121&gt;5),1,0)+IF(AND(AA121&lt;&gt;"-",AA121&gt;5),1,0)+IF(AND(AC121&lt;&gt;"-",AC121&gt;5),1,0)+IF(AND(AE121&lt;&gt;"-",AE121&gt;5),1,0)+IF(AND(AG121&lt;&gt;"-",AG121&gt;5),1,0)+IF(AND(AI121&lt;&gt;"-",AI121&gt;5),1,0)+IF(AND(AK121&lt;&gt;"-",AK121&gt;5),1,0)+IF(AND(AM121&lt;&gt;"-",AM121&gt;5),1,0)+IF(AND(AO121&lt;&gt;"-",AO121&gt;5),1,0)</f>
        <v>0</v>
      </c>
      <c r="AY121" s="48">
        <f>VLOOKUP(AP121,COND!$A$10:$B$32,2,FALSE)</f>
        <v>0.9</v>
      </c>
      <c r="AZ121" s="46">
        <f>($AU$3*AU121+$AV$3*AV121+$AW$3*AW121+$AX$3*AX121)*AY121*IF(AQ121&lt;5,0.95,IF(AQ121&lt;7,0.975,1))+$I$3*VLOOKUP(I121,COND!$A$2:$E$7,4,FALSE)+$J$3*VLOOKUP(J121,COND!$A$2:$E$7,2,FALSE)+$K$3*VLOOKUP(K121,COND!$A$2:$E$7,3,FALSE)+IF(BB121="SP",$BB$3,0)+IF($AW121&lt;3,-5,0)+IF(AND($B$2&gt;0,$E121&lt;20),$B$2*25,0)</f>
        <v>39.420839816707975</v>
      </c>
      <c r="BA121" s="49">
        <f>STANDARDIZE(AZ121,AVERAGE($AZ$5:$AZ$570),STDEVP($AZ$5:$AZ$570))</f>
        <v>0.61428923824565307</v>
      </c>
      <c r="BB121" s="47" t="str">
        <f>IF(OR(AND(AQ121&gt;7,AX121&gt;1),AND(AQ121&gt;4,AW121&gt;2)),"SP","RP")</f>
        <v>SP</v>
      </c>
      <c r="BC121" s="47"/>
      <c r="BD121" s="47"/>
      <c r="BE121" s="47"/>
      <c r="BF121" s="47" t="str">
        <f>IF(AVERAGE($O121:$Q121)&gt;=6,"Likely",IF(AVERAGE($O121:$Q121)&gt;=4,"Possible","Unlikely"))</f>
        <v>Unlikely</v>
      </c>
      <c r="BG121" s="47"/>
      <c r="BH121" s="47" t="str">
        <f>INDEX(Table5[[#All],[Ovr]],MATCH(Table3[[#This Row],[PID]],Table5[[#All],[PID]],0))</f>
        <v/>
      </c>
      <c r="BI121" s="47" t="str">
        <f>INDEX(Table5[[#All],[Rnd]],MATCH(Table3[[#This Row],[PID]],Table5[[#All],[PID]],0))</f>
        <v/>
      </c>
      <c r="BJ121" s="47" t="str">
        <f>INDEX(Table5[[#All],[Pick]],MATCH(Table3[[#This Row],[PID]],Table5[[#All],[PID]],0))</f>
        <v/>
      </c>
      <c r="BK121" s="47" t="str">
        <f>INDEX(Table5[[#All],[Team]],MATCH(Table3[[#This Row],[PID]],Table5[[#All],[PID]],0))</f>
        <v/>
      </c>
      <c r="BL1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2" spans="1:64" ht="15" customHeight="1" x14ac:dyDescent="0.25">
      <c r="A122" s="42">
        <v>7060</v>
      </c>
      <c r="B122" s="42" t="s">
        <v>24</v>
      </c>
      <c r="C122" s="42" t="s">
        <v>463</v>
      </c>
      <c r="D122" s="42" t="s">
        <v>1485</v>
      </c>
      <c r="E122" s="42">
        <v>20</v>
      </c>
      <c r="F122" s="42" t="s">
        <v>53</v>
      </c>
      <c r="G122" s="42" t="s">
        <v>53</v>
      </c>
      <c r="H122" s="43" t="s">
        <v>709</v>
      </c>
      <c r="I122" s="44" t="s">
        <v>43</v>
      </c>
      <c r="J122" s="42" t="s">
        <v>43</v>
      </c>
      <c r="K122" s="43" t="s">
        <v>47</v>
      </c>
      <c r="L122" s="42">
        <v>3</v>
      </c>
      <c r="M122" s="42">
        <v>2</v>
      </c>
      <c r="N122" s="43">
        <v>2</v>
      </c>
      <c r="O122" s="42">
        <v>6</v>
      </c>
      <c r="P122" s="42">
        <v>2</v>
      </c>
      <c r="Q122" s="43">
        <v>3</v>
      </c>
      <c r="R122" s="42">
        <v>7</v>
      </c>
      <c r="S122" s="42">
        <v>8</v>
      </c>
      <c r="T122" s="42">
        <v>3</v>
      </c>
      <c r="U122" s="42">
        <v>7</v>
      </c>
      <c r="V122" s="42">
        <v>4</v>
      </c>
      <c r="W122" s="42">
        <v>7</v>
      </c>
      <c r="X122" s="42" t="s">
        <v>45</v>
      </c>
      <c r="Y122" s="42" t="s">
        <v>45</v>
      </c>
      <c r="Z122" s="42" t="s">
        <v>45</v>
      </c>
      <c r="AA122" s="42" t="s">
        <v>45</v>
      </c>
      <c r="AB122" s="42" t="s">
        <v>45</v>
      </c>
      <c r="AC122" s="42" t="s">
        <v>45</v>
      </c>
      <c r="AD122" s="42" t="s">
        <v>45</v>
      </c>
      <c r="AE122" s="42" t="s">
        <v>45</v>
      </c>
      <c r="AF122" s="42">
        <v>4</v>
      </c>
      <c r="AG122" s="42">
        <v>5</v>
      </c>
      <c r="AH122" s="42" t="s">
        <v>45</v>
      </c>
      <c r="AI122" s="42" t="s">
        <v>45</v>
      </c>
      <c r="AJ122" s="42" t="s">
        <v>45</v>
      </c>
      <c r="AK122" s="42" t="s">
        <v>45</v>
      </c>
      <c r="AL122" s="42" t="s">
        <v>45</v>
      </c>
      <c r="AM122" s="42" t="s">
        <v>45</v>
      </c>
      <c r="AN122" s="42" t="s">
        <v>45</v>
      </c>
      <c r="AO122" s="43" t="s">
        <v>45</v>
      </c>
      <c r="AP122" s="42" t="s">
        <v>48</v>
      </c>
      <c r="AQ122" s="42">
        <v>3</v>
      </c>
      <c r="AR122" s="50" t="s">
        <v>353</v>
      </c>
      <c r="AS122" s="45" t="s">
        <v>45</v>
      </c>
      <c r="AT122" s="45" t="s">
        <v>47</v>
      </c>
      <c r="AU122" s="46">
        <f>($O$3*(L122-$O$1)/$O$2+$P$3*(M122-$P$1)/$P$2+$Q$3*(N122-$P$1)/$Q$2)/SUM($O$3:$Q$3)</f>
        <v>-1.8743493064650851</v>
      </c>
      <c r="AV122" s="46">
        <f>($O$3*(O122-$O$1)/$O$2+$P$3*(P122-$P$1)/$P$2+$Q$3*(Q122-$Q$1)/$Q$2)/SUM($O$3:$Q$3)</f>
        <v>-0.60246001614638267</v>
      </c>
      <c r="AW122" s="47">
        <f>COUNT(R122:AO122)/2</f>
        <v>4</v>
      </c>
      <c r="AX122" s="47">
        <f>IF(AND(S122&lt;&gt;"-",S122&gt;5),1,0)+IF(AND(U122&lt;&gt;"-",U122&gt;5),1,0)+IF(AND(W122&lt;&gt;"-",W122&gt;5),1,0)+IF(AND(Y122&lt;&gt;"-",Y122&gt;5),1,0)+IF(AND(AA122&lt;&gt;"-",AA122&gt;5),1,0)+IF(AND(AC122&lt;&gt;"-",AC122&gt;5),1,0)+IF(AND(AE122&lt;&gt;"-",AE122&gt;5),1,0)+IF(AND(AG122&lt;&gt;"-",AG122&gt;5),1,0)+IF(AND(AI122&lt;&gt;"-",AI122&gt;5),1,0)+IF(AND(AK122&lt;&gt;"-",AK122&gt;5),1,0)+IF(AND(AM122&lt;&gt;"-",AM122&gt;5),1,0)+IF(AND(AO122&lt;&gt;"-",AO122&gt;5),1,0)</f>
        <v>3</v>
      </c>
      <c r="AY122" s="48">
        <f>VLOOKUP(AP122,COND!$A$10:$B$32,2,FALSE)</f>
        <v>1.05</v>
      </c>
      <c r="AZ122" s="46">
        <f>($AU$3*AU122+$AV$3*AV122+$AW$3*AW122+$AX$3*AX122)*AY122*IF(AQ122&lt;5,0.95,IF(AQ122&lt;7,0.975,1))+$I$3*VLOOKUP(I122,COND!$A$2:$E$7,4,FALSE)+$J$3*VLOOKUP(J122,COND!$A$2:$E$7,2,FALSE)+$K$3*VLOOKUP(K122,COND!$A$2:$E$7,3,FALSE)+IF(BB122="SP",$BB$3,0)+IF($AW122&lt;3,-5,0)+IF(AND($B$2&gt;0,$E122&lt;20),$B$2*25,0)</f>
        <v>38.642614991239881</v>
      </c>
      <c r="BA122" s="49">
        <f>STANDARDIZE(AZ122,AVERAGE($AZ$5:$AZ$570),STDEVP($AZ$5:$AZ$570))</f>
        <v>0.54292269554741779</v>
      </c>
      <c r="BB122" s="47" t="str">
        <f>IF(OR(AND(AQ122&gt;7,AX122&gt;1),AND(AQ122&gt;4,AW122&gt;2)),"SP","RP")</f>
        <v>RP</v>
      </c>
      <c r="BC122" s="47"/>
      <c r="BD122" s="47"/>
      <c r="BE122" s="47"/>
      <c r="BF122" s="47" t="str">
        <f>IF(AVERAGE($O122:$Q122)&gt;=6,"Likely",IF(AVERAGE($O122:$Q122)&gt;=4,"Possible","Unlikely"))</f>
        <v>Unlikely</v>
      </c>
      <c r="BG122" s="47"/>
      <c r="BH122" s="47" t="str">
        <f>INDEX(Table5[[#All],[Ovr]],MATCH(Table3[[#This Row],[PID]],Table5[[#All],[PID]],0))</f>
        <v/>
      </c>
      <c r="BI122" s="47" t="str">
        <f>INDEX(Table5[[#All],[Rnd]],MATCH(Table3[[#This Row],[PID]],Table5[[#All],[PID]],0))</f>
        <v/>
      </c>
      <c r="BJ122" s="47" t="str">
        <f>INDEX(Table5[[#All],[Pick]],MATCH(Table3[[#This Row],[PID]],Table5[[#All],[PID]],0))</f>
        <v/>
      </c>
      <c r="BK122" s="47" t="str">
        <f>INDEX(Table5[[#All],[Team]],MATCH(Table3[[#This Row],[PID]],Table5[[#All],[PID]],0))</f>
        <v/>
      </c>
      <c r="BL1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3" spans="1:64" ht="15" customHeight="1" x14ac:dyDescent="0.25">
      <c r="A123" s="42">
        <v>6044</v>
      </c>
      <c r="B123" s="42" t="s">
        <v>430</v>
      </c>
      <c r="C123" s="42" t="s">
        <v>386</v>
      </c>
      <c r="D123" s="42" t="s">
        <v>1506</v>
      </c>
      <c r="E123" s="42">
        <v>18</v>
      </c>
      <c r="F123" s="42" t="s">
        <v>42</v>
      </c>
      <c r="G123" s="42" t="s">
        <v>42</v>
      </c>
      <c r="H123" s="43" t="s">
        <v>721</v>
      </c>
      <c r="I123" s="44" t="s">
        <v>43</v>
      </c>
      <c r="J123" s="42" t="s">
        <v>47</v>
      </c>
      <c r="K123" s="43" t="s">
        <v>43</v>
      </c>
      <c r="L123" s="42">
        <v>1</v>
      </c>
      <c r="M123" s="42">
        <v>2</v>
      </c>
      <c r="N123" s="43">
        <v>1</v>
      </c>
      <c r="O123" s="42">
        <v>5</v>
      </c>
      <c r="P123" s="42">
        <v>2</v>
      </c>
      <c r="Q123" s="43">
        <v>3</v>
      </c>
      <c r="R123" s="42">
        <v>3</v>
      </c>
      <c r="S123" s="42">
        <v>5</v>
      </c>
      <c r="T123" s="42">
        <v>1</v>
      </c>
      <c r="U123" s="42">
        <v>1</v>
      </c>
      <c r="V123" s="42">
        <v>2</v>
      </c>
      <c r="W123" s="42">
        <v>8</v>
      </c>
      <c r="X123" s="42" t="s">
        <v>45</v>
      </c>
      <c r="Y123" s="42" t="s">
        <v>45</v>
      </c>
      <c r="Z123" s="42" t="s">
        <v>45</v>
      </c>
      <c r="AA123" s="42" t="s">
        <v>45</v>
      </c>
      <c r="AB123" s="42" t="s">
        <v>45</v>
      </c>
      <c r="AC123" s="42" t="s">
        <v>45</v>
      </c>
      <c r="AD123" s="42" t="s">
        <v>45</v>
      </c>
      <c r="AE123" s="42" t="s">
        <v>45</v>
      </c>
      <c r="AF123" s="42" t="s">
        <v>45</v>
      </c>
      <c r="AG123" s="42" t="s">
        <v>45</v>
      </c>
      <c r="AH123" s="42" t="s">
        <v>45</v>
      </c>
      <c r="AI123" s="42" t="s">
        <v>45</v>
      </c>
      <c r="AJ123" s="42" t="s">
        <v>45</v>
      </c>
      <c r="AK123" s="42" t="s">
        <v>45</v>
      </c>
      <c r="AL123" s="42" t="s">
        <v>45</v>
      </c>
      <c r="AM123" s="42" t="s">
        <v>45</v>
      </c>
      <c r="AN123" s="42" t="s">
        <v>45</v>
      </c>
      <c r="AO123" s="43" t="s">
        <v>45</v>
      </c>
      <c r="AP123" s="42" t="s">
        <v>355</v>
      </c>
      <c r="AQ123" s="42">
        <v>7</v>
      </c>
      <c r="AR123" s="50" t="s">
        <v>353</v>
      </c>
      <c r="AS123" s="45" t="s">
        <v>718</v>
      </c>
      <c r="AT123" s="45" t="s">
        <v>47</v>
      </c>
      <c r="AU123" s="46">
        <f>($O$3*(L123-$O$1)/$O$2+$P$3*(M123-$P$1)/$P$2+$Q$3*(N123-$P$1)/$Q$2)/SUM($O$3:$Q$3)</f>
        <v>-2.5060525215375429</v>
      </c>
      <c r="AV123" s="46">
        <f>($O$3*(O123-$O$1)/$O$2+$P$3*(P123-$P$1)/$P$2+$Q$3*(Q123-$Q$1)/$Q$2)/SUM($O$3:$Q$3)</f>
        <v>-0.79715134065555615</v>
      </c>
      <c r="AW123" s="47">
        <f>COUNT(R123:AO123)/2</f>
        <v>3</v>
      </c>
      <c r="AX123" s="47">
        <f>IF(AND(S123&lt;&gt;"-",S123&gt;5),1,0)+IF(AND(U123&lt;&gt;"-",U123&gt;5),1,0)+IF(AND(W123&lt;&gt;"-",W123&gt;5),1,0)+IF(AND(Y123&lt;&gt;"-",Y123&gt;5),1,0)+IF(AND(AA123&lt;&gt;"-",AA123&gt;5),1,0)+IF(AND(AC123&lt;&gt;"-",AC123&gt;5),1,0)+IF(AND(AE123&lt;&gt;"-",AE123&gt;5),1,0)+IF(AND(AG123&lt;&gt;"-",AG123&gt;5),1,0)+IF(AND(AI123&lt;&gt;"-",AI123&gt;5),1,0)+IF(AND(AK123&lt;&gt;"-",AK123&gt;5),1,0)+IF(AND(AM123&lt;&gt;"-",AM123&gt;5),1,0)+IF(AND(AO123&lt;&gt;"-",AO123&gt;5),1,0)</f>
        <v>1</v>
      </c>
      <c r="AY123" s="48">
        <f>VLOOKUP(AP123,COND!$A$10:$B$32,2,FALSE)</f>
        <v>1</v>
      </c>
      <c r="AZ123" s="46">
        <f>($AU$3*AU123+$AV$3*AV123+$AW$3*AW123+$AX$3*AX123)*AY123*IF(AQ123&lt;5,0.95,IF(AQ123&lt;7,0.975,1))+$I$3*VLOOKUP(I123,COND!$A$2:$E$7,4,FALSE)+$J$3*VLOOKUP(J123,COND!$A$2:$E$7,2,FALSE)+$K$3*VLOOKUP(K123,COND!$A$2:$E$7,3,FALSE)+IF(BB123="SP",$BB$3,0)+IF($AW123&lt;3,-5,0)+IF(AND($B$2&gt;0,$E123&lt;20),$B$2*25,0)</f>
        <v>38.605762682581371</v>
      </c>
      <c r="BA123" s="49">
        <f>STANDARDIZE(AZ123,AVERAGE($AZ$5:$AZ$570),STDEVP($AZ$5:$AZ$570))</f>
        <v>0.53954318133335488</v>
      </c>
      <c r="BB123" s="47" t="str">
        <f>IF(OR(AND(AQ123&gt;7,AX123&gt;1),AND(AQ123&gt;4,AW123&gt;2)),"SP","RP")</f>
        <v>SP</v>
      </c>
      <c r="BC123" s="47"/>
      <c r="BD123" s="47"/>
      <c r="BE123" s="47"/>
      <c r="BF123" s="47" t="str">
        <f>IF(AVERAGE($O123:$Q123)&gt;=6,"Likely",IF(AVERAGE($O123:$Q123)&gt;=4,"Possible","Unlikely"))</f>
        <v>Unlikely</v>
      </c>
      <c r="BG123" s="47"/>
      <c r="BH123" s="47" t="str">
        <f>INDEX(Table5[[#All],[Ovr]],MATCH(Table3[[#This Row],[PID]],Table5[[#All],[PID]],0))</f>
        <v/>
      </c>
      <c r="BI123" s="47" t="str">
        <f>INDEX(Table5[[#All],[Rnd]],MATCH(Table3[[#This Row],[PID]],Table5[[#All],[PID]],0))</f>
        <v/>
      </c>
      <c r="BJ123" s="47" t="str">
        <f>INDEX(Table5[[#All],[Pick]],MATCH(Table3[[#This Row],[PID]],Table5[[#All],[PID]],0))</f>
        <v/>
      </c>
      <c r="BK123" s="47" t="str">
        <f>INDEX(Table5[[#All],[Team]],MATCH(Table3[[#This Row],[PID]],Table5[[#All],[PID]],0))</f>
        <v/>
      </c>
      <c r="BL1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4" spans="1:64" ht="15" customHeight="1" x14ac:dyDescent="0.25">
      <c r="A124" s="42">
        <v>14633</v>
      </c>
      <c r="B124" s="42" t="s">
        <v>430</v>
      </c>
      <c r="C124" s="42" t="s">
        <v>141</v>
      </c>
      <c r="D124" s="42" t="s">
        <v>744</v>
      </c>
      <c r="E124" s="42">
        <v>18</v>
      </c>
      <c r="F124" s="42" t="s">
        <v>53</v>
      </c>
      <c r="G124" s="42" t="s">
        <v>53</v>
      </c>
      <c r="H124" s="43" t="s">
        <v>721</v>
      </c>
      <c r="I124" s="44" t="s">
        <v>44</v>
      </c>
      <c r="J124" s="42" t="s">
        <v>43</v>
      </c>
      <c r="K124" s="43" t="s">
        <v>43</v>
      </c>
      <c r="L124" s="42">
        <v>2</v>
      </c>
      <c r="M124" s="42">
        <v>2</v>
      </c>
      <c r="N124" s="43">
        <v>1</v>
      </c>
      <c r="O124" s="42">
        <v>5</v>
      </c>
      <c r="P124" s="42">
        <v>5</v>
      </c>
      <c r="Q124" s="43">
        <v>2</v>
      </c>
      <c r="R124" s="42">
        <v>3</v>
      </c>
      <c r="S124" s="42">
        <v>6</v>
      </c>
      <c r="T124" s="42" t="s">
        <v>45</v>
      </c>
      <c r="U124" s="42" t="s">
        <v>45</v>
      </c>
      <c r="V124" s="42" t="s">
        <v>45</v>
      </c>
      <c r="W124" s="42" t="s">
        <v>45</v>
      </c>
      <c r="X124" s="42">
        <v>2</v>
      </c>
      <c r="Y124" s="42">
        <v>7</v>
      </c>
      <c r="Z124" s="42" t="s">
        <v>45</v>
      </c>
      <c r="AA124" s="42" t="s">
        <v>45</v>
      </c>
      <c r="AB124" s="42" t="s">
        <v>45</v>
      </c>
      <c r="AC124" s="42" t="s">
        <v>45</v>
      </c>
      <c r="AD124" s="42" t="s">
        <v>45</v>
      </c>
      <c r="AE124" s="42" t="s">
        <v>45</v>
      </c>
      <c r="AF124" s="42" t="s">
        <v>45</v>
      </c>
      <c r="AG124" s="42" t="s">
        <v>45</v>
      </c>
      <c r="AH124" s="42" t="s">
        <v>45</v>
      </c>
      <c r="AI124" s="42" t="s">
        <v>45</v>
      </c>
      <c r="AJ124" s="42" t="s">
        <v>45</v>
      </c>
      <c r="AK124" s="42" t="s">
        <v>45</v>
      </c>
      <c r="AL124" s="42" t="s">
        <v>45</v>
      </c>
      <c r="AM124" s="42" t="s">
        <v>45</v>
      </c>
      <c r="AN124" s="42" t="s">
        <v>45</v>
      </c>
      <c r="AO124" s="43" t="s">
        <v>45</v>
      </c>
      <c r="AP124" s="42" t="s">
        <v>64</v>
      </c>
      <c r="AQ124" s="42">
        <v>5</v>
      </c>
      <c r="AR124" s="50" t="s">
        <v>353</v>
      </c>
      <c r="AS124" s="45" t="s">
        <v>615</v>
      </c>
      <c r="AT124" s="45" t="s">
        <v>47</v>
      </c>
      <c r="AU124" s="46">
        <f>($O$3*(L124-$O$1)/$O$2+$P$3*(M124-$P$1)/$P$2+$Q$3*(N124-$P$1)/$Q$2)/SUM($O$3:$Q$3)</f>
        <v>-2.311361197028369</v>
      </c>
      <c r="AV124" s="46">
        <f>($O$3*(O124-$O$1)/$O$2+$P$3*(P124-$P$1)/$P$2+$Q$3*(Q124-$Q$1)/$Q$2)/SUM($O$3:$Q$3)</f>
        <v>-0.45317675741950025</v>
      </c>
      <c r="AW124" s="47">
        <f>COUNT(R124:AO124)/2</f>
        <v>2</v>
      </c>
      <c r="AX124" s="47">
        <f>IF(AND(S124&lt;&gt;"-",S124&gt;5),1,0)+IF(AND(U124&lt;&gt;"-",U124&gt;5),1,0)+IF(AND(W124&lt;&gt;"-",W124&gt;5),1,0)+IF(AND(Y124&lt;&gt;"-",Y124&gt;5),1,0)+IF(AND(AA124&lt;&gt;"-",AA124&gt;5),1,0)+IF(AND(AC124&lt;&gt;"-",AC124&gt;5),1,0)+IF(AND(AE124&lt;&gt;"-",AE124&gt;5),1,0)+IF(AND(AG124&lt;&gt;"-",AG124&gt;5),1,0)+IF(AND(AI124&lt;&gt;"-",AI124&gt;5),1,0)+IF(AND(AK124&lt;&gt;"-",AK124&gt;5),1,0)+IF(AND(AM124&lt;&gt;"-",AM124&gt;5),1,0)+IF(AND(AO124&lt;&gt;"-",AO124&gt;5),1,0)</f>
        <v>2</v>
      </c>
      <c r="AY124" s="48">
        <f>VLOOKUP(AP124,COND!$A$10:$B$32,2,FALSE)</f>
        <v>1</v>
      </c>
      <c r="AZ124" s="46">
        <f>($AU$3*AU124+$AV$3*AV124+$AW$3*AW124+$AX$3*AX124)*AY124*IF(AQ124&lt;5,0.95,IF(AQ124&lt;7,0.975,1))+$I$3*VLOOKUP(I124,COND!$A$2:$E$7,4,FALSE)+$J$3*VLOOKUP(J124,COND!$A$2:$E$7,2,FALSE)+$K$3*VLOOKUP(K124,COND!$A$2:$E$7,3,FALSE)+IF(BB124="SP",$BB$3,0)+IF($AW124&lt;3,-5,0)+IF(AND($B$2&gt;0,$E124&lt;20),$B$2*25,0)</f>
        <v>38.974837796899209</v>
      </c>
      <c r="BA124" s="49">
        <f>STANDARDIZE(AZ124,AVERAGE($AZ$5:$AZ$570),STDEVP($AZ$5:$AZ$570))</f>
        <v>0.57338894677649277</v>
      </c>
      <c r="BB124" s="47" t="str">
        <f>IF(OR(AND(AQ124&gt;7,AX124&gt;1),AND(AQ124&gt;4,AW124&gt;2)),"SP","RP")</f>
        <v>RP</v>
      </c>
      <c r="BC124" s="47"/>
      <c r="BD124" s="47"/>
      <c r="BE124" s="47"/>
      <c r="BF124" s="47" t="str">
        <f>IF(AVERAGE($O124:$Q124)&gt;=6,"Likely",IF(AVERAGE($O124:$Q124)&gt;=4,"Possible","Unlikely"))</f>
        <v>Possible</v>
      </c>
      <c r="BG124" s="47"/>
      <c r="BH124" s="47" t="str">
        <f>INDEX(Table5[[#All],[Ovr]],MATCH(Table3[[#This Row],[PID]],Table5[[#All],[PID]],0))</f>
        <v/>
      </c>
      <c r="BI124" s="47" t="str">
        <f>INDEX(Table5[[#All],[Rnd]],MATCH(Table3[[#This Row],[PID]],Table5[[#All],[PID]],0))</f>
        <v/>
      </c>
      <c r="BJ124" s="47" t="str">
        <f>INDEX(Table5[[#All],[Pick]],MATCH(Table3[[#This Row],[PID]],Table5[[#All],[PID]],0))</f>
        <v/>
      </c>
      <c r="BK124" s="47" t="str">
        <f>INDEX(Table5[[#All],[Team]],MATCH(Table3[[#This Row],[PID]],Table5[[#All],[PID]],0))</f>
        <v/>
      </c>
      <c r="BL1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5" spans="1:64" ht="15" customHeight="1" x14ac:dyDescent="0.25">
      <c r="A125" s="42">
        <v>11821</v>
      </c>
      <c r="B125" s="42" t="s">
        <v>24</v>
      </c>
      <c r="C125" s="42" t="s">
        <v>1465</v>
      </c>
      <c r="D125" s="42" t="s">
        <v>1466</v>
      </c>
      <c r="E125" s="42">
        <v>20</v>
      </c>
      <c r="F125" s="42" t="s">
        <v>42</v>
      </c>
      <c r="G125" s="42" t="s">
        <v>42</v>
      </c>
      <c r="H125" s="43" t="s">
        <v>721</v>
      </c>
      <c r="I125" s="44" t="s">
        <v>44</v>
      </c>
      <c r="J125" s="42" t="s">
        <v>43</v>
      </c>
      <c r="K125" s="43" t="s">
        <v>44</v>
      </c>
      <c r="L125" s="42">
        <v>4</v>
      </c>
      <c r="M125" s="42">
        <v>2</v>
      </c>
      <c r="N125" s="43">
        <v>2</v>
      </c>
      <c r="O125" s="42">
        <v>6</v>
      </c>
      <c r="P125" s="42">
        <v>2</v>
      </c>
      <c r="Q125" s="43">
        <v>3</v>
      </c>
      <c r="R125" s="42">
        <v>6</v>
      </c>
      <c r="S125" s="42">
        <v>7</v>
      </c>
      <c r="T125" s="42">
        <v>1</v>
      </c>
      <c r="U125" s="42">
        <v>3</v>
      </c>
      <c r="V125" s="42" t="s">
        <v>45</v>
      </c>
      <c r="W125" s="42" t="s">
        <v>45</v>
      </c>
      <c r="X125" s="42">
        <v>3</v>
      </c>
      <c r="Y125" s="42">
        <v>6</v>
      </c>
      <c r="Z125" s="42" t="s">
        <v>45</v>
      </c>
      <c r="AA125" s="42" t="s">
        <v>45</v>
      </c>
      <c r="AB125" s="42">
        <v>4</v>
      </c>
      <c r="AC125" s="42">
        <v>6</v>
      </c>
      <c r="AD125" s="42" t="s">
        <v>45</v>
      </c>
      <c r="AE125" s="42" t="s">
        <v>45</v>
      </c>
      <c r="AF125" s="42" t="s">
        <v>45</v>
      </c>
      <c r="AG125" s="42" t="s">
        <v>45</v>
      </c>
      <c r="AH125" s="42" t="s">
        <v>45</v>
      </c>
      <c r="AI125" s="42" t="s">
        <v>45</v>
      </c>
      <c r="AJ125" s="42" t="s">
        <v>45</v>
      </c>
      <c r="AK125" s="42" t="s">
        <v>45</v>
      </c>
      <c r="AL125" s="42" t="s">
        <v>45</v>
      </c>
      <c r="AM125" s="42" t="s">
        <v>45</v>
      </c>
      <c r="AN125" s="42" t="s">
        <v>45</v>
      </c>
      <c r="AO125" s="43" t="s">
        <v>45</v>
      </c>
      <c r="AP125" s="42" t="s">
        <v>46</v>
      </c>
      <c r="AQ125" s="42">
        <v>7</v>
      </c>
      <c r="AR125" s="50" t="s">
        <v>353</v>
      </c>
      <c r="AS125" s="45" t="s">
        <v>45</v>
      </c>
      <c r="AT125" s="45" t="s">
        <v>47</v>
      </c>
      <c r="AU125" s="46">
        <f>($O$3*(L125-$O$1)/$O$2+$P$3*(M125-$P$1)/$P$2+$Q$3*(N125-$P$1)/$Q$2)/SUM($O$3:$Q$3)</f>
        <v>-1.6796579819559116</v>
      </c>
      <c r="AV125" s="46">
        <f>($O$3*(O125-$O$1)/$O$2+$P$3*(P125-$P$1)/$P$2+$Q$3*(Q125-$Q$1)/$Q$2)/SUM($O$3:$Q$3)</f>
        <v>-0.60246001614638267</v>
      </c>
      <c r="AW125" s="47">
        <f>COUNT(R125:AO125)/2</f>
        <v>4</v>
      </c>
      <c r="AX125" s="47">
        <f>IF(AND(S125&lt;&gt;"-",S125&gt;5),1,0)+IF(AND(U125&lt;&gt;"-",U125&gt;5),1,0)+IF(AND(W125&lt;&gt;"-",W125&gt;5),1,0)+IF(AND(Y125&lt;&gt;"-",Y125&gt;5),1,0)+IF(AND(AA125&lt;&gt;"-",AA125&gt;5),1,0)+IF(AND(AC125&lt;&gt;"-",AC125&gt;5),1,0)+IF(AND(AE125&lt;&gt;"-",AE125&gt;5),1,0)+IF(AND(AG125&lt;&gt;"-",AG125&gt;5),1,0)+IF(AND(AI125&lt;&gt;"-",AI125&gt;5),1,0)+IF(AND(AK125&lt;&gt;"-",AK125&gt;5),1,0)+IF(AND(AM125&lt;&gt;"-",AM125&gt;5),1,0)+IF(AND(AO125&lt;&gt;"-",AO125&gt;5),1,0)</f>
        <v>3</v>
      </c>
      <c r="AY125" s="48">
        <f>VLOOKUP(AP125,COND!$A$10:$B$32,2,FALSE)</f>
        <v>1.05</v>
      </c>
      <c r="AZ125" s="46">
        <f>($AU$3*AU125+$AV$3*AV125+$AW$3*AW125+$AX$3*AX125)*AY125*IF(AQ125&lt;5,0.95,IF(AQ125&lt;7,0.975,1))+$I$3*VLOOKUP(I125,COND!$A$2:$E$7,4,FALSE)+$J$3*VLOOKUP(J125,COND!$A$2:$E$7,2,FALSE)+$K$3*VLOOKUP(K125,COND!$A$2:$E$7,3,FALSE)+IF(BB125="SP",$BB$3,0)+IF($AW125&lt;3,-5,0)+IF(AND($B$2&gt;0,$E125&lt;20),$B$2*25,0)</f>
        <v>39.583111484715218</v>
      </c>
      <c r="BA125" s="49">
        <f>STANDARDIZE(AZ125,AVERAGE($AZ$5:$AZ$570),STDEVP($AZ$5:$AZ$570))</f>
        <v>0.62917024376560304</v>
      </c>
      <c r="BB125" s="47" t="str">
        <f>IF(OR(AND(AQ125&gt;7,AX125&gt;1),AND(AQ125&gt;4,AW125&gt;2)),"SP","RP")</f>
        <v>SP</v>
      </c>
      <c r="BC125" s="47"/>
      <c r="BD125" s="47"/>
      <c r="BE125" s="47"/>
      <c r="BF125" s="47" t="str">
        <f>IF(AVERAGE($O125:$Q125)&gt;=6,"Likely",IF(AVERAGE($O125:$Q125)&gt;=4,"Possible","Unlikely"))</f>
        <v>Unlikely</v>
      </c>
      <c r="BG125" s="47"/>
      <c r="BH125" s="47" t="str">
        <f>INDEX(Table5[[#All],[Ovr]],MATCH(Table3[[#This Row],[PID]],Table5[[#All],[PID]],0))</f>
        <v/>
      </c>
      <c r="BI125" s="47" t="str">
        <f>INDEX(Table5[[#All],[Rnd]],MATCH(Table3[[#This Row],[PID]],Table5[[#All],[PID]],0))</f>
        <v/>
      </c>
      <c r="BJ125" s="47" t="str">
        <f>INDEX(Table5[[#All],[Pick]],MATCH(Table3[[#This Row],[PID]],Table5[[#All],[PID]],0))</f>
        <v/>
      </c>
      <c r="BK125" s="47" t="str">
        <f>INDEX(Table5[[#All],[Team]],MATCH(Table3[[#This Row],[PID]],Table5[[#All],[PID]],0))</f>
        <v/>
      </c>
      <c r="BL1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6" spans="1:64" ht="15" customHeight="1" x14ac:dyDescent="0.25">
      <c r="A126" s="42">
        <v>13899</v>
      </c>
      <c r="B126" s="42" t="s">
        <v>430</v>
      </c>
      <c r="C126" s="42" t="s">
        <v>1515</v>
      </c>
      <c r="D126" s="42" t="s">
        <v>554</v>
      </c>
      <c r="E126" s="42">
        <v>18</v>
      </c>
      <c r="F126" s="42" t="s">
        <v>62</v>
      </c>
      <c r="G126" s="42" t="s">
        <v>42</v>
      </c>
      <c r="H126" s="43" t="s">
        <v>721</v>
      </c>
      <c r="I126" s="44" t="s">
        <v>44</v>
      </c>
      <c r="J126" s="42" t="s">
        <v>44</v>
      </c>
      <c r="K126" s="43" t="s">
        <v>43</v>
      </c>
      <c r="L126" s="42">
        <v>2</v>
      </c>
      <c r="M126" s="42">
        <v>2</v>
      </c>
      <c r="N126" s="43">
        <v>1</v>
      </c>
      <c r="O126" s="42">
        <v>5</v>
      </c>
      <c r="P126" s="42">
        <v>2</v>
      </c>
      <c r="Q126" s="43">
        <v>3</v>
      </c>
      <c r="R126" s="42">
        <v>4</v>
      </c>
      <c r="S126" s="42">
        <v>6</v>
      </c>
      <c r="T126" s="42">
        <v>1</v>
      </c>
      <c r="U126" s="42">
        <v>1</v>
      </c>
      <c r="V126" s="42" t="s">
        <v>45</v>
      </c>
      <c r="W126" s="42" t="s">
        <v>45</v>
      </c>
      <c r="X126" s="42">
        <v>2</v>
      </c>
      <c r="Y126" s="42">
        <v>7</v>
      </c>
      <c r="Z126" s="42" t="s">
        <v>45</v>
      </c>
      <c r="AA126" s="42" t="s">
        <v>45</v>
      </c>
      <c r="AB126" s="42" t="s">
        <v>45</v>
      </c>
      <c r="AC126" s="42" t="s">
        <v>45</v>
      </c>
      <c r="AD126" s="42" t="s">
        <v>45</v>
      </c>
      <c r="AE126" s="42" t="s">
        <v>45</v>
      </c>
      <c r="AF126" s="42" t="s">
        <v>45</v>
      </c>
      <c r="AG126" s="42" t="s">
        <v>45</v>
      </c>
      <c r="AH126" s="42" t="s">
        <v>45</v>
      </c>
      <c r="AI126" s="42" t="s">
        <v>45</v>
      </c>
      <c r="AJ126" s="42" t="s">
        <v>45</v>
      </c>
      <c r="AK126" s="42" t="s">
        <v>45</v>
      </c>
      <c r="AL126" s="42" t="s">
        <v>45</v>
      </c>
      <c r="AM126" s="42" t="s">
        <v>45</v>
      </c>
      <c r="AN126" s="42" t="s">
        <v>45</v>
      </c>
      <c r="AO126" s="43" t="s">
        <v>45</v>
      </c>
      <c r="AP126" s="42" t="s">
        <v>57</v>
      </c>
      <c r="AQ126" s="42">
        <v>6</v>
      </c>
      <c r="AR126" s="50" t="s">
        <v>353</v>
      </c>
      <c r="AS126" s="45" t="s">
        <v>718</v>
      </c>
      <c r="AT126" s="45" t="s">
        <v>47</v>
      </c>
      <c r="AU126" s="46">
        <f>($O$3*(L126-$O$1)/$O$2+$P$3*(M126-$P$1)/$P$2+$Q$3*(N126-$P$1)/$Q$2)/SUM($O$3:$Q$3)</f>
        <v>-2.311361197028369</v>
      </c>
      <c r="AV126" s="46">
        <f>($O$3*(O126-$O$1)/$O$2+$P$3*(P126-$P$1)/$P$2+$Q$3*(Q126-$Q$1)/$Q$2)/SUM($O$3:$Q$3)</f>
        <v>-0.79715134065555615</v>
      </c>
      <c r="AW126" s="47">
        <f>COUNT(R126:AO126)/2</f>
        <v>3</v>
      </c>
      <c r="AX126" s="47">
        <f>IF(AND(S126&lt;&gt;"-",S126&gt;5),1,0)+IF(AND(U126&lt;&gt;"-",U126&gt;5),1,0)+IF(AND(W126&lt;&gt;"-",W126&gt;5),1,0)+IF(AND(Y126&lt;&gt;"-",Y126&gt;5),1,0)+IF(AND(AA126&lt;&gt;"-",AA126&gt;5),1,0)+IF(AND(AC126&lt;&gt;"-",AC126&gt;5),1,0)+IF(AND(AE126&lt;&gt;"-",AE126&gt;5),1,0)+IF(AND(AG126&lt;&gt;"-",AG126&gt;5),1,0)+IF(AND(AI126&lt;&gt;"-",AI126&gt;5),1,0)+IF(AND(AK126&lt;&gt;"-",AK126&gt;5),1,0)+IF(AND(AM126&lt;&gt;"-",AM126&gt;5),1,0)+IF(AND(AO126&lt;&gt;"-",AO126&gt;5),1,0)</f>
        <v>2</v>
      </c>
      <c r="AY126" s="48">
        <f>VLOOKUP(AP126,COND!$A$10:$B$32,2,FALSE)</f>
        <v>1</v>
      </c>
      <c r="AZ126" s="46">
        <f>($AU$3*AU126+$AV$3*AV126+$AW$3*AW126+$AX$3*AX126)*AY126*IF(AQ126&lt;5,0.95,IF(AQ126&lt;7,0.975,1))+$I$3*VLOOKUP(I126,COND!$A$2:$E$7,4,FALSE)+$J$3*VLOOKUP(J126,COND!$A$2:$E$7,2,FALSE)+$K$3*VLOOKUP(K126,COND!$A$2:$E$7,3,FALSE)+IF(BB126="SP",$BB$3,0)+IF($AW126&lt;3,-5,0)+IF(AND($B$2&gt;0,$E126&lt;20),$B$2*25,0)</f>
        <v>39.454833423796124</v>
      </c>
      <c r="BA126" s="49">
        <f>STANDARDIZE(AZ126,AVERAGE($AZ$5:$AZ$570),STDEVP($AZ$5:$AZ$570))</f>
        <v>0.61740659730736669</v>
      </c>
      <c r="BB126" s="47" t="str">
        <f>IF(OR(AND(AQ126&gt;7,AX126&gt;1),AND(AQ126&gt;4,AW126&gt;2)),"SP","RP")</f>
        <v>SP</v>
      </c>
      <c r="BC126" s="47"/>
      <c r="BD126" s="47"/>
      <c r="BE126" s="47"/>
      <c r="BF126" s="47" t="str">
        <f>IF(AVERAGE($O126:$Q126)&gt;=6,"Likely",IF(AVERAGE($O126:$Q126)&gt;=4,"Possible","Unlikely"))</f>
        <v>Unlikely</v>
      </c>
      <c r="BG126" s="47"/>
      <c r="BH126" s="47" t="str">
        <f>INDEX(Table5[[#All],[Ovr]],MATCH(Table3[[#This Row],[PID]],Table5[[#All],[PID]],0))</f>
        <v/>
      </c>
      <c r="BI126" s="47" t="str">
        <f>INDEX(Table5[[#All],[Rnd]],MATCH(Table3[[#This Row],[PID]],Table5[[#All],[PID]],0))</f>
        <v/>
      </c>
      <c r="BJ126" s="47" t="str">
        <f>INDEX(Table5[[#All],[Pick]],MATCH(Table3[[#This Row],[PID]],Table5[[#All],[PID]],0))</f>
        <v/>
      </c>
      <c r="BK126" s="47" t="str">
        <f>INDEX(Table5[[#All],[Team]],MATCH(Table3[[#This Row],[PID]],Table5[[#All],[PID]],0))</f>
        <v/>
      </c>
      <c r="BL1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7" spans="1:64" ht="15" customHeight="1" x14ac:dyDescent="0.25">
      <c r="A127" s="42">
        <v>8232</v>
      </c>
      <c r="B127" s="42" t="s">
        <v>430</v>
      </c>
      <c r="C127" s="42" t="s">
        <v>181</v>
      </c>
      <c r="D127" s="42" t="s">
        <v>830</v>
      </c>
      <c r="E127" s="42">
        <v>18</v>
      </c>
      <c r="F127" s="42" t="s">
        <v>53</v>
      </c>
      <c r="G127" s="42" t="s">
        <v>53</v>
      </c>
      <c r="H127" s="43" t="s">
        <v>721</v>
      </c>
      <c r="I127" s="44" t="s">
        <v>43</v>
      </c>
      <c r="J127" s="42" t="s">
        <v>43</v>
      </c>
      <c r="K127" s="43" t="s">
        <v>43</v>
      </c>
      <c r="L127" s="42">
        <v>3</v>
      </c>
      <c r="M127" s="42">
        <v>2</v>
      </c>
      <c r="N127" s="43">
        <v>1</v>
      </c>
      <c r="O127" s="42">
        <v>5</v>
      </c>
      <c r="P127" s="42">
        <v>3</v>
      </c>
      <c r="Q127" s="43">
        <v>2</v>
      </c>
      <c r="R127" s="42" t="s">
        <v>45</v>
      </c>
      <c r="S127" s="42" t="s">
        <v>45</v>
      </c>
      <c r="T127" s="42">
        <v>1</v>
      </c>
      <c r="U127" s="42">
        <v>2</v>
      </c>
      <c r="V127" s="42" t="s">
        <v>45</v>
      </c>
      <c r="W127" s="42" t="s">
        <v>45</v>
      </c>
      <c r="X127" s="42" t="s">
        <v>45</v>
      </c>
      <c r="Y127" s="42" t="s">
        <v>45</v>
      </c>
      <c r="Z127" s="42">
        <v>4</v>
      </c>
      <c r="AA127" s="42">
        <v>6</v>
      </c>
      <c r="AB127" s="42" t="s">
        <v>45</v>
      </c>
      <c r="AC127" s="42" t="s">
        <v>45</v>
      </c>
      <c r="AD127" s="42">
        <v>4</v>
      </c>
      <c r="AE127" s="42">
        <v>6</v>
      </c>
      <c r="AF127" s="42" t="s">
        <v>45</v>
      </c>
      <c r="AG127" s="42" t="s">
        <v>45</v>
      </c>
      <c r="AH127" s="42" t="s">
        <v>45</v>
      </c>
      <c r="AI127" s="42" t="s">
        <v>45</v>
      </c>
      <c r="AJ127" s="42" t="s">
        <v>45</v>
      </c>
      <c r="AK127" s="42" t="s">
        <v>45</v>
      </c>
      <c r="AL127" s="42" t="s">
        <v>45</v>
      </c>
      <c r="AM127" s="42" t="s">
        <v>45</v>
      </c>
      <c r="AN127" s="42" t="s">
        <v>45</v>
      </c>
      <c r="AO127" s="43" t="s">
        <v>45</v>
      </c>
      <c r="AP127" s="42" t="s">
        <v>60</v>
      </c>
      <c r="AQ127" s="42">
        <v>8</v>
      </c>
      <c r="AR127" s="50" t="s">
        <v>352</v>
      </c>
      <c r="AS127" s="45" t="s">
        <v>758</v>
      </c>
      <c r="AT127" s="45" t="s">
        <v>705</v>
      </c>
      <c r="AU127" s="46">
        <f>($O$3*(L127-$O$1)/$O$2+$P$3*(M127-$P$1)/$P$2+$Q$3*(N127-$P$1)/$Q$2)/SUM($O$3:$Q$3)</f>
        <v>-2.1166698725191955</v>
      </c>
      <c r="AV127" s="46">
        <f>($O$3*(O127-$O$1)/$O$2+$P$3*(P127-$P$1)/$P$2+$Q$3*(Q127-$Q$1)/$Q$2)/SUM($O$3:$Q$3)</f>
        <v>-0.84404019027961108</v>
      </c>
      <c r="AW127" s="47">
        <f>COUNT(R127:AO127)/2</f>
        <v>3</v>
      </c>
      <c r="AX127" s="47">
        <f>IF(AND(S127&lt;&gt;"-",S127&gt;5),1,0)+IF(AND(U127&lt;&gt;"-",U127&gt;5),1,0)+IF(AND(W127&lt;&gt;"-",W127&gt;5),1,0)+IF(AND(Y127&lt;&gt;"-",Y127&gt;5),1,0)+IF(AND(AA127&lt;&gt;"-",AA127&gt;5),1,0)+IF(AND(AC127&lt;&gt;"-",AC127&gt;5),1,0)+IF(AND(AE127&lt;&gt;"-",AE127&gt;5),1,0)+IF(AND(AG127&lt;&gt;"-",AG127&gt;5),1,0)+IF(AND(AI127&lt;&gt;"-",AI127&gt;5),1,0)+IF(AND(AK127&lt;&gt;"-",AK127&gt;5),1,0)+IF(AND(AM127&lt;&gt;"-",AM127&gt;5),1,0)+IF(AND(AO127&lt;&gt;"-",AO127&gt;5),1,0)</f>
        <v>2</v>
      </c>
      <c r="AY127" s="48">
        <f>VLOOKUP(AP127,COND!$A$10:$B$32,2,FALSE)</f>
        <v>1.0249999999999999</v>
      </c>
      <c r="AZ127" s="46">
        <f>($AU$3*AU127+$AV$3*AV127+$AW$3*AW127+$AX$3*AX127)*AY127*IF(AQ127&lt;5,0.95,IF(AQ127&lt;7,0.975,1))+$I$3*VLOOKUP(I127,COND!$A$2:$E$7,4,FALSE)+$J$3*VLOOKUP(J127,COND!$A$2:$E$7,2,FALSE)+$K$3*VLOOKUP(K127,COND!$A$2:$E$7,3,FALSE)+IF(BB127="SP",$BB$3,0)+IF($AW127&lt;3,-5,0)+IF(AND($B$2&gt;0,$E127&lt;20),$B$2*25,0)</f>
        <v>38.363258775401533</v>
      </c>
      <c r="BA127" s="49">
        <f>STANDARDIZE(AZ127,AVERAGE($AZ$5:$AZ$570),STDEVP($AZ$5:$AZ$570))</f>
        <v>0.51730453656148057</v>
      </c>
      <c r="BB127" s="47" t="str">
        <f>IF(OR(AND(AQ127&gt;7,AX127&gt;1),AND(AQ127&gt;4,AW127&gt;2)),"SP","RP")</f>
        <v>SP</v>
      </c>
      <c r="BC127" s="47"/>
      <c r="BD127" s="47"/>
      <c r="BE127" s="47"/>
      <c r="BF127" s="47" t="str">
        <f>IF(AVERAGE($O127:$Q127)&gt;=6,"Likely",IF(AVERAGE($O127:$Q127)&gt;=4,"Possible","Unlikely"))</f>
        <v>Unlikely</v>
      </c>
      <c r="BG127" s="47"/>
      <c r="BH127" s="47" t="str">
        <f>INDEX(Table5[[#All],[Ovr]],MATCH(Table3[[#This Row],[PID]],Table5[[#All],[PID]],0))</f>
        <v/>
      </c>
      <c r="BI127" s="47" t="str">
        <f>INDEX(Table5[[#All],[Rnd]],MATCH(Table3[[#This Row],[PID]],Table5[[#All],[PID]],0))</f>
        <v/>
      </c>
      <c r="BJ127" s="47" t="str">
        <f>INDEX(Table5[[#All],[Pick]],MATCH(Table3[[#This Row],[PID]],Table5[[#All],[PID]],0))</f>
        <v/>
      </c>
      <c r="BK127" s="47" t="str">
        <f>INDEX(Table5[[#All],[Team]],MATCH(Table3[[#This Row],[PID]],Table5[[#All],[PID]],0))</f>
        <v/>
      </c>
      <c r="BL1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8" spans="1:64" ht="15" customHeight="1" x14ac:dyDescent="0.25">
      <c r="A128" s="42">
        <v>9348</v>
      </c>
      <c r="B128" s="42" t="s">
        <v>430</v>
      </c>
      <c r="C128" s="42" t="s">
        <v>779</v>
      </c>
      <c r="D128" s="42" t="s">
        <v>1558</v>
      </c>
      <c r="E128" s="42">
        <v>21</v>
      </c>
      <c r="F128" s="42" t="s">
        <v>42</v>
      </c>
      <c r="G128" s="42" t="s">
        <v>42</v>
      </c>
      <c r="H128" s="43" t="s">
        <v>721</v>
      </c>
      <c r="I128" s="44" t="s">
        <v>43</v>
      </c>
      <c r="J128" s="42" t="s">
        <v>43</v>
      </c>
      <c r="K128" s="43" t="s">
        <v>43</v>
      </c>
      <c r="L128" s="42">
        <v>2</v>
      </c>
      <c r="M128" s="42">
        <v>2</v>
      </c>
      <c r="N128" s="43">
        <v>3</v>
      </c>
      <c r="O128" s="42">
        <v>5</v>
      </c>
      <c r="P128" s="42">
        <v>2</v>
      </c>
      <c r="Q128" s="43">
        <v>4</v>
      </c>
      <c r="R128" s="42">
        <v>4</v>
      </c>
      <c r="S128" s="42">
        <v>5</v>
      </c>
      <c r="T128" s="42">
        <v>3</v>
      </c>
      <c r="U128" s="42">
        <v>7</v>
      </c>
      <c r="V128" s="42">
        <v>2</v>
      </c>
      <c r="W128" s="42">
        <v>5</v>
      </c>
      <c r="X128" s="42" t="s">
        <v>45</v>
      </c>
      <c r="Y128" s="42" t="s">
        <v>45</v>
      </c>
      <c r="Z128" s="42" t="s">
        <v>45</v>
      </c>
      <c r="AA128" s="42" t="s">
        <v>45</v>
      </c>
      <c r="AB128" s="42" t="s">
        <v>45</v>
      </c>
      <c r="AC128" s="42" t="s">
        <v>45</v>
      </c>
      <c r="AD128" s="42" t="s">
        <v>45</v>
      </c>
      <c r="AE128" s="42" t="s">
        <v>45</v>
      </c>
      <c r="AF128" s="42" t="s">
        <v>45</v>
      </c>
      <c r="AG128" s="42" t="s">
        <v>45</v>
      </c>
      <c r="AH128" s="42" t="s">
        <v>45</v>
      </c>
      <c r="AI128" s="42" t="s">
        <v>45</v>
      </c>
      <c r="AJ128" s="42" t="s">
        <v>45</v>
      </c>
      <c r="AK128" s="42" t="s">
        <v>45</v>
      </c>
      <c r="AL128" s="42" t="s">
        <v>45</v>
      </c>
      <c r="AM128" s="42" t="s">
        <v>45</v>
      </c>
      <c r="AN128" s="42" t="s">
        <v>45</v>
      </c>
      <c r="AO128" s="43" t="s">
        <v>45</v>
      </c>
      <c r="AP128" s="42" t="s">
        <v>355</v>
      </c>
      <c r="AQ128" s="42">
        <v>8</v>
      </c>
      <c r="AR128" s="50" t="s">
        <v>353</v>
      </c>
      <c r="AS128" s="45" t="s">
        <v>45</v>
      </c>
      <c r="AT128" s="45" t="s">
        <v>47</v>
      </c>
      <c r="AU128" s="46">
        <f>($O$3*(L128-$O$1)/$O$2+$P$3*(M128-$P$1)/$P$2+$Q$3*(N128-$P$1)/$Q$2)/SUM($O$3:$Q$3)</f>
        <v>-1.8267200649201485</v>
      </c>
      <c r="AV128" s="46">
        <f>($O$3*(O128-$O$1)/$O$2+$P$3*(P128-$P$1)/$P$2+$Q$3*(Q128-$Q$1)/$Q$2)/SUM($O$3:$Q$3)</f>
        <v>-0.55483077460144581</v>
      </c>
      <c r="AW128" s="47">
        <f>COUNT(R128:AO128)/2</f>
        <v>3</v>
      </c>
      <c r="AX128" s="47">
        <f>IF(AND(S128&lt;&gt;"-",S128&gt;5),1,0)+IF(AND(U128&lt;&gt;"-",U128&gt;5),1,0)+IF(AND(W128&lt;&gt;"-",W128&gt;5),1,0)+IF(AND(Y128&lt;&gt;"-",Y128&gt;5),1,0)+IF(AND(AA128&lt;&gt;"-",AA128&gt;5),1,0)+IF(AND(AC128&lt;&gt;"-",AC128&gt;5),1,0)+IF(AND(AE128&lt;&gt;"-",AE128&gt;5),1,0)+IF(AND(AG128&lt;&gt;"-",AG128&gt;5),1,0)+IF(AND(AI128&lt;&gt;"-",AI128&gt;5),1,0)+IF(AND(AK128&lt;&gt;"-",AK128&gt;5),1,0)+IF(AND(AM128&lt;&gt;"-",AM128&gt;5),1,0)+IF(AND(AO128&lt;&gt;"-",AO128&gt;5),1,0)</f>
        <v>1</v>
      </c>
      <c r="AY128" s="48">
        <f>VLOOKUP(AP128,COND!$A$10:$B$32,2,FALSE)</f>
        <v>1</v>
      </c>
      <c r="AZ128" s="46">
        <f>($AU$3*AU128+$AV$3*AV128+$AW$3*AW128+$AX$3*AX128)*AY128*IF(AQ128&lt;5,0.95,IF(AQ128&lt;7,0.975,1))+$I$3*VLOOKUP(I128,COND!$A$2:$E$7,4,FALSE)+$J$3*VLOOKUP(J128,COND!$A$2:$E$7,2,FALSE)+$K$3*VLOOKUP(K128,COND!$A$2:$E$7,3,FALSE)+IF(BB128="SP",$BB$3,0)+IF($AW128&lt;3,-5,0)+IF(AND($B$2&gt;0,$E128&lt;20),$B$2*25,0)</f>
        <v>38.288040494987051</v>
      </c>
      <c r="BA128" s="49">
        <f>STANDARDIZE(AZ128,AVERAGE($AZ$5:$AZ$570),STDEVP($AZ$5:$AZ$570))</f>
        <v>0.51040669875778522</v>
      </c>
      <c r="BB128" s="47" t="str">
        <f>IF(OR(AND(AQ128&gt;7,AX128&gt;1),AND(AQ128&gt;4,AW128&gt;2)),"SP","RP")</f>
        <v>SP</v>
      </c>
      <c r="BC128" s="47"/>
      <c r="BD128" s="47"/>
      <c r="BE128" s="47"/>
      <c r="BF128" s="47" t="str">
        <f>IF(AVERAGE($O128:$Q128)&gt;=6,"Likely",IF(AVERAGE($O128:$Q128)&gt;=4,"Possible","Unlikely"))</f>
        <v>Unlikely</v>
      </c>
      <c r="BG128" s="47"/>
      <c r="BH128" s="47" t="str">
        <f>INDEX(Table5[[#All],[Ovr]],MATCH(Table3[[#This Row],[PID]],Table5[[#All],[PID]],0))</f>
        <v/>
      </c>
      <c r="BI128" s="47" t="str">
        <f>INDEX(Table5[[#All],[Rnd]],MATCH(Table3[[#This Row],[PID]],Table5[[#All],[PID]],0))</f>
        <v/>
      </c>
      <c r="BJ128" s="47" t="str">
        <f>INDEX(Table5[[#All],[Pick]],MATCH(Table3[[#This Row],[PID]],Table5[[#All],[PID]],0))</f>
        <v/>
      </c>
      <c r="BK128" s="47" t="str">
        <f>INDEX(Table5[[#All],[Team]],MATCH(Table3[[#This Row],[PID]],Table5[[#All],[PID]],0))</f>
        <v/>
      </c>
      <c r="BL1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9" spans="1:64" ht="15" customHeight="1" x14ac:dyDescent="0.25">
      <c r="A129" s="42">
        <v>11186</v>
      </c>
      <c r="B129" s="42" t="s">
        <v>24</v>
      </c>
      <c r="C129" s="42" t="s">
        <v>152</v>
      </c>
      <c r="D129" s="42" t="s">
        <v>1708</v>
      </c>
      <c r="E129" s="42">
        <v>18</v>
      </c>
      <c r="F129" s="42" t="s">
        <v>42</v>
      </c>
      <c r="G129" s="42" t="s">
        <v>42</v>
      </c>
      <c r="H129" s="43" t="s">
        <v>721</v>
      </c>
      <c r="I129" s="44" t="s">
        <v>43</v>
      </c>
      <c r="J129" s="42" t="s">
        <v>47</v>
      </c>
      <c r="K129" s="43" t="s">
        <v>43</v>
      </c>
      <c r="L129" s="42">
        <v>1</v>
      </c>
      <c r="M129" s="42">
        <v>1</v>
      </c>
      <c r="N129" s="43">
        <v>1</v>
      </c>
      <c r="O129" s="42">
        <v>4</v>
      </c>
      <c r="P129" s="42">
        <v>2</v>
      </c>
      <c r="Q129" s="43">
        <v>3</v>
      </c>
      <c r="R129" s="42">
        <v>3</v>
      </c>
      <c r="S129" s="42">
        <v>6</v>
      </c>
      <c r="T129" s="42" t="s">
        <v>45</v>
      </c>
      <c r="U129" s="42" t="s">
        <v>45</v>
      </c>
      <c r="V129" s="42">
        <v>2</v>
      </c>
      <c r="W129" s="42">
        <v>6</v>
      </c>
      <c r="X129" s="42" t="s">
        <v>45</v>
      </c>
      <c r="Y129" s="42" t="s">
        <v>45</v>
      </c>
      <c r="Z129" s="42" t="s">
        <v>45</v>
      </c>
      <c r="AA129" s="42" t="s">
        <v>45</v>
      </c>
      <c r="AB129" s="42" t="s">
        <v>45</v>
      </c>
      <c r="AC129" s="42" t="s">
        <v>45</v>
      </c>
      <c r="AD129" s="42" t="s">
        <v>45</v>
      </c>
      <c r="AE129" s="42" t="s">
        <v>45</v>
      </c>
      <c r="AF129" s="42" t="s">
        <v>45</v>
      </c>
      <c r="AG129" s="42" t="s">
        <v>45</v>
      </c>
      <c r="AH129" s="42">
        <v>1</v>
      </c>
      <c r="AI129" s="42">
        <v>6</v>
      </c>
      <c r="AJ129" s="42" t="s">
        <v>45</v>
      </c>
      <c r="AK129" s="42" t="s">
        <v>45</v>
      </c>
      <c r="AL129" s="42" t="s">
        <v>45</v>
      </c>
      <c r="AM129" s="42" t="s">
        <v>45</v>
      </c>
      <c r="AN129" s="42" t="s">
        <v>45</v>
      </c>
      <c r="AO129" s="43" t="s">
        <v>45</v>
      </c>
      <c r="AP129" s="42" t="s">
        <v>356</v>
      </c>
      <c r="AQ129" s="42">
        <v>5</v>
      </c>
      <c r="AR129" s="50" t="s">
        <v>14</v>
      </c>
      <c r="AS129" s="45" t="s">
        <v>718</v>
      </c>
      <c r="AT129" s="45" t="s">
        <v>47</v>
      </c>
      <c r="AU129" s="46">
        <f>($O$3*(L129-$O$1)/$O$2+$P$3*(M129-$P$1)/$P$2+$Q$3*(N129-$P$1)/$Q$2)/SUM($O$3:$Q$3)</f>
        <v>-2.7014842379675978</v>
      </c>
      <c r="AV129" s="46">
        <f>($O$3*(O129-$O$1)/$O$2+$P$3*(P129-$P$1)/$P$2+$Q$3*(Q129-$Q$1)/$Q$2)/SUM($O$3:$Q$3)</f>
        <v>-0.99184266516472974</v>
      </c>
      <c r="AW129" s="47">
        <f>COUNT(R129:AO129)/2</f>
        <v>3</v>
      </c>
      <c r="AX129" s="47">
        <f>IF(AND(S129&lt;&gt;"-",S129&gt;5),1,0)+IF(AND(U129&lt;&gt;"-",U129&gt;5),1,0)+IF(AND(W129&lt;&gt;"-",W129&gt;5),1,0)+IF(AND(Y129&lt;&gt;"-",Y129&gt;5),1,0)+IF(AND(AA129&lt;&gt;"-",AA129&gt;5),1,0)+IF(AND(AC129&lt;&gt;"-",AC129&gt;5),1,0)+IF(AND(AE129&lt;&gt;"-",AE129&gt;5),1,0)+IF(AND(AG129&lt;&gt;"-",AG129&gt;5),1,0)+IF(AND(AI129&lt;&gt;"-",AI129&gt;5),1,0)+IF(AND(AK129&lt;&gt;"-",AK129&gt;5),1,0)+IF(AND(AM129&lt;&gt;"-",AM129&gt;5),1,0)+IF(AND(AO129&lt;&gt;"-",AO129&gt;5),1,0)</f>
        <v>3</v>
      </c>
      <c r="AY129" s="48">
        <f>VLOOKUP(AP129,COND!$A$10:$B$32,2,FALSE)</f>
        <v>1</v>
      </c>
      <c r="AZ129" s="46">
        <f>($AU$3*AU129+$AV$3*AV129+$AW$3*AW129+$AX$3*AX129)*AY129*IF(AQ129&lt;5,0.95,IF(AQ129&lt;7,0.975,1))+$I$3*VLOOKUP(I129,COND!$A$2:$E$7,4,FALSE)+$J$3*VLOOKUP(J129,COND!$A$2:$E$7,2,FALSE)+$K$3*VLOOKUP(K129,COND!$A$2:$E$7,3,FALSE)+IF(BB129="SP",$BB$3,0)+IF($AW129&lt;3,-5,0)+IF(AND($B$2&gt;0,$E129&lt;20),$B$2*25,0)</f>
        <v>37.551028602884088</v>
      </c>
      <c r="BA129" s="49">
        <f>STANDARDIZE(AZ129,AVERAGE($AZ$5:$AZ$570),STDEVP($AZ$5:$AZ$570))</f>
        <v>0.44281955819691177</v>
      </c>
      <c r="BB129" s="47" t="str">
        <f>IF(OR(AND(AQ129&gt;7,AX129&gt;1),AND(AQ129&gt;4,AW129&gt;2)),"SP","RP")</f>
        <v>SP</v>
      </c>
      <c r="BC129" s="47"/>
      <c r="BD129" s="47"/>
      <c r="BE129" s="47"/>
      <c r="BF129" s="47" t="str">
        <f>IF(AVERAGE($O129:$Q129)&gt;=6,"Likely",IF(AVERAGE($O129:$Q129)&gt;=4,"Possible","Unlikely"))</f>
        <v>Unlikely</v>
      </c>
      <c r="BG129" s="47"/>
      <c r="BH129" s="47" t="str">
        <f>INDEX(Table5[[#All],[Ovr]],MATCH(Table3[[#This Row],[PID]],Table5[[#All],[PID]],0))</f>
        <v/>
      </c>
      <c r="BI129" s="47" t="str">
        <f>INDEX(Table5[[#All],[Rnd]],MATCH(Table3[[#This Row],[PID]],Table5[[#All],[PID]],0))</f>
        <v/>
      </c>
      <c r="BJ129" s="47" t="str">
        <f>INDEX(Table5[[#All],[Pick]],MATCH(Table3[[#This Row],[PID]],Table5[[#All],[PID]],0))</f>
        <v/>
      </c>
      <c r="BK129" s="47" t="str">
        <f>INDEX(Table5[[#All],[Team]],MATCH(Table3[[#This Row],[PID]],Table5[[#All],[PID]],0))</f>
        <v/>
      </c>
      <c r="BL1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0" spans="1:64" ht="15" customHeight="1" x14ac:dyDescent="0.25">
      <c r="A130" s="42">
        <v>13714</v>
      </c>
      <c r="B130" s="42" t="s">
        <v>49</v>
      </c>
      <c r="C130" s="42" t="s">
        <v>189</v>
      </c>
      <c r="D130" s="42" t="s">
        <v>775</v>
      </c>
      <c r="E130" s="42">
        <v>18</v>
      </c>
      <c r="F130" s="42" t="s">
        <v>62</v>
      </c>
      <c r="G130" s="42" t="s">
        <v>42</v>
      </c>
      <c r="H130" s="43" t="s">
        <v>721</v>
      </c>
      <c r="I130" s="44" t="s">
        <v>43</v>
      </c>
      <c r="J130" s="42" t="s">
        <v>44</v>
      </c>
      <c r="K130" s="43" t="s">
        <v>43</v>
      </c>
      <c r="L130" s="42">
        <v>1</v>
      </c>
      <c r="M130" s="42">
        <v>2</v>
      </c>
      <c r="N130" s="43">
        <v>1</v>
      </c>
      <c r="O130" s="42">
        <v>6</v>
      </c>
      <c r="P130" s="42">
        <v>4</v>
      </c>
      <c r="Q130" s="43">
        <v>2</v>
      </c>
      <c r="R130" s="42">
        <v>4</v>
      </c>
      <c r="S130" s="42">
        <v>7</v>
      </c>
      <c r="T130" s="42">
        <v>1</v>
      </c>
      <c r="U130" s="42">
        <v>8</v>
      </c>
      <c r="V130" s="42" t="s">
        <v>45</v>
      </c>
      <c r="W130" s="42" t="s">
        <v>45</v>
      </c>
      <c r="X130" s="42" t="s">
        <v>45</v>
      </c>
      <c r="Y130" s="42" t="s">
        <v>45</v>
      </c>
      <c r="Z130" s="42" t="s">
        <v>45</v>
      </c>
      <c r="AA130" s="42" t="s">
        <v>45</v>
      </c>
      <c r="AB130" s="42" t="s">
        <v>45</v>
      </c>
      <c r="AC130" s="42" t="s">
        <v>45</v>
      </c>
      <c r="AD130" s="42" t="s">
        <v>45</v>
      </c>
      <c r="AE130" s="42" t="s">
        <v>45</v>
      </c>
      <c r="AF130" s="42" t="s">
        <v>45</v>
      </c>
      <c r="AG130" s="42" t="s">
        <v>45</v>
      </c>
      <c r="AH130" s="42" t="s">
        <v>45</v>
      </c>
      <c r="AI130" s="42" t="s">
        <v>45</v>
      </c>
      <c r="AJ130" s="42" t="s">
        <v>45</v>
      </c>
      <c r="AK130" s="42" t="s">
        <v>45</v>
      </c>
      <c r="AL130" s="42" t="s">
        <v>45</v>
      </c>
      <c r="AM130" s="42" t="s">
        <v>45</v>
      </c>
      <c r="AN130" s="42" t="s">
        <v>45</v>
      </c>
      <c r="AO130" s="43" t="s">
        <v>45</v>
      </c>
      <c r="AP130" s="42" t="s">
        <v>58</v>
      </c>
      <c r="AQ130" s="42">
        <v>3</v>
      </c>
      <c r="AR130" s="50" t="s">
        <v>353</v>
      </c>
      <c r="AS130" s="45" t="s">
        <v>718</v>
      </c>
      <c r="AT130" s="45" t="s">
        <v>47</v>
      </c>
      <c r="AU130" s="46">
        <f>($O$3*(L130-$O$1)/$O$2+$P$3*(M130-$P$1)/$P$2+$Q$3*(N130-$P$1)/$Q$2)/SUM($O$3:$Q$3)</f>
        <v>-2.5060525215375429</v>
      </c>
      <c r="AV130" s="46">
        <f>($O$3*(O130-$O$1)/$O$2+$P$3*(P130-$P$1)/$P$2+$Q$3*(Q130-$Q$1)/$Q$2)/SUM($O$3:$Q$3)</f>
        <v>-0.45391714934038213</v>
      </c>
      <c r="AW130" s="47">
        <f>COUNT(R130:AO130)/2</f>
        <v>2</v>
      </c>
      <c r="AX130" s="47">
        <f>IF(AND(S130&lt;&gt;"-",S130&gt;5),1,0)+IF(AND(U130&lt;&gt;"-",U130&gt;5),1,0)+IF(AND(W130&lt;&gt;"-",W130&gt;5),1,0)+IF(AND(Y130&lt;&gt;"-",Y130&gt;5),1,0)+IF(AND(AA130&lt;&gt;"-",AA130&gt;5),1,0)+IF(AND(AC130&lt;&gt;"-",AC130&gt;5),1,0)+IF(AND(AE130&lt;&gt;"-",AE130&gt;5),1,0)+IF(AND(AG130&lt;&gt;"-",AG130&gt;5),1,0)+IF(AND(AI130&lt;&gt;"-",AI130&gt;5),1,0)+IF(AND(AK130&lt;&gt;"-",AK130&gt;5),1,0)+IF(AND(AM130&lt;&gt;"-",AM130&gt;5),1,0)+IF(AND(AO130&lt;&gt;"-",AO130&gt;5),1,0)</f>
        <v>2</v>
      </c>
      <c r="AY130" s="48">
        <f>VLOOKUP(AP130,COND!$A$10:$B$32,2,FALSE)</f>
        <v>1</v>
      </c>
      <c r="AZ130" s="46">
        <f>($AU$3*AU130+$AV$3*AV130+$AW$3*AW130+$AX$3*AX130)*AY130*IF(AQ130&lt;5,0.95,IF(AQ130&lt;7,0.975,1))+$I$3*VLOOKUP(I130,COND!$A$2:$E$7,4,FALSE)+$J$3*VLOOKUP(J130,COND!$A$2:$E$7,2,FALSE)+$K$3*VLOOKUP(K130,COND!$A$2:$E$7,3,FALSE)+IF(BB130="SP",$BB$3,0)+IF($AW130&lt;3,-5,0)+IF(AND($B$2&gt;0,$E130&lt;20),$B$2*25,0)</f>
        <v>38.924424183440607</v>
      </c>
      <c r="BA130" s="49">
        <f>STANDARDIZE(AZ130,AVERAGE($AZ$5:$AZ$570),STDEVP($AZ$5:$AZ$570))</f>
        <v>0.56876580295002643</v>
      </c>
      <c r="BB130" s="47" t="str">
        <f>IF(OR(AND(AQ130&gt;7,AX130&gt;1),AND(AQ130&gt;4,AW130&gt;2)),"SP","RP")</f>
        <v>RP</v>
      </c>
      <c r="BC130" s="47"/>
      <c r="BD130" s="47"/>
      <c r="BE130" s="47"/>
      <c r="BF130" s="47" t="str">
        <f>IF(AVERAGE($O130:$Q130)&gt;=6,"Likely",IF(AVERAGE($O130:$Q130)&gt;=4,"Possible","Unlikely"))</f>
        <v>Possible</v>
      </c>
      <c r="BG130" s="47"/>
      <c r="BH130" s="47" t="str">
        <f>INDEX(Table5[[#All],[Ovr]],MATCH(Table3[[#This Row],[PID]],Table5[[#All],[PID]],0))</f>
        <v/>
      </c>
      <c r="BI130" s="47" t="str">
        <f>INDEX(Table5[[#All],[Rnd]],MATCH(Table3[[#This Row],[PID]],Table5[[#All],[PID]],0))</f>
        <v/>
      </c>
      <c r="BJ130" s="47" t="str">
        <f>INDEX(Table5[[#All],[Pick]],MATCH(Table3[[#This Row],[PID]],Table5[[#All],[PID]],0))</f>
        <v/>
      </c>
      <c r="BK130" s="47" t="str">
        <f>INDEX(Table5[[#All],[Team]],MATCH(Table3[[#This Row],[PID]],Table5[[#All],[PID]],0))</f>
        <v/>
      </c>
      <c r="BL1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1" spans="1:64" ht="15" customHeight="1" x14ac:dyDescent="0.25">
      <c r="A131" s="42">
        <v>6119</v>
      </c>
      <c r="B131" s="42" t="s">
        <v>24</v>
      </c>
      <c r="C131" s="42" t="s">
        <v>395</v>
      </c>
      <c r="D131" s="42" t="s">
        <v>138</v>
      </c>
      <c r="E131" s="42">
        <v>18</v>
      </c>
      <c r="F131" s="42" t="s">
        <v>53</v>
      </c>
      <c r="G131" s="42" t="s">
        <v>53</v>
      </c>
      <c r="H131" s="43" t="s">
        <v>721</v>
      </c>
      <c r="I131" s="44" t="s">
        <v>43</v>
      </c>
      <c r="J131" s="42" t="s">
        <v>47</v>
      </c>
      <c r="K131" s="43" t="s">
        <v>43</v>
      </c>
      <c r="L131" s="42">
        <v>1</v>
      </c>
      <c r="M131" s="42">
        <v>2</v>
      </c>
      <c r="N131" s="43">
        <v>1</v>
      </c>
      <c r="O131" s="42">
        <v>5</v>
      </c>
      <c r="P131" s="42">
        <v>2</v>
      </c>
      <c r="Q131" s="43">
        <v>2</v>
      </c>
      <c r="R131" s="42">
        <v>2</v>
      </c>
      <c r="S131" s="42">
        <v>6</v>
      </c>
      <c r="T131" s="42" t="s">
        <v>45</v>
      </c>
      <c r="U131" s="42" t="s">
        <v>45</v>
      </c>
      <c r="V131" s="42">
        <v>1</v>
      </c>
      <c r="W131" s="42">
        <v>7</v>
      </c>
      <c r="X131" s="42">
        <v>2</v>
      </c>
      <c r="Y131" s="42">
        <v>6</v>
      </c>
      <c r="Z131" s="42" t="s">
        <v>45</v>
      </c>
      <c r="AA131" s="42" t="s">
        <v>45</v>
      </c>
      <c r="AB131" s="42" t="s">
        <v>45</v>
      </c>
      <c r="AC131" s="42" t="s">
        <v>45</v>
      </c>
      <c r="AD131" s="42" t="s">
        <v>45</v>
      </c>
      <c r="AE131" s="42" t="s">
        <v>45</v>
      </c>
      <c r="AF131" s="42" t="s">
        <v>45</v>
      </c>
      <c r="AG131" s="42" t="s">
        <v>45</v>
      </c>
      <c r="AH131" s="42" t="s">
        <v>45</v>
      </c>
      <c r="AI131" s="42" t="s">
        <v>45</v>
      </c>
      <c r="AJ131" s="42" t="s">
        <v>45</v>
      </c>
      <c r="AK131" s="42" t="s">
        <v>45</v>
      </c>
      <c r="AL131" s="42" t="s">
        <v>45</v>
      </c>
      <c r="AM131" s="42" t="s">
        <v>45</v>
      </c>
      <c r="AN131" s="42" t="s">
        <v>45</v>
      </c>
      <c r="AO131" s="43" t="s">
        <v>45</v>
      </c>
      <c r="AP131" s="42" t="s">
        <v>68</v>
      </c>
      <c r="AQ131" s="42">
        <v>6</v>
      </c>
      <c r="AR131" s="50" t="s">
        <v>353</v>
      </c>
      <c r="AS131" s="45" t="s">
        <v>718</v>
      </c>
      <c r="AT131" s="45" t="s">
        <v>705</v>
      </c>
      <c r="AU131" s="46">
        <f>($O$3*(L131-$O$1)/$O$2+$P$3*(M131-$P$1)/$P$2+$Q$3*(N131-$P$1)/$Q$2)/SUM($O$3:$Q$3)</f>
        <v>-2.5060525215375429</v>
      </c>
      <c r="AV131" s="46">
        <f>($O$3*(O131-$O$1)/$O$2+$P$3*(P131-$P$1)/$P$2+$Q$3*(Q131-$Q$1)/$Q$2)/SUM($O$3:$Q$3)</f>
        <v>-1.0394719067096667</v>
      </c>
      <c r="AW131" s="47">
        <f>COUNT(R131:AO131)/2</f>
        <v>3</v>
      </c>
      <c r="AX131" s="47">
        <f>IF(AND(S131&lt;&gt;"-",S131&gt;5),1,0)+IF(AND(U131&lt;&gt;"-",U131&gt;5),1,0)+IF(AND(W131&lt;&gt;"-",W131&gt;5),1,0)+IF(AND(Y131&lt;&gt;"-",Y131&gt;5),1,0)+IF(AND(AA131&lt;&gt;"-",AA131&gt;5),1,0)+IF(AND(AC131&lt;&gt;"-",AC131&gt;5),1,0)+IF(AND(AE131&lt;&gt;"-",AE131&gt;5),1,0)+IF(AND(AG131&lt;&gt;"-",AG131&gt;5),1,0)+IF(AND(AI131&lt;&gt;"-",AI131&gt;5),1,0)+IF(AND(AK131&lt;&gt;"-",AK131&gt;5),1,0)+IF(AND(AM131&lt;&gt;"-",AM131&gt;5),1,0)+IF(AND(AO131&lt;&gt;"-",AO131&gt;5),1,0)</f>
        <v>3</v>
      </c>
      <c r="AY131" s="48">
        <f>VLOOKUP(AP131,COND!$A$10:$B$32,2,FALSE)</f>
        <v>0.95</v>
      </c>
      <c r="AZ131" s="46">
        <f>($AU$3*AU131+$AV$3*AV131+$AW$3*AW131+$AX$3*AX131)*AY131*IF(AQ131&lt;5,0.95,IF(AQ131&lt;7,0.975,1))+$I$3*VLOOKUP(I131,COND!$A$2:$E$7,4,FALSE)+$J$3*VLOOKUP(J131,COND!$A$2:$E$7,2,FALSE)+$K$3*VLOOKUP(K131,COND!$A$2:$E$7,3,FALSE)+IF(BB131="SP",$BB$3,0)+IF($AW131&lt;3,-5,0)+IF(AND($B$2&gt;0,$E131&lt;20),$B$2*25,0)</f>
        <v>37.442349198588602</v>
      </c>
      <c r="BA131" s="49">
        <f>STANDARDIZE(AZ131,AVERAGE($AZ$5:$AZ$570),STDEVP($AZ$5:$AZ$570))</f>
        <v>0.43285319231747915</v>
      </c>
      <c r="BB131" s="47" t="str">
        <f>IF(OR(AND(AQ131&gt;7,AX131&gt;1),AND(AQ131&gt;4,AW131&gt;2)),"SP","RP")</f>
        <v>SP</v>
      </c>
      <c r="BC131" s="47"/>
      <c r="BD131" s="47"/>
      <c r="BE131" s="47"/>
      <c r="BF131" s="47" t="str">
        <f>IF(AVERAGE($O131:$Q131)&gt;=6,"Likely",IF(AVERAGE($O131:$Q131)&gt;=4,"Possible","Unlikely"))</f>
        <v>Unlikely</v>
      </c>
      <c r="BG131" s="47"/>
      <c r="BH131" s="47" t="str">
        <f>INDEX(Table5[[#All],[Ovr]],MATCH(Table3[[#This Row],[PID]],Table5[[#All],[PID]],0))</f>
        <v/>
      </c>
      <c r="BI131" s="47" t="str">
        <f>INDEX(Table5[[#All],[Rnd]],MATCH(Table3[[#This Row],[PID]],Table5[[#All],[PID]],0))</f>
        <v/>
      </c>
      <c r="BJ131" s="47" t="str">
        <f>INDEX(Table5[[#All],[Pick]],MATCH(Table3[[#This Row],[PID]],Table5[[#All],[PID]],0))</f>
        <v/>
      </c>
      <c r="BK131" s="47" t="str">
        <f>INDEX(Table5[[#All],[Team]],MATCH(Table3[[#This Row],[PID]],Table5[[#All],[PID]],0))</f>
        <v/>
      </c>
      <c r="BL1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2" spans="1:64" ht="15" customHeight="1" x14ac:dyDescent="0.25">
      <c r="A132" s="42">
        <v>17914</v>
      </c>
      <c r="B132" s="42" t="s">
        <v>49</v>
      </c>
      <c r="C132" s="42" t="s">
        <v>854</v>
      </c>
      <c r="D132" s="42" t="s">
        <v>388</v>
      </c>
      <c r="E132" s="42">
        <v>18</v>
      </c>
      <c r="F132" s="42" t="s">
        <v>42</v>
      </c>
      <c r="G132" s="42" t="s">
        <v>42</v>
      </c>
      <c r="H132" s="43" t="s">
        <v>721</v>
      </c>
      <c r="I132" s="44" t="s">
        <v>43</v>
      </c>
      <c r="J132" s="42" t="s">
        <v>44</v>
      </c>
      <c r="K132" s="43" t="s">
        <v>43</v>
      </c>
      <c r="L132" s="42">
        <v>2</v>
      </c>
      <c r="M132" s="42">
        <v>2</v>
      </c>
      <c r="N132" s="43">
        <v>1</v>
      </c>
      <c r="O132" s="42">
        <v>5</v>
      </c>
      <c r="P132" s="42">
        <v>2</v>
      </c>
      <c r="Q132" s="43">
        <v>3</v>
      </c>
      <c r="R132" s="42">
        <v>3</v>
      </c>
      <c r="S132" s="42">
        <v>5</v>
      </c>
      <c r="T132" s="42">
        <v>1</v>
      </c>
      <c r="U132" s="42">
        <v>1</v>
      </c>
      <c r="V132" s="42">
        <v>2</v>
      </c>
      <c r="W132" s="42">
        <v>7</v>
      </c>
      <c r="X132" s="42" t="s">
        <v>45</v>
      </c>
      <c r="Y132" s="42" t="s">
        <v>45</v>
      </c>
      <c r="Z132" s="42" t="s">
        <v>45</v>
      </c>
      <c r="AA132" s="42" t="s">
        <v>45</v>
      </c>
      <c r="AB132" s="42" t="s">
        <v>45</v>
      </c>
      <c r="AC132" s="42" t="s">
        <v>45</v>
      </c>
      <c r="AD132" s="42" t="s">
        <v>45</v>
      </c>
      <c r="AE132" s="42" t="s">
        <v>45</v>
      </c>
      <c r="AF132" s="42" t="s">
        <v>45</v>
      </c>
      <c r="AG132" s="42" t="s">
        <v>45</v>
      </c>
      <c r="AH132" s="42" t="s">
        <v>45</v>
      </c>
      <c r="AI132" s="42" t="s">
        <v>45</v>
      </c>
      <c r="AJ132" s="42" t="s">
        <v>45</v>
      </c>
      <c r="AK132" s="42" t="s">
        <v>45</v>
      </c>
      <c r="AL132" s="42" t="s">
        <v>45</v>
      </c>
      <c r="AM132" s="42" t="s">
        <v>45</v>
      </c>
      <c r="AN132" s="42" t="s">
        <v>45</v>
      </c>
      <c r="AO132" s="43" t="s">
        <v>45</v>
      </c>
      <c r="AP132" s="42" t="s">
        <v>68</v>
      </c>
      <c r="AQ132" s="42">
        <v>7</v>
      </c>
      <c r="AR132" s="50" t="s">
        <v>353</v>
      </c>
      <c r="AS132" s="45" t="s">
        <v>718</v>
      </c>
      <c r="AT132" s="45" t="s">
        <v>47</v>
      </c>
      <c r="AU132" s="46">
        <f>($O$3*(L132-$O$1)/$O$2+$P$3*(M132-$P$1)/$P$2+$Q$3*(N132-$P$1)/$Q$2)/SUM($O$3:$Q$3)</f>
        <v>-2.311361197028369</v>
      </c>
      <c r="AV132" s="46">
        <f>($O$3*(O132-$O$1)/$O$2+$P$3*(P132-$P$1)/$P$2+$Q$3*(Q132-$Q$1)/$Q$2)/SUM($O$3:$Q$3)</f>
        <v>-0.79715134065555615</v>
      </c>
      <c r="AW132" s="47">
        <f>COUNT(R132:AO132)/2</f>
        <v>3</v>
      </c>
      <c r="AX132" s="47">
        <f>IF(AND(S132&lt;&gt;"-",S132&gt;5),1,0)+IF(AND(U132&lt;&gt;"-",U132&gt;5),1,0)+IF(AND(W132&lt;&gt;"-",W132&gt;5),1,0)+IF(AND(Y132&lt;&gt;"-",Y132&gt;5),1,0)+IF(AND(AA132&lt;&gt;"-",AA132&gt;5),1,0)+IF(AND(AC132&lt;&gt;"-",AC132&gt;5),1,0)+IF(AND(AE132&lt;&gt;"-",AE132&gt;5),1,0)+IF(AND(AG132&lt;&gt;"-",AG132&gt;5),1,0)+IF(AND(AI132&lt;&gt;"-",AI132&gt;5),1,0)+IF(AND(AK132&lt;&gt;"-",AK132&gt;5),1,0)+IF(AND(AM132&lt;&gt;"-",AM132&gt;5),1,0)+IF(AND(AO132&lt;&gt;"-",AO132&gt;5),1,0)</f>
        <v>1</v>
      </c>
      <c r="AY132" s="48">
        <f>VLOOKUP(AP132,COND!$A$10:$B$32,2,FALSE)</f>
        <v>0.95</v>
      </c>
      <c r="AZ132" s="46">
        <f>($AU$3*AU132+$AV$3*AV132+$AW$3*AW132+$AX$3*AX132)*AY132*IF(AQ132&lt;5,0.95,IF(AQ132&lt;7,0.975,1))+$I$3*VLOOKUP(I132,COND!$A$2:$E$7,4,FALSE)+$J$3*VLOOKUP(J132,COND!$A$2:$E$7,2,FALSE)+$K$3*VLOOKUP(K132,COND!$A$2:$E$7,3,FALSE)+IF(BB132="SP",$BB$3,0)+IF($AW132&lt;3,-5,0)+IF(AND($B$2&gt;0,$E132&lt;20),$B$2*25,0)</f>
        <v>38.727465900109046</v>
      </c>
      <c r="BA132" s="49">
        <f>STANDARDIZE(AZ132,AVERAGE($AZ$5:$AZ$570),STDEVP($AZ$5:$AZ$570))</f>
        <v>0.55070388655112679</v>
      </c>
      <c r="BB132" s="47" t="str">
        <f>IF(OR(AND(AQ132&gt;7,AX132&gt;1),AND(AQ132&gt;4,AW132&gt;2)),"SP","RP")</f>
        <v>SP</v>
      </c>
      <c r="BC132" s="47"/>
      <c r="BD132" s="47"/>
      <c r="BE132" s="47"/>
      <c r="BF132" s="47" t="str">
        <f>IF(AVERAGE($O132:$Q132)&gt;=6,"Likely",IF(AVERAGE($O132:$Q132)&gt;=4,"Possible","Unlikely"))</f>
        <v>Unlikely</v>
      </c>
      <c r="BG132" s="47"/>
      <c r="BH132" s="47" t="str">
        <f>INDEX(Table5[[#All],[Ovr]],MATCH(Table3[[#This Row],[PID]],Table5[[#All],[PID]],0))</f>
        <v/>
      </c>
      <c r="BI132" s="47" t="str">
        <f>INDEX(Table5[[#All],[Rnd]],MATCH(Table3[[#This Row],[PID]],Table5[[#All],[PID]],0))</f>
        <v/>
      </c>
      <c r="BJ132" s="47" t="str">
        <f>INDEX(Table5[[#All],[Pick]],MATCH(Table3[[#This Row],[PID]],Table5[[#All],[PID]],0))</f>
        <v/>
      </c>
      <c r="BK132" s="47" t="str">
        <f>INDEX(Table5[[#All],[Team]],MATCH(Table3[[#This Row],[PID]],Table5[[#All],[PID]],0))</f>
        <v/>
      </c>
      <c r="BL1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3" spans="1:64" ht="15" customHeight="1" x14ac:dyDescent="0.25">
      <c r="A133" s="42">
        <v>7225</v>
      </c>
      <c r="B133" s="42" t="s">
        <v>24</v>
      </c>
      <c r="C133" s="42" t="s">
        <v>920</v>
      </c>
      <c r="D133" s="42" t="s">
        <v>789</v>
      </c>
      <c r="E133" s="42">
        <v>21</v>
      </c>
      <c r="F133" s="42" t="s">
        <v>42</v>
      </c>
      <c r="G133" s="42" t="s">
        <v>42</v>
      </c>
      <c r="H133" s="43" t="s">
        <v>709</v>
      </c>
      <c r="I133" s="44" t="s">
        <v>43</v>
      </c>
      <c r="J133" s="42" t="s">
        <v>43</v>
      </c>
      <c r="K133" s="43" t="s">
        <v>43</v>
      </c>
      <c r="L133" s="42">
        <v>3</v>
      </c>
      <c r="M133" s="42">
        <v>2</v>
      </c>
      <c r="N133" s="43">
        <v>3</v>
      </c>
      <c r="O133" s="42">
        <v>5</v>
      </c>
      <c r="P133" s="42">
        <v>2</v>
      </c>
      <c r="Q133" s="43">
        <v>3</v>
      </c>
      <c r="R133" s="42">
        <v>5</v>
      </c>
      <c r="S133" s="42">
        <v>7</v>
      </c>
      <c r="T133" s="42">
        <v>3</v>
      </c>
      <c r="U133" s="42">
        <v>5</v>
      </c>
      <c r="V133" s="42">
        <v>4</v>
      </c>
      <c r="W133" s="42">
        <v>6</v>
      </c>
      <c r="X133" s="42">
        <v>4</v>
      </c>
      <c r="Y133" s="42">
        <v>6</v>
      </c>
      <c r="Z133" s="42" t="s">
        <v>45</v>
      </c>
      <c r="AA133" s="42" t="s">
        <v>45</v>
      </c>
      <c r="AB133" s="42" t="s">
        <v>45</v>
      </c>
      <c r="AC133" s="42" t="s">
        <v>45</v>
      </c>
      <c r="AD133" s="42" t="s">
        <v>45</v>
      </c>
      <c r="AE133" s="42" t="s">
        <v>45</v>
      </c>
      <c r="AF133" s="42">
        <v>4</v>
      </c>
      <c r="AG133" s="42">
        <v>6</v>
      </c>
      <c r="AH133" s="42" t="s">
        <v>45</v>
      </c>
      <c r="AI133" s="42" t="s">
        <v>45</v>
      </c>
      <c r="AJ133" s="42" t="s">
        <v>45</v>
      </c>
      <c r="AK133" s="42" t="s">
        <v>45</v>
      </c>
      <c r="AL133" s="42" t="s">
        <v>45</v>
      </c>
      <c r="AM133" s="42" t="s">
        <v>45</v>
      </c>
      <c r="AN133" s="42" t="s">
        <v>45</v>
      </c>
      <c r="AO133" s="43" t="s">
        <v>45</v>
      </c>
      <c r="AP133" s="42" t="s">
        <v>54</v>
      </c>
      <c r="AQ133" s="42">
        <v>8</v>
      </c>
      <c r="AR133" s="50" t="s">
        <v>353</v>
      </c>
      <c r="AS133" s="45" t="s">
        <v>45</v>
      </c>
      <c r="AT133" s="45" t="s">
        <v>47</v>
      </c>
      <c r="AU133" s="46">
        <f>($O$3*(L133-$O$1)/$O$2+$P$3*(M133-$P$1)/$P$2+$Q$3*(N133-$P$1)/$Q$2)/SUM($O$3:$Q$3)</f>
        <v>-1.6320287404109748</v>
      </c>
      <c r="AV133" s="46">
        <f>($O$3*(O133-$O$1)/$O$2+$P$3*(P133-$P$1)/$P$2+$Q$3*(Q133-$Q$1)/$Q$2)/SUM($O$3:$Q$3)</f>
        <v>-0.79715134065555615</v>
      </c>
      <c r="AW133" s="47">
        <f>COUNT(R133:AO133)/2</f>
        <v>5</v>
      </c>
      <c r="AX133" s="47">
        <f>IF(AND(S133&lt;&gt;"-",S133&gt;5),1,0)+IF(AND(U133&lt;&gt;"-",U133&gt;5),1,0)+IF(AND(W133&lt;&gt;"-",W133&gt;5),1,0)+IF(AND(Y133&lt;&gt;"-",Y133&gt;5),1,0)+IF(AND(AA133&lt;&gt;"-",AA133&gt;5),1,0)+IF(AND(AC133&lt;&gt;"-",AC133&gt;5),1,0)+IF(AND(AE133&lt;&gt;"-",AE133&gt;5),1,0)+IF(AND(AG133&lt;&gt;"-",AG133&gt;5),1,0)+IF(AND(AI133&lt;&gt;"-",AI133&gt;5),1,0)+IF(AND(AK133&lt;&gt;"-",AK133&gt;5),1,0)+IF(AND(AM133&lt;&gt;"-",AM133&gt;5),1,0)+IF(AND(AO133&lt;&gt;"-",AO133&gt;5),1,0)</f>
        <v>4</v>
      </c>
      <c r="AY133" s="48">
        <f>VLOOKUP(AP133,COND!$A$10:$B$32,2,FALSE)</f>
        <v>1.0249999999999999</v>
      </c>
      <c r="AZ133" s="46">
        <f>($AU$3*AU133+$AV$3*AV133+$AW$3*AW133+$AX$3*AX133)*AY133*IF(AQ133&lt;5,0.95,IF(AQ133&lt;7,0.975,1))+$I$3*VLOOKUP(I133,COND!$A$2:$E$7,4,FALSE)+$J$3*VLOOKUP(J133,COND!$A$2:$E$7,2,FALSE)+$K$3*VLOOKUP(K133,COND!$A$2:$E$7,3,FALSE)+IF(BB133="SP",$BB$3,0)+IF($AW133&lt;3,-5,0)+IF(AND($B$2&gt;0,$E133&lt;20),$B$2*25,0)</f>
        <v>38.011331624776851</v>
      </c>
      <c r="BA133" s="49">
        <f>STANDARDIZE(AZ133,AVERAGE($AZ$5:$AZ$570),STDEVP($AZ$5:$AZ$570))</f>
        <v>0.48503131268094218</v>
      </c>
      <c r="BB133" s="47" t="str">
        <f>IF(OR(AND(AQ133&gt;7,AX133&gt;1),AND(AQ133&gt;4,AW133&gt;2)),"SP","RP")</f>
        <v>SP</v>
      </c>
      <c r="BC133" s="47"/>
      <c r="BD133" s="47"/>
      <c r="BE133" s="47"/>
      <c r="BF133" s="47" t="str">
        <f>IF(AVERAGE($O133:$Q133)&gt;=6,"Likely",IF(AVERAGE($O133:$Q133)&gt;=4,"Possible","Unlikely"))</f>
        <v>Unlikely</v>
      </c>
      <c r="BG133" s="47"/>
      <c r="BH133" s="47" t="str">
        <f>INDEX(Table5[[#All],[Ovr]],MATCH(Table3[[#This Row],[PID]],Table5[[#All],[PID]],0))</f>
        <v/>
      </c>
      <c r="BI133" s="47" t="str">
        <f>INDEX(Table5[[#All],[Rnd]],MATCH(Table3[[#This Row],[PID]],Table5[[#All],[PID]],0))</f>
        <v/>
      </c>
      <c r="BJ133" s="47" t="str">
        <f>INDEX(Table5[[#All],[Pick]],MATCH(Table3[[#This Row],[PID]],Table5[[#All],[PID]],0))</f>
        <v/>
      </c>
      <c r="BK133" s="47" t="str">
        <f>INDEX(Table5[[#All],[Team]],MATCH(Table3[[#This Row],[PID]],Table5[[#All],[PID]],0))</f>
        <v/>
      </c>
      <c r="BL1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4" spans="1:64" ht="15" customHeight="1" x14ac:dyDescent="0.25">
      <c r="A134" s="42">
        <v>15225</v>
      </c>
      <c r="B134" s="42" t="s">
        <v>24</v>
      </c>
      <c r="C134" s="42" t="s">
        <v>985</v>
      </c>
      <c r="D134" s="42" t="s">
        <v>1399</v>
      </c>
      <c r="E134" s="42">
        <v>18</v>
      </c>
      <c r="F134" s="42" t="s">
        <v>42</v>
      </c>
      <c r="G134" s="42" t="s">
        <v>42</v>
      </c>
      <c r="H134" s="43" t="s">
        <v>721</v>
      </c>
      <c r="I134" s="44" t="s">
        <v>43</v>
      </c>
      <c r="J134" s="42" t="s">
        <v>43</v>
      </c>
      <c r="K134" s="43" t="s">
        <v>43</v>
      </c>
      <c r="L134" s="42">
        <v>1</v>
      </c>
      <c r="M134" s="42">
        <v>2</v>
      </c>
      <c r="N134" s="43">
        <v>1</v>
      </c>
      <c r="O134" s="42">
        <v>4</v>
      </c>
      <c r="P134" s="42">
        <v>4</v>
      </c>
      <c r="Q134" s="43">
        <v>2</v>
      </c>
      <c r="R134" s="42" t="s">
        <v>45</v>
      </c>
      <c r="S134" s="42" t="s">
        <v>45</v>
      </c>
      <c r="T134" s="42" t="s">
        <v>45</v>
      </c>
      <c r="U134" s="42" t="s">
        <v>45</v>
      </c>
      <c r="V134" s="42">
        <v>1</v>
      </c>
      <c r="W134" s="42">
        <v>6</v>
      </c>
      <c r="X134" s="42">
        <v>2</v>
      </c>
      <c r="Y134" s="42">
        <v>5</v>
      </c>
      <c r="Z134" s="42" t="s">
        <v>45</v>
      </c>
      <c r="AA134" s="42" t="s">
        <v>45</v>
      </c>
      <c r="AB134" s="42" t="s">
        <v>45</v>
      </c>
      <c r="AC134" s="42" t="s">
        <v>45</v>
      </c>
      <c r="AD134" s="42">
        <v>3</v>
      </c>
      <c r="AE134" s="42">
        <v>5</v>
      </c>
      <c r="AF134" s="42" t="s">
        <v>45</v>
      </c>
      <c r="AG134" s="42" t="s">
        <v>45</v>
      </c>
      <c r="AH134" s="42" t="s">
        <v>45</v>
      </c>
      <c r="AI134" s="42" t="s">
        <v>45</v>
      </c>
      <c r="AJ134" s="42" t="s">
        <v>45</v>
      </c>
      <c r="AK134" s="42" t="s">
        <v>45</v>
      </c>
      <c r="AL134" s="42" t="s">
        <v>45</v>
      </c>
      <c r="AM134" s="42" t="s">
        <v>45</v>
      </c>
      <c r="AN134" s="42" t="s">
        <v>45</v>
      </c>
      <c r="AO134" s="43" t="s">
        <v>45</v>
      </c>
      <c r="AP134" s="42" t="s">
        <v>355</v>
      </c>
      <c r="AQ134" s="42">
        <v>5</v>
      </c>
      <c r="AR134" s="50" t="s">
        <v>353</v>
      </c>
      <c r="AS134" s="45" t="s">
        <v>602</v>
      </c>
      <c r="AT134" s="45" t="s">
        <v>705</v>
      </c>
      <c r="AU134" s="46">
        <f>($O$3*(L134-$O$1)/$O$2+$P$3*(M134-$P$1)/$P$2+$Q$3*(N134-$P$1)/$Q$2)/SUM($O$3:$Q$3)</f>
        <v>-2.5060525215375429</v>
      </c>
      <c r="AV134" s="46">
        <f>($O$3*(O134-$O$1)/$O$2+$P$3*(P134-$P$1)/$P$2+$Q$3*(Q134-$Q$1)/$Q$2)/SUM($O$3:$Q$3)</f>
        <v>-0.84329979835872926</v>
      </c>
      <c r="AW134" s="47">
        <f>COUNT(R134:AO134)/2</f>
        <v>3</v>
      </c>
      <c r="AX134" s="47">
        <f>IF(AND(S134&lt;&gt;"-",S134&gt;5),1,0)+IF(AND(U134&lt;&gt;"-",U134&gt;5),1,0)+IF(AND(W134&lt;&gt;"-",W134&gt;5),1,0)+IF(AND(Y134&lt;&gt;"-",Y134&gt;5),1,0)+IF(AND(AA134&lt;&gt;"-",AA134&gt;5),1,0)+IF(AND(AC134&lt;&gt;"-",AC134&gt;5),1,0)+IF(AND(AE134&lt;&gt;"-",AE134&gt;5),1,0)+IF(AND(AG134&lt;&gt;"-",AG134&gt;5),1,0)+IF(AND(AI134&lt;&gt;"-",AI134&gt;5),1,0)+IF(AND(AK134&lt;&gt;"-",AK134&gt;5),1,0)+IF(AND(AM134&lt;&gt;"-",AM134&gt;5),1,0)+IF(AND(AO134&lt;&gt;"-",AO134&gt;5),1,0)</f>
        <v>1</v>
      </c>
      <c r="AY134" s="48">
        <f>VLOOKUP(AP134,COND!$A$10:$B$32,2,FALSE)</f>
        <v>1</v>
      </c>
      <c r="AZ134" s="46">
        <f>($AU$3*AU134+$AV$3*AV134+$AW$3*AW134+$AX$3*AX134)*AY134*IF(AQ134&lt;5,0.95,IF(AQ134&lt;7,0.975,1))+$I$3*VLOOKUP(I134,COND!$A$2:$E$7,4,FALSE)+$J$3*VLOOKUP(J134,COND!$A$2:$E$7,2,FALSE)+$K$3*VLOOKUP(K134,COND!$A$2:$E$7,3,FALSE)+IF(BB134="SP",$BB$3,0)+IF($AW134&lt;3,-5,0)+IF(AND($B$2&gt;0,$E134&lt;20),$B$2*25,0)</f>
        <v>37.748223690304961</v>
      </c>
      <c r="BA134" s="49">
        <f>STANDARDIZE(AZ134,AVERAGE($AZ$5:$AZ$570),STDEVP($AZ$5:$AZ$570))</f>
        <v>0.46090319054292328</v>
      </c>
      <c r="BB134" s="47" t="str">
        <f>IF(OR(AND(AQ134&gt;7,AX134&gt;1),AND(AQ134&gt;4,AW134&gt;2)),"SP","RP")</f>
        <v>SP</v>
      </c>
      <c r="BC134" s="47"/>
      <c r="BD134" s="47"/>
      <c r="BE134" s="47"/>
      <c r="BF134" s="47" t="str">
        <f>IF(AVERAGE($O134:$Q134)&gt;=6,"Likely",IF(AVERAGE($O134:$Q134)&gt;=4,"Possible","Unlikely"))</f>
        <v>Unlikely</v>
      </c>
      <c r="BG134" s="47"/>
      <c r="BH134" s="47" t="str">
        <f>INDEX(Table5[[#All],[Ovr]],MATCH(Table3[[#This Row],[PID]],Table5[[#All],[PID]],0))</f>
        <v/>
      </c>
      <c r="BI134" s="47" t="str">
        <f>INDEX(Table5[[#All],[Rnd]],MATCH(Table3[[#This Row],[PID]],Table5[[#All],[PID]],0))</f>
        <v/>
      </c>
      <c r="BJ134" s="47" t="str">
        <f>INDEX(Table5[[#All],[Pick]],MATCH(Table3[[#This Row],[PID]],Table5[[#All],[PID]],0))</f>
        <v/>
      </c>
      <c r="BK134" s="47" t="str">
        <f>INDEX(Table5[[#All],[Team]],MATCH(Table3[[#This Row],[PID]],Table5[[#All],[PID]],0))</f>
        <v/>
      </c>
      <c r="BL1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5" spans="1:64" ht="15" customHeight="1" x14ac:dyDescent="0.25">
      <c r="A135" s="42">
        <v>12970</v>
      </c>
      <c r="B135" s="42" t="s">
        <v>430</v>
      </c>
      <c r="C135" s="42" t="s">
        <v>349</v>
      </c>
      <c r="D135" s="42" t="s">
        <v>464</v>
      </c>
      <c r="E135" s="42">
        <v>18</v>
      </c>
      <c r="F135" s="42" t="s">
        <v>62</v>
      </c>
      <c r="G135" s="42" t="s">
        <v>42</v>
      </c>
      <c r="H135" s="43" t="s">
        <v>721</v>
      </c>
      <c r="I135" s="44" t="s">
        <v>43</v>
      </c>
      <c r="J135" s="42" t="s">
        <v>47</v>
      </c>
      <c r="K135" s="43" t="s">
        <v>44</v>
      </c>
      <c r="L135" s="42">
        <v>1</v>
      </c>
      <c r="M135" s="42">
        <v>2</v>
      </c>
      <c r="N135" s="43">
        <v>1</v>
      </c>
      <c r="O135" s="42">
        <v>3</v>
      </c>
      <c r="P135" s="42">
        <v>5</v>
      </c>
      <c r="Q135" s="43">
        <v>4</v>
      </c>
      <c r="R135" s="42">
        <v>2</v>
      </c>
      <c r="S135" s="42">
        <v>4</v>
      </c>
      <c r="T135" s="42" t="s">
        <v>45</v>
      </c>
      <c r="U135" s="42" t="s">
        <v>45</v>
      </c>
      <c r="V135" s="42" t="s">
        <v>45</v>
      </c>
      <c r="W135" s="42" t="s">
        <v>45</v>
      </c>
      <c r="X135" s="42" t="s">
        <v>45</v>
      </c>
      <c r="Y135" s="42" t="s">
        <v>45</v>
      </c>
      <c r="Z135" s="42" t="s">
        <v>45</v>
      </c>
      <c r="AA135" s="42" t="s">
        <v>45</v>
      </c>
      <c r="AB135" s="42">
        <v>2</v>
      </c>
      <c r="AC135" s="42">
        <v>5</v>
      </c>
      <c r="AD135" s="42" t="s">
        <v>45</v>
      </c>
      <c r="AE135" s="42" t="s">
        <v>45</v>
      </c>
      <c r="AF135" s="42" t="s">
        <v>45</v>
      </c>
      <c r="AG135" s="42" t="s">
        <v>45</v>
      </c>
      <c r="AH135" s="42" t="s">
        <v>45</v>
      </c>
      <c r="AI135" s="42" t="s">
        <v>45</v>
      </c>
      <c r="AJ135" s="42" t="s">
        <v>45</v>
      </c>
      <c r="AK135" s="42" t="s">
        <v>45</v>
      </c>
      <c r="AL135" s="42" t="s">
        <v>45</v>
      </c>
      <c r="AM135" s="42" t="s">
        <v>45</v>
      </c>
      <c r="AN135" s="42" t="s">
        <v>45</v>
      </c>
      <c r="AO135" s="43" t="s">
        <v>45</v>
      </c>
      <c r="AP135" s="42" t="s">
        <v>67</v>
      </c>
      <c r="AQ135" s="42">
        <v>1</v>
      </c>
      <c r="AR135" s="50" t="s">
        <v>352</v>
      </c>
      <c r="AS135" s="45" t="s">
        <v>733</v>
      </c>
      <c r="AT135" s="45" t="s">
        <v>705</v>
      </c>
      <c r="AU135" s="46">
        <f>($O$3*(L135-$O$1)/$O$2+$P$3*(M135-$P$1)/$P$2+$Q$3*(N135-$P$1)/$Q$2)/SUM($O$3:$Q$3)</f>
        <v>-2.5060525215375429</v>
      </c>
      <c r="AV135" s="46">
        <f>($O$3*(O135-$O$1)/$O$2+$P$3*(P135-$P$1)/$P$2+$Q$3*(Q135-$Q$1)/$Q$2)/SUM($O$3:$Q$3)</f>
        <v>-0.35791827432962653</v>
      </c>
      <c r="AW135" s="47">
        <f>COUNT(R135:AO135)/2</f>
        <v>2</v>
      </c>
      <c r="AX135" s="47">
        <f>IF(AND(S135&lt;&gt;"-",S135&gt;5),1,0)+IF(AND(U135&lt;&gt;"-",U135&gt;5),1,0)+IF(AND(W135&lt;&gt;"-",W135&gt;5),1,0)+IF(AND(Y135&lt;&gt;"-",Y135&gt;5),1,0)+IF(AND(AA135&lt;&gt;"-",AA135&gt;5),1,0)+IF(AND(AC135&lt;&gt;"-",AC135&gt;5),1,0)+IF(AND(AE135&lt;&gt;"-",AE135&gt;5),1,0)+IF(AND(AG135&lt;&gt;"-",AG135&gt;5),1,0)+IF(AND(AI135&lt;&gt;"-",AI135&gt;5),1,0)+IF(AND(AK135&lt;&gt;"-",AK135&gt;5),1,0)+IF(AND(AM135&lt;&gt;"-",AM135&gt;5),1,0)+IF(AND(AO135&lt;&gt;"-",AO135&gt;5),1,0)</f>
        <v>0</v>
      </c>
      <c r="AY135" s="48">
        <f>VLOOKUP(AP135,COND!$A$10:$B$32,2,FALSE)</f>
        <v>0.9</v>
      </c>
      <c r="AZ135" s="46">
        <f>($AU$3*AU135+$AV$3*AV135+$AW$3*AW135+$AX$3*AX135)*AY135*IF(AQ135&lt;5,0.95,IF(AQ135&lt;7,0.975,1))+$I$3*VLOOKUP(I135,COND!$A$2:$E$7,4,FALSE)+$J$3*VLOOKUP(J135,COND!$A$2:$E$7,2,FALSE)+$K$3*VLOOKUP(K135,COND!$A$2:$E$7,3,FALSE)+IF(BB135="SP",$BB$3,0)+IF($AW135&lt;3,-5,0)+IF(AND($B$2&gt;0,$E135&lt;20),$B$2*25,0)</f>
        <v>39.306062527780469</v>
      </c>
      <c r="BA135" s="49">
        <f>STANDARDIZE(AZ135,AVERAGE($AZ$5:$AZ$676),STDEVP($AZ$5:$AZ$676))</f>
        <v>0.78096725114644183</v>
      </c>
      <c r="BB135" s="47" t="str">
        <f>IF(OR(AND(AQ135&gt;7,AX135&gt;1),AND(AQ135&gt;4,AW135&gt;2)),"SP","RP")</f>
        <v>RP</v>
      </c>
      <c r="BC135" s="47"/>
      <c r="BD135" s="47"/>
      <c r="BE135" s="47"/>
      <c r="BF135" s="47" t="str">
        <f>IF(AVERAGE($O135:$Q135)&gt;=6,"Likely",IF(AVERAGE($O135:$Q135)&gt;=4,"Possible","Unlikely"))</f>
        <v>Possible</v>
      </c>
      <c r="BG135" s="47"/>
      <c r="BH135" s="47" t="str">
        <f>INDEX(Table5[[#All],[Ovr]],MATCH(Table3[[#This Row],[PID]],Table5[[#All],[PID]],0))</f>
        <v/>
      </c>
      <c r="BI135" s="47" t="str">
        <f>INDEX(Table5[[#All],[Rnd]],MATCH(Table3[[#This Row],[PID]],Table5[[#All],[PID]],0))</f>
        <v/>
      </c>
      <c r="BJ135" s="47" t="str">
        <f>INDEX(Table5[[#All],[Pick]],MATCH(Table3[[#This Row],[PID]],Table5[[#All],[PID]],0))</f>
        <v/>
      </c>
      <c r="BK135" s="47" t="str">
        <f>INDEX(Table5[[#All],[Team]],MATCH(Table3[[#This Row],[PID]],Table5[[#All],[PID]],0))</f>
        <v/>
      </c>
      <c r="BL1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6" spans="1:64" ht="15" customHeight="1" x14ac:dyDescent="0.25">
      <c r="A136" s="42">
        <v>11952</v>
      </c>
      <c r="B136" s="42" t="s">
        <v>24</v>
      </c>
      <c r="C136" s="42" t="s">
        <v>143</v>
      </c>
      <c r="D136" s="42" t="s">
        <v>396</v>
      </c>
      <c r="E136" s="42">
        <v>21</v>
      </c>
      <c r="F136" s="42" t="s">
        <v>42</v>
      </c>
      <c r="G136" s="42" t="s">
        <v>53</v>
      </c>
      <c r="H136" s="43" t="s">
        <v>721</v>
      </c>
      <c r="I136" s="44" t="s">
        <v>47</v>
      </c>
      <c r="J136" s="42" t="s">
        <v>47</v>
      </c>
      <c r="K136" s="43" t="s">
        <v>43</v>
      </c>
      <c r="L136" s="42">
        <v>2</v>
      </c>
      <c r="M136" s="42">
        <v>1</v>
      </c>
      <c r="N136" s="43">
        <v>2</v>
      </c>
      <c r="O136" s="42">
        <v>5</v>
      </c>
      <c r="P136" s="42">
        <v>2</v>
      </c>
      <c r="Q136" s="43">
        <v>3</v>
      </c>
      <c r="R136" s="42">
        <v>4</v>
      </c>
      <c r="S136" s="42">
        <v>7</v>
      </c>
      <c r="T136" s="42">
        <v>2</v>
      </c>
      <c r="U136" s="42">
        <v>6</v>
      </c>
      <c r="V136" s="42">
        <v>2</v>
      </c>
      <c r="W136" s="42">
        <v>6</v>
      </c>
      <c r="X136" s="42">
        <v>3</v>
      </c>
      <c r="Y136" s="42">
        <v>5</v>
      </c>
      <c r="Z136" s="42" t="s">
        <v>45</v>
      </c>
      <c r="AA136" s="42" t="s">
        <v>45</v>
      </c>
      <c r="AB136" s="42" t="s">
        <v>45</v>
      </c>
      <c r="AC136" s="42" t="s">
        <v>45</v>
      </c>
      <c r="AD136" s="42" t="s">
        <v>45</v>
      </c>
      <c r="AE136" s="42" t="s">
        <v>45</v>
      </c>
      <c r="AF136" s="42" t="s">
        <v>45</v>
      </c>
      <c r="AG136" s="42" t="s">
        <v>45</v>
      </c>
      <c r="AH136" s="42" t="s">
        <v>45</v>
      </c>
      <c r="AI136" s="42" t="s">
        <v>45</v>
      </c>
      <c r="AJ136" s="42" t="s">
        <v>45</v>
      </c>
      <c r="AK136" s="42" t="s">
        <v>45</v>
      </c>
      <c r="AL136" s="42" t="s">
        <v>45</v>
      </c>
      <c r="AM136" s="42" t="s">
        <v>45</v>
      </c>
      <c r="AN136" s="42" t="s">
        <v>45</v>
      </c>
      <c r="AO136" s="43" t="s">
        <v>45</v>
      </c>
      <c r="AP136" s="42" t="s">
        <v>57</v>
      </c>
      <c r="AQ136" s="42">
        <v>7</v>
      </c>
      <c r="AR136" s="50" t="s">
        <v>14</v>
      </c>
      <c r="AS136" s="45" t="s">
        <v>45</v>
      </c>
      <c r="AT136" s="45" t="s">
        <v>47</v>
      </c>
      <c r="AU136" s="46">
        <f>($O$3*(L136-$O$1)/$O$2+$P$3*(M136-$P$1)/$P$2+$Q$3*(N136-$P$1)/$Q$2)/SUM($O$3:$Q$3)</f>
        <v>-2.2644723474043147</v>
      </c>
      <c r="AV136" s="46">
        <f>($O$3*(O136-$O$1)/$O$2+$P$3*(P136-$P$1)/$P$2+$Q$3*(Q136-$Q$1)/$Q$2)/SUM($O$3:$Q$3)</f>
        <v>-0.79715134065555615</v>
      </c>
      <c r="AW136" s="47">
        <f>COUNT(R136:AO136)/2</f>
        <v>4</v>
      </c>
      <c r="AX136" s="47">
        <f>IF(AND(S136&lt;&gt;"-",S136&gt;5),1,0)+IF(AND(U136&lt;&gt;"-",U136&gt;5),1,0)+IF(AND(W136&lt;&gt;"-",W136&gt;5),1,0)+IF(AND(Y136&lt;&gt;"-",Y136&gt;5),1,0)+IF(AND(AA136&lt;&gt;"-",AA136&gt;5),1,0)+IF(AND(AC136&lt;&gt;"-",AC136&gt;5),1,0)+IF(AND(AE136&lt;&gt;"-",AE136&gt;5),1,0)+IF(AND(AG136&lt;&gt;"-",AG136&gt;5),1,0)+IF(AND(AI136&lt;&gt;"-",AI136&gt;5),1,0)+IF(AND(AK136&lt;&gt;"-",AK136&gt;5),1,0)+IF(AND(AM136&lt;&gt;"-",AM136&gt;5),1,0)+IF(AND(AO136&lt;&gt;"-",AO136&gt;5),1,0)</f>
        <v>3</v>
      </c>
      <c r="AY136" s="48">
        <f>VLOOKUP(AP136,COND!$A$10:$B$32,2,FALSE)</f>
        <v>1</v>
      </c>
      <c r="AZ136" s="46">
        <f>($AU$3*AU136+$AV$3*AV136+$AW$3*AW136+$AX$3*AX136)*AY136*IF(AQ136&lt;5,0.95,IF(AQ136&lt;7,0.975,1))+$I$3*VLOOKUP(I136,COND!$A$2:$E$7,4,FALSE)+$J$3*VLOOKUP(J136,COND!$A$2:$E$7,2,FALSE)+$K$3*VLOOKUP(K136,COND!$A$2:$E$7,3,FALSE)+IF(BB136="SP",$BB$3,0)+IF($AW136&lt;3,-5,0)+IF(AND($B$2&gt;0,$E136&lt;20),$B$2*25,0)</f>
        <v>36.879078717408014</v>
      </c>
      <c r="BA136" s="49">
        <f>STANDARDIZE(AZ136,AVERAGE($AZ$5:$AZ$570),STDEVP($AZ$5:$AZ$570))</f>
        <v>0.38119888172458471</v>
      </c>
      <c r="BB136" s="47" t="str">
        <f>IF(OR(AND(AQ136&gt;7,AX136&gt;1),AND(AQ136&gt;4,AW136&gt;2)),"SP","RP")</f>
        <v>SP</v>
      </c>
      <c r="BC136" s="47"/>
      <c r="BD136" s="47"/>
      <c r="BE136" s="47"/>
      <c r="BF136" s="47" t="str">
        <f>IF(AVERAGE($O136:$Q136)&gt;=6,"Likely",IF(AVERAGE($O136:$Q136)&gt;=4,"Possible","Unlikely"))</f>
        <v>Unlikely</v>
      </c>
      <c r="BG136" s="47"/>
      <c r="BH136" s="47" t="str">
        <f>INDEX(Table5[[#All],[Ovr]],MATCH(Table3[[#This Row],[PID]],Table5[[#All],[PID]],0))</f>
        <v/>
      </c>
      <c r="BI136" s="47" t="str">
        <f>INDEX(Table5[[#All],[Rnd]],MATCH(Table3[[#This Row],[PID]],Table5[[#All],[PID]],0))</f>
        <v/>
      </c>
      <c r="BJ136" s="47" t="str">
        <f>INDEX(Table5[[#All],[Pick]],MATCH(Table3[[#This Row],[PID]],Table5[[#All],[PID]],0))</f>
        <v/>
      </c>
      <c r="BK136" s="47" t="str">
        <f>INDEX(Table5[[#All],[Team]],MATCH(Table3[[#This Row],[PID]],Table5[[#All],[PID]],0))</f>
        <v/>
      </c>
      <c r="BL1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7" spans="1:64" ht="15" customHeight="1" x14ac:dyDescent="0.25">
      <c r="A137" s="42">
        <v>7359</v>
      </c>
      <c r="B137" s="42" t="s">
        <v>24</v>
      </c>
      <c r="C137" s="42" t="s">
        <v>166</v>
      </c>
      <c r="D137" s="42" t="s">
        <v>194</v>
      </c>
      <c r="E137" s="42">
        <v>21</v>
      </c>
      <c r="F137" s="42" t="s">
        <v>42</v>
      </c>
      <c r="G137" s="42" t="s">
        <v>42</v>
      </c>
      <c r="H137" s="43" t="s">
        <v>711</v>
      </c>
      <c r="I137" s="44" t="s">
        <v>43</v>
      </c>
      <c r="J137" s="42" t="s">
        <v>44</v>
      </c>
      <c r="K137" s="43" t="s">
        <v>47</v>
      </c>
      <c r="L137" s="42">
        <v>4</v>
      </c>
      <c r="M137" s="42">
        <v>1</v>
      </c>
      <c r="N137" s="43">
        <v>3</v>
      </c>
      <c r="O137" s="42">
        <v>5</v>
      </c>
      <c r="P137" s="42">
        <v>1</v>
      </c>
      <c r="Q137" s="43">
        <v>4</v>
      </c>
      <c r="R137" s="42">
        <v>6</v>
      </c>
      <c r="S137" s="42">
        <v>7</v>
      </c>
      <c r="T137" s="42" t="s">
        <v>45</v>
      </c>
      <c r="U137" s="42" t="s">
        <v>45</v>
      </c>
      <c r="V137" s="42">
        <v>5</v>
      </c>
      <c r="W137" s="42">
        <v>7</v>
      </c>
      <c r="X137" s="42">
        <v>4</v>
      </c>
      <c r="Y137" s="42">
        <v>7</v>
      </c>
      <c r="Z137" s="42" t="s">
        <v>45</v>
      </c>
      <c r="AA137" s="42" t="s">
        <v>45</v>
      </c>
      <c r="AB137" s="42" t="s">
        <v>45</v>
      </c>
      <c r="AC137" s="42" t="s">
        <v>45</v>
      </c>
      <c r="AD137" s="42" t="s">
        <v>45</v>
      </c>
      <c r="AE137" s="42" t="s">
        <v>45</v>
      </c>
      <c r="AF137" s="42" t="s">
        <v>45</v>
      </c>
      <c r="AG137" s="42" t="s">
        <v>45</v>
      </c>
      <c r="AH137" s="42" t="s">
        <v>45</v>
      </c>
      <c r="AI137" s="42" t="s">
        <v>45</v>
      </c>
      <c r="AJ137" s="42" t="s">
        <v>45</v>
      </c>
      <c r="AK137" s="42" t="s">
        <v>45</v>
      </c>
      <c r="AL137" s="42" t="s">
        <v>45</v>
      </c>
      <c r="AM137" s="42" t="s">
        <v>45</v>
      </c>
      <c r="AN137" s="42" t="s">
        <v>45</v>
      </c>
      <c r="AO137" s="43" t="s">
        <v>45</v>
      </c>
      <c r="AP137" s="42" t="s">
        <v>48</v>
      </c>
      <c r="AQ137" s="42">
        <v>6</v>
      </c>
      <c r="AR137" s="50" t="s">
        <v>14</v>
      </c>
      <c r="AS137" s="45" t="s">
        <v>45</v>
      </c>
      <c r="AT137" s="45" t="s">
        <v>47</v>
      </c>
      <c r="AU137" s="46">
        <f>($O$3*(L137-$O$1)/$O$2+$P$3*(M137-$P$1)/$P$2+$Q$3*(N137-$P$1)/$Q$2)/SUM($O$3:$Q$3)</f>
        <v>-1.6327691323318567</v>
      </c>
      <c r="AV137" s="46">
        <f>($O$3*(O137-$O$1)/$O$2+$P$3*(P137-$P$1)/$P$2+$Q$3*(Q137-$Q$1)/$Q$2)/SUM($O$3:$Q$3)</f>
        <v>-0.75026249103150122</v>
      </c>
      <c r="AW137" s="47">
        <f>COUNT(R137:AO137)/2</f>
        <v>3</v>
      </c>
      <c r="AX137" s="47">
        <f>IF(AND(S137&lt;&gt;"-",S137&gt;5),1,0)+IF(AND(U137&lt;&gt;"-",U137&gt;5),1,0)+IF(AND(W137&lt;&gt;"-",W137&gt;5),1,0)+IF(AND(Y137&lt;&gt;"-",Y137&gt;5),1,0)+IF(AND(AA137&lt;&gt;"-",AA137&gt;5),1,0)+IF(AND(AC137&lt;&gt;"-",AC137&gt;5),1,0)+IF(AND(AE137&lt;&gt;"-",AE137&gt;5),1,0)+IF(AND(AG137&lt;&gt;"-",AG137&gt;5),1,0)+IF(AND(AI137&lt;&gt;"-",AI137&gt;5),1,0)+IF(AND(AK137&lt;&gt;"-",AK137&gt;5),1,0)+IF(AND(AM137&lt;&gt;"-",AM137&gt;5),1,0)+IF(AND(AO137&lt;&gt;"-",AO137&gt;5),1,0)</f>
        <v>3</v>
      </c>
      <c r="AY137" s="48">
        <f>VLOOKUP(AP137,COND!$A$10:$B$32,2,FALSE)</f>
        <v>1.05</v>
      </c>
      <c r="AZ137" s="46">
        <f>($AU$3*AU137+$AV$3*AV137+$AW$3*AW137+$AX$3*AX137)*AY137*IF(AQ137&lt;5,0.95,IF(AQ137&lt;7,0.975,1))+$I$3*VLOOKUP(I137,COND!$A$2:$E$7,4,FALSE)+$J$3*VLOOKUP(J137,COND!$A$2:$E$7,2,FALSE)+$K$3*VLOOKUP(K137,COND!$A$2:$E$7,3,FALSE)+IF(BB137="SP",$BB$3,0)+IF($AW137&lt;3,-5,0)+IF(AND($B$2&gt;0,$E137&lt;20),$B$2*25,0)</f>
        <v>36.67875351628507</v>
      </c>
      <c r="BA137" s="49">
        <f>STANDARDIZE(AZ137,AVERAGE($AZ$5:$AZ$570),STDEVP($AZ$5:$AZ$570))</f>
        <v>0.36282820457370618</v>
      </c>
      <c r="BB137" s="47" t="str">
        <f>IF(OR(AND(AQ137&gt;7,AX137&gt;1),AND(AQ137&gt;4,AW137&gt;2)),"SP","RP")</f>
        <v>SP</v>
      </c>
      <c r="BC137" s="47"/>
      <c r="BD137" s="47"/>
      <c r="BE137" s="47"/>
      <c r="BF137" s="47" t="str">
        <f>IF(AVERAGE($O137:$Q137)&gt;=6,"Likely",IF(AVERAGE($O137:$Q137)&gt;=4,"Possible","Unlikely"))</f>
        <v>Unlikely</v>
      </c>
      <c r="BG137" s="47"/>
      <c r="BH137" s="47" t="str">
        <f>INDEX(Table5[[#All],[Ovr]],MATCH(Table3[[#This Row],[PID]],Table5[[#All],[PID]],0))</f>
        <v/>
      </c>
      <c r="BI137" s="47" t="str">
        <f>INDEX(Table5[[#All],[Rnd]],MATCH(Table3[[#This Row],[PID]],Table5[[#All],[PID]],0))</f>
        <v/>
      </c>
      <c r="BJ137" s="47" t="str">
        <f>INDEX(Table5[[#All],[Pick]],MATCH(Table3[[#This Row],[PID]],Table5[[#All],[PID]],0))</f>
        <v/>
      </c>
      <c r="BK137" s="47" t="str">
        <f>INDEX(Table5[[#All],[Team]],MATCH(Table3[[#This Row],[PID]],Table5[[#All],[PID]],0))</f>
        <v/>
      </c>
      <c r="BL1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8" spans="1:64" ht="15" customHeight="1" x14ac:dyDescent="0.25">
      <c r="A138" s="42">
        <v>16020</v>
      </c>
      <c r="B138" s="42" t="s">
        <v>49</v>
      </c>
      <c r="C138" s="42" t="s">
        <v>1244</v>
      </c>
      <c r="D138" s="42" t="s">
        <v>1245</v>
      </c>
      <c r="E138" s="42">
        <v>17</v>
      </c>
      <c r="F138" s="42" t="s">
        <v>42</v>
      </c>
      <c r="G138" s="42" t="s">
        <v>42</v>
      </c>
      <c r="H138" s="43" t="s">
        <v>721</v>
      </c>
      <c r="I138" s="44" t="s">
        <v>43</v>
      </c>
      <c r="J138" s="42" t="s">
        <v>44</v>
      </c>
      <c r="K138" s="43" t="s">
        <v>44</v>
      </c>
      <c r="L138" s="42">
        <v>1</v>
      </c>
      <c r="M138" s="42">
        <v>2</v>
      </c>
      <c r="N138" s="43">
        <v>1</v>
      </c>
      <c r="O138" s="42">
        <v>4</v>
      </c>
      <c r="P138" s="42">
        <v>4</v>
      </c>
      <c r="Q138" s="43">
        <v>2</v>
      </c>
      <c r="R138" s="42">
        <v>3</v>
      </c>
      <c r="S138" s="42">
        <v>4</v>
      </c>
      <c r="T138" s="42">
        <v>2</v>
      </c>
      <c r="U138" s="42">
        <v>7</v>
      </c>
      <c r="V138" s="42">
        <v>1</v>
      </c>
      <c r="W138" s="42">
        <v>2</v>
      </c>
      <c r="X138" s="42" t="s">
        <v>45</v>
      </c>
      <c r="Y138" s="42" t="s">
        <v>45</v>
      </c>
      <c r="Z138" s="42" t="s">
        <v>45</v>
      </c>
      <c r="AA138" s="42" t="s">
        <v>45</v>
      </c>
      <c r="AB138" s="42" t="s">
        <v>45</v>
      </c>
      <c r="AC138" s="42" t="s">
        <v>45</v>
      </c>
      <c r="AD138" s="42" t="s">
        <v>45</v>
      </c>
      <c r="AE138" s="42" t="s">
        <v>45</v>
      </c>
      <c r="AF138" s="42" t="s">
        <v>45</v>
      </c>
      <c r="AG138" s="42" t="s">
        <v>45</v>
      </c>
      <c r="AH138" s="42" t="s">
        <v>45</v>
      </c>
      <c r="AI138" s="42" t="s">
        <v>45</v>
      </c>
      <c r="AJ138" s="42" t="s">
        <v>45</v>
      </c>
      <c r="AK138" s="42" t="s">
        <v>45</v>
      </c>
      <c r="AL138" s="42" t="s">
        <v>45</v>
      </c>
      <c r="AM138" s="42" t="s">
        <v>45</v>
      </c>
      <c r="AN138" s="42" t="s">
        <v>45</v>
      </c>
      <c r="AO138" s="43" t="s">
        <v>45</v>
      </c>
      <c r="AP138" s="42" t="s">
        <v>68</v>
      </c>
      <c r="AQ138" s="42">
        <v>5</v>
      </c>
      <c r="AR138" s="50" t="s">
        <v>353</v>
      </c>
      <c r="AS138" s="45" t="s">
        <v>745</v>
      </c>
      <c r="AT138" s="45" t="s">
        <v>47</v>
      </c>
      <c r="AU138" s="46">
        <f>($O$3*(L138-$O$1)/$O$2+$P$3*(M138-$P$1)/$P$2+$Q$3*(N138-$P$1)/$Q$2)/SUM($O$3:$Q$3)</f>
        <v>-2.5060525215375429</v>
      </c>
      <c r="AV138" s="46">
        <f>($O$3*(O138-$O$1)/$O$2+$P$3*(P138-$P$1)/$P$2+$Q$3*(Q138-$Q$1)/$Q$2)/SUM($O$3:$Q$3)</f>
        <v>-0.84329979835872926</v>
      </c>
      <c r="AW138" s="47">
        <f>COUNT(R138:AO138)/2</f>
        <v>3</v>
      </c>
      <c r="AX138" s="47">
        <f>IF(AND(S138&lt;&gt;"-",S138&gt;5),1,0)+IF(AND(U138&lt;&gt;"-",U138&gt;5),1,0)+IF(AND(W138&lt;&gt;"-",W138&gt;5),1,0)+IF(AND(Y138&lt;&gt;"-",Y138&gt;5),1,0)+IF(AND(AA138&lt;&gt;"-",AA138&gt;5),1,0)+IF(AND(AC138&lt;&gt;"-",AC138&gt;5),1,0)+IF(AND(AE138&lt;&gt;"-",AE138&gt;5),1,0)+IF(AND(AG138&lt;&gt;"-",AG138&gt;5),1,0)+IF(AND(AI138&lt;&gt;"-",AI138&gt;5),1,0)+IF(AND(AK138&lt;&gt;"-",AK138&gt;5),1,0)+IF(AND(AM138&lt;&gt;"-",AM138&gt;5),1,0)+IF(AND(AO138&lt;&gt;"-",AO138&gt;5),1,0)</f>
        <v>1</v>
      </c>
      <c r="AY138" s="48">
        <f>VLOOKUP(AP138,COND!$A$10:$B$32,2,FALSE)</f>
        <v>0.95</v>
      </c>
      <c r="AZ138" s="46">
        <f>($AU$3*AU138+$AV$3*AV138+$AW$3*AW138+$AX$3*AX138)*AY138*IF(AQ138&lt;5,0.95,IF(AQ138&lt;7,0.975,1))+$I$3*VLOOKUP(I138,COND!$A$2:$E$7,4,FALSE)+$J$3*VLOOKUP(J138,COND!$A$2:$E$7,2,FALSE)+$K$3*VLOOKUP(K138,COND!$A$2:$E$7,3,FALSE)+IF(BB138="SP",$BB$3,0)+IF($AW138&lt;3,-5,0)+IF(AND($B$2&gt;0,$E138&lt;20),$B$2*25,0)</f>
        <v>37.86081250578971</v>
      </c>
      <c r="BA138" s="49">
        <f>STANDARDIZE(AZ138,AVERAGE($AZ$5:$AZ$570),STDEVP($AZ$5:$AZ$570))</f>
        <v>0.47122806613758583</v>
      </c>
      <c r="BB138" s="47" t="str">
        <f>IF(OR(AND(AQ138&gt;7,AX138&gt;1),AND(AQ138&gt;4,AW138&gt;2)),"SP","RP")</f>
        <v>SP</v>
      </c>
      <c r="BC138" s="47"/>
      <c r="BD138" s="47"/>
      <c r="BE138" s="47"/>
      <c r="BF138" s="47" t="str">
        <f>IF(AVERAGE($O138:$Q138)&gt;=6,"Likely",IF(AVERAGE($O138:$Q138)&gt;=4,"Possible","Unlikely"))</f>
        <v>Unlikely</v>
      </c>
      <c r="BG138" s="47"/>
      <c r="BH138" s="47" t="str">
        <f>INDEX(Table5[[#All],[Ovr]],MATCH(Table3[[#This Row],[PID]],Table5[[#All],[PID]],0))</f>
        <v/>
      </c>
      <c r="BI138" s="47" t="str">
        <f>INDEX(Table5[[#All],[Rnd]],MATCH(Table3[[#This Row],[PID]],Table5[[#All],[PID]],0))</f>
        <v/>
      </c>
      <c r="BJ138" s="47" t="str">
        <f>INDEX(Table5[[#All],[Pick]],MATCH(Table3[[#This Row],[PID]],Table5[[#All],[PID]],0))</f>
        <v/>
      </c>
      <c r="BK138" s="47" t="str">
        <f>INDEX(Table5[[#All],[Team]],MATCH(Table3[[#This Row],[PID]],Table5[[#All],[PID]],0))</f>
        <v/>
      </c>
      <c r="BL1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9" spans="1:64" ht="15" customHeight="1" x14ac:dyDescent="0.25">
      <c r="A139" s="42">
        <v>14964</v>
      </c>
      <c r="B139" s="42" t="s">
        <v>430</v>
      </c>
      <c r="C139" s="42" t="s">
        <v>965</v>
      </c>
      <c r="D139" s="42" t="s">
        <v>404</v>
      </c>
      <c r="E139" s="42">
        <v>18</v>
      </c>
      <c r="F139" s="42" t="s">
        <v>62</v>
      </c>
      <c r="G139" s="42" t="s">
        <v>42</v>
      </c>
      <c r="H139" s="43" t="s">
        <v>721</v>
      </c>
      <c r="I139" s="44" t="s">
        <v>47</v>
      </c>
      <c r="J139" s="42" t="s">
        <v>47</v>
      </c>
      <c r="K139" s="43" t="s">
        <v>43</v>
      </c>
      <c r="L139" s="42">
        <v>1</v>
      </c>
      <c r="M139" s="42">
        <v>3</v>
      </c>
      <c r="N139" s="43">
        <v>2</v>
      </c>
      <c r="O139" s="42">
        <v>3</v>
      </c>
      <c r="P139" s="42">
        <v>4</v>
      </c>
      <c r="Q139" s="43">
        <v>3</v>
      </c>
      <c r="R139" s="42" t="s">
        <v>45</v>
      </c>
      <c r="S139" s="42" t="s">
        <v>45</v>
      </c>
      <c r="T139" s="42" t="s">
        <v>45</v>
      </c>
      <c r="U139" s="42" t="s">
        <v>45</v>
      </c>
      <c r="V139" s="42">
        <v>2</v>
      </c>
      <c r="W139" s="42">
        <v>4</v>
      </c>
      <c r="X139" s="42" t="s">
        <v>45</v>
      </c>
      <c r="Y139" s="42" t="s">
        <v>45</v>
      </c>
      <c r="Z139" s="42">
        <v>3</v>
      </c>
      <c r="AA139" s="42">
        <v>4</v>
      </c>
      <c r="AB139" s="42" t="s">
        <v>45</v>
      </c>
      <c r="AC139" s="42" t="s">
        <v>45</v>
      </c>
      <c r="AD139" s="42">
        <v>3</v>
      </c>
      <c r="AE139" s="42">
        <v>4</v>
      </c>
      <c r="AF139" s="42" t="s">
        <v>45</v>
      </c>
      <c r="AG139" s="42" t="s">
        <v>45</v>
      </c>
      <c r="AH139" s="42" t="s">
        <v>45</v>
      </c>
      <c r="AI139" s="42" t="s">
        <v>45</v>
      </c>
      <c r="AJ139" s="42" t="s">
        <v>45</v>
      </c>
      <c r="AK139" s="42" t="s">
        <v>45</v>
      </c>
      <c r="AL139" s="42" t="s">
        <v>45</v>
      </c>
      <c r="AM139" s="42" t="s">
        <v>45</v>
      </c>
      <c r="AN139" s="42" t="s">
        <v>45</v>
      </c>
      <c r="AO139" s="43" t="s">
        <v>45</v>
      </c>
      <c r="AP139" s="42" t="s">
        <v>68</v>
      </c>
      <c r="AQ139" s="42">
        <v>2</v>
      </c>
      <c r="AR139" s="50" t="s">
        <v>352</v>
      </c>
      <c r="AS139" s="45" t="s">
        <v>718</v>
      </c>
      <c r="AT139" s="45" t="s">
        <v>705</v>
      </c>
      <c r="AU139" s="46">
        <f>($O$3*(L139-$O$1)/$O$2+$P$3*(M139-$P$1)/$P$2+$Q$3*(N139-$P$1)/$Q$2)/SUM($O$3:$Q$3)</f>
        <v>-2.0683002390533769</v>
      </c>
      <c r="AV139" s="46">
        <f>($O$3*(O139-$O$1)/$O$2+$P$3*(P139-$P$1)/$P$2+$Q$3*(Q139-$Q$1)/$Q$2)/SUM($O$3:$Q$3)</f>
        <v>-0.7956705568137924</v>
      </c>
      <c r="AW139" s="47">
        <f>COUNT(R139:AO139)/2</f>
        <v>3</v>
      </c>
      <c r="AX139" s="47">
        <f>IF(AND(S139&lt;&gt;"-",S139&gt;5),1,0)+IF(AND(U139&lt;&gt;"-",U139&gt;5),1,0)+IF(AND(W139&lt;&gt;"-",W139&gt;5),1,0)+IF(AND(Y139&lt;&gt;"-",Y139&gt;5),1,0)+IF(AND(AA139&lt;&gt;"-",AA139&gt;5),1,0)+IF(AND(AC139&lt;&gt;"-",AC139&gt;5),1,0)+IF(AND(AE139&lt;&gt;"-",AE139&gt;5),1,0)+IF(AND(AG139&lt;&gt;"-",AG139&gt;5),1,0)+IF(AND(AI139&lt;&gt;"-",AI139&gt;5),1,0)+IF(AND(AK139&lt;&gt;"-",AK139&gt;5),1,0)+IF(AND(AM139&lt;&gt;"-",AM139&gt;5),1,0)+IF(AND(AO139&lt;&gt;"-",AO139&gt;5),1,0)</f>
        <v>0</v>
      </c>
      <c r="AY139" s="48">
        <f>VLOOKUP(AP139,COND!$A$10:$B$32,2,FALSE)</f>
        <v>0.95</v>
      </c>
      <c r="AZ139" s="46">
        <f>($AU$3*AU139+$AV$3*AV139+$AW$3*AW139+$AX$3*AX139)*AY139*IF(AQ139&lt;5,0.95,IF(AQ139&lt;7,0.975,1))+$I$3*VLOOKUP(I139,COND!$A$2:$E$7,4,FALSE)+$J$3*VLOOKUP(J139,COND!$A$2:$E$7,2,FALSE)+$K$3*VLOOKUP(K139,COND!$A$2:$E$7,3,FALSE)+IF(BB139="SP",$BB$3,0)+IF($AW139&lt;3,-5,0)+IF(AND($B$2&gt;0,$E139&lt;20),$B$2*25,0)</f>
        <v>37.143568256361917</v>
      </c>
      <c r="BA139" s="49">
        <f>STANDARDIZE(AZ139,AVERAGE($AZ$5:$AZ$676),STDEVP($AZ$5:$AZ$676))</f>
        <v>0.59144062708758882</v>
      </c>
      <c r="BB139" s="47" t="str">
        <f>IF(OR(AND(AQ139&gt;7,AX139&gt;1),AND(AQ139&gt;4,AW139&gt;2)),"SP","RP")</f>
        <v>RP</v>
      </c>
      <c r="BC139" s="47"/>
      <c r="BD139" s="47"/>
      <c r="BE139" s="47"/>
      <c r="BF139" s="47" t="str">
        <f>IF(AVERAGE($O139:$Q139)&gt;=6,"Likely",IF(AVERAGE($O139:$Q139)&gt;=4,"Possible","Unlikely"))</f>
        <v>Unlikely</v>
      </c>
      <c r="BG139" s="47"/>
      <c r="BH139" s="47" t="str">
        <f>INDEX(Table5[[#All],[Ovr]],MATCH(Table3[[#This Row],[PID]],Table5[[#All],[PID]],0))</f>
        <v/>
      </c>
      <c r="BI139" s="47" t="str">
        <f>INDEX(Table5[[#All],[Rnd]],MATCH(Table3[[#This Row],[PID]],Table5[[#All],[PID]],0))</f>
        <v/>
      </c>
      <c r="BJ139" s="47" t="str">
        <f>INDEX(Table5[[#All],[Pick]],MATCH(Table3[[#This Row],[PID]],Table5[[#All],[PID]],0))</f>
        <v/>
      </c>
      <c r="BK139" s="47" t="str">
        <f>INDEX(Table5[[#All],[Team]],MATCH(Table3[[#This Row],[PID]],Table5[[#All],[PID]],0))</f>
        <v/>
      </c>
      <c r="BL1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0" spans="1:64" ht="15" customHeight="1" x14ac:dyDescent="0.25">
      <c r="A140" s="42">
        <v>8151</v>
      </c>
      <c r="B140" s="42" t="s">
        <v>49</v>
      </c>
      <c r="C140" s="42" t="s">
        <v>623</v>
      </c>
      <c r="D140" s="42" t="s">
        <v>1479</v>
      </c>
      <c r="E140" s="42">
        <v>18</v>
      </c>
      <c r="F140" s="42" t="s">
        <v>42</v>
      </c>
      <c r="G140" s="42" t="s">
        <v>53</v>
      </c>
      <c r="H140" s="43" t="s">
        <v>721</v>
      </c>
      <c r="I140" s="44" t="s">
        <v>47</v>
      </c>
      <c r="J140" s="42" t="s">
        <v>47</v>
      </c>
      <c r="K140" s="43" t="s">
        <v>43</v>
      </c>
      <c r="L140" s="42">
        <v>2</v>
      </c>
      <c r="M140" s="42">
        <v>2</v>
      </c>
      <c r="N140" s="43">
        <v>1</v>
      </c>
      <c r="O140" s="42">
        <v>6</v>
      </c>
      <c r="P140" s="42">
        <v>3</v>
      </c>
      <c r="Q140" s="43">
        <v>2</v>
      </c>
      <c r="R140" s="42">
        <v>3</v>
      </c>
      <c r="S140" s="42">
        <v>7</v>
      </c>
      <c r="T140" s="42" t="s">
        <v>45</v>
      </c>
      <c r="U140" s="42" t="s">
        <v>45</v>
      </c>
      <c r="V140" s="42" t="s">
        <v>45</v>
      </c>
      <c r="W140" s="42" t="s">
        <v>45</v>
      </c>
      <c r="X140" s="42">
        <v>2</v>
      </c>
      <c r="Y140" s="42">
        <v>8</v>
      </c>
      <c r="Z140" s="42" t="s">
        <v>45</v>
      </c>
      <c r="AA140" s="42" t="s">
        <v>45</v>
      </c>
      <c r="AB140" s="42" t="s">
        <v>45</v>
      </c>
      <c r="AC140" s="42" t="s">
        <v>45</v>
      </c>
      <c r="AD140" s="42" t="s">
        <v>45</v>
      </c>
      <c r="AE140" s="42" t="s">
        <v>45</v>
      </c>
      <c r="AF140" s="42" t="s">
        <v>45</v>
      </c>
      <c r="AG140" s="42" t="s">
        <v>45</v>
      </c>
      <c r="AH140" s="42" t="s">
        <v>45</v>
      </c>
      <c r="AI140" s="42" t="s">
        <v>45</v>
      </c>
      <c r="AJ140" s="42" t="s">
        <v>45</v>
      </c>
      <c r="AK140" s="42" t="s">
        <v>45</v>
      </c>
      <c r="AL140" s="42" t="s">
        <v>45</v>
      </c>
      <c r="AM140" s="42" t="s">
        <v>45</v>
      </c>
      <c r="AN140" s="42" t="s">
        <v>45</v>
      </c>
      <c r="AO140" s="43" t="s">
        <v>45</v>
      </c>
      <c r="AP140" s="42" t="s">
        <v>356</v>
      </c>
      <c r="AQ140" s="42">
        <v>7</v>
      </c>
      <c r="AR140" s="50" t="s">
        <v>353</v>
      </c>
      <c r="AS140" s="45" t="s">
        <v>739</v>
      </c>
      <c r="AT140" s="45" t="s">
        <v>705</v>
      </c>
      <c r="AU140" s="46">
        <f>($O$3*(L140-$O$1)/$O$2+$P$3*(M140-$P$1)/$P$2+$Q$3*(N140-$P$1)/$Q$2)/SUM($O$3:$Q$3)</f>
        <v>-2.311361197028369</v>
      </c>
      <c r="AV140" s="46">
        <f>($O$3*(O140-$O$1)/$O$2+$P$3*(P140-$P$1)/$P$2+$Q$3*(Q140-$Q$1)/$Q$2)/SUM($O$3:$Q$3)</f>
        <v>-0.64934886577043749</v>
      </c>
      <c r="AW140" s="47">
        <f>COUNT(R140:AO140)/2</f>
        <v>2</v>
      </c>
      <c r="AX140" s="47">
        <f>IF(AND(S140&lt;&gt;"-",S140&gt;5),1,0)+IF(AND(U140&lt;&gt;"-",U140&gt;5),1,0)+IF(AND(W140&lt;&gt;"-",W140&gt;5),1,0)+IF(AND(Y140&lt;&gt;"-",Y140&gt;5),1,0)+IF(AND(AA140&lt;&gt;"-",AA140&gt;5),1,0)+IF(AND(AC140&lt;&gt;"-",AC140&gt;5),1,0)+IF(AND(AE140&lt;&gt;"-",AE140&gt;5),1,0)+IF(AND(AG140&lt;&gt;"-",AG140&gt;5),1,0)+IF(AND(AI140&lt;&gt;"-",AI140&gt;5),1,0)+IF(AND(AK140&lt;&gt;"-",AK140&gt;5),1,0)+IF(AND(AM140&lt;&gt;"-",AM140&gt;5),1,0)+IF(AND(AO140&lt;&gt;"-",AO140&gt;5),1,0)</f>
        <v>2</v>
      </c>
      <c r="AY140" s="48">
        <f>VLOOKUP(AP140,COND!$A$10:$B$32,2,FALSE)</f>
        <v>1</v>
      </c>
      <c r="AZ140" s="46">
        <f>($AU$3*AU140+$AV$3*AV140+$AW$3*AW140+$AX$3*AX140)*AY140*IF(AQ140&lt;5,0.95,IF(AQ140&lt;7,0.975,1))+$I$3*VLOOKUP(I140,COND!$A$2:$E$7,4,FALSE)+$J$3*VLOOKUP(J140,COND!$A$2:$E$7,2,FALSE)+$K$3*VLOOKUP(K140,COND!$A$2:$E$7,3,FALSE)+IF(BB140="SP",$BB$3,0)+IF($AW140&lt;3,-5,0)+IF(AND($B$2&gt;0,$E140&lt;20),$B$2*25,0)</f>
        <v>35.575750445185577</v>
      </c>
      <c r="BA140" s="49">
        <f>STANDARDIZE(AZ140,AVERAGE($AZ$5:$AZ$570),STDEVP($AZ$5:$AZ$570))</f>
        <v>0.26167810861967522</v>
      </c>
      <c r="BB140" s="47" t="str">
        <f>IF(OR(AND(AQ140&gt;7,AX140&gt;1),AND(AQ140&gt;4,AW140&gt;2)),"SP","RP")</f>
        <v>RP</v>
      </c>
      <c r="BC140" s="47"/>
      <c r="BD140" s="47"/>
      <c r="BE140" s="47"/>
      <c r="BF140" s="47" t="str">
        <f>IF(AVERAGE($O140:$Q140)&gt;=6,"Likely",IF(AVERAGE($O140:$Q140)&gt;=4,"Possible","Unlikely"))</f>
        <v>Unlikely</v>
      </c>
      <c r="BG140" s="47"/>
      <c r="BH140" s="47" t="str">
        <f>INDEX(Table5[[#All],[Ovr]],MATCH(Table3[[#This Row],[PID]],Table5[[#All],[PID]],0))</f>
        <v/>
      </c>
      <c r="BI140" s="47" t="str">
        <f>INDEX(Table5[[#All],[Rnd]],MATCH(Table3[[#This Row],[PID]],Table5[[#All],[PID]],0))</f>
        <v/>
      </c>
      <c r="BJ140" s="47" t="str">
        <f>INDEX(Table5[[#All],[Pick]],MATCH(Table3[[#This Row],[PID]],Table5[[#All],[PID]],0))</f>
        <v/>
      </c>
      <c r="BK140" s="47" t="str">
        <f>INDEX(Table5[[#All],[Team]],MATCH(Table3[[#This Row],[PID]],Table5[[#All],[PID]],0))</f>
        <v/>
      </c>
      <c r="BL1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1" spans="1:64" ht="15" customHeight="1" x14ac:dyDescent="0.25">
      <c r="A141" s="42">
        <v>13679</v>
      </c>
      <c r="B141" s="42" t="s">
        <v>430</v>
      </c>
      <c r="C141" s="42" t="s">
        <v>161</v>
      </c>
      <c r="D141" s="42" t="s">
        <v>843</v>
      </c>
      <c r="E141" s="42">
        <v>18</v>
      </c>
      <c r="F141" s="42" t="s">
        <v>42</v>
      </c>
      <c r="G141" s="42" t="s">
        <v>42</v>
      </c>
      <c r="H141" s="43" t="s">
        <v>721</v>
      </c>
      <c r="I141" s="44" t="s">
        <v>47</v>
      </c>
      <c r="J141" s="42" t="s">
        <v>47</v>
      </c>
      <c r="K141" s="43" t="s">
        <v>43</v>
      </c>
      <c r="L141" s="42">
        <v>1</v>
      </c>
      <c r="M141" s="42">
        <v>2</v>
      </c>
      <c r="N141" s="43">
        <v>1</v>
      </c>
      <c r="O141" s="42">
        <v>5</v>
      </c>
      <c r="P141" s="42">
        <v>4</v>
      </c>
      <c r="Q141" s="43">
        <v>2</v>
      </c>
      <c r="R141" s="42" t="s">
        <v>45</v>
      </c>
      <c r="S141" s="42" t="s">
        <v>45</v>
      </c>
      <c r="T141" s="42" t="s">
        <v>45</v>
      </c>
      <c r="U141" s="42" t="s">
        <v>45</v>
      </c>
      <c r="V141" s="42">
        <v>1</v>
      </c>
      <c r="W141" s="42">
        <v>7</v>
      </c>
      <c r="X141" s="42" t="s">
        <v>45</v>
      </c>
      <c r="Y141" s="42" t="s">
        <v>45</v>
      </c>
      <c r="Z141" s="42" t="s">
        <v>45</v>
      </c>
      <c r="AA141" s="42" t="s">
        <v>45</v>
      </c>
      <c r="AB141" s="42" t="s">
        <v>45</v>
      </c>
      <c r="AC141" s="42" t="s">
        <v>45</v>
      </c>
      <c r="AD141" s="42">
        <v>3</v>
      </c>
      <c r="AE141" s="42">
        <v>6</v>
      </c>
      <c r="AF141" s="42" t="s">
        <v>45</v>
      </c>
      <c r="AG141" s="42" t="s">
        <v>45</v>
      </c>
      <c r="AH141" s="42" t="s">
        <v>45</v>
      </c>
      <c r="AI141" s="42" t="s">
        <v>45</v>
      </c>
      <c r="AJ141" s="42" t="s">
        <v>45</v>
      </c>
      <c r="AK141" s="42" t="s">
        <v>45</v>
      </c>
      <c r="AL141" s="42" t="s">
        <v>45</v>
      </c>
      <c r="AM141" s="42" t="s">
        <v>45</v>
      </c>
      <c r="AN141" s="42" t="s">
        <v>45</v>
      </c>
      <c r="AO141" s="43" t="s">
        <v>45</v>
      </c>
      <c r="AP141" s="42" t="s">
        <v>356</v>
      </c>
      <c r="AQ141" s="42">
        <v>7</v>
      </c>
      <c r="AR141" s="50" t="s">
        <v>353</v>
      </c>
      <c r="AS141" s="45" t="s">
        <v>718</v>
      </c>
      <c r="AT141" s="45" t="s">
        <v>47</v>
      </c>
      <c r="AU141" s="46">
        <f>($O$3*(L141-$O$1)/$O$2+$P$3*(M141-$P$1)/$P$2+$Q$3*(N141-$P$1)/$Q$2)/SUM($O$3:$Q$3)</f>
        <v>-2.5060525215375429</v>
      </c>
      <c r="AV141" s="46">
        <f>($O$3*(O141-$O$1)/$O$2+$P$3*(P141-$P$1)/$P$2+$Q$3*(Q141-$Q$1)/$Q$2)/SUM($O$3:$Q$3)</f>
        <v>-0.64860847384955567</v>
      </c>
      <c r="AW141" s="47">
        <f>COUNT(R141:AO141)/2</f>
        <v>2</v>
      </c>
      <c r="AX141" s="47">
        <f>IF(AND(S141&lt;&gt;"-",S141&gt;5),1,0)+IF(AND(U141&lt;&gt;"-",U141&gt;5),1,0)+IF(AND(W141&lt;&gt;"-",W141&gt;5),1,0)+IF(AND(Y141&lt;&gt;"-",Y141&gt;5),1,0)+IF(AND(AA141&lt;&gt;"-",AA141&gt;5),1,0)+IF(AND(AC141&lt;&gt;"-",AC141&gt;5),1,0)+IF(AND(AE141&lt;&gt;"-",AE141&gt;5),1,0)+IF(AND(AG141&lt;&gt;"-",AG141&gt;5),1,0)+IF(AND(AI141&lt;&gt;"-",AI141&gt;5),1,0)+IF(AND(AK141&lt;&gt;"-",AK141&gt;5),1,0)+IF(AND(AM141&lt;&gt;"-",AM141&gt;5),1,0)+IF(AND(AO141&lt;&gt;"-",AO141&gt;5),1,0)</f>
        <v>2</v>
      </c>
      <c r="AY141" s="48">
        <f>VLOOKUP(AP141,COND!$A$10:$B$32,2,FALSE)</f>
        <v>1</v>
      </c>
      <c r="AZ141" s="46">
        <f>($AU$3*AU141+$AV$3*AV141+$AW$3*AW141+$AX$3*AX141)*AY141*IF(AQ141&lt;5,0.95,IF(AQ141&lt;7,0.975,1))+$I$3*VLOOKUP(I141,COND!$A$2:$E$7,4,FALSE)+$J$3*VLOOKUP(J141,COND!$A$2:$E$7,2,FALSE)+$K$3*VLOOKUP(K141,COND!$A$2:$E$7,3,FALSE)+IF(BB141="SP",$BB$3,0)+IF($AW141&lt;3,-5,0)+IF(AND($B$2&gt;0,$E141&lt;20),$B$2*25,0)</f>
        <v>35.551620018701378</v>
      </c>
      <c r="BA141" s="49">
        <f>STANDARDIZE(AZ141,AVERAGE($AZ$5:$AZ$570),STDEVP($AZ$5:$AZ$570))</f>
        <v>0.25946524537546384</v>
      </c>
      <c r="BB141" s="47" t="str">
        <f>IF(OR(AND(AQ141&gt;7,AX141&gt;1),AND(AQ141&gt;4,AW141&gt;2)),"SP","RP")</f>
        <v>RP</v>
      </c>
      <c r="BC141" s="47"/>
      <c r="BD141" s="47"/>
      <c r="BE141" s="47"/>
      <c r="BF141" s="47" t="str">
        <f>IF(AVERAGE($O141:$Q141)&gt;=6,"Likely",IF(AVERAGE($O141:$Q141)&gt;=4,"Possible","Unlikely"))</f>
        <v>Unlikely</v>
      </c>
      <c r="BG141" s="47"/>
      <c r="BH141" s="47" t="str">
        <f>INDEX(Table5[[#All],[Ovr]],MATCH(Table3[[#This Row],[PID]],Table5[[#All],[PID]],0))</f>
        <v/>
      </c>
      <c r="BI141" s="47" t="str">
        <f>INDEX(Table5[[#All],[Rnd]],MATCH(Table3[[#This Row],[PID]],Table5[[#All],[PID]],0))</f>
        <v/>
      </c>
      <c r="BJ141" s="47" t="str">
        <f>INDEX(Table5[[#All],[Pick]],MATCH(Table3[[#This Row],[PID]],Table5[[#All],[PID]],0))</f>
        <v/>
      </c>
      <c r="BK141" s="47" t="str">
        <f>INDEX(Table5[[#All],[Team]],MATCH(Table3[[#This Row],[PID]],Table5[[#All],[PID]],0))</f>
        <v/>
      </c>
      <c r="BL1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2" spans="1:64" ht="15" customHeight="1" x14ac:dyDescent="0.25">
      <c r="A142" s="42">
        <v>13144</v>
      </c>
      <c r="B142" s="42" t="s">
        <v>430</v>
      </c>
      <c r="C142" s="42" t="s">
        <v>401</v>
      </c>
      <c r="D142" s="42" t="s">
        <v>1538</v>
      </c>
      <c r="E142" s="42">
        <v>18</v>
      </c>
      <c r="F142" s="42" t="s">
        <v>53</v>
      </c>
      <c r="G142" s="42" t="s">
        <v>53</v>
      </c>
      <c r="H142" s="43" t="s">
        <v>721</v>
      </c>
      <c r="I142" s="44" t="s">
        <v>43</v>
      </c>
      <c r="J142" s="42" t="s">
        <v>47</v>
      </c>
      <c r="K142" s="43" t="s">
        <v>43</v>
      </c>
      <c r="L142" s="42">
        <v>2</v>
      </c>
      <c r="M142" s="42">
        <v>2</v>
      </c>
      <c r="N142" s="43">
        <v>1</v>
      </c>
      <c r="O142" s="42">
        <v>5</v>
      </c>
      <c r="P142" s="42">
        <v>2</v>
      </c>
      <c r="Q142" s="43">
        <v>2</v>
      </c>
      <c r="R142" s="42">
        <v>4</v>
      </c>
      <c r="S142" s="42">
        <v>6</v>
      </c>
      <c r="T142" s="42">
        <v>1</v>
      </c>
      <c r="U142" s="42">
        <v>1</v>
      </c>
      <c r="V142" s="42" t="s">
        <v>45</v>
      </c>
      <c r="W142" s="42" t="s">
        <v>45</v>
      </c>
      <c r="X142" s="42">
        <v>2</v>
      </c>
      <c r="Y142" s="42">
        <v>6</v>
      </c>
      <c r="Z142" s="42" t="s">
        <v>45</v>
      </c>
      <c r="AA142" s="42" t="s">
        <v>45</v>
      </c>
      <c r="AB142" s="42" t="s">
        <v>45</v>
      </c>
      <c r="AC142" s="42" t="s">
        <v>45</v>
      </c>
      <c r="AD142" s="42" t="s">
        <v>45</v>
      </c>
      <c r="AE142" s="42" t="s">
        <v>45</v>
      </c>
      <c r="AF142" s="42" t="s">
        <v>45</v>
      </c>
      <c r="AG142" s="42" t="s">
        <v>45</v>
      </c>
      <c r="AH142" s="42" t="s">
        <v>45</v>
      </c>
      <c r="AI142" s="42" t="s">
        <v>45</v>
      </c>
      <c r="AJ142" s="42" t="s">
        <v>45</v>
      </c>
      <c r="AK142" s="42" t="s">
        <v>45</v>
      </c>
      <c r="AL142" s="42" t="s">
        <v>45</v>
      </c>
      <c r="AM142" s="42" t="s">
        <v>45</v>
      </c>
      <c r="AN142" s="42" t="s">
        <v>45</v>
      </c>
      <c r="AO142" s="43" t="s">
        <v>45</v>
      </c>
      <c r="AP142" s="42" t="s">
        <v>57</v>
      </c>
      <c r="AQ142" s="42">
        <v>6</v>
      </c>
      <c r="AR142" s="50" t="s">
        <v>353</v>
      </c>
      <c r="AS142" s="45" t="s">
        <v>718</v>
      </c>
      <c r="AT142" s="45" t="s">
        <v>47</v>
      </c>
      <c r="AU142" s="46">
        <f>($O$3*(L142-$O$1)/$O$2+$P$3*(M142-$P$1)/$P$2+$Q$3*(N142-$P$1)/$Q$2)/SUM($O$3:$Q$3)</f>
        <v>-2.311361197028369</v>
      </c>
      <c r="AV142" s="46">
        <f>($O$3*(O142-$O$1)/$O$2+$P$3*(P142-$P$1)/$P$2+$Q$3*(Q142-$Q$1)/$Q$2)/SUM($O$3:$Q$3)</f>
        <v>-1.0394719067096667</v>
      </c>
      <c r="AW142" s="47">
        <f>COUNT(R142:AO142)/2</f>
        <v>3</v>
      </c>
      <c r="AX142" s="47">
        <f>IF(AND(S142&lt;&gt;"-",S142&gt;5),1,0)+IF(AND(U142&lt;&gt;"-",U142&gt;5),1,0)+IF(AND(W142&lt;&gt;"-",W142&gt;5),1,0)+IF(AND(Y142&lt;&gt;"-",Y142&gt;5),1,0)+IF(AND(AA142&lt;&gt;"-",AA142&gt;5),1,0)+IF(AND(AC142&lt;&gt;"-",AC142&gt;5),1,0)+IF(AND(AE142&lt;&gt;"-",AE142&gt;5),1,0)+IF(AND(AG142&lt;&gt;"-",AG142&gt;5),1,0)+IF(AND(AI142&lt;&gt;"-",AI142&gt;5),1,0)+IF(AND(AK142&lt;&gt;"-",AK142&gt;5),1,0)+IF(AND(AM142&lt;&gt;"-",AM142&gt;5),1,0)+IF(AND(AO142&lt;&gt;"-",AO142&gt;5),1,0)</f>
        <v>2</v>
      </c>
      <c r="AY142" s="48">
        <f>VLOOKUP(AP142,COND!$A$10:$B$32,2,FALSE)</f>
        <v>1</v>
      </c>
      <c r="AZ142" s="46">
        <f>($AU$3*AU142+$AV$3*AV142+$AW$3*AW142+$AX$3*AX142)*AY142*IF(AQ142&lt;5,0.95,IF(AQ142&lt;7,0.975,1))+$I$3*VLOOKUP(I142,COND!$A$2:$E$7,4,FALSE)+$J$3*VLOOKUP(J142,COND!$A$2:$E$7,2,FALSE)+$K$3*VLOOKUP(K142,COND!$A$2:$E$7,3,FALSE)+IF(BB142="SP",$BB$3,0)+IF($AW142&lt;3,-5,0)+IF(AND($B$2&gt;0,$E142&lt;20),$B$2*25,0)</f>
        <v>35.479582385740969</v>
      </c>
      <c r="BA142" s="49">
        <f>STANDARDIZE(AZ142,AVERAGE($AZ$5:$AZ$570),STDEVP($AZ$5:$AZ$570))</f>
        <v>0.25285908653767997</v>
      </c>
      <c r="BB142" s="47" t="str">
        <f>IF(OR(AND(AQ142&gt;7,AX142&gt;1),AND(AQ142&gt;4,AW142&gt;2)),"SP","RP")</f>
        <v>SP</v>
      </c>
      <c r="BC142" s="47"/>
      <c r="BD142" s="47"/>
      <c r="BE142" s="47"/>
      <c r="BF142" s="47" t="str">
        <f>IF(AVERAGE($O142:$Q142)&gt;=6,"Likely",IF(AVERAGE($O142:$Q142)&gt;=4,"Possible","Unlikely"))</f>
        <v>Unlikely</v>
      </c>
      <c r="BG142" s="47"/>
      <c r="BH142" s="47" t="str">
        <f>INDEX(Table5[[#All],[Ovr]],MATCH(Table3[[#This Row],[PID]],Table5[[#All],[PID]],0))</f>
        <v/>
      </c>
      <c r="BI142" s="47" t="str">
        <f>INDEX(Table5[[#All],[Rnd]],MATCH(Table3[[#This Row],[PID]],Table5[[#All],[PID]],0))</f>
        <v/>
      </c>
      <c r="BJ142" s="47" t="str">
        <f>INDEX(Table5[[#All],[Pick]],MATCH(Table3[[#This Row],[PID]],Table5[[#All],[PID]],0))</f>
        <v/>
      </c>
      <c r="BK142" s="47" t="str">
        <f>INDEX(Table5[[#All],[Team]],MATCH(Table3[[#This Row],[PID]],Table5[[#All],[PID]],0))</f>
        <v/>
      </c>
      <c r="BL1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3" spans="1:64" ht="15" customHeight="1" x14ac:dyDescent="0.25">
      <c r="A143" s="42">
        <v>12632</v>
      </c>
      <c r="B143" s="42" t="s">
        <v>430</v>
      </c>
      <c r="C143" s="42" t="s">
        <v>187</v>
      </c>
      <c r="D143" s="42" t="s">
        <v>918</v>
      </c>
      <c r="E143" s="42">
        <v>18</v>
      </c>
      <c r="F143" s="42" t="s">
        <v>53</v>
      </c>
      <c r="G143" s="42" t="s">
        <v>53</v>
      </c>
      <c r="H143" s="43" t="s">
        <v>721</v>
      </c>
      <c r="I143" s="44" t="s">
        <v>43</v>
      </c>
      <c r="J143" s="42" t="s">
        <v>43</v>
      </c>
      <c r="K143" s="43" t="s">
        <v>43</v>
      </c>
      <c r="L143" s="42">
        <v>1</v>
      </c>
      <c r="M143" s="42">
        <v>1</v>
      </c>
      <c r="N143" s="43">
        <v>1</v>
      </c>
      <c r="O143" s="42">
        <v>4</v>
      </c>
      <c r="P143" s="42">
        <v>1</v>
      </c>
      <c r="Q143" s="43">
        <v>4</v>
      </c>
      <c r="R143" s="42">
        <v>2</v>
      </c>
      <c r="S143" s="42">
        <v>5</v>
      </c>
      <c r="T143" s="42">
        <v>1</v>
      </c>
      <c r="U143" s="42">
        <v>2</v>
      </c>
      <c r="V143" s="42">
        <v>1</v>
      </c>
      <c r="W143" s="42">
        <v>6</v>
      </c>
      <c r="X143" s="42" t="s">
        <v>45</v>
      </c>
      <c r="Y143" s="42" t="s">
        <v>45</v>
      </c>
      <c r="Z143" s="42" t="s">
        <v>45</v>
      </c>
      <c r="AA143" s="42" t="s">
        <v>45</v>
      </c>
      <c r="AB143" s="42" t="s">
        <v>45</v>
      </c>
      <c r="AC143" s="42" t="s">
        <v>45</v>
      </c>
      <c r="AD143" s="42" t="s">
        <v>45</v>
      </c>
      <c r="AE143" s="42" t="s">
        <v>45</v>
      </c>
      <c r="AF143" s="42" t="s">
        <v>45</v>
      </c>
      <c r="AG143" s="42" t="s">
        <v>45</v>
      </c>
      <c r="AH143" s="42" t="s">
        <v>45</v>
      </c>
      <c r="AI143" s="42" t="s">
        <v>45</v>
      </c>
      <c r="AJ143" s="42" t="s">
        <v>45</v>
      </c>
      <c r="AK143" s="42" t="s">
        <v>45</v>
      </c>
      <c r="AL143" s="42" t="s">
        <v>45</v>
      </c>
      <c r="AM143" s="42" t="s">
        <v>45</v>
      </c>
      <c r="AN143" s="42" t="s">
        <v>45</v>
      </c>
      <c r="AO143" s="43" t="s">
        <v>45</v>
      </c>
      <c r="AP143" s="42" t="s">
        <v>68</v>
      </c>
      <c r="AQ143" s="42">
        <v>7</v>
      </c>
      <c r="AR143" s="50" t="s">
        <v>14</v>
      </c>
      <c r="AS143" s="45" t="s">
        <v>718</v>
      </c>
      <c r="AT143" s="45" t="s">
        <v>705</v>
      </c>
      <c r="AU143" s="46">
        <f>($O$3*(L143-$O$1)/$O$2+$P$3*(M143-$P$1)/$P$2+$Q$3*(N143-$P$1)/$Q$2)/SUM($O$3:$Q$3)</f>
        <v>-2.7014842379675978</v>
      </c>
      <c r="AV143" s="46">
        <f>($O$3*(O143-$O$1)/$O$2+$P$3*(P143-$P$1)/$P$2+$Q$3*(Q143-$Q$1)/$Q$2)/SUM($O$3:$Q$3)</f>
        <v>-0.94495381554067481</v>
      </c>
      <c r="AW143" s="47">
        <f>COUNT(R143:AO143)/2</f>
        <v>3</v>
      </c>
      <c r="AX143" s="47">
        <f>IF(AND(S143&lt;&gt;"-",S143&gt;5),1,0)+IF(AND(U143&lt;&gt;"-",U143&gt;5),1,0)+IF(AND(W143&lt;&gt;"-",W143&gt;5),1,0)+IF(AND(Y143&lt;&gt;"-",Y143&gt;5),1,0)+IF(AND(AA143&lt;&gt;"-",AA143&gt;5),1,0)+IF(AND(AC143&lt;&gt;"-",AC143&gt;5),1,0)+IF(AND(AE143&lt;&gt;"-",AE143&gt;5),1,0)+IF(AND(AG143&lt;&gt;"-",AG143&gt;5),1,0)+IF(AND(AI143&lt;&gt;"-",AI143&gt;5),1,0)+IF(AND(AK143&lt;&gt;"-",AK143&gt;5),1,0)+IF(AND(AM143&lt;&gt;"-",AM143&gt;5),1,0)+IF(AND(AO143&lt;&gt;"-",AO143&gt;5),1,0)</f>
        <v>1</v>
      </c>
      <c r="AY143" s="48">
        <f>VLOOKUP(AP143,COND!$A$10:$B$32,2,FALSE)</f>
        <v>0.95</v>
      </c>
      <c r="AZ143" s="46">
        <f>($AU$3*AU143+$AV$3*AV143+$AW$3*AW143+$AX$3*AX143)*AY143*IF(AQ143&lt;5,0.95,IF(AQ143&lt;7,0.975,1))+$I$3*VLOOKUP(I143,COND!$A$2:$E$7,4,FALSE)+$J$3*VLOOKUP(J143,COND!$A$2:$E$7,2,FALSE)+$K$3*VLOOKUP(K143,COND!$A$2:$E$7,3,FALSE)+IF(BB143="SP",$BB$3,0)+IF($AW143&lt;3,-5,0)+IF(AND($B$2&gt;0,$E143&lt;20),$B$2*25,0)</f>
        <v>36.145095499513339</v>
      </c>
      <c r="BA143" s="49">
        <f>STANDARDIZE(AZ143,AVERAGE($AZ$5:$AZ$570),STDEVP($AZ$5:$AZ$570))</f>
        <v>0.31388948353343682</v>
      </c>
      <c r="BB143" s="47" t="str">
        <f>IF(OR(AND(AQ143&gt;7,AX143&gt;1),AND(AQ143&gt;4,AW143&gt;2)),"SP","RP")</f>
        <v>SP</v>
      </c>
      <c r="BC143" s="47"/>
      <c r="BD143" s="47"/>
      <c r="BE143" s="47"/>
      <c r="BF143" s="47" t="str">
        <f>IF(AVERAGE($O143:$Q143)&gt;=6,"Likely",IF(AVERAGE($O143:$Q143)&gt;=4,"Possible","Unlikely"))</f>
        <v>Unlikely</v>
      </c>
      <c r="BG143" s="47"/>
      <c r="BH143" s="47" t="str">
        <f>INDEX(Table5[[#All],[Ovr]],MATCH(Table3[[#This Row],[PID]],Table5[[#All],[PID]],0))</f>
        <v/>
      </c>
      <c r="BI143" s="47" t="str">
        <f>INDEX(Table5[[#All],[Rnd]],MATCH(Table3[[#This Row],[PID]],Table5[[#All],[PID]],0))</f>
        <v/>
      </c>
      <c r="BJ143" s="47" t="str">
        <f>INDEX(Table5[[#All],[Pick]],MATCH(Table3[[#This Row],[PID]],Table5[[#All],[PID]],0))</f>
        <v/>
      </c>
      <c r="BK143" s="47" t="str">
        <f>INDEX(Table5[[#All],[Team]],MATCH(Table3[[#This Row],[PID]],Table5[[#All],[PID]],0))</f>
        <v/>
      </c>
      <c r="BL1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4" spans="1:64" ht="15" customHeight="1" x14ac:dyDescent="0.25">
      <c r="A144" s="42">
        <v>5701</v>
      </c>
      <c r="B144" s="42" t="s">
        <v>24</v>
      </c>
      <c r="C144" s="42" t="s">
        <v>184</v>
      </c>
      <c r="D144" s="42" t="s">
        <v>1543</v>
      </c>
      <c r="E144" s="42">
        <v>21</v>
      </c>
      <c r="F144" s="42" t="s">
        <v>42</v>
      </c>
      <c r="G144" s="42" t="s">
        <v>42</v>
      </c>
      <c r="H144" s="43" t="s">
        <v>721</v>
      </c>
      <c r="I144" s="44" t="s">
        <v>43</v>
      </c>
      <c r="J144" s="42" t="s">
        <v>43</v>
      </c>
      <c r="K144" s="43" t="s">
        <v>43</v>
      </c>
      <c r="L144" s="42">
        <v>1</v>
      </c>
      <c r="M144" s="42">
        <v>2</v>
      </c>
      <c r="N144" s="43">
        <v>1</v>
      </c>
      <c r="O144" s="42">
        <v>5</v>
      </c>
      <c r="P144" s="42">
        <v>2</v>
      </c>
      <c r="Q144" s="43">
        <v>3</v>
      </c>
      <c r="R144" s="42" t="s">
        <v>45</v>
      </c>
      <c r="S144" s="42" t="s">
        <v>45</v>
      </c>
      <c r="T144" s="42">
        <v>1</v>
      </c>
      <c r="U144" s="42">
        <v>6</v>
      </c>
      <c r="V144" s="42">
        <v>2</v>
      </c>
      <c r="W144" s="42">
        <v>7</v>
      </c>
      <c r="X144" s="42" t="s">
        <v>45</v>
      </c>
      <c r="Y144" s="42" t="s">
        <v>45</v>
      </c>
      <c r="Z144" s="42" t="s">
        <v>45</v>
      </c>
      <c r="AA144" s="42" t="s">
        <v>45</v>
      </c>
      <c r="AB144" s="42" t="s">
        <v>45</v>
      </c>
      <c r="AC144" s="42" t="s">
        <v>45</v>
      </c>
      <c r="AD144" s="42">
        <v>3</v>
      </c>
      <c r="AE144" s="42">
        <v>6</v>
      </c>
      <c r="AF144" s="42" t="s">
        <v>45</v>
      </c>
      <c r="AG144" s="42" t="s">
        <v>45</v>
      </c>
      <c r="AH144" s="42" t="s">
        <v>45</v>
      </c>
      <c r="AI144" s="42" t="s">
        <v>45</v>
      </c>
      <c r="AJ144" s="42" t="s">
        <v>45</v>
      </c>
      <c r="AK144" s="42" t="s">
        <v>45</v>
      </c>
      <c r="AL144" s="42" t="s">
        <v>45</v>
      </c>
      <c r="AM144" s="42" t="s">
        <v>45</v>
      </c>
      <c r="AN144" s="42" t="s">
        <v>45</v>
      </c>
      <c r="AO144" s="43" t="s">
        <v>45</v>
      </c>
      <c r="AP144" s="42" t="s">
        <v>58</v>
      </c>
      <c r="AQ144" s="42">
        <v>6</v>
      </c>
      <c r="AR144" s="50" t="s">
        <v>353</v>
      </c>
      <c r="AS144" s="45" t="s">
        <v>45</v>
      </c>
      <c r="AT144" s="45" t="s">
        <v>47</v>
      </c>
      <c r="AU144" s="46">
        <f>($O$3*(L144-$O$1)/$O$2+$P$3*(M144-$P$1)/$P$2+$Q$3*(N144-$P$1)/$Q$2)/SUM($O$3:$Q$3)</f>
        <v>-2.5060525215375429</v>
      </c>
      <c r="AV144" s="46">
        <f>($O$3*(O144-$O$1)/$O$2+$P$3*(P144-$P$1)/$P$2+$Q$3*(Q144-$Q$1)/$Q$2)/SUM($O$3:$Q$3)</f>
        <v>-0.79715134065555615</v>
      </c>
      <c r="AW144" s="47">
        <f>COUNT(R144:AO144)/2</f>
        <v>3</v>
      </c>
      <c r="AX144" s="47">
        <f>IF(AND(S144&lt;&gt;"-",S144&gt;5),1,0)+IF(AND(U144&lt;&gt;"-",U144&gt;5),1,0)+IF(AND(W144&lt;&gt;"-",W144&gt;5),1,0)+IF(AND(Y144&lt;&gt;"-",Y144&gt;5),1,0)+IF(AND(AA144&lt;&gt;"-",AA144&gt;5),1,0)+IF(AND(AC144&lt;&gt;"-",AC144&gt;5),1,0)+IF(AND(AE144&lt;&gt;"-",AE144&gt;5),1,0)+IF(AND(AG144&lt;&gt;"-",AG144&gt;5),1,0)+IF(AND(AI144&lt;&gt;"-",AI144&gt;5),1,0)+IF(AND(AK144&lt;&gt;"-",AK144&gt;5),1,0)+IF(AND(AM144&lt;&gt;"-",AM144&gt;5),1,0)+IF(AND(AO144&lt;&gt;"-",AO144&gt;5),1,0)</f>
        <v>3</v>
      </c>
      <c r="AY144" s="48">
        <f>VLOOKUP(AP144,COND!$A$10:$B$32,2,FALSE)</f>
        <v>1</v>
      </c>
      <c r="AZ144" s="46">
        <f>($AU$3*AU144+$AV$3*AV144+$AW$3*AW144+$AX$3*AX144)*AY144*IF(AQ144&lt;5,0.95,IF(AQ144&lt;7,0.975,1))+$I$3*VLOOKUP(I144,COND!$A$2:$E$7,4,FALSE)+$J$3*VLOOKUP(J144,COND!$A$2:$E$7,2,FALSE)+$K$3*VLOOKUP(K144,COND!$A$2:$E$7,3,FALSE)+IF(BB144="SP",$BB$3,0)+IF($AW144&lt;3,-5,0)+IF(AND($B$2&gt;0,$E144&lt;20),$B$2*25,0)</f>
        <v>36.085618615516836</v>
      </c>
      <c r="BA144" s="49">
        <f>STANDARDIZE(AZ144,AVERAGE($AZ$5:$AZ$570),STDEVP($AZ$5:$AZ$570))</f>
        <v>0.30843519906141259</v>
      </c>
      <c r="BB144" s="47" t="str">
        <f>IF(OR(AND(AQ144&gt;7,AX144&gt;1),AND(AQ144&gt;4,AW144&gt;2)),"SP","RP")</f>
        <v>SP</v>
      </c>
      <c r="BC144" s="47"/>
      <c r="BD144" s="47"/>
      <c r="BE144" s="47"/>
      <c r="BF144" s="47" t="str">
        <f>IF(AVERAGE($O144:$Q144)&gt;=6,"Likely",IF(AVERAGE($O144:$Q144)&gt;=4,"Possible","Unlikely"))</f>
        <v>Unlikely</v>
      </c>
      <c r="BG144" s="47"/>
      <c r="BH144" s="47" t="str">
        <f>INDEX(Table5[[#All],[Ovr]],MATCH(Table3[[#This Row],[PID]],Table5[[#All],[PID]],0))</f>
        <v/>
      </c>
      <c r="BI144" s="47" t="str">
        <f>INDEX(Table5[[#All],[Rnd]],MATCH(Table3[[#This Row],[PID]],Table5[[#All],[PID]],0))</f>
        <v/>
      </c>
      <c r="BJ144" s="47" t="str">
        <f>INDEX(Table5[[#All],[Pick]],MATCH(Table3[[#This Row],[PID]],Table5[[#All],[PID]],0))</f>
        <v/>
      </c>
      <c r="BK144" s="47" t="str">
        <f>INDEX(Table5[[#All],[Team]],MATCH(Table3[[#This Row],[PID]],Table5[[#All],[PID]],0))</f>
        <v/>
      </c>
      <c r="BL1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5" spans="1:64" ht="15" customHeight="1" x14ac:dyDescent="0.25">
      <c r="A145" s="42">
        <v>17623</v>
      </c>
      <c r="B145" s="42" t="s">
        <v>430</v>
      </c>
      <c r="C145" s="42" t="s">
        <v>159</v>
      </c>
      <c r="D145" s="42" t="s">
        <v>1598</v>
      </c>
      <c r="E145" s="42">
        <v>18</v>
      </c>
      <c r="F145" s="42" t="s">
        <v>42</v>
      </c>
      <c r="G145" s="42" t="s">
        <v>42</v>
      </c>
      <c r="H145" s="43" t="s">
        <v>721</v>
      </c>
      <c r="I145" s="44" t="s">
        <v>47</v>
      </c>
      <c r="J145" s="42" t="s">
        <v>43</v>
      </c>
      <c r="K145" s="43" t="s">
        <v>43</v>
      </c>
      <c r="L145" s="42">
        <v>1</v>
      </c>
      <c r="M145" s="42">
        <v>2</v>
      </c>
      <c r="N145" s="43">
        <v>1</v>
      </c>
      <c r="O145" s="42">
        <v>4</v>
      </c>
      <c r="P145" s="42">
        <v>2</v>
      </c>
      <c r="Q145" s="43">
        <v>3</v>
      </c>
      <c r="R145" s="42">
        <v>3</v>
      </c>
      <c r="S145" s="42">
        <v>5</v>
      </c>
      <c r="T145" s="42">
        <v>1</v>
      </c>
      <c r="U145" s="42">
        <v>1</v>
      </c>
      <c r="V145" s="42">
        <v>2</v>
      </c>
      <c r="W145" s="42">
        <v>6</v>
      </c>
      <c r="X145" s="42" t="s">
        <v>45</v>
      </c>
      <c r="Y145" s="42" t="s">
        <v>45</v>
      </c>
      <c r="Z145" s="42" t="s">
        <v>45</v>
      </c>
      <c r="AA145" s="42" t="s">
        <v>45</v>
      </c>
      <c r="AB145" s="42" t="s">
        <v>45</v>
      </c>
      <c r="AC145" s="42" t="s">
        <v>45</v>
      </c>
      <c r="AD145" s="42" t="s">
        <v>45</v>
      </c>
      <c r="AE145" s="42" t="s">
        <v>45</v>
      </c>
      <c r="AF145" s="42" t="s">
        <v>45</v>
      </c>
      <c r="AG145" s="42" t="s">
        <v>45</v>
      </c>
      <c r="AH145" s="42" t="s">
        <v>45</v>
      </c>
      <c r="AI145" s="42" t="s">
        <v>45</v>
      </c>
      <c r="AJ145" s="42" t="s">
        <v>45</v>
      </c>
      <c r="AK145" s="42" t="s">
        <v>45</v>
      </c>
      <c r="AL145" s="42" t="s">
        <v>45</v>
      </c>
      <c r="AM145" s="42" t="s">
        <v>45</v>
      </c>
      <c r="AN145" s="42" t="s">
        <v>45</v>
      </c>
      <c r="AO145" s="43" t="s">
        <v>45</v>
      </c>
      <c r="AP145" s="42" t="s">
        <v>68</v>
      </c>
      <c r="AQ145" s="42">
        <v>6</v>
      </c>
      <c r="AR145" s="50" t="s">
        <v>353</v>
      </c>
      <c r="AS145" s="45" t="s">
        <v>745</v>
      </c>
      <c r="AT145" s="45" t="s">
        <v>705</v>
      </c>
      <c r="AU145" s="46">
        <f>($O$3*(L145-$O$1)/$O$2+$P$3*(M145-$P$1)/$P$2+$Q$3*(N145-$P$1)/$Q$2)/SUM($O$3:$Q$3)</f>
        <v>-2.5060525215375429</v>
      </c>
      <c r="AV145" s="46">
        <f>($O$3*(O145-$O$1)/$O$2+$P$3*(P145-$P$1)/$P$2+$Q$3*(Q145-$Q$1)/$Q$2)/SUM($O$3:$Q$3)</f>
        <v>-0.99184266516472974</v>
      </c>
      <c r="AW145" s="47">
        <f>COUNT(R145:AO145)/2</f>
        <v>3</v>
      </c>
      <c r="AX145" s="47">
        <f>IF(AND(S145&lt;&gt;"-",S145&gt;5),1,0)+IF(AND(U145&lt;&gt;"-",U145&gt;5),1,0)+IF(AND(W145&lt;&gt;"-",W145&gt;5),1,0)+IF(AND(Y145&lt;&gt;"-",Y145&gt;5),1,0)+IF(AND(AA145&lt;&gt;"-",AA145&gt;5),1,0)+IF(AND(AC145&lt;&gt;"-",AC145&gt;5),1,0)+IF(AND(AE145&lt;&gt;"-",AE145&gt;5),1,0)+IF(AND(AG145&lt;&gt;"-",AG145&gt;5),1,0)+IF(AND(AI145&lt;&gt;"-",AI145&gt;5),1,0)+IF(AND(AK145&lt;&gt;"-",AK145&gt;5),1,0)+IF(AND(AM145&lt;&gt;"-",AM145&gt;5),1,0)+IF(AND(AO145&lt;&gt;"-",AO145&gt;5),1,0)</f>
        <v>1</v>
      </c>
      <c r="AY145" s="48">
        <f>VLOOKUP(AP145,COND!$A$10:$B$32,2,FALSE)</f>
        <v>0.95</v>
      </c>
      <c r="AZ145" s="46">
        <f>($AU$3*AU145+$AV$3*AV145+$AW$3*AW145+$AX$3*AX145)*AY145*IF(AQ145&lt;5,0.95,IF(AQ145&lt;7,0.975,1))+$I$3*VLOOKUP(I145,COND!$A$2:$E$7,4,FALSE)+$J$3*VLOOKUP(J145,COND!$A$2:$E$7,2,FALSE)+$K$3*VLOOKUP(K145,COND!$A$2:$E$7,3,FALSE)+IF(BB145="SP",$BB$3,0)+IF($AW145&lt;3,-5,0)+IF(AND($B$2&gt;0,$E145&lt;20),$B$2*25,0)</f>
        <v>35.934055898208555</v>
      </c>
      <c r="BA145" s="49">
        <f>STANDARDIZE(AZ145,AVERAGE($AZ$5:$AZ$570),STDEVP($AZ$5:$AZ$570))</f>
        <v>0.2945362500915748</v>
      </c>
      <c r="BB145" s="47" t="str">
        <f>IF(OR(AND(AQ145&gt;7,AX145&gt;1),AND(AQ145&gt;4,AW145&gt;2)),"SP","RP")</f>
        <v>SP</v>
      </c>
      <c r="BC145" s="47"/>
      <c r="BD145" s="47"/>
      <c r="BE145" s="47"/>
      <c r="BF145" s="47" t="str">
        <f>IF(AVERAGE($O145:$Q145)&gt;=6,"Likely",IF(AVERAGE($O145:$Q145)&gt;=4,"Possible","Unlikely"))</f>
        <v>Unlikely</v>
      </c>
      <c r="BG145" s="47"/>
      <c r="BH145" s="47" t="str">
        <f>INDEX(Table5[[#All],[Ovr]],MATCH(Table3[[#This Row],[PID]],Table5[[#All],[PID]],0))</f>
        <v/>
      </c>
      <c r="BI145" s="47" t="str">
        <f>INDEX(Table5[[#All],[Rnd]],MATCH(Table3[[#This Row],[PID]],Table5[[#All],[PID]],0))</f>
        <v/>
      </c>
      <c r="BJ145" s="47" t="str">
        <f>INDEX(Table5[[#All],[Pick]],MATCH(Table3[[#This Row],[PID]],Table5[[#All],[PID]],0))</f>
        <v/>
      </c>
      <c r="BK145" s="47" t="str">
        <f>INDEX(Table5[[#All],[Team]],MATCH(Table3[[#This Row],[PID]],Table5[[#All],[PID]],0))</f>
        <v/>
      </c>
      <c r="BL1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6" spans="1:64" ht="15" customHeight="1" x14ac:dyDescent="0.25">
      <c r="A146" s="42">
        <v>9712</v>
      </c>
      <c r="B146" s="42" t="s">
        <v>430</v>
      </c>
      <c r="C146" s="42" t="s">
        <v>167</v>
      </c>
      <c r="D146" s="42" t="s">
        <v>1702</v>
      </c>
      <c r="E146" s="42">
        <v>18</v>
      </c>
      <c r="F146" s="42" t="s">
        <v>62</v>
      </c>
      <c r="G146" s="42" t="s">
        <v>42</v>
      </c>
      <c r="H146" s="43" t="s">
        <v>721</v>
      </c>
      <c r="I146" s="44" t="s">
        <v>43</v>
      </c>
      <c r="J146" s="42" t="s">
        <v>44</v>
      </c>
      <c r="K146" s="43" t="s">
        <v>43</v>
      </c>
      <c r="L146" s="42">
        <v>1</v>
      </c>
      <c r="M146" s="42">
        <v>2</v>
      </c>
      <c r="N146" s="43">
        <v>1</v>
      </c>
      <c r="O146" s="42">
        <v>4</v>
      </c>
      <c r="P146" s="42">
        <v>2</v>
      </c>
      <c r="Q146" s="43">
        <v>3</v>
      </c>
      <c r="R146" s="42" t="s">
        <v>45</v>
      </c>
      <c r="S146" s="42" t="s">
        <v>45</v>
      </c>
      <c r="T146" s="42" t="s">
        <v>45</v>
      </c>
      <c r="U146" s="42" t="s">
        <v>45</v>
      </c>
      <c r="V146" s="42">
        <v>1</v>
      </c>
      <c r="W146" s="42">
        <v>6</v>
      </c>
      <c r="X146" s="42" t="s">
        <v>45</v>
      </c>
      <c r="Y146" s="42" t="s">
        <v>45</v>
      </c>
      <c r="Z146" s="42" t="s">
        <v>45</v>
      </c>
      <c r="AA146" s="42" t="s">
        <v>45</v>
      </c>
      <c r="AB146" s="42" t="s">
        <v>45</v>
      </c>
      <c r="AC146" s="42" t="s">
        <v>45</v>
      </c>
      <c r="AD146" s="42">
        <v>2</v>
      </c>
      <c r="AE146" s="42">
        <v>4</v>
      </c>
      <c r="AF146" s="42" t="s">
        <v>45</v>
      </c>
      <c r="AG146" s="42" t="s">
        <v>45</v>
      </c>
      <c r="AH146" s="42">
        <v>1</v>
      </c>
      <c r="AI146" s="42">
        <v>6</v>
      </c>
      <c r="AJ146" s="42" t="s">
        <v>45</v>
      </c>
      <c r="AK146" s="42" t="s">
        <v>45</v>
      </c>
      <c r="AL146" s="42" t="s">
        <v>45</v>
      </c>
      <c r="AM146" s="42" t="s">
        <v>45</v>
      </c>
      <c r="AN146" s="42" t="s">
        <v>45</v>
      </c>
      <c r="AO146" s="43" t="s">
        <v>45</v>
      </c>
      <c r="AP146" s="42" t="s">
        <v>65</v>
      </c>
      <c r="AQ146" s="42">
        <v>6</v>
      </c>
      <c r="AR146" s="50" t="s">
        <v>353</v>
      </c>
      <c r="AS146" s="45" t="s">
        <v>718</v>
      </c>
      <c r="AT146" s="45" t="s">
        <v>47</v>
      </c>
      <c r="AU146" s="46">
        <f>($O$3*(L146-$O$1)/$O$2+$P$3*(M146-$P$1)/$P$2+$Q$3*(N146-$P$1)/$Q$2)/SUM($O$3:$Q$3)</f>
        <v>-2.5060525215375429</v>
      </c>
      <c r="AV146" s="46">
        <f>($O$3*(O146-$O$1)/$O$2+$P$3*(P146-$P$1)/$P$2+$Q$3*(Q146-$Q$1)/$Q$2)/SUM($O$3:$Q$3)</f>
        <v>-0.99184266516472974</v>
      </c>
      <c r="AW146" s="47">
        <f>COUNT(R146:AO146)/2</f>
        <v>3</v>
      </c>
      <c r="AX146" s="47">
        <f>IF(AND(S146&lt;&gt;"-",S146&gt;5),1,0)+IF(AND(U146&lt;&gt;"-",U146&gt;5),1,0)+IF(AND(W146&lt;&gt;"-",W146&gt;5),1,0)+IF(AND(Y146&lt;&gt;"-",Y146&gt;5),1,0)+IF(AND(AA146&lt;&gt;"-",AA146&gt;5),1,0)+IF(AND(AC146&lt;&gt;"-",AC146&gt;5),1,0)+IF(AND(AE146&lt;&gt;"-",AE146&gt;5),1,0)+IF(AND(AG146&lt;&gt;"-",AG146&gt;5),1,0)+IF(AND(AI146&lt;&gt;"-",AI146&gt;5),1,0)+IF(AND(AK146&lt;&gt;"-",AK146&gt;5),1,0)+IF(AND(AM146&lt;&gt;"-",AM146&gt;5),1,0)+IF(AND(AO146&lt;&gt;"-",AO146&gt;5),1,0)</f>
        <v>2</v>
      </c>
      <c r="AY146" s="48">
        <f>VLOOKUP(AP146,COND!$A$10:$B$32,2,FALSE)</f>
        <v>0.95</v>
      </c>
      <c r="AZ146" s="46">
        <f>($AU$3*AU146+$AV$3*AV146+$AW$3*AW146+$AX$3*AX146)*AY146*IF(AQ146&lt;5,0.95,IF(AQ146&lt;7,0.975,1))+$I$3*VLOOKUP(I146,COND!$A$2:$E$7,4,FALSE)+$J$3*VLOOKUP(J146,COND!$A$2:$E$7,2,FALSE)+$K$3*VLOOKUP(K146,COND!$A$2:$E$7,3,FALSE)+IF(BB146="SP",$BB$3,0)+IF($AW146&lt;3,-5,0)+IF(AND($B$2&gt;0,$E146&lt;20),$B$2*25,0)</f>
        <v>36.566868398208555</v>
      </c>
      <c r="BA146" s="49">
        <f>STANDARDIZE(AZ146,AVERAGE($AZ$5:$AZ$570),STDEVP($AZ$5:$AZ$570))</f>
        <v>0.35256786103904464</v>
      </c>
      <c r="BB146" s="47" t="str">
        <f>IF(OR(AND(AQ146&gt;7,AX146&gt;1),AND(AQ146&gt;4,AW146&gt;2)),"SP","RP")</f>
        <v>SP</v>
      </c>
      <c r="BC146" s="47"/>
      <c r="BD146" s="47"/>
      <c r="BE146" s="47"/>
      <c r="BF146" s="47" t="str">
        <f>IF(AVERAGE($O146:$Q146)&gt;=6,"Likely",IF(AVERAGE($O146:$Q146)&gt;=4,"Possible","Unlikely"))</f>
        <v>Unlikely</v>
      </c>
      <c r="BG146" s="47"/>
      <c r="BH146" s="47" t="str">
        <f>INDEX(Table5[[#All],[Ovr]],MATCH(Table3[[#This Row],[PID]],Table5[[#All],[PID]],0))</f>
        <v/>
      </c>
      <c r="BI146" s="47" t="str">
        <f>INDEX(Table5[[#All],[Rnd]],MATCH(Table3[[#This Row],[PID]],Table5[[#All],[PID]],0))</f>
        <v/>
      </c>
      <c r="BJ146" s="47" t="str">
        <f>INDEX(Table5[[#All],[Pick]],MATCH(Table3[[#This Row],[PID]],Table5[[#All],[PID]],0))</f>
        <v/>
      </c>
      <c r="BK146" s="47" t="str">
        <f>INDEX(Table5[[#All],[Team]],MATCH(Table3[[#This Row],[PID]],Table5[[#All],[PID]],0))</f>
        <v/>
      </c>
      <c r="BL1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7" spans="1:64" ht="15" customHeight="1" x14ac:dyDescent="0.25">
      <c r="A147" s="42">
        <v>7297</v>
      </c>
      <c r="B147" s="42" t="s">
        <v>24</v>
      </c>
      <c r="C147" s="42" t="s">
        <v>565</v>
      </c>
      <c r="D147" s="42" t="s">
        <v>1567</v>
      </c>
      <c r="E147" s="42">
        <v>21</v>
      </c>
      <c r="F147" s="42" t="s">
        <v>42</v>
      </c>
      <c r="G147" s="42" t="s">
        <v>42</v>
      </c>
      <c r="H147" s="43" t="s">
        <v>709</v>
      </c>
      <c r="I147" s="44" t="s">
        <v>43</v>
      </c>
      <c r="J147" s="42" t="s">
        <v>43</v>
      </c>
      <c r="K147" s="43" t="s">
        <v>44</v>
      </c>
      <c r="L147" s="42">
        <v>3</v>
      </c>
      <c r="M147" s="42">
        <v>2</v>
      </c>
      <c r="N147" s="43">
        <v>2</v>
      </c>
      <c r="O147" s="42">
        <v>5</v>
      </c>
      <c r="P147" s="42">
        <v>2</v>
      </c>
      <c r="Q147" s="43">
        <v>3</v>
      </c>
      <c r="R147" s="42">
        <v>5</v>
      </c>
      <c r="S147" s="42">
        <v>6</v>
      </c>
      <c r="T147" s="42">
        <v>2</v>
      </c>
      <c r="U147" s="42">
        <v>5</v>
      </c>
      <c r="V147" s="42">
        <v>2</v>
      </c>
      <c r="W147" s="42">
        <v>2</v>
      </c>
      <c r="X147" s="42" t="s">
        <v>45</v>
      </c>
      <c r="Y147" s="42" t="s">
        <v>45</v>
      </c>
      <c r="Z147" s="42" t="s">
        <v>45</v>
      </c>
      <c r="AA147" s="42" t="s">
        <v>45</v>
      </c>
      <c r="AB147" s="42">
        <v>5</v>
      </c>
      <c r="AC147" s="42">
        <v>6</v>
      </c>
      <c r="AD147" s="42" t="s">
        <v>45</v>
      </c>
      <c r="AE147" s="42" t="s">
        <v>45</v>
      </c>
      <c r="AF147" s="42" t="s">
        <v>45</v>
      </c>
      <c r="AG147" s="42" t="s">
        <v>45</v>
      </c>
      <c r="AH147" s="42" t="s">
        <v>45</v>
      </c>
      <c r="AI147" s="42" t="s">
        <v>45</v>
      </c>
      <c r="AJ147" s="42" t="s">
        <v>45</v>
      </c>
      <c r="AK147" s="42" t="s">
        <v>45</v>
      </c>
      <c r="AL147" s="42">
        <v>2</v>
      </c>
      <c r="AM147" s="42">
        <v>6</v>
      </c>
      <c r="AN147" s="42" t="s">
        <v>45</v>
      </c>
      <c r="AO147" s="43" t="s">
        <v>45</v>
      </c>
      <c r="AP147" s="42" t="s">
        <v>60</v>
      </c>
      <c r="AQ147" s="42">
        <v>9</v>
      </c>
      <c r="AR147" s="50" t="s">
        <v>353</v>
      </c>
      <c r="AS147" s="45" t="s">
        <v>45</v>
      </c>
      <c r="AT147" s="45" t="s">
        <v>705</v>
      </c>
      <c r="AU147" s="46">
        <f>($O$3*(L147-$O$1)/$O$2+$P$3*(M147-$P$1)/$P$2+$Q$3*(N147-$P$1)/$Q$2)/SUM($O$3:$Q$3)</f>
        <v>-1.8743493064650851</v>
      </c>
      <c r="AV147" s="46">
        <f>($O$3*(O147-$O$1)/$O$2+$P$3*(P147-$P$1)/$P$2+$Q$3*(Q147-$Q$1)/$Q$2)/SUM($O$3:$Q$3)</f>
        <v>-0.79715134065555615</v>
      </c>
      <c r="AW147" s="47">
        <f>COUNT(R147:AO147)/2</f>
        <v>5</v>
      </c>
      <c r="AX147" s="47">
        <f>IF(AND(S147&lt;&gt;"-",S147&gt;5),1,0)+IF(AND(U147&lt;&gt;"-",U147&gt;5),1,0)+IF(AND(W147&lt;&gt;"-",W147&gt;5),1,0)+IF(AND(Y147&lt;&gt;"-",Y147&gt;5),1,0)+IF(AND(AA147&lt;&gt;"-",AA147&gt;5),1,0)+IF(AND(AC147&lt;&gt;"-",AC147&gt;5),1,0)+IF(AND(AE147&lt;&gt;"-",AE147&gt;5),1,0)+IF(AND(AG147&lt;&gt;"-",AG147&gt;5),1,0)+IF(AND(AI147&lt;&gt;"-",AI147&gt;5),1,0)+IF(AND(AK147&lt;&gt;"-",AK147&gt;5),1,0)+IF(AND(AM147&lt;&gt;"-",AM147&gt;5),1,0)+IF(AND(AO147&lt;&gt;"-",AO147&gt;5),1,0)</f>
        <v>3</v>
      </c>
      <c r="AY147" s="48">
        <f>VLOOKUP(AP147,COND!$A$10:$B$32,2,FALSE)</f>
        <v>1.0249999999999999</v>
      </c>
      <c r="AZ147" s="46">
        <f>($AU$3*AU147+$AV$3*AV147+$AW$3*AW147+$AX$3*AX147)*AY147*IF(AQ147&lt;5,0.95,IF(AQ147&lt;7,0.975,1))+$I$3*VLOOKUP(I147,COND!$A$2:$E$7,4,FALSE)+$J$3*VLOOKUP(J147,COND!$A$2:$E$7,2,FALSE)+$K$3*VLOOKUP(K147,COND!$A$2:$E$7,3,FALSE)+IF(BB147="SP",$BB$3,0)+IF($AW147&lt;3,-5,0)+IF(AND($B$2&gt;0,$E147&lt;20),$B$2*25,0)</f>
        <v>36.380405908735753</v>
      </c>
      <c r="BA147" s="49">
        <f>STANDARDIZE(AZ147,AVERAGE($AZ$5:$AZ$570),STDEVP($AZ$5:$AZ$570))</f>
        <v>0.33546845379695894</v>
      </c>
      <c r="BB147" s="47" t="str">
        <f>IF(OR(AND(AQ147&gt;7,AX147&gt;1),AND(AQ147&gt;4,AW147&gt;2)),"SP","RP")</f>
        <v>SP</v>
      </c>
      <c r="BC147" s="47"/>
      <c r="BD147" s="47"/>
      <c r="BE147" s="47"/>
      <c r="BF147" s="47" t="str">
        <f>IF(AVERAGE($O147:$Q147)&gt;=6,"Likely",IF(AVERAGE($O147:$Q147)&gt;=4,"Possible","Unlikely"))</f>
        <v>Unlikely</v>
      </c>
      <c r="BG147" s="47"/>
      <c r="BH147" s="47" t="str">
        <f>INDEX(Table5[[#All],[Ovr]],MATCH(Table3[[#This Row],[PID]],Table5[[#All],[PID]],0))</f>
        <v/>
      </c>
      <c r="BI147" s="47" t="str">
        <f>INDEX(Table5[[#All],[Rnd]],MATCH(Table3[[#This Row],[PID]],Table5[[#All],[PID]],0))</f>
        <v/>
      </c>
      <c r="BJ147" s="47" t="str">
        <f>INDEX(Table5[[#All],[Pick]],MATCH(Table3[[#This Row],[PID]],Table5[[#All],[PID]],0))</f>
        <v/>
      </c>
      <c r="BK147" s="47" t="str">
        <f>INDEX(Table5[[#All],[Team]],MATCH(Table3[[#This Row],[PID]],Table5[[#All],[PID]],0))</f>
        <v/>
      </c>
      <c r="BL1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8" spans="1:64" ht="15" customHeight="1" x14ac:dyDescent="0.25">
      <c r="A148" s="42">
        <v>9758</v>
      </c>
      <c r="B148" s="42" t="s">
        <v>24</v>
      </c>
      <c r="C148" s="42" t="s">
        <v>153</v>
      </c>
      <c r="D148" s="42" t="s">
        <v>1737</v>
      </c>
      <c r="E148" s="42">
        <v>21</v>
      </c>
      <c r="F148" s="42" t="s">
        <v>53</v>
      </c>
      <c r="G148" s="42" t="s">
        <v>53</v>
      </c>
      <c r="H148" s="43" t="s">
        <v>721</v>
      </c>
      <c r="I148" s="44" t="s">
        <v>43</v>
      </c>
      <c r="J148" s="42" t="s">
        <v>47</v>
      </c>
      <c r="K148" s="43" t="s">
        <v>43</v>
      </c>
      <c r="L148" s="42">
        <v>2</v>
      </c>
      <c r="M148" s="42">
        <v>2</v>
      </c>
      <c r="N148" s="43">
        <v>2</v>
      </c>
      <c r="O148" s="42">
        <v>4</v>
      </c>
      <c r="P148" s="42">
        <v>3</v>
      </c>
      <c r="Q148" s="43">
        <v>3</v>
      </c>
      <c r="R148" s="42" t="s">
        <v>45</v>
      </c>
      <c r="S148" s="42" t="s">
        <v>45</v>
      </c>
      <c r="T148" s="42">
        <v>1</v>
      </c>
      <c r="U148" s="42">
        <v>6</v>
      </c>
      <c r="V148" s="42" t="s">
        <v>45</v>
      </c>
      <c r="W148" s="42" t="s">
        <v>45</v>
      </c>
      <c r="X148" s="42">
        <v>3</v>
      </c>
      <c r="Y148" s="42">
        <v>5</v>
      </c>
      <c r="Z148" s="42" t="s">
        <v>45</v>
      </c>
      <c r="AA148" s="42" t="s">
        <v>45</v>
      </c>
      <c r="AB148" s="42" t="s">
        <v>45</v>
      </c>
      <c r="AC148" s="42" t="s">
        <v>45</v>
      </c>
      <c r="AD148" s="42">
        <v>4</v>
      </c>
      <c r="AE148" s="42">
        <v>6</v>
      </c>
      <c r="AF148" s="42" t="s">
        <v>45</v>
      </c>
      <c r="AG148" s="42" t="s">
        <v>45</v>
      </c>
      <c r="AH148" s="42" t="s">
        <v>45</v>
      </c>
      <c r="AI148" s="42" t="s">
        <v>45</v>
      </c>
      <c r="AJ148" s="42" t="s">
        <v>45</v>
      </c>
      <c r="AK148" s="42" t="s">
        <v>45</v>
      </c>
      <c r="AL148" s="42" t="s">
        <v>45</v>
      </c>
      <c r="AM148" s="42" t="s">
        <v>45</v>
      </c>
      <c r="AN148" s="42" t="s">
        <v>45</v>
      </c>
      <c r="AO148" s="43" t="s">
        <v>45</v>
      </c>
      <c r="AP148" s="42" t="s">
        <v>58</v>
      </c>
      <c r="AQ148" s="42">
        <v>8</v>
      </c>
      <c r="AR148" s="50" t="s">
        <v>353</v>
      </c>
      <c r="AS148" s="45" t="s">
        <v>45</v>
      </c>
      <c r="AT148" s="45" t="s">
        <v>47</v>
      </c>
      <c r="AU148" s="46">
        <f>($O$3*(L148-$O$1)/$O$2+$P$3*(M148-$P$1)/$P$2+$Q$3*(N148-$P$1)/$Q$2)/SUM($O$3:$Q$3)</f>
        <v>-2.0690406309742588</v>
      </c>
      <c r="AV148" s="46">
        <f>($O$3*(O148-$O$1)/$O$2+$P$3*(P148-$P$1)/$P$2+$Q$3*(Q148-$Q$1)/$Q$2)/SUM($O$3:$Q$3)</f>
        <v>-0.79641094873467422</v>
      </c>
      <c r="AW148" s="47">
        <f>COUNT(R148:AO148)/2</f>
        <v>3</v>
      </c>
      <c r="AX148" s="47">
        <f>IF(AND(S148&lt;&gt;"-",S148&gt;5),1,0)+IF(AND(U148&lt;&gt;"-",U148&gt;5),1,0)+IF(AND(W148&lt;&gt;"-",W148&gt;5),1,0)+IF(AND(Y148&lt;&gt;"-",Y148&gt;5),1,0)+IF(AND(AA148&lt;&gt;"-",AA148&gt;5),1,0)+IF(AND(AC148&lt;&gt;"-",AC148&gt;5),1,0)+IF(AND(AE148&lt;&gt;"-",AE148&gt;5),1,0)+IF(AND(AG148&lt;&gt;"-",AG148&gt;5),1,0)+IF(AND(AI148&lt;&gt;"-",AI148&gt;5),1,0)+IF(AND(AK148&lt;&gt;"-",AK148&gt;5),1,0)+IF(AND(AM148&lt;&gt;"-",AM148&gt;5),1,0)+IF(AND(AO148&lt;&gt;"-",AO148&gt;5),1,0)</f>
        <v>2</v>
      </c>
      <c r="AY148" s="48">
        <f>VLOOKUP(AP148,COND!$A$10:$B$32,2,FALSE)</f>
        <v>1</v>
      </c>
      <c r="AZ148" s="46">
        <f>($AU$3*AU148+$AV$3*AV148+$AW$3*AW148+$AX$3*AX148)*AY148*IF(AQ148&lt;5,0.95,IF(AQ148&lt;7,0.975,1))+$I$3*VLOOKUP(I148,COND!$A$2:$E$7,4,FALSE)+$J$3*VLOOKUP(J148,COND!$A$2:$E$7,2,FALSE)+$K$3*VLOOKUP(K148,COND!$A$2:$E$7,3,FALSE)+IF(BB148="SP",$BB$3,0)+IF($AW148&lt;3,-5,0)+IF(AND($B$2&gt;0,$E148&lt;20),$B$2*25,0)</f>
        <v>34.957972899111667</v>
      </c>
      <c r="BA148" s="49">
        <f>STANDARDIZE(AZ148,AVERAGE($AZ$5:$AZ$570),STDEVP($AZ$5:$AZ$570))</f>
        <v>0.20502526720797151</v>
      </c>
      <c r="BB148" s="47" t="str">
        <f>IF(OR(AND(AQ148&gt;7,AX148&gt;1),AND(AQ148&gt;4,AW148&gt;2)),"SP","RP")</f>
        <v>SP</v>
      </c>
      <c r="BC148" s="47"/>
      <c r="BD148" s="47"/>
      <c r="BE148" s="47"/>
      <c r="BF148" s="47" t="str">
        <f>IF(AVERAGE($O148:$Q148)&gt;=6,"Likely",IF(AVERAGE($O148:$Q148)&gt;=4,"Possible","Unlikely"))</f>
        <v>Unlikely</v>
      </c>
      <c r="BG148" s="47"/>
      <c r="BH148" s="47" t="str">
        <f>INDEX(Table5[[#All],[Ovr]],MATCH(Table3[[#This Row],[PID]],Table5[[#All],[PID]],0))</f>
        <v/>
      </c>
      <c r="BI148" s="47" t="str">
        <f>INDEX(Table5[[#All],[Rnd]],MATCH(Table3[[#This Row],[PID]],Table5[[#All],[PID]],0))</f>
        <v/>
      </c>
      <c r="BJ148" s="47" t="str">
        <f>INDEX(Table5[[#All],[Pick]],MATCH(Table3[[#This Row],[PID]],Table5[[#All],[PID]],0))</f>
        <v/>
      </c>
      <c r="BK148" s="47" t="str">
        <f>INDEX(Table5[[#All],[Team]],MATCH(Table3[[#This Row],[PID]],Table5[[#All],[PID]],0))</f>
        <v/>
      </c>
      <c r="BL1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9" spans="1:64" ht="15" customHeight="1" x14ac:dyDescent="0.25">
      <c r="A149" s="42">
        <v>17904</v>
      </c>
      <c r="B149" s="42" t="s">
        <v>24</v>
      </c>
      <c r="C149" s="42" t="s">
        <v>831</v>
      </c>
      <c r="D149" s="42" t="s">
        <v>572</v>
      </c>
      <c r="E149" s="42">
        <v>18</v>
      </c>
      <c r="F149" s="42" t="s">
        <v>42</v>
      </c>
      <c r="G149" s="42" t="s">
        <v>42</v>
      </c>
      <c r="H149" s="43" t="s">
        <v>721</v>
      </c>
      <c r="I149" s="44" t="s">
        <v>43</v>
      </c>
      <c r="J149" s="42" t="s">
        <v>43</v>
      </c>
      <c r="K149" s="43" t="s">
        <v>43</v>
      </c>
      <c r="L149" s="42">
        <v>1</v>
      </c>
      <c r="M149" s="42">
        <v>1</v>
      </c>
      <c r="N149" s="43">
        <v>1</v>
      </c>
      <c r="O149" s="42">
        <v>4</v>
      </c>
      <c r="P149" s="42">
        <v>2</v>
      </c>
      <c r="Q149" s="43">
        <v>3</v>
      </c>
      <c r="R149" s="42">
        <v>3</v>
      </c>
      <c r="S149" s="42">
        <v>5</v>
      </c>
      <c r="T149" s="42" t="s">
        <v>45</v>
      </c>
      <c r="U149" s="42" t="s">
        <v>45</v>
      </c>
      <c r="V149" s="42">
        <v>1</v>
      </c>
      <c r="W149" s="42">
        <v>6</v>
      </c>
      <c r="X149" s="42">
        <v>2</v>
      </c>
      <c r="Y149" s="42">
        <v>6</v>
      </c>
      <c r="Z149" s="42" t="s">
        <v>45</v>
      </c>
      <c r="AA149" s="42" t="s">
        <v>45</v>
      </c>
      <c r="AB149" s="42" t="s">
        <v>45</v>
      </c>
      <c r="AC149" s="42" t="s">
        <v>45</v>
      </c>
      <c r="AD149" s="42" t="s">
        <v>45</v>
      </c>
      <c r="AE149" s="42" t="s">
        <v>45</v>
      </c>
      <c r="AF149" s="42" t="s">
        <v>45</v>
      </c>
      <c r="AG149" s="42" t="s">
        <v>45</v>
      </c>
      <c r="AH149" s="42" t="s">
        <v>45</v>
      </c>
      <c r="AI149" s="42" t="s">
        <v>45</v>
      </c>
      <c r="AJ149" s="42" t="s">
        <v>45</v>
      </c>
      <c r="AK149" s="42" t="s">
        <v>45</v>
      </c>
      <c r="AL149" s="42" t="s">
        <v>45</v>
      </c>
      <c r="AM149" s="42" t="s">
        <v>45</v>
      </c>
      <c r="AN149" s="42" t="s">
        <v>45</v>
      </c>
      <c r="AO149" s="43" t="s">
        <v>45</v>
      </c>
      <c r="AP149" s="42" t="s">
        <v>64</v>
      </c>
      <c r="AQ149" s="42">
        <v>8</v>
      </c>
      <c r="AR149" s="50" t="s">
        <v>14</v>
      </c>
      <c r="AS149" s="45" t="s">
        <v>606</v>
      </c>
      <c r="AT149" s="45" t="s">
        <v>47</v>
      </c>
      <c r="AU149" s="46">
        <f>($O$3*(L149-$O$1)/$O$2+$P$3*(M149-$P$1)/$P$2+$Q$3*(N149-$P$1)/$Q$2)/SUM($O$3:$Q$3)</f>
        <v>-2.7014842379675978</v>
      </c>
      <c r="AV149" s="46">
        <f>($O$3*(O149-$O$1)/$O$2+$P$3*(P149-$P$1)/$P$2+$Q$3*(Q149-$Q$1)/$Q$2)/SUM($O$3:$Q$3)</f>
        <v>-0.99184266516472974</v>
      </c>
      <c r="AW149" s="47">
        <f>COUNT(R149:AO149)/2</f>
        <v>3</v>
      </c>
      <c r="AX149" s="47">
        <f>IF(AND(S149&lt;&gt;"-",S149&gt;5),1,0)+IF(AND(U149&lt;&gt;"-",U149&gt;5),1,0)+IF(AND(W149&lt;&gt;"-",W149&gt;5),1,0)+IF(AND(Y149&lt;&gt;"-",Y149&gt;5),1,0)+IF(AND(AA149&lt;&gt;"-",AA149&gt;5),1,0)+IF(AND(AC149&lt;&gt;"-",AC149&gt;5),1,0)+IF(AND(AE149&lt;&gt;"-",AE149&gt;5),1,0)+IF(AND(AG149&lt;&gt;"-",AG149&gt;5),1,0)+IF(AND(AI149&lt;&gt;"-",AI149&gt;5),1,0)+IF(AND(AK149&lt;&gt;"-",AK149&gt;5),1,0)+IF(AND(AM149&lt;&gt;"-",AM149&gt;5),1,0)+IF(AND(AO149&lt;&gt;"-",AO149&gt;5),1,0)</f>
        <v>2</v>
      </c>
      <c r="AY149" s="48">
        <f>VLOOKUP(AP149,COND!$A$10:$B$32,2,FALSE)</f>
        <v>1</v>
      </c>
      <c r="AZ149" s="46">
        <f>($AU$3*AU149+$AV$3*AV149+$AW$3*AW149+$AX$3*AX149)*AY149*IF(AQ149&lt;5,0.95,IF(AQ149&lt;7,0.975,1))+$I$3*VLOOKUP(I149,COND!$A$2:$E$7,4,FALSE)+$J$3*VLOOKUP(J149,COND!$A$2:$E$7,2,FALSE)+$K$3*VLOOKUP(K149,COND!$A$2:$E$7,3,FALSE)+IF(BB149="SP",$BB$3,0)+IF($AW149&lt;3,-5,0)+IF(AND($B$2&gt;0,$E149&lt;20),$B$2*25,0)</f>
        <v>35.622849849111887</v>
      </c>
      <c r="BA149" s="49">
        <f>STANDARDIZE(AZ149,AVERAGE($AZ$5:$AZ$570),STDEVP($AZ$5:$AZ$570))</f>
        <v>0.26599732526680114</v>
      </c>
      <c r="BB149" s="47" t="str">
        <f>IF(OR(AND(AQ149&gt;7,AX149&gt;1),AND(AQ149&gt;4,AW149&gt;2)),"SP","RP")</f>
        <v>SP</v>
      </c>
      <c r="BC149" s="47"/>
      <c r="BD149" s="47"/>
      <c r="BE149" s="47"/>
      <c r="BF149" s="47" t="str">
        <f>IF(AVERAGE($O149:$Q149)&gt;=6,"Likely",IF(AVERAGE($O149:$Q149)&gt;=4,"Possible","Unlikely"))</f>
        <v>Unlikely</v>
      </c>
      <c r="BG149" s="47"/>
      <c r="BH149" s="47" t="str">
        <f>INDEX(Table5[[#All],[Ovr]],MATCH(Table3[[#This Row],[PID]],Table5[[#All],[PID]],0))</f>
        <v/>
      </c>
      <c r="BI149" s="47" t="str">
        <f>INDEX(Table5[[#All],[Rnd]],MATCH(Table3[[#This Row],[PID]],Table5[[#All],[PID]],0))</f>
        <v/>
      </c>
      <c r="BJ149" s="47" t="str">
        <f>INDEX(Table5[[#All],[Pick]],MATCH(Table3[[#This Row],[PID]],Table5[[#All],[PID]],0))</f>
        <v/>
      </c>
      <c r="BK149" s="47" t="str">
        <f>INDEX(Table5[[#All],[Team]],MATCH(Table3[[#This Row],[PID]],Table5[[#All],[PID]],0))</f>
        <v/>
      </c>
      <c r="BL1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0" spans="1:64" ht="15" customHeight="1" x14ac:dyDescent="0.25">
      <c r="A150" s="42">
        <v>6212</v>
      </c>
      <c r="B150" s="42" t="s">
        <v>24</v>
      </c>
      <c r="C150" s="42" t="s">
        <v>169</v>
      </c>
      <c r="D150" s="42" t="s">
        <v>1476</v>
      </c>
      <c r="E150" s="42">
        <v>20</v>
      </c>
      <c r="F150" s="42" t="s">
        <v>53</v>
      </c>
      <c r="G150" s="42" t="s">
        <v>53</v>
      </c>
      <c r="H150" s="43" t="s">
        <v>721</v>
      </c>
      <c r="I150" s="44" t="s">
        <v>43</v>
      </c>
      <c r="J150" s="42" t="s">
        <v>43</v>
      </c>
      <c r="K150" s="43" t="s">
        <v>47</v>
      </c>
      <c r="L150" s="42">
        <v>2</v>
      </c>
      <c r="M150" s="42">
        <v>2</v>
      </c>
      <c r="N150" s="43">
        <v>1</v>
      </c>
      <c r="O150" s="42">
        <v>6</v>
      </c>
      <c r="P150" s="42">
        <v>2</v>
      </c>
      <c r="Q150" s="43">
        <v>2</v>
      </c>
      <c r="R150" s="42">
        <v>5</v>
      </c>
      <c r="S150" s="42">
        <v>7</v>
      </c>
      <c r="T150" s="42" t="s">
        <v>45</v>
      </c>
      <c r="U150" s="42" t="s">
        <v>45</v>
      </c>
      <c r="V150" s="42">
        <v>2</v>
      </c>
      <c r="W150" s="42">
        <v>9</v>
      </c>
      <c r="X150" s="42">
        <v>3</v>
      </c>
      <c r="Y150" s="42">
        <v>7</v>
      </c>
      <c r="Z150" s="42" t="s">
        <v>45</v>
      </c>
      <c r="AA150" s="42" t="s">
        <v>45</v>
      </c>
      <c r="AB150" s="42" t="s">
        <v>45</v>
      </c>
      <c r="AC150" s="42" t="s">
        <v>45</v>
      </c>
      <c r="AD150" s="42" t="s">
        <v>45</v>
      </c>
      <c r="AE150" s="42" t="s">
        <v>45</v>
      </c>
      <c r="AF150" s="42" t="s">
        <v>45</v>
      </c>
      <c r="AG150" s="42" t="s">
        <v>45</v>
      </c>
      <c r="AH150" s="42" t="s">
        <v>45</v>
      </c>
      <c r="AI150" s="42" t="s">
        <v>45</v>
      </c>
      <c r="AJ150" s="42" t="s">
        <v>45</v>
      </c>
      <c r="AK150" s="42" t="s">
        <v>45</v>
      </c>
      <c r="AL150" s="42" t="s">
        <v>45</v>
      </c>
      <c r="AM150" s="42" t="s">
        <v>45</v>
      </c>
      <c r="AN150" s="42" t="s">
        <v>45</v>
      </c>
      <c r="AO150" s="43" t="s">
        <v>45</v>
      </c>
      <c r="AP150" s="42" t="s">
        <v>60</v>
      </c>
      <c r="AQ150" s="42">
        <v>8</v>
      </c>
      <c r="AR150" s="50" t="s">
        <v>353</v>
      </c>
      <c r="AS150" s="45" t="s">
        <v>45</v>
      </c>
      <c r="AT150" s="45" t="s">
        <v>47</v>
      </c>
      <c r="AU150" s="46">
        <f>($O$3*(L150-$O$1)/$O$2+$P$3*(M150-$P$1)/$P$2+$Q$3*(N150-$P$1)/$Q$2)/SUM($O$3:$Q$3)</f>
        <v>-2.311361197028369</v>
      </c>
      <c r="AV150" s="46">
        <f>($O$3*(O150-$O$1)/$O$2+$P$3*(P150-$P$1)/$P$2+$Q$3*(Q150-$Q$1)/$Q$2)/SUM($O$3:$Q$3)</f>
        <v>-0.84478058220049301</v>
      </c>
      <c r="AW150" s="47">
        <f>COUNT(R150:AO150)/2</f>
        <v>3</v>
      </c>
      <c r="AX150" s="47">
        <f>IF(AND(S150&lt;&gt;"-",S150&gt;5),1,0)+IF(AND(U150&lt;&gt;"-",U150&gt;5),1,0)+IF(AND(W150&lt;&gt;"-",W150&gt;5),1,0)+IF(AND(Y150&lt;&gt;"-",Y150&gt;5),1,0)+IF(AND(AA150&lt;&gt;"-",AA150&gt;5),1,0)+IF(AND(AC150&lt;&gt;"-",AC150&gt;5),1,0)+IF(AND(AE150&lt;&gt;"-",AE150&gt;5),1,0)+IF(AND(AG150&lt;&gt;"-",AG150&gt;5),1,0)+IF(AND(AI150&lt;&gt;"-",AI150&gt;5),1,0)+IF(AND(AK150&lt;&gt;"-",AK150&gt;5),1,0)+IF(AND(AM150&lt;&gt;"-",AM150&gt;5),1,0)+IF(AND(AO150&lt;&gt;"-",AO150&gt;5),1,0)</f>
        <v>3</v>
      </c>
      <c r="AY150" s="48">
        <f>VLOOKUP(AP150,COND!$A$10:$B$32,2,FALSE)</f>
        <v>1.0249999999999999</v>
      </c>
      <c r="AZ150" s="46">
        <f>($AU$3*AU150+$AV$3*AV150+$AW$3*AW150+$AX$3*AX150)*AY150*IF(AQ150&lt;5,0.95,IF(AQ150&lt;7,0.975,1))+$I$3*VLOOKUP(I150,COND!$A$2:$E$7,4,FALSE)+$J$3*VLOOKUP(J150,COND!$A$2:$E$7,2,FALSE)+$K$3*VLOOKUP(K150,COND!$A$2:$E$7,3,FALSE)+IF(BB150="SP",$BB$3,0)+IF($AW150&lt;3,-5,0)+IF(AND($B$2&gt;0,$E150&lt;20),$B$2*25,0)</f>
        <v>34.889419019499073</v>
      </c>
      <c r="BA150" s="49">
        <f>STANDARDIZE(AZ150,AVERAGE($AZ$5:$AZ$570),STDEVP($AZ$5:$AZ$570))</f>
        <v>0.19873858344205705</v>
      </c>
      <c r="BB150" s="47" t="str">
        <f>IF(OR(AND(AQ150&gt;7,AX150&gt;1),AND(AQ150&gt;4,AW150&gt;2)),"SP","RP")</f>
        <v>SP</v>
      </c>
      <c r="BC150" s="47"/>
      <c r="BD150" s="47"/>
      <c r="BE150" s="47"/>
      <c r="BF150" s="47" t="str">
        <f>IF(AVERAGE($O150:$Q150)&gt;=6,"Likely",IF(AVERAGE($O150:$Q150)&gt;=4,"Possible","Unlikely"))</f>
        <v>Unlikely</v>
      </c>
      <c r="BG150" s="47"/>
      <c r="BH150" s="47" t="str">
        <f>INDEX(Table5[[#All],[Ovr]],MATCH(Table3[[#This Row],[PID]],Table5[[#All],[PID]],0))</f>
        <v/>
      </c>
      <c r="BI150" s="47" t="str">
        <f>INDEX(Table5[[#All],[Rnd]],MATCH(Table3[[#This Row],[PID]],Table5[[#All],[PID]],0))</f>
        <v/>
      </c>
      <c r="BJ150" s="47" t="str">
        <f>INDEX(Table5[[#All],[Pick]],MATCH(Table3[[#This Row],[PID]],Table5[[#All],[PID]],0))</f>
        <v/>
      </c>
      <c r="BK150" s="47" t="str">
        <f>INDEX(Table5[[#All],[Team]],MATCH(Table3[[#This Row],[PID]],Table5[[#All],[PID]],0))</f>
        <v/>
      </c>
      <c r="BL1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1" spans="1:64" ht="15" customHeight="1" x14ac:dyDescent="0.25">
      <c r="A151" s="42">
        <v>8134</v>
      </c>
      <c r="B151" s="42" t="s">
        <v>430</v>
      </c>
      <c r="C151" s="42" t="s">
        <v>1473</v>
      </c>
      <c r="D151" s="42" t="s">
        <v>1373</v>
      </c>
      <c r="E151" s="42">
        <v>21</v>
      </c>
      <c r="F151" s="42" t="s">
        <v>42</v>
      </c>
      <c r="G151" s="42" t="s">
        <v>42</v>
      </c>
      <c r="H151" s="43" t="s">
        <v>721</v>
      </c>
      <c r="I151" s="44" t="s">
        <v>43</v>
      </c>
      <c r="J151" s="42" t="s">
        <v>47</v>
      </c>
      <c r="K151" s="43" t="s">
        <v>43</v>
      </c>
      <c r="L151" s="42">
        <v>3</v>
      </c>
      <c r="M151" s="42">
        <v>1</v>
      </c>
      <c r="N151" s="43">
        <v>1</v>
      </c>
      <c r="O151" s="42">
        <v>6</v>
      </c>
      <c r="P151" s="42">
        <v>1</v>
      </c>
      <c r="Q151" s="43">
        <v>3</v>
      </c>
      <c r="R151" s="42">
        <v>5</v>
      </c>
      <c r="S151" s="42">
        <v>7</v>
      </c>
      <c r="T151" s="42">
        <v>1</v>
      </c>
      <c r="U151" s="42">
        <v>2</v>
      </c>
      <c r="V151" s="42" t="s">
        <v>45</v>
      </c>
      <c r="W151" s="42" t="s">
        <v>45</v>
      </c>
      <c r="X151" s="42" t="s">
        <v>45</v>
      </c>
      <c r="Y151" s="42" t="s">
        <v>45</v>
      </c>
      <c r="Z151" s="42" t="s">
        <v>45</v>
      </c>
      <c r="AA151" s="42" t="s">
        <v>45</v>
      </c>
      <c r="AB151" s="42">
        <v>4</v>
      </c>
      <c r="AC151" s="42">
        <v>7</v>
      </c>
      <c r="AD151" s="42" t="s">
        <v>45</v>
      </c>
      <c r="AE151" s="42" t="s">
        <v>45</v>
      </c>
      <c r="AF151" s="42" t="s">
        <v>45</v>
      </c>
      <c r="AG151" s="42" t="s">
        <v>45</v>
      </c>
      <c r="AH151" s="42" t="s">
        <v>45</v>
      </c>
      <c r="AI151" s="42" t="s">
        <v>45</v>
      </c>
      <c r="AJ151" s="42" t="s">
        <v>45</v>
      </c>
      <c r="AK151" s="42" t="s">
        <v>45</v>
      </c>
      <c r="AL151" s="42" t="s">
        <v>45</v>
      </c>
      <c r="AM151" s="42" t="s">
        <v>45</v>
      </c>
      <c r="AN151" s="42" t="s">
        <v>45</v>
      </c>
      <c r="AO151" s="43" t="s">
        <v>45</v>
      </c>
      <c r="AP151" s="42" t="s">
        <v>60</v>
      </c>
      <c r="AQ151" s="42">
        <v>6</v>
      </c>
      <c r="AR151" s="50" t="s">
        <v>14</v>
      </c>
      <c r="AS151" s="45" t="s">
        <v>45</v>
      </c>
      <c r="AT151" s="45" t="s">
        <v>705</v>
      </c>
      <c r="AU151" s="46">
        <f>($O$3*(L151-$O$1)/$O$2+$P$3*(M151-$P$1)/$P$2+$Q$3*(N151-$P$1)/$Q$2)/SUM($O$3:$Q$3)</f>
        <v>-2.3121015889492513</v>
      </c>
      <c r="AV151" s="46">
        <f>($O$3*(O151-$O$1)/$O$2+$P$3*(P151-$P$1)/$P$2+$Q$3*(Q151-$Q$1)/$Q$2)/SUM($O$3:$Q$3)</f>
        <v>-0.79789173257643808</v>
      </c>
      <c r="AW151" s="47">
        <f>COUNT(R151:AO151)/2</f>
        <v>3</v>
      </c>
      <c r="AX151" s="47">
        <f>IF(AND(S151&lt;&gt;"-",S151&gt;5),1,0)+IF(AND(U151&lt;&gt;"-",U151&gt;5),1,0)+IF(AND(W151&lt;&gt;"-",W151&gt;5),1,0)+IF(AND(Y151&lt;&gt;"-",Y151&gt;5),1,0)+IF(AND(AA151&lt;&gt;"-",AA151&gt;5),1,0)+IF(AND(AC151&lt;&gt;"-",AC151&gt;5),1,0)+IF(AND(AE151&lt;&gt;"-",AE151&gt;5),1,0)+IF(AND(AG151&lt;&gt;"-",AG151&gt;5),1,0)+IF(AND(AI151&lt;&gt;"-",AI151&gt;5),1,0)+IF(AND(AK151&lt;&gt;"-",AK151&gt;5),1,0)+IF(AND(AM151&lt;&gt;"-",AM151&gt;5),1,0)+IF(AND(AO151&lt;&gt;"-",AO151&gt;5),1,0)</f>
        <v>2</v>
      </c>
      <c r="AY151" s="48">
        <f>VLOOKUP(AP151,COND!$A$10:$B$32,2,FALSE)</f>
        <v>1.0249999999999999</v>
      </c>
      <c r="AZ151" s="46">
        <f>($AU$3*AU151+$AV$3*AV151+$AW$3*AW151+$AX$3*AX151)*AY151*IF(AQ151&lt;5,0.95,IF(AQ151&lt;7,0.975,1))+$I$3*VLOOKUP(I151,COND!$A$2:$E$7,4,FALSE)+$J$3*VLOOKUP(J151,COND!$A$2:$E$7,2,FALSE)+$K$3*VLOOKUP(K151,COND!$A$2:$E$7,3,FALSE)+IF(BB151="SP",$BB$3,0)+IF($AW151&lt;3,-5,0)+IF(AND($B$2&gt;0,$E151&lt;20),$B$2*25,0)</f>
        <v>34.887507690037211</v>
      </c>
      <c r="BA151" s="49">
        <f>STANDARDIZE(AZ151,AVERAGE($AZ$5:$AZ$570),STDEVP($AZ$5:$AZ$570))</f>
        <v>0.1985633063612105</v>
      </c>
      <c r="BB151" s="47" t="str">
        <f>IF(OR(AND(AQ151&gt;7,AX151&gt;1),AND(AQ151&gt;4,AW151&gt;2)),"SP","RP")</f>
        <v>SP</v>
      </c>
      <c r="BC151" s="47"/>
      <c r="BD151" s="47"/>
      <c r="BE151" s="47"/>
      <c r="BF151" s="47" t="str">
        <f>IF(AVERAGE($O151:$Q151)&gt;=6,"Likely",IF(AVERAGE($O151:$Q151)&gt;=4,"Possible","Unlikely"))</f>
        <v>Unlikely</v>
      </c>
      <c r="BG151" s="47"/>
      <c r="BH151" s="47" t="str">
        <f>INDEX(Table5[[#All],[Ovr]],MATCH(Table3[[#This Row],[PID]],Table5[[#All],[PID]],0))</f>
        <v/>
      </c>
      <c r="BI151" s="47" t="str">
        <f>INDEX(Table5[[#All],[Rnd]],MATCH(Table3[[#This Row],[PID]],Table5[[#All],[PID]],0))</f>
        <v/>
      </c>
      <c r="BJ151" s="47" t="str">
        <f>INDEX(Table5[[#All],[Pick]],MATCH(Table3[[#This Row],[PID]],Table5[[#All],[PID]],0))</f>
        <v/>
      </c>
      <c r="BK151" s="47" t="str">
        <f>INDEX(Table5[[#All],[Team]],MATCH(Table3[[#This Row],[PID]],Table5[[#All],[PID]],0))</f>
        <v/>
      </c>
      <c r="BL1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2" spans="1:64" ht="15" customHeight="1" x14ac:dyDescent="0.25">
      <c r="A152" s="42">
        <v>13536</v>
      </c>
      <c r="B152" s="42" t="s">
        <v>430</v>
      </c>
      <c r="C152" s="42" t="s">
        <v>1638</v>
      </c>
      <c r="D152" s="42" t="s">
        <v>1639</v>
      </c>
      <c r="E152" s="42">
        <v>18</v>
      </c>
      <c r="F152" s="42" t="s">
        <v>62</v>
      </c>
      <c r="G152" s="42" t="s">
        <v>53</v>
      </c>
      <c r="H152" s="43" t="s">
        <v>721</v>
      </c>
      <c r="I152" s="44" t="s">
        <v>43</v>
      </c>
      <c r="J152" s="42" t="s">
        <v>44</v>
      </c>
      <c r="K152" s="43" t="s">
        <v>43</v>
      </c>
      <c r="L152" s="42">
        <v>1</v>
      </c>
      <c r="M152" s="42">
        <v>1</v>
      </c>
      <c r="N152" s="43">
        <v>1</v>
      </c>
      <c r="O152" s="42">
        <v>4</v>
      </c>
      <c r="P152" s="42">
        <v>2</v>
      </c>
      <c r="Q152" s="43">
        <v>3</v>
      </c>
      <c r="R152" s="42">
        <v>2</v>
      </c>
      <c r="S152" s="42">
        <v>4</v>
      </c>
      <c r="T152" s="42">
        <v>1</v>
      </c>
      <c r="U152" s="42">
        <v>7</v>
      </c>
      <c r="V152" s="42" t="s">
        <v>45</v>
      </c>
      <c r="W152" s="42" t="s">
        <v>45</v>
      </c>
      <c r="X152" s="42">
        <v>2</v>
      </c>
      <c r="Y152" s="42">
        <v>5</v>
      </c>
      <c r="Z152" s="42" t="s">
        <v>45</v>
      </c>
      <c r="AA152" s="42" t="s">
        <v>45</v>
      </c>
      <c r="AB152" s="42" t="s">
        <v>45</v>
      </c>
      <c r="AC152" s="42" t="s">
        <v>45</v>
      </c>
      <c r="AD152" s="42" t="s">
        <v>45</v>
      </c>
      <c r="AE152" s="42" t="s">
        <v>45</v>
      </c>
      <c r="AF152" s="42" t="s">
        <v>45</v>
      </c>
      <c r="AG152" s="42" t="s">
        <v>45</v>
      </c>
      <c r="AH152" s="42" t="s">
        <v>45</v>
      </c>
      <c r="AI152" s="42" t="s">
        <v>45</v>
      </c>
      <c r="AJ152" s="42" t="s">
        <v>45</v>
      </c>
      <c r="AK152" s="42" t="s">
        <v>45</v>
      </c>
      <c r="AL152" s="42" t="s">
        <v>45</v>
      </c>
      <c r="AM152" s="42" t="s">
        <v>45</v>
      </c>
      <c r="AN152" s="42" t="s">
        <v>45</v>
      </c>
      <c r="AO152" s="43" t="s">
        <v>45</v>
      </c>
      <c r="AP152" s="42" t="s">
        <v>70</v>
      </c>
      <c r="AQ152" s="42">
        <v>6</v>
      </c>
      <c r="AR152" s="50" t="s">
        <v>14</v>
      </c>
      <c r="AS152" s="45" t="s">
        <v>718</v>
      </c>
      <c r="AT152" s="45" t="s">
        <v>705</v>
      </c>
      <c r="AU152" s="46">
        <f>($O$3*(L152-$O$1)/$O$2+$P$3*(M152-$P$1)/$P$2+$Q$3*(N152-$P$1)/$Q$2)/SUM($O$3:$Q$3)</f>
        <v>-2.7014842379675978</v>
      </c>
      <c r="AV152" s="46">
        <f>($O$3*(O152-$O$1)/$O$2+$P$3*(P152-$P$1)/$P$2+$Q$3*(Q152-$Q$1)/$Q$2)/SUM($O$3:$Q$3)</f>
        <v>-0.99184266516472974</v>
      </c>
      <c r="AW152" s="47">
        <f>COUNT(R152:AO152)/2</f>
        <v>3</v>
      </c>
      <c r="AX152" s="47">
        <f>IF(AND(S152&lt;&gt;"-",S152&gt;5),1,0)+IF(AND(U152&lt;&gt;"-",U152&gt;5),1,0)+IF(AND(W152&lt;&gt;"-",W152&gt;5),1,0)+IF(AND(Y152&lt;&gt;"-",Y152&gt;5),1,0)+IF(AND(AA152&lt;&gt;"-",AA152&gt;5),1,0)+IF(AND(AC152&lt;&gt;"-",AC152&gt;5),1,0)+IF(AND(AE152&lt;&gt;"-",AE152&gt;5),1,0)+IF(AND(AG152&lt;&gt;"-",AG152&gt;5),1,0)+IF(AND(AI152&lt;&gt;"-",AI152&gt;5),1,0)+IF(AND(AK152&lt;&gt;"-",AK152&gt;5),1,0)+IF(AND(AM152&lt;&gt;"-",AM152&gt;5),1,0)+IF(AND(AO152&lt;&gt;"-",AO152&gt;5),1,0)</f>
        <v>1</v>
      </c>
      <c r="AY152" s="48">
        <f>VLOOKUP(AP152,COND!$A$10:$B$32,2,FALSE)</f>
        <v>0.9</v>
      </c>
      <c r="AZ152" s="46">
        <f>($AU$3*AU152+$AV$3*AV152+$AW$3*AW152+$AX$3*AX152)*AY152*IF(AQ152&lt;5,0.95,IF(AQ152&lt;7,0.975,1))+$I$3*VLOOKUP(I152,COND!$A$2:$E$7,4,FALSE)+$J$3*VLOOKUP(J152,COND!$A$2:$E$7,2,FALSE)+$K$3*VLOOKUP(K152,COND!$A$2:$E$7,3,FALSE)+IF(BB152="SP",$BB$3,0)+IF($AW152&lt;3,-5,0)+IF(AND($B$2&gt;0,$E152&lt;20),$B$2*25,0)</f>
        <v>36.232175742595679</v>
      </c>
      <c r="BA152" s="49">
        <f>STANDARDIZE(AZ152,AVERAGE($AZ$5:$AZ$570),STDEVP($AZ$5:$AZ$570))</f>
        <v>0.32187511401286872</v>
      </c>
      <c r="BB152" s="47" t="str">
        <f>IF(OR(AND(AQ152&gt;7,AX152&gt;1),AND(AQ152&gt;4,AW152&gt;2)),"SP","RP")</f>
        <v>SP</v>
      </c>
      <c r="BC152" s="47"/>
      <c r="BD152" s="47"/>
      <c r="BE152" s="47"/>
      <c r="BF152" s="47" t="str">
        <f>IF(AVERAGE($O152:$Q152)&gt;=6,"Likely",IF(AVERAGE($O152:$Q152)&gt;=4,"Possible","Unlikely"))</f>
        <v>Unlikely</v>
      </c>
      <c r="BG152" s="47"/>
      <c r="BH152" s="47" t="str">
        <f>INDEX(Table5[[#All],[Ovr]],MATCH(Table3[[#This Row],[PID]],Table5[[#All],[PID]],0))</f>
        <v/>
      </c>
      <c r="BI152" s="47" t="str">
        <f>INDEX(Table5[[#All],[Rnd]],MATCH(Table3[[#This Row],[PID]],Table5[[#All],[PID]],0))</f>
        <v/>
      </c>
      <c r="BJ152" s="47" t="str">
        <f>INDEX(Table5[[#All],[Pick]],MATCH(Table3[[#This Row],[PID]],Table5[[#All],[PID]],0))</f>
        <v/>
      </c>
      <c r="BK152" s="47" t="str">
        <f>INDEX(Table5[[#All],[Team]],MATCH(Table3[[#This Row],[PID]],Table5[[#All],[PID]],0))</f>
        <v/>
      </c>
      <c r="BL1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3" spans="1:64" ht="15" customHeight="1" x14ac:dyDescent="0.25">
      <c r="A153" s="42">
        <v>17795</v>
      </c>
      <c r="B153" s="42" t="s">
        <v>49</v>
      </c>
      <c r="C153" s="42" t="s">
        <v>1243</v>
      </c>
      <c r="D153" s="42" t="s">
        <v>729</v>
      </c>
      <c r="E153" s="42">
        <v>20</v>
      </c>
      <c r="F153" s="42" t="s">
        <v>42</v>
      </c>
      <c r="G153" s="42" t="s">
        <v>42</v>
      </c>
      <c r="H153" s="43" t="s">
        <v>721</v>
      </c>
      <c r="I153" s="44" t="s">
        <v>44</v>
      </c>
      <c r="J153" s="42" t="s">
        <v>44</v>
      </c>
      <c r="K153" s="43" t="s">
        <v>44</v>
      </c>
      <c r="L153" s="42">
        <v>3</v>
      </c>
      <c r="M153" s="42">
        <v>2</v>
      </c>
      <c r="N153" s="43">
        <v>1</v>
      </c>
      <c r="O153" s="42">
        <v>6</v>
      </c>
      <c r="P153" s="42">
        <v>3</v>
      </c>
      <c r="Q153" s="43">
        <v>2</v>
      </c>
      <c r="R153" s="42" t="s">
        <v>45</v>
      </c>
      <c r="S153" s="42" t="s">
        <v>45</v>
      </c>
      <c r="T153" s="42">
        <v>1</v>
      </c>
      <c r="U153" s="42">
        <v>1</v>
      </c>
      <c r="V153" s="42" t="s">
        <v>45</v>
      </c>
      <c r="W153" s="42" t="s">
        <v>45</v>
      </c>
      <c r="X153" s="42" t="s">
        <v>45</v>
      </c>
      <c r="Y153" s="42" t="s">
        <v>45</v>
      </c>
      <c r="Z153" s="42">
        <v>4</v>
      </c>
      <c r="AA153" s="42">
        <v>6</v>
      </c>
      <c r="AB153" s="42" t="s">
        <v>45</v>
      </c>
      <c r="AC153" s="42" t="s">
        <v>45</v>
      </c>
      <c r="AD153" s="42">
        <v>4</v>
      </c>
      <c r="AE153" s="42">
        <v>7</v>
      </c>
      <c r="AF153" s="42" t="s">
        <v>45</v>
      </c>
      <c r="AG153" s="42" t="s">
        <v>45</v>
      </c>
      <c r="AH153" s="42" t="s">
        <v>45</v>
      </c>
      <c r="AI153" s="42" t="s">
        <v>45</v>
      </c>
      <c r="AJ153" s="42" t="s">
        <v>45</v>
      </c>
      <c r="AK153" s="42" t="s">
        <v>45</v>
      </c>
      <c r="AL153" s="42" t="s">
        <v>45</v>
      </c>
      <c r="AM153" s="42" t="s">
        <v>45</v>
      </c>
      <c r="AN153" s="42" t="s">
        <v>45</v>
      </c>
      <c r="AO153" s="43" t="s">
        <v>45</v>
      </c>
      <c r="AP153" s="42" t="s">
        <v>56</v>
      </c>
      <c r="AQ153" s="42">
        <v>7</v>
      </c>
      <c r="AR153" s="50" t="s">
        <v>353</v>
      </c>
      <c r="AS153" s="45" t="s">
        <v>717</v>
      </c>
      <c r="AT153" s="45" t="s">
        <v>705</v>
      </c>
      <c r="AU153" s="46">
        <f>($O$3*(L153-$O$1)/$O$2+$P$3*(M153-$P$1)/$P$2+$Q$3*(N153-$P$1)/$Q$2)/SUM($O$3:$Q$3)</f>
        <v>-2.1166698725191955</v>
      </c>
      <c r="AV153" s="46">
        <f>($O$3*(O153-$O$1)/$O$2+$P$3*(P153-$P$1)/$P$2+$Q$3*(Q153-$Q$1)/$Q$2)/SUM($O$3:$Q$3)</f>
        <v>-0.64934886577043749</v>
      </c>
      <c r="AW153" s="47">
        <f>COUNT(R153:AO153)/2</f>
        <v>3</v>
      </c>
      <c r="AX153" s="47">
        <f>IF(AND(S153&lt;&gt;"-",S153&gt;5),1,0)+IF(AND(U153&lt;&gt;"-",U153&gt;5),1,0)+IF(AND(W153&lt;&gt;"-",W153&gt;5),1,0)+IF(AND(Y153&lt;&gt;"-",Y153&gt;5),1,0)+IF(AND(AA153&lt;&gt;"-",AA153&gt;5),1,0)+IF(AND(AC153&lt;&gt;"-",AC153&gt;5),1,0)+IF(AND(AE153&lt;&gt;"-",AE153&gt;5),1,0)+IF(AND(AG153&lt;&gt;"-",AG153&gt;5),1,0)+IF(AND(AI153&lt;&gt;"-",AI153&gt;5),1,0)+IF(AND(AK153&lt;&gt;"-",AK153&gt;5),1,0)+IF(AND(AM153&lt;&gt;"-",AM153&gt;5),1,0)+IF(AND(AO153&lt;&gt;"-",AO153&gt;5),1,0)</f>
        <v>2</v>
      </c>
      <c r="AY153" s="48">
        <f>VLOOKUP(AP153,COND!$A$10:$B$32,2,FALSE)</f>
        <v>1</v>
      </c>
      <c r="AZ153" s="46">
        <f>($AU$3*AU153+$AV$3*AV153+$AW$3*AW153+$AX$3*AX153)*AY153*IF(AQ153&lt;5,0.95,IF(AQ153&lt;7,0.975,1))+$I$3*VLOOKUP(I153,COND!$A$2:$E$7,4,FALSE)+$J$3*VLOOKUP(J153,COND!$A$2:$E$7,2,FALSE)+$K$3*VLOOKUP(K153,COND!$A$2:$E$7,3,FALSE)+IF(BB153="SP",$BB$3,0)+IF($AW153&lt;3,-5,0)+IF(AND($B$2&gt;0,$E153&lt;20),$B$2*25,0)</f>
        <v>36.839688710087415</v>
      </c>
      <c r="BA153" s="49">
        <f>STANDARDIZE(AZ153,AVERAGE($AZ$5:$AZ$570),STDEVP($AZ$5:$AZ$570))</f>
        <v>0.37758664969685618</v>
      </c>
      <c r="BB153" s="47" t="str">
        <f>IF(OR(AND(AQ153&gt;7,AX153&gt;1),AND(AQ153&gt;4,AW153&gt;2)),"SP","RP")</f>
        <v>SP</v>
      </c>
      <c r="BC153" s="47"/>
      <c r="BD153" s="47"/>
      <c r="BE153" s="47"/>
      <c r="BF153" s="47" t="str">
        <f>IF(AVERAGE($O153:$Q153)&gt;=6,"Likely",IF(AVERAGE($O153:$Q153)&gt;=4,"Possible","Unlikely"))</f>
        <v>Unlikely</v>
      </c>
      <c r="BG153" s="47"/>
      <c r="BH153" s="47" t="str">
        <f>INDEX(Table5[[#All],[Ovr]],MATCH(Table3[[#This Row],[PID]],Table5[[#All],[PID]],0))</f>
        <v/>
      </c>
      <c r="BI153" s="47" t="str">
        <f>INDEX(Table5[[#All],[Rnd]],MATCH(Table3[[#This Row],[PID]],Table5[[#All],[PID]],0))</f>
        <v/>
      </c>
      <c r="BJ153" s="47" t="str">
        <f>INDEX(Table5[[#All],[Pick]],MATCH(Table3[[#This Row],[PID]],Table5[[#All],[PID]],0))</f>
        <v/>
      </c>
      <c r="BK153" s="47" t="str">
        <f>INDEX(Table5[[#All],[Team]],MATCH(Table3[[#This Row],[PID]],Table5[[#All],[PID]],0))</f>
        <v/>
      </c>
      <c r="BL1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4" spans="1:64" ht="15" customHeight="1" x14ac:dyDescent="0.25">
      <c r="A154" s="42">
        <v>13426</v>
      </c>
      <c r="B154" s="42" t="s">
        <v>430</v>
      </c>
      <c r="C154" s="42" t="s">
        <v>605</v>
      </c>
      <c r="D154" s="42" t="s">
        <v>1339</v>
      </c>
      <c r="E154" s="42">
        <v>18</v>
      </c>
      <c r="F154" s="42" t="s">
        <v>62</v>
      </c>
      <c r="G154" s="42" t="s">
        <v>53</v>
      </c>
      <c r="H154" s="43" t="s">
        <v>721</v>
      </c>
      <c r="I154" s="44" t="s">
        <v>43</v>
      </c>
      <c r="J154" s="42" t="s">
        <v>44</v>
      </c>
      <c r="K154" s="43" t="s">
        <v>43</v>
      </c>
      <c r="L154" s="42">
        <v>1</v>
      </c>
      <c r="M154" s="42">
        <v>1</v>
      </c>
      <c r="N154" s="43">
        <v>1</v>
      </c>
      <c r="O154" s="42">
        <v>2</v>
      </c>
      <c r="P154" s="42">
        <v>1</v>
      </c>
      <c r="Q154" s="43">
        <v>6</v>
      </c>
      <c r="R154" s="42">
        <v>2</v>
      </c>
      <c r="S154" s="42">
        <v>3</v>
      </c>
      <c r="T154" s="42">
        <v>1</v>
      </c>
      <c r="U154" s="42">
        <v>5</v>
      </c>
      <c r="V154" s="42">
        <v>1</v>
      </c>
      <c r="W154" s="42">
        <v>3</v>
      </c>
      <c r="X154" s="42" t="s">
        <v>45</v>
      </c>
      <c r="Y154" s="42" t="s">
        <v>45</v>
      </c>
      <c r="Z154" s="42" t="s">
        <v>45</v>
      </c>
      <c r="AA154" s="42" t="s">
        <v>45</v>
      </c>
      <c r="AB154" s="42" t="s">
        <v>45</v>
      </c>
      <c r="AC154" s="42" t="s">
        <v>45</v>
      </c>
      <c r="AD154" s="42" t="s">
        <v>45</v>
      </c>
      <c r="AE154" s="42" t="s">
        <v>45</v>
      </c>
      <c r="AF154" s="42" t="s">
        <v>45</v>
      </c>
      <c r="AG154" s="42" t="s">
        <v>45</v>
      </c>
      <c r="AH154" s="42" t="s">
        <v>45</v>
      </c>
      <c r="AI154" s="42" t="s">
        <v>45</v>
      </c>
      <c r="AJ154" s="42" t="s">
        <v>45</v>
      </c>
      <c r="AK154" s="42" t="s">
        <v>45</v>
      </c>
      <c r="AL154" s="42" t="s">
        <v>45</v>
      </c>
      <c r="AM154" s="42" t="s">
        <v>45</v>
      </c>
      <c r="AN154" s="42" t="s">
        <v>45</v>
      </c>
      <c r="AO154" s="43" t="s">
        <v>45</v>
      </c>
      <c r="AP154" s="42" t="s">
        <v>67</v>
      </c>
      <c r="AQ154" s="42">
        <v>6</v>
      </c>
      <c r="AR154" s="50" t="s">
        <v>14</v>
      </c>
      <c r="AS154" s="45" t="s">
        <v>733</v>
      </c>
      <c r="AT154" s="45" t="s">
        <v>47</v>
      </c>
      <c r="AU154" s="46">
        <f>($O$3*(L154-$O$1)/$O$2+$P$3*(M154-$P$1)/$P$2+$Q$3*(N154-$P$1)/$Q$2)/SUM($O$3:$Q$3)</f>
        <v>-2.7014842379675978</v>
      </c>
      <c r="AV154" s="46">
        <f>($O$3*(O154-$O$1)/$O$2+$P$3*(P154-$P$1)/$P$2+$Q$3*(Q154-$Q$1)/$Q$2)/SUM($O$3:$Q$3)</f>
        <v>-0.8496953324508012</v>
      </c>
      <c r="AW154" s="47">
        <f>COUNT(R154:AO154)/2</f>
        <v>3</v>
      </c>
      <c r="AX154" s="47">
        <f>IF(AND(S154&lt;&gt;"-",S154&gt;5),1,0)+IF(AND(U154&lt;&gt;"-",U154&gt;5),1,0)+IF(AND(W154&lt;&gt;"-",W154&gt;5),1,0)+IF(AND(Y154&lt;&gt;"-",Y154&gt;5),1,0)+IF(AND(AA154&lt;&gt;"-",AA154&gt;5),1,0)+IF(AND(AC154&lt;&gt;"-",AC154&gt;5),1,0)+IF(AND(AE154&lt;&gt;"-",AE154&gt;5),1,0)+IF(AND(AG154&lt;&gt;"-",AG154&gt;5),1,0)+IF(AND(AI154&lt;&gt;"-",AI154&gt;5),1,0)+IF(AND(AK154&lt;&gt;"-",AK154&gt;5),1,0)+IF(AND(AM154&lt;&gt;"-",AM154&gt;5),1,0)+IF(AND(AO154&lt;&gt;"-",AO154&gt;5),1,0)</f>
        <v>0</v>
      </c>
      <c r="AY154" s="48">
        <f>VLOOKUP(AP154,COND!$A$10:$B$32,2,FALSE)</f>
        <v>0.9</v>
      </c>
      <c r="AZ154" s="46">
        <f>($AU$3*AU154+$AV$3*AV154+$AW$3*AW154+$AX$3*AX154)*AY154*IF(AQ154&lt;5,0.95,IF(AQ154&lt;7,0.975,1))+$I$3*VLOOKUP(I154,COND!$A$2:$E$7,4,FALSE)+$J$3*VLOOKUP(J154,COND!$A$2:$E$7,2,FALSE)+$K$3*VLOOKUP(K154,COND!$A$2:$E$7,3,FALSE)+IF(BB154="SP",$BB$3,0)+IF($AW154&lt;3,-5,0)+IF(AND($B$2&gt;0,$E154&lt;20),$B$2*25,0)</f>
        <v>37.629986431725122</v>
      </c>
      <c r="BA154" s="49">
        <f>STANDARDIZE(AZ154,AVERAGE($AZ$5:$AZ$676),STDEVP($AZ$5:$AZ$676))</f>
        <v>0.63407158147942688</v>
      </c>
      <c r="BB154" s="47" t="str">
        <f>IF(OR(AND(AQ154&gt;7,AX154&gt;1),AND(AQ154&gt;4,AW154&gt;2)),"SP","RP")</f>
        <v>SP</v>
      </c>
      <c r="BC154" s="47"/>
      <c r="BD154" s="47"/>
      <c r="BE154" s="47"/>
      <c r="BF154" s="47" t="str">
        <f>IF(AVERAGE($O154:$Q154)&gt;=6,"Likely",IF(AVERAGE($O154:$Q154)&gt;=4,"Possible","Unlikely"))</f>
        <v>Unlikely</v>
      </c>
      <c r="BG154" s="47"/>
      <c r="BH154" s="47" t="str">
        <f>INDEX(Table5[[#All],[Ovr]],MATCH(Table3[[#This Row],[PID]],Table5[[#All],[PID]],0))</f>
        <v/>
      </c>
      <c r="BI154" s="47" t="str">
        <f>INDEX(Table5[[#All],[Rnd]],MATCH(Table3[[#This Row],[PID]],Table5[[#All],[PID]],0))</f>
        <v/>
      </c>
      <c r="BJ154" s="47" t="str">
        <f>INDEX(Table5[[#All],[Pick]],MATCH(Table3[[#This Row],[PID]],Table5[[#All],[PID]],0))</f>
        <v/>
      </c>
      <c r="BK154" s="47" t="str">
        <f>INDEX(Table5[[#All],[Team]],MATCH(Table3[[#This Row],[PID]],Table5[[#All],[PID]],0))</f>
        <v/>
      </c>
      <c r="BL1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5" spans="1:64" ht="15" customHeight="1" x14ac:dyDescent="0.25">
      <c r="A155" s="42">
        <v>17871</v>
      </c>
      <c r="B155" s="42" t="s">
        <v>430</v>
      </c>
      <c r="C155" s="42" t="s">
        <v>893</v>
      </c>
      <c r="D155" s="42" t="s">
        <v>1621</v>
      </c>
      <c r="E155" s="42">
        <v>18</v>
      </c>
      <c r="F155" s="42" t="s">
        <v>42</v>
      </c>
      <c r="G155" s="42" t="s">
        <v>42</v>
      </c>
      <c r="H155" s="43" t="s">
        <v>721</v>
      </c>
      <c r="I155" s="44" t="s">
        <v>43</v>
      </c>
      <c r="J155" s="42" t="s">
        <v>43</v>
      </c>
      <c r="K155" s="43" t="s">
        <v>43</v>
      </c>
      <c r="L155" s="42">
        <v>2</v>
      </c>
      <c r="M155" s="42">
        <v>1</v>
      </c>
      <c r="N155" s="43">
        <v>1</v>
      </c>
      <c r="O155" s="42">
        <v>4</v>
      </c>
      <c r="P155" s="42">
        <v>2</v>
      </c>
      <c r="Q155" s="43">
        <v>3</v>
      </c>
      <c r="R155" s="42">
        <v>4</v>
      </c>
      <c r="S155" s="42">
        <v>6</v>
      </c>
      <c r="T155" s="42">
        <v>1</v>
      </c>
      <c r="U155" s="42">
        <v>2</v>
      </c>
      <c r="V155" s="42">
        <v>2</v>
      </c>
      <c r="W155" s="42">
        <v>4</v>
      </c>
      <c r="X155" s="42">
        <v>2</v>
      </c>
      <c r="Y155" s="42">
        <v>5</v>
      </c>
      <c r="Z155" s="42" t="s">
        <v>45</v>
      </c>
      <c r="AA155" s="42" t="s">
        <v>45</v>
      </c>
      <c r="AB155" s="42" t="s">
        <v>45</v>
      </c>
      <c r="AC155" s="42" t="s">
        <v>45</v>
      </c>
      <c r="AD155" s="42" t="s">
        <v>45</v>
      </c>
      <c r="AE155" s="42" t="s">
        <v>45</v>
      </c>
      <c r="AF155" s="42">
        <v>3</v>
      </c>
      <c r="AG155" s="42">
        <v>4</v>
      </c>
      <c r="AH155" s="42" t="s">
        <v>45</v>
      </c>
      <c r="AI155" s="42" t="s">
        <v>45</v>
      </c>
      <c r="AJ155" s="42" t="s">
        <v>45</v>
      </c>
      <c r="AK155" s="42" t="s">
        <v>45</v>
      </c>
      <c r="AL155" s="42" t="s">
        <v>45</v>
      </c>
      <c r="AM155" s="42" t="s">
        <v>45</v>
      </c>
      <c r="AN155" s="42" t="s">
        <v>45</v>
      </c>
      <c r="AO155" s="43" t="s">
        <v>45</v>
      </c>
      <c r="AP155" s="42" t="s">
        <v>56</v>
      </c>
      <c r="AQ155" s="42">
        <v>7</v>
      </c>
      <c r="AR155" s="50" t="s">
        <v>14</v>
      </c>
      <c r="AS155" s="45" t="s">
        <v>718</v>
      </c>
      <c r="AT155" s="45" t="s">
        <v>47</v>
      </c>
      <c r="AU155" s="46">
        <f>($O$3*(L155-$O$1)/$O$2+$P$3*(M155-$P$1)/$P$2+$Q$3*(N155-$P$1)/$Q$2)/SUM($O$3:$Q$3)</f>
        <v>-2.5067929134584248</v>
      </c>
      <c r="AV155" s="46">
        <f>($O$3*(O155-$O$1)/$O$2+$P$3*(P155-$P$1)/$P$2+$Q$3*(Q155-$Q$1)/$Q$2)/SUM($O$3:$Q$3)</f>
        <v>-0.99184266516472974</v>
      </c>
      <c r="AW155" s="47">
        <f>COUNT(R155:AO155)/2</f>
        <v>5</v>
      </c>
      <c r="AX155" s="47">
        <f>IF(AND(S155&lt;&gt;"-",S155&gt;5),1,0)+IF(AND(U155&lt;&gt;"-",U155&gt;5),1,0)+IF(AND(W155&lt;&gt;"-",W155&gt;5),1,0)+IF(AND(Y155&lt;&gt;"-",Y155&gt;5),1,0)+IF(AND(AA155&lt;&gt;"-",AA155&gt;5),1,0)+IF(AND(AC155&lt;&gt;"-",AC155&gt;5),1,0)+IF(AND(AE155&lt;&gt;"-",AE155&gt;5),1,0)+IF(AND(AG155&lt;&gt;"-",AG155&gt;5),1,0)+IF(AND(AI155&lt;&gt;"-",AI155&gt;5),1,0)+IF(AND(AK155&lt;&gt;"-",AK155&gt;5),1,0)+IF(AND(AM155&lt;&gt;"-",AM155&gt;5),1,0)+IF(AND(AO155&lt;&gt;"-",AO155&gt;5),1,0)</f>
        <v>1</v>
      </c>
      <c r="AY155" s="48">
        <f>VLOOKUP(AP155,COND!$A$10:$B$32,2,FALSE)</f>
        <v>1</v>
      </c>
      <c r="AZ155" s="46">
        <f>($AU$3*AU155+$AV$3*AV155+$AW$3*AW155+$AX$3*AX155)*AY155*IF(AQ155&lt;5,0.95,IF(AQ155&lt;7,0.975,1))+$I$3*VLOOKUP(I155,COND!$A$2:$E$7,4,FALSE)+$J$3*VLOOKUP(J155,COND!$A$2:$E$7,2,FALSE)+$K$3*VLOOKUP(K155,COND!$A$2:$E$7,3,FALSE)+IF(BB155="SP",$BB$3,0)+IF($AW155&lt;3,-5,0)+IF(AND($B$2&gt;0,$E155&lt;20),$B$2*25,0)</f>
        <v>35.411788114013717</v>
      </c>
      <c r="BA155" s="49">
        <f>STANDARDIZE(AZ155,AVERAGE($AZ$5:$AZ$570),STDEVP($AZ$5:$AZ$570))</f>
        <v>0.24664206206148376</v>
      </c>
      <c r="BB155" s="47" t="str">
        <f>IF(OR(AND(AQ155&gt;7,AX155&gt;1),AND(AQ155&gt;4,AW155&gt;2)),"SP","RP")</f>
        <v>SP</v>
      </c>
      <c r="BC155" s="47"/>
      <c r="BD155" s="47"/>
      <c r="BE155" s="47"/>
      <c r="BF155" s="47" t="str">
        <f>IF(AVERAGE($O155:$Q155)&gt;=6,"Likely",IF(AVERAGE($O155:$Q155)&gt;=4,"Possible","Unlikely"))</f>
        <v>Unlikely</v>
      </c>
      <c r="BG155" s="47"/>
      <c r="BH155" s="47" t="str">
        <f>INDEX(Table5[[#All],[Ovr]],MATCH(Table3[[#This Row],[PID]],Table5[[#All],[PID]],0))</f>
        <v/>
      </c>
      <c r="BI155" s="47" t="str">
        <f>INDEX(Table5[[#All],[Rnd]],MATCH(Table3[[#This Row],[PID]],Table5[[#All],[PID]],0))</f>
        <v/>
      </c>
      <c r="BJ155" s="47" t="str">
        <f>INDEX(Table5[[#All],[Pick]],MATCH(Table3[[#This Row],[PID]],Table5[[#All],[PID]],0))</f>
        <v/>
      </c>
      <c r="BK155" s="47" t="str">
        <f>INDEX(Table5[[#All],[Team]],MATCH(Table3[[#This Row],[PID]],Table5[[#All],[PID]],0))</f>
        <v/>
      </c>
      <c r="BL1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6" spans="1:64" ht="15" customHeight="1" x14ac:dyDescent="0.25">
      <c r="A156" s="42">
        <v>10155</v>
      </c>
      <c r="B156" s="42" t="s">
        <v>24</v>
      </c>
      <c r="C156" s="42" t="s">
        <v>185</v>
      </c>
      <c r="D156" s="42" t="s">
        <v>761</v>
      </c>
      <c r="E156" s="42">
        <v>21</v>
      </c>
      <c r="F156" s="42" t="s">
        <v>42</v>
      </c>
      <c r="G156" s="42" t="s">
        <v>42</v>
      </c>
      <c r="H156" s="43" t="s">
        <v>721</v>
      </c>
      <c r="I156" s="44" t="s">
        <v>43</v>
      </c>
      <c r="J156" s="42" t="s">
        <v>43</v>
      </c>
      <c r="K156" s="43" t="s">
        <v>43</v>
      </c>
      <c r="L156" s="42">
        <v>2</v>
      </c>
      <c r="M156" s="42">
        <v>2</v>
      </c>
      <c r="N156" s="43">
        <v>1</v>
      </c>
      <c r="O156" s="42">
        <v>5</v>
      </c>
      <c r="P156" s="42">
        <v>3</v>
      </c>
      <c r="Q156" s="43">
        <v>2</v>
      </c>
      <c r="R156" s="42">
        <v>4</v>
      </c>
      <c r="S156" s="42">
        <v>6</v>
      </c>
      <c r="T156" s="42">
        <v>3</v>
      </c>
      <c r="U156" s="42">
        <v>6</v>
      </c>
      <c r="V156" s="42" t="s">
        <v>45</v>
      </c>
      <c r="W156" s="42" t="s">
        <v>45</v>
      </c>
      <c r="X156" s="42">
        <v>2</v>
      </c>
      <c r="Y156" s="42">
        <v>2</v>
      </c>
      <c r="Z156" s="42" t="s">
        <v>45</v>
      </c>
      <c r="AA156" s="42" t="s">
        <v>45</v>
      </c>
      <c r="AB156" s="42" t="s">
        <v>45</v>
      </c>
      <c r="AC156" s="42" t="s">
        <v>45</v>
      </c>
      <c r="AD156" s="42" t="s">
        <v>45</v>
      </c>
      <c r="AE156" s="42" t="s">
        <v>45</v>
      </c>
      <c r="AF156" s="42">
        <v>4</v>
      </c>
      <c r="AG156" s="42">
        <v>6</v>
      </c>
      <c r="AH156" s="42" t="s">
        <v>45</v>
      </c>
      <c r="AI156" s="42" t="s">
        <v>45</v>
      </c>
      <c r="AJ156" s="42" t="s">
        <v>45</v>
      </c>
      <c r="AK156" s="42" t="s">
        <v>45</v>
      </c>
      <c r="AL156" s="42" t="s">
        <v>45</v>
      </c>
      <c r="AM156" s="42" t="s">
        <v>45</v>
      </c>
      <c r="AN156" s="42" t="s">
        <v>45</v>
      </c>
      <c r="AO156" s="43" t="s">
        <v>45</v>
      </c>
      <c r="AP156" s="42" t="s">
        <v>56</v>
      </c>
      <c r="AQ156" s="42">
        <v>8</v>
      </c>
      <c r="AR156" s="50" t="s">
        <v>353</v>
      </c>
      <c r="AS156" s="45" t="s">
        <v>615</v>
      </c>
      <c r="AT156" s="45" t="s">
        <v>47</v>
      </c>
      <c r="AU156" s="46">
        <f>($O$3*(L156-$O$1)/$O$2+$P$3*(M156-$P$1)/$P$2+$Q$3*(N156-$P$1)/$Q$2)/SUM($O$3:$Q$3)</f>
        <v>-2.311361197028369</v>
      </c>
      <c r="AV156" s="46">
        <f>($O$3*(O156-$O$1)/$O$2+$P$3*(P156-$P$1)/$P$2+$Q$3*(Q156-$Q$1)/$Q$2)/SUM($O$3:$Q$3)</f>
        <v>-0.84404019027961108</v>
      </c>
      <c r="AW156" s="47">
        <f>COUNT(R156:AO156)/2</f>
        <v>4</v>
      </c>
      <c r="AX156" s="47">
        <f>IF(AND(S156&lt;&gt;"-",S156&gt;5),1,0)+IF(AND(U156&lt;&gt;"-",U156&gt;5),1,0)+IF(AND(W156&lt;&gt;"-",W156&gt;5),1,0)+IF(AND(Y156&lt;&gt;"-",Y156&gt;5),1,0)+IF(AND(AA156&lt;&gt;"-",AA156&gt;5),1,0)+IF(AND(AC156&lt;&gt;"-",AC156&gt;5),1,0)+IF(AND(AE156&lt;&gt;"-",AE156&gt;5),1,0)+IF(AND(AG156&lt;&gt;"-",AG156&gt;5),1,0)+IF(AND(AI156&lt;&gt;"-",AI156&gt;5),1,0)+IF(AND(AK156&lt;&gt;"-",AK156&gt;5),1,0)+IF(AND(AM156&lt;&gt;"-",AM156&gt;5),1,0)+IF(AND(AO156&lt;&gt;"-",AO156&gt;5),1,0)</f>
        <v>3</v>
      </c>
      <c r="AY156" s="48">
        <f>VLOOKUP(AP156,COND!$A$10:$B$32,2,FALSE)</f>
        <v>1</v>
      </c>
      <c r="AZ156" s="46">
        <f>($AU$3*AU156+$AV$3*AV156+$AW$3*AW156+$AX$3*AX156)*AY156*IF(AQ156&lt;5,0.95,IF(AQ156&lt;7,0.975,1))+$I$3*VLOOKUP(I156,COND!$A$2:$E$7,4,FALSE)+$J$3*VLOOKUP(J156,COND!$A$2:$E$7,2,FALSE)+$K$3*VLOOKUP(K156,COND!$A$2:$E$7,3,FALSE)+IF(BB156="SP",$BB$3,0)+IF($AW156&lt;3,-5,0)+IF(AND($B$2&gt;0,$E156&lt;20),$B$2*25,0)</f>
        <v>35.4069239550021</v>
      </c>
      <c r="BA156" s="49">
        <f>STANDARDIZE(AZ156,AVERAGE($AZ$5:$AZ$570),STDEVP($AZ$5:$AZ$570))</f>
        <v>0.24619599789026586</v>
      </c>
      <c r="BB156" s="47" t="str">
        <f>IF(OR(AND(AQ156&gt;7,AX156&gt;1),AND(AQ156&gt;4,AW156&gt;2)),"SP","RP")</f>
        <v>SP</v>
      </c>
      <c r="BC156" s="47"/>
      <c r="BD156" s="47"/>
      <c r="BE156" s="47"/>
      <c r="BF156" s="47" t="str">
        <f>IF(AVERAGE($O156:$Q156)&gt;=6,"Likely",IF(AVERAGE($O156:$Q156)&gt;=4,"Possible","Unlikely"))</f>
        <v>Unlikely</v>
      </c>
      <c r="BG156" s="47"/>
      <c r="BH156" s="47" t="str">
        <f>INDEX(Table5[[#All],[Ovr]],MATCH(Table3[[#This Row],[PID]],Table5[[#All],[PID]],0))</f>
        <v/>
      </c>
      <c r="BI156" s="47" t="str">
        <f>INDEX(Table5[[#All],[Rnd]],MATCH(Table3[[#This Row],[PID]],Table5[[#All],[PID]],0))</f>
        <v/>
      </c>
      <c r="BJ156" s="47" t="str">
        <f>INDEX(Table5[[#All],[Pick]],MATCH(Table3[[#This Row],[PID]],Table5[[#All],[PID]],0))</f>
        <v/>
      </c>
      <c r="BK156" s="47" t="str">
        <f>INDEX(Table5[[#All],[Team]],MATCH(Table3[[#This Row],[PID]],Table5[[#All],[PID]],0))</f>
        <v/>
      </c>
      <c r="BL1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7" spans="1:64" ht="15" customHeight="1" x14ac:dyDescent="0.25">
      <c r="A157" s="42">
        <v>17887</v>
      </c>
      <c r="B157" s="42" t="s">
        <v>24</v>
      </c>
      <c r="C157" s="42" t="s">
        <v>815</v>
      </c>
      <c r="D157" s="42" t="s">
        <v>396</v>
      </c>
      <c r="E157" s="42">
        <v>18</v>
      </c>
      <c r="F157" s="42" t="s">
        <v>62</v>
      </c>
      <c r="G157" s="42" t="s">
        <v>42</v>
      </c>
      <c r="H157" s="43" t="s">
        <v>721</v>
      </c>
      <c r="I157" s="44" t="s">
        <v>43</v>
      </c>
      <c r="J157" s="42" t="s">
        <v>43</v>
      </c>
      <c r="K157" s="43" t="s">
        <v>43</v>
      </c>
      <c r="L157" s="42">
        <v>2</v>
      </c>
      <c r="M157" s="42">
        <v>2</v>
      </c>
      <c r="N157" s="43">
        <v>1</v>
      </c>
      <c r="O157" s="42">
        <v>5</v>
      </c>
      <c r="P157" s="42">
        <v>2</v>
      </c>
      <c r="Q157" s="43">
        <v>2</v>
      </c>
      <c r="R157" s="42">
        <v>4</v>
      </c>
      <c r="S157" s="42">
        <v>6</v>
      </c>
      <c r="T157" s="42">
        <v>1</v>
      </c>
      <c r="U157" s="42">
        <v>2</v>
      </c>
      <c r="V157" s="42">
        <v>2</v>
      </c>
      <c r="W157" s="42">
        <v>7</v>
      </c>
      <c r="X157" s="42">
        <v>2</v>
      </c>
      <c r="Y157" s="42">
        <v>6</v>
      </c>
      <c r="Z157" s="42" t="s">
        <v>45</v>
      </c>
      <c r="AA157" s="42" t="s">
        <v>45</v>
      </c>
      <c r="AB157" s="42" t="s">
        <v>45</v>
      </c>
      <c r="AC157" s="42" t="s">
        <v>45</v>
      </c>
      <c r="AD157" s="42" t="s">
        <v>45</v>
      </c>
      <c r="AE157" s="42" t="s">
        <v>45</v>
      </c>
      <c r="AF157" s="42" t="s">
        <v>45</v>
      </c>
      <c r="AG157" s="42" t="s">
        <v>45</v>
      </c>
      <c r="AH157" s="42" t="s">
        <v>45</v>
      </c>
      <c r="AI157" s="42" t="s">
        <v>45</v>
      </c>
      <c r="AJ157" s="42" t="s">
        <v>45</v>
      </c>
      <c r="AK157" s="42" t="s">
        <v>45</v>
      </c>
      <c r="AL157" s="42" t="s">
        <v>45</v>
      </c>
      <c r="AM157" s="42" t="s">
        <v>45</v>
      </c>
      <c r="AN157" s="42" t="s">
        <v>45</v>
      </c>
      <c r="AO157" s="43" t="s">
        <v>45</v>
      </c>
      <c r="AP157" s="42" t="s">
        <v>56</v>
      </c>
      <c r="AQ157" s="42">
        <v>4</v>
      </c>
      <c r="AR157" s="50" t="s">
        <v>353</v>
      </c>
      <c r="AS157" s="45" t="s">
        <v>730</v>
      </c>
      <c r="AT157" s="45" t="s">
        <v>47</v>
      </c>
      <c r="AU157" s="46">
        <f>($O$3*(L157-$O$1)/$O$2+$P$3*(M157-$P$1)/$P$2+$Q$3*(N157-$P$1)/$Q$2)/SUM($O$3:$Q$3)</f>
        <v>-2.311361197028369</v>
      </c>
      <c r="AV157" s="46">
        <f>($O$3*(O157-$O$1)/$O$2+$P$3*(P157-$P$1)/$P$2+$Q$3*(Q157-$Q$1)/$Q$2)/SUM($O$3:$Q$3)</f>
        <v>-1.0394719067096667</v>
      </c>
      <c r="AW157" s="47">
        <f>COUNT(R157:AO157)/2</f>
        <v>4</v>
      </c>
      <c r="AX157" s="47">
        <f>IF(AND(S157&lt;&gt;"-",S157&gt;5),1,0)+IF(AND(U157&lt;&gt;"-",U157&gt;5),1,0)+IF(AND(W157&lt;&gt;"-",W157&gt;5),1,0)+IF(AND(Y157&lt;&gt;"-",Y157&gt;5),1,0)+IF(AND(AA157&lt;&gt;"-",AA157&gt;5),1,0)+IF(AND(AC157&lt;&gt;"-",AC157&gt;5),1,0)+IF(AND(AE157&lt;&gt;"-",AE157&gt;5),1,0)+IF(AND(AG157&lt;&gt;"-",AG157&gt;5),1,0)+IF(AND(AI157&lt;&gt;"-",AI157&gt;5),1,0)+IF(AND(AK157&lt;&gt;"-",AK157&gt;5),1,0)+IF(AND(AM157&lt;&gt;"-",AM157&gt;5),1,0)+IF(AND(AO157&lt;&gt;"-",AO157&gt;5),1,0)</f>
        <v>3</v>
      </c>
      <c r="AY157" s="48">
        <f>VLOOKUP(AP157,COND!$A$10:$B$32,2,FALSE)</f>
        <v>1</v>
      </c>
      <c r="AZ157" s="46">
        <f>($AU$3*AU157+$AV$3*AV157+$AW$3*AW157+$AX$3*AX157)*AY157*IF(AQ157&lt;5,0.95,IF(AQ157&lt;7,0.975,1))+$I$3*VLOOKUP(I157,COND!$A$2:$E$7,4,FALSE)+$J$3*VLOOKUP(J157,COND!$A$2:$E$7,2,FALSE)+$K$3*VLOOKUP(K157,COND!$A$2:$E$7,3,FALSE)+IF(BB157="SP",$BB$3,0)+IF($AW157&lt;3,-5,0)+IF(AND($B$2&gt;0,$E157&lt;20),$B$2*25,0)</f>
        <v>35.273375145080948</v>
      </c>
      <c r="BA157" s="49">
        <f>STANDARDIZE(AZ157,AVERAGE($AZ$5:$AZ$570),STDEVP($AZ$5:$AZ$570))</f>
        <v>0.2339490012208861</v>
      </c>
      <c r="BB157" s="47" t="str">
        <f>IF(OR(AND(AQ157&gt;7,AX157&gt;1),AND(AQ157&gt;4,AW157&gt;2)),"SP","RP")</f>
        <v>RP</v>
      </c>
      <c r="BC157" s="47"/>
      <c r="BD157" s="47"/>
      <c r="BE157" s="47"/>
      <c r="BF157" s="47" t="str">
        <f>IF(AVERAGE($O157:$Q157)&gt;=6,"Likely",IF(AVERAGE($O157:$Q157)&gt;=4,"Possible","Unlikely"))</f>
        <v>Unlikely</v>
      </c>
      <c r="BG157" s="47"/>
      <c r="BH157" s="47" t="str">
        <f>INDEX(Table5[[#All],[Ovr]],MATCH(Table3[[#This Row],[PID]],Table5[[#All],[PID]],0))</f>
        <v/>
      </c>
      <c r="BI157" s="47" t="str">
        <f>INDEX(Table5[[#All],[Rnd]],MATCH(Table3[[#This Row],[PID]],Table5[[#All],[PID]],0))</f>
        <v/>
      </c>
      <c r="BJ157" s="47" t="str">
        <f>INDEX(Table5[[#All],[Pick]],MATCH(Table3[[#This Row],[PID]],Table5[[#All],[PID]],0))</f>
        <v/>
      </c>
      <c r="BK157" s="47" t="str">
        <f>INDEX(Table5[[#All],[Team]],MATCH(Table3[[#This Row],[PID]],Table5[[#All],[PID]],0))</f>
        <v/>
      </c>
      <c r="BL1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8" spans="1:64" ht="15" customHeight="1" x14ac:dyDescent="0.25">
      <c r="A158" s="42">
        <v>12554</v>
      </c>
      <c r="B158" s="42" t="s">
        <v>24</v>
      </c>
      <c r="C158" s="42" t="s">
        <v>1534</v>
      </c>
      <c r="D158" s="42" t="s">
        <v>1535</v>
      </c>
      <c r="E158" s="42">
        <v>21</v>
      </c>
      <c r="F158" s="42" t="s">
        <v>62</v>
      </c>
      <c r="G158" s="42" t="s">
        <v>42</v>
      </c>
      <c r="H158" s="43" t="s">
        <v>721</v>
      </c>
      <c r="I158" s="44" t="s">
        <v>44</v>
      </c>
      <c r="J158" s="42" t="s">
        <v>47</v>
      </c>
      <c r="K158" s="43" t="s">
        <v>44</v>
      </c>
      <c r="L158" s="42">
        <v>3</v>
      </c>
      <c r="M158" s="42">
        <v>2</v>
      </c>
      <c r="N158" s="43">
        <v>1</v>
      </c>
      <c r="O158" s="42">
        <v>5</v>
      </c>
      <c r="P158" s="42">
        <v>3</v>
      </c>
      <c r="Q158" s="43">
        <v>2</v>
      </c>
      <c r="R158" s="42" t="s">
        <v>45</v>
      </c>
      <c r="S158" s="42" t="s">
        <v>45</v>
      </c>
      <c r="T158" s="42">
        <v>1</v>
      </c>
      <c r="U158" s="42">
        <v>1</v>
      </c>
      <c r="V158" s="42">
        <v>2</v>
      </c>
      <c r="W158" s="42">
        <v>5</v>
      </c>
      <c r="X158" s="42">
        <v>3</v>
      </c>
      <c r="Y158" s="42">
        <v>6</v>
      </c>
      <c r="Z158" s="42" t="s">
        <v>45</v>
      </c>
      <c r="AA158" s="42" t="s">
        <v>45</v>
      </c>
      <c r="AB158" s="42" t="s">
        <v>45</v>
      </c>
      <c r="AC158" s="42" t="s">
        <v>45</v>
      </c>
      <c r="AD158" s="42">
        <v>4</v>
      </c>
      <c r="AE158" s="42">
        <v>6</v>
      </c>
      <c r="AF158" s="42" t="s">
        <v>45</v>
      </c>
      <c r="AG158" s="42" t="s">
        <v>45</v>
      </c>
      <c r="AH158" s="42" t="s">
        <v>45</v>
      </c>
      <c r="AI158" s="42" t="s">
        <v>45</v>
      </c>
      <c r="AJ158" s="42" t="s">
        <v>45</v>
      </c>
      <c r="AK158" s="42" t="s">
        <v>45</v>
      </c>
      <c r="AL158" s="42">
        <v>3</v>
      </c>
      <c r="AM158" s="42">
        <v>6</v>
      </c>
      <c r="AN158" s="42" t="s">
        <v>45</v>
      </c>
      <c r="AO158" s="43" t="s">
        <v>45</v>
      </c>
      <c r="AP158" s="42" t="s">
        <v>48</v>
      </c>
      <c r="AQ158" s="42">
        <v>9</v>
      </c>
      <c r="AR158" s="50" t="s">
        <v>353</v>
      </c>
      <c r="AS158" s="45" t="s">
        <v>45</v>
      </c>
      <c r="AT158" s="45" t="s">
        <v>47</v>
      </c>
      <c r="AU158" s="46">
        <f>($O$3*(L158-$O$1)/$O$2+$P$3*(M158-$P$1)/$P$2+$Q$3*(N158-$P$1)/$Q$2)/SUM($O$3:$Q$3)</f>
        <v>-2.1166698725191955</v>
      </c>
      <c r="AV158" s="46">
        <f>($O$3*(O158-$O$1)/$O$2+$P$3*(P158-$P$1)/$P$2+$Q$3*(Q158-$Q$1)/$Q$2)/SUM($O$3:$Q$3)</f>
        <v>-0.84404019027961108</v>
      </c>
      <c r="AW158" s="47">
        <f>COUNT(R158:AO158)/2</f>
        <v>5</v>
      </c>
      <c r="AX158" s="47">
        <f>IF(AND(S158&lt;&gt;"-",S158&gt;5),1,0)+IF(AND(U158&lt;&gt;"-",U158&gt;5),1,0)+IF(AND(W158&lt;&gt;"-",W158&gt;5),1,0)+IF(AND(Y158&lt;&gt;"-",Y158&gt;5),1,0)+IF(AND(AA158&lt;&gt;"-",AA158&gt;5),1,0)+IF(AND(AC158&lt;&gt;"-",AC158&gt;5),1,0)+IF(AND(AE158&lt;&gt;"-",AE158&gt;5),1,0)+IF(AND(AG158&lt;&gt;"-",AG158&gt;5),1,0)+IF(AND(AI158&lt;&gt;"-",AI158&gt;5),1,0)+IF(AND(AK158&lt;&gt;"-",AK158&gt;5),1,0)+IF(AND(AM158&lt;&gt;"-",AM158&gt;5),1,0)+IF(AND(AO158&lt;&gt;"-",AO158&gt;5),1,0)</f>
        <v>3</v>
      </c>
      <c r="AY158" s="48">
        <f>VLOOKUP(AP158,COND!$A$10:$B$32,2,FALSE)</f>
        <v>1.05</v>
      </c>
      <c r="AZ158" s="46">
        <f>($AU$3*AU158+$AV$3*AV158+$AW$3*AW158+$AX$3*AX158)*AY158*IF(AQ158&lt;5,0.95,IF(AQ158&lt;7,0.975,1))+$I$3*VLOOKUP(I158,COND!$A$2:$E$7,4,FALSE)+$J$3*VLOOKUP(J158,COND!$A$2:$E$7,2,FALSE)+$K$3*VLOOKUP(K158,COND!$A$2:$E$7,3,FALSE)+IF(BB158="SP",$BB$3,0)+IF($AW158&lt;3,-5,0)+IF(AND($B$2&gt;0,$E158&lt;20),$B$2*25,0)</f>
        <v>35.243155330899128</v>
      </c>
      <c r="BA158" s="49">
        <f>STANDARDIZE(AZ158,AVERAGE($AZ$5:$AZ$570),STDEVP($AZ$5:$AZ$570))</f>
        <v>0.23117771509821283</v>
      </c>
      <c r="BB158" s="47" t="str">
        <f>IF(OR(AND(AQ158&gt;7,AX158&gt;1),AND(AQ158&gt;4,AW158&gt;2)),"SP","RP")</f>
        <v>SP</v>
      </c>
      <c r="BC158" s="47"/>
      <c r="BD158" s="47"/>
      <c r="BE158" s="47"/>
      <c r="BF158" s="47" t="str">
        <f>IF(AVERAGE($O158:$Q158)&gt;=6,"Likely",IF(AVERAGE($O158:$Q158)&gt;=4,"Possible","Unlikely"))</f>
        <v>Unlikely</v>
      </c>
      <c r="BG158" s="47"/>
      <c r="BH158" s="47" t="str">
        <f>INDEX(Table5[[#All],[Ovr]],MATCH(Table3[[#This Row],[PID]],Table5[[#All],[PID]],0))</f>
        <v/>
      </c>
      <c r="BI158" s="47" t="str">
        <f>INDEX(Table5[[#All],[Rnd]],MATCH(Table3[[#This Row],[PID]],Table5[[#All],[PID]],0))</f>
        <v/>
      </c>
      <c r="BJ158" s="47" t="str">
        <f>INDEX(Table5[[#All],[Pick]],MATCH(Table3[[#This Row],[PID]],Table5[[#All],[PID]],0))</f>
        <v/>
      </c>
      <c r="BK158" s="47" t="str">
        <f>INDEX(Table5[[#All],[Team]],MATCH(Table3[[#This Row],[PID]],Table5[[#All],[PID]],0))</f>
        <v/>
      </c>
      <c r="BL1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9" spans="1:64" ht="15" customHeight="1" x14ac:dyDescent="0.25">
      <c r="A159" s="42">
        <v>6232</v>
      </c>
      <c r="B159" s="42" t="s">
        <v>24</v>
      </c>
      <c r="C159" s="42" t="s">
        <v>1531</v>
      </c>
      <c r="D159" s="42" t="s">
        <v>461</v>
      </c>
      <c r="E159" s="42">
        <v>18</v>
      </c>
      <c r="F159" s="42" t="s">
        <v>42</v>
      </c>
      <c r="G159" s="42" t="s">
        <v>42</v>
      </c>
      <c r="H159" s="43" t="s">
        <v>721</v>
      </c>
      <c r="I159" s="44" t="s">
        <v>43</v>
      </c>
      <c r="J159" s="42" t="s">
        <v>43</v>
      </c>
      <c r="K159" s="43" t="s">
        <v>43</v>
      </c>
      <c r="L159" s="42">
        <v>1</v>
      </c>
      <c r="M159" s="42">
        <v>1</v>
      </c>
      <c r="N159" s="43">
        <v>1</v>
      </c>
      <c r="O159" s="42">
        <v>4</v>
      </c>
      <c r="P159" s="42">
        <v>2</v>
      </c>
      <c r="Q159" s="43">
        <v>3</v>
      </c>
      <c r="R159" s="42">
        <v>3</v>
      </c>
      <c r="S159" s="42">
        <v>5</v>
      </c>
      <c r="T159" s="42">
        <v>1</v>
      </c>
      <c r="U159" s="42">
        <v>6</v>
      </c>
      <c r="V159" s="42">
        <v>2</v>
      </c>
      <c r="W159" s="42">
        <v>7</v>
      </c>
      <c r="X159" s="42" t="s">
        <v>45</v>
      </c>
      <c r="Y159" s="42" t="s">
        <v>45</v>
      </c>
      <c r="Z159" s="42" t="s">
        <v>45</v>
      </c>
      <c r="AA159" s="42" t="s">
        <v>45</v>
      </c>
      <c r="AB159" s="42" t="s">
        <v>45</v>
      </c>
      <c r="AC159" s="42" t="s">
        <v>45</v>
      </c>
      <c r="AD159" s="42" t="s">
        <v>45</v>
      </c>
      <c r="AE159" s="42" t="s">
        <v>45</v>
      </c>
      <c r="AF159" s="42" t="s">
        <v>45</v>
      </c>
      <c r="AG159" s="42" t="s">
        <v>45</v>
      </c>
      <c r="AH159" s="42" t="s">
        <v>45</v>
      </c>
      <c r="AI159" s="42" t="s">
        <v>45</v>
      </c>
      <c r="AJ159" s="42" t="s">
        <v>45</v>
      </c>
      <c r="AK159" s="42" t="s">
        <v>45</v>
      </c>
      <c r="AL159" s="42" t="s">
        <v>45</v>
      </c>
      <c r="AM159" s="42" t="s">
        <v>45</v>
      </c>
      <c r="AN159" s="42" t="s">
        <v>45</v>
      </c>
      <c r="AO159" s="43" t="s">
        <v>45</v>
      </c>
      <c r="AP159" s="42" t="s">
        <v>68</v>
      </c>
      <c r="AQ159" s="42">
        <v>4</v>
      </c>
      <c r="AR159" s="50" t="s">
        <v>353</v>
      </c>
      <c r="AS159" s="45" t="s">
        <v>730</v>
      </c>
      <c r="AT159" s="45" t="s">
        <v>47</v>
      </c>
      <c r="AU159" s="46">
        <f>($O$3*(L159-$O$1)/$O$2+$P$3*(M159-$P$1)/$P$2+$Q$3*(N159-$P$1)/$Q$2)/SUM($O$3:$Q$3)</f>
        <v>-2.7014842379675978</v>
      </c>
      <c r="AV159" s="46">
        <f>($O$3*(O159-$O$1)/$O$2+$P$3*(P159-$P$1)/$P$2+$Q$3*(Q159-$Q$1)/$Q$2)/SUM($O$3:$Q$3)</f>
        <v>-0.99184266516472974</v>
      </c>
      <c r="AW159" s="47">
        <f>COUNT(R159:AO159)/2</f>
        <v>3</v>
      </c>
      <c r="AX159" s="47">
        <f>IF(AND(S159&lt;&gt;"-",S159&gt;5),1,0)+IF(AND(U159&lt;&gt;"-",U159&gt;5),1,0)+IF(AND(W159&lt;&gt;"-",W159&gt;5),1,0)+IF(AND(Y159&lt;&gt;"-",Y159&gt;5),1,0)+IF(AND(AA159&lt;&gt;"-",AA159&gt;5),1,0)+IF(AND(AC159&lt;&gt;"-",AC159&gt;5),1,0)+IF(AND(AE159&lt;&gt;"-",AE159&gt;5),1,0)+IF(AND(AG159&lt;&gt;"-",AG159&gt;5),1,0)+IF(AND(AI159&lt;&gt;"-",AI159&gt;5),1,0)+IF(AND(AK159&lt;&gt;"-",AK159&gt;5),1,0)+IF(AND(AM159&lt;&gt;"-",AM159&gt;5),1,0)+IF(AND(AO159&lt;&gt;"-",AO159&gt;5),1,0)</f>
        <v>2</v>
      </c>
      <c r="AY159" s="48">
        <f>VLOOKUP(AP159,COND!$A$10:$B$32,2,FALSE)</f>
        <v>0.95</v>
      </c>
      <c r="AZ159" s="46">
        <f>($AU$3*AU159+$AV$3*AV159+$AW$3*AW159+$AX$3*AX159)*AY159*IF(AQ159&lt;5,0.95,IF(AQ159&lt;7,0.975,1))+$I$3*VLOOKUP(I159,COND!$A$2:$E$7,4,FALSE)+$J$3*VLOOKUP(J159,COND!$A$2:$E$7,2,FALSE)+$K$3*VLOOKUP(K159,COND!$A$2:$E$7,3,FALSE)+IF(BB159="SP",$BB$3,0)+IF($AW159&lt;3,-5,0)+IF(AND($B$2&gt;0,$E159&lt;20),$B$2*25,0)</f>
        <v>35.219621988823476</v>
      </c>
      <c r="BA159" s="49">
        <f>STANDARDIZE(AZ159,AVERAGE($AZ$5:$AZ$570),STDEVP($AZ$5:$AZ$570))</f>
        <v>0.22901960704625754</v>
      </c>
      <c r="BB159" s="47" t="str">
        <f>IF(OR(AND(AQ159&gt;7,AX159&gt;1),AND(AQ159&gt;4,AW159&gt;2)),"SP","RP")</f>
        <v>RP</v>
      </c>
      <c r="BC159" s="47"/>
      <c r="BD159" s="47"/>
      <c r="BE159" s="47"/>
      <c r="BF159" s="47" t="str">
        <f>IF(AVERAGE($O159:$Q159)&gt;=6,"Likely",IF(AVERAGE($O159:$Q159)&gt;=4,"Possible","Unlikely"))</f>
        <v>Unlikely</v>
      </c>
      <c r="BG159" s="47"/>
      <c r="BH159" s="47" t="str">
        <f>INDEX(Table5[[#All],[Ovr]],MATCH(Table3[[#This Row],[PID]],Table5[[#All],[PID]],0))</f>
        <v/>
      </c>
      <c r="BI159" s="47" t="str">
        <f>INDEX(Table5[[#All],[Rnd]],MATCH(Table3[[#This Row],[PID]],Table5[[#All],[PID]],0))</f>
        <v/>
      </c>
      <c r="BJ159" s="47" t="str">
        <f>INDEX(Table5[[#All],[Pick]],MATCH(Table3[[#This Row],[PID]],Table5[[#All],[PID]],0))</f>
        <v/>
      </c>
      <c r="BK159" s="47" t="str">
        <f>INDEX(Table5[[#All],[Team]],MATCH(Table3[[#This Row],[PID]],Table5[[#All],[PID]],0))</f>
        <v/>
      </c>
      <c r="BL1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0" spans="1:64" ht="15" customHeight="1" x14ac:dyDescent="0.25">
      <c r="A160" s="42">
        <v>10161</v>
      </c>
      <c r="B160" s="42" t="s">
        <v>24</v>
      </c>
      <c r="C160" s="42" t="s">
        <v>1563</v>
      </c>
      <c r="D160" s="42" t="s">
        <v>1564</v>
      </c>
      <c r="E160" s="42">
        <v>21</v>
      </c>
      <c r="F160" s="42" t="s">
        <v>42</v>
      </c>
      <c r="G160" s="42" t="s">
        <v>42</v>
      </c>
      <c r="H160" s="43" t="s">
        <v>721</v>
      </c>
      <c r="I160" s="44" t="s">
        <v>43</v>
      </c>
      <c r="J160" s="42" t="s">
        <v>43</v>
      </c>
      <c r="K160" s="43" t="s">
        <v>47</v>
      </c>
      <c r="L160" s="42">
        <v>3</v>
      </c>
      <c r="M160" s="42">
        <v>2</v>
      </c>
      <c r="N160" s="43">
        <v>1</v>
      </c>
      <c r="O160" s="42">
        <v>5</v>
      </c>
      <c r="P160" s="42">
        <v>2</v>
      </c>
      <c r="Q160" s="43">
        <v>3</v>
      </c>
      <c r="R160" s="42">
        <v>5</v>
      </c>
      <c r="S160" s="42">
        <v>7</v>
      </c>
      <c r="T160" s="42" t="s">
        <v>45</v>
      </c>
      <c r="U160" s="42" t="s">
        <v>45</v>
      </c>
      <c r="V160" s="42">
        <v>4</v>
      </c>
      <c r="W160" s="42">
        <v>7</v>
      </c>
      <c r="X160" s="42" t="s">
        <v>45</v>
      </c>
      <c r="Y160" s="42" t="s">
        <v>45</v>
      </c>
      <c r="Z160" s="42" t="s">
        <v>45</v>
      </c>
      <c r="AA160" s="42" t="s">
        <v>45</v>
      </c>
      <c r="AB160" s="42" t="s">
        <v>45</v>
      </c>
      <c r="AC160" s="42" t="s">
        <v>45</v>
      </c>
      <c r="AD160" s="42" t="s">
        <v>45</v>
      </c>
      <c r="AE160" s="42" t="s">
        <v>45</v>
      </c>
      <c r="AF160" s="42" t="s">
        <v>45</v>
      </c>
      <c r="AG160" s="42" t="s">
        <v>45</v>
      </c>
      <c r="AH160" s="42">
        <v>2</v>
      </c>
      <c r="AI160" s="42">
        <v>6</v>
      </c>
      <c r="AJ160" s="42" t="s">
        <v>45</v>
      </c>
      <c r="AK160" s="42" t="s">
        <v>45</v>
      </c>
      <c r="AL160" s="42" t="s">
        <v>45</v>
      </c>
      <c r="AM160" s="42" t="s">
        <v>45</v>
      </c>
      <c r="AN160" s="42" t="s">
        <v>45</v>
      </c>
      <c r="AO160" s="43" t="s">
        <v>45</v>
      </c>
      <c r="AP160" s="42" t="s">
        <v>54</v>
      </c>
      <c r="AQ160" s="42">
        <v>4</v>
      </c>
      <c r="AR160" s="50" t="s">
        <v>353</v>
      </c>
      <c r="AS160" s="45" t="s">
        <v>45</v>
      </c>
      <c r="AT160" s="45" t="s">
        <v>47</v>
      </c>
      <c r="AU160" s="46">
        <f>($O$3*(L160-$O$1)/$O$2+$P$3*(M160-$P$1)/$P$2+$Q$3*(N160-$P$1)/$Q$2)/SUM($O$3:$Q$3)</f>
        <v>-2.1166698725191955</v>
      </c>
      <c r="AV160" s="46">
        <f>($O$3*(O160-$O$1)/$O$2+$P$3*(P160-$P$1)/$P$2+$Q$3*(Q160-$Q$1)/$Q$2)/SUM($O$3:$Q$3)</f>
        <v>-0.79715134065555615</v>
      </c>
      <c r="AW160" s="47">
        <f>COUNT(R160:AO160)/2</f>
        <v>3</v>
      </c>
      <c r="AX160" s="47">
        <f>IF(AND(S160&lt;&gt;"-",S160&gt;5),1,0)+IF(AND(U160&lt;&gt;"-",U160&gt;5),1,0)+IF(AND(W160&lt;&gt;"-",W160&gt;5),1,0)+IF(AND(Y160&lt;&gt;"-",Y160&gt;5),1,0)+IF(AND(AA160&lt;&gt;"-",AA160&gt;5),1,0)+IF(AND(AC160&lt;&gt;"-",AC160&gt;5),1,0)+IF(AND(AE160&lt;&gt;"-",AE160&gt;5),1,0)+IF(AND(AG160&lt;&gt;"-",AG160&gt;5),1,0)+IF(AND(AI160&lt;&gt;"-",AI160&gt;5),1,0)+IF(AND(AK160&lt;&gt;"-",AK160&gt;5),1,0)+IF(AND(AM160&lt;&gt;"-",AM160&gt;5),1,0)+IF(AND(AO160&lt;&gt;"-",AO160&gt;5),1,0)</f>
        <v>3</v>
      </c>
      <c r="AY160" s="48">
        <f>VLOOKUP(AP160,COND!$A$10:$B$32,2,FALSE)</f>
        <v>1.0249999999999999</v>
      </c>
      <c r="AZ160" s="46">
        <f>($AU$3*AU160+$AV$3*AV160+$AW$3*AW160+$AX$3*AX160)*AY160*IF(AQ160&lt;5,0.95,IF(AQ160&lt;7,0.975,1))+$I$3*VLOOKUP(I160,COND!$A$2:$E$7,4,FALSE)+$J$3*VLOOKUP(J160,COND!$A$2:$E$7,2,FALSE)+$K$3*VLOOKUP(K160,COND!$A$2:$E$7,3,FALSE)+IF(BB160="SP",$BB$3,0)+IF($AW160&lt;3,-5,0)+IF(AND($B$2&gt;0,$E160&lt;20),$B$2*25,0)</f>
        <v>34.475443683059936</v>
      </c>
      <c r="BA160" s="49">
        <f>STANDARDIZE(AZ160,AVERAGE($AZ$5:$AZ$570),STDEVP($AZ$5:$AZ$570))</f>
        <v>0.16077527572281336</v>
      </c>
      <c r="BB160" s="47" t="str">
        <f>IF(OR(AND(AQ160&gt;7,AX160&gt;1),AND(AQ160&gt;4,AW160&gt;2)),"SP","RP")</f>
        <v>RP</v>
      </c>
      <c r="BC160" s="47"/>
      <c r="BD160" s="47"/>
      <c r="BE160" s="47"/>
      <c r="BF160" s="47" t="str">
        <f>IF(AVERAGE($O160:$Q160)&gt;=6,"Likely",IF(AVERAGE($O160:$Q160)&gt;=4,"Possible","Unlikely"))</f>
        <v>Unlikely</v>
      </c>
      <c r="BG160" s="47"/>
      <c r="BH160" s="47" t="str">
        <f>INDEX(Table5[[#All],[Ovr]],MATCH(Table3[[#This Row],[PID]],Table5[[#All],[PID]],0))</f>
        <v/>
      </c>
      <c r="BI160" s="47" t="str">
        <f>INDEX(Table5[[#All],[Rnd]],MATCH(Table3[[#This Row],[PID]],Table5[[#All],[PID]],0))</f>
        <v/>
      </c>
      <c r="BJ160" s="47" t="str">
        <f>INDEX(Table5[[#All],[Pick]],MATCH(Table3[[#This Row],[PID]],Table5[[#All],[PID]],0))</f>
        <v/>
      </c>
      <c r="BK160" s="47" t="str">
        <f>INDEX(Table5[[#All],[Team]],MATCH(Table3[[#This Row],[PID]],Table5[[#All],[PID]],0))</f>
        <v/>
      </c>
      <c r="BL1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1" spans="1:64" ht="15" customHeight="1" x14ac:dyDescent="0.25">
      <c r="A161" s="42">
        <v>12039</v>
      </c>
      <c r="B161" s="42" t="s">
        <v>430</v>
      </c>
      <c r="C161" s="42" t="s">
        <v>735</v>
      </c>
      <c r="D161" s="42" t="s">
        <v>843</v>
      </c>
      <c r="E161" s="42">
        <v>21</v>
      </c>
      <c r="F161" s="42" t="s">
        <v>42</v>
      </c>
      <c r="G161" s="42" t="s">
        <v>42</v>
      </c>
      <c r="H161" s="43" t="s">
        <v>721</v>
      </c>
      <c r="I161" s="44" t="s">
        <v>47</v>
      </c>
      <c r="J161" s="42" t="s">
        <v>47</v>
      </c>
      <c r="K161" s="43" t="s">
        <v>43</v>
      </c>
      <c r="L161" s="42">
        <v>4</v>
      </c>
      <c r="M161" s="42">
        <v>2</v>
      </c>
      <c r="N161" s="43">
        <v>1</v>
      </c>
      <c r="O161" s="42">
        <v>7</v>
      </c>
      <c r="P161" s="42">
        <v>3</v>
      </c>
      <c r="Q161" s="43">
        <v>2</v>
      </c>
      <c r="R161" s="42">
        <v>7</v>
      </c>
      <c r="S161" s="42">
        <v>9</v>
      </c>
      <c r="T161" s="42" t="s">
        <v>45</v>
      </c>
      <c r="U161" s="42" t="s">
        <v>45</v>
      </c>
      <c r="V161" s="42">
        <v>2</v>
      </c>
      <c r="W161" s="42">
        <v>6</v>
      </c>
      <c r="X161" s="42" t="s">
        <v>45</v>
      </c>
      <c r="Y161" s="42" t="s">
        <v>45</v>
      </c>
      <c r="Z161" s="42" t="s">
        <v>45</v>
      </c>
      <c r="AA161" s="42" t="s">
        <v>45</v>
      </c>
      <c r="AB161" s="42" t="s">
        <v>45</v>
      </c>
      <c r="AC161" s="42" t="s">
        <v>45</v>
      </c>
      <c r="AD161" s="42" t="s">
        <v>45</v>
      </c>
      <c r="AE161" s="42" t="s">
        <v>45</v>
      </c>
      <c r="AF161" s="42" t="s">
        <v>45</v>
      </c>
      <c r="AG161" s="42" t="s">
        <v>45</v>
      </c>
      <c r="AH161" s="42" t="s">
        <v>45</v>
      </c>
      <c r="AI161" s="42" t="s">
        <v>45</v>
      </c>
      <c r="AJ161" s="42" t="s">
        <v>45</v>
      </c>
      <c r="AK161" s="42" t="s">
        <v>45</v>
      </c>
      <c r="AL161" s="42" t="s">
        <v>45</v>
      </c>
      <c r="AM161" s="42" t="s">
        <v>45</v>
      </c>
      <c r="AN161" s="42" t="s">
        <v>45</v>
      </c>
      <c r="AO161" s="43" t="s">
        <v>45</v>
      </c>
      <c r="AP161" s="42" t="s">
        <v>61</v>
      </c>
      <c r="AQ161" s="42">
        <v>5</v>
      </c>
      <c r="AR161" s="50" t="s">
        <v>353</v>
      </c>
      <c r="AS161" s="45" t="s">
        <v>45</v>
      </c>
      <c r="AT161" s="45" t="s">
        <v>47</v>
      </c>
      <c r="AU161" s="46">
        <f>($O$3*(L161-$O$1)/$O$2+$P$3*(M161-$P$1)/$P$2+$Q$3*(N161-$P$1)/$Q$2)/SUM($O$3:$Q$3)</f>
        <v>-1.9219785480100218</v>
      </c>
      <c r="AV161" s="46">
        <f>($O$3*(O161-$O$1)/$O$2+$P$3*(P161-$P$1)/$P$2+$Q$3*(Q161-$Q$1)/$Q$2)/SUM($O$3:$Q$3)</f>
        <v>-0.45465754126126406</v>
      </c>
      <c r="AW161" s="47">
        <f>COUNT(R161:AO161)/2</f>
        <v>2</v>
      </c>
      <c r="AX161" s="47">
        <f>IF(AND(S161&lt;&gt;"-",S161&gt;5),1,0)+IF(AND(U161&lt;&gt;"-",U161&gt;5),1,0)+IF(AND(W161&lt;&gt;"-",W161&gt;5),1,0)+IF(AND(Y161&lt;&gt;"-",Y161&gt;5),1,0)+IF(AND(AA161&lt;&gt;"-",AA161&gt;5),1,0)+IF(AND(AC161&lt;&gt;"-",AC161&gt;5),1,0)+IF(AND(AE161&lt;&gt;"-",AE161&gt;5),1,0)+IF(AND(AG161&lt;&gt;"-",AG161&gt;5),1,0)+IF(AND(AI161&lt;&gt;"-",AI161&gt;5),1,0)+IF(AND(AK161&lt;&gt;"-",AK161&gt;5),1,0)+IF(AND(AM161&lt;&gt;"-",AM161&gt;5),1,0)+IF(AND(AO161&lt;&gt;"-",AO161&gt;5),1,0)</f>
        <v>2</v>
      </c>
      <c r="AY161" s="48">
        <f>VLOOKUP(AP161,COND!$A$10:$B$32,2,FALSE)</f>
        <v>1.05</v>
      </c>
      <c r="AZ161" s="46">
        <f>($AU$3*AU161+$AV$3*AV161+$AW$3*AW161+$AX$3*AX161)*AY161*IF(AQ161&lt;5,0.95,IF(AQ161&lt;7,0.975,1))+$I$3*VLOOKUP(I161,COND!$A$2:$E$7,4,FALSE)+$J$3*VLOOKUP(J161,COND!$A$2:$E$7,2,FALSE)+$K$3*VLOOKUP(K161,COND!$A$2:$E$7,3,FALSE)+IF(BB161="SP",$BB$3,0)+IF($AW161&lt;3,-5,0)+IF(AND($B$2&gt;0,$E161&lt;20),$B$2*25,0)</f>
        <v>34.405486734970566</v>
      </c>
      <c r="BA161" s="49">
        <f>STANDARDIZE(AZ161,AVERAGE($AZ$5:$AZ$570),STDEVP($AZ$5:$AZ$570))</f>
        <v>0.15435992458073783</v>
      </c>
      <c r="BB161" s="47" t="str">
        <f>IF(OR(AND(AQ161&gt;7,AX161&gt;1),AND(AQ161&gt;4,AW161&gt;2)),"SP","RP")</f>
        <v>RP</v>
      </c>
      <c r="BC161" s="47"/>
      <c r="BD161" s="47"/>
      <c r="BE161" s="47"/>
      <c r="BF161" s="47" t="str">
        <f>IF(AVERAGE($O161:$Q161)&gt;=6,"Likely",IF(AVERAGE($O161:$Q161)&gt;=4,"Possible","Unlikely"))</f>
        <v>Possible</v>
      </c>
      <c r="BG161" s="47"/>
      <c r="BH161" s="47" t="str">
        <f>INDEX(Table5[[#All],[Ovr]],MATCH(Table3[[#This Row],[PID]],Table5[[#All],[PID]],0))</f>
        <v/>
      </c>
      <c r="BI161" s="47" t="str">
        <f>INDEX(Table5[[#All],[Rnd]],MATCH(Table3[[#This Row],[PID]],Table5[[#All],[PID]],0))</f>
        <v/>
      </c>
      <c r="BJ161" s="47" t="str">
        <f>INDEX(Table5[[#All],[Pick]],MATCH(Table3[[#This Row],[PID]],Table5[[#All],[PID]],0))</f>
        <v/>
      </c>
      <c r="BK161" s="47" t="str">
        <f>INDEX(Table5[[#All],[Team]],MATCH(Table3[[#This Row],[PID]],Table5[[#All],[PID]],0))</f>
        <v/>
      </c>
      <c r="BL1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2" spans="1:64" ht="15" customHeight="1" x14ac:dyDescent="0.25">
      <c r="A162" s="42">
        <v>9878</v>
      </c>
      <c r="B162" s="42" t="s">
        <v>430</v>
      </c>
      <c r="C162" s="42" t="s">
        <v>373</v>
      </c>
      <c r="D162" s="42" t="s">
        <v>1457</v>
      </c>
      <c r="E162" s="42">
        <v>21</v>
      </c>
      <c r="F162" s="42" t="s">
        <v>42</v>
      </c>
      <c r="G162" s="42" t="s">
        <v>42</v>
      </c>
      <c r="H162" s="43" t="s">
        <v>721</v>
      </c>
      <c r="I162" s="44" t="s">
        <v>43</v>
      </c>
      <c r="J162" s="42" t="s">
        <v>47</v>
      </c>
      <c r="K162" s="43" t="s">
        <v>43</v>
      </c>
      <c r="L162" s="42">
        <v>3</v>
      </c>
      <c r="M162" s="42">
        <v>2</v>
      </c>
      <c r="N162" s="43">
        <v>2</v>
      </c>
      <c r="O162" s="42">
        <v>7</v>
      </c>
      <c r="P162" s="42">
        <v>3</v>
      </c>
      <c r="Q162" s="43">
        <v>2</v>
      </c>
      <c r="R162" s="42">
        <v>5</v>
      </c>
      <c r="S162" s="42">
        <v>9</v>
      </c>
      <c r="T162" s="42" t="s">
        <v>45</v>
      </c>
      <c r="U162" s="42" t="s">
        <v>45</v>
      </c>
      <c r="V162" s="42" t="s">
        <v>45</v>
      </c>
      <c r="W162" s="42" t="s">
        <v>45</v>
      </c>
      <c r="X162" s="42">
        <v>3</v>
      </c>
      <c r="Y162" s="42">
        <v>7</v>
      </c>
      <c r="Z162" s="42" t="s">
        <v>45</v>
      </c>
      <c r="AA162" s="42" t="s">
        <v>45</v>
      </c>
      <c r="AB162" s="42" t="s">
        <v>45</v>
      </c>
      <c r="AC162" s="42" t="s">
        <v>45</v>
      </c>
      <c r="AD162" s="42" t="s">
        <v>45</v>
      </c>
      <c r="AE162" s="42" t="s">
        <v>45</v>
      </c>
      <c r="AF162" s="42" t="s">
        <v>45</v>
      </c>
      <c r="AG162" s="42" t="s">
        <v>45</v>
      </c>
      <c r="AH162" s="42" t="s">
        <v>45</v>
      </c>
      <c r="AI162" s="42" t="s">
        <v>45</v>
      </c>
      <c r="AJ162" s="42" t="s">
        <v>45</v>
      </c>
      <c r="AK162" s="42" t="s">
        <v>45</v>
      </c>
      <c r="AL162" s="42" t="s">
        <v>45</v>
      </c>
      <c r="AM162" s="42" t="s">
        <v>45</v>
      </c>
      <c r="AN162" s="42" t="s">
        <v>45</v>
      </c>
      <c r="AO162" s="43" t="s">
        <v>45</v>
      </c>
      <c r="AP162" s="42" t="s">
        <v>54</v>
      </c>
      <c r="AQ162" s="42">
        <v>6</v>
      </c>
      <c r="AR162" s="50" t="s">
        <v>353</v>
      </c>
      <c r="AS162" s="45" t="s">
        <v>723</v>
      </c>
      <c r="AT162" s="45" t="s">
        <v>47</v>
      </c>
      <c r="AU162" s="46">
        <f>($O$3*(L162-$O$1)/$O$2+$P$3*(M162-$P$1)/$P$2+$Q$3*(N162-$P$1)/$Q$2)/SUM($O$3:$Q$3)</f>
        <v>-1.8743493064650851</v>
      </c>
      <c r="AV162" s="46">
        <f>($O$3*(O162-$O$1)/$O$2+$P$3*(P162-$P$1)/$P$2+$Q$3*(Q162-$Q$1)/$Q$2)/SUM($O$3:$Q$3)</f>
        <v>-0.45465754126126406</v>
      </c>
      <c r="AW162" s="47">
        <f>COUNT(R162:AO162)/2</f>
        <v>2</v>
      </c>
      <c r="AX162" s="47">
        <f>IF(AND(S162&lt;&gt;"-",S162&gt;5),1,0)+IF(AND(U162&lt;&gt;"-",U162&gt;5),1,0)+IF(AND(W162&lt;&gt;"-",W162&gt;5),1,0)+IF(AND(Y162&lt;&gt;"-",Y162&gt;5),1,0)+IF(AND(AA162&lt;&gt;"-",AA162&gt;5),1,0)+IF(AND(AC162&lt;&gt;"-",AC162&gt;5),1,0)+IF(AND(AE162&lt;&gt;"-",AE162&gt;5),1,0)+IF(AND(AG162&lt;&gt;"-",AG162&gt;5),1,0)+IF(AND(AI162&lt;&gt;"-",AI162&gt;5),1,0)+IF(AND(AK162&lt;&gt;"-",AK162&gt;5),1,0)+IF(AND(AM162&lt;&gt;"-",AM162&gt;5),1,0)+IF(AND(AO162&lt;&gt;"-",AO162&gt;5),1,0)</f>
        <v>2</v>
      </c>
      <c r="AY162" s="48">
        <f>VLOOKUP(AP162,COND!$A$10:$B$32,2,FALSE)</f>
        <v>1.0249999999999999</v>
      </c>
      <c r="AZ162" s="46">
        <f>($AU$3*AU162+$AV$3*AV162+$AW$3*AW162+$AX$3*AX162)*AY162*IF(AQ162&lt;5,0.95,IF(AQ162&lt;7,0.975,1))+$I$3*VLOOKUP(I162,COND!$A$2:$E$7,4,FALSE)+$J$3*VLOOKUP(J162,COND!$A$2:$E$7,2,FALSE)+$K$3*VLOOKUP(K162,COND!$A$2:$E$7,3,FALSE)+IF(BB162="SP",$BB$3,0)+IF($AW162&lt;3,-5,0)+IF(AND($B$2&gt;0,$E162&lt;20),$B$2*25,0)</f>
        <v>34.335709326410779</v>
      </c>
      <c r="BA162" s="49">
        <f>STANDARDIZE(AZ162,AVERAGE($AZ$5:$AZ$570),STDEVP($AZ$5:$AZ$570))</f>
        <v>0.14796103798089313</v>
      </c>
      <c r="BB162" s="47" t="str">
        <f>IF(OR(AND(AQ162&gt;7,AX162&gt;1),AND(AQ162&gt;4,AW162&gt;2)),"SP","RP")</f>
        <v>RP</v>
      </c>
      <c r="BC162" s="47"/>
      <c r="BD162" s="47"/>
      <c r="BE162" s="47"/>
      <c r="BF162" s="47" t="str">
        <f>IF(AVERAGE($O162:$Q162)&gt;=6,"Likely",IF(AVERAGE($O162:$Q162)&gt;=4,"Possible","Unlikely"))</f>
        <v>Possible</v>
      </c>
      <c r="BG162" s="47"/>
      <c r="BH162" s="47" t="str">
        <f>INDEX(Table5[[#All],[Ovr]],MATCH(Table3[[#This Row],[PID]],Table5[[#All],[PID]],0))</f>
        <v/>
      </c>
      <c r="BI162" s="47" t="str">
        <f>INDEX(Table5[[#All],[Rnd]],MATCH(Table3[[#This Row],[PID]],Table5[[#All],[PID]],0))</f>
        <v/>
      </c>
      <c r="BJ162" s="47" t="str">
        <f>INDEX(Table5[[#All],[Pick]],MATCH(Table3[[#This Row],[PID]],Table5[[#All],[PID]],0))</f>
        <v/>
      </c>
      <c r="BK162" s="47" t="str">
        <f>INDEX(Table5[[#All],[Team]],MATCH(Table3[[#This Row],[PID]],Table5[[#All],[PID]],0))</f>
        <v/>
      </c>
      <c r="BL1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3" spans="1:64" ht="15" customHeight="1" x14ac:dyDescent="0.25">
      <c r="A163" s="42">
        <v>7895</v>
      </c>
      <c r="B163" s="42" t="s">
        <v>24</v>
      </c>
      <c r="C163" s="42" t="s">
        <v>724</v>
      </c>
      <c r="D163" s="42" t="s">
        <v>207</v>
      </c>
      <c r="E163" s="42">
        <v>17</v>
      </c>
      <c r="F163" s="42" t="s">
        <v>42</v>
      </c>
      <c r="G163" s="42" t="s">
        <v>42</v>
      </c>
      <c r="H163" s="43" t="s">
        <v>721</v>
      </c>
      <c r="I163" s="44" t="s">
        <v>43</v>
      </c>
      <c r="J163" s="42" t="s">
        <v>43</v>
      </c>
      <c r="K163" s="43" t="s">
        <v>43</v>
      </c>
      <c r="L163" s="42">
        <v>1</v>
      </c>
      <c r="M163" s="42">
        <v>2</v>
      </c>
      <c r="N163" s="43">
        <v>1</v>
      </c>
      <c r="O163" s="42">
        <v>5</v>
      </c>
      <c r="P163" s="42">
        <v>2</v>
      </c>
      <c r="Q163" s="43">
        <v>2</v>
      </c>
      <c r="R163" s="42" t="s">
        <v>45</v>
      </c>
      <c r="S163" s="42" t="s">
        <v>45</v>
      </c>
      <c r="T163" s="42">
        <v>1</v>
      </c>
      <c r="U163" s="42">
        <v>4</v>
      </c>
      <c r="V163" s="42" t="s">
        <v>45</v>
      </c>
      <c r="W163" s="42" t="s">
        <v>45</v>
      </c>
      <c r="X163" s="42" t="s">
        <v>45</v>
      </c>
      <c r="Y163" s="42" t="s">
        <v>45</v>
      </c>
      <c r="Z163" s="42">
        <v>3</v>
      </c>
      <c r="AA163" s="42">
        <v>6</v>
      </c>
      <c r="AB163" s="42" t="s">
        <v>45</v>
      </c>
      <c r="AC163" s="42" t="s">
        <v>45</v>
      </c>
      <c r="AD163" s="42">
        <v>3</v>
      </c>
      <c r="AE163" s="42">
        <v>7</v>
      </c>
      <c r="AF163" s="42" t="s">
        <v>45</v>
      </c>
      <c r="AG163" s="42" t="s">
        <v>45</v>
      </c>
      <c r="AH163" s="42" t="s">
        <v>45</v>
      </c>
      <c r="AI163" s="42" t="s">
        <v>45</v>
      </c>
      <c r="AJ163" s="42" t="s">
        <v>45</v>
      </c>
      <c r="AK163" s="42" t="s">
        <v>45</v>
      </c>
      <c r="AL163" s="42" t="s">
        <v>45</v>
      </c>
      <c r="AM163" s="42" t="s">
        <v>45</v>
      </c>
      <c r="AN163" s="42" t="s">
        <v>45</v>
      </c>
      <c r="AO163" s="43" t="s">
        <v>45</v>
      </c>
      <c r="AP163" s="42" t="s">
        <v>355</v>
      </c>
      <c r="AQ163" s="42">
        <v>10</v>
      </c>
      <c r="AR163" s="50" t="s">
        <v>353</v>
      </c>
      <c r="AS163" s="45" t="s">
        <v>730</v>
      </c>
      <c r="AT163" s="45" t="s">
        <v>705</v>
      </c>
      <c r="AU163" s="46">
        <f>($O$3*(L163-$O$1)/$O$2+$P$3*(M163-$P$1)/$P$2+$Q$3*(N163-$P$1)/$Q$2)/SUM($O$3:$Q$3)</f>
        <v>-2.5060525215375429</v>
      </c>
      <c r="AV163" s="46">
        <f>($O$3*(O163-$O$1)/$O$2+$P$3*(P163-$P$1)/$P$2+$Q$3*(Q163-$Q$1)/$Q$2)/SUM($O$3:$Q$3)</f>
        <v>-1.0394719067096667</v>
      </c>
      <c r="AW163" s="47">
        <f>COUNT(R163:AO163)/2</f>
        <v>3</v>
      </c>
      <c r="AX163" s="47">
        <f>IF(AND(S163&lt;&gt;"-",S163&gt;5),1,0)+IF(AND(U163&lt;&gt;"-",U163&gt;5),1,0)+IF(AND(W163&lt;&gt;"-",W163&gt;5),1,0)+IF(AND(Y163&lt;&gt;"-",Y163&gt;5),1,0)+IF(AND(AA163&lt;&gt;"-",AA163&gt;5),1,0)+IF(AND(AC163&lt;&gt;"-",AC163&gt;5),1,0)+IF(AND(AE163&lt;&gt;"-",AE163&gt;5),1,0)+IF(AND(AG163&lt;&gt;"-",AG163&gt;5),1,0)+IF(AND(AI163&lt;&gt;"-",AI163&gt;5),1,0)+IF(AND(AK163&lt;&gt;"-",AK163&gt;5),1,0)+IF(AND(AM163&lt;&gt;"-",AM163&gt;5),1,0)+IF(AND(AO163&lt;&gt;"-",AO163&gt;5),1,0)</f>
        <v>2</v>
      </c>
      <c r="AY163" s="48">
        <f>VLOOKUP(AP163,COND!$A$10:$B$32,2,FALSE)</f>
        <v>1</v>
      </c>
      <c r="AZ163" s="46">
        <f>($AU$3*AU163+$AV$3*AV163+$AW$3*AW163+$AX$3*AX163)*AY163*IF(AQ163&lt;5,0.95,IF(AQ163&lt;7,0.975,1))+$I$3*VLOOKUP(I163,COND!$A$2:$E$7,4,FALSE)+$J$3*VLOOKUP(J163,COND!$A$2:$E$7,2,FALSE)+$K$3*VLOOKUP(K163,COND!$A$2:$E$7,3,FALSE)+IF(BB163="SP",$BB$3,0)+IF($AW163&lt;3,-5,0)+IF(AND($B$2&gt;0,$E163&lt;20),$B$2*25,0)</f>
        <v>34.709351361499159</v>
      </c>
      <c r="BA163" s="49">
        <f>STANDARDIZE(AZ163,AVERAGE($AZ$5:$AZ$570),STDEVP($AZ$5:$AZ$570))</f>
        <v>0.18222560957811945</v>
      </c>
      <c r="BB163" s="47" t="str">
        <f>IF(OR(AND(AQ163&gt;7,AX163&gt;1),AND(AQ163&gt;4,AW163&gt;2)),"SP","RP")</f>
        <v>SP</v>
      </c>
      <c r="BC163" s="47"/>
      <c r="BD163" s="47"/>
      <c r="BE163" s="47"/>
      <c r="BF163" s="47" t="str">
        <f>IF(AVERAGE($O163:$Q163)&gt;=6,"Likely",IF(AVERAGE($O163:$Q163)&gt;=4,"Possible","Unlikely"))</f>
        <v>Unlikely</v>
      </c>
      <c r="BG163" s="47"/>
      <c r="BH163" s="47" t="str">
        <f>INDEX(Table5[[#All],[Ovr]],MATCH(Table3[[#This Row],[PID]],Table5[[#All],[PID]],0))</f>
        <v/>
      </c>
      <c r="BI163" s="47" t="str">
        <f>INDEX(Table5[[#All],[Rnd]],MATCH(Table3[[#This Row],[PID]],Table5[[#All],[PID]],0))</f>
        <v/>
      </c>
      <c r="BJ163" s="47" t="str">
        <f>INDEX(Table5[[#All],[Pick]],MATCH(Table3[[#This Row],[PID]],Table5[[#All],[PID]],0))</f>
        <v/>
      </c>
      <c r="BK163" s="47" t="str">
        <f>INDEX(Table5[[#All],[Team]],MATCH(Table3[[#This Row],[PID]],Table5[[#All],[PID]],0))</f>
        <v/>
      </c>
      <c r="BL1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4" spans="1:64" ht="15" customHeight="1" x14ac:dyDescent="0.25">
      <c r="A164" s="42">
        <v>7382</v>
      </c>
      <c r="B164" s="42" t="s">
        <v>24</v>
      </c>
      <c r="C164" s="42" t="s">
        <v>1554</v>
      </c>
      <c r="D164" s="42" t="s">
        <v>1105</v>
      </c>
      <c r="E164" s="42">
        <v>21</v>
      </c>
      <c r="F164" s="42" t="s">
        <v>42</v>
      </c>
      <c r="G164" s="42" t="s">
        <v>42</v>
      </c>
      <c r="H164" s="43" t="s">
        <v>709</v>
      </c>
      <c r="I164" s="44" t="s">
        <v>43</v>
      </c>
      <c r="J164" s="42" t="s">
        <v>44</v>
      </c>
      <c r="K164" s="43" t="s">
        <v>43</v>
      </c>
      <c r="L164" s="42">
        <v>4</v>
      </c>
      <c r="M164" s="42">
        <v>2</v>
      </c>
      <c r="N164" s="43">
        <v>2</v>
      </c>
      <c r="O164" s="42">
        <v>5</v>
      </c>
      <c r="P164" s="42">
        <v>2</v>
      </c>
      <c r="Q164" s="43">
        <v>3</v>
      </c>
      <c r="R164" s="42">
        <v>6</v>
      </c>
      <c r="S164" s="42">
        <v>7</v>
      </c>
      <c r="T164" s="42">
        <v>6</v>
      </c>
      <c r="U164" s="42">
        <v>7</v>
      </c>
      <c r="V164" s="42">
        <v>4</v>
      </c>
      <c r="W164" s="42">
        <v>7</v>
      </c>
      <c r="X164" s="42" t="s">
        <v>45</v>
      </c>
      <c r="Y164" s="42" t="s">
        <v>45</v>
      </c>
      <c r="Z164" s="42" t="s">
        <v>45</v>
      </c>
      <c r="AA164" s="42" t="s">
        <v>45</v>
      </c>
      <c r="AB164" s="42" t="s">
        <v>45</v>
      </c>
      <c r="AC164" s="42" t="s">
        <v>45</v>
      </c>
      <c r="AD164" s="42" t="s">
        <v>45</v>
      </c>
      <c r="AE164" s="42" t="s">
        <v>45</v>
      </c>
      <c r="AF164" s="42" t="s">
        <v>45</v>
      </c>
      <c r="AG164" s="42" t="s">
        <v>45</v>
      </c>
      <c r="AH164" s="42" t="s">
        <v>45</v>
      </c>
      <c r="AI164" s="42" t="s">
        <v>45</v>
      </c>
      <c r="AJ164" s="42" t="s">
        <v>45</v>
      </c>
      <c r="AK164" s="42" t="s">
        <v>45</v>
      </c>
      <c r="AL164" s="42" t="s">
        <v>45</v>
      </c>
      <c r="AM164" s="42" t="s">
        <v>45</v>
      </c>
      <c r="AN164" s="42" t="s">
        <v>45</v>
      </c>
      <c r="AO164" s="43" t="s">
        <v>45</v>
      </c>
      <c r="AP164" s="42" t="s">
        <v>60</v>
      </c>
      <c r="AQ164" s="42">
        <v>7</v>
      </c>
      <c r="AR164" s="50" t="s">
        <v>353</v>
      </c>
      <c r="AS164" s="45" t="s">
        <v>45</v>
      </c>
      <c r="AT164" s="45" t="s">
        <v>47</v>
      </c>
      <c r="AU164" s="46">
        <f>($O$3*(L164-$O$1)/$O$2+$P$3*(M164-$P$1)/$P$2+$Q$3*(N164-$P$1)/$Q$2)/SUM($O$3:$Q$3)</f>
        <v>-1.6796579819559116</v>
      </c>
      <c r="AV164" s="46">
        <f>($O$3*(O164-$O$1)/$O$2+$P$3*(P164-$P$1)/$P$2+$Q$3*(Q164-$Q$1)/$Q$2)/SUM($O$3:$Q$3)</f>
        <v>-0.79715134065555615</v>
      </c>
      <c r="AW164" s="47">
        <f>COUNT(R164:AO164)/2</f>
        <v>3</v>
      </c>
      <c r="AX164" s="47">
        <f>IF(AND(S164&lt;&gt;"-",S164&gt;5),1,0)+IF(AND(U164&lt;&gt;"-",U164&gt;5),1,0)+IF(AND(W164&lt;&gt;"-",W164&gt;5),1,0)+IF(AND(Y164&lt;&gt;"-",Y164&gt;5),1,0)+IF(AND(AA164&lt;&gt;"-",AA164&gt;5),1,0)+IF(AND(AC164&lt;&gt;"-",AC164&gt;5),1,0)+IF(AND(AE164&lt;&gt;"-",AE164&gt;5),1,0)+IF(AND(AG164&lt;&gt;"-",AG164&gt;5),1,0)+IF(AND(AI164&lt;&gt;"-",AI164&gt;5),1,0)+IF(AND(AK164&lt;&gt;"-",AK164&gt;5),1,0)+IF(AND(AM164&lt;&gt;"-",AM164&gt;5),1,0)+IF(AND(AO164&lt;&gt;"-",AO164&gt;5),1,0)</f>
        <v>3</v>
      </c>
      <c r="AY164" s="48">
        <f>VLOOKUP(AP164,COND!$A$10:$B$32,2,FALSE)</f>
        <v>1.0249999999999999</v>
      </c>
      <c r="AZ164" s="46">
        <f>($AU$3*AU164+$AV$3*AV164+$AW$3*AW164+$AX$3*AX164)*AY164*IF(AQ164&lt;5,0.95,IF(AQ164&lt;7,0.975,1))+$I$3*VLOOKUP(I164,COND!$A$2:$E$7,4,FALSE)+$J$3*VLOOKUP(J164,COND!$A$2:$E$7,2,FALSE)+$K$3*VLOOKUP(K164,COND!$A$2:$E$7,3,FALSE)+IF(BB164="SP",$BB$3,0)+IF($AW164&lt;3,-5,0)+IF(AND($B$2&gt;0,$E164&lt;20),$B$2*25,0)</f>
        <v>35.395317630260138</v>
      </c>
      <c r="BA164" s="49">
        <f>STANDARDIZE(AZ164,AVERAGE($AZ$5:$AZ$570),STDEVP($AZ$5:$AZ$570))</f>
        <v>0.24513164830495343</v>
      </c>
      <c r="BB164" s="47" t="str">
        <f>IF(OR(AND(AQ164&gt;7,AX164&gt;1),AND(AQ164&gt;4,AW164&gt;2)),"SP","RP")</f>
        <v>SP</v>
      </c>
      <c r="BC164" s="47"/>
      <c r="BD164" s="47"/>
      <c r="BE164" s="47"/>
      <c r="BF164" s="47" t="str">
        <f>IF(AVERAGE($O164:$Q164)&gt;=6,"Likely",IF(AVERAGE($O164:$Q164)&gt;=4,"Possible","Unlikely"))</f>
        <v>Unlikely</v>
      </c>
      <c r="BG164" s="47"/>
      <c r="BH164" s="47" t="str">
        <f>INDEX(Table5[[#All],[Ovr]],MATCH(Table3[[#This Row],[PID]],Table5[[#All],[PID]],0))</f>
        <v/>
      </c>
      <c r="BI164" s="47" t="str">
        <f>INDEX(Table5[[#All],[Rnd]],MATCH(Table3[[#This Row],[PID]],Table5[[#All],[PID]],0))</f>
        <v/>
      </c>
      <c r="BJ164" s="47" t="str">
        <f>INDEX(Table5[[#All],[Pick]],MATCH(Table3[[#This Row],[PID]],Table5[[#All],[PID]],0))</f>
        <v/>
      </c>
      <c r="BK164" s="47" t="str">
        <f>INDEX(Table5[[#All],[Team]],MATCH(Table3[[#This Row],[PID]],Table5[[#All],[PID]],0))</f>
        <v/>
      </c>
      <c r="BL1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5" spans="1:64" ht="15" customHeight="1" x14ac:dyDescent="0.25">
      <c r="A165" s="42">
        <v>16198</v>
      </c>
      <c r="B165" s="42" t="s">
        <v>430</v>
      </c>
      <c r="C165" s="42" t="s">
        <v>123</v>
      </c>
      <c r="D165" s="42" t="s">
        <v>742</v>
      </c>
      <c r="E165" s="42">
        <v>21</v>
      </c>
      <c r="F165" s="42" t="s">
        <v>42</v>
      </c>
      <c r="G165" s="42" t="s">
        <v>42</v>
      </c>
      <c r="H165" s="43" t="s">
        <v>721</v>
      </c>
      <c r="I165" s="44" t="s">
        <v>43</v>
      </c>
      <c r="J165" s="42" t="s">
        <v>43</v>
      </c>
      <c r="K165" s="43" t="s">
        <v>43</v>
      </c>
      <c r="L165" s="42">
        <v>2</v>
      </c>
      <c r="M165" s="42">
        <v>2</v>
      </c>
      <c r="N165" s="43">
        <v>2</v>
      </c>
      <c r="O165" s="42">
        <v>4</v>
      </c>
      <c r="P165" s="42">
        <v>4</v>
      </c>
      <c r="Q165" s="43">
        <v>4</v>
      </c>
      <c r="R165" s="42">
        <v>4</v>
      </c>
      <c r="S165" s="42">
        <v>5</v>
      </c>
      <c r="T165" s="42">
        <v>2</v>
      </c>
      <c r="U165" s="42">
        <v>6</v>
      </c>
      <c r="V165" s="42" t="s">
        <v>45</v>
      </c>
      <c r="W165" s="42" t="s">
        <v>45</v>
      </c>
      <c r="X165" s="42" t="s">
        <v>45</v>
      </c>
      <c r="Y165" s="42" t="s">
        <v>45</v>
      </c>
      <c r="Z165" s="42" t="s">
        <v>45</v>
      </c>
      <c r="AA165" s="42" t="s">
        <v>45</v>
      </c>
      <c r="AB165" s="42" t="s">
        <v>45</v>
      </c>
      <c r="AC165" s="42" t="s">
        <v>45</v>
      </c>
      <c r="AD165" s="42" t="s">
        <v>45</v>
      </c>
      <c r="AE165" s="42" t="s">
        <v>45</v>
      </c>
      <c r="AF165" s="42" t="s">
        <v>45</v>
      </c>
      <c r="AG165" s="42" t="s">
        <v>45</v>
      </c>
      <c r="AH165" s="42" t="s">
        <v>45</v>
      </c>
      <c r="AI165" s="42" t="s">
        <v>45</v>
      </c>
      <c r="AJ165" s="42" t="s">
        <v>45</v>
      </c>
      <c r="AK165" s="42" t="s">
        <v>45</v>
      </c>
      <c r="AL165" s="42" t="s">
        <v>45</v>
      </c>
      <c r="AM165" s="42" t="s">
        <v>45</v>
      </c>
      <c r="AN165" s="42" t="s">
        <v>45</v>
      </c>
      <c r="AO165" s="43" t="s">
        <v>45</v>
      </c>
      <c r="AP165" s="42" t="s">
        <v>356</v>
      </c>
      <c r="AQ165" s="42">
        <v>8</v>
      </c>
      <c r="AR165" s="50" t="s">
        <v>353</v>
      </c>
      <c r="AS165" s="45" t="s">
        <v>717</v>
      </c>
      <c r="AT165" s="45" t="s">
        <v>47</v>
      </c>
      <c r="AU165" s="46">
        <f>($O$3*(L165-$O$1)/$O$2+$P$3*(M165-$P$1)/$P$2+$Q$3*(N165-$P$1)/$Q$2)/SUM($O$3:$Q$3)</f>
        <v>-2.0690406309742588</v>
      </c>
      <c r="AV165" s="46">
        <f>($O$3*(O165-$O$1)/$O$2+$P$3*(P165-$P$1)/$P$2+$Q$3*(Q165-$Q$1)/$Q$2)/SUM($O$3:$Q$3)</f>
        <v>-0.35865866625050846</v>
      </c>
      <c r="AW165" s="47">
        <f>COUNT(R165:AO165)/2</f>
        <v>2</v>
      </c>
      <c r="AX165" s="47">
        <f>IF(AND(S165&lt;&gt;"-",S165&gt;5),1,0)+IF(AND(U165&lt;&gt;"-",U165&gt;5),1,0)+IF(AND(W165&lt;&gt;"-",W165&gt;5),1,0)+IF(AND(Y165&lt;&gt;"-",Y165&gt;5),1,0)+IF(AND(AA165&lt;&gt;"-",AA165&gt;5),1,0)+IF(AND(AC165&lt;&gt;"-",AC165&gt;5),1,0)+IF(AND(AE165&lt;&gt;"-",AE165&gt;5),1,0)+IF(AND(AG165&lt;&gt;"-",AG165&gt;5),1,0)+IF(AND(AI165&lt;&gt;"-",AI165&gt;5),1,0)+IF(AND(AK165&lt;&gt;"-",AK165&gt;5),1,0)+IF(AND(AM165&lt;&gt;"-",AM165&gt;5),1,0)+IF(AND(AO165&lt;&gt;"-",AO165&gt;5),1,0)</f>
        <v>1</v>
      </c>
      <c r="AY165" s="48">
        <f>VLOOKUP(AP165,COND!$A$10:$B$32,2,FALSE)</f>
        <v>1</v>
      </c>
      <c r="AZ165" s="46">
        <f>($AU$3*AU165+$AV$3*AV165+$AW$3*AW165+$AX$3*AX165)*AY165*IF(AQ165&lt;5,0.95,IF(AQ165&lt;7,0.975,1))+$I$3*VLOOKUP(I165,COND!$A$2:$E$7,4,FALSE)+$J$3*VLOOKUP(J165,COND!$A$2:$E$7,2,FALSE)+$K$3*VLOOKUP(K165,COND!$A$2:$E$7,3,FALSE)+IF(BB165="SP",$BB$3,0)+IF($AW165&lt;3,-5,0)+IF(AND($B$2&gt;0,$E165&lt;20),$B$2*25,0)</f>
        <v>34.66301854879498</v>
      </c>
      <c r="BA165" s="49">
        <f>STANDARDIZE(AZ165,AVERAGE($AZ$5:$AZ$570),STDEVP($AZ$5:$AZ$570))</f>
        <v>0.1779766926225427</v>
      </c>
      <c r="BB165" s="47" t="str">
        <f>IF(OR(AND(AQ165&gt;7,AX165&gt;1),AND(AQ165&gt;4,AW165&gt;2)),"SP","RP")</f>
        <v>RP</v>
      </c>
      <c r="BC165" s="47"/>
      <c r="BD165" s="47"/>
      <c r="BE165" s="47"/>
      <c r="BF165" s="47" t="str">
        <f>IF(AVERAGE($O165:$Q165)&gt;=6,"Likely",IF(AVERAGE($O165:$Q165)&gt;=4,"Possible","Unlikely"))</f>
        <v>Possible</v>
      </c>
      <c r="BG165" s="47"/>
      <c r="BH165" s="47" t="str">
        <f>INDEX(Table5[[#All],[Ovr]],MATCH(Table3[[#This Row],[PID]],Table5[[#All],[PID]],0))</f>
        <v/>
      </c>
      <c r="BI165" s="47" t="str">
        <f>INDEX(Table5[[#All],[Rnd]],MATCH(Table3[[#This Row],[PID]],Table5[[#All],[PID]],0))</f>
        <v/>
      </c>
      <c r="BJ165" s="47" t="str">
        <f>INDEX(Table5[[#All],[Pick]],MATCH(Table3[[#This Row],[PID]],Table5[[#All],[PID]],0))</f>
        <v/>
      </c>
      <c r="BK165" s="47" t="str">
        <f>INDEX(Table5[[#All],[Team]],MATCH(Table3[[#This Row],[PID]],Table5[[#All],[PID]],0))</f>
        <v/>
      </c>
      <c r="BL1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6" spans="1:64" ht="15" customHeight="1" x14ac:dyDescent="0.25">
      <c r="A166" s="42">
        <v>17919</v>
      </c>
      <c r="B166" s="42" t="s">
        <v>24</v>
      </c>
      <c r="C166" s="42" t="s">
        <v>1740</v>
      </c>
      <c r="D166" s="42" t="s">
        <v>595</v>
      </c>
      <c r="E166" s="42">
        <v>18</v>
      </c>
      <c r="F166" s="42" t="s">
        <v>62</v>
      </c>
      <c r="G166" s="42" t="s">
        <v>53</v>
      </c>
      <c r="H166" s="43" t="s">
        <v>721</v>
      </c>
      <c r="I166" s="44" t="s">
        <v>43</v>
      </c>
      <c r="J166" s="42" t="s">
        <v>43</v>
      </c>
      <c r="K166" s="43" t="s">
        <v>47</v>
      </c>
      <c r="L166" s="42">
        <v>1</v>
      </c>
      <c r="M166" s="42">
        <v>2</v>
      </c>
      <c r="N166" s="43">
        <v>1</v>
      </c>
      <c r="O166" s="42">
        <v>4</v>
      </c>
      <c r="P166" s="42">
        <v>2</v>
      </c>
      <c r="Q166" s="43">
        <v>3</v>
      </c>
      <c r="R166" s="42">
        <v>3</v>
      </c>
      <c r="S166" s="42">
        <v>5</v>
      </c>
      <c r="T166" s="42">
        <v>1</v>
      </c>
      <c r="U166" s="42">
        <v>4</v>
      </c>
      <c r="V166" s="42" t="s">
        <v>45</v>
      </c>
      <c r="W166" s="42" t="s">
        <v>45</v>
      </c>
      <c r="X166" s="42" t="s">
        <v>45</v>
      </c>
      <c r="Y166" s="42" t="s">
        <v>45</v>
      </c>
      <c r="Z166" s="42">
        <v>3</v>
      </c>
      <c r="AA166" s="42">
        <v>5</v>
      </c>
      <c r="AB166" s="42" t="s">
        <v>45</v>
      </c>
      <c r="AC166" s="42" t="s">
        <v>45</v>
      </c>
      <c r="AD166" s="42" t="s">
        <v>45</v>
      </c>
      <c r="AE166" s="42" t="s">
        <v>45</v>
      </c>
      <c r="AF166" s="42" t="s">
        <v>45</v>
      </c>
      <c r="AG166" s="42" t="s">
        <v>45</v>
      </c>
      <c r="AH166" s="42" t="s">
        <v>45</v>
      </c>
      <c r="AI166" s="42" t="s">
        <v>45</v>
      </c>
      <c r="AJ166" s="42" t="s">
        <v>45</v>
      </c>
      <c r="AK166" s="42" t="s">
        <v>45</v>
      </c>
      <c r="AL166" s="42" t="s">
        <v>45</v>
      </c>
      <c r="AM166" s="42" t="s">
        <v>45</v>
      </c>
      <c r="AN166" s="42" t="s">
        <v>45</v>
      </c>
      <c r="AO166" s="43" t="s">
        <v>45</v>
      </c>
      <c r="AP166" s="42" t="s">
        <v>355</v>
      </c>
      <c r="AQ166" s="42">
        <v>5</v>
      </c>
      <c r="AR166" s="50" t="s">
        <v>353</v>
      </c>
      <c r="AS166" s="45" t="s">
        <v>734</v>
      </c>
      <c r="AT166" s="45" t="s">
        <v>47</v>
      </c>
      <c r="AU166" s="46">
        <f>($O$3*(L166-$O$1)/$O$2+$P$3*(M166-$P$1)/$P$2+$Q$3*(N166-$P$1)/$Q$2)/SUM($O$3:$Q$3)</f>
        <v>-2.5060525215375429</v>
      </c>
      <c r="AV166" s="46">
        <f>($O$3*(O166-$O$1)/$O$2+$P$3*(P166-$P$1)/$P$2+$Q$3*(Q166-$Q$1)/$Q$2)/SUM($O$3:$Q$3)</f>
        <v>-0.99184266516472974</v>
      </c>
      <c r="AW166" s="47">
        <f>COUNT(R166:AO166)/2</f>
        <v>3</v>
      </c>
      <c r="AX166" s="47">
        <f>IF(AND(S166&lt;&gt;"-",S166&gt;5),1,0)+IF(AND(U166&lt;&gt;"-",U166&gt;5),1,0)+IF(AND(W166&lt;&gt;"-",W166&gt;5),1,0)+IF(AND(Y166&lt;&gt;"-",Y166&gt;5),1,0)+IF(AND(AA166&lt;&gt;"-",AA166&gt;5),1,0)+IF(AND(AC166&lt;&gt;"-",AC166&gt;5),1,0)+IF(AND(AE166&lt;&gt;"-",AE166&gt;5),1,0)+IF(AND(AG166&lt;&gt;"-",AG166&gt;5),1,0)+IF(AND(AI166&lt;&gt;"-",AI166&gt;5),1,0)+IF(AND(AK166&lt;&gt;"-",AK166&gt;5),1,0)+IF(AND(AM166&lt;&gt;"-",AM166&gt;5),1,0)+IF(AND(AO166&lt;&gt;"-",AO166&gt;5),1,0)</f>
        <v>0</v>
      </c>
      <c r="AY166" s="48">
        <f>VLOOKUP(AP166,COND!$A$10:$B$32,2,FALSE)</f>
        <v>1</v>
      </c>
      <c r="AZ166" s="46">
        <f>($AU$3*AU166+$AV$3*AV166+$AW$3*AW166+$AX$3*AX166)*AY166*IF(AQ166&lt;5,0.95,IF(AQ166&lt;7,0.975,1))+$I$3*VLOOKUP(I166,COND!$A$2:$E$7,4,FALSE)+$J$3*VLOOKUP(J166,COND!$A$2:$E$7,2,FALSE)+$K$3*VLOOKUP(K166,COND!$A$2:$E$7,3,FALSE)+IF(BB166="SP",$BB$3,0)+IF($AW166&lt;3,-5,0)+IF(AND($B$2&gt;0,$E166&lt;20),$B$2*25,0)</f>
        <v>33.932887787587944</v>
      </c>
      <c r="BA166" s="49">
        <f>STANDARDIZE(AZ166,AVERAGE($AZ$5:$AZ$570),STDEVP($AZ$5:$AZ$570))</f>
        <v>0.11102058117539726</v>
      </c>
      <c r="BB166" s="47" t="str">
        <f>IF(OR(AND(AQ166&gt;7,AX166&gt;1),AND(AQ166&gt;4,AW166&gt;2)),"SP","RP")</f>
        <v>SP</v>
      </c>
      <c r="BC166" s="47"/>
      <c r="BD166" s="47"/>
      <c r="BE166" s="47"/>
      <c r="BF166" s="47" t="str">
        <f>IF(AVERAGE($O166:$Q166)&gt;=6,"Likely",IF(AVERAGE($O166:$Q166)&gt;=4,"Possible","Unlikely"))</f>
        <v>Unlikely</v>
      </c>
      <c r="BG166" s="47"/>
      <c r="BH166" s="47" t="str">
        <f>INDEX(Table5[[#All],[Ovr]],MATCH(Table3[[#This Row],[PID]],Table5[[#All],[PID]],0))</f>
        <v/>
      </c>
      <c r="BI166" s="47" t="str">
        <f>INDEX(Table5[[#All],[Rnd]],MATCH(Table3[[#This Row],[PID]],Table5[[#All],[PID]],0))</f>
        <v/>
      </c>
      <c r="BJ166" s="47" t="str">
        <f>INDEX(Table5[[#All],[Pick]],MATCH(Table3[[#This Row],[PID]],Table5[[#All],[PID]],0))</f>
        <v/>
      </c>
      <c r="BK166" s="47" t="str">
        <f>INDEX(Table5[[#All],[Team]],MATCH(Table3[[#This Row],[PID]],Table5[[#All],[PID]],0))</f>
        <v/>
      </c>
      <c r="BL1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7" spans="1:64" ht="15" customHeight="1" x14ac:dyDescent="0.25">
      <c r="A167" s="42">
        <v>6451</v>
      </c>
      <c r="B167" s="42" t="s">
        <v>24</v>
      </c>
      <c r="C167" s="42" t="s">
        <v>1569</v>
      </c>
      <c r="D167" s="42" t="s">
        <v>1570</v>
      </c>
      <c r="E167" s="42">
        <v>18</v>
      </c>
      <c r="F167" s="42" t="s">
        <v>42</v>
      </c>
      <c r="G167" s="42" t="s">
        <v>42</v>
      </c>
      <c r="H167" s="43" t="s">
        <v>721</v>
      </c>
      <c r="I167" s="44" t="s">
        <v>47</v>
      </c>
      <c r="J167" s="42" t="s">
        <v>43</v>
      </c>
      <c r="K167" s="43" t="s">
        <v>44</v>
      </c>
      <c r="L167" s="42">
        <v>1</v>
      </c>
      <c r="M167" s="42">
        <v>2</v>
      </c>
      <c r="N167" s="43">
        <v>1</v>
      </c>
      <c r="O167" s="42">
        <v>5</v>
      </c>
      <c r="P167" s="42">
        <v>4</v>
      </c>
      <c r="Q167" s="43">
        <v>2</v>
      </c>
      <c r="R167" s="42">
        <v>4</v>
      </c>
      <c r="S167" s="42">
        <v>8</v>
      </c>
      <c r="T167" s="42">
        <v>1</v>
      </c>
      <c r="U167" s="42">
        <v>7</v>
      </c>
      <c r="V167" s="42" t="s">
        <v>45</v>
      </c>
      <c r="W167" s="42" t="s">
        <v>45</v>
      </c>
      <c r="X167" s="42" t="s">
        <v>45</v>
      </c>
      <c r="Y167" s="42" t="s">
        <v>45</v>
      </c>
      <c r="Z167" s="42" t="s">
        <v>45</v>
      </c>
      <c r="AA167" s="42" t="s">
        <v>45</v>
      </c>
      <c r="AB167" s="42" t="s">
        <v>45</v>
      </c>
      <c r="AC167" s="42" t="s">
        <v>45</v>
      </c>
      <c r="AD167" s="42" t="s">
        <v>45</v>
      </c>
      <c r="AE167" s="42" t="s">
        <v>45</v>
      </c>
      <c r="AF167" s="42" t="s">
        <v>45</v>
      </c>
      <c r="AG167" s="42" t="s">
        <v>45</v>
      </c>
      <c r="AH167" s="42" t="s">
        <v>45</v>
      </c>
      <c r="AI167" s="42" t="s">
        <v>45</v>
      </c>
      <c r="AJ167" s="42" t="s">
        <v>45</v>
      </c>
      <c r="AK167" s="42" t="s">
        <v>45</v>
      </c>
      <c r="AL167" s="42" t="s">
        <v>45</v>
      </c>
      <c r="AM167" s="42" t="s">
        <v>45</v>
      </c>
      <c r="AN167" s="42" t="s">
        <v>45</v>
      </c>
      <c r="AO167" s="43" t="s">
        <v>45</v>
      </c>
      <c r="AP167" s="42" t="s">
        <v>58</v>
      </c>
      <c r="AQ167" s="42">
        <v>6</v>
      </c>
      <c r="AR167" s="50" t="s">
        <v>353</v>
      </c>
      <c r="AS167" s="45" t="s">
        <v>718</v>
      </c>
      <c r="AT167" s="45" t="s">
        <v>47</v>
      </c>
      <c r="AU167" s="46">
        <f>($O$3*(L167-$O$1)/$O$2+$P$3*(M167-$P$1)/$P$2+$Q$3*(N167-$P$1)/$Q$2)/SUM($O$3:$Q$3)</f>
        <v>-2.5060525215375429</v>
      </c>
      <c r="AV167" s="46">
        <f>($O$3*(O167-$O$1)/$O$2+$P$3*(P167-$P$1)/$P$2+$Q$3*(Q167-$Q$1)/$Q$2)/SUM($O$3:$Q$3)</f>
        <v>-0.64860847384955567</v>
      </c>
      <c r="AW167" s="47">
        <f>COUNT(R167:AO167)/2</f>
        <v>2</v>
      </c>
      <c r="AX167" s="47">
        <f>IF(AND(S167&lt;&gt;"-",S167&gt;5),1,0)+IF(AND(U167&lt;&gt;"-",U167&gt;5),1,0)+IF(AND(W167&lt;&gt;"-",W167&gt;5),1,0)+IF(AND(Y167&lt;&gt;"-",Y167&gt;5),1,0)+IF(AND(AA167&lt;&gt;"-",AA167&gt;5),1,0)+IF(AND(AC167&lt;&gt;"-",AC167&gt;5),1,0)+IF(AND(AE167&lt;&gt;"-",AE167&gt;5),1,0)+IF(AND(AG167&lt;&gt;"-",AG167&gt;5),1,0)+IF(AND(AI167&lt;&gt;"-",AI167&gt;5),1,0)+IF(AND(AK167&lt;&gt;"-",AK167&gt;5),1,0)+IF(AND(AM167&lt;&gt;"-",AM167&gt;5),1,0)+IF(AND(AO167&lt;&gt;"-",AO167&gt;5),1,0)</f>
        <v>2</v>
      </c>
      <c r="AY167" s="48">
        <f>VLOOKUP(AP167,COND!$A$10:$B$32,2,FALSE)</f>
        <v>1</v>
      </c>
      <c r="AZ167" s="46">
        <f>($AU$3*AU167+$AV$3*AV167+$AW$3*AW167+$AX$3*AX167)*AY167*IF(AQ167&lt;5,0.95,IF(AQ167&lt;7,0.975,1))+$I$3*VLOOKUP(I167,COND!$A$2:$E$7,4,FALSE)+$J$3*VLOOKUP(J167,COND!$A$2:$E$7,2,FALSE)+$K$3*VLOOKUP(K167,COND!$A$2:$E$7,3,FALSE)+IF(BB167="SP",$BB$3,0)+IF($AW167&lt;3,-5,0)+IF(AND($B$2&gt;0,$E167&lt;20),$B$2*25,0)</f>
        <v>35.200954518233843</v>
      </c>
      <c r="BA167" s="49">
        <f>STANDARDIZE(AZ167,AVERAGE($AZ$5:$AZ$570),STDEVP($AZ$5:$AZ$570))</f>
        <v>0.22730772020674195</v>
      </c>
      <c r="BB167" s="47" t="str">
        <f>IF(OR(AND(AQ167&gt;7,AX167&gt;1),AND(AQ167&gt;4,AW167&gt;2)),"SP","RP")</f>
        <v>RP</v>
      </c>
      <c r="BC167" s="47"/>
      <c r="BD167" s="47"/>
      <c r="BE167" s="47"/>
      <c r="BF167" s="47" t="str">
        <f>IF(AVERAGE($O167:$Q167)&gt;=6,"Likely",IF(AVERAGE($O167:$Q167)&gt;=4,"Possible","Unlikely"))</f>
        <v>Unlikely</v>
      </c>
      <c r="BG167" s="47"/>
      <c r="BH167" s="47" t="str">
        <f>INDEX(Table5[[#All],[Ovr]],MATCH(Table3[[#This Row],[PID]],Table5[[#All],[PID]],0))</f>
        <v/>
      </c>
      <c r="BI167" s="47" t="str">
        <f>INDEX(Table5[[#All],[Rnd]],MATCH(Table3[[#This Row],[PID]],Table5[[#All],[PID]],0))</f>
        <v/>
      </c>
      <c r="BJ167" s="47" t="str">
        <f>INDEX(Table5[[#All],[Pick]],MATCH(Table3[[#This Row],[PID]],Table5[[#All],[PID]],0))</f>
        <v/>
      </c>
      <c r="BK167" s="47" t="str">
        <f>INDEX(Table5[[#All],[Team]],MATCH(Table3[[#This Row],[PID]],Table5[[#All],[PID]],0))</f>
        <v/>
      </c>
      <c r="BL1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8" spans="1:64" ht="15" customHeight="1" x14ac:dyDescent="0.25">
      <c r="A168" s="42">
        <v>11810</v>
      </c>
      <c r="B168" s="42" t="s">
        <v>24</v>
      </c>
      <c r="C168" s="42" t="s">
        <v>175</v>
      </c>
      <c r="D168" s="42" t="s">
        <v>1155</v>
      </c>
      <c r="E168" s="42">
        <v>21</v>
      </c>
      <c r="F168" s="42" t="s">
        <v>42</v>
      </c>
      <c r="G168" s="42" t="s">
        <v>53</v>
      </c>
      <c r="H168" s="43" t="s">
        <v>721</v>
      </c>
      <c r="I168" s="44" t="s">
        <v>43</v>
      </c>
      <c r="J168" s="42" t="s">
        <v>43</v>
      </c>
      <c r="K168" s="43" t="s">
        <v>43</v>
      </c>
      <c r="L168" s="42">
        <v>2</v>
      </c>
      <c r="M168" s="42">
        <v>2</v>
      </c>
      <c r="N168" s="43">
        <v>2</v>
      </c>
      <c r="O168" s="42">
        <v>5</v>
      </c>
      <c r="P168" s="42">
        <v>2</v>
      </c>
      <c r="Q168" s="43">
        <v>3</v>
      </c>
      <c r="R168" s="42">
        <v>4</v>
      </c>
      <c r="S168" s="42">
        <v>6</v>
      </c>
      <c r="T168" s="42">
        <v>3</v>
      </c>
      <c r="U168" s="42">
        <v>6</v>
      </c>
      <c r="V168" s="42" t="s">
        <v>45</v>
      </c>
      <c r="W168" s="42" t="s">
        <v>45</v>
      </c>
      <c r="X168" s="42" t="s">
        <v>45</v>
      </c>
      <c r="Y168" s="42" t="s">
        <v>45</v>
      </c>
      <c r="Z168" s="42" t="s">
        <v>45</v>
      </c>
      <c r="AA168" s="42" t="s">
        <v>45</v>
      </c>
      <c r="AB168" s="42" t="s">
        <v>45</v>
      </c>
      <c r="AC168" s="42" t="s">
        <v>45</v>
      </c>
      <c r="AD168" s="42" t="s">
        <v>45</v>
      </c>
      <c r="AE168" s="42" t="s">
        <v>45</v>
      </c>
      <c r="AF168" s="42" t="s">
        <v>45</v>
      </c>
      <c r="AG168" s="42" t="s">
        <v>45</v>
      </c>
      <c r="AH168" s="42" t="s">
        <v>45</v>
      </c>
      <c r="AI168" s="42" t="s">
        <v>45</v>
      </c>
      <c r="AJ168" s="42" t="s">
        <v>45</v>
      </c>
      <c r="AK168" s="42" t="s">
        <v>45</v>
      </c>
      <c r="AL168" s="42">
        <v>2</v>
      </c>
      <c r="AM168" s="42">
        <v>7</v>
      </c>
      <c r="AN168" s="42" t="s">
        <v>45</v>
      </c>
      <c r="AO168" s="43" t="s">
        <v>45</v>
      </c>
      <c r="AP168" s="42" t="s">
        <v>64</v>
      </c>
      <c r="AQ168" s="42">
        <v>4</v>
      </c>
      <c r="AR168" s="50" t="s">
        <v>353</v>
      </c>
      <c r="AS168" s="45" t="s">
        <v>717</v>
      </c>
      <c r="AT168" s="45" t="s">
        <v>47</v>
      </c>
      <c r="AU168" s="46">
        <f>($O$3*(L168-$O$1)/$O$2+$P$3*(M168-$P$1)/$P$2+$Q$3*(N168-$P$1)/$Q$2)/SUM($O$3:$Q$3)</f>
        <v>-2.0690406309742588</v>
      </c>
      <c r="AV168" s="46">
        <f>($O$3*(O168-$O$1)/$O$2+$P$3*(P168-$P$1)/$P$2+$Q$3*(Q168-$Q$1)/$Q$2)/SUM($O$3:$Q$3)</f>
        <v>-0.79715134065555615</v>
      </c>
      <c r="AW168" s="47">
        <f>COUNT(R168:AO168)/2</f>
        <v>3</v>
      </c>
      <c r="AX168" s="47">
        <f>IF(AND(S168&lt;&gt;"-",S168&gt;5),1,0)+IF(AND(U168&lt;&gt;"-",U168&gt;5),1,0)+IF(AND(W168&lt;&gt;"-",W168&gt;5),1,0)+IF(AND(Y168&lt;&gt;"-",Y168&gt;5),1,0)+IF(AND(AA168&lt;&gt;"-",AA168&gt;5),1,0)+IF(AND(AC168&lt;&gt;"-",AC168&gt;5),1,0)+IF(AND(AE168&lt;&gt;"-",AE168&gt;5),1,0)+IF(AND(AG168&lt;&gt;"-",AG168&gt;5),1,0)+IF(AND(AI168&lt;&gt;"-",AI168&gt;5),1,0)+IF(AND(AK168&lt;&gt;"-",AK168&gt;5),1,0)+IF(AND(AM168&lt;&gt;"-",AM168&gt;5),1,0)+IF(AND(AO168&lt;&gt;"-",AO168&gt;5),1,0)</f>
        <v>3</v>
      </c>
      <c r="AY168" s="48">
        <f>VLOOKUP(AP168,COND!$A$10:$B$32,2,FALSE)</f>
        <v>1</v>
      </c>
      <c r="AZ168" s="46">
        <f>($AU$3*AU168+$AV$3*AV168+$AW$3*AW168+$AX$3*AX168)*AY168*IF(AQ168&lt;5,0.95,IF(AQ168&lt;7,0.975,1))+$I$3*VLOOKUP(I168,COND!$A$2:$E$7,4,FALSE)+$J$3*VLOOKUP(J168,COND!$A$2:$E$7,2,FALSE)+$K$3*VLOOKUP(K168,COND!$A$2:$E$7,3,FALSE)+IF(BB168="SP",$BB$3,0)+IF($AW168&lt;3,-5,0)+IF(AND($B$2&gt;0,$E168&lt;20),$B$2*25,0)</f>
        <v>34.448506807659321</v>
      </c>
      <c r="BA168" s="49">
        <f>STANDARDIZE(AZ168,AVERAGE($AZ$5:$AZ$570),STDEVP($AZ$5:$AZ$570))</f>
        <v>0.15830504911795176</v>
      </c>
      <c r="BB168" s="47" t="str">
        <f>IF(OR(AND(AQ168&gt;7,AX168&gt;1),AND(AQ168&gt;4,AW168&gt;2)),"SP","RP")</f>
        <v>RP</v>
      </c>
      <c r="BC168" s="47"/>
      <c r="BD168" s="47"/>
      <c r="BE168" s="47"/>
      <c r="BF168" s="47" t="str">
        <f>IF(AVERAGE($O168:$Q168)&gt;=6,"Likely",IF(AVERAGE($O168:$Q168)&gt;=4,"Possible","Unlikely"))</f>
        <v>Unlikely</v>
      </c>
      <c r="BG168" s="47"/>
      <c r="BH168" s="47" t="str">
        <f>INDEX(Table5[[#All],[Ovr]],MATCH(Table3[[#This Row],[PID]],Table5[[#All],[PID]],0))</f>
        <v/>
      </c>
      <c r="BI168" s="47" t="str">
        <f>INDEX(Table5[[#All],[Rnd]],MATCH(Table3[[#This Row],[PID]],Table5[[#All],[PID]],0))</f>
        <v/>
      </c>
      <c r="BJ168" s="47" t="str">
        <f>INDEX(Table5[[#All],[Pick]],MATCH(Table3[[#This Row],[PID]],Table5[[#All],[PID]],0))</f>
        <v/>
      </c>
      <c r="BK168" s="47" t="str">
        <f>INDEX(Table5[[#All],[Team]],MATCH(Table3[[#This Row],[PID]],Table5[[#All],[PID]],0))</f>
        <v/>
      </c>
      <c r="BL1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9" spans="1:64" ht="15" customHeight="1" x14ac:dyDescent="0.25">
      <c r="A169" s="42">
        <v>15985</v>
      </c>
      <c r="B169" s="42" t="s">
        <v>430</v>
      </c>
      <c r="C169" s="42" t="s">
        <v>379</v>
      </c>
      <c r="D169" s="42" t="s">
        <v>1752</v>
      </c>
      <c r="E169" s="42">
        <v>18</v>
      </c>
      <c r="F169" s="42" t="s">
        <v>42</v>
      </c>
      <c r="G169" s="42" t="s">
        <v>42</v>
      </c>
      <c r="H169" s="43" t="s">
        <v>721</v>
      </c>
      <c r="I169" s="44" t="s">
        <v>43</v>
      </c>
      <c r="J169" s="42" t="s">
        <v>43</v>
      </c>
      <c r="K169" s="43" t="s">
        <v>47</v>
      </c>
      <c r="L169" s="42">
        <v>1</v>
      </c>
      <c r="M169" s="42">
        <v>2</v>
      </c>
      <c r="N169" s="43">
        <v>1</v>
      </c>
      <c r="O169" s="42">
        <v>3</v>
      </c>
      <c r="P169" s="42">
        <v>4</v>
      </c>
      <c r="Q169" s="43">
        <v>2</v>
      </c>
      <c r="R169" s="42">
        <v>3</v>
      </c>
      <c r="S169" s="42">
        <v>4</v>
      </c>
      <c r="T169" s="42">
        <v>1</v>
      </c>
      <c r="U169" s="42">
        <v>1</v>
      </c>
      <c r="V169" s="42" t="s">
        <v>45</v>
      </c>
      <c r="W169" s="42" t="s">
        <v>45</v>
      </c>
      <c r="X169" s="42">
        <v>2</v>
      </c>
      <c r="Y169" s="42">
        <v>4</v>
      </c>
      <c r="Z169" s="42" t="s">
        <v>45</v>
      </c>
      <c r="AA169" s="42" t="s">
        <v>45</v>
      </c>
      <c r="AB169" s="42" t="s">
        <v>45</v>
      </c>
      <c r="AC169" s="42" t="s">
        <v>45</v>
      </c>
      <c r="AD169" s="42" t="s">
        <v>45</v>
      </c>
      <c r="AE169" s="42" t="s">
        <v>45</v>
      </c>
      <c r="AF169" s="42" t="s">
        <v>45</v>
      </c>
      <c r="AG169" s="42" t="s">
        <v>45</v>
      </c>
      <c r="AH169" s="42" t="s">
        <v>45</v>
      </c>
      <c r="AI169" s="42" t="s">
        <v>45</v>
      </c>
      <c r="AJ169" s="42" t="s">
        <v>45</v>
      </c>
      <c r="AK169" s="42" t="s">
        <v>45</v>
      </c>
      <c r="AL169" s="42" t="s">
        <v>45</v>
      </c>
      <c r="AM169" s="42" t="s">
        <v>45</v>
      </c>
      <c r="AN169" s="42" t="s">
        <v>45</v>
      </c>
      <c r="AO169" s="43" t="s">
        <v>45</v>
      </c>
      <c r="AP169" s="42" t="s">
        <v>68</v>
      </c>
      <c r="AQ169" s="42">
        <v>10</v>
      </c>
      <c r="AR169" s="50" t="s">
        <v>353</v>
      </c>
      <c r="AS169" s="45" t="s">
        <v>730</v>
      </c>
      <c r="AT169" s="45" t="s">
        <v>705</v>
      </c>
      <c r="AU169" s="46">
        <f>($O$3*(L169-$O$1)/$O$2+$P$3*(M169-$P$1)/$P$2+$Q$3*(N169-$P$1)/$Q$2)/SUM($O$3:$Q$3)</f>
        <v>-2.5060525215375429</v>
      </c>
      <c r="AV169" s="46">
        <f>($O$3*(O169-$O$1)/$O$2+$P$3*(P169-$P$1)/$P$2+$Q$3*(Q169-$Q$1)/$Q$2)/SUM($O$3:$Q$3)</f>
        <v>-1.0379911228679028</v>
      </c>
      <c r="AW169" s="47">
        <f>COUNT(R169:AO169)/2</f>
        <v>3</v>
      </c>
      <c r="AX169" s="47">
        <f>IF(AND(S169&lt;&gt;"-",S169&gt;5),1,0)+IF(AND(U169&lt;&gt;"-",U169&gt;5),1,0)+IF(AND(W169&lt;&gt;"-",W169&gt;5),1,0)+IF(AND(Y169&lt;&gt;"-",Y169&gt;5),1,0)+IF(AND(AA169&lt;&gt;"-",AA169&gt;5),1,0)+IF(AND(AC169&lt;&gt;"-",AC169&gt;5),1,0)+IF(AND(AE169&lt;&gt;"-",AE169&gt;5),1,0)+IF(AND(AG169&lt;&gt;"-",AG169&gt;5),1,0)+IF(AND(AI169&lt;&gt;"-",AI169&gt;5),1,0)+IF(AND(AK169&lt;&gt;"-",AK169&gt;5),1,0)+IF(AND(AM169&lt;&gt;"-",AM169&gt;5),1,0)+IF(AND(AO169&lt;&gt;"-",AO169&gt;5),1,0)</f>
        <v>0</v>
      </c>
      <c r="AY169" s="48">
        <f>VLOOKUP(AP169,COND!$A$10:$B$32,2,FALSE)</f>
        <v>0.95</v>
      </c>
      <c r="AZ169" s="46">
        <f>($AU$3*AU169+$AV$3*AV169+$AW$3*AW169+$AX$3*AX169)*AY169*IF(AQ169&lt;5,0.95,IF(AQ169&lt;7,0.975,1))+$I$3*VLOOKUP(I169,COND!$A$2:$E$7,4,FALSE)+$J$3*VLOOKUP(J169,COND!$A$2:$E$7,2,FALSE)+$K$3*VLOOKUP(K169,COND!$A$2:$E$7,3,FALSE)+IF(BB169="SP",$BB$3,0)+IF($AW169&lt;3,-5,0)+IF(AND($B$2&gt;0,$E169&lt;20),$B$2*25,0)</f>
        <v>33.527018686417719</v>
      </c>
      <c r="BA169" s="49">
        <f>STANDARDIZE(AZ169,AVERAGE($AZ$5:$AZ$570),STDEVP($AZ$5:$AZ$570))</f>
        <v>7.3800649877090452E-2</v>
      </c>
      <c r="BB169" s="47" t="str">
        <f>IF(OR(AND(AQ169&gt;7,AX169&gt;1),AND(AQ169&gt;4,AW169&gt;2)),"SP","RP")</f>
        <v>SP</v>
      </c>
      <c r="BC169" s="47"/>
      <c r="BD169" s="47"/>
      <c r="BE169" s="47"/>
      <c r="BF169" s="47" t="str">
        <f>IF(AVERAGE($O169:$Q169)&gt;=6,"Likely",IF(AVERAGE($O169:$Q169)&gt;=4,"Possible","Unlikely"))</f>
        <v>Unlikely</v>
      </c>
      <c r="BG169" s="47"/>
      <c r="BH169" s="47" t="str">
        <f>INDEX(Table5[[#All],[Ovr]],MATCH(Table3[[#This Row],[PID]],Table5[[#All],[PID]],0))</f>
        <v/>
      </c>
      <c r="BI169" s="47" t="str">
        <f>INDEX(Table5[[#All],[Rnd]],MATCH(Table3[[#This Row],[PID]],Table5[[#All],[PID]],0))</f>
        <v/>
      </c>
      <c r="BJ169" s="47" t="str">
        <f>INDEX(Table5[[#All],[Pick]],MATCH(Table3[[#This Row],[PID]],Table5[[#All],[PID]],0))</f>
        <v/>
      </c>
      <c r="BK169" s="47" t="str">
        <f>INDEX(Table5[[#All],[Team]],MATCH(Table3[[#This Row],[PID]],Table5[[#All],[PID]],0))</f>
        <v/>
      </c>
      <c r="BL1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0" spans="1:64" ht="15" customHeight="1" x14ac:dyDescent="0.25">
      <c r="A170" s="42">
        <v>8489</v>
      </c>
      <c r="B170" s="42" t="s">
        <v>430</v>
      </c>
      <c r="C170" s="42" t="s">
        <v>1488</v>
      </c>
      <c r="D170" s="42" t="s">
        <v>1489</v>
      </c>
      <c r="E170" s="42">
        <v>18</v>
      </c>
      <c r="F170" s="42" t="s">
        <v>53</v>
      </c>
      <c r="G170" s="42" t="s">
        <v>53</v>
      </c>
      <c r="H170" s="43" t="s">
        <v>721</v>
      </c>
      <c r="I170" s="44" t="s">
        <v>43</v>
      </c>
      <c r="J170" s="42" t="s">
        <v>43</v>
      </c>
      <c r="K170" s="43" t="s">
        <v>44</v>
      </c>
      <c r="L170" s="42">
        <v>1</v>
      </c>
      <c r="M170" s="42">
        <v>2</v>
      </c>
      <c r="N170" s="43">
        <v>1</v>
      </c>
      <c r="O170" s="42">
        <v>6</v>
      </c>
      <c r="P170" s="42">
        <v>2</v>
      </c>
      <c r="Q170" s="43">
        <v>3</v>
      </c>
      <c r="R170" s="42">
        <v>3</v>
      </c>
      <c r="S170" s="42">
        <v>7</v>
      </c>
      <c r="T170" s="42" t="s">
        <v>45</v>
      </c>
      <c r="U170" s="42" t="s">
        <v>45</v>
      </c>
      <c r="V170" s="42" t="s">
        <v>45</v>
      </c>
      <c r="W170" s="42" t="s">
        <v>45</v>
      </c>
      <c r="X170" s="42" t="s">
        <v>45</v>
      </c>
      <c r="Y170" s="42" t="s">
        <v>45</v>
      </c>
      <c r="Z170" s="42" t="s">
        <v>45</v>
      </c>
      <c r="AA170" s="42" t="s">
        <v>45</v>
      </c>
      <c r="AB170" s="42">
        <v>3</v>
      </c>
      <c r="AC170" s="42">
        <v>5</v>
      </c>
      <c r="AD170" s="42" t="s">
        <v>45</v>
      </c>
      <c r="AE170" s="42" t="s">
        <v>45</v>
      </c>
      <c r="AF170" s="42" t="s">
        <v>45</v>
      </c>
      <c r="AG170" s="42" t="s">
        <v>45</v>
      </c>
      <c r="AH170" s="42" t="s">
        <v>45</v>
      </c>
      <c r="AI170" s="42" t="s">
        <v>45</v>
      </c>
      <c r="AJ170" s="42" t="s">
        <v>45</v>
      </c>
      <c r="AK170" s="42" t="s">
        <v>45</v>
      </c>
      <c r="AL170" s="42" t="s">
        <v>45</v>
      </c>
      <c r="AM170" s="42" t="s">
        <v>45</v>
      </c>
      <c r="AN170" s="42" t="s">
        <v>45</v>
      </c>
      <c r="AO170" s="43" t="s">
        <v>45</v>
      </c>
      <c r="AP170" s="42" t="s">
        <v>64</v>
      </c>
      <c r="AQ170" s="42">
        <v>2</v>
      </c>
      <c r="AR170" s="50" t="s">
        <v>353</v>
      </c>
      <c r="AS170" s="45" t="s">
        <v>718</v>
      </c>
      <c r="AT170" s="45" t="s">
        <v>47</v>
      </c>
      <c r="AU170" s="46">
        <f>($O$3*(L170-$O$1)/$O$2+$P$3*(M170-$P$1)/$P$2+$Q$3*(N170-$P$1)/$Q$2)/SUM($O$3:$Q$3)</f>
        <v>-2.5060525215375429</v>
      </c>
      <c r="AV170" s="46">
        <f>($O$3*(O170-$O$1)/$O$2+$P$3*(P170-$P$1)/$P$2+$Q$3*(Q170-$Q$1)/$Q$2)/SUM($O$3:$Q$3)</f>
        <v>-0.60246001614638267</v>
      </c>
      <c r="AW170" s="47">
        <f>COUNT(R170:AO170)/2</f>
        <v>2</v>
      </c>
      <c r="AX170" s="47">
        <f>IF(AND(S170&lt;&gt;"-",S170&gt;5),1,0)+IF(AND(U170&lt;&gt;"-",U170&gt;5),1,0)+IF(AND(W170&lt;&gt;"-",W170&gt;5),1,0)+IF(AND(Y170&lt;&gt;"-",Y170&gt;5),1,0)+IF(AND(AA170&lt;&gt;"-",AA170&gt;5),1,0)+IF(AND(AC170&lt;&gt;"-",AC170&gt;5),1,0)+IF(AND(AE170&lt;&gt;"-",AE170&gt;5),1,0)+IF(AND(AG170&lt;&gt;"-",AG170&gt;5),1,0)+IF(AND(AI170&lt;&gt;"-",AI170&gt;5),1,0)+IF(AND(AK170&lt;&gt;"-",AK170&gt;5),1,0)+IF(AND(AM170&lt;&gt;"-",AM170&gt;5),1,0)+IF(AND(AO170&lt;&gt;"-",AO170&gt;5),1,0)</f>
        <v>1</v>
      </c>
      <c r="AY170" s="48">
        <f>VLOOKUP(AP170,COND!$A$10:$B$32,2,FALSE)</f>
        <v>1</v>
      </c>
      <c r="AZ170" s="46">
        <f>($AU$3*AU170+$AV$3*AV170+$AW$3*AW170+$AX$3*AX170)*AY170*IF(AQ170&lt;5,0.95,IF(AQ170&lt;7,0.975,1))+$I$3*VLOOKUP(I170,COND!$A$2:$E$7,4,FALSE)+$J$3*VLOOKUP(J170,COND!$A$2:$E$7,2,FALSE)+$K$3*VLOOKUP(K170,COND!$A$2:$E$7,3,FALSE)+IF(BB170="SP",$BB$3,0)+IF($AW170&lt;3,-5,0)+IF(AND($B$2&gt;0,$E170&lt;20),$B$2*25,0)</f>
        <v>34.914609714126598</v>
      </c>
      <c r="BA170" s="49">
        <f>STANDARDIZE(AZ170,AVERAGE($AZ$5:$AZ$570),STDEVP($AZ$5:$AZ$570))</f>
        <v>0.20104867780669286</v>
      </c>
      <c r="BB170" s="47" t="str">
        <f>IF(OR(AND(AQ170&gt;7,AX170&gt;1),AND(AQ170&gt;4,AW170&gt;2)),"SP","RP")</f>
        <v>RP</v>
      </c>
      <c r="BC170" s="47"/>
      <c r="BD170" s="47"/>
      <c r="BE170" s="47"/>
      <c r="BF170" s="47" t="str">
        <f>IF(AVERAGE($O170:$Q170)&gt;=6,"Likely",IF(AVERAGE($O170:$Q170)&gt;=4,"Possible","Unlikely"))</f>
        <v>Unlikely</v>
      </c>
      <c r="BG170" s="47"/>
      <c r="BH170" s="47" t="str">
        <f>INDEX(Table5[[#All],[Ovr]],MATCH(Table3[[#This Row],[PID]],Table5[[#All],[PID]],0))</f>
        <v/>
      </c>
      <c r="BI170" s="47" t="str">
        <f>INDEX(Table5[[#All],[Rnd]],MATCH(Table3[[#This Row],[PID]],Table5[[#All],[PID]],0))</f>
        <v/>
      </c>
      <c r="BJ170" s="47" t="str">
        <f>INDEX(Table5[[#All],[Pick]],MATCH(Table3[[#This Row],[PID]],Table5[[#All],[PID]],0))</f>
        <v/>
      </c>
      <c r="BK170" s="47" t="str">
        <f>INDEX(Table5[[#All],[Team]],MATCH(Table3[[#This Row],[PID]],Table5[[#All],[PID]],0))</f>
        <v/>
      </c>
      <c r="BL1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1" spans="1:64" ht="15" customHeight="1" x14ac:dyDescent="0.25">
      <c r="A171" s="42">
        <v>17853</v>
      </c>
      <c r="B171" s="42" t="s">
        <v>430</v>
      </c>
      <c r="C171" s="42" t="s">
        <v>1587</v>
      </c>
      <c r="D171" s="42" t="s">
        <v>1588</v>
      </c>
      <c r="E171" s="42">
        <v>18</v>
      </c>
      <c r="F171" s="42" t="s">
        <v>53</v>
      </c>
      <c r="G171" s="42" t="s">
        <v>53</v>
      </c>
      <c r="H171" s="43" t="s">
        <v>721</v>
      </c>
      <c r="I171" s="44" t="s">
        <v>43</v>
      </c>
      <c r="J171" s="42" t="s">
        <v>47</v>
      </c>
      <c r="K171" s="43" t="s">
        <v>43</v>
      </c>
      <c r="L171" s="42">
        <v>1</v>
      </c>
      <c r="M171" s="42">
        <v>2</v>
      </c>
      <c r="N171" s="43">
        <v>1</v>
      </c>
      <c r="O171" s="42">
        <v>4</v>
      </c>
      <c r="P171" s="42">
        <v>3</v>
      </c>
      <c r="Q171" s="43">
        <v>2</v>
      </c>
      <c r="R171" s="42">
        <v>2</v>
      </c>
      <c r="S171" s="42">
        <v>4</v>
      </c>
      <c r="T171" s="42" t="s">
        <v>45</v>
      </c>
      <c r="U171" s="42" t="s">
        <v>45</v>
      </c>
      <c r="V171" s="42" t="s">
        <v>45</v>
      </c>
      <c r="W171" s="42" t="s">
        <v>45</v>
      </c>
      <c r="X171" s="42" t="s">
        <v>45</v>
      </c>
      <c r="Y171" s="42" t="s">
        <v>45</v>
      </c>
      <c r="Z171" s="42">
        <v>2</v>
      </c>
      <c r="AA171" s="42">
        <v>4</v>
      </c>
      <c r="AB171" s="42" t="s">
        <v>45</v>
      </c>
      <c r="AC171" s="42" t="s">
        <v>45</v>
      </c>
      <c r="AD171" s="42" t="s">
        <v>45</v>
      </c>
      <c r="AE171" s="42" t="s">
        <v>45</v>
      </c>
      <c r="AF171" s="42" t="s">
        <v>45</v>
      </c>
      <c r="AG171" s="42" t="s">
        <v>45</v>
      </c>
      <c r="AH171" s="42">
        <v>1</v>
      </c>
      <c r="AI171" s="42">
        <v>5</v>
      </c>
      <c r="AJ171" s="42" t="s">
        <v>45</v>
      </c>
      <c r="AK171" s="42" t="s">
        <v>45</v>
      </c>
      <c r="AL171" s="42" t="s">
        <v>45</v>
      </c>
      <c r="AM171" s="42" t="s">
        <v>45</v>
      </c>
      <c r="AN171" s="42" t="s">
        <v>45</v>
      </c>
      <c r="AO171" s="43" t="s">
        <v>45</v>
      </c>
      <c r="AP171" s="42" t="s">
        <v>65</v>
      </c>
      <c r="AQ171" s="42">
        <v>8</v>
      </c>
      <c r="AR171" s="50" t="s">
        <v>353</v>
      </c>
      <c r="AS171" s="45" t="s">
        <v>718</v>
      </c>
      <c r="AT171" s="45" t="s">
        <v>47</v>
      </c>
      <c r="AU171" s="46">
        <f>($O$3*(L171-$O$1)/$O$2+$P$3*(M171-$P$1)/$P$2+$Q$3*(N171-$P$1)/$Q$2)/SUM($O$3:$Q$3)</f>
        <v>-2.5060525215375429</v>
      </c>
      <c r="AV171" s="46">
        <f>($O$3*(O171-$O$1)/$O$2+$P$3*(P171-$P$1)/$P$2+$Q$3*(Q171-$Q$1)/$Q$2)/SUM($O$3:$Q$3)</f>
        <v>-1.0387315147887846</v>
      </c>
      <c r="AW171" s="47">
        <f>COUNT(R171:AO171)/2</f>
        <v>3</v>
      </c>
      <c r="AX171" s="47">
        <f>IF(AND(S171&lt;&gt;"-",S171&gt;5),1,0)+IF(AND(U171&lt;&gt;"-",U171&gt;5),1,0)+IF(AND(W171&lt;&gt;"-",W171&gt;5),1,0)+IF(AND(Y171&lt;&gt;"-",Y171&gt;5),1,0)+IF(AND(AA171&lt;&gt;"-",AA171&gt;5),1,0)+IF(AND(AC171&lt;&gt;"-",AC171&gt;5),1,0)+IF(AND(AE171&lt;&gt;"-",AE171&gt;5),1,0)+IF(AND(AG171&lt;&gt;"-",AG171&gt;5),1,0)+IF(AND(AI171&lt;&gt;"-",AI171&gt;5),1,0)+IF(AND(AK171&lt;&gt;"-",AK171&gt;5),1,0)+IF(AND(AM171&lt;&gt;"-",AM171&gt;5),1,0)+IF(AND(AO171&lt;&gt;"-",AO171&gt;5),1,0)</f>
        <v>0</v>
      </c>
      <c r="AY171" s="48">
        <f>VLOOKUP(AP171,COND!$A$10:$B$32,2,FALSE)</f>
        <v>0.95</v>
      </c>
      <c r="AZ171" s="46">
        <f>($AU$3*AU171+$AV$3*AV171+$AW$3*AW171+$AX$3*AX171)*AY171*IF(AQ171&lt;5,0.95,IF(AQ171&lt;7,0.975,1))+$I$3*VLOOKUP(I171,COND!$A$2:$E$7,4,FALSE)+$J$3*VLOOKUP(J171,COND!$A$2:$E$7,2,FALSE)+$K$3*VLOOKUP(K171,COND!$A$2:$E$7,3,FALSE)+IF(BB171="SP",$BB$3,0)+IF($AW171&lt;3,-5,0)+IF(AND($B$2&gt;0,$E171&lt;20),$B$2*25,0)</f>
        <v>33.512951239920966</v>
      </c>
      <c r="BA171" s="49">
        <f>STANDARDIZE(AZ171,AVERAGE($AZ$5:$AZ$570),STDEVP($AZ$5:$AZ$570))</f>
        <v>7.2510604907808196E-2</v>
      </c>
      <c r="BB171" s="47" t="str">
        <f>IF(OR(AND(AQ171&gt;7,AX171&gt;1),AND(AQ171&gt;4,AW171&gt;2)),"SP","RP")</f>
        <v>SP</v>
      </c>
      <c r="BC171" s="47"/>
      <c r="BD171" s="47"/>
      <c r="BE171" s="47"/>
      <c r="BF171" s="47" t="str">
        <f>IF(AVERAGE($O171:$Q171)&gt;=6,"Likely",IF(AVERAGE($O171:$Q171)&gt;=4,"Possible","Unlikely"))</f>
        <v>Unlikely</v>
      </c>
      <c r="BG171" s="47"/>
      <c r="BH171" s="47" t="str">
        <f>INDEX(Table5[[#All],[Ovr]],MATCH(Table3[[#This Row],[PID]],Table5[[#All],[PID]],0))</f>
        <v/>
      </c>
      <c r="BI171" s="47" t="str">
        <f>INDEX(Table5[[#All],[Rnd]],MATCH(Table3[[#This Row],[PID]],Table5[[#All],[PID]],0))</f>
        <v/>
      </c>
      <c r="BJ171" s="47" t="str">
        <f>INDEX(Table5[[#All],[Pick]],MATCH(Table3[[#This Row],[PID]],Table5[[#All],[PID]],0))</f>
        <v/>
      </c>
      <c r="BK171" s="47" t="str">
        <f>INDEX(Table5[[#All],[Team]],MATCH(Table3[[#This Row],[PID]],Table5[[#All],[PID]],0))</f>
        <v/>
      </c>
      <c r="BL1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2" spans="1:64" ht="15" customHeight="1" x14ac:dyDescent="0.25">
      <c r="A172" s="42">
        <v>7188</v>
      </c>
      <c r="B172" s="42" t="s">
        <v>24</v>
      </c>
      <c r="C172" s="42" t="s">
        <v>187</v>
      </c>
      <c r="D172" s="42" t="s">
        <v>1495</v>
      </c>
      <c r="E172" s="42">
        <v>21</v>
      </c>
      <c r="F172" s="42" t="s">
        <v>42</v>
      </c>
      <c r="G172" s="42" t="s">
        <v>42</v>
      </c>
      <c r="H172" s="43" t="s">
        <v>721</v>
      </c>
      <c r="I172" s="44" t="s">
        <v>43</v>
      </c>
      <c r="J172" s="42" t="s">
        <v>44</v>
      </c>
      <c r="K172" s="43" t="s">
        <v>43</v>
      </c>
      <c r="L172" s="42">
        <v>3</v>
      </c>
      <c r="M172" s="42">
        <v>2</v>
      </c>
      <c r="N172" s="43">
        <v>2</v>
      </c>
      <c r="O172" s="42">
        <v>5</v>
      </c>
      <c r="P172" s="42">
        <v>2</v>
      </c>
      <c r="Q172" s="43">
        <v>3</v>
      </c>
      <c r="R172" s="42">
        <v>6</v>
      </c>
      <c r="S172" s="42">
        <v>7</v>
      </c>
      <c r="T172" s="42">
        <v>2</v>
      </c>
      <c r="U172" s="42">
        <v>5</v>
      </c>
      <c r="V172" s="42">
        <v>3</v>
      </c>
      <c r="W172" s="42">
        <v>5</v>
      </c>
      <c r="X172" s="42">
        <v>4</v>
      </c>
      <c r="Y172" s="42">
        <v>6</v>
      </c>
      <c r="Z172" s="42" t="s">
        <v>45</v>
      </c>
      <c r="AA172" s="42" t="s">
        <v>45</v>
      </c>
      <c r="AB172" s="42" t="s">
        <v>45</v>
      </c>
      <c r="AC172" s="42" t="s">
        <v>45</v>
      </c>
      <c r="AD172" s="42" t="s">
        <v>45</v>
      </c>
      <c r="AE172" s="42" t="s">
        <v>45</v>
      </c>
      <c r="AF172" s="42" t="s">
        <v>45</v>
      </c>
      <c r="AG172" s="42" t="s">
        <v>45</v>
      </c>
      <c r="AH172" s="42" t="s">
        <v>45</v>
      </c>
      <c r="AI172" s="42" t="s">
        <v>45</v>
      </c>
      <c r="AJ172" s="42" t="s">
        <v>45</v>
      </c>
      <c r="AK172" s="42" t="s">
        <v>45</v>
      </c>
      <c r="AL172" s="42" t="s">
        <v>45</v>
      </c>
      <c r="AM172" s="42" t="s">
        <v>45</v>
      </c>
      <c r="AN172" s="42" t="s">
        <v>45</v>
      </c>
      <c r="AO172" s="43" t="s">
        <v>45</v>
      </c>
      <c r="AP172" s="42" t="s">
        <v>54</v>
      </c>
      <c r="AQ172" s="42">
        <v>6</v>
      </c>
      <c r="AR172" s="50" t="s">
        <v>353</v>
      </c>
      <c r="AS172" s="45" t="s">
        <v>45</v>
      </c>
      <c r="AT172" s="45" t="s">
        <v>47</v>
      </c>
      <c r="AU172" s="46">
        <f>($O$3*(L172-$O$1)/$O$2+$P$3*(M172-$P$1)/$P$2+$Q$3*(N172-$P$1)/$Q$2)/SUM($O$3:$Q$3)</f>
        <v>-1.8743493064650851</v>
      </c>
      <c r="AV172" s="46">
        <f>($O$3*(O172-$O$1)/$O$2+$P$3*(P172-$P$1)/$P$2+$Q$3*(Q172-$Q$1)/$Q$2)/SUM($O$3:$Q$3)</f>
        <v>-0.79715134065555615</v>
      </c>
      <c r="AW172" s="47">
        <f>COUNT(R172:AO172)/2</f>
        <v>4</v>
      </c>
      <c r="AX172" s="47">
        <f>IF(AND(S172&lt;&gt;"-",S172&gt;5),1,0)+IF(AND(U172&lt;&gt;"-",U172&gt;5),1,0)+IF(AND(W172&lt;&gt;"-",W172&gt;5),1,0)+IF(AND(Y172&lt;&gt;"-",Y172&gt;5),1,0)+IF(AND(AA172&lt;&gt;"-",AA172&gt;5),1,0)+IF(AND(AC172&lt;&gt;"-",AC172&gt;5),1,0)+IF(AND(AE172&lt;&gt;"-",AE172&gt;5),1,0)+IF(AND(AG172&lt;&gt;"-",AG172&gt;5),1,0)+IF(AND(AI172&lt;&gt;"-",AI172&gt;5),1,0)+IF(AND(AK172&lt;&gt;"-",AK172&gt;5),1,0)+IF(AND(AM172&lt;&gt;"-",AM172&gt;5),1,0)+IF(AND(AO172&lt;&gt;"-",AO172&gt;5),1,0)</f>
        <v>2</v>
      </c>
      <c r="AY172" s="48">
        <f>VLOOKUP(AP172,COND!$A$10:$B$32,2,FALSE)</f>
        <v>1.0249999999999999</v>
      </c>
      <c r="AZ172" s="46">
        <f>($AU$3*AU172+$AV$3*AV172+$AW$3*AW172+$AX$3*AX172)*AY172*IF(AQ172&lt;5,0.95,IF(AQ172&lt;7,0.975,1))+$I$3*VLOOKUP(I172,COND!$A$2:$E$7,4,FALSE)+$J$3*VLOOKUP(J172,COND!$A$2:$E$7,2,FALSE)+$K$3*VLOOKUP(K172,COND!$A$2:$E$7,3,FALSE)+IF(BB172="SP",$BB$3,0)+IF($AW172&lt;3,-5,0)+IF(AND($B$2&gt;0,$E172&lt;20),$B$2*25,0)</f>
        <v>34.889489511017359</v>
      </c>
      <c r="BA172" s="49">
        <f>STANDARDIZE(AZ172,AVERAGE($AZ$5:$AZ$570),STDEVP($AZ$5:$AZ$570))</f>
        <v>0.19874504781557104</v>
      </c>
      <c r="BB172" s="47" t="str">
        <f>IF(OR(AND(AQ172&gt;7,AX172&gt;1),AND(AQ172&gt;4,AW172&gt;2)),"SP","RP")</f>
        <v>SP</v>
      </c>
      <c r="BC172" s="47"/>
      <c r="BD172" s="47"/>
      <c r="BE172" s="47"/>
      <c r="BF172" s="47" t="str">
        <f>IF(AVERAGE($O172:$Q172)&gt;=6,"Likely",IF(AVERAGE($O172:$Q172)&gt;=4,"Possible","Unlikely"))</f>
        <v>Unlikely</v>
      </c>
      <c r="BG172" s="47"/>
      <c r="BH172" s="47" t="str">
        <f>INDEX(Table5[[#All],[Ovr]],MATCH(Table3[[#This Row],[PID]],Table5[[#All],[PID]],0))</f>
        <v/>
      </c>
      <c r="BI172" s="47" t="str">
        <f>INDEX(Table5[[#All],[Rnd]],MATCH(Table3[[#This Row],[PID]],Table5[[#All],[PID]],0))</f>
        <v/>
      </c>
      <c r="BJ172" s="47" t="str">
        <f>INDEX(Table5[[#All],[Pick]],MATCH(Table3[[#This Row],[PID]],Table5[[#All],[PID]],0))</f>
        <v/>
      </c>
      <c r="BK172" s="47" t="str">
        <f>INDEX(Table5[[#All],[Team]],MATCH(Table3[[#This Row],[PID]],Table5[[#All],[PID]],0))</f>
        <v/>
      </c>
      <c r="BL1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3" spans="1:64" ht="15" customHeight="1" x14ac:dyDescent="0.25">
      <c r="A173" s="42">
        <v>8160</v>
      </c>
      <c r="B173" s="42" t="s">
        <v>430</v>
      </c>
      <c r="C173" s="42" t="s">
        <v>172</v>
      </c>
      <c r="D173" s="42" t="s">
        <v>1402</v>
      </c>
      <c r="E173" s="42">
        <v>18</v>
      </c>
      <c r="F173" s="42" t="s">
        <v>42</v>
      </c>
      <c r="G173" s="42" t="s">
        <v>42</v>
      </c>
      <c r="H173" s="43" t="s">
        <v>721</v>
      </c>
      <c r="I173" s="44" t="s">
        <v>43</v>
      </c>
      <c r="J173" s="42" t="s">
        <v>44</v>
      </c>
      <c r="K173" s="43" t="s">
        <v>43</v>
      </c>
      <c r="L173" s="42">
        <v>2</v>
      </c>
      <c r="M173" s="42">
        <v>2</v>
      </c>
      <c r="N173" s="43">
        <v>1</v>
      </c>
      <c r="O173" s="42">
        <v>5</v>
      </c>
      <c r="P173" s="42">
        <v>2</v>
      </c>
      <c r="Q173" s="43">
        <v>2</v>
      </c>
      <c r="R173" s="42" t="s">
        <v>45</v>
      </c>
      <c r="S173" s="42" t="s">
        <v>45</v>
      </c>
      <c r="T173" s="42">
        <v>1</v>
      </c>
      <c r="U173" s="42">
        <v>1</v>
      </c>
      <c r="V173" s="42" t="s">
        <v>45</v>
      </c>
      <c r="W173" s="42" t="s">
        <v>45</v>
      </c>
      <c r="X173" s="42">
        <v>2</v>
      </c>
      <c r="Y173" s="42">
        <v>6</v>
      </c>
      <c r="Z173" s="42" t="s">
        <v>45</v>
      </c>
      <c r="AA173" s="42" t="s">
        <v>45</v>
      </c>
      <c r="AB173" s="42" t="s">
        <v>45</v>
      </c>
      <c r="AC173" s="42" t="s">
        <v>45</v>
      </c>
      <c r="AD173" s="42">
        <v>3</v>
      </c>
      <c r="AE173" s="42">
        <v>6</v>
      </c>
      <c r="AF173" s="42" t="s">
        <v>45</v>
      </c>
      <c r="AG173" s="42" t="s">
        <v>45</v>
      </c>
      <c r="AH173" s="42" t="s">
        <v>45</v>
      </c>
      <c r="AI173" s="42" t="s">
        <v>45</v>
      </c>
      <c r="AJ173" s="42" t="s">
        <v>45</v>
      </c>
      <c r="AK173" s="42" t="s">
        <v>45</v>
      </c>
      <c r="AL173" s="42" t="s">
        <v>45</v>
      </c>
      <c r="AM173" s="42" t="s">
        <v>45</v>
      </c>
      <c r="AN173" s="42" t="s">
        <v>45</v>
      </c>
      <c r="AO173" s="43" t="s">
        <v>45</v>
      </c>
      <c r="AP173" s="42" t="s">
        <v>57</v>
      </c>
      <c r="AQ173" s="42">
        <v>6</v>
      </c>
      <c r="AR173" s="50" t="s">
        <v>353</v>
      </c>
      <c r="AS173" s="45" t="s">
        <v>758</v>
      </c>
      <c r="AT173" s="45" t="s">
        <v>705</v>
      </c>
      <c r="AU173" s="46">
        <f>($O$3*(L173-$O$1)/$O$2+$P$3*(M173-$P$1)/$P$2+$Q$3*(N173-$P$1)/$Q$2)/SUM($O$3:$Q$3)</f>
        <v>-2.311361197028369</v>
      </c>
      <c r="AV173" s="46">
        <f>($O$3*(O173-$O$1)/$O$2+$P$3*(P173-$P$1)/$P$2+$Q$3*(Q173-$Q$1)/$Q$2)/SUM($O$3:$Q$3)</f>
        <v>-1.0394719067096667</v>
      </c>
      <c r="AW173" s="47">
        <f>COUNT(R173:AO173)/2</f>
        <v>3</v>
      </c>
      <c r="AX173" s="47">
        <f>IF(AND(S173&lt;&gt;"-",S173&gt;5),1,0)+IF(AND(U173&lt;&gt;"-",U173&gt;5),1,0)+IF(AND(W173&lt;&gt;"-",W173&gt;5),1,0)+IF(AND(Y173&lt;&gt;"-",Y173&gt;5),1,0)+IF(AND(AA173&lt;&gt;"-",AA173&gt;5),1,0)+IF(AND(AC173&lt;&gt;"-",AC173&gt;5),1,0)+IF(AND(AE173&lt;&gt;"-",AE173&gt;5),1,0)+IF(AND(AG173&lt;&gt;"-",AG173&gt;5),1,0)+IF(AND(AI173&lt;&gt;"-",AI173&gt;5),1,0)+IF(AND(AK173&lt;&gt;"-",AK173&gt;5),1,0)+IF(AND(AM173&lt;&gt;"-",AM173&gt;5),1,0)+IF(AND(AO173&lt;&gt;"-",AO173&gt;5),1,0)</f>
        <v>2</v>
      </c>
      <c r="AY173" s="48">
        <f>VLOOKUP(AP173,COND!$A$10:$B$32,2,FALSE)</f>
        <v>1</v>
      </c>
      <c r="AZ173" s="46">
        <f>($AU$3*AU173+$AV$3*AV173+$AW$3*AW173+$AX$3*AX173)*AY173*IF(AQ173&lt;5,0.95,IF(AQ173&lt;7,0.975,1))+$I$3*VLOOKUP(I173,COND!$A$2:$E$7,4,FALSE)+$J$3*VLOOKUP(J173,COND!$A$2:$E$7,2,FALSE)+$K$3*VLOOKUP(K173,COND!$A$2:$E$7,3,FALSE)+IF(BB173="SP",$BB$3,0)+IF($AW173&lt;3,-5,0)+IF(AND($B$2&gt;0,$E173&lt;20),$B$2*25,0)</f>
        <v>34.879582385740967</v>
      </c>
      <c r="BA173" s="49">
        <f>STANDARDIZE(AZ173,AVERAGE($AZ$5:$AZ$570),STDEVP($AZ$5:$AZ$570))</f>
        <v>0.1978365220837825</v>
      </c>
      <c r="BB173" s="47" t="str">
        <f>IF(OR(AND(AQ173&gt;7,AX173&gt;1),AND(AQ173&gt;4,AW173&gt;2)),"SP","RP")</f>
        <v>SP</v>
      </c>
      <c r="BC173" s="47"/>
      <c r="BD173" s="47"/>
      <c r="BE173" s="47"/>
      <c r="BF173" s="47" t="str">
        <f>IF(AVERAGE($O173:$Q173)&gt;=6,"Likely",IF(AVERAGE($O173:$Q173)&gt;=4,"Possible","Unlikely"))</f>
        <v>Unlikely</v>
      </c>
      <c r="BG173" s="47"/>
      <c r="BH173" s="47" t="str">
        <f>INDEX(Table5[[#All],[Ovr]],MATCH(Table3[[#This Row],[PID]],Table5[[#All],[PID]],0))</f>
        <v/>
      </c>
      <c r="BI173" s="47" t="str">
        <f>INDEX(Table5[[#All],[Rnd]],MATCH(Table3[[#This Row],[PID]],Table5[[#All],[PID]],0))</f>
        <v/>
      </c>
      <c r="BJ173" s="47" t="str">
        <f>INDEX(Table5[[#All],[Pick]],MATCH(Table3[[#This Row],[PID]],Table5[[#All],[PID]],0))</f>
        <v/>
      </c>
      <c r="BK173" s="47" t="str">
        <f>INDEX(Table5[[#All],[Team]],MATCH(Table3[[#This Row],[PID]],Table5[[#All],[PID]],0))</f>
        <v/>
      </c>
      <c r="BL1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4" spans="1:64" ht="15" customHeight="1" x14ac:dyDescent="0.25">
      <c r="A174" s="42">
        <v>9368</v>
      </c>
      <c r="B174" s="42" t="s">
        <v>49</v>
      </c>
      <c r="C174" s="42" t="s">
        <v>418</v>
      </c>
      <c r="D174" s="42" t="s">
        <v>800</v>
      </c>
      <c r="E174" s="42">
        <v>21</v>
      </c>
      <c r="F174" s="42" t="s">
        <v>42</v>
      </c>
      <c r="G174" s="42" t="s">
        <v>42</v>
      </c>
      <c r="H174" s="43" t="s">
        <v>721</v>
      </c>
      <c r="I174" s="44" t="s">
        <v>43</v>
      </c>
      <c r="J174" s="42" t="s">
        <v>43</v>
      </c>
      <c r="K174" s="43" t="s">
        <v>43</v>
      </c>
      <c r="L174" s="42">
        <v>2</v>
      </c>
      <c r="M174" s="42">
        <v>2</v>
      </c>
      <c r="N174" s="43">
        <v>1</v>
      </c>
      <c r="O174" s="42">
        <v>4</v>
      </c>
      <c r="P174" s="42">
        <v>4</v>
      </c>
      <c r="Q174" s="43">
        <v>2</v>
      </c>
      <c r="R174" s="42">
        <v>3</v>
      </c>
      <c r="S174" s="42">
        <v>4</v>
      </c>
      <c r="T174" s="42">
        <v>3</v>
      </c>
      <c r="U174" s="42">
        <v>6</v>
      </c>
      <c r="V174" s="42" t="s">
        <v>45</v>
      </c>
      <c r="W174" s="42" t="s">
        <v>45</v>
      </c>
      <c r="X174" s="42">
        <v>3</v>
      </c>
      <c r="Y174" s="42">
        <v>6</v>
      </c>
      <c r="Z174" s="42" t="s">
        <v>45</v>
      </c>
      <c r="AA174" s="42" t="s">
        <v>45</v>
      </c>
      <c r="AB174" s="42" t="s">
        <v>45</v>
      </c>
      <c r="AC174" s="42" t="s">
        <v>45</v>
      </c>
      <c r="AD174" s="42" t="s">
        <v>45</v>
      </c>
      <c r="AE174" s="42" t="s">
        <v>45</v>
      </c>
      <c r="AF174" s="42">
        <v>2</v>
      </c>
      <c r="AG174" s="42">
        <v>3</v>
      </c>
      <c r="AH174" s="42" t="s">
        <v>45</v>
      </c>
      <c r="AI174" s="42" t="s">
        <v>45</v>
      </c>
      <c r="AJ174" s="42" t="s">
        <v>45</v>
      </c>
      <c r="AK174" s="42" t="s">
        <v>45</v>
      </c>
      <c r="AL174" s="42" t="s">
        <v>45</v>
      </c>
      <c r="AM174" s="42" t="s">
        <v>45</v>
      </c>
      <c r="AN174" s="42" t="s">
        <v>45</v>
      </c>
      <c r="AO174" s="43" t="s">
        <v>45</v>
      </c>
      <c r="AP174" s="42" t="s">
        <v>64</v>
      </c>
      <c r="AQ174" s="42">
        <v>9</v>
      </c>
      <c r="AR174" s="50" t="s">
        <v>14</v>
      </c>
      <c r="AS174" s="45" t="s">
        <v>45</v>
      </c>
      <c r="AT174" s="45" t="s">
        <v>47</v>
      </c>
      <c r="AU174" s="46">
        <f>($O$3*(L174-$O$1)/$O$2+$P$3*(M174-$P$1)/$P$2+$Q$3*(N174-$P$1)/$Q$2)/SUM($O$3:$Q$3)</f>
        <v>-2.311361197028369</v>
      </c>
      <c r="AV174" s="46">
        <f>($O$3*(O174-$O$1)/$O$2+$P$3*(P174-$P$1)/$P$2+$Q$3*(Q174-$Q$1)/$Q$2)/SUM($O$3:$Q$3)</f>
        <v>-0.84329979835872926</v>
      </c>
      <c r="AW174" s="47">
        <f>COUNT(R174:AO174)/2</f>
        <v>4</v>
      </c>
      <c r="AX174" s="47">
        <f>IF(AND(S174&lt;&gt;"-",S174&gt;5),1,0)+IF(AND(U174&lt;&gt;"-",U174&gt;5),1,0)+IF(AND(W174&lt;&gt;"-",W174&gt;5),1,0)+IF(AND(Y174&lt;&gt;"-",Y174&gt;5),1,0)+IF(AND(AA174&lt;&gt;"-",AA174&gt;5),1,0)+IF(AND(AC174&lt;&gt;"-",AC174&gt;5),1,0)+IF(AND(AE174&lt;&gt;"-",AE174&gt;5),1,0)+IF(AND(AG174&lt;&gt;"-",AG174&gt;5),1,0)+IF(AND(AI174&lt;&gt;"-",AI174&gt;5),1,0)+IF(AND(AK174&lt;&gt;"-",AK174&gt;5),1,0)+IF(AND(AM174&lt;&gt;"-",AM174&gt;5),1,0)+IF(AND(AO174&lt;&gt;"-",AO174&gt;5),1,0)</f>
        <v>2</v>
      </c>
      <c r="AY174" s="48">
        <f>VLOOKUP(AP174,COND!$A$10:$B$32,2,FALSE)</f>
        <v>1</v>
      </c>
      <c r="AZ174" s="46">
        <f>($AU$3*AU174+$AV$3*AV174+$AW$3*AW174+$AX$3*AX174)*AY174*IF(AQ174&lt;5,0.95,IF(AQ174&lt;7,0.975,1))+$I$3*VLOOKUP(I174,COND!$A$2:$E$7,4,FALSE)+$J$3*VLOOKUP(J174,COND!$A$2:$E$7,2,FALSE)+$K$3*VLOOKUP(K174,COND!$A$2:$E$7,3,FALSE)+IF(BB174="SP",$BB$3,0)+IF($AW174&lt;3,-5,0)+IF(AND($B$2&gt;0,$E174&lt;20),$B$2*25,0)</f>
        <v>34.171731793419738</v>
      </c>
      <c r="BA174" s="49">
        <f>STANDARDIZE(AZ174,AVERAGE($AZ$5:$AZ$570),STDEVP($AZ$5:$AZ$570))</f>
        <v>0.13292359735090878</v>
      </c>
      <c r="BB174" s="47" t="str">
        <f>IF(OR(AND(AQ174&gt;7,AX174&gt;1),AND(AQ174&gt;4,AW174&gt;2)),"SP","RP")</f>
        <v>SP</v>
      </c>
      <c r="BC174" s="47"/>
      <c r="BD174" s="47"/>
      <c r="BE174" s="47"/>
      <c r="BF174" s="47" t="str">
        <f>IF(AVERAGE($O174:$Q174)&gt;=6,"Likely",IF(AVERAGE($O174:$Q174)&gt;=4,"Possible","Unlikely"))</f>
        <v>Unlikely</v>
      </c>
      <c r="BG174" s="47"/>
      <c r="BH174" s="47" t="str">
        <f>INDEX(Table5[[#All],[Ovr]],MATCH(Table3[[#This Row],[PID]],Table5[[#All],[PID]],0))</f>
        <v/>
      </c>
      <c r="BI174" s="47" t="str">
        <f>INDEX(Table5[[#All],[Rnd]],MATCH(Table3[[#This Row],[PID]],Table5[[#All],[PID]],0))</f>
        <v/>
      </c>
      <c r="BJ174" s="47" t="str">
        <f>INDEX(Table5[[#All],[Pick]],MATCH(Table3[[#This Row],[PID]],Table5[[#All],[PID]],0))</f>
        <v/>
      </c>
      <c r="BK174" s="47" t="str">
        <f>INDEX(Table5[[#All],[Team]],MATCH(Table3[[#This Row],[PID]],Table5[[#All],[PID]],0))</f>
        <v/>
      </c>
      <c r="BL1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5" spans="1:64" ht="15" customHeight="1" x14ac:dyDescent="0.25">
      <c r="A175" s="42">
        <v>8737</v>
      </c>
      <c r="B175" s="42" t="s">
        <v>430</v>
      </c>
      <c r="C175" s="42" t="s">
        <v>179</v>
      </c>
      <c r="D175" s="42" t="s">
        <v>1703</v>
      </c>
      <c r="E175" s="42">
        <v>18</v>
      </c>
      <c r="F175" s="42" t="s">
        <v>42</v>
      </c>
      <c r="G175" s="42" t="s">
        <v>42</v>
      </c>
      <c r="H175" s="43" t="s">
        <v>721</v>
      </c>
      <c r="I175" s="44" t="s">
        <v>43</v>
      </c>
      <c r="J175" s="42" t="s">
        <v>43</v>
      </c>
      <c r="K175" s="43" t="s">
        <v>43</v>
      </c>
      <c r="L175" s="42">
        <v>2</v>
      </c>
      <c r="M175" s="42">
        <v>2</v>
      </c>
      <c r="N175" s="43">
        <v>1</v>
      </c>
      <c r="O175" s="42">
        <v>4</v>
      </c>
      <c r="P175" s="42">
        <v>2</v>
      </c>
      <c r="Q175" s="43">
        <v>3</v>
      </c>
      <c r="R175" s="42" t="s">
        <v>45</v>
      </c>
      <c r="S175" s="42" t="s">
        <v>45</v>
      </c>
      <c r="T175" s="42">
        <v>1</v>
      </c>
      <c r="U175" s="42">
        <v>5</v>
      </c>
      <c r="V175" s="42">
        <v>2</v>
      </c>
      <c r="W175" s="42">
        <v>5</v>
      </c>
      <c r="X175" s="42" t="s">
        <v>45</v>
      </c>
      <c r="Y175" s="42" t="s">
        <v>45</v>
      </c>
      <c r="Z175" s="42" t="s">
        <v>45</v>
      </c>
      <c r="AA175" s="42" t="s">
        <v>45</v>
      </c>
      <c r="AB175" s="42">
        <v>3</v>
      </c>
      <c r="AC175" s="42">
        <v>3</v>
      </c>
      <c r="AD175" s="42">
        <v>3</v>
      </c>
      <c r="AE175" s="42">
        <v>5</v>
      </c>
      <c r="AF175" s="42" t="s">
        <v>45</v>
      </c>
      <c r="AG175" s="42" t="s">
        <v>45</v>
      </c>
      <c r="AH175" s="42" t="s">
        <v>45</v>
      </c>
      <c r="AI175" s="42" t="s">
        <v>45</v>
      </c>
      <c r="AJ175" s="42" t="s">
        <v>45</v>
      </c>
      <c r="AK175" s="42" t="s">
        <v>45</v>
      </c>
      <c r="AL175" s="42" t="s">
        <v>45</v>
      </c>
      <c r="AM175" s="42" t="s">
        <v>45</v>
      </c>
      <c r="AN175" s="42" t="s">
        <v>45</v>
      </c>
      <c r="AO175" s="43" t="s">
        <v>45</v>
      </c>
      <c r="AP175" s="42" t="s">
        <v>356</v>
      </c>
      <c r="AQ175" s="42">
        <v>5</v>
      </c>
      <c r="AR175" s="50" t="s">
        <v>353</v>
      </c>
      <c r="AS175" s="45" t="s">
        <v>734</v>
      </c>
      <c r="AT175" s="45" t="s">
        <v>705</v>
      </c>
      <c r="AU175" s="46">
        <f>($O$3*(L175-$O$1)/$O$2+$P$3*(M175-$P$1)/$P$2+$Q$3*(N175-$P$1)/$Q$2)/SUM($O$3:$Q$3)</f>
        <v>-2.311361197028369</v>
      </c>
      <c r="AV175" s="46">
        <f>($O$3*(O175-$O$1)/$O$2+$P$3*(P175-$P$1)/$P$2+$Q$3*(Q175-$Q$1)/$Q$2)/SUM($O$3:$Q$3)</f>
        <v>-0.99184266516472974</v>
      </c>
      <c r="AW175" s="47">
        <f>COUNT(R175:AO175)/2</f>
        <v>4</v>
      </c>
      <c r="AX175" s="47">
        <f>IF(AND(S175&lt;&gt;"-",S175&gt;5),1,0)+IF(AND(U175&lt;&gt;"-",U175&gt;5),1,0)+IF(AND(W175&lt;&gt;"-",W175&gt;5),1,0)+IF(AND(Y175&lt;&gt;"-",Y175&gt;5),1,0)+IF(AND(AA175&lt;&gt;"-",AA175&gt;5),1,0)+IF(AND(AC175&lt;&gt;"-",AC175&gt;5),1,0)+IF(AND(AE175&lt;&gt;"-",AE175&gt;5),1,0)+IF(AND(AG175&lt;&gt;"-",AG175&gt;5),1,0)+IF(AND(AI175&lt;&gt;"-",AI175&gt;5),1,0)+IF(AND(AK175&lt;&gt;"-",AK175&gt;5),1,0)+IF(AND(AM175&lt;&gt;"-",AM175&gt;5),1,0)+IF(AND(AO175&lt;&gt;"-",AO175&gt;5),1,0)</f>
        <v>0</v>
      </c>
      <c r="AY175" s="48">
        <f>VLOOKUP(AP175,COND!$A$10:$B$32,2,FALSE)</f>
        <v>1</v>
      </c>
      <c r="AZ175" s="46">
        <f>($AU$3*AU175+$AV$3*AV175+$AW$3*AW175+$AX$3*AX175)*AY175*IF(AQ175&lt;5,0.95,IF(AQ175&lt;7,0.975,1))+$I$3*VLOOKUP(I175,COND!$A$2:$E$7,4,FALSE)+$J$3*VLOOKUP(J175,COND!$A$2:$E$7,2,FALSE)+$K$3*VLOOKUP(K175,COND!$A$2:$E$7,3,FALSE)+IF(BB175="SP",$BB$3,0)+IF($AW175&lt;3,-5,0)+IF(AND($B$2&gt;0,$E175&lt;20),$B$2*25,0)</f>
        <v>34.158352595867235</v>
      </c>
      <c r="BA175" s="49">
        <f>STANDARDIZE(AZ175,AVERAGE($AZ$5:$AZ$570),STDEVP($AZ$5:$AZ$570))</f>
        <v>0.13169666775145211</v>
      </c>
      <c r="BB175" s="47" t="str">
        <f>IF(OR(AND(AQ175&gt;7,AX175&gt;1),AND(AQ175&gt;4,AW175&gt;2)),"SP","RP")</f>
        <v>SP</v>
      </c>
      <c r="BC175" s="47"/>
      <c r="BD175" s="47"/>
      <c r="BE175" s="47"/>
      <c r="BF175" s="47" t="str">
        <f>IF(AVERAGE($O175:$Q175)&gt;=6,"Likely",IF(AVERAGE($O175:$Q175)&gt;=4,"Possible","Unlikely"))</f>
        <v>Unlikely</v>
      </c>
      <c r="BG175" s="47"/>
      <c r="BH175" s="47" t="str">
        <f>INDEX(Table5[[#All],[Ovr]],MATCH(Table3[[#This Row],[PID]],Table5[[#All],[PID]],0))</f>
        <v/>
      </c>
      <c r="BI175" s="47" t="str">
        <f>INDEX(Table5[[#All],[Rnd]],MATCH(Table3[[#This Row],[PID]],Table5[[#All],[PID]],0))</f>
        <v/>
      </c>
      <c r="BJ175" s="47" t="str">
        <f>INDEX(Table5[[#All],[Pick]],MATCH(Table3[[#This Row],[PID]],Table5[[#All],[PID]],0))</f>
        <v/>
      </c>
      <c r="BK175" s="47" t="str">
        <f>INDEX(Table5[[#All],[Team]],MATCH(Table3[[#This Row],[PID]],Table5[[#All],[PID]],0))</f>
        <v/>
      </c>
      <c r="BL1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6" spans="1:64" ht="15" customHeight="1" x14ac:dyDescent="0.25">
      <c r="A176" s="42">
        <v>12164</v>
      </c>
      <c r="B176" s="42" t="s">
        <v>24</v>
      </c>
      <c r="C176" s="42" t="s">
        <v>129</v>
      </c>
      <c r="D176" s="42" t="s">
        <v>944</v>
      </c>
      <c r="E176" s="42">
        <v>21</v>
      </c>
      <c r="F176" s="42" t="s">
        <v>42</v>
      </c>
      <c r="G176" s="42" t="s">
        <v>42</v>
      </c>
      <c r="H176" s="43" t="s">
        <v>721</v>
      </c>
      <c r="I176" s="44" t="s">
        <v>43</v>
      </c>
      <c r="J176" s="42" t="s">
        <v>44</v>
      </c>
      <c r="K176" s="43" t="s">
        <v>43</v>
      </c>
      <c r="L176" s="42">
        <v>2</v>
      </c>
      <c r="M176" s="42">
        <v>2</v>
      </c>
      <c r="N176" s="43">
        <v>1</v>
      </c>
      <c r="O176" s="42">
        <v>5</v>
      </c>
      <c r="P176" s="42">
        <v>3</v>
      </c>
      <c r="Q176" s="43">
        <v>2</v>
      </c>
      <c r="R176" s="42">
        <v>4</v>
      </c>
      <c r="S176" s="42">
        <v>6</v>
      </c>
      <c r="T176" s="42" t="s">
        <v>45</v>
      </c>
      <c r="U176" s="42" t="s">
        <v>45</v>
      </c>
      <c r="V176" s="42">
        <v>2</v>
      </c>
      <c r="W176" s="42">
        <v>7</v>
      </c>
      <c r="X176" s="42">
        <v>3</v>
      </c>
      <c r="Y176" s="42">
        <v>7</v>
      </c>
      <c r="Z176" s="42" t="s">
        <v>45</v>
      </c>
      <c r="AA176" s="42" t="s">
        <v>45</v>
      </c>
      <c r="AB176" s="42" t="s">
        <v>45</v>
      </c>
      <c r="AC176" s="42" t="s">
        <v>45</v>
      </c>
      <c r="AD176" s="42" t="s">
        <v>45</v>
      </c>
      <c r="AE176" s="42" t="s">
        <v>45</v>
      </c>
      <c r="AF176" s="42" t="s">
        <v>45</v>
      </c>
      <c r="AG176" s="42" t="s">
        <v>45</v>
      </c>
      <c r="AH176" s="42" t="s">
        <v>45</v>
      </c>
      <c r="AI176" s="42" t="s">
        <v>45</v>
      </c>
      <c r="AJ176" s="42" t="s">
        <v>45</v>
      </c>
      <c r="AK176" s="42" t="s">
        <v>45</v>
      </c>
      <c r="AL176" s="42" t="s">
        <v>45</v>
      </c>
      <c r="AM176" s="42" t="s">
        <v>45</v>
      </c>
      <c r="AN176" s="42" t="s">
        <v>45</v>
      </c>
      <c r="AO176" s="43" t="s">
        <v>45</v>
      </c>
      <c r="AP176" s="42" t="s">
        <v>60</v>
      </c>
      <c r="AQ176" s="42">
        <v>5</v>
      </c>
      <c r="AR176" s="50" t="s">
        <v>353</v>
      </c>
      <c r="AS176" s="45" t="s">
        <v>45</v>
      </c>
      <c r="AT176" s="45" t="s">
        <v>705</v>
      </c>
      <c r="AU176" s="46">
        <f>($O$3*(L176-$O$1)/$O$2+$P$3*(M176-$P$1)/$P$2+$Q$3*(N176-$P$1)/$Q$2)/SUM($O$3:$Q$3)</f>
        <v>-2.311361197028369</v>
      </c>
      <c r="AV176" s="46">
        <f>($O$3*(O176-$O$1)/$O$2+$P$3*(P176-$P$1)/$P$2+$Q$3*(Q176-$Q$1)/$Q$2)/SUM($O$3:$Q$3)</f>
        <v>-0.84404019027961108</v>
      </c>
      <c r="AW176" s="47">
        <f>COUNT(R176:AO176)/2</f>
        <v>3</v>
      </c>
      <c r="AX176" s="47">
        <f>IF(AND(S176&lt;&gt;"-",S176&gt;5),1,0)+IF(AND(U176&lt;&gt;"-",U176&gt;5),1,0)+IF(AND(W176&lt;&gt;"-",W176&gt;5),1,0)+IF(AND(Y176&lt;&gt;"-",Y176&gt;5),1,0)+IF(AND(AA176&lt;&gt;"-",AA176&gt;5),1,0)+IF(AND(AC176&lt;&gt;"-",AC176&gt;5),1,0)+IF(AND(AE176&lt;&gt;"-",AE176&gt;5),1,0)+IF(AND(AG176&lt;&gt;"-",AG176&gt;5),1,0)+IF(AND(AI176&lt;&gt;"-",AI176&gt;5),1,0)+IF(AND(AK176&lt;&gt;"-",AK176&gt;5),1,0)+IF(AND(AM176&lt;&gt;"-",AM176&gt;5),1,0)+IF(AND(AO176&lt;&gt;"-",AO176&gt;5),1,0)</f>
        <v>3</v>
      </c>
      <c r="AY176" s="48">
        <f>VLOOKUP(AP176,COND!$A$10:$B$32,2,FALSE)</f>
        <v>1.0249999999999999</v>
      </c>
      <c r="AZ176" s="46">
        <f>($AU$3*AU176+$AV$3*AV176+$AW$3*AW176+$AX$3*AX176)*AY176*IF(AQ176&lt;5,0.95,IF(AQ176&lt;7,0.975,1))+$I$3*VLOOKUP(I176,COND!$A$2:$E$7,4,FALSE)+$J$3*VLOOKUP(J176,COND!$A$2:$E$7,2,FALSE)+$K$3*VLOOKUP(K176,COND!$A$2:$E$7,3,FALSE)+IF(BB176="SP",$BB$3,0)+IF($AW176&lt;3,-5,0)+IF(AND($B$2&gt;0,$E176&lt;20),$B$2*25,0)</f>
        <v>34.614482127530223</v>
      </c>
      <c r="BA176" s="49">
        <f>STANDARDIZE(AZ176,AVERAGE($AZ$5:$AZ$570),STDEVP($AZ$5:$AZ$570))</f>
        <v>0.17352569534354004</v>
      </c>
      <c r="BB176" s="47" t="str">
        <f>IF(OR(AND(AQ176&gt;7,AX176&gt;1),AND(AQ176&gt;4,AW176&gt;2)),"SP","RP")</f>
        <v>SP</v>
      </c>
      <c r="BC176" s="47"/>
      <c r="BD176" s="47"/>
      <c r="BE176" s="47"/>
      <c r="BF176" s="47" t="str">
        <f>IF(AVERAGE($O176:$Q176)&gt;=6,"Likely",IF(AVERAGE($O176:$Q176)&gt;=4,"Possible","Unlikely"))</f>
        <v>Unlikely</v>
      </c>
      <c r="BG176" s="47"/>
      <c r="BH176" s="47" t="str">
        <f>INDEX(Table5[[#All],[Ovr]],MATCH(Table3[[#This Row],[PID]],Table5[[#All],[PID]],0))</f>
        <v/>
      </c>
      <c r="BI176" s="47" t="str">
        <f>INDEX(Table5[[#All],[Rnd]],MATCH(Table3[[#This Row],[PID]],Table5[[#All],[PID]],0))</f>
        <v/>
      </c>
      <c r="BJ176" s="47" t="str">
        <f>INDEX(Table5[[#All],[Pick]],MATCH(Table3[[#This Row],[PID]],Table5[[#All],[PID]],0))</f>
        <v/>
      </c>
      <c r="BK176" s="47" t="str">
        <f>INDEX(Table5[[#All],[Team]],MATCH(Table3[[#This Row],[PID]],Table5[[#All],[PID]],0))</f>
        <v/>
      </c>
      <c r="BL1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7" spans="1:64" ht="15" customHeight="1" x14ac:dyDescent="0.25">
      <c r="A177" s="42">
        <v>8014</v>
      </c>
      <c r="B177" s="42" t="s">
        <v>430</v>
      </c>
      <c r="C177" s="42" t="s">
        <v>861</v>
      </c>
      <c r="D177" s="42" t="s">
        <v>340</v>
      </c>
      <c r="E177" s="42">
        <v>18</v>
      </c>
      <c r="F177" s="42" t="s">
        <v>53</v>
      </c>
      <c r="G177" s="42" t="s">
        <v>53</v>
      </c>
      <c r="H177" s="43" t="s">
        <v>721</v>
      </c>
      <c r="I177" s="44" t="s">
        <v>43</v>
      </c>
      <c r="J177" s="42" t="s">
        <v>44</v>
      </c>
      <c r="K177" s="43" t="s">
        <v>43</v>
      </c>
      <c r="L177" s="42">
        <v>2</v>
      </c>
      <c r="M177" s="42">
        <v>2</v>
      </c>
      <c r="N177" s="43">
        <v>1</v>
      </c>
      <c r="O177" s="42">
        <v>5</v>
      </c>
      <c r="P177" s="42">
        <v>2</v>
      </c>
      <c r="Q177" s="43">
        <v>2</v>
      </c>
      <c r="R177" s="42">
        <v>4</v>
      </c>
      <c r="S177" s="42">
        <v>6</v>
      </c>
      <c r="T177" s="42">
        <v>1</v>
      </c>
      <c r="U177" s="42">
        <v>1</v>
      </c>
      <c r="V177" s="42" t="s">
        <v>45</v>
      </c>
      <c r="W177" s="42" t="s">
        <v>45</v>
      </c>
      <c r="X177" s="42">
        <v>3</v>
      </c>
      <c r="Y177" s="42">
        <v>8</v>
      </c>
      <c r="Z177" s="42" t="s">
        <v>45</v>
      </c>
      <c r="AA177" s="42" t="s">
        <v>45</v>
      </c>
      <c r="AB177" s="42" t="s">
        <v>45</v>
      </c>
      <c r="AC177" s="42" t="s">
        <v>45</v>
      </c>
      <c r="AD177" s="42" t="s">
        <v>45</v>
      </c>
      <c r="AE177" s="42" t="s">
        <v>45</v>
      </c>
      <c r="AF177" s="42" t="s">
        <v>45</v>
      </c>
      <c r="AG177" s="42" t="s">
        <v>45</v>
      </c>
      <c r="AH177" s="42" t="s">
        <v>45</v>
      </c>
      <c r="AI177" s="42" t="s">
        <v>45</v>
      </c>
      <c r="AJ177" s="42" t="s">
        <v>45</v>
      </c>
      <c r="AK177" s="42" t="s">
        <v>45</v>
      </c>
      <c r="AL177" s="42" t="s">
        <v>45</v>
      </c>
      <c r="AM177" s="42" t="s">
        <v>45</v>
      </c>
      <c r="AN177" s="42" t="s">
        <v>45</v>
      </c>
      <c r="AO177" s="43" t="s">
        <v>45</v>
      </c>
      <c r="AP177" s="42" t="s">
        <v>56</v>
      </c>
      <c r="AQ177" s="42">
        <v>7</v>
      </c>
      <c r="AR177" s="50" t="s">
        <v>353</v>
      </c>
      <c r="AS177" s="45" t="s">
        <v>739</v>
      </c>
      <c r="AT177" s="45" t="s">
        <v>47</v>
      </c>
      <c r="AU177" s="46">
        <f>($O$3*(L177-$O$1)/$O$2+$P$3*(M177-$P$1)/$P$2+$Q$3*(N177-$P$1)/$Q$2)/SUM($O$3:$Q$3)</f>
        <v>-2.311361197028369</v>
      </c>
      <c r="AV177" s="46">
        <f>($O$3*(O177-$O$1)/$O$2+$P$3*(P177-$P$1)/$P$2+$Q$3*(Q177-$Q$1)/$Q$2)/SUM($O$3:$Q$3)</f>
        <v>-1.0394719067096667</v>
      </c>
      <c r="AW177" s="47">
        <f>COUNT(R177:AO177)/2</f>
        <v>3</v>
      </c>
      <c r="AX177" s="47">
        <f>IF(AND(S177&lt;&gt;"-",S177&gt;5),1,0)+IF(AND(U177&lt;&gt;"-",U177&gt;5),1,0)+IF(AND(W177&lt;&gt;"-",W177&gt;5),1,0)+IF(AND(Y177&lt;&gt;"-",Y177&gt;5),1,0)+IF(AND(AA177&lt;&gt;"-",AA177&gt;5),1,0)+IF(AND(AC177&lt;&gt;"-",AC177&gt;5),1,0)+IF(AND(AE177&lt;&gt;"-",AE177&gt;5),1,0)+IF(AND(AG177&lt;&gt;"-",AG177&gt;5),1,0)+IF(AND(AI177&lt;&gt;"-",AI177&gt;5),1,0)+IF(AND(AK177&lt;&gt;"-",AK177&gt;5),1,0)+IF(AND(AM177&lt;&gt;"-",AM177&gt;5),1,0)+IF(AND(AO177&lt;&gt;"-",AO177&gt;5),1,0)</f>
        <v>2</v>
      </c>
      <c r="AY177" s="48">
        <f>VLOOKUP(AP177,COND!$A$10:$B$32,2,FALSE)</f>
        <v>1</v>
      </c>
      <c r="AZ177" s="46">
        <f>($AU$3*AU177+$AV$3*AV177+$AW$3*AW177+$AX$3*AX177)*AY177*IF(AQ177&lt;5,0.95,IF(AQ177&lt;7,0.975,1))+$I$3*VLOOKUP(I177,COND!$A$2:$E$7,4,FALSE)+$J$3*VLOOKUP(J177,COND!$A$2:$E$7,2,FALSE)+$K$3*VLOOKUP(K177,COND!$A$2:$E$7,3,FALSE)+IF(BB177="SP",$BB$3,0)+IF($AW177&lt;3,-5,0)+IF(AND($B$2&gt;0,$E177&lt;20),$B$2*25,0)</f>
        <v>34.448289626400992</v>
      </c>
      <c r="BA177" s="49">
        <f>STANDARDIZE(AZ177,AVERAGE($AZ$5:$AZ$570),STDEVP($AZ$5:$AZ$570))</f>
        <v>0.15828513266831085</v>
      </c>
      <c r="BB177" s="47" t="str">
        <f>IF(OR(AND(AQ177&gt;7,AX177&gt;1),AND(AQ177&gt;4,AW177&gt;2)),"SP","RP")</f>
        <v>SP</v>
      </c>
      <c r="BC177" s="47"/>
      <c r="BD177" s="47"/>
      <c r="BE177" s="47"/>
      <c r="BF177" s="47" t="str">
        <f>IF(AVERAGE($O177:$Q177)&gt;=6,"Likely",IF(AVERAGE($O177:$Q177)&gt;=4,"Possible","Unlikely"))</f>
        <v>Unlikely</v>
      </c>
      <c r="BG177" s="47"/>
      <c r="BH177" s="47" t="str">
        <f>INDEX(Table5[[#All],[Ovr]],MATCH(Table3[[#This Row],[PID]],Table5[[#All],[PID]],0))</f>
        <v/>
      </c>
      <c r="BI177" s="47" t="str">
        <f>INDEX(Table5[[#All],[Rnd]],MATCH(Table3[[#This Row],[PID]],Table5[[#All],[PID]],0))</f>
        <v/>
      </c>
      <c r="BJ177" s="47" t="str">
        <f>INDEX(Table5[[#All],[Pick]],MATCH(Table3[[#This Row],[PID]],Table5[[#All],[PID]],0))</f>
        <v/>
      </c>
      <c r="BK177" s="47" t="str">
        <f>INDEX(Table5[[#All],[Team]],MATCH(Table3[[#This Row],[PID]],Table5[[#All],[PID]],0))</f>
        <v/>
      </c>
      <c r="BL1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8" spans="1:64" ht="15" customHeight="1" x14ac:dyDescent="0.25">
      <c r="A178" s="42">
        <v>11587</v>
      </c>
      <c r="B178" s="42" t="s">
        <v>430</v>
      </c>
      <c r="C178" s="42" t="s">
        <v>1012</v>
      </c>
      <c r="D178" s="42" t="s">
        <v>1474</v>
      </c>
      <c r="E178" s="42">
        <v>18</v>
      </c>
      <c r="F178" s="42" t="s">
        <v>42</v>
      </c>
      <c r="G178" s="42" t="s">
        <v>53</v>
      </c>
      <c r="H178" s="43" t="s">
        <v>721</v>
      </c>
      <c r="I178" s="44" t="s">
        <v>43</v>
      </c>
      <c r="J178" s="42" t="s">
        <v>43</v>
      </c>
      <c r="K178" s="43" t="s">
        <v>43</v>
      </c>
      <c r="L178" s="42">
        <v>2</v>
      </c>
      <c r="M178" s="42">
        <v>1</v>
      </c>
      <c r="N178" s="43">
        <v>1</v>
      </c>
      <c r="O178" s="42">
        <v>6</v>
      </c>
      <c r="P178" s="42">
        <v>1</v>
      </c>
      <c r="Q178" s="43">
        <v>2</v>
      </c>
      <c r="R178" s="42">
        <v>4</v>
      </c>
      <c r="S178" s="42">
        <v>7</v>
      </c>
      <c r="T178" s="42">
        <v>1</v>
      </c>
      <c r="U178" s="42">
        <v>2</v>
      </c>
      <c r="V178" s="42" t="s">
        <v>45</v>
      </c>
      <c r="W178" s="42" t="s">
        <v>45</v>
      </c>
      <c r="X178" s="42">
        <v>2</v>
      </c>
      <c r="Y178" s="42">
        <v>8</v>
      </c>
      <c r="Z178" s="42" t="s">
        <v>45</v>
      </c>
      <c r="AA178" s="42" t="s">
        <v>45</v>
      </c>
      <c r="AB178" s="42" t="s">
        <v>45</v>
      </c>
      <c r="AC178" s="42" t="s">
        <v>45</v>
      </c>
      <c r="AD178" s="42" t="s">
        <v>45</v>
      </c>
      <c r="AE178" s="42" t="s">
        <v>45</v>
      </c>
      <c r="AF178" s="42" t="s">
        <v>45</v>
      </c>
      <c r="AG178" s="42" t="s">
        <v>45</v>
      </c>
      <c r="AH178" s="42" t="s">
        <v>45</v>
      </c>
      <c r="AI178" s="42" t="s">
        <v>45</v>
      </c>
      <c r="AJ178" s="42" t="s">
        <v>45</v>
      </c>
      <c r="AK178" s="42" t="s">
        <v>45</v>
      </c>
      <c r="AL178" s="42" t="s">
        <v>45</v>
      </c>
      <c r="AM178" s="42" t="s">
        <v>45</v>
      </c>
      <c r="AN178" s="42" t="s">
        <v>45</v>
      </c>
      <c r="AO178" s="43" t="s">
        <v>45</v>
      </c>
      <c r="AP178" s="42" t="s">
        <v>57</v>
      </c>
      <c r="AQ178" s="42">
        <v>4</v>
      </c>
      <c r="AR178" s="50" t="s">
        <v>357</v>
      </c>
      <c r="AS178" s="45" t="s">
        <v>718</v>
      </c>
      <c r="AT178" s="45" t="s">
        <v>47</v>
      </c>
      <c r="AU178" s="46">
        <f>($O$3*(L178-$O$1)/$O$2+$P$3*(M178-$P$1)/$P$2+$Q$3*(N178-$P$1)/$Q$2)/SUM($O$3:$Q$3)</f>
        <v>-2.5067929134584248</v>
      </c>
      <c r="AV178" s="46">
        <f>($O$3*(O178-$O$1)/$O$2+$P$3*(P178-$P$1)/$P$2+$Q$3*(Q178-$Q$1)/$Q$2)/SUM($O$3:$Q$3)</f>
        <v>-1.0402122986305484</v>
      </c>
      <c r="AW178" s="47">
        <f>COUNT(R178:AO178)/2</f>
        <v>3</v>
      </c>
      <c r="AX178" s="47">
        <f>IF(AND(S178&lt;&gt;"-",S178&gt;5),1,0)+IF(AND(U178&lt;&gt;"-",U178&gt;5),1,0)+IF(AND(W178&lt;&gt;"-",W178&gt;5),1,0)+IF(AND(Y178&lt;&gt;"-",Y178&gt;5),1,0)+IF(AND(AA178&lt;&gt;"-",AA178&gt;5),1,0)+IF(AND(AC178&lt;&gt;"-",AC178&gt;5),1,0)+IF(AND(AE178&lt;&gt;"-",AE178&gt;5),1,0)+IF(AND(AG178&lt;&gt;"-",AG178&gt;5),1,0)+IF(AND(AI178&lt;&gt;"-",AI178&gt;5),1,0)+IF(AND(AK178&lt;&gt;"-",AK178&gt;5),1,0)+IF(AND(AM178&lt;&gt;"-",AM178&gt;5),1,0)+IF(AND(AO178&lt;&gt;"-",AO178&gt;5),1,0)</f>
        <v>2</v>
      </c>
      <c r="AY178" s="48">
        <f>VLOOKUP(AP178,COND!$A$10:$B$32,2,FALSE)</f>
        <v>1</v>
      </c>
      <c r="AZ178" s="46">
        <f>($AU$3*AU178+$AV$3*AV178+$AW$3*AW178+$AX$3*AX178)*AY178*IF(AQ178&lt;5,0.95,IF(AQ178&lt;7,0.975,1))+$I$3*VLOOKUP(I178,COND!$A$2:$E$7,4,FALSE)+$J$3*VLOOKUP(J178,COND!$A$2:$E$7,2,FALSE)+$K$3*VLOOKUP(K178,COND!$A$2:$E$7,3,FALSE)+IF(BB178="SP",$BB$3,0)+IF($AW178&lt;3,-5,0)+IF(AND($B$2&gt;0,$E178&lt;20),$B$2*25,0)</f>
        <v>33.559675672462475</v>
      </c>
      <c r="BA178" s="49">
        <f>STANDARDIZE(AZ178,AVERAGE($AZ$5:$AZ$570),STDEVP($AZ$5:$AZ$570))</f>
        <v>7.67954350762865E-2</v>
      </c>
      <c r="BB178" s="47" t="str">
        <f>IF(OR(AND(AQ178&gt;7,AX178&gt;1),AND(AQ178&gt;4,AW178&gt;2)),"SP","RP")</f>
        <v>RP</v>
      </c>
      <c r="BC178" s="47"/>
      <c r="BD178" s="47"/>
      <c r="BE178" s="47"/>
      <c r="BF178" s="47" t="str">
        <f>IF(AVERAGE($O178:$Q178)&gt;=6,"Likely",IF(AVERAGE($O178:$Q178)&gt;=4,"Possible","Unlikely"))</f>
        <v>Unlikely</v>
      </c>
      <c r="BG178" s="47"/>
      <c r="BH178" s="47" t="str">
        <f>INDEX(Table5[[#All],[Ovr]],MATCH(Table3[[#This Row],[PID]],Table5[[#All],[PID]],0))</f>
        <v/>
      </c>
      <c r="BI178" s="47" t="str">
        <f>INDEX(Table5[[#All],[Rnd]],MATCH(Table3[[#This Row],[PID]],Table5[[#All],[PID]],0))</f>
        <v/>
      </c>
      <c r="BJ178" s="47" t="str">
        <f>INDEX(Table5[[#All],[Pick]],MATCH(Table3[[#This Row],[PID]],Table5[[#All],[PID]],0))</f>
        <v/>
      </c>
      <c r="BK178" s="47" t="str">
        <f>INDEX(Table5[[#All],[Team]],MATCH(Table3[[#This Row],[PID]],Table5[[#All],[PID]],0))</f>
        <v/>
      </c>
      <c r="BL1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9" spans="1:64" ht="15" customHeight="1" x14ac:dyDescent="0.25">
      <c r="A179" s="42">
        <v>10116</v>
      </c>
      <c r="B179" s="42" t="s">
        <v>24</v>
      </c>
      <c r="C179" s="42" t="s">
        <v>187</v>
      </c>
      <c r="D179" s="42" t="s">
        <v>396</v>
      </c>
      <c r="E179" s="42">
        <v>21</v>
      </c>
      <c r="F179" s="42" t="s">
        <v>42</v>
      </c>
      <c r="G179" s="42" t="s">
        <v>42</v>
      </c>
      <c r="H179" s="43" t="s">
        <v>721</v>
      </c>
      <c r="I179" s="44" t="s">
        <v>43</v>
      </c>
      <c r="J179" s="42" t="s">
        <v>43</v>
      </c>
      <c r="K179" s="43" t="s">
        <v>43</v>
      </c>
      <c r="L179" s="42">
        <v>2</v>
      </c>
      <c r="M179" s="42">
        <v>2</v>
      </c>
      <c r="N179" s="43">
        <v>1</v>
      </c>
      <c r="O179" s="42">
        <v>5</v>
      </c>
      <c r="P179" s="42">
        <v>3</v>
      </c>
      <c r="Q179" s="43">
        <v>2</v>
      </c>
      <c r="R179" s="42">
        <v>5</v>
      </c>
      <c r="S179" s="42">
        <v>7</v>
      </c>
      <c r="T179" s="42">
        <v>1</v>
      </c>
      <c r="U179" s="42">
        <v>7</v>
      </c>
      <c r="V179" s="42">
        <v>3</v>
      </c>
      <c r="W179" s="42">
        <v>7</v>
      </c>
      <c r="X179" s="42" t="s">
        <v>45</v>
      </c>
      <c r="Y179" s="42" t="s">
        <v>45</v>
      </c>
      <c r="Z179" s="42" t="s">
        <v>45</v>
      </c>
      <c r="AA179" s="42" t="s">
        <v>45</v>
      </c>
      <c r="AB179" s="42" t="s">
        <v>45</v>
      </c>
      <c r="AC179" s="42" t="s">
        <v>45</v>
      </c>
      <c r="AD179" s="42" t="s">
        <v>45</v>
      </c>
      <c r="AE179" s="42" t="s">
        <v>45</v>
      </c>
      <c r="AF179" s="42" t="s">
        <v>45</v>
      </c>
      <c r="AG179" s="42" t="s">
        <v>45</v>
      </c>
      <c r="AH179" s="42" t="s">
        <v>45</v>
      </c>
      <c r="AI179" s="42" t="s">
        <v>45</v>
      </c>
      <c r="AJ179" s="42" t="s">
        <v>45</v>
      </c>
      <c r="AK179" s="42" t="s">
        <v>45</v>
      </c>
      <c r="AL179" s="42" t="s">
        <v>45</v>
      </c>
      <c r="AM179" s="42" t="s">
        <v>45</v>
      </c>
      <c r="AN179" s="42" t="s">
        <v>45</v>
      </c>
      <c r="AO179" s="43" t="s">
        <v>45</v>
      </c>
      <c r="AP179" s="42" t="s">
        <v>58</v>
      </c>
      <c r="AQ179" s="42">
        <v>4</v>
      </c>
      <c r="AR179" s="50" t="s">
        <v>353</v>
      </c>
      <c r="AS179" s="45" t="s">
        <v>627</v>
      </c>
      <c r="AT179" s="45" t="s">
        <v>705</v>
      </c>
      <c r="AU179" s="46">
        <f>($O$3*(L179-$O$1)/$O$2+$P$3*(M179-$P$1)/$P$2+$Q$3*(N179-$P$1)/$Q$2)/SUM($O$3:$Q$3)</f>
        <v>-2.311361197028369</v>
      </c>
      <c r="AV179" s="46">
        <f>($O$3*(O179-$O$1)/$O$2+$P$3*(P179-$P$1)/$P$2+$Q$3*(Q179-$Q$1)/$Q$2)/SUM($O$3:$Q$3)</f>
        <v>-0.84404019027961108</v>
      </c>
      <c r="AW179" s="47">
        <f>COUNT(R179:AO179)/2</f>
        <v>3</v>
      </c>
      <c r="AX179" s="47">
        <f>IF(AND(S179&lt;&gt;"-",S179&gt;5),1,0)+IF(AND(U179&lt;&gt;"-",U179&gt;5),1,0)+IF(AND(W179&lt;&gt;"-",W179&gt;5),1,0)+IF(AND(Y179&lt;&gt;"-",Y179&gt;5),1,0)+IF(AND(AA179&lt;&gt;"-",AA179&gt;5),1,0)+IF(AND(AC179&lt;&gt;"-",AC179&gt;5),1,0)+IF(AND(AE179&lt;&gt;"-",AE179&gt;5),1,0)+IF(AND(AG179&lt;&gt;"-",AG179&gt;5),1,0)+IF(AND(AI179&lt;&gt;"-",AI179&gt;5),1,0)+IF(AND(AK179&lt;&gt;"-",AK179&gt;5),1,0)+IF(AND(AM179&lt;&gt;"-",AM179&gt;5),1,0)+IF(AND(AO179&lt;&gt;"-",AO179&gt;5),1,0)</f>
        <v>3</v>
      </c>
      <c r="AY179" s="48">
        <f>VLOOKUP(AP179,COND!$A$10:$B$32,2,FALSE)</f>
        <v>1</v>
      </c>
      <c r="AZ179" s="46">
        <f>($AU$3*AU179+$AV$3*AV179+$AW$3*AW179+$AX$3*AX179)*AY179*IF(AQ179&lt;5,0.95,IF(AQ179&lt;7,0.975,1))+$I$3*VLOOKUP(I179,COND!$A$2:$E$7,4,FALSE)+$J$3*VLOOKUP(J179,COND!$A$2:$E$7,2,FALSE)+$K$3*VLOOKUP(K179,COND!$A$2:$E$7,3,FALSE)+IF(BB179="SP",$BB$3,0)+IF($AW179&lt;3,-5,0)+IF(AND($B$2&gt;0,$E179&lt;20),$B$2*25,0)</f>
        <v>33.511577757251999</v>
      </c>
      <c r="BA179" s="49">
        <f>STANDARDIZE(AZ179,AVERAGE($AZ$5:$AZ$570),STDEVP($AZ$5:$AZ$570))</f>
        <v>7.2384650676675613E-2</v>
      </c>
      <c r="BB179" s="47" t="str">
        <f>IF(OR(AND(AQ179&gt;7,AX179&gt;1),AND(AQ179&gt;4,AW179&gt;2)),"SP","RP")</f>
        <v>RP</v>
      </c>
      <c r="BC179" s="47"/>
      <c r="BD179" s="47"/>
      <c r="BE179" s="47"/>
      <c r="BF179" s="47" t="str">
        <f>IF(AVERAGE($O179:$Q179)&gt;=6,"Likely",IF(AVERAGE($O179:$Q179)&gt;=4,"Possible","Unlikely"))</f>
        <v>Unlikely</v>
      </c>
      <c r="BG179" s="47"/>
      <c r="BH179" s="47" t="str">
        <f>INDEX(Table5[[#All],[Ovr]],MATCH(Table3[[#This Row],[PID]],Table5[[#All],[PID]],0))</f>
        <v/>
      </c>
      <c r="BI179" s="47" t="str">
        <f>INDEX(Table5[[#All],[Rnd]],MATCH(Table3[[#This Row],[PID]],Table5[[#All],[PID]],0))</f>
        <v/>
      </c>
      <c r="BJ179" s="47" t="str">
        <f>INDEX(Table5[[#All],[Pick]],MATCH(Table3[[#This Row],[PID]],Table5[[#All],[PID]],0))</f>
        <v/>
      </c>
      <c r="BK179" s="47" t="str">
        <f>INDEX(Table5[[#All],[Team]],MATCH(Table3[[#This Row],[PID]],Table5[[#All],[PID]],0))</f>
        <v/>
      </c>
      <c r="BL1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0" spans="1:64" ht="15" customHeight="1" x14ac:dyDescent="0.25">
      <c r="A180" s="42">
        <v>5379</v>
      </c>
      <c r="B180" s="42" t="s">
        <v>430</v>
      </c>
      <c r="C180" s="42" t="s">
        <v>1503</v>
      </c>
      <c r="D180" s="42" t="s">
        <v>1504</v>
      </c>
      <c r="E180" s="42">
        <v>18</v>
      </c>
      <c r="F180" s="42" t="s">
        <v>42</v>
      </c>
      <c r="G180" s="42" t="s">
        <v>42</v>
      </c>
      <c r="H180" s="43" t="s">
        <v>721</v>
      </c>
      <c r="I180" s="44" t="s">
        <v>43</v>
      </c>
      <c r="J180" s="42" t="s">
        <v>43</v>
      </c>
      <c r="K180" s="43" t="s">
        <v>43</v>
      </c>
      <c r="L180" s="42">
        <v>2</v>
      </c>
      <c r="M180" s="42">
        <v>2</v>
      </c>
      <c r="N180" s="43">
        <v>1</v>
      </c>
      <c r="O180" s="42">
        <v>5</v>
      </c>
      <c r="P180" s="42">
        <v>2</v>
      </c>
      <c r="Q180" s="43">
        <v>2</v>
      </c>
      <c r="R180" s="42">
        <v>3</v>
      </c>
      <c r="S180" s="42">
        <v>6</v>
      </c>
      <c r="T180" s="42">
        <v>1</v>
      </c>
      <c r="U180" s="42">
        <v>1</v>
      </c>
      <c r="V180" s="42" t="s">
        <v>45</v>
      </c>
      <c r="W180" s="42" t="s">
        <v>45</v>
      </c>
      <c r="X180" s="42" t="s">
        <v>45</v>
      </c>
      <c r="Y180" s="42" t="s">
        <v>45</v>
      </c>
      <c r="Z180" s="42">
        <v>3</v>
      </c>
      <c r="AA180" s="42">
        <v>5</v>
      </c>
      <c r="AB180" s="42" t="s">
        <v>45</v>
      </c>
      <c r="AC180" s="42" t="s">
        <v>45</v>
      </c>
      <c r="AD180" s="42" t="s">
        <v>45</v>
      </c>
      <c r="AE180" s="42" t="s">
        <v>45</v>
      </c>
      <c r="AF180" s="42" t="s">
        <v>45</v>
      </c>
      <c r="AG180" s="42" t="s">
        <v>45</v>
      </c>
      <c r="AH180" s="42" t="s">
        <v>45</v>
      </c>
      <c r="AI180" s="42" t="s">
        <v>45</v>
      </c>
      <c r="AJ180" s="42" t="s">
        <v>45</v>
      </c>
      <c r="AK180" s="42" t="s">
        <v>45</v>
      </c>
      <c r="AL180" s="42" t="s">
        <v>45</v>
      </c>
      <c r="AM180" s="42" t="s">
        <v>45</v>
      </c>
      <c r="AN180" s="42" t="s">
        <v>45</v>
      </c>
      <c r="AO180" s="43" t="s">
        <v>45</v>
      </c>
      <c r="AP180" s="42" t="s">
        <v>355</v>
      </c>
      <c r="AQ180" s="42">
        <v>7</v>
      </c>
      <c r="AR180" s="50" t="s">
        <v>353</v>
      </c>
      <c r="AS180" s="45" t="s">
        <v>718</v>
      </c>
      <c r="AT180" s="45" t="s">
        <v>47</v>
      </c>
      <c r="AU180" s="46">
        <f>($O$3*(L180-$O$1)/$O$2+$P$3*(M180-$P$1)/$P$2+$Q$3*(N180-$P$1)/$Q$2)/SUM($O$3:$Q$3)</f>
        <v>-2.311361197028369</v>
      </c>
      <c r="AV180" s="46">
        <f>($O$3*(O180-$O$1)/$O$2+$P$3*(P180-$P$1)/$P$2+$Q$3*(Q180-$Q$1)/$Q$2)/SUM($O$3:$Q$3)</f>
        <v>-1.0394719067096667</v>
      </c>
      <c r="AW180" s="47">
        <f>COUNT(R180:AO180)/2</f>
        <v>3</v>
      </c>
      <c r="AX180" s="47">
        <f>IF(AND(S180&lt;&gt;"-",S180&gt;5),1,0)+IF(AND(U180&lt;&gt;"-",U180&gt;5),1,0)+IF(AND(W180&lt;&gt;"-",W180&gt;5),1,0)+IF(AND(Y180&lt;&gt;"-",Y180&gt;5),1,0)+IF(AND(AA180&lt;&gt;"-",AA180&gt;5),1,0)+IF(AND(AC180&lt;&gt;"-",AC180&gt;5),1,0)+IF(AND(AE180&lt;&gt;"-",AE180&gt;5),1,0)+IF(AND(AG180&lt;&gt;"-",AG180&gt;5),1,0)+IF(AND(AI180&lt;&gt;"-",AI180&gt;5),1,0)+IF(AND(AK180&lt;&gt;"-",AK180&gt;5),1,0)+IF(AND(AM180&lt;&gt;"-",AM180&gt;5),1,0)+IF(AND(AO180&lt;&gt;"-",AO180&gt;5),1,0)</f>
        <v>1</v>
      </c>
      <c r="AY180" s="48">
        <f>VLOOKUP(AP180,COND!$A$10:$B$32,2,FALSE)</f>
        <v>1</v>
      </c>
      <c r="AZ180" s="46">
        <f>($AU$3*AU180+$AV$3*AV180+$AW$3*AW180+$AX$3*AX180)*AY180*IF(AQ180&lt;5,0.95,IF(AQ180&lt;7,0.975,1))+$I$3*VLOOKUP(I180,COND!$A$2:$E$7,4,FALSE)+$J$3*VLOOKUP(J180,COND!$A$2:$E$7,2,FALSE)+$K$3*VLOOKUP(K180,COND!$A$2:$E$7,3,FALSE)+IF(BB180="SP",$BB$3,0)+IF($AW180&lt;3,-5,0)+IF(AND($B$2&gt;0,$E180&lt;20),$B$2*25,0)</f>
        <v>33.49828962640099</v>
      </c>
      <c r="BA180" s="49">
        <f>STANDARDIZE(AZ180,AVERAGE($AZ$5:$AZ$570),STDEVP($AZ$5:$AZ$570))</f>
        <v>7.1166072282973142E-2</v>
      </c>
      <c r="BB180" s="47" t="str">
        <f>IF(OR(AND(AQ180&gt;7,AX180&gt;1),AND(AQ180&gt;4,AW180&gt;2)),"SP","RP")</f>
        <v>SP</v>
      </c>
      <c r="BC180" s="47"/>
      <c r="BD180" s="47"/>
      <c r="BE180" s="47"/>
      <c r="BF180" s="47" t="str">
        <f>IF(AVERAGE($O180:$Q180)&gt;=6,"Likely",IF(AVERAGE($O180:$Q180)&gt;=4,"Possible","Unlikely"))</f>
        <v>Unlikely</v>
      </c>
      <c r="BG180" s="47"/>
      <c r="BH180" s="47" t="str">
        <f>INDEX(Table5[[#All],[Ovr]],MATCH(Table3[[#This Row],[PID]],Table5[[#All],[PID]],0))</f>
        <v/>
      </c>
      <c r="BI180" s="47" t="str">
        <f>INDEX(Table5[[#All],[Rnd]],MATCH(Table3[[#This Row],[PID]],Table5[[#All],[PID]],0))</f>
        <v/>
      </c>
      <c r="BJ180" s="47" t="str">
        <f>INDEX(Table5[[#All],[Pick]],MATCH(Table3[[#This Row],[PID]],Table5[[#All],[PID]],0))</f>
        <v/>
      </c>
      <c r="BK180" s="47" t="str">
        <f>INDEX(Table5[[#All],[Team]],MATCH(Table3[[#This Row],[PID]],Table5[[#All],[PID]],0))</f>
        <v/>
      </c>
      <c r="BL1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1" spans="1:64" ht="15" customHeight="1" x14ac:dyDescent="0.25">
      <c r="A181" s="42">
        <v>13411</v>
      </c>
      <c r="B181" s="42" t="s">
        <v>430</v>
      </c>
      <c r="C181" s="42" t="s">
        <v>324</v>
      </c>
      <c r="D181" s="42" t="s">
        <v>322</v>
      </c>
      <c r="E181" s="42">
        <v>17</v>
      </c>
      <c r="F181" s="42" t="s">
        <v>42</v>
      </c>
      <c r="G181" s="42" t="s">
        <v>42</v>
      </c>
      <c r="H181" s="43" t="s">
        <v>721</v>
      </c>
      <c r="I181" s="44" t="s">
        <v>43</v>
      </c>
      <c r="J181" s="42" t="s">
        <v>44</v>
      </c>
      <c r="K181" s="43" t="s">
        <v>43</v>
      </c>
      <c r="L181" s="42">
        <v>1</v>
      </c>
      <c r="M181" s="42">
        <v>2</v>
      </c>
      <c r="N181" s="43">
        <v>1</v>
      </c>
      <c r="O181" s="42">
        <v>5</v>
      </c>
      <c r="P181" s="42">
        <v>2</v>
      </c>
      <c r="Q181" s="43">
        <v>2</v>
      </c>
      <c r="R181" s="42">
        <v>2</v>
      </c>
      <c r="S181" s="42">
        <v>5</v>
      </c>
      <c r="T181" s="42">
        <v>1</v>
      </c>
      <c r="U181" s="42">
        <v>2</v>
      </c>
      <c r="V181" s="42" t="s">
        <v>45</v>
      </c>
      <c r="W181" s="42" t="s">
        <v>45</v>
      </c>
      <c r="X181" s="42" t="s">
        <v>45</v>
      </c>
      <c r="Y181" s="42" t="s">
        <v>45</v>
      </c>
      <c r="Z181" s="42" t="s">
        <v>45</v>
      </c>
      <c r="AA181" s="42" t="s">
        <v>45</v>
      </c>
      <c r="AB181" s="42">
        <v>2</v>
      </c>
      <c r="AC181" s="42">
        <v>6</v>
      </c>
      <c r="AD181" s="42" t="s">
        <v>45</v>
      </c>
      <c r="AE181" s="42" t="s">
        <v>45</v>
      </c>
      <c r="AF181" s="42" t="s">
        <v>45</v>
      </c>
      <c r="AG181" s="42" t="s">
        <v>45</v>
      </c>
      <c r="AH181" s="42" t="s">
        <v>45</v>
      </c>
      <c r="AI181" s="42" t="s">
        <v>45</v>
      </c>
      <c r="AJ181" s="42" t="s">
        <v>45</v>
      </c>
      <c r="AK181" s="42" t="s">
        <v>45</v>
      </c>
      <c r="AL181" s="42" t="s">
        <v>45</v>
      </c>
      <c r="AM181" s="42" t="s">
        <v>45</v>
      </c>
      <c r="AN181" s="42" t="s">
        <v>45</v>
      </c>
      <c r="AO181" s="43" t="s">
        <v>45</v>
      </c>
      <c r="AP181" s="42" t="s">
        <v>68</v>
      </c>
      <c r="AQ181" s="42">
        <v>7</v>
      </c>
      <c r="AR181" s="50" t="s">
        <v>353</v>
      </c>
      <c r="AS181" s="45" t="s">
        <v>718</v>
      </c>
      <c r="AT181" s="45" t="s">
        <v>705</v>
      </c>
      <c r="AU181" s="46">
        <f>($O$3*(L181-$O$1)/$O$2+$P$3*(M181-$P$1)/$P$2+$Q$3*(N181-$P$1)/$Q$2)/SUM($O$3:$Q$3)</f>
        <v>-2.5060525215375429</v>
      </c>
      <c r="AV181" s="46">
        <f>($O$3*(O181-$O$1)/$O$2+$P$3*(P181-$P$1)/$P$2+$Q$3*(Q181-$Q$1)/$Q$2)/SUM($O$3:$Q$3)</f>
        <v>-1.0394719067096667</v>
      </c>
      <c r="AW181" s="47">
        <f>COUNT(R181:AO181)/2</f>
        <v>3</v>
      </c>
      <c r="AX181" s="47">
        <f>IF(AND(S181&lt;&gt;"-",S181&gt;5),1,0)+IF(AND(U181&lt;&gt;"-",U181&gt;5),1,0)+IF(AND(W181&lt;&gt;"-",W181&gt;5),1,0)+IF(AND(Y181&lt;&gt;"-",Y181&gt;5),1,0)+IF(AND(AA181&lt;&gt;"-",AA181&gt;5),1,0)+IF(AND(AC181&lt;&gt;"-",AC181&gt;5),1,0)+IF(AND(AE181&lt;&gt;"-",AE181&gt;5),1,0)+IF(AND(AG181&lt;&gt;"-",AG181&gt;5),1,0)+IF(AND(AI181&lt;&gt;"-",AI181&gt;5),1,0)+IF(AND(AK181&lt;&gt;"-",AK181&gt;5),1,0)+IF(AND(AM181&lt;&gt;"-",AM181&gt;5),1,0)+IF(AND(AO181&lt;&gt;"-",AO181&gt;5),1,0)</f>
        <v>1</v>
      </c>
      <c r="AY181" s="48">
        <f>VLOOKUP(AP181,COND!$A$10:$B$32,2,FALSE)</f>
        <v>0.95</v>
      </c>
      <c r="AZ181" s="46">
        <f>($AU$3*AU181+$AV$3*AV181+$AW$3*AW181+$AX$3*AX181)*AY181*IF(AQ181&lt;5,0.95,IF(AQ181&lt;7,0.975,1))+$I$3*VLOOKUP(I181,COND!$A$2:$E$7,4,FALSE)+$J$3*VLOOKUP(J181,COND!$A$2:$E$7,2,FALSE)+$K$3*VLOOKUP(K181,COND!$A$2:$E$7,3,FALSE)+IF(BB181="SP",$BB$3,0)+IF($AW181&lt;3,-5,0)+IF(AND($B$2&gt;0,$E181&lt;20),$B$2*25,0)</f>
        <v>34.086383793424204</v>
      </c>
      <c r="BA181" s="49">
        <f>STANDARDIZE(AZ181,AVERAGE($AZ$5:$AZ$570),STDEVP($AZ$5:$AZ$570))</f>
        <v>0.12509682096629962</v>
      </c>
      <c r="BB181" s="47" t="str">
        <f>IF(OR(AND(AQ181&gt;7,AX181&gt;1),AND(AQ181&gt;4,AW181&gt;2)),"SP","RP")</f>
        <v>SP</v>
      </c>
      <c r="BC181" s="47"/>
      <c r="BD181" s="47"/>
      <c r="BE181" s="47"/>
      <c r="BF181" s="47" t="str">
        <f>IF(AVERAGE($O181:$Q181)&gt;=6,"Likely",IF(AVERAGE($O181:$Q181)&gt;=4,"Possible","Unlikely"))</f>
        <v>Unlikely</v>
      </c>
      <c r="BG181" s="47"/>
      <c r="BH181" s="47" t="str">
        <f>INDEX(Table5[[#All],[Ovr]],MATCH(Table3[[#This Row],[PID]],Table5[[#All],[PID]],0))</f>
        <v/>
      </c>
      <c r="BI181" s="47" t="str">
        <f>INDEX(Table5[[#All],[Rnd]],MATCH(Table3[[#This Row],[PID]],Table5[[#All],[PID]],0))</f>
        <v/>
      </c>
      <c r="BJ181" s="47" t="str">
        <f>INDEX(Table5[[#All],[Pick]],MATCH(Table3[[#This Row],[PID]],Table5[[#All],[PID]],0))</f>
        <v/>
      </c>
      <c r="BK181" s="47" t="str">
        <f>INDEX(Table5[[#All],[Team]],MATCH(Table3[[#This Row],[PID]],Table5[[#All],[PID]],0))</f>
        <v/>
      </c>
      <c r="BL1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2" spans="1:64" ht="15" customHeight="1" x14ac:dyDescent="0.25">
      <c r="A182" s="42">
        <v>17890</v>
      </c>
      <c r="B182" s="42" t="s">
        <v>430</v>
      </c>
      <c r="C182" s="42" t="s">
        <v>1531</v>
      </c>
      <c r="D182" s="42" t="s">
        <v>1532</v>
      </c>
      <c r="E182" s="42">
        <v>18</v>
      </c>
      <c r="F182" s="42" t="s">
        <v>62</v>
      </c>
      <c r="G182" s="42" t="s">
        <v>42</v>
      </c>
      <c r="H182" s="43" t="s">
        <v>721</v>
      </c>
      <c r="I182" s="44" t="s">
        <v>44</v>
      </c>
      <c r="J182" s="42" t="s">
        <v>43</v>
      </c>
      <c r="K182" s="43" t="s">
        <v>43</v>
      </c>
      <c r="L182" s="42">
        <v>2</v>
      </c>
      <c r="M182" s="42">
        <v>2</v>
      </c>
      <c r="N182" s="43">
        <v>1</v>
      </c>
      <c r="O182" s="42">
        <v>5</v>
      </c>
      <c r="P182" s="42">
        <v>2</v>
      </c>
      <c r="Q182" s="43">
        <v>2</v>
      </c>
      <c r="R182" s="42">
        <v>3</v>
      </c>
      <c r="S182" s="42">
        <v>5</v>
      </c>
      <c r="T182" s="42">
        <v>1</v>
      </c>
      <c r="U182" s="42">
        <v>2</v>
      </c>
      <c r="V182" s="42">
        <v>3</v>
      </c>
      <c r="W182" s="42">
        <v>8</v>
      </c>
      <c r="X182" s="42" t="s">
        <v>45</v>
      </c>
      <c r="Y182" s="42" t="s">
        <v>45</v>
      </c>
      <c r="Z182" s="42" t="s">
        <v>45</v>
      </c>
      <c r="AA182" s="42" t="s">
        <v>45</v>
      </c>
      <c r="AB182" s="42" t="s">
        <v>45</v>
      </c>
      <c r="AC182" s="42" t="s">
        <v>45</v>
      </c>
      <c r="AD182" s="42" t="s">
        <v>45</v>
      </c>
      <c r="AE182" s="42" t="s">
        <v>45</v>
      </c>
      <c r="AF182" s="42" t="s">
        <v>45</v>
      </c>
      <c r="AG182" s="42" t="s">
        <v>45</v>
      </c>
      <c r="AH182" s="42" t="s">
        <v>45</v>
      </c>
      <c r="AI182" s="42" t="s">
        <v>45</v>
      </c>
      <c r="AJ182" s="42" t="s">
        <v>45</v>
      </c>
      <c r="AK182" s="42" t="s">
        <v>45</v>
      </c>
      <c r="AL182" s="42" t="s">
        <v>45</v>
      </c>
      <c r="AM182" s="42" t="s">
        <v>45</v>
      </c>
      <c r="AN182" s="42" t="s">
        <v>45</v>
      </c>
      <c r="AO182" s="43" t="s">
        <v>45</v>
      </c>
      <c r="AP182" s="42" t="s">
        <v>64</v>
      </c>
      <c r="AQ182" s="42">
        <v>8</v>
      </c>
      <c r="AR182" s="50" t="s">
        <v>353</v>
      </c>
      <c r="AS182" s="45" t="s">
        <v>734</v>
      </c>
      <c r="AT182" s="45" t="s">
        <v>47</v>
      </c>
      <c r="AU182" s="46">
        <f>($O$3*(L182-$O$1)/$O$2+$P$3*(M182-$P$1)/$P$2+$Q$3*(N182-$P$1)/$Q$2)/SUM($O$3:$Q$3)</f>
        <v>-2.311361197028369</v>
      </c>
      <c r="AV182" s="46">
        <f>($O$3*(O182-$O$1)/$O$2+$P$3*(P182-$P$1)/$P$2+$Q$3*(Q182-$Q$1)/$Q$2)/SUM($O$3:$Q$3)</f>
        <v>-1.0394719067096667</v>
      </c>
      <c r="AW182" s="47">
        <f>COUNT(R182:AO182)/2</f>
        <v>3</v>
      </c>
      <c r="AX182" s="47">
        <f>IF(AND(S182&lt;&gt;"-",S182&gt;5),1,0)+IF(AND(U182&lt;&gt;"-",U182&gt;5),1,0)+IF(AND(W182&lt;&gt;"-",W182&gt;5),1,0)+IF(AND(Y182&lt;&gt;"-",Y182&gt;5),1,0)+IF(AND(AA182&lt;&gt;"-",AA182&gt;5),1,0)+IF(AND(AC182&lt;&gt;"-",AC182&gt;5),1,0)+IF(AND(AE182&lt;&gt;"-",AE182&gt;5),1,0)+IF(AND(AG182&lt;&gt;"-",AG182&gt;5),1,0)+IF(AND(AI182&lt;&gt;"-",AI182&gt;5),1,0)+IF(AND(AK182&lt;&gt;"-",AK182&gt;5),1,0)+IF(AND(AM182&lt;&gt;"-",AM182&gt;5),1,0)+IF(AND(AO182&lt;&gt;"-",AO182&gt;5),1,0)</f>
        <v>1</v>
      </c>
      <c r="AY182" s="48">
        <f>VLOOKUP(AP182,COND!$A$10:$B$32,2,FALSE)</f>
        <v>1</v>
      </c>
      <c r="AZ182" s="46">
        <f>($AU$3*AU182+$AV$3*AV182+$AW$3*AW182+$AX$3*AX182)*AY182*IF(AQ182&lt;5,0.95,IF(AQ182&lt;7,0.975,1))+$I$3*VLOOKUP(I182,COND!$A$2:$E$7,4,FALSE)+$J$3*VLOOKUP(J182,COND!$A$2:$E$7,2,FALSE)+$K$3*VLOOKUP(K182,COND!$A$2:$E$7,3,FALSE)+IF(BB182="SP",$BB$3,0)+IF($AW182&lt;3,-5,0)+IF(AND($B$2&gt;0,$E182&lt;20),$B$2*25,0)</f>
        <v>33.348289626400991</v>
      </c>
      <c r="BA182" s="49">
        <f>STANDARDIZE(AZ182,AVERAGE($AZ$5:$AZ$570),STDEVP($AZ$5:$AZ$570))</f>
        <v>5.7410431169498941E-2</v>
      </c>
      <c r="BB182" s="47" t="str">
        <f>IF(OR(AND(AQ182&gt;7,AX182&gt;1),AND(AQ182&gt;4,AW182&gt;2)),"SP","RP")</f>
        <v>SP</v>
      </c>
      <c r="BC182" s="47"/>
      <c r="BD182" s="47"/>
      <c r="BE182" s="47"/>
      <c r="BF182" s="47" t="str">
        <f>IF(AVERAGE($O182:$Q182)&gt;=6,"Likely",IF(AVERAGE($O182:$Q182)&gt;=4,"Possible","Unlikely"))</f>
        <v>Unlikely</v>
      </c>
      <c r="BG182" s="47"/>
      <c r="BH182" s="47" t="str">
        <f>INDEX(Table5[[#All],[Ovr]],MATCH(Table3[[#This Row],[PID]],Table5[[#All],[PID]],0))</f>
        <v/>
      </c>
      <c r="BI182" s="47" t="str">
        <f>INDEX(Table5[[#All],[Rnd]],MATCH(Table3[[#This Row],[PID]],Table5[[#All],[PID]],0))</f>
        <v/>
      </c>
      <c r="BJ182" s="47" t="str">
        <f>INDEX(Table5[[#All],[Pick]],MATCH(Table3[[#This Row],[PID]],Table5[[#All],[PID]],0))</f>
        <v/>
      </c>
      <c r="BK182" s="47" t="str">
        <f>INDEX(Table5[[#All],[Team]],MATCH(Table3[[#This Row],[PID]],Table5[[#All],[PID]],0))</f>
        <v/>
      </c>
      <c r="BL1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3" spans="1:64" ht="15" customHeight="1" x14ac:dyDescent="0.25">
      <c r="A183" s="42">
        <v>11059</v>
      </c>
      <c r="B183" s="42" t="s">
        <v>430</v>
      </c>
      <c r="C183" s="42" t="s">
        <v>149</v>
      </c>
      <c r="D183" s="42" t="s">
        <v>1501</v>
      </c>
      <c r="E183" s="42">
        <v>18</v>
      </c>
      <c r="F183" s="42" t="s">
        <v>42</v>
      </c>
      <c r="G183" s="42" t="s">
        <v>42</v>
      </c>
      <c r="H183" s="43" t="s">
        <v>721</v>
      </c>
      <c r="I183" s="44" t="s">
        <v>43</v>
      </c>
      <c r="J183" s="42" t="s">
        <v>43</v>
      </c>
      <c r="K183" s="43" t="s">
        <v>44</v>
      </c>
      <c r="L183" s="42">
        <v>2</v>
      </c>
      <c r="M183" s="42">
        <v>1</v>
      </c>
      <c r="N183" s="43">
        <v>1</v>
      </c>
      <c r="O183" s="42">
        <v>5</v>
      </c>
      <c r="P183" s="42">
        <v>2</v>
      </c>
      <c r="Q183" s="43">
        <v>2</v>
      </c>
      <c r="R183" s="42">
        <v>4</v>
      </c>
      <c r="S183" s="42">
        <v>7</v>
      </c>
      <c r="T183" s="42">
        <v>1</v>
      </c>
      <c r="U183" s="42">
        <v>2</v>
      </c>
      <c r="V183" s="42">
        <v>2</v>
      </c>
      <c r="W183" s="42">
        <v>7</v>
      </c>
      <c r="X183" s="42" t="s">
        <v>45</v>
      </c>
      <c r="Y183" s="42" t="s">
        <v>45</v>
      </c>
      <c r="Z183" s="42" t="s">
        <v>45</v>
      </c>
      <c r="AA183" s="42" t="s">
        <v>45</v>
      </c>
      <c r="AB183" s="42" t="s">
        <v>45</v>
      </c>
      <c r="AC183" s="42" t="s">
        <v>45</v>
      </c>
      <c r="AD183" s="42" t="s">
        <v>45</v>
      </c>
      <c r="AE183" s="42" t="s">
        <v>45</v>
      </c>
      <c r="AF183" s="42" t="s">
        <v>45</v>
      </c>
      <c r="AG183" s="42" t="s">
        <v>45</v>
      </c>
      <c r="AH183" s="42" t="s">
        <v>45</v>
      </c>
      <c r="AI183" s="42" t="s">
        <v>45</v>
      </c>
      <c r="AJ183" s="42" t="s">
        <v>45</v>
      </c>
      <c r="AK183" s="42" t="s">
        <v>45</v>
      </c>
      <c r="AL183" s="42" t="s">
        <v>45</v>
      </c>
      <c r="AM183" s="42" t="s">
        <v>45</v>
      </c>
      <c r="AN183" s="42" t="s">
        <v>45</v>
      </c>
      <c r="AO183" s="43" t="s">
        <v>45</v>
      </c>
      <c r="AP183" s="42" t="s">
        <v>60</v>
      </c>
      <c r="AQ183" s="42">
        <v>7</v>
      </c>
      <c r="AR183" s="50" t="s">
        <v>353</v>
      </c>
      <c r="AS183" s="45" t="s">
        <v>745</v>
      </c>
      <c r="AT183" s="45" t="s">
        <v>47</v>
      </c>
      <c r="AU183" s="46">
        <f>($O$3*(L183-$O$1)/$O$2+$P$3*(M183-$P$1)/$P$2+$Q$3*(N183-$P$1)/$Q$2)/SUM($O$3:$Q$3)</f>
        <v>-2.5067929134584248</v>
      </c>
      <c r="AV183" s="46">
        <f>($O$3*(O183-$O$1)/$O$2+$P$3*(P183-$P$1)/$P$2+$Q$3*(Q183-$Q$1)/$Q$2)/SUM($O$3:$Q$3)</f>
        <v>-1.0394719067096667</v>
      </c>
      <c r="AW183" s="47">
        <f>COUNT(R183:AO183)/2</f>
        <v>3</v>
      </c>
      <c r="AX183" s="47">
        <f>IF(AND(S183&lt;&gt;"-",S183&gt;5),1,0)+IF(AND(U183&lt;&gt;"-",U183&gt;5),1,0)+IF(AND(W183&lt;&gt;"-",W183&gt;5),1,0)+IF(AND(Y183&lt;&gt;"-",Y183&gt;5),1,0)+IF(AND(AA183&lt;&gt;"-",AA183&gt;5),1,0)+IF(AND(AC183&lt;&gt;"-",AC183&gt;5),1,0)+IF(AND(AE183&lt;&gt;"-",AE183&gt;5),1,0)+IF(AND(AG183&lt;&gt;"-",AG183&gt;5),1,0)+IF(AND(AI183&lt;&gt;"-",AI183&gt;5),1,0)+IF(AND(AK183&lt;&gt;"-",AK183&gt;5),1,0)+IF(AND(AM183&lt;&gt;"-",AM183&gt;5),1,0)+IF(AND(AO183&lt;&gt;"-",AO183&gt;5),1,0)</f>
        <v>2</v>
      </c>
      <c r="AY183" s="48">
        <f>VLOOKUP(AP183,COND!$A$10:$B$32,2,FALSE)</f>
        <v>1.0249999999999999</v>
      </c>
      <c r="AZ183" s="46">
        <f>($AU$3*AU183+$AV$3*AV183+$AW$3*AW183+$AX$3*AX183)*AY183*IF(AQ183&lt;5,0.95,IF(AQ183&lt;7,0.975,1))+$I$3*VLOOKUP(I183,COND!$A$2:$E$7,4,FALSE)+$J$3*VLOOKUP(J183,COND!$A$2:$E$7,2,FALSE)+$K$3*VLOOKUP(K183,COND!$A$2:$E$7,3,FALSE)+IF(BB183="SP",$BB$3,0)+IF($AW183&lt;3,-5,0)+IF(AND($B$2&gt;0,$E183&lt;20),$B$2*25,0)</f>
        <v>33.976933365192856</v>
      </c>
      <c r="BA183" s="49">
        <f>STANDARDIZE(AZ183,AVERAGE($AZ$5:$AZ$570),STDEVP($AZ$5:$AZ$570))</f>
        <v>0.11505974889652294</v>
      </c>
      <c r="BB183" s="47" t="str">
        <f>IF(OR(AND(AQ183&gt;7,AX183&gt;1),AND(AQ183&gt;4,AW183&gt;2)),"SP","RP")</f>
        <v>SP</v>
      </c>
      <c r="BC183" s="47"/>
      <c r="BD183" s="47"/>
      <c r="BE183" s="47"/>
      <c r="BF183" s="47" t="str">
        <f>IF(AVERAGE($O183:$Q183)&gt;=6,"Likely",IF(AVERAGE($O183:$Q183)&gt;=4,"Possible","Unlikely"))</f>
        <v>Unlikely</v>
      </c>
      <c r="BG183" s="47"/>
      <c r="BH183" s="47" t="str">
        <f>INDEX(Table5[[#All],[Ovr]],MATCH(Table3[[#This Row],[PID]],Table5[[#All],[PID]],0))</f>
        <v/>
      </c>
      <c r="BI183" s="47" t="str">
        <f>INDEX(Table5[[#All],[Rnd]],MATCH(Table3[[#This Row],[PID]],Table5[[#All],[PID]],0))</f>
        <v/>
      </c>
      <c r="BJ183" s="47" t="str">
        <f>INDEX(Table5[[#All],[Pick]],MATCH(Table3[[#This Row],[PID]],Table5[[#All],[PID]],0))</f>
        <v/>
      </c>
      <c r="BK183" s="47" t="str">
        <f>INDEX(Table5[[#All],[Team]],MATCH(Table3[[#This Row],[PID]],Table5[[#All],[PID]],0))</f>
        <v/>
      </c>
      <c r="BL1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4" spans="1:64" ht="15" customHeight="1" x14ac:dyDescent="0.25">
      <c r="A184" s="42">
        <v>7235</v>
      </c>
      <c r="B184" s="42" t="s">
        <v>24</v>
      </c>
      <c r="C184" s="42" t="s">
        <v>666</v>
      </c>
      <c r="D184" s="42" t="s">
        <v>1523</v>
      </c>
      <c r="E184" s="42">
        <v>20</v>
      </c>
      <c r="F184" s="42" t="s">
        <v>42</v>
      </c>
      <c r="G184" s="42" t="s">
        <v>42</v>
      </c>
      <c r="H184" s="43" t="s">
        <v>721</v>
      </c>
      <c r="I184" s="44" t="s">
        <v>44</v>
      </c>
      <c r="J184" s="42" t="s">
        <v>47</v>
      </c>
      <c r="K184" s="43" t="s">
        <v>43</v>
      </c>
      <c r="L184" s="42">
        <v>4</v>
      </c>
      <c r="M184" s="42">
        <v>1</v>
      </c>
      <c r="N184" s="43">
        <v>2</v>
      </c>
      <c r="O184" s="42">
        <v>5</v>
      </c>
      <c r="P184" s="42">
        <v>1</v>
      </c>
      <c r="Q184" s="43">
        <v>3</v>
      </c>
      <c r="R184" s="42">
        <v>5</v>
      </c>
      <c r="S184" s="42">
        <v>6</v>
      </c>
      <c r="T184" s="42">
        <v>6</v>
      </c>
      <c r="U184" s="42">
        <v>7</v>
      </c>
      <c r="V184" s="42">
        <v>4</v>
      </c>
      <c r="W184" s="42">
        <v>7</v>
      </c>
      <c r="X184" s="42" t="s">
        <v>45</v>
      </c>
      <c r="Y184" s="42" t="s">
        <v>45</v>
      </c>
      <c r="Z184" s="42" t="s">
        <v>45</v>
      </c>
      <c r="AA184" s="42" t="s">
        <v>45</v>
      </c>
      <c r="AB184" s="42" t="s">
        <v>45</v>
      </c>
      <c r="AC184" s="42" t="s">
        <v>45</v>
      </c>
      <c r="AD184" s="42" t="s">
        <v>45</v>
      </c>
      <c r="AE184" s="42" t="s">
        <v>45</v>
      </c>
      <c r="AF184" s="42" t="s">
        <v>45</v>
      </c>
      <c r="AG184" s="42" t="s">
        <v>45</v>
      </c>
      <c r="AH184" s="42" t="s">
        <v>45</v>
      </c>
      <c r="AI184" s="42" t="s">
        <v>45</v>
      </c>
      <c r="AJ184" s="42" t="s">
        <v>45</v>
      </c>
      <c r="AK184" s="42" t="s">
        <v>45</v>
      </c>
      <c r="AL184" s="42" t="s">
        <v>45</v>
      </c>
      <c r="AM184" s="42" t="s">
        <v>45</v>
      </c>
      <c r="AN184" s="42" t="s">
        <v>45</v>
      </c>
      <c r="AO184" s="43" t="s">
        <v>45</v>
      </c>
      <c r="AP184" s="42" t="s">
        <v>58</v>
      </c>
      <c r="AQ184" s="42">
        <v>6</v>
      </c>
      <c r="AR184" s="50" t="s">
        <v>357</v>
      </c>
      <c r="AS184" s="45" t="s">
        <v>45</v>
      </c>
      <c r="AT184" s="45" t="s">
        <v>47</v>
      </c>
      <c r="AU184" s="46">
        <f>($O$3*(L184-$O$1)/$O$2+$P$3*(M184-$P$1)/$P$2+$Q$3*(N184-$P$1)/$Q$2)/SUM($O$3:$Q$3)</f>
        <v>-1.8750896983859671</v>
      </c>
      <c r="AV184" s="46">
        <f>($O$3*(O184-$O$1)/$O$2+$P$3*(P184-$P$1)/$P$2+$Q$3*(Q184-$Q$1)/$Q$2)/SUM($O$3:$Q$3)</f>
        <v>-0.99258305708561179</v>
      </c>
      <c r="AW184" s="47">
        <f>COUNT(R184:AO184)/2</f>
        <v>3</v>
      </c>
      <c r="AX184" s="47">
        <f>IF(AND(S184&lt;&gt;"-",S184&gt;5),1,0)+IF(AND(U184&lt;&gt;"-",U184&gt;5),1,0)+IF(AND(W184&lt;&gt;"-",W184&gt;5),1,0)+IF(AND(Y184&lt;&gt;"-",Y184&gt;5),1,0)+IF(AND(AA184&lt;&gt;"-",AA184&gt;5),1,0)+IF(AND(AC184&lt;&gt;"-",AC184&gt;5),1,0)+IF(AND(AE184&lt;&gt;"-",AE184&gt;5),1,0)+IF(AND(AG184&lt;&gt;"-",AG184&gt;5),1,0)+IF(AND(AI184&lt;&gt;"-",AI184&gt;5),1,0)+IF(AND(AK184&lt;&gt;"-",AK184&gt;5),1,0)+IF(AND(AM184&lt;&gt;"-",AM184&gt;5),1,0)+IF(AND(AO184&lt;&gt;"-",AO184&gt;5),1,0)</f>
        <v>3</v>
      </c>
      <c r="AY184" s="48">
        <f>VLOOKUP(AP184,COND!$A$10:$B$32,2,FALSE)</f>
        <v>1</v>
      </c>
      <c r="AZ184" s="46">
        <f>($AU$3*AU184+$AV$3*AV184+$AW$3*AW184+$AX$3*AX184)*AY184*IF(AQ184&lt;5,0.95,IF(AQ184&lt;7,0.975,1))+$I$3*VLOOKUP(I184,COND!$A$2:$E$7,4,FALSE)+$J$3*VLOOKUP(J184,COND!$A$2:$E$7,2,FALSE)+$K$3*VLOOKUP(K184,COND!$A$2:$E$7,3,FALSE)+IF(BB184="SP",$BB$3,0)+IF($AW184&lt;3,-5,0)+IF(AND($B$2&gt;0,$E184&lt;20),$B$2*25,0)</f>
        <v>32.547737895645312</v>
      </c>
      <c r="BA184" s="49">
        <f>STANDARDIZE(AZ184,AVERAGE($AZ$5:$AZ$570),STDEVP($AZ$5:$AZ$570))</f>
        <v>-1.6003584170806703E-2</v>
      </c>
      <c r="BB184" s="47" t="str">
        <f>IF(OR(AND(AQ184&gt;7,AX184&gt;1),AND(AQ184&gt;4,AW184&gt;2)),"SP","RP")</f>
        <v>SP</v>
      </c>
      <c r="BC184" s="47"/>
      <c r="BD184" s="47"/>
      <c r="BE184" s="47"/>
      <c r="BF184" s="47" t="str">
        <f>IF(AVERAGE($O184:$Q184)&gt;=6,"Likely",IF(AVERAGE($O184:$Q184)&gt;=4,"Possible","Unlikely"))</f>
        <v>Unlikely</v>
      </c>
      <c r="BG184" s="47"/>
      <c r="BH184" s="47" t="str">
        <f>INDEX(Table5[[#All],[Ovr]],MATCH(Table3[[#This Row],[PID]],Table5[[#All],[PID]],0))</f>
        <v/>
      </c>
      <c r="BI184" s="47" t="str">
        <f>INDEX(Table5[[#All],[Rnd]],MATCH(Table3[[#This Row],[PID]],Table5[[#All],[PID]],0))</f>
        <v/>
      </c>
      <c r="BJ184" s="47" t="str">
        <f>INDEX(Table5[[#All],[Pick]],MATCH(Table3[[#This Row],[PID]],Table5[[#All],[PID]],0))</f>
        <v/>
      </c>
      <c r="BK184" s="47" t="str">
        <f>INDEX(Table5[[#All],[Team]],MATCH(Table3[[#This Row],[PID]],Table5[[#All],[PID]],0))</f>
        <v/>
      </c>
      <c r="BL1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5" spans="1:64" ht="15" customHeight="1" x14ac:dyDescent="0.25">
      <c r="A185" s="42">
        <v>17900</v>
      </c>
      <c r="B185" s="42" t="s">
        <v>24</v>
      </c>
      <c r="C185" s="42" t="s">
        <v>1571</v>
      </c>
      <c r="D185" s="42" t="s">
        <v>387</v>
      </c>
      <c r="E185" s="42">
        <v>18</v>
      </c>
      <c r="F185" s="42" t="s">
        <v>42</v>
      </c>
      <c r="G185" s="42" t="s">
        <v>42</v>
      </c>
      <c r="H185" s="43" t="s">
        <v>721</v>
      </c>
      <c r="I185" s="44" t="s">
        <v>43</v>
      </c>
      <c r="J185" s="42" t="s">
        <v>47</v>
      </c>
      <c r="K185" s="43" t="s">
        <v>47</v>
      </c>
      <c r="L185" s="42">
        <v>2</v>
      </c>
      <c r="M185" s="42">
        <v>2</v>
      </c>
      <c r="N185" s="43">
        <v>1</v>
      </c>
      <c r="O185" s="42">
        <v>4</v>
      </c>
      <c r="P185" s="42">
        <v>2</v>
      </c>
      <c r="Q185" s="43">
        <v>2</v>
      </c>
      <c r="R185" s="42">
        <v>4</v>
      </c>
      <c r="S185" s="42">
        <v>6</v>
      </c>
      <c r="T185" s="42">
        <v>1</v>
      </c>
      <c r="U185" s="42">
        <v>4</v>
      </c>
      <c r="V185" s="42">
        <v>2</v>
      </c>
      <c r="W185" s="42">
        <v>5</v>
      </c>
      <c r="X185" s="42">
        <v>2</v>
      </c>
      <c r="Y185" s="42">
        <v>4</v>
      </c>
      <c r="Z185" s="42" t="s">
        <v>45</v>
      </c>
      <c r="AA185" s="42" t="s">
        <v>45</v>
      </c>
      <c r="AB185" s="42" t="s">
        <v>45</v>
      </c>
      <c r="AC185" s="42" t="s">
        <v>45</v>
      </c>
      <c r="AD185" s="42" t="s">
        <v>45</v>
      </c>
      <c r="AE185" s="42" t="s">
        <v>45</v>
      </c>
      <c r="AF185" s="42">
        <v>3</v>
      </c>
      <c r="AG185" s="42">
        <v>5</v>
      </c>
      <c r="AH185" s="42" t="s">
        <v>45</v>
      </c>
      <c r="AI185" s="42" t="s">
        <v>45</v>
      </c>
      <c r="AJ185" s="42" t="s">
        <v>45</v>
      </c>
      <c r="AK185" s="42" t="s">
        <v>45</v>
      </c>
      <c r="AL185" s="42">
        <v>2</v>
      </c>
      <c r="AM185" s="42">
        <v>2</v>
      </c>
      <c r="AN185" s="42" t="s">
        <v>45</v>
      </c>
      <c r="AO185" s="43" t="s">
        <v>45</v>
      </c>
      <c r="AP185" s="42" t="s">
        <v>56</v>
      </c>
      <c r="AQ185" s="42">
        <v>8</v>
      </c>
      <c r="AR185" s="50" t="s">
        <v>353</v>
      </c>
      <c r="AS185" s="45" t="s">
        <v>718</v>
      </c>
      <c r="AT185" s="45" t="s">
        <v>705</v>
      </c>
      <c r="AU185" s="46">
        <f>($O$3*(L185-$O$1)/$O$2+$P$3*(M185-$P$1)/$P$2+$Q$3*(N185-$P$1)/$Q$2)/SUM($O$3:$Q$3)</f>
        <v>-2.311361197028369</v>
      </c>
      <c r="AV185" s="46">
        <f>($O$3*(O185-$O$1)/$O$2+$P$3*(P185-$P$1)/$P$2+$Q$3*(Q185-$Q$1)/$Q$2)/SUM($O$3:$Q$3)</f>
        <v>-1.23416323121884</v>
      </c>
      <c r="AW185" s="47">
        <f>COUNT(R185:AO185)/2</f>
        <v>6</v>
      </c>
      <c r="AX185" s="47">
        <f>IF(AND(S185&lt;&gt;"-",S185&gt;5),1,0)+IF(AND(U185&lt;&gt;"-",U185&gt;5),1,0)+IF(AND(W185&lt;&gt;"-",W185&gt;5),1,0)+IF(AND(Y185&lt;&gt;"-",Y185&gt;5),1,0)+IF(AND(AA185&lt;&gt;"-",AA185&gt;5),1,0)+IF(AND(AC185&lt;&gt;"-",AC185&gt;5),1,0)+IF(AND(AE185&lt;&gt;"-",AE185&gt;5),1,0)+IF(AND(AG185&lt;&gt;"-",AG185&gt;5),1,0)+IF(AND(AI185&lt;&gt;"-",AI185&gt;5),1,0)+IF(AND(AK185&lt;&gt;"-",AK185&gt;5),1,0)+IF(AND(AM185&lt;&gt;"-",AM185&gt;5),1,0)+IF(AND(AO185&lt;&gt;"-",AO185&gt;5),1,0)</f>
        <v>1</v>
      </c>
      <c r="AY185" s="48">
        <f>VLOOKUP(AP185,COND!$A$10:$B$32,2,FALSE)</f>
        <v>1</v>
      </c>
      <c r="AZ185" s="46">
        <f>($AU$3*AU185+$AV$3*AV185+$AW$3*AW185+$AX$3*AX185)*AY185*IF(AQ185&lt;5,0.95,IF(AQ185&lt;7,0.975,1))+$I$3*VLOOKUP(I185,COND!$A$2:$E$7,4,FALSE)+$J$3*VLOOKUP(J185,COND!$A$2:$E$7,2,FALSE)+$K$3*VLOOKUP(K185,COND!$A$2:$E$7,3,FALSE)+IF(BB185="SP",$BB$3,0)+IF($AW185&lt;3,-5,0)+IF(AND($B$2&gt;0,$E185&lt;20),$B$2*25,0)</f>
        <v>31.704463136217527</v>
      </c>
      <c r="BA185" s="49">
        <f>STANDARDIZE(AZ185,AVERAGE($AZ$5:$AZ$570),STDEVP($AZ$5:$AZ$570))</f>
        <v>-9.3335483842406863E-2</v>
      </c>
      <c r="BB185" s="47" t="str">
        <f>IF(OR(AND(AQ185&gt;7,AX185&gt;1),AND(AQ185&gt;4,AW185&gt;2)),"SP","RP")</f>
        <v>SP</v>
      </c>
      <c r="BC185" s="47"/>
      <c r="BD185" s="47"/>
      <c r="BE185" s="47"/>
      <c r="BF185" s="47" t="str">
        <f>IF(AVERAGE($O185:$Q185)&gt;=6,"Likely",IF(AVERAGE($O185:$Q185)&gt;=4,"Possible","Unlikely"))</f>
        <v>Unlikely</v>
      </c>
      <c r="BG185" s="47"/>
      <c r="BH185" s="47" t="str">
        <f>INDEX(Table5[[#All],[Ovr]],MATCH(Table3[[#This Row],[PID]],Table5[[#All],[PID]],0))</f>
        <v/>
      </c>
      <c r="BI185" s="47" t="str">
        <f>INDEX(Table5[[#All],[Rnd]],MATCH(Table3[[#This Row],[PID]],Table5[[#All],[PID]],0))</f>
        <v/>
      </c>
      <c r="BJ185" s="47" t="str">
        <f>INDEX(Table5[[#All],[Pick]],MATCH(Table3[[#This Row],[PID]],Table5[[#All],[PID]],0))</f>
        <v/>
      </c>
      <c r="BK185" s="47" t="str">
        <f>INDEX(Table5[[#All],[Team]],MATCH(Table3[[#This Row],[PID]],Table5[[#All],[PID]],0))</f>
        <v/>
      </c>
      <c r="BL1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6" spans="1:64" ht="15" customHeight="1" x14ac:dyDescent="0.25">
      <c r="A186" s="42">
        <v>17929</v>
      </c>
      <c r="B186" s="42" t="s">
        <v>430</v>
      </c>
      <c r="C186" s="42" t="s">
        <v>1626</v>
      </c>
      <c r="D186" s="42" t="s">
        <v>882</v>
      </c>
      <c r="E186" s="42">
        <v>18</v>
      </c>
      <c r="F186" s="42" t="s">
        <v>53</v>
      </c>
      <c r="G186" s="42" t="s">
        <v>53</v>
      </c>
      <c r="H186" s="43" t="s">
        <v>721</v>
      </c>
      <c r="I186" s="44" t="s">
        <v>43</v>
      </c>
      <c r="J186" s="42" t="s">
        <v>44</v>
      </c>
      <c r="K186" s="43" t="s">
        <v>43</v>
      </c>
      <c r="L186" s="42">
        <v>1</v>
      </c>
      <c r="M186" s="42">
        <v>2</v>
      </c>
      <c r="N186" s="43">
        <v>1</v>
      </c>
      <c r="O186" s="42">
        <v>4</v>
      </c>
      <c r="P186" s="42">
        <v>2</v>
      </c>
      <c r="Q186" s="43">
        <v>3</v>
      </c>
      <c r="R186" s="42">
        <v>3</v>
      </c>
      <c r="S186" s="42">
        <v>4</v>
      </c>
      <c r="T186" s="42" t="s">
        <v>45</v>
      </c>
      <c r="U186" s="42" t="s">
        <v>45</v>
      </c>
      <c r="V186" s="42">
        <v>2</v>
      </c>
      <c r="W186" s="42">
        <v>5</v>
      </c>
      <c r="X186" s="42">
        <v>2</v>
      </c>
      <c r="Y186" s="42">
        <v>5</v>
      </c>
      <c r="Z186" s="42" t="s">
        <v>45</v>
      </c>
      <c r="AA186" s="42" t="s">
        <v>45</v>
      </c>
      <c r="AB186" s="42" t="s">
        <v>45</v>
      </c>
      <c r="AC186" s="42" t="s">
        <v>45</v>
      </c>
      <c r="AD186" s="42" t="s">
        <v>45</v>
      </c>
      <c r="AE186" s="42" t="s">
        <v>45</v>
      </c>
      <c r="AF186" s="42" t="s">
        <v>45</v>
      </c>
      <c r="AG186" s="42" t="s">
        <v>45</v>
      </c>
      <c r="AH186" s="42" t="s">
        <v>45</v>
      </c>
      <c r="AI186" s="42" t="s">
        <v>45</v>
      </c>
      <c r="AJ186" s="42" t="s">
        <v>45</v>
      </c>
      <c r="AK186" s="42" t="s">
        <v>45</v>
      </c>
      <c r="AL186" s="42" t="s">
        <v>45</v>
      </c>
      <c r="AM186" s="42" t="s">
        <v>45</v>
      </c>
      <c r="AN186" s="42" t="s">
        <v>45</v>
      </c>
      <c r="AO186" s="43" t="s">
        <v>45</v>
      </c>
      <c r="AP186" s="42" t="s">
        <v>68</v>
      </c>
      <c r="AQ186" s="42">
        <v>8</v>
      </c>
      <c r="AR186" s="50" t="s">
        <v>353</v>
      </c>
      <c r="AS186" s="45" t="s">
        <v>730</v>
      </c>
      <c r="AT186" s="45" t="s">
        <v>705</v>
      </c>
      <c r="AU186" s="46">
        <f>($O$3*(L186-$O$1)/$O$2+$P$3*(M186-$P$1)/$P$2+$Q$3*(N186-$P$1)/$Q$2)/SUM($O$3:$Q$3)</f>
        <v>-2.5060525215375429</v>
      </c>
      <c r="AV186" s="46">
        <f>($O$3*(O186-$O$1)/$O$2+$P$3*(P186-$P$1)/$P$2+$Q$3*(Q186-$Q$1)/$Q$2)/SUM($O$3:$Q$3)</f>
        <v>-0.99184266516472974</v>
      </c>
      <c r="AW186" s="47">
        <f>COUNT(R186:AO186)/2</f>
        <v>3</v>
      </c>
      <c r="AX186" s="47">
        <f>IF(AND(S186&lt;&gt;"-",S186&gt;5),1,0)+IF(AND(U186&lt;&gt;"-",U186&gt;5),1,0)+IF(AND(W186&lt;&gt;"-",W186&gt;5),1,0)+IF(AND(Y186&lt;&gt;"-",Y186&gt;5),1,0)+IF(AND(AA186&lt;&gt;"-",AA186&gt;5),1,0)+IF(AND(AC186&lt;&gt;"-",AC186&gt;5),1,0)+IF(AND(AE186&lt;&gt;"-",AE186&gt;5),1,0)+IF(AND(AG186&lt;&gt;"-",AG186&gt;5),1,0)+IF(AND(AI186&lt;&gt;"-",AI186&gt;5),1,0)+IF(AND(AK186&lt;&gt;"-",AK186&gt;5),1,0)+IF(AND(AM186&lt;&gt;"-",AM186&gt;5),1,0)+IF(AND(AO186&lt;&gt;"-",AO186&gt;5),1,0)</f>
        <v>0</v>
      </c>
      <c r="AY186" s="48">
        <f>VLOOKUP(AP186,COND!$A$10:$B$32,2,FALSE)</f>
        <v>0.95</v>
      </c>
      <c r="AZ186" s="46">
        <f>($AU$3*AU186+$AV$3*AV186+$AW$3*AW186+$AX$3*AX186)*AY186*IF(AQ186&lt;5,0.95,IF(AQ186&lt;7,0.975,1))+$I$3*VLOOKUP(I186,COND!$A$2:$E$7,4,FALSE)+$J$3*VLOOKUP(J186,COND!$A$2:$E$7,2,FALSE)+$K$3*VLOOKUP(K186,COND!$A$2:$E$7,3,FALSE)+IF(BB186="SP",$BB$3,0)+IF($AW186&lt;3,-5,0)+IF(AND($B$2&gt;0,$E186&lt;20),$B$2*25,0)</f>
        <v>33.803839382778001</v>
      </c>
      <c r="BA186" s="49">
        <f>STANDARDIZE(AZ186,AVERAGE($AZ$5:$AZ$570),STDEVP($AZ$5:$AZ$570))</f>
        <v>9.9186290889851064E-2</v>
      </c>
      <c r="BB186" s="47" t="str">
        <f>IF(OR(AND(AQ186&gt;7,AX186&gt;1),AND(AQ186&gt;4,AW186&gt;2)),"SP","RP")</f>
        <v>SP</v>
      </c>
      <c r="BC186" s="47"/>
      <c r="BD186" s="47"/>
      <c r="BE186" s="47"/>
      <c r="BF186" s="47" t="str">
        <f>IF(AVERAGE($O186:$Q186)&gt;=6,"Likely",IF(AVERAGE($O186:$Q186)&gt;=4,"Possible","Unlikely"))</f>
        <v>Unlikely</v>
      </c>
      <c r="BG186" s="47"/>
      <c r="BH186" s="47" t="str">
        <f>INDEX(Table5[[#All],[Ovr]],MATCH(Table3[[#This Row],[PID]],Table5[[#All],[PID]],0))</f>
        <v/>
      </c>
      <c r="BI186" s="47" t="str">
        <f>INDEX(Table5[[#All],[Rnd]],MATCH(Table3[[#This Row],[PID]],Table5[[#All],[PID]],0))</f>
        <v/>
      </c>
      <c r="BJ186" s="47" t="str">
        <f>INDEX(Table5[[#All],[Pick]],MATCH(Table3[[#This Row],[PID]],Table5[[#All],[PID]],0))</f>
        <v/>
      </c>
      <c r="BK186" s="47" t="str">
        <f>INDEX(Table5[[#All],[Team]],MATCH(Table3[[#This Row],[PID]],Table5[[#All],[PID]],0))</f>
        <v/>
      </c>
      <c r="BL1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7" spans="1:64" ht="15" customHeight="1" x14ac:dyDescent="0.25">
      <c r="A187" s="42">
        <v>8540</v>
      </c>
      <c r="B187" s="42" t="s">
        <v>49</v>
      </c>
      <c r="C187" s="42" t="s">
        <v>343</v>
      </c>
      <c r="D187" s="42" t="s">
        <v>873</v>
      </c>
      <c r="E187" s="42">
        <v>22</v>
      </c>
      <c r="F187" s="42" t="s">
        <v>42</v>
      </c>
      <c r="G187" s="42" t="s">
        <v>42</v>
      </c>
      <c r="H187" s="43" t="s">
        <v>721</v>
      </c>
      <c r="I187" s="44" t="s">
        <v>43</v>
      </c>
      <c r="J187" s="42" t="s">
        <v>43</v>
      </c>
      <c r="K187" s="43" t="s">
        <v>43</v>
      </c>
      <c r="L187" s="42">
        <v>3</v>
      </c>
      <c r="M187" s="42">
        <v>3</v>
      </c>
      <c r="N187" s="43">
        <v>2</v>
      </c>
      <c r="O187" s="42">
        <v>4</v>
      </c>
      <c r="P187" s="42">
        <v>3</v>
      </c>
      <c r="Q187" s="43">
        <v>3</v>
      </c>
      <c r="R187" s="42">
        <v>4</v>
      </c>
      <c r="S187" s="42">
        <v>5</v>
      </c>
      <c r="T187" s="42">
        <v>1</v>
      </c>
      <c r="U187" s="42">
        <v>3</v>
      </c>
      <c r="V187" s="42">
        <v>3</v>
      </c>
      <c r="W187" s="42">
        <v>5</v>
      </c>
      <c r="X187" s="42" t="s">
        <v>45</v>
      </c>
      <c r="Y187" s="42" t="s">
        <v>45</v>
      </c>
      <c r="Z187" s="42">
        <v>3</v>
      </c>
      <c r="AA187" s="42">
        <v>4</v>
      </c>
      <c r="AB187" s="42" t="s">
        <v>45</v>
      </c>
      <c r="AC187" s="42" t="s">
        <v>45</v>
      </c>
      <c r="AD187" s="42" t="s">
        <v>45</v>
      </c>
      <c r="AE187" s="42" t="s">
        <v>45</v>
      </c>
      <c r="AF187" s="42" t="s">
        <v>45</v>
      </c>
      <c r="AG187" s="42" t="s">
        <v>45</v>
      </c>
      <c r="AH187" s="42" t="s">
        <v>45</v>
      </c>
      <c r="AI187" s="42" t="s">
        <v>45</v>
      </c>
      <c r="AJ187" s="42" t="s">
        <v>45</v>
      </c>
      <c r="AK187" s="42" t="s">
        <v>45</v>
      </c>
      <c r="AL187" s="42" t="s">
        <v>45</v>
      </c>
      <c r="AM187" s="42" t="s">
        <v>45</v>
      </c>
      <c r="AN187" s="42" t="s">
        <v>45</v>
      </c>
      <c r="AO187" s="43" t="s">
        <v>45</v>
      </c>
      <c r="AP187" s="42" t="s">
        <v>56</v>
      </c>
      <c r="AQ187" s="42">
        <v>6</v>
      </c>
      <c r="AR187" s="50" t="s">
        <v>352</v>
      </c>
      <c r="AS187" s="45" t="s">
        <v>45</v>
      </c>
      <c r="AT187" s="45" t="s">
        <v>705</v>
      </c>
      <c r="AU187" s="46">
        <f>($O$3*(L187-$O$1)/$O$2+$P$3*(M187-$P$1)/$P$2+$Q$3*(N187-$P$1)/$Q$2)/SUM($O$3:$Q$3)</f>
        <v>-1.6789175900350299</v>
      </c>
      <c r="AV187" s="46">
        <f>($O$3*(O187-$O$1)/$O$2+$P$3*(P187-$P$1)/$P$2+$Q$3*(Q187-$Q$1)/$Q$2)/SUM($O$3:$Q$3)</f>
        <v>-0.79641094873467422</v>
      </c>
      <c r="AW187" s="47">
        <f>COUNT(R187:AO187)/2</f>
        <v>4</v>
      </c>
      <c r="AX187" s="47">
        <f>IF(AND(S187&lt;&gt;"-",S187&gt;5),1,0)+IF(AND(U187&lt;&gt;"-",U187&gt;5),1,0)+IF(AND(W187&lt;&gt;"-",W187&gt;5),1,0)+IF(AND(Y187&lt;&gt;"-",Y187&gt;5),1,0)+IF(AND(AA187&lt;&gt;"-",AA187&gt;5),1,0)+IF(AND(AC187&lt;&gt;"-",AC187&gt;5),1,0)+IF(AND(AE187&lt;&gt;"-",AE187&gt;5),1,0)+IF(AND(AG187&lt;&gt;"-",AG187&gt;5),1,0)+IF(AND(AI187&lt;&gt;"-",AI187&gt;5),1,0)+IF(AND(AK187&lt;&gt;"-",AK187&gt;5),1,0)+IF(AND(AM187&lt;&gt;"-",AM187&gt;5),1,0)+IF(AND(AO187&lt;&gt;"-",AO187&gt;5),1,0)</f>
        <v>0</v>
      </c>
      <c r="AY187" s="48">
        <f>VLOOKUP(AP187,COND!$A$10:$B$32,2,FALSE)</f>
        <v>1</v>
      </c>
      <c r="AZ187" s="46">
        <f>($AU$3*AU187+$AV$3*AV187+$AW$3*AW187+$AX$3*AX187)*AY187*IF(AQ187&lt;5,0.95,IF(AQ187&lt;7,0.975,1))+$I$3*VLOOKUP(I187,COND!$A$2:$E$7,4,FALSE)+$J$3*VLOOKUP(J187,COND!$A$2:$E$7,2,FALSE)+$K$3*VLOOKUP(K187,COND!$A$2:$E$7,3,FALSE)+IF(BB187="SP",$BB$3,0)+IF($AW187&lt;3,-5,0)+IF(AND($B$2&gt;0,$E187&lt;20),$B$2*25,0)</f>
        <v>33.09259756961702</v>
      </c>
      <c r="BA187" s="49">
        <f>STANDARDIZE(AZ187,AVERAGE($AZ$5:$AZ$570),STDEVP($AZ$5:$AZ$570))</f>
        <v>3.3962376711589561E-2</v>
      </c>
      <c r="BB187" s="47" t="str">
        <f>IF(OR(AND(AQ187&gt;7,AX187&gt;1),AND(AQ187&gt;4,AW187&gt;2)),"SP","RP")</f>
        <v>SP</v>
      </c>
      <c r="BC187" s="47"/>
      <c r="BD187" s="47"/>
      <c r="BE187" s="47"/>
      <c r="BF187" s="47" t="str">
        <f>IF(AVERAGE($O187:$Q187)&gt;=6,"Likely",IF(AVERAGE($O187:$Q187)&gt;=4,"Possible","Unlikely"))</f>
        <v>Unlikely</v>
      </c>
      <c r="BG187" s="47"/>
      <c r="BH187" s="47" t="str">
        <f>INDEX(Table5[[#All],[Ovr]],MATCH(Table3[[#This Row],[PID]],Table5[[#All],[PID]],0))</f>
        <v/>
      </c>
      <c r="BI187" s="47" t="str">
        <f>INDEX(Table5[[#All],[Rnd]],MATCH(Table3[[#This Row],[PID]],Table5[[#All],[PID]],0))</f>
        <v/>
      </c>
      <c r="BJ187" s="47" t="str">
        <f>INDEX(Table5[[#All],[Pick]],MATCH(Table3[[#This Row],[PID]],Table5[[#All],[PID]],0))</f>
        <v/>
      </c>
      <c r="BK187" s="47" t="str">
        <f>INDEX(Table5[[#All],[Team]],MATCH(Table3[[#This Row],[PID]],Table5[[#All],[PID]],0))</f>
        <v/>
      </c>
      <c r="BL1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8" spans="1:64" ht="15" customHeight="1" x14ac:dyDescent="0.25">
      <c r="A188" s="42">
        <v>7626</v>
      </c>
      <c r="B188" s="42" t="s">
        <v>49</v>
      </c>
      <c r="C188" s="42" t="s">
        <v>779</v>
      </c>
      <c r="D188" s="42" t="s">
        <v>1533</v>
      </c>
      <c r="E188" s="42">
        <v>18</v>
      </c>
      <c r="F188" s="42" t="s">
        <v>42</v>
      </c>
      <c r="G188" s="42" t="s">
        <v>42</v>
      </c>
      <c r="H188" s="43" t="s">
        <v>721</v>
      </c>
      <c r="I188" s="44" t="s">
        <v>43</v>
      </c>
      <c r="J188" s="42" t="s">
        <v>43</v>
      </c>
      <c r="K188" s="43" t="s">
        <v>43</v>
      </c>
      <c r="L188" s="42">
        <v>1</v>
      </c>
      <c r="M188" s="42">
        <v>2</v>
      </c>
      <c r="N188" s="43">
        <v>1</v>
      </c>
      <c r="O188" s="42">
        <v>5</v>
      </c>
      <c r="P188" s="42">
        <v>2</v>
      </c>
      <c r="Q188" s="43">
        <v>3</v>
      </c>
      <c r="R188" s="42">
        <v>2</v>
      </c>
      <c r="S188" s="42">
        <v>6</v>
      </c>
      <c r="T188" s="42" t="s">
        <v>45</v>
      </c>
      <c r="U188" s="42" t="s">
        <v>45</v>
      </c>
      <c r="V188" s="42" t="s">
        <v>45</v>
      </c>
      <c r="W188" s="42" t="s">
        <v>45</v>
      </c>
      <c r="X188" s="42">
        <v>1</v>
      </c>
      <c r="Y188" s="42">
        <v>7</v>
      </c>
      <c r="Z188" s="42" t="s">
        <v>45</v>
      </c>
      <c r="AA188" s="42" t="s">
        <v>45</v>
      </c>
      <c r="AB188" s="42" t="s">
        <v>45</v>
      </c>
      <c r="AC188" s="42" t="s">
        <v>45</v>
      </c>
      <c r="AD188" s="42" t="s">
        <v>45</v>
      </c>
      <c r="AE188" s="42" t="s">
        <v>45</v>
      </c>
      <c r="AF188" s="42" t="s">
        <v>45</v>
      </c>
      <c r="AG188" s="42" t="s">
        <v>45</v>
      </c>
      <c r="AH188" s="42" t="s">
        <v>45</v>
      </c>
      <c r="AI188" s="42" t="s">
        <v>45</v>
      </c>
      <c r="AJ188" s="42" t="s">
        <v>45</v>
      </c>
      <c r="AK188" s="42" t="s">
        <v>45</v>
      </c>
      <c r="AL188" s="42" t="s">
        <v>45</v>
      </c>
      <c r="AM188" s="42" t="s">
        <v>45</v>
      </c>
      <c r="AN188" s="42" t="s">
        <v>45</v>
      </c>
      <c r="AO188" s="43" t="s">
        <v>45</v>
      </c>
      <c r="AP188" s="42" t="s">
        <v>68</v>
      </c>
      <c r="AQ188" s="42">
        <v>6</v>
      </c>
      <c r="AR188" s="50" t="s">
        <v>353</v>
      </c>
      <c r="AS188" s="45" t="s">
        <v>730</v>
      </c>
      <c r="AT188" s="45" t="s">
        <v>47</v>
      </c>
      <c r="AU188" s="46">
        <f>($O$3*(L188-$O$1)/$O$2+$P$3*(M188-$P$1)/$P$2+$Q$3*(N188-$P$1)/$Q$2)/SUM($O$3:$Q$3)</f>
        <v>-2.5060525215375429</v>
      </c>
      <c r="AV188" s="46">
        <f>($O$3*(O188-$O$1)/$O$2+$P$3*(P188-$P$1)/$P$2+$Q$3*(Q188-$Q$1)/$Q$2)/SUM($O$3:$Q$3)</f>
        <v>-0.79715134065555615</v>
      </c>
      <c r="AW188" s="47">
        <f>COUNT(R188:AO188)/2</f>
        <v>2</v>
      </c>
      <c r="AX188" s="47">
        <f>IF(AND(S188&lt;&gt;"-",S188&gt;5),1,0)+IF(AND(U188&lt;&gt;"-",U188&gt;5),1,0)+IF(AND(W188&lt;&gt;"-",W188&gt;5),1,0)+IF(AND(Y188&lt;&gt;"-",Y188&gt;5),1,0)+IF(AND(AA188&lt;&gt;"-",AA188&gt;5),1,0)+IF(AND(AC188&lt;&gt;"-",AC188&gt;5),1,0)+IF(AND(AE188&lt;&gt;"-",AE188&gt;5),1,0)+IF(AND(AG188&lt;&gt;"-",AG188&gt;5),1,0)+IF(AND(AI188&lt;&gt;"-",AI188&gt;5),1,0)+IF(AND(AK188&lt;&gt;"-",AK188&gt;5),1,0)+IF(AND(AM188&lt;&gt;"-",AM188&gt;5),1,0)+IF(AND(AO188&lt;&gt;"-",AO188&gt;5),1,0)</f>
        <v>2</v>
      </c>
      <c r="AY188" s="48">
        <f>VLOOKUP(AP188,COND!$A$10:$B$32,2,FALSE)</f>
        <v>0.95</v>
      </c>
      <c r="AZ188" s="46">
        <f>($AU$3*AU188+$AV$3*AV188+$AW$3*AW188+$AX$3*AX188)*AY188*IF(AQ188&lt;5,0.95,IF(AQ188&lt;7,0.975,1))+$I$3*VLOOKUP(I188,COND!$A$2:$E$7,4,FALSE)+$J$3*VLOOKUP(J188,COND!$A$2:$E$7,2,FALSE)+$K$3*VLOOKUP(K188,COND!$A$2:$E$7,3,FALSE)+IF(BB188="SP",$BB$3,0)+IF($AW188&lt;3,-5,0)+IF(AND($B$2&gt;0,$E188&lt;20),$B$2*25,0)</f>
        <v>33.010400184740995</v>
      </c>
      <c r="BA188" s="49">
        <f>STANDARDIZE(AZ188,AVERAGE($AZ$5:$AZ$570),STDEVP($AZ$5:$AZ$570))</f>
        <v>2.6424525199451401E-2</v>
      </c>
      <c r="BB188" s="47" t="str">
        <f>IF(OR(AND(AQ188&gt;7,AX188&gt;1),AND(AQ188&gt;4,AW188&gt;2)),"SP","RP")</f>
        <v>RP</v>
      </c>
      <c r="BC188" s="47"/>
      <c r="BD188" s="47"/>
      <c r="BE188" s="47"/>
      <c r="BF188" s="47" t="str">
        <f>IF(AVERAGE($O188:$Q188)&gt;=6,"Likely",IF(AVERAGE($O188:$Q188)&gt;=4,"Possible","Unlikely"))</f>
        <v>Unlikely</v>
      </c>
      <c r="BG188" s="47"/>
      <c r="BH188" s="47" t="str">
        <f>INDEX(Table5[[#All],[Ovr]],MATCH(Table3[[#This Row],[PID]],Table5[[#All],[PID]],0))</f>
        <v/>
      </c>
      <c r="BI188" s="47" t="str">
        <f>INDEX(Table5[[#All],[Rnd]],MATCH(Table3[[#This Row],[PID]],Table5[[#All],[PID]],0))</f>
        <v/>
      </c>
      <c r="BJ188" s="47" t="str">
        <f>INDEX(Table5[[#All],[Pick]],MATCH(Table3[[#This Row],[PID]],Table5[[#All],[PID]],0))</f>
        <v/>
      </c>
      <c r="BK188" s="47" t="str">
        <f>INDEX(Table5[[#All],[Team]],MATCH(Table3[[#This Row],[PID]],Table5[[#All],[PID]],0))</f>
        <v/>
      </c>
      <c r="BL1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9" spans="1:64" ht="15" customHeight="1" x14ac:dyDescent="0.25">
      <c r="A189" s="42">
        <v>16664</v>
      </c>
      <c r="B189" s="42" t="s">
        <v>49</v>
      </c>
      <c r="C189" s="42" t="s">
        <v>1539</v>
      </c>
      <c r="D189" s="42" t="s">
        <v>420</v>
      </c>
      <c r="E189" s="42">
        <v>18</v>
      </c>
      <c r="F189" s="42" t="s">
        <v>53</v>
      </c>
      <c r="G189" s="42" t="s">
        <v>53</v>
      </c>
      <c r="H189" s="43" t="s">
        <v>721</v>
      </c>
      <c r="I189" s="44" t="s">
        <v>43</v>
      </c>
      <c r="J189" s="42" t="s">
        <v>44</v>
      </c>
      <c r="K189" s="43" t="s">
        <v>43</v>
      </c>
      <c r="L189" s="42">
        <v>2</v>
      </c>
      <c r="M189" s="42">
        <v>2</v>
      </c>
      <c r="N189" s="43">
        <v>1</v>
      </c>
      <c r="O189" s="42">
        <v>5</v>
      </c>
      <c r="P189" s="42">
        <v>2</v>
      </c>
      <c r="Q189" s="43">
        <v>2</v>
      </c>
      <c r="R189" s="42">
        <v>4</v>
      </c>
      <c r="S189" s="42">
        <v>7</v>
      </c>
      <c r="T189" s="42">
        <v>1</v>
      </c>
      <c r="U189" s="42">
        <v>5</v>
      </c>
      <c r="V189" s="42" t="s">
        <v>45</v>
      </c>
      <c r="W189" s="42" t="s">
        <v>45</v>
      </c>
      <c r="X189" s="42">
        <v>2</v>
      </c>
      <c r="Y189" s="42">
        <v>3</v>
      </c>
      <c r="Z189" s="42" t="s">
        <v>45</v>
      </c>
      <c r="AA189" s="42" t="s">
        <v>45</v>
      </c>
      <c r="AB189" s="42" t="s">
        <v>45</v>
      </c>
      <c r="AC189" s="42" t="s">
        <v>45</v>
      </c>
      <c r="AD189" s="42" t="s">
        <v>45</v>
      </c>
      <c r="AE189" s="42" t="s">
        <v>45</v>
      </c>
      <c r="AF189" s="42" t="s">
        <v>45</v>
      </c>
      <c r="AG189" s="42" t="s">
        <v>45</v>
      </c>
      <c r="AH189" s="42" t="s">
        <v>45</v>
      </c>
      <c r="AI189" s="42" t="s">
        <v>45</v>
      </c>
      <c r="AJ189" s="42" t="s">
        <v>45</v>
      </c>
      <c r="AK189" s="42" t="s">
        <v>45</v>
      </c>
      <c r="AL189" s="42" t="s">
        <v>45</v>
      </c>
      <c r="AM189" s="42" t="s">
        <v>45</v>
      </c>
      <c r="AN189" s="42" t="s">
        <v>45</v>
      </c>
      <c r="AO189" s="43" t="s">
        <v>45</v>
      </c>
      <c r="AP189" s="42" t="s">
        <v>58</v>
      </c>
      <c r="AQ189" s="42">
        <v>5</v>
      </c>
      <c r="AR189" s="50" t="s">
        <v>353</v>
      </c>
      <c r="AS189" s="45" t="s">
        <v>718</v>
      </c>
      <c r="AT189" s="45" t="s">
        <v>705</v>
      </c>
      <c r="AU189" s="46">
        <f>($O$3*(L189-$O$1)/$O$2+$P$3*(M189-$P$1)/$P$2+$Q$3*(N189-$P$1)/$Q$2)/SUM($O$3:$Q$3)</f>
        <v>-2.311361197028369</v>
      </c>
      <c r="AV189" s="46">
        <f>($O$3*(O189-$O$1)/$O$2+$P$3*(P189-$P$1)/$P$2+$Q$3*(Q189-$Q$1)/$Q$2)/SUM($O$3:$Q$3)</f>
        <v>-1.0394719067096667</v>
      </c>
      <c r="AW189" s="47">
        <f>COUNT(R189:AO189)/2</f>
        <v>3</v>
      </c>
      <c r="AX189" s="47">
        <f>IF(AND(S189&lt;&gt;"-",S189&gt;5),1,0)+IF(AND(U189&lt;&gt;"-",U189&gt;5),1,0)+IF(AND(W189&lt;&gt;"-",W189&gt;5),1,0)+IF(AND(Y189&lt;&gt;"-",Y189&gt;5),1,0)+IF(AND(AA189&lt;&gt;"-",AA189&gt;5),1,0)+IF(AND(AC189&lt;&gt;"-",AC189&gt;5),1,0)+IF(AND(AE189&lt;&gt;"-",AE189&gt;5),1,0)+IF(AND(AG189&lt;&gt;"-",AG189&gt;5),1,0)+IF(AND(AI189&lt;&gt;"-",AI189&gt;5),1,0)+IF(AND(AK189&lt;&gt;"-",AK189&gt;5),1,0)+IF(AND(AM189&lt;&gt;"-",AM189&gt;5),1,0)+IF(AND(AO189&lt;&gt;"-",AO189&gt;5),1,0)</f>
        <v>1</v>
      </c>
      <c r="AY189" s="48">
        <f>VLOOKUP(AP189,COND!$A$10:$B$32,2,FALSE)</f>
        <v>1</v>
      </c>
      <c r="AZ189" s="46">
        <f>($AU$3*AU189+$AV$3*AV189+$AW$3*AW189+$AX$3*AX189)*AY189*IF(AQ189&lt;5,0.95,IF(AQ189&lt;7,0.975,1))+$I$3*VLOOKUP(I189,COND!$A$2:$E$7,4,FALSE)+$J$3*VLOOKUP(J189,COND!$A$2:$E$7,2,FALSE)+$K$3*VLOOKUP(K189,COND!$A$2:$E$7,3,FALSE)+IF(BB189="SP",$BB$3,0)+IF($AW189&lt;3,-5,0)+IF(AND($B$2&gt;0,$E189&lt;20),$B$2*25,0)</f>
        <v>33.660832385740967</v>
      </c>
      <c r="BA189" s="49">
        <f>STANDARDIZE(AZ189,AVERAGE($AZ$5:$AZ$570),STDEVP($AZ$5:$AZ$570))</f>
        <v>8.6071938036803547E-2</v>
      </c>
      <c r="BB189" s="47" t="str">
        <f>IF(OR(AND(AQ189&gt;7,AX189&gt;1),AND(AQ189&gt;4,AW189&gt;2)),"SP","RP")</f>
        <v>SP</v>
      </c>
      <c r="BC189" s="47"/>
      <c r="BD189" s="47"/>
      <c r="BE189" s="47"/>
      <c r="BF189" s="47" t="str">
        <f>IF(AVERAGE($O189:$Q189)&gt;=6,"Likely",IF(AVERAGE($O189:$Q189)&gt;=4,"Possible","Unlikely"))</f>
        <v>Unlikely</v>
      </c>
      <c r="BG189" s="47"/>
      <c r="BH189" s="47" t="str">
        <f>INDEX(Table5[[#All],[Ovr]],MATCH(Table3[[#This Row],[PID]],Table5[[#All],[PID]],0))</f>
        <v/>
      </c>
      <c r="BI189" s="47" t="str">
        <f>INDEX(Table5[[#All],[Rnd]],MATCH(Table3[[#This Row],[PID]],Table5[[#All],[PID]],0))</f>
        <v/>
      </c>
      <c r="BJ189" s="47" t="str">
        <f>INDEX(Table5[[#All],[Pick]],MATCH(Table3[[#This Row],[PID]],Table5[[#All],[PID]],0))</f>
        <v/>
      </c>
      <c r="BK189" s="47" t="str">
        <f>INDEX(Table5[[#All],[Team]],MATCH(Table3[[#This Row],[PID]],Table5[[#All],[PID]],0))</f>
        <v/>
      </c>
      <c r="BL1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0" spans="1:64" ht="15" customHeight="1" x14ac:dyDescent="0.25">
      <c r="A190" s="42">
        <v>17621</v>
      </c>
      <c r="B190" s="42" t="s">
        <v>24</v>
      </c>
      <c r="C190" s="42" t="s">
        <v>142</v>
      </c>
      <c r="D190" s="42" t="s">
        <v>943</v>
      </c>
      <c r="E190" s="42">
        <v>18</v>
      </c>
      <c r="F190" s="42" t="s">
        <v>62</v>
      </c>
      <c r="G190" s="42" t="s">
        <v>42</v>
      </c>
      <c r="H190" s="43" t="s">
        <v>721</v>
      </c>
      <c r="I190" s="44" t="s">
        <v>43</v>
      </c>
      <c r="J190" s="42" t="s">
        <v>44</v>
      </c>
      <c r="K190" s="43" t="s">
        <v>44</v>
      </c>
      <c r="L190" s="42">
        <v>1</v>
      </c>
      <c r="M190" s="42">
        <v>1</v>
      </c>
      <c r="N190" s="43">
        <v>1</v>
      </c>
      <c r="O190" s="42">
        <v>5</v>
      </c>
      <c r="P190" s="42">
        <v>1</v>
      </c>
      <c r="Q190" s="43">
        <v>3</v>
      </c>
      <c r="R190" s="42">
        <v>4</v>
      </c>
      <c r="S190" s="42">
        <v>6</v>
      </c>
      <c r="T190" s="42">
        <v>1</v>
      </c>
      <c r="U190" s="42">
        <v>5</v>
      </c>
      <c r="V190" s="42">
        <v>2</v>
      </c>
      <c r="W190" s="42">
        <v>5</v>
      </c>
      <c r="X190" s="42" t="s">
        <v>45</v>
      </c>
      <c r="Y190" s="42" t="s">
        <v>45</v>
      </c>
      <c r="Z190" s="42" t="s">
        <v>45</v>
      </c>
      <c r="AA190" s="42" t="s">
        <v>45</v>
      </c>
      <c r="AB190" s="42" t="s">
        <v>45</v>
      </c>
      <c r="AC190" s="42" t="s">
        <v>45</v>
      </c>
      <c r="AD190" s="42" t="s">
        <v>45</v>
      </c>
      <c r="AE190" s="42" t="s">
        <v>45</v>
      </c>
      <c r="AF190" s="42">
        <v>3</v>
      </c>
      <c r="AG190" s="42">
        <v>5</v>
      </c>
      <c r="AH190" s="42" t="s">
        <v>45</v>
      </c>
      <c r="AI190" s="42" t="s">
        <v>45</v>
      </c>
      <c r="AJ190" s="42" t="s">
        <v>45</v>
      </c>
      <c r="AK190" s="42" t="s">
        <v>45</v>
      </c>
      <c r="AL190" s="42" t="s">
        <v>45</v>
      </c>
      <c r="AM190" s="42" t="s">
        <v>45</v>
      </c>
      <c r="AN190" s="42" t="s">
        <v>45</v>
      </c>
      <c r="AO190" s="43" t="s">
        <v>45</v>
      </c>
      <c r="AP190" s="42" t="s">
        <v>57</v>
      </c>
      <c r="AQ190" s="42">
        <v>8</v>
      </c>
      <c r="AR190" s="50" t="s">
        <v>357</v>
      </c>
      <c r="AS190" s="45" t="s">
        <v>718</v>
      </c>
      <c r="AT190" s="45" t="s">
        <v>705</v>
      </c>
      <c r="AU190" s="46">
        <f>($O$3*(L190-$O$1)/$O$2+$P$3*(M190-$P$1)/$P$2+$Q$3*(N190-$P$1)/$Q$2)/SUM($O$3:$Q$3)</f>
        <v>-2.7014842379675978</v>
      </c>
      <c r="AV190" s="46">
        <f>($O$3*(O190-$O$1)/$O$2+$P$3*(P190-$P$1)/$P$2+$Q$3*(Q190-$Q$1)/$Q$2)/SUM($O$3:$Q$3)</f>
        <v>-0.99258305708561179</v>
      </c>
      <c r="AW190" s="47">
        <f>COUNT(R190:AO190)/2</f>
        <v>4</v>
      </c>
      <c r="AX190" s="47">
        <f>IF(AND(S190&lt;&gt;"-",S190&gt;5),1,0)+IF(AND(U190&lt;&gt;"-",U190&gt;5),1,0)+IF(AND(W190&lt;&gt;"-",W190&gt;5),1,0)+IF(AND(Y190&lt;&gt;"-",Y190&gt;5),1,0)+IF(AND(AA190&lt;&gt;"-",AA190&gt;5),1,0)+IF(AND(AC190&lt;&gt;"-",AC190&gt;5),1,0)+IF(AND(AE190&lt;&gt;"-",AE190&gt;5),1,0)+IF(AND(AG190&lt;&gt;"-",AG190&gt;5),1,0)+IF(AND(AI190&lt;&gt;"-",AI190&gt;5),1,0)+IF(AND(AK190&lt;&gt;"-",AK190&gt;5),1,0)+IF(AND(AM190&lt;&gt;"-",AM190&gt;5),1,0)+IF(AND(AO190&lt;&gt;"-",AO190&gt;5),1,0)</f>
        <v>1</v>
      </c>
      <c r="AY190" s="48">
        <f>VLOOKUP(AP190,COND!$A$10:$B$32,2,FALSE)</f>
        <v>1</v>
      </c>
      <c r="AZ190" s="46">
        <f>($AU$3*AU190+$AV$3*AV190+$AW$3*AW190+$AX$3*AX190)*AY190*IF(AQ190&lt;5,0.95,IF(AQ190&lt;7,0.975,1))+$I$3*VLOOKUP(I190,COND!$A$2:$E$7,4,FALSE)+$J$3*VLOOKUP(J190,COND!$A$2:$E$7,2,FALSE)+$K$3*VLOOKUP(K190,COND!$A$2:$E$7,3,FALSE)+IF(BB190="SP",$BB$3,0)+IF($AW190&lt;3,-5,0)+IF(AND($B$2&gt;0,$E190&lt;20),$B$2*25,0)</f>
        <v>34.25804201069424</v>
      </c>
      <c r="BA190" s="49">
        <f>STANDARDIZE(AZ190,AVERAGE($AZ$5:$AZ$570),STDEVP($AZ$5:$AZ$570))</f>
        <v>0.14083861317260238</v>
      </c>
      <c r="BB190" s="47" t="str">
        <f>IF(OR(AND(AQ190&gt;7,AX190&gt;1),AND(AQ190&gt;4,AW190&gt;2)),"SP","RP")</f>
        <v>SP</v>
      </c>
      <c r="BC190" s="47"/>
      <c r="BD190" s="47"/>
      <c r="BE190" s="47"/>
      <c r="BF190" s="47" t="str">
        <f>IF(AVERAGE($O190:$Q190)&gt;=6,"Likely",IF(AVERAGE($O190:$Q190)&gt;=4,"Possible","Unlikely"))</f>
        <v>Unlikely</v>
      </c>
      <c r="BG190" s="47"/>
      <c r="BH190" s="47" t="str">
        <f>INDEX(Table5[[#All],[Ovr]],MATCH(Table3[[#This Row],[PID]],Table5[[#All],[PID]],0))</f>
        <v/>
      </c>
      <c r="BI190" s="47" t="str">
        <f>INDEX(Table5[[#All],[Rnd]],MATCH(Table3[[#This Row],[PID]],Table5[[#All],[PID]],0))</f>
        <v/>
      </c>
      <c r="BJ190" s="47" t="str">
        <f>INDEX(Table5[[#All],[Pick]],MATCH(Table3[[#This Row],[PID]],Table5[[#All],[PID]],0))</f>
        <v/>
      </c>
      <c r="BK190" s="47" t="str">
        <f>INDEX(Table5[[#All],[Team]],MATCH(Table3[[#This Row],[PID]],Table5[[#All],[PID]],0))</f>
        <v/>
      </c>
      <c r="BL1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1" spans="1:64" ht="15" customHeight="1" x14ac:dyDescent="0.25">
      <c r="A191" s="42">
        <v>8436</v>
      </c>
      <c r="B191" s="42" t="s">
        <v>430</v>
      </c>
      <c r="C191" s="42" t="s">
        <v>1010</v>
      </c>
      <c r="D191" s="42" t="s">
        <v>857</v>
      </c>
      <c r="E191" s="42">
        <v>18</v>
      </c>
      <c r="F191" s="42" t="s">
        <v>42</v>
      </c>
      <c r="G191" s="42" t="s">
        <v>42</v>
      </c>
      <c r="H191" s="43" t="s">
        <v>721</v>
      </c>
      <c r="I191" s="44" t="s">
        <v>44</v>
      </c>
      <c r="J191" s="42" t="s">
        <v>43</v>
      </c>
      <c r="K191" s="43" t="s">
        <v>44</v>
      </c>
      <c r="L191" s="42">
        <v>2</v>
      </c>
      <c r="M191" s="42">
        <v>2</v>
      </c>
      <c r="N191" s="43">
        <v>1</v>
      </c>
      <c r="O191" s="42">
        <v>5</v>
      </c>
      <c r="P191" s="42">
        <v>2</v>
      </c>
      <c r="Q191" s="43">
        <v>2</v>
      </c>
      <c r="R191" s="42">
        <v>3</v>
      </c>
      <c r="S191" s="42">
        <v>6</v>
      </c>
      <c r="T191" s="42">
        <v>1</v>
      </c>
      <c r="U191" s="42">
        <v>2</v>
      </c>
      <c r="V191" s="42" t="s">
        <v>45</v>
      </c>
      <c r="W191" s="42" t="s">
        <v>45</v>
      </c>
      <c r="X191" s="42" t="s">
        <v>45</v>
      </c>
      <c r="Y191" s="42" t="s">
        <v>45</v>
      </c>
      <c r="Z191" s="42">
        <v>3</v>
      </c>
      <c r="AA191" s="42">
        <v>5</v>
      </c>
      <c r="AB191" s="42" t="s">
        <v>45</v>
      </c>
      <c r="AC191" s="42" t="s">
        <v>45</v>
      </c>
      <c r="AD191" s="42" t="s">
        <v>45</v>
      </c>
      <c r="AE191" s="42" t="s">
        <v>45</v>
      </c>
      <c r="AF191" s="42" t="s">
        <v>45</v>
      </c>
      <c r="AG191" s="42" t="s">
        <v>45</v>
      </c>
      <c r="AH191" s="42" t="s">
        <v>45</v>
      </c>
      <c r="AI191" s="42" t="s">
        <v>45</v>
      </c>
      <c r="AJ191" s="42" t="s">
        <v>45</v>
      </c>
      <c r="AK191" s="42" t="s">
        <v>45</v>
      </c>
      <c r="AL191" s="42" t="s">
        <v>45</v>
      </c>
      <c r="AM191" s="42" t="s">
        <v>45</v>
      </c>
      <c r="AN191" s="42" t="s">
        <v>45</v>
      </c>
      <c r="AO191" s="43" t="s">
        <v>45</v>
      </c>
      <c r="AP191" s="42" t="s">
        <v>355</v>
      </c>
      <c r="AQ191" s="42">
        <v>6</v>
      </c>
      <c r="AR191" s="50" t="s">
        <v>353</v>
      </c>
      <c r="AS191" s="45" t="s">
        <v>718</v>
      </c>
      <c r="AT191" s="45" t="s">
        <v>47</v>
      </c>
      <c r="AU191" s="46">
        <f>($O$3*(L191-$O$1)/$O$2+$P$3*(M191-$P$1)/$P$2+$Q$3*(N191-$P$1)/$Q$2)/SUM($O$3:$Q$3)</f>
        <v>-2.311361197028369</v>
      </c>
      <c r="AV191" s="46">
        <f>($O$3*(O191-$O$1)/$O$2+$P$3*(P191-$P$1)/$P$2+$Q$3*(Q191-$Q$1)/$Q$2)/SUM($O$3:$Q$3)</f>
        <v>-1.0394719067096667</v>
      </c>
      <c r="AW191" s="47">
        <f>COUNT(R191:AO191)/2</f>
        <v>3</v>
      </c>
      <c r="AX191" s="47">
        <f>IF(AND(S191&lt;&gt;"-",S191&gt;5),1,0)+IF(AND(U191&lt;&gt;"-",U191&gt;5),1,0)+IF(AND(W191&lt;&gt;"-",W191&gt;5),1,0)+IF(AND(Y191&lt;&gt;"-",Y191&gt;5),1,0)+IF(AND(AA191&lt;&gt;"-",AA191&gt;5),1,0)+IF(AND(AC191&lt;&gt;"-",AC191&gt;5),1,0)+IF(AND(AE191&lt;&gt;"-",AE191&gt;5),1,0)+IF(AND(AG191&lt;&gt;"-",AG191&gt;5),1,0)+IF(AND(AI191&lt;&gt;"-",AI191&gt;5),1,0)+IF(AND(AK191&lt;&gt;"-",AK191&gt;5),1,0)+IF(AND(AM191&lt;&gt;"-",AM191&gt;5),1,0)+IF(AND(AO191&lt;&gt;"-",AO191&gt;5),1,0)</f>
        <v>1</v>
      </c>
      <c r="AY191" s="48">
        <f>VLOOKUP(AP191,COND!$A$10:$B$32,2,FALSE)</f>
        <v>1</v>
      </c>
      <c r="AZ191" s="46">
        <f>($AU$3*AU191+$AV$3*AV191+$AW$3*AW191+$AX$3*AX191)*AY191*IF(AQ191&lt;5,0.95,IF(AQ191&lt;7,0.975,1))+$I$3*VLOOKUP(I191,COND!$A$2:$E$7,4,FALSE)+$J$3*VLOOKUP(J191,COND!$A$2:$E$7,2,FALSE)+$K$3*VLOOKUP(K191,COND!$A$2:$E$7,3,FALSE)+IF(BB191="SP",$BB$3,0)+IF($AW191&lt;3,-5,0)+IF(AND($B$2&gt;0,$E191&lt;20),$B$2*25,0)</f>
        <v>33.510832385740969</v>
      </c>
      <c r="BA191" s="49">
        <f>STANDARDIZE(AZ191,AVERAGE($AZ$5:$AZ$570),STDEVP($AZ$5:$AZ$570))</f>
        <v>7.2316296923329346E-2</v>
      </c>
      <c r="BB191" s="47" t="str">
        <f>IF(OR(AND(AQ191&gt;7,AX191&gt;1),AND(AQ191&gt;4,AW191&gt;2)),"SP","RP")</f>
        <v>SP</v>
      </c>
      <c r="BC191" s="47"/>
      <c r="BD191" s="47"/>
      <c r="BE191" s="47"/>
      <c r="BF191" s="47" t="str">
        <f>IF(AVERAGE($O191:$Q191)&gt;=6,"Likely",IF(AVERAGE($O191:$Q191)&gt;=4,"Possible","Unlikely"))</f>
        <v>Unlikely</v>
      </c>
      <c r="BG191" s="47"/>
      <c r="BH191" s="47" t="str">
        <f>INDEX(Table5[[#All],[Ovr]],MATCH(Table3[[#This Row],[PID]],Table5[[#All],[PID]],0))</f>
        <v/>
      </c>
      <c r="BI191" s="47" t="str">
        <f>INDEX(Table5[[#All],[Rnd]],MATCH(Table3[[#This Row],[PID]],Table5[[#All],[PID]],0))</f>
        <v/>
      </c>
      <c r="BJ191" s="47" t="str">
        <f>INDEX(Table5[[#All],[Pick]],MATCH(Table3[[#This Row],[PID]],Table5[[#All],[PID]],0))</f>
        <v/>
      </c>
      <c r="BK191" s="47" t="str">
        <f>INDEX(Table5[[#All],[Team]],MATCH(Table3[[#This Row],[PID]],Table5[[#All],[PID]],0))</f>
        <v/>
      </c>
      <c r="BL1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2" spans="1:64" ht="15" customHeight="1" x14ac:dyDescent="0.25">
      <c r="A192" s="42">
        <v>9113</v>
      </c>
      <c r="B192" s="42" t="s">
        <v>430</v>
      </c>
      <c r="C192" s="42" t="s">
        <v>1711</v>
      </c>
      <c r="D192" s="42" t="s">
        <v>897</v>
      </c>
      <c r="E192" s="42">
        <v>18</v>
      </c>
      <c r="F192" s="42" t="s">
        <v>42</v>
      </c>
      <c r="G192" s="42" t="s">
        <v>53</v>
      </c>
      <c r="H192" s="43" t="s">
        <v>721</v>
      </c>
      <c r="I192" s="44" t="s">
        <v>43</v>
      </c>
      <c r="J192" s="42" t="s">
        <v>43</v>
      </c>
      <c r="K192" s="43" t="s">
        <v>47</v>
      </c>
      <c r="L192" s="42">
        <v>1</v>
      </c>
      <c r="M192" s="42">
        <v>2</v>
      </c>
      <c r="N192" s="43">
        <v>1</v>
      </c>
      <c r="O192" s="42">
        <v>4</v>
      </c>
      <c r="P192" s="42">
        <v>2</v>
      </c>
      <c r="Q192" s="43">
        <v>2</v>
      </c>
      <c r="R192" s="42">
        <v>2</v>
      </c>
      <c r="S192" s="42">
        <v>3</v>
      </c>
      <c r="T192" s="42">
        <v>1</v>
      </c>
      <c r="U192" s="42">
        <v>6</v>
      </c>
      <c r="V192" s="42" t="s">
        <v>45</v>
      </c>
      <c r="W192" s="42" t="s">
        <v>45</v>
      </c>
      <c r="X192" s="42" t="s">
        <v>45</v>
      </c>
      <c r="Y192" s="42" t="s">
        <v>45</v>
      </c>
      <c r="Z192" s="42" t="s">
        <v>45</v>
      </c>
      <c r="AA192" s="42" t="s">
        <v>45</v>
      </c>
      <c r="AB192" s="42" t="s">
        <v>45</v>
      </c>
      <c r="AC192" s="42" t="s">
        <v>45</v>
      </c>
      <c r="AD192" s="42">
        <v>2</v>
      </c>
      <c r="AE192" s="42">
        <v>4</v>
      </c>
      <c r="AF192" s="42">
        <v>2</v>
      </c>
      <c r="AG192" s="42">
        <v>2</v>
      </c>
      <c r="AH192" s="42" t="s">
        <v>45</v>
      </c>
      <c r="AI192" s="42" t="s">
        <v>45</v>
      </c>
      <c r="AJ192" s="42" t="s">
        <v>45</v>
      </c>
      <c r="AK192" s="42" t="s">
        <v>45</v>
      </c>
      <c r="AL192" s="42" t="s">
        <v>45</v>
      </c>
      <c r="AM192" s="42" t="s">
        <v>45</v>
      </c>
      <c r="AN192" s="42" t="s">
        <v>45</v>
      </c>
      <c r="AO192" s="43" t="s">
        <v>45</v>
      </c>
      <c r="AP192" s="42" t="s">
        <v>68</v>
      </c>
      <c r="AQ192" s="42">
        <v>6</v>
      </c>
      <c r="AR192" s="50" t="s">
        <v>353</v>
      </c>
      <c r="AS192" s="45" t="s">
        <v>734</v>
      </c>
      <c r="AT192" s="45" t="s">
        <v>705</v>
      </c>
      <c r="AU192" s="46">
        <f>($O$3*(L192-$O$1)/$O$2+$P$3*(M192-$P$1)/$P$2+$Q$3*(N192-$P$1)/$Q$2)/SUM($O$3:$Q$3)</f>
        <v>-2.5060525215375429</v>
      </c>
      <c r="AV192" s="46">
        <f>($O$3*(O192-$O$1)/$O$2+$P$3*(P192-$P$1)/$P$2+$Q$3*(Q192-$Q$1)/$Q$2)/SUM($O$3:$Q$3)</f>
        <v>-1.23416323121884</v>
      </c>
      <c r="AW192" s="47">
        <f>COUNT(R192:AO192)/2</f>
        <v>4</v>
      </c>
      <c r="AX192" s="47">
        <f>IF(AND(S192&lt;&gt;"-",S192&gt;5),1,0)+IF(AND(U192&lt;&gt;"-",U192&gt;5),1,0)+IF(AND(W192&lt;&gt;"-",W192&gt;5),1,0)+IF(AND(Y192&lt;&gt;"-",Y192&gt;5),1,0)+IF(AND(AA192&lt;&gt;"-",AA192&gt;5),1,0)+IF(AND(AC192&lt;&gt;"-",AC192&gt;5),1,0)+IF(AND(AE192&lt;&gt;"-",AE192&gt;5),1,0)+IF(AND(AG192&lt;&gt;"-",AG192&gt;5),1,0)+IF(AND(AI192&lt;&gt;"-",AI192&gt;5),1,0)+IF(AND(AK192&lt;&gt;"-",AK192&gt;5),1,0)+IF(AND(AM192&lt;&gt;"-",AM192&gt;5),1,0)+IF(AND(AO192&lt;&gt;"-",AO192&gt;5),1,0)</f>
        <v>1</v>
      </c>
      <c r="AY192" s="48">
        <f>VLOOKUP(AP192,COND!$A$10:$B$32,2,FALSE)</f>
        <v>0.95</v>
      </c>
      <c r="AZ192" s="46">
        <f>($AU$3*AU192+$AV$3*AV192+$AW$3*AW192+$AX$3*AX192)*AY192*IF(AQ192&lt;5,0.95,IF(AQ192&lt;7,0.975,1))+$I$3*VLOOKUP(I192,COND!$A$2:$E$7,4,FALSE)+$J$3*VLOOKUP(J192,COND!$A$2:$E$7,2,FALSE)+$K$3*VLOOKUP(K192,COND!$A$2:$E$7,3,FALSE)+IF(BB192="SP",$BB$3,0)+IF($AW192&lt;3,-5,0)+IF(AND($B$2&gt;0,$E192&lt;20),$B$2*25,0)</f>
        <v>31.983192412056162</v>
      </c>
      <c r="BA192" s="49">
        <f>STANDARDIZE(AZ192,AVERAGE($AZ$5:$AZ$570),STDEVP($AZ$5:$AZ$570))</f>
        <v>-6.7774817934041096E-2</v>
      </c>
      <c r="BB192" s="47" t="str">
        <f>IF(OR(AND(AQ192&gt;7,AX192&gt;1),AND(AQ192&gt;4,AW192&gt;2)),"SP","RP")</f>
        <v>SP</v>
      </c>
      <c r="BC192" s="47"/>
      <c r="BD192" s="47"/>
      <c r="BE192" s="47"/>
      <c r="BF192" s="47" t="str">
        <f>IF(AVERAGE($O192:$Q192)&gt;=6,"Likely",IF(AVERAGE($O192:$Q192)&gt;=4,"Possible","Unlikely"))</f>
        <v>Unlikely</v>
      </c>
      <c r="BG192" s="47"/>
      <c r="BH192" s="47" t="str">
        <f>INDEX(Table5[[#All],[Ovr]],MATCH(Table3[[#This Row],[PID]],Table5[[#All],[PID]],0))</f>
        <v/>
      </c>
      <c r="BI192" s="47" t="str">
        <f>INDEX(Table5[[#All],[Rnd]],MATCH(Table3[[#This Row],[PID]],Table5[[#All],[PID]],0))</f>
        <v/>
      </c>
      <c r="BJ192" s="47" t="str">
        <f>INDEX(Table5[[#All],[Pick]],MATCH(Table3[[#This Row],[PID]],Table5[[#All],[PID]],0))</f>
        <v/>
      </c>
      <c r="BK192" s="47" t="str">
        <f>INDEX(Table5[[#All],[Team]],MATCH(Table3[[#This Row],[PID]],Table5[[#All],[PID]],0))</f>
        <v/>
      </c>
      <c r="BL1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3" spans="1:64" ht="15" customHeight="1" x14ac:dyDescent="0.25">
      <c r="A193" s="42">
        <v>6241</v>
      </c>
      <c r="B193" s="42" t="s">
        <v>430</v>
      </c>
      <c r="C193" s="42" t="s">
        <v>708</v>
      </c>
      <c r="D193" s="42" t="s">
        <v>1726</v>
      </c>
      <c r="E193" s="42">
        <v>18</v>
      </c>
      <c r="F193" s="42" t="s">
        <v>42</v>
      </c>
      <c r="G193" s="42" t="s">
        <v>42</v>
      </c>
      <c r="H193" s="43" t="s">
        <v>721</v>
      </c>
      <c r="I193" s="44" t="s">
        <v>43</v>
      </c>
      <c r="J193" s="42" t="s">
        <v>44</v>
      </c>
      <c r="K193" s="43" t="s">
        <v>43</v>
      </c>
      <c r="L193" s="42">
        <v>2</v>
      </c>
      <c r="M193" s="42">
        <v>2</v>
      </c>
      <c r="N193" s="43">
        <v>1</v>
      </c>
      <c r="O193" s="42">
        <v>4</v>
      </c>
      <c r="P193" s="42">
        <v>2</v>
      </c>
      <c r="Q193" s="43">
        <v>3</v>
      </c>
      <c r="R193" s="42">
        <v>3</v>
      </c>
      <c r="S193" s="42">
        <v>4</v>
      </c>
      <c r="T193" s="42" t="s">
        <v>45</v>
      </c>
      <c r="U193" s="42" t="s">
        <v>45</v>
      </c>
      <c r="V193" s="42">
        <v>2</v>
      </c>
      <c r="W193" s="42">
        <v>5</v>
      </c>
      <c r="X193" s="42">
        <v>2</v>
      </c>
      <c r="Y193" s="42">
        <v>5</v>
      </c>
      <c r="Z193" s="42" t="s">
        <v>45</v>
      </c>
      <c r="AA193" s="42" t="s">
        <v>45</v>
      </c>
      <c r="AB193" s="42" t="s">
        <v>45</v>
      </c>
      <c r="AC193" s="42" t="s">
        <v>45</v>
      </c>
      <c r="AD193" s="42" t="s">
        <v>45</v>
      </c>
      <c r="AE193" s="42" t="s">
        <v>45</v>
      </c>
      <c r="AF193" s="42" t="s">
        <v>45</v>
      </c>
      <c r="AG193" s="42" t="s">
        <v>45</v>
      </c>
      <c r="AH193" s="42" t="s">
        <v>45</v>
      </c>
      <c r="AI193" s="42" t="s">
        <v>45</v>
      </c>
      <c r="AJ193" s="42" t="s">
        <v>45</v>
      </c>
      <c r="AK193" s="42" t="s">
        <v>45</v>
      </c>
      <c r="AL193" s="42" t="s">
        <v>45</v>
      </c>
      <c r="AM193" s="42" t="s">
        <v>45</v>
      </c>
      <c r="AN193" s="42" t="s">
        <v>45</v>
      </c>
      <c r="AO193" s="43" t="s">
        <v>45</v>
      </c>
      <c r="AP193" s="42" t="s">
        <v>64</v>
      </c>
      <c r="AQ193" s="42">
        <v>6</v>
      </c>
      <c r="AR193" s="50" t="s">
        <v>353</v>
      </c>
      <c r="AS193" s="45" t="s">
        <v>427</v>
      </c>
      <c r="AT193" s="45" t="s">
        <v>47</v>
      </c>
      <c r="AU193" s="46">
        <f>($O$3*(L193-$O$1)/$O$2+$P$3*(M193-$P$1)/$P$2+$Q$3*(N193-$P$1)/$Q$2)/SUM($O$3:$Q$3)</f>
        <v>-2.311361197028369</v>
      </c>
      <c r="AV193" s="46">
        <f>($O$3*(O193-$O$1)/$O$2+$P$3*(P193-$P$1)/$P$2+$Q$3*(Q193-$Q$1)/$Q$2)/SUM($O$3:$Q$3)</f>
        <v>-0.99184266516472974</v>
      </c>
      <c r="AW193" s="47">
        <f>COUNT(R193:AO193)/2</f>
        <v>3</v>
      </c>
      <c r="AX193" s="47">
        <f>IF(AND(S193&lt;&gt;"-",S193&gt;5),1,0)+IF(AND(U193&lt;&gt;"-",U193&gt;5),1,0)+IF(AND(W193&lt;&gt;"-",W193&gt;5),1,0)+IF(AND(Y193&lt;&gt;"-",Y193&gt;5),1,0)+IF(AND(AA193&lt;&gt;"-",AA193&gt;5),1,0)+IF(AND(AC193&lt;&gt;"-",AC193&gt;5),1,0)+IF(AND(AE193&lt;&gt;"-",AE193&gt;5),1,0)+IF(AND(AG193&lt;&gt;"-",AG193&gt;5),1,0)+IF(AND(AI193&lt;&gt;"-",AI193&gt;5),1,0)+IF(AND(AK193&lt;&gt;"-",AK193&gt;5),1,0)+IF(AND(AM193&lt;&gt;"-",AM193&gt;5),1,0)+IF(AND(AO193&lt;&gt;"-",AO193&gt;5),1,0)</f>
        <v>0</v>
      </c>
      <c r="AY193" s="48">
        <f>VLOOKUP(AP193,COND!$A$10:$B$32,2,FALSE)</f>
        <v>1</v>
      </c>
      <c r="AZ193" s="46">
        <f>($AU$3*AU193+$AV$3*AV193+$AW$3*AW193+$AX$3*AX193)*AY193*IF(AQ193&lt;5,0.95,IF(AQ193&lt;7,0.975,1))+$I$3*VLOOKUP(I193,COND!$A$2:$E$7,4,FALSE)+$J$3*VLOOKUP(J193,COND!$A$2:$E$7,2,FALSE)+$K$3*VLOOKUP(K193,COND!$A$2:$E$7,3,FALSE)+IF(BB193="SP",$BB$3,0)+IF($AW193&lt;3,-5,0)+IF(AND($B$2&gt;0,$E193&lt;20),$B$2*25,0)</f>
        <v>33.370852595867234</v>
      </c>
      <c r="BA193" s="49">
        <f>STANDARDIZE(AZ193,AVERAGE($AZ$5:$AZ$570),STDEVP($AZ$5:$AZ$570))</f>
        <v>5.9479551905711733E-2</v>
      </c>
      <c r="BB193" s="47" t="str">
        <f>IF(OR(AND(AQ193&gt;7,AX193&gt;1),AND(AQ193&gt;4,AW193&gt;2)),"SP","RP")</f>
        <v>SP</v>
      </c>
      <c r="BC193" s="47"/>
      <c r="BD193" s="47"/>
      <c r="BE193" s="47"/>
      <c r="BF193" s="47" t="str">
        <f>IF(AVERAGE($O193:$Q193)&gt;=6,"Likely",IF(AVERAGE($O193:$Q193)&gt;=4,"Possible","Unlikely"))</f>
        <v>Unlikely</v>
      </c>
      <c r="BG193" s="47"/>
      <c r="BH193" s="47" t="str">
        <f>INDEX(Table5[[#All],[Ovr]],MATCH(Table3[[#This Row],[PID]],Table5[[#All],[PID]],0))</f>
        <v/>
      </c>
      <c r="BI193" s="47" t="str">
        <f>INDEX(Table5[[#All],[Rnd]],MATCH(Table3[[#This Row],[PID]],Table5[[#All],[PID]],0))</f>
        <v/>
      </c>
      <c r="BJ193" s="47" t="str">
        <f>INDEX(Table5[[#All],[Pick]],MATCH(Table3[[#This Row],[PID]],Table5[[#All],[PID]],0))</f>
        <v/>
      </c>
      <c r="BK193" s="47" t="str">
        <f>INDEX(Table5[[#All],[Team]],MATCH(Table3[[#This Row],[PID]],Table5[[#All],[PID]],0))</f>
        <v/>
      </c>
      <c r="BL1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4" spans="1:64" ht="15" customHeight="1" x14ac:dyDescent="0.25">
      <c r="A194" s="42">
        <v>6765</v>
      </c>
      <c r="B194" s="42" t="s">
        <v>430</v>
      </c>
      <c r="C194" s="42" t="s">
        <v>156</v>
      </c>
      <c r="D194" s="42" t="s">
        <v>1529</v>
      </c>
      <c r="E194" s="42">
        <v>21</v>
      </c>
      <c r="F194" s="42" t="s">
        <v>53</v>
      </c>
      <c r="G194" s="42" t="s">
        <v>53</v>
      </c>
      <c r="H194" s="43" t="s">
        <v>721</v>
      </c>
      <c r="I194" s="44" t="s">
        <v>44</v>
      </c>
      <c r="J194" s="42" t="s">
        <v>44</v>
      </c>
      <c r="K194" s="43" t="s">
        <v>43</v>
      </c>
      <c r="L194" s="42">
        <v>3</v>
      </c>
      <c r="M194" s="42">
        <v>1</v>
      </c>
      <c r="N194" s="43">
        <v>3</v>
      </c>
      <c r="O194" s="42">
        <v>5</v>
      </c>
      <c r="P194" s="42">
        <v>2</v>
      </c>
      <c r="Q194" s="43">
        <v>3</v>
      </c>
      <c r="R194" s="42">
        <v>4</v>
      </c>
      <c r="S194" s="42">
        <v>5</v>
      </c>
      <c r="T194" s="42">
        <v>1</v>
      </c>
      <c r="U194" s="42">
        <v>1</v>
      </c>
      <c r="V194" s="42" t="s">
        <v>45</v>
      </c>
      <c r="W194" s="42" t="s">
        <v>45</v>
      </c>
      <c r="X194" s="42">
        <v>5</v>
      </c>
      <c r="Y194" s="42">
        <v>7</v>
      </c>
      <c r="Z194" s="42" t="s">
        <v>45</v>
      </c>
      <c r="AA194" s="42" t="s">
        <v>45</v>
      </c>
      <c r="AB194" s="42" t="s">
        <v>45</v>
      </c>
      <c r="AC194" s="42" t="s">
        <v>45</v>
      </c>
      <c r="AD194" s="42" t="s">
        <v>45</v>
      </c>
      <c r="AE194" s="42" t="s">
        <v>45</v>
      </c>
      <c r="AF194" s="42" t="s">
        <v>45</v>
      </c>
      <c r="AG194" s="42" t="s">
        <v>45</v>
      </c>
      <c r="AH194" s="42" t="s">
        <v>45</v>
      </c>
      <c r="AI194" s="42" t="s">
        <v>45</v>
      </c>
      <c r="AJ194" s="42" t="s">
        <v>45</v>
      </c>
      <c r="AK194" s="42" t="s">
        <v>45</v>
      </c>
      <c r="AL194" s="42" t="s">
        <v>45</v>
      </c>
      <c r="AM194" s="42" t="s">
        <v>45</v>
      </c>
      <c r="AN194" s="42" t="s">
        <v>45</v>
      </c>
      <c r="AO194" s="43" t="s">
        <v>45</v>
      </c>
      <c r="AP194" s="42" t="s">
        <v>356</v>
      </c>
      <c r="AQ194" s="42">
        <v>6</v>
      </c>
      <c r="AR194" s="50" t="s">
        <v>14</v>
      </c>
      <c r="AS194" s="45" t="s">
        <v>717</v>
      </c>
      <c r="AT194" s="45" t="s">
        <v>47</v>
      </c>
      <c r="AU194" s="46">
        <f>($O$3*(L194-$O$1)/$O$2+$P$3*(M194-$P$1)/$P$2+$Q$3*(N194-$P$1)/$Q$2)/SUM($O$3:$Q$3)</f>
        <v>-1.8274604568410304</v>
      </c>
      <c r="AV194" s="46">
        <f>($O$3*(O194-$O$1)/$O$2+$P$3*(P194-$P$1)/$P$2+$Q$3*(Q194-$Q$1)/$Q$2)/SUM($O$3:$Q$3)</f>
        <v>-0.79715134065555615</v>
      </c>
      <c r="AW194" s="47">
        <f>COUNT(R194:AO194)/2</f>
        <v>3</v>
      </c>
      <c r="AX194" s="47">
        <f>IF(AND(S194&lt;&gt;"-",S194&gt;5),1,0)+IF(AND(U194&lt;&gt;"-",U194&gt;5),1,0)+IF(AND(W194&lt;&gt;"-",W194&gt;5),1,0)+IF(AND(Y194&lt;&gt;"-",Y194&gt;5),1,0)+IF(AND(AA194&lt;&gt;"-",AA194&gt;5),1,0)+IF(AND(AC194&lt;&gt;"-",AC194&gt;5),1,0)+IF(AND(AE194&lt;&gt;"-",AE194&gt;5),1,0)+IF(AND(AG194&lt;&gt;"-",AG194&gt;5),1,0)+IF(AND(AI194&lt;&gt;"-",AI194&gt;5),1,0)+IF(AND(AK194&lt;&gt;"-",AK194&gt;5),1,0)+IF(AND(AM194&lt;&gt;"-",AM194&gt;5),1,0)+IF(AND(AO194&lt;&gt;"-",AO194&gt;5),1,0)</f>
        <v>1</v>
      </c>
      <c r="AY194" s="48">
        <f>VLOOKUP(AP194,COND!$A$10:$B$32,2,FALSE)</f>
        <v>1</v>
      </c>
      <c r="AZ194" s="46">
        <f>($AU$3*AU194+$AV$3*AV194+$AW$3*AW194+$AX$3*AX194)*AY194*IF(AQ194&lt;5,0.95,IF(AQ194&lt;7,0.975,1))+$I$3*VLOOKUP(I194,COND!$A$2:$E$7,4,FALSE)+$J$3*VLOOKUP(J194,COND!$A$2:$E$7,2,FALSE)+$K$3*VLOOKUP(K194,COND!$A$2:$E$7,3,FALSE)+IF(BB194="SP",$BB$3,0)+IF($AW194&lt;3,-5,0)+IF(AND($B$2&gt;0,$E194&lt;20),$B$2*25,0)</f>
        <v>33.330444068132657</v>
      </c>
      <c r="BA194" s="49">
        <f>STANDARDIZE(AZ194,AVERAGE($AZ$5:$AZ$570),STDEVP($AZ$5:$AZ$570))</f>
        <v>5.5773917202773617E-2</v>
      </c>
      <c r="BB194" s="47" t="str">
        <f>IF(OR(AND(AQ194&gt;7,AX194&gt;1),AND(AQ194&gt;4,AW194&gt;2)),"SP","RP")</f>
        <v>SP</v>
      </c>
      <c r="BC194" s="47"/>
      <c r="BD194" s="47"/>
      <c r="BE194" s="47"/>
      <c r="BF194" s="47" t="str">
        <f>IF(AVERAGE($O194:$Q194)&gt;=6,"Likely",IF(AVERAGE($O194:$Q194)&gt;=4,"Possible","Unlikely"))</f>
        <v>Unlikely</v>
      </c>
      <c r="BG194" s="47"/>
      <c r="BH194" s="47" t="str">
        <f>INDEX(Table5[[#All],[Ovr]],MATCH(Table3[[#This Row],[PID]],Table5[[#All],[PID]],0))</f>
        <v/>
      </c>
      <c r="BI194" s="47" t="str">
        <f>INDEX(Table5[[#All],[Rnd]],MATCH(Table3[[#This Row],[PID]],Table5[[#All],[PID]],0))</f>
        <v/>
      </c>
      <c r="BJ194" s="47" t="str">
        <f>INDEX(Table5[[#All],[Pick]],MATCH(Table3[[#This Row],[PID]],Table5[[#All],[PID]],0))</f>
        <v/>
      </c>
      <c r="BK194" s="47" t="str">
        <f>INDEX(Table5[[#All],[Team]],MATCH(Table3[[#This Row],[PID]],Table5[[#All],[PID]],0))</f>
        <v/>
      </c>
      <c r="BL1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5" spans="1:64" ht="15" customHeight="1" x14ac:dyDescent="0.25">
      <c r="A195" s="42">
        <v>6696</v>
      </c>
      <c r="B195" s="42" t="s">
        <v>430</v>
      </c>
      <c r="C195" s="42" t="s">
        <v>1559</v>
      </c>
      <c r="D195" s="42" t="s">
        <v>1560</v>
      </c>
      <c r="E195" s="42">
        <v>18</v>
      </c>
      <c r="F195" s="42" t="s">
        <v>42</v>
      </c>
      <c r="G195" s="42" t="s">
        <v>42</v>
      </c>
      <c r="H195" s="43" t="s">
        <v>721</v>
      </c>
      <c r="I195" s="44" t="s">
        <v>44</v>
      </c>
      <c r="J195" s="42" t="s">
        <v>44</v>
      </c>
      <c r="K195" s="43" t="s">
        <v>44</v>
      </c>
      <c r="L195" s="42">
        <v>3</v>
      </c>
      <c r="M195" s="42">
        <v>1</v>
      </c>
      <c r="N195" s="43">
        <v>1</v>
      </c>
      <c r="O195" s="42">
        <v>5</v>
      </c>
      <c r="P195" s="42">
        <v>2</v>
      </c>
      <c r="Q195" s="43">
        <v>2</v>
      </c>
      <c r="R195" s="42">
        <v>5</v>
      </c>
      <c r="S195" s="42">
        <v>6</v>
      </c>
      <c r="T195" s="42">
        <v>1</v>
      </c>
      <c r="U195" s="42">
        <v>1</v>
      </c>
      <c r="V195" s="42" t="s">
        <v>45</v>
      </c>
      <c r="W195" s="42" t="s">
        <v>45</v>
      </c>
      <c r="X195" s="42" t="s">
        <v>45</v>
      </c>
      <c r="Y195" s="42" t="s">
        <v>45</v>
      </c>
      <c r="Z195" s="42" t="s">
        <v>45</v>
      </c>
      <c r="AA195" s="42" t="s">
        <v>45</v>
      </c>
      <c r="AB195" s="42">
        <v>4</v>
      </c>
      <c r="AC195" s="42">
        <v>6</v>
      </c>
      <c r="AD195" s="42" t="s">
        <v>45</v>
      </c>
      <c r="AE195" s="42" t="s">
        <v>45</v>
      </c>
      <c r="AF195" s="42" t="s">
        <v>45</v>
      </c>
      <c r="AG195" s="42" t="s">
        <v>45</v>
      </c>
      <c r="AH195" s="42" t="s">
        <v>45</v>
      </c>
      <c r="AI195" s="42" t="s">
        <v>45</v>
      </c>
      <c r="AJ195" s="42" t="s">
        <v>45</v>
      </c>
      <c r="AK195" s="42" t="s">
        <v>45</v>
      </c>
      <c r="AL195" s="42" t="s">
        <v>45</v>
      </c>
      <c r="AM195" s="42" t="s">
        <v>45</v>
      </c>
      <c r="AN195" s="42" t="s">
        <v>45</v>
      </c>
      <c r="AO195" s="43" t="s">
        <v>45</v>
      </c>
      <c r="AP195" s="42" t="s">
        <v>60</v>
      </c>
      <c r="AQ195" s="42">
        <v>6</v>
      </c>
      <c r="AR195" s="50" t="s">
        <v>14</v>
      </c>
      <c r="AS195" s="45" t="s">
        <v>718</v>
      </c>
      <c r="AT195" s="45" t="s">
        <v>47</v>
      </c>
      <c r="AU195" s="46">
        <f>($O$3*(L195-$O$1)/$O$2+$P$3*(M195-$P$1)/$P$2+$Q$3*(N195-$P$1)/$Q$2)/SUM($O$3:$Q$3)</f>
        <v>-2.3121015889492513</v>
      </c>
      <c r="AV195" s="46">
        <f>($O$3*(O195-$O$1)/$O$2+$P$3*(P195-$P$1)/$P$2+$Q$3*(Q195-$Q$1)/$Q$2)/SUM($O$3:$Q$3)</f>
        <v>-1.0394719067096667</v>
      </c>
      <c r="AW195" s="47">
        <f>COUNT(R195:AO195)/2</f>
        <v>3</v>
      </c>
      <c r="AX195" s="47">
        <f>IF(AND(S195&lt;&gt;"-",S195&gt;5),1,0)+IF(AND(U195&lt;&gt;"-",U195&gt;5),1,0)+IF(AND(W195&lt;&gt;"-",W195&gt;5),1,0)+IF(AND(Y195&lt;&gt;"-",Y195&gt;5),1,0)+IF(AND(AA195&lt;&gt;"-",AA195&gt;5),1,0)+IF(AND(AC195&lt;&gt;"-",AC195&gt;5),1,0)+IF(AND(AE195&lt;&gt;"-",AE195&gt;5),1,0)+IF(AND(AG195&lt;&gt;"-",AG195&gt;5),1,0)+IF(AND(AI195&lt;&gt;"-",AI195&gt;5),1,0)+IF(AND(AK195&lt;&gt;"-",AK195&gt;5),1,0)+IF(AND(AM195&lt;&gt;"-",AM195&gt;5),1,0)+IF(AND(AO195&lt;&gt;"-",AO195&gt;5),1,0)</f>
        <v>2</v>
      </c>
      <c r="AY195" s="48">
        <f>VLOOKUP(AP195,COND!$A$10:$B$32,2,FALSE)</f>
        <v>1.0249999999999999</v>
      </c>
      <c r="AZ195" s="46">
        <f>($AU$3*AU195+$AV$3*AV195+$AW$3*AW195+$AX$3*AX195)*AY195*IF(AQ195&lt;5,0.95,IF(AQ195&lt;7,0.975,1))+$I$3*VLOOKUP(I195,COND!$A$2:$E$7,4,FALSE)+$J$3*VLOOKUP(J195,COND!$A$2:$E$7,2,FALSE)+$K$3*VLOOKUP(K195,COND!$A$2:$E$7,3,FALSE)+IF(BB195="SP",$BB$3,0)+IF($AW195&lt;3,-5,0)+IF(AND($B$2&gt;0,$E195&lt;20),$B$2*25,0)</f>
        <v>34.008923959549307</v>
      </c>
      <c r="BA195" s="49">
        <f>STANDARDIZE(AZ195,AVERAGE($AZ$5:$AZ$570),STDEVP($AZ$5:$AZ$570))</f>
        <v>0.11799342312968343</v>
      </c>
      <c r="BB195" s="47" t="str">
        <f>IF(OR(AND(AQ195&gt;7,AX195&gt;1),AND(AQ195&gt;4,AW195&gt;2)),"SP","RP")</f>
        <v>SP</v>
      </c>
      <c r="BC195" s="47"/>
      <c r="BD195" s="47"/>
      <c r="BE195" s="47"/>
      <c r="BF195" s="47" t="str">
        <f>IF(AVERAGE($O195:$Q195)&gt;=6,"Likely",IF(AVERAGE($O195:$Q195)&gt;=4,"Possible","Unlikely"))</f>
        <v>Unlikely</v>
      </c>
      <c r="BG195" s="47"/>
      <c r="BH195" s="47" t="str">
        <f>INDEX(Table5[[#All],[Ovr]],MATCH(Table3[[#This Row],[PID]],Table5[[#All],[PID]],0))</f>
        <v/>
      </c>
      <c r="BI195" s="47" t="str">
        <f>INDEX(Table5[[#All],[Rnd]],MATCH(Table3[[#This Row],[PID]],Table5[[#All],[PID]],0))</f>
        <v/>
      </c>
      <c r="BJ195" s="47" t="str">
        <f>INDEX(Table5[[#All],[Pick]],MATCH(Table3[[#This Row],[PID]],Table5[[#All],[PID]],0))</f>
        <v/>
      </c>
      <c r="BK195" s="47" t="str">
        <f>INDEX(Table5[[#All],[Team]],MATCH(Table3[[#This Row],[PID]],Table5[[#All],[PID]],0))</f>
        <v/>
      </c>
      <c r="BL1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6" spans="1:64" ht="15" customHeight="1" x14ac:dyDescent="0.25">
      <c r="A196" s="42">
        <v>9140</v>
      </c>
      <c r="B196" s="42" t="s">
        <v>430</v>
      </c>
      <c r="C196" s="42" t="s">
        <v>972</v>
      </c>
      <c r="D196" s="42" t="s">
        <v>973</v>
      </c>
      <c r="E196" s="42">
        <v>22</v>
      </c>
      <c r="F196" s="42" t="s">
        <v>53</v>
      </c>
      <c r="G196" s="42" t="s">
        <v>42</v>
      </c>
      <c r="H196" s="43" t="s">
        <v>721</v>
      </c>
      <c r="I196" s="44" t="s">
        <v>43</v>
      </c>
      <c r="J196" s="42" t="s">
        <v>44</v>
      </c>
      <c r="K196" s="43" t="s">
        <v>43</v>
      </c>
      <c r="L196" s="42">
        <v>3</v>
      </c>
      <c r="M196" s="42">
        <v>2</v>
      </c>
      <c r="N196" s="43">
        <v>3</v>
      </c>
      <c r="O196" s="42">
        <v>4</v>
      </c>
      <c r="P196" s="42">
        <v>2</v>
      </c>
      <c r="Q196" s="43">
        <v>4</v>
      </c>
      <c r="R196" s="42">
        <v>4</v>
      </c>
      <c r="S196" s="42">
        <v>5</v>
      </c>
      <c r="T196" s="42">
        <v>3</v>
      </c>
      <c r="U196" s="42">
        <v>4</v>
      </c>
      <c r="V196" s="42" t="s">
        <v>45</v>
      </c>
      <c r="W196" s="42" t="s">
        <v>45</v>
      </c>
      <c r="X196" s="42">
        <v>2</v>
      </c>
      <c r="Y196" s="42">
        <v>2</v>
      </c>
      <c r="Z196" s="42" t="s">
        <v>45</v>
      </c>
      <c r="AA196" s="42" t="s">
        <v>45</v>
      </c>
      <c r="AB196" s="42" t="s">
        <v>45</v>
      </c>
      <c r="AC196" s="42" t="s">
        <v>45</v>
      </c>
      <c r="AD196" s="42" t="s">
        <v>45</v>
      </c>
      <c r="AE196" s="42" t="s">
        <v>45</v>
      </c>
      <c r="AF196" s="42" t="s">
        <v>45</v>
      </c>
      <c r="AG196" s="42" t="s">
        <v>45</v>
      </c>
      <c r="AH196" s="42" t="s">
        <v>45</v>
      </c>
      <c r="AI196" s="42" t="s">
        <v>45</v>
      </c>
      <c r="AJ196" s="42" t="s">
        <v>45</v>
      </c>
      <c r="AK196" s="42" t="s">
        <v>45</v>
      </c>
      <c r="AL196" s="42" t="s">
        <v>45</v>
      </c>
      <c r="AM196" s="42" t="s">
        <v>45</v>
      </c>
      <c r="AN196" s="42" t="s">
        <v>45</v>
      </c>
      <c r="AO196" s="43" t="s">
        <v>45</v>
      </c>
      <c r="AP196" s="42" t="s">
        <v>56</v>
      </c>
      <c r="AQ196" s="42">
        <v>6</v>
      </c>
      <c r="AR196" s="50" t="s">
        <v>353</v>
      </c>
      <c r="AS196" s="45" t="s">
        <v>45</v>
      </c>
      <c r="AT196" s="45" t="s">
        <v>47</v>
      </c>
      <c r="AU196" s="46">
        <f>($O$3*(L196-$O$1)/$O$2+$P$3*(M196-$P$1)/$P$2+$Q$3*(N196-$P$1)/$Q$2)/SUM($O$3:$Q$3)</f>
        <v>-1.6320287404109748</v>
      </c>
      <c r="AV196" s="46">
        <f>($O$3*(O196-$O$1)/$O$2+$P$3*(P196-$P$1)/$P$2+$Q$3*(Q196-$Q$1)/$Q$2)/SUM($O$3:$Q$3)</f>
        <v>-0.74952209911061918</v>
      </c>
      <c r="AW196" s="47">
        <f>COUNT(R196:AO196)/2</f>
        <v>3</v>
      </c>
      <c r="AX196" s="47">
        <f>IF(AND(S196&lt;&gt;"-",S196&gt;5),1,0)+IF(AND(U196&lt;&gt;"-",U196&gt;5),1,0)+IF(AND(W196&lt;&gt;"-",W196&gt;5),1,0)+IF(AND(Y196&lt;&gt;"-",Y196&gt;5),1,0)+IF(AND(AA196&lt;&gt;"-",AA196&gt;5),1,0)+IF(AND(AC196&lt;&gt;"-",AC196&gt;5),1,0)+IF(AND(AE196&lt;&gt;"-",AE196&gt;5),1,0)+IF(AND(AG196&lt;&gt;"-",AG196&gt;5),1,0)+IF(AND(AI196&lt;&gt;"-",AI196&gt;5),1,0)+IF(AND(AK196&lt;&gt;"-",AK196&gt;5),1,0)+IF(AND(AM196&lt;&gt;"-",AM196&gt;5),1,0)+IF(AND(AO196&lt;&gt;"-",AO196&gt;5),1,0)</f>
        <v>0</v>
      </c>
      <c r="AY196" s="48">
        <f>VLOOKUP(AP196,COND!$A$10:$B$32,2,FALSE)</f>
        <v>1</v>
      </c>
      <c r="AZ196" s="46">
        <f>($AU$3*AU196+$AV$3*AV196+$AW$3*AW196+$AX$3*AX196)*AY196*IF(AQ196&lt;5,0.95,IF(AQ196&lt;7,0.975,1))+$I$3*VLOOKUP(I196,COND!$A$2:$E$7,4,FALSE)+$J$3*VLOOKUP(J196,COND!$A$2:$E$7,2,FALSE)+$K$3*VLOOKUP(K196,COND!$A$2:$E$7,3,FALSE)+IF(BB196="SP",$BB$3,0)+IF($AW196&lt;3,-5,0)+IF(AND($B$2&gt;0,$E196&lt;20),$B$2*25,0)</f>
        <v>33.228573462962785</v>
      </c>
      <c r="BA196" s="49">
        <f>STANDARDIZE(AZ196,AVERAGE($AZ$5:$AZ$570),STDEVP($AZ$5:$AZ$570))</f>
        <v>4.6431947304578988E-2</v>
      </c>
      <c r="BB196" s="47" t="str">
        <f>IF(OR(AND(AQ196&gt;7,AX196&gt;1),AND(AQ196&gt;4,AW196&gt;2)),"SP","RP")</f>
        <v>SP</v>
      </c>
      <c r="BC196" s="47"/>
      <c r="BD196" s="47"/>
      <c r="BE196" s="47"/>
      <c r="BF196" s="47" t="str">
        <f>IF(AVERAGE($O196:$Q196)&gt;=6,"Likely",IF(AVERAGE($O196:$Q196)&gt;=4,"Possible","Unlikely"))</f>
        <v>Unlikely</v>
      </c>
      <c r="BG196" s="47"/>
      <c r="BH196" s="47" t="str">
        <f>INDEX(Table5[[#All],[Ovr]],MATCH(Table3[[#This Row],[PID]],Table5[[#All],[PID]],0))</f>
        <v/>
      </c>
      <c r="BI196" s="47" t="str">
        <f>INDEX(Table5[[#All],[Rnd]],MATCH(Table3[[#This Row],[PID]],Table5[[#All],[PID]],0))</f>
        <v/>
      </c>
      <c r="BJ196" s="47" t="str">
        <f>INDEX(Table5[[#All],[Pick]],MATCH(Table3[[#This Row],[PID]],Table5[[#All],[PID]],0))</f>
        <v/>
      </c>
      <c r="BK196" s="47" t="str">
        <f>INDEX(Table5[[#All],[Team]],MATCH(Table3[[#This Row],[PID]],Table5[[#All],[PID]],0))</f>
        <v/>
      </c>
      <c r="BL1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7" spans="1:64" ht="15" customHeight="1" x14ac:dyDescent="0.25">
      <c r="A197" s="42">
        <v>5088</v>
      </c>
      <c r="B197" s="42" t="s">
        <v>430</v>
      </c>
      <c r="C197" s="42" t="s">
        <v>211</v>
      </c>
      <c r="D197" s="42" t="s">
        <v>1545</v>
      </c>
      <c r="E197" s="42">
        <v>18</v>
      </c>
      <c r="F197" s="42" t="s">
        <v>53</v>
      </c>
      <c r="G197" s="42" t="s">
        <v>53</v>
      </c>
      <c r="H197" s="43" t="s">
        <v>721</v>
      </c>
      <c r="I197" s="44" t="s">
        <v>43</v>
      </c>
      <c r="J197" s="42" t="s">
        <v>44</v>
      </c>
      <c r="K197" s="43" t="s">
        <v>43</v>
      </c>
      <c r="L197" s="42">
        <v>2</v>
      </c>
      <c r="M197" s="42">
        <v>2</v>
      </c>
      <c r="N197" s="43">
        <v>1</v>
      </c>
      <c r="O197" s="42">
        <v>5</v>
      </c>
      <c r="P197" s="42">
        <v>2</v>
      </c>
      <c r="Q197" s="43">
        <v>2</v>
      </c>
      <c r="R197" s="42" t="s">
        <v>45</v>
      </c>
      <c r="S197" s="42" t="s">
        <v>45</v>
      </c>
      <c r="T197" s="42">
        <v>1</v>
      </c>
      <c r="U197" s="42">
        <v>2</v>
      </c>
      <c r="V197" s="42">
        <v>3</v>
      </c>
      <c r="W197" s="42">
        <v>7</v>
      </c>
      <c r="X197" s="42" t="s">
        <v>45</v>
      </c>
      <c r="Y197" s="42" t="s">
        <v>45</v>
      </c>
      <c r="Z197" s="42" t="s">
        <v>45</v>
      </c>
      <c r="AA197" s="42" t="s">
        <v>45</v>
      </c>
      <c r="AB197" s="42" t="s">
        <v>45</v>
      </c>
      <c r="AC197" s="42" t="s">
        <v>45</v>
      </c>
      <c r="AD197" s="42">
        <v>4</v>
      </c>
      <c r="AE197" s="42">
        <v>5</v>
      </c>
      <c r="AF197" s="42" t="s">
        <v>45</v>
      </c>
      <c r="AG197" s="42" t="s">
        <v>45</v>
      </c>
      <c r="AH197" s="42" t="s">
        <v>45</v>
      </c>
      <c r="AI197" s="42" t="s">
        <v>45</v>
      </c>
      <c r="AJ197" s="42" t="s">
        <v>45</v>
      </c>
      <c r="AK197" s="42" t="s">
        <v>45</v>
      </c>
      <c r="AL197" s="42" t="s">
        <v>45</v>
      </c>
      <c r="AM197" s="42" t="s">
        <v>45</v>
      </c>
      <c r="AN197" s="42" t="s">
        <v>45</v>
      </c>
      <c r="AO197" s="43" t="s">
        <v>45</v>
      </c>
      <c r="AP197" s="42" t="s">
        <v>57</v>
      </c>
      <c r="AQ197" s="42">
        <v>8</v>
      </c>
      <c r="AR197" s="50" t="s">
        <v>353</v>
      </c>
      <c r="AS197" s="45" t="s">
        <v>45</v>
      </c>
      <c r="AT197" s="45" t="s">
        <v>705</v>
      </c>
      <c r="AU197" s="46">
        <f>($O$3*(L197-$O$1)/$O$2+$P$3*(M197-$P$1)/$P$2+$Q$3*(N197-$P$1)/$Q$2)/SUM($O$3:$Q$3)</f>
        <v>-2.311361197028369</v>
      </c>
      <c r="AV197" s="46">
        <f>($O$3*(O197-$O$1)/$O$2+$P$3*(P197-$P$1)/$P$2+$Q$3*(Q197-$Q$1)/$Q$2)/SUM($O$3:$Q$3)</f>
        <v>-1.0394719067096667</v>
      </c>
      <c r="AW197" s="47">
        <f>COUNT(R197:AO197)/2</f>
        <v>3</v>
      </c>
      <c r="AX197" s="47">
        <f>IF(AND(S197&lt;&gt;"-",S197&gt;5),1,0)+IF(AND(U197&lt;&gt;"-",U197&gt;5),1,0)+IF(AND(W197&lt;&gt;"-",W197&gt;5),1,0)+IF(AND(Y197&lt;&gt;"-",Y197&gt;5),1,0)+IF(AND(AA197&lt;&gt;"-",AA197&gt;5),1,0)+IF(AND(AC197&lt;&gt;"-",AC197&gt;5),1,0)+IF(AND(AE197&lt;&gt;"-",AE197&gt;5),1,0)+IF(AND(AG197&lt;&gt;"-",AG197&gt;5),1,0)+IF(AND(AI197&lt;&gt;"-",AI197&gt;5),1,0)+IF(AND(AK197&lt;&gt;"-",AK197&gt;5),1,0)+IF(AND(AM197&lt;&gt;"-",AM197&gt;5),1,0)+IF(AND(AO197&lt;&gt;"-",AO197&gt;5),1,0)</f>
        <v>1</v>
      </c>
      <c r="AY197" s="48">
        <f>VLOOKUP(AP197,COND!$A$10:$B$32,2,FALSE)</f>
        <v>1</v>
      </c>
      <c r="AZ197" s="46">
        <f>($AU$3*AU197+$AV$3*AV197+$AW$3*AW197+$AX$3*AX197)*AY197*IF(AQ197&lt;5,0.95,IF(AQ197&lt;7,0.975,1))+$I$3*VLOOKUP(I197,COND!$A$2:$E$7,4,FALSE)+$J$3*VLOOKUP(J197,COND!$A$2:$E$7,2,FALSE)+$K$3*VLOOKUP(K197,COND!$A$2:$E$7,3,FALSE)+IF(BB197="SP",$BB$3,0)+IF($AW197&lt;3,-5,0)+IF(AND($B$2&gt;0,$E197&lt;20),$B$2*25,0)</f>
        <v>33.198289626400992</v>
      </c>
      <c r="BA197" s="49">
        <f>STANDARDIZE(AZ197,AVERAGE($AZ$5:$AZ$570),STDEVP($AZ$5:$AZ$570))</f>
        <v>4.3654790056024739E-2</v>
      </c>
      <c r="BB197" s="47" t="str">
        <f>IF(OR(AND(AQ197&gt;7,AX197&gt;1),AND(AQ197&gt;4,AW197&gt;2)),"SP","RP")</f>
        <v>SP</v>
      </c>
      <c r="BC197" s="47"/>
      <c r="BD197" s="47"/>
      <c r="BE197" s="47"/>
      <c r="BF197" s="47" t="str">
        <f>IF(AVERAGE($O197:$Q197)&gt;=6,"Likely",IF(AVERAGE($O197:$Q197)&gt;=4,"Possible","Unlikely"))</f>
        <v>Unlikely</v>
      </c>
      <c r="BG197" s="47"/>
      <c r="BH197" s="47" t="str">
        <f>INDEX(Table5[[#All],[Ovr]],MATCH(Table3[[#This Row],[PID]],Table5[[#All],[PID]],0))</f>
        <v/>
      </c>
      <c r="BI197" s="47" t="str">
        <f>INDEX(Table5[[#All],[Rnd]],MATCH(Table3[[#This Row],[PID]],Table5[[#All],[PID]],0))</f>
        <v/>
      </c>
      <c r="BJ197" s="47" t="str">
        <f>INDEX(Table5[[#All],[Pick]],MATCH(Table3[[#This Row],[PID]],Table5[[#All],[PID]],0))</f>
        <v/>
      </c>
      <c r="BK197" s="47" t="str">
        <f>INDEX(Table5[[#All],[Team]],MATCH(Table3[[#This Row],[PID]],Table5[[#All],[PID]],0))</f>
        <v/>
      </c>
      <c r="BL1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8" spans="1:64" ht="15" customHeight="1" x14ac:dyDescent="0.25">
      <c r="A198" s="42">
        <v>6834</v>
      </c>
      <c r="B198" s="42" t="s">
        <v>430</v>
      </c>
      <c r="C198" s="42" t="s">
        <v>1469</v>
      </c>
      <c r="D198" s="42" t="s">
        <v>1470</v>
      </c>
      <c r="E198" s="42">
        <v>21</v>
      </c>
      <c r="F198" s="42" t="s">
        <v>53</v>
      </c>
      <c r="G198" s="42" t="s">
        <v>53</v>
      </c>
      <c r="H198" s="43" t="s">
        <v>721</v>
      </c>
      <c r="I198" s="44" t="s">
        <v>43</v>
      </c>
      <c r="J198" s="42" t="s">
        <v>43</v>
      </c>
      <c r="K198" s="43" t="s">
        <v>43</v>
      </c>
      <c r="L198" s="42">
        <v>5</v>
      </c>
      <c r="M198" s="42">
        <v>2</v>
      </c>
      <c r="N198" s="43">
        <v>2</v>
      </c>
      <c r="O198" s="42">
        <v>6</v>
      </c>
      <c r="P198" s="42">
        <v>2</v>
      </c>
      <c r="Q198" s="43">
        <v>2</v>
      </c>
      <c r="R198" s="42" t="s">
        <v>45</v>
      </c>
      <c r="S198" s="42" t="s">
        <v>45</v>
      </c>
      <c r="T198" s="42">
        <v>1</v>
      </c>
      <c r="U198" s="42">
        <v>2</v>
      </c>
      <c r="V198" s="42" t="s">
        <v>45</v>
      </c>
      <c r="W198" s="42" t="s">
        <v>45</v>
      </c>
      <c r="X198" s="42">
        <v>7</v>
      </c>
      <c r="Y198" s="42">
        <v>8</v>
      </c>
      <c r="Z198" s="42" t="s">
        <v>45</v>
      </c>
      <c r="AA198" s="42" t="s">
        <v>45</v>
      </c>
      <c r="AB198" s="42" t="s">
        <v>45</v>
      </c>
      <c r="AC198" s="42" t="s">
        <v>45</v>
      </c>
      <c r="AD198" s="42">
        <v>5</v>
      </c>
      <c r="AE198" s="42">
        <v>6</v>
      </c>
      <c r="AF198" s="42" t="s">
        <v>45</v>
      </c>
      <c r="AG198" s="42" t="s">
        <v>45</v>
      </c>
      <c r="AH198" s="42" t="s">
        <v>45</v>
      </c>
      <c r="AI198" s="42" t="s">
        <v>45</v>
      </c>
      <c r="AJ198" s="42" t="s">
        <v>45</v>
      </c>
      <c r="AK198" s="42" t="s">
        <v>45</v>
      </c>
      <c r="AL198" s="42" t="s">
        <v>45</v>
      </c>
      <c r="AM198" s="42" t="s">
        <v>45</v>
      </c>
      <c r="AN198" s="42" t="s">
        <v>45</v>
      </c>
      <c r="AO198" s="43" t="s">
        <v>45</v>
      </c>
      <c r="AP198" s="42" t="s">
        <v>56</v>
      </c>
      <c r="AQ198" s="42">
        <v>3</v>
      </c>
      <c r="AR198" s="50" t="s">
        <v>353</v>
      </c>
      <c r="AS198" s="45" t="s">
        <v>835</v>
      </c>
      <c r="AT198" s="45" t="s">
        <v>47</v>
      </c>
      <c r="AU198" s="46">
        <f>($O$3*(L198-$O$1)/$O$2+$P$3*(M198-$P$1)/$P$2+$Q$3*(N198-$P$1)/$Q$2)/SUM($O$3:$Q$3)</f>
        <v>-1.4849666574467382</v>
      </c>
      <c r="AV198" s="46">
        <f>($O$3*(O198-$O$1)/$O$2+$P$3*(P198-$P$1)/$P$2+$Q$3*(Q198-$Q$1)/$Q$2)/SUM($O$3:$Q$3)</f>
        <v>-0.84478058220049301</v>
      </c>
      <c r="AW198" s="47">
        <f>COUNT(R198:AO198)/2</f>
        <v>3</v>
      </c>
      <c r="AX198" s="47">
        <f>IF(AND(S198&lt;&gt;"-",S198&gt;5),1,0)+IF(AND(U198&lt;&gt;"-",U198&gt;5),1,0)+IF(AND(W198&lt;&gt;"-",W198&gt;5),1,0)+IF(AND(Y198&lt;&gt;"-",Y198&gt;5),1,0)+IF(AND(AA198&lt;&gt;"-",AA198&gt;5),1,0)+IF(AND(AC198&lt;&gt;"-",AC198&gt;5),1,0)+IF(AND(AE198&lt;&gt;"-",AE198&gt;5),1,0)+IF(AND(AG198&lt;&gt;"-",AG198&gt;5),1,0)+IF(AND(AI198&lt;&gt;"-",AI198&gt;5),1,0)+IF(AND(AK198&lt;&gt;"-",AK198&gt;5),1,0)+IF(AND(AM198&lt;&gt;"-",AM198&gt;5),1,0)+IF(AND(AO198&lt;&gt;"-",AO198&gt;5),1,0)</f>
        <v>2</v>
      </c>
      <c r="AY198" s="48">
        <f>VLOOKUP(AP198,COND!$A$10:$B$32,2,FALSE)</f>
        <v>1</v>
      </c>
      <c r="AZ198" s="46">
        <f>($AU$3*AU198+$AV$3*AV198+$AW$3*AW198+$AX$3*AX198)*AY198*IF(AQ198&lt;5,0.95,IF(AQ198&lt;7,0.975,1))+$I$3*VLOOKUP(I198,COND!$A$2:$E$7,4,FALSE)+$J$3*VLOOKUP(J198,COND!$A$2:$E$7,2,FALSE)+$K$3*VLOOKUP(K198,COND!$A$2:$E$7,3,FALSE)+IF(BB198="SP",$BB$3,0)+IF($AW198&lt;3,-5,0)+IF(AND($B$2&gt;0,$E198&lt;20),$B$2*25,0)</f>
        <v>32.467025273275752</v>
      </c>
      <c r="BA198" s="49">
        <f>STANDARDIZE(AZ198,AVERAGE($AZ$5:$AZ$570),STDEVP($AZ$5:$AZ$570))</f>
        <v>-2.3405276615093729E-2</v>
      </c>
      <c r="BB198" s="47" t="str">
        <f>IF(OR(AND(AQ198&gt;7,AX198&gt;1),AND(AQ198&gt;4,AW198&gt;2)),"SP","RP")</f>
        <v>RP</v>
      </c>
      <c r="BC198" s="47"/>
      <c r="BD198" s="47"/>
      <c r="BE198" s="47"/>
      <c r="BF198" s="47" t="str">
        <f>IF(AVERAGE($O198:$Q198)&gt;=6,"Likely",IF(AVERAGE($O198:$Q198)&gt;=4,"Possible","Unlikely"))</f>
        <v>Unlikely</v>
      </c>
      <c r="BG198" s="47"/>
      <c r="BH198" s="47" t="str">
        <f>INDEX(Table5[[#All],[Ovr]],MATCH(Table3[[#This Row],[PID]],Table5[[#All],[PID]],0))</f>
        <v/>
      </c>
      <c r="BI198" s="47" t="str">
        <f>INDEX(Table5[[#All],[Rnd]],MATCH(Table3[[#This Row],[PID]],Table5[[#All],[PID]],0))</f>
        <v/>
      </c>
      <c r="BJ198" s="47" t="str">
        <f>INDEX(Table5[[#All],[Pick]],MATCH(Table3[[#This Row],[PID]],Table5[[#All],[PID]],0))</f>
        <v/>
      </c>
      <c r="BK198" s="47" t="str">
        <f>INDEX(Table5[[#All],[Team]],MATCH(Table3[[#This Row],[PID]],Table5[[#All],[PID]],0))</f>
        <v/>
      </c>
      <c r="BL1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9" spans="1:64" ht="15" customHeight="1" x14ac:dyDescent="0.25">
      <c r="A199" s="42">
        <v>15261</v>
      </c>
      <c r="B199" s="42" t="s">
        <v>430</v>
      </c>
      <c r="C199" s="42" t="s">
        <v>333</v>
      </c>
      <c r="D199" s="42" t="s">
        <v>1536</v>
      </c>
      <c r="E199" s="42">
        <v>18</v>
      </c>
      <c r="F199" s="42" t="s">
        <v>53</v>
      </c>
      <c r="G199" s="42" t="s">
        <v>53</v>
      </c>
      <c r="H199" s="43" t="s">
        <v>721</v>
      </c>
      <c r="I199" s="44" t="s">
        <v>43</v>
      </c>
      <c r="J199" s="42" t="s">
        <v>43</v>
      </c>
      <c r="K199" s="43" t="s">
        <v>43</v>
      </c>
      <c r="L199" s="42">
        <v>2</v>
      </c>
      <c r="M199" s="42">
        <v>2</v>
      </c>
      <c r="N199" s="43">
        <v>1</v>
      </c>
      <c r="O199" s="42">
        <v>5</v>
      </c>
      <c r="P199" s="42">
        <v>2</v>
      </c>
      <c r="Q199" s="43">
        <v>2</v>
      </c>
      <c r="R199" s="42">
        <v>3</v>
      </c>
      <c r="S199" s="42">
        <v>6</v>
      </c>
      <c r="T199" s="42">
        <v>1</v>
      </c>
      <c r="U199" s="42">
        <v>1</v>
      </c>
      <c r="V199" s="42" t="s">
        <v>45</v>
      </c>
      <c r="W199" s="42" t="s">
        <v>45</v>
      </c>
      <c r="X199" s="42" t="s">
        <v>45</v>
      </c>
      <c r="Y199" s="42" t="s">
        <v>45</v>
      </c>
      <c r="Z199" s="42">
        <v>3</v>
      </c>
      <c r="AA199" s="42">
        <v>5</v>
      </c>
      <c r="AB199" s="42" t="s">
        <v>45</v>
      </c>
      <c r="AC199" s="42" t="s">
        <v>45</v>
      </c>
      <c r="AD199" s="42" t="s">
        <v>45</v>
      </c>
      <c r="AE199" s="42" t="s">
        <v>45</v>
      </c>
      <c r="AF199" s="42" t="s">
        <v>45</v>
      </c>
      <c r="AG199" s="42" t="s">
        <v>45</v>
      </c>
      <c r="AH199" s="42" t="s">
        <v>45</v>
      </c>
      <c r="AI199" s="42" t="s">
        <v>45</v>
      </c>
      <c r="AJ199" s="42" t="s">
        <v>45</v>
      </c>
      <c r="AK199" s="42" t="s">
        <v>45</v>
      </c>
      <c r="AL199" s="42" t="s">
        <v>45</v>
      </c>
      <c r="AM199" s="42" t="s">
        <v>45</v>
      </c>
      <c r="AN199" s="42" t="s">
        <v>45</v>
      </c>
      <c r="AO199" s="43" t="s">
        <v>45</v>
      </c>
      <c r="AP199" s="42" t="s">
        <v>356</v>
      </c>
      <c r="AQ199" s="42">
        <v>4</v>
      </c>
      <c r="AR199" s="50" t="s">
        <v>353</v>
      </c>
      <c r="AS199" s="45" t="s">
        <v>593</v>
      </c>
      <c r="AT199" s="45" t="s">
        <v>47</v>
      </c>
      <c r="AU199" s="46">
        <f>($O$3*(L199-$O$1)/$O$2+$P$3*(M199-$P$1)/$P$2+$Q$3*(N199-$P$1)/$Q$2)/SUM($O$3:$Q$3)</f>
        <v>-2.311361197028369</v>
      </c>
      <c r="AV199" s="46">
        <f>($O$3*(O199-$O$1)/$O$2+$P$3*(P199-$P$1)/$P$2+$Q$3*(Q199-$Q$1)/$Q$2)/SUM($O$3:$Q$3)</f>
        <v>-1.0394719067096667</v>
      </c>
      <c r="AW199" s="47">
        <f>COUNT(R199:AO199)/2</f>
        <v>3</v>
      </c>
      <c r="AX199" s="47">
        <f>IF(AND(S199&lt;&gt;"-",S199&gt;5),1,0)+IF(AND(U199&lt;&gt;"-",U199&gt;5),1,0)+IF(AND(W199&lt;&gt;"-",W199&gt;5),1,0)+IF(AND(Y199&lt;&gt;"-",Y199&gt;5),1,0)+IF(AND(AA199&lt;&gt;"-",AA199&gt;5),1,0)+IF(AND(AC199&lt;&gt;"-",AC199&gt;5),1,0)+IF(AND(AE199&lt;&gt;"-",AE199&gt;5),1,0)+IF(AND(AG199&lt;&gt;"-",AG199&gt;5),1,0)+IF(AND(AI199&lt;&gt;"-",AI199&gt;5),1,0)+IF(AND(AK199&lt;&gt;"-",AK199&gt;5),1,0)+IF(AND(AM199&lt;&gt;"-",AM199&gt;5),1,0)+IF(AND(AO199&lt;&gt;"-",AO199&gt;5),1,0)</f>
        <v>1</v>
      </c>
      <c r="AY199" s="48">
        <f>VLOOKUP(AP199,COND!$A$10:$B$32,2,FALSE)</f>
        <v>1</v>
      </c>
      <c r="AZ199" s="46">
        <f>($AU$3*AU199+$AV$3*AV199+$AW$3*AW199+$AX$3*AX199)*AY199*IF(AQ199&lt;5,0.95,IF(AQ199&lt;7,0.975,1))+$I$3*VLOOKUP(I199,COND!$A$2:$E$7,4,FALSE)+$J$3*VLOOKUP(J199,COND!$A$2:$E$7,2,FALSE)+$K$3*VLOOKUP(K199,COND!$A$2:$E$7,3,FALSE)+IF(BB199="SP",$BB$3,0)+IF($AW199&lt;3,-5,0)+IF(AND($B$2&gt;0,$E199&lt;20),$B$2*25,0)</f>
        <v>32.423375145080939</v>
      </c>
      <c r="BA199" s="49">
        <f>STANDARDIZE(AZ199,AVERAGE($AZ$5:$AZ$570),STDEVP($AZ$5:$AZ$570))</f>
        <v>-2.7408179935126984E-2</v>
      </c>
      <c r="BB199" s="47" t="str">
        <f>IF(OR(AND(AQ199&gt;7,AX199&gt;1),AND(AQ199&gt;4,AW199&gt;2)),"SP","RP")</f>
        <v>RP</v>
      </c>
      <c r="BC199" s="47"/>
      <c r="BD199" s="47"/>
      <c r="BE199" s="47"/>
      <c r="BF199" s="47" t="str">
        <f>IF(AVERAGE($O199:$Q199)&gt;=6,"Likely",IF(AVERAGE($O199:$Q199)&gt;=4,"Possible","Unlikely"))</f>
        <v>Unlikely</v>
      </c>
      <c r="BG199" s="47"/>
      <c r="BH199" s="47" t="str">
        <f>INDEX(Table5[[#All],[Ovr]],MATCH(Table3[[#This Row],[PID]],Table5[[#All],[PID]],0))</f>
        <v/>
      </c>
      <c r="BI199" s="47" t="str">
        <f>INDEX(Table5[[#All],[Rnd]],MATCH(Table3[[#This Row],[PID]],Table5[[#All],[PID]],0))</f>
        <v/>
      </c>
      <c r="BJ199" s="47" t="str">
        <f>INDEX(Table5[[#All],[Pick]],MATCH(Table3[[#This Row],[PID]],Table5[[#All],[PID]],0))</f>
        <v/>
      </c>
      <c r="BK199" s="47" t="str">
        <f>INDEX(Table5[[#All],[Team]],MATCH(Table3[[#This Row],[PID]],Table5[[#All],[PID]],0))</f>
        <v/>
      </c>
      <c r="BL1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0" spans="1:64" ht="15" customHeight="1" x14ac:dyDescent="0.25">
      <c r="A200" s="42">
        <v>9206</v>
      </c>
      <c r="B200" s="42" t="s">
        <v>24</v>
      </c>
      <c r="C200" s="42" t="s">
        <v>360</v>
      </c>
      <c r="D200" s="42" t="s">
        <v>447</v>
      </c>
      <c r="E200" s="42">
        <v>18</v>
      </c>
      <c r="F200" s="42" t="s">
        <v>53</v>
      </c>
      <c r="G200" s="42" t="s">
        <v>53</v>
      </c>
      <c r="H200" s="43" t="s">
        <v>721</v>
      </c>
      <c r="I200" s="44" t="s">
        <v>43</v>
      </c>
      <c r="J200" s="42" t="s">
        <v>47</v>
      </c>
      <c r="K200" s="43" t="s">
        <v>43</v>
      </c>
      <c r="L200" s="42">
        <v>1</v>
      </c>
      <c r="M200" s="42">
        <v>2</v>
      </c>
      <c r="N200" s="43">
        <v>1</v>
      </c>
      <c r="O200" s="42">
        <v>4</v>
      </c>
      <c r="P200" s="42">
        <v>2</v>
      </c>
      <c r="Q200" s="43">
        <v>2</v>
      </c>
      <c r="R200" s="42">
        <v>3</v>
      </c>
      <c r="S200" s="42">
        <v>5</v>
      </c>
      <c r="T200" s="42">
        <v>1</v>
      </c>
      <c r="U200" s="42">
        <v>6</v>
      </c>
      <c r="V200" s="42" t="s">
        <v>45</v>
      </c>
      <c r="W200" s="42" t="s">
        <v>45</v>
      </c>
      <c r="X200" s="42">
        <v>2</v>
      </c>
      <c r="Y200" s="42">
        <v>6</v>
      </c>
      <c r="Z200" s="42" t="s">
        <v>45</v>
      </c>
      <c r="AA200" s="42" t="s">
        <v>45</v>
      </c>
      <c r="AB200" s="42" t="s">
        <v>45</v>
      </c>
      <c r="AC200" s="42" t="s">
        <v>45</v>
      </c>
      <c r="AD200" s="42" t="s">
        <v>45</v>
      </c>
      <c r="AE200" s="42" t="s">
        <v>45</v>
      </c>
      <c r="AF200" s="42">
        <v>2</v>
      </c>
      <c r="AG200" s="42">
        <v>4</v>
      </c>
      <c r="AH200" s="42" t="s">
        <v>45</v>
      </c>
      <c r="AI200" s="42" t="s">
        <v>45</v>
      </c>
      <c r="AJ200" s="42" t="s">
        <v>45</v>
      </c>
      <c r="AK200" s="42" t="s">
        <v>45</v>
      </c>
      <c r="AL200" s="42" t="s">
        <v>45</v>
      </c>
      <c r="AM200" s="42" t="s">
        <v>45</v>
      </c>
      <c r="AN200" s="42" t="s">
        <v>45</v>
      </c>
      <c r="AO200" s="43" t="s">
        <v>45</v>
      </c>
      <c r="AP200" s="42" t="s">
        <v>64</v>
      </c>
      <c r="AQ200" s="42">
        <v>8</v>
      </c>
      <c r="AR200" s="50" t="s">
        <v>353</v>
      </c>
      <c r="AS200" s="45" t="s">
        <v>718</v>
      </c>
      <c r="AT200" s="45" t="s">
        <v>47</v>
      </c>
      <c r="AU200" s="46">
        <f>($O$3*(L200-$O$1)/$O$2+$P$3*(M200-$P$1)/$P$2+$Q$3*(N200-$P$1)/$Q$2)/SUM($O$3:$Q$3)</f>
        <v>-2.5060525215375429</v>
      </c>
      <c r="AV200" s="46">
        <f>($O$3*(O200-$O$1)/$O$2+$P$3*(P200-$P$1)/$P$2+$Q$3*(Q200-$Q$1)/$Q$2)/SUM($O$3:$Q$3)</f>
        <v>-1.23416323121884</v>
      </c>
      <c r="AW200" s="47">
        <f>COUNT(R200:AO200)/2</f>
        <v>4</v>
      </c>
      <c r="AX200" s="47">
        <f>IF(AND(S200&lt;&gt;"-",S200&gt;5),1,0)+IF(AND(U200&lt;&gt;"-",U200&gt;5),1,0)+IF(AND(W200&lt;&gt;"-",W200&gt;5),1,0)+IF(AND(Y200&lt;&gt;"-",Y200&gt;5),1,0)+IF(AND(AA200&lt;&gt;"-",AA200&gt;5),1,0)+IF(AND(AC200&lt;&gt;"-",AC200&gt;5),1,0)+IF(AND(AE200&lt;&gt;"-",AE200&gt;5),1,0)+IF(AND(AG200&lt;&gt;"-",AG200&gt;5),1,0)+IF(AND(AI200&lt;&gt;"-",AI200&gt;5),1,0)+IF(AND(AK200&lt;&gt;"-",AK200&gt;5),1,0)+IF(AND(AM200&lt;&gt;"-",AM200&gt;5),1,0)+IF(AND(AO200&lt;&gt;"-",AO200&gt;5),1,0)</f>
        <v>2</v>
      </c>
      <c r="AY200" s="48">
        <f>VLOOKUP(AP200,COND!$A$10:$B$32,2,FALSE)</f>
        <v>1</v>
      </c>
      <c r="AZ200" s="46">
        <f>($AU$3*AU200+$AV$3*AV200+$AW$3*AW200+$AX$3*AX200)*AY200*IF(AQ200&lt;5,0.95,IF(AQ200&lt;7,0.975,1))+$I$3*VLOOKUP(I200,COND!$A$2:$E$7,4,FALSE)+$J$3*VLOOKUP(J200,COND!$A$2:$E$7,2,FALSE)+$K$3*VLOOKUP(K200,COND!$A$2:$E$7,3,FALSE)+IF(BB200="SP",$BB$3,0)+IF($AW200&lt;3,-5,0)+IF(AND($B$2&gt;0,$E200&lt;20),$B$2*25,0)</f>
        <v>31.615524871315692</v>
      </c>
      <c r="BA200" s="49">
        <f>STANDARDIZE(AZ200,AVERAGE($AZ$5:$AZ$570),STDEVP($AZ$5:$AZ$570))</f>
        <v>-0.10149150286403849</v>
      </c>
      <c r="BB200" s="47" t="str">
        <f>IF(OR(AND(AQ200&gt;7,AX200&gt;1),AND(AQ200&gt;4,AW200&gt;2)),"SP","RP")</f>
        <v>SP</v>
      </c>
      <c r="BC200" s="47"/>
      <c r="BD200" s="47"/>
      <c r="BE200" s="47"/>
      <c r="BF200" s="47" t="str">
        <f>IF(AVERAGE($O200:$Q200)&gt;=6,"Likely",IF(AVERAGE($O200:$Q200)&gt;=4,"Possible","Unlikely"))</f>
        <v>Unlikely</v>
      </c>
      <c r="BG200" s="47"/>
      <c r="BH200" s="47" t="str">
        <f>INDEX(Table5[[#All],[Ovr]],MATCH(Table3[[#This Row],[PID]],Table5[[#All],[PID]],0))</f>
        <v/>
      </c>
      <c r="BI200" s="47" t="str">
        <f>INDEX(Table5[[#All],[Rnd]],MATCH(Table3[[#This Row],[PID]],Table5[[#All],[PID]],0))</f>
        <v/>
      </c>
      <c r="BJ200" s="47" t="str">
        <f>INDEX(Table5[[#All],[Pick]],MATCH(Table3[[#This Row],[PID]],Table5[[#All],[PID]],0))</f>
        <v/>
      </c>
      <c r="BK200" s="47" t="str">
        <f>INDEX(Table5[[#All],[Team]],MATCH(Table3[[#This Row],[PID]],Table5[[#All],[PID]],0))</f>
        <v/>
      </c>
      <c r="BL2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1" spans="1:64" ht="15" customHeight="1" x14ac:dyDescent="0.25">
      <c r="A201" s="42">
        <v>6925</v>
      </c>
      <c r="B201" s="42" t="s">
        <v>24</v>
      </c>
      <c r="C201" s="42" t="s">
        <v>1634</v>
      </c>
      <c r="D201" s="42" t="s">
        <v>367</v>
      </c>
      <c r="E201" s="42">
        <v>21</v>
      </c>
      <c r="F201" s="42" t="s">
        <v>42</v>
      </c>
      <c r="G201" s="42" t="s">
        <v>42</v>
      </c>
      <c r="H201" s="43" t="s">
        <v>721</v>
      </c>
      <c r="I201" s="44" t="s">
        <v>43</v>
      </c>
      <c r="J201" s="42" t="s">
        <v>43</v>
      </c>
      <c r="K201" s="43" t="s">
        <v>43</v>
      </c>
      <c r="L201" s="42">
        <v>3</v>
      </c>
      <c r="M201" s="42">
        <v>2</v>
      </c>
      <c r="N201" s="43">
        <v>3</v>
      </c>
      <c r="O201" s="42">
        <v>4</v>
      </c>
      <c r="P201" s="42">
        <v>3</v>
      </c>
      <c r="Q201" s="43">
        <v>3</v>
      </c>
      <c r="R201" s="42">
        <v>6</v>
      </c>
      <c r="S201" s="42">
        <v>7</v>
      </c>
      <c r="T201" s="42">
        <v>2</v>
      </c>
      <c r="U201" s="42">
        <v>2</v>
      </c>
      <c r="V201" s="42">
        <v>4</v>
      </c>
      <c r="W201" s="42">
        <v>5</v>
      </c>
      <c r="X201" s="42" t="s">
        <v>45</v>
      </c>
      <c r="Y201" s="42" t="s">
        <v>45</v>
      </c>
      <c r="Z201" s="42" t="s">
        <v>45</v>
      </c>
      <c r="AA201" s="42" t="s">
        <v>45</v>
      </c>
      <c r="AB201" s="42" t="s">
        <v>45</v>
      </c>
      <c r="AC201" s="42" t="s">
        <v>45</v>
      </c>
      <c r="AD201" s="42" t="s">
        <v>45</v>
      </c>
      <c r="AE201" s="42" t="s">
        <v>45</v>
      </c>
      <c r="AF201" s="42" t="s">
        <v>45</v>
      </c>
      <c r="AG201" s="42" t="s">
        <v>45</v>
      </c>
      <c r="AH201" s="42" t="s">
        <v>45</v>
      </c>
      <c r="AI201" s="42" t="s">
        <v>45</v>
      </c>
      <c r="AJ201" s="42" t="s">
        <v>45</v>
      </c>
      <c r="AK201" s="42" t="s">
        <v>45</v>
      </c>
      <c r="AL201" s="42" t="s">
        <v>45</v>
      </c>
      <c r="AM201" s="42" t="s">
        <v>45</v>
      </c>
      <c r="AN201" s="42" t="s">
        <v>45</v>
      </c>
      <c r="AO201" s="43" t="s">
        <v>45</v>
      </c>
      <c r="AP201" s="42" t="s">
        <v>56</v>
      </c>
      <c r="AQ201" s="42">
        <v>4</v>
      </c>
      <c r="AR201" s="50" t="s">
        <v>353</v>
      </c>
      <c r="AS201" s="45" t="s">
        <v>717</v>
      </c>
      <c r="AT201" s="45" t="s">
        <v>705</v>
      </c>
      <c r="AU201" s="46">
        <f>($O$3*(L201-$O$1)/$O$2+$P$3*(M201-$P$1)/$P$2+$Q$3*(N201-$P$1)/$Q$2)/SUM($O$3:$Q$3)</f>
        <v>-1.6320287404109748</v>
      </c>
      <c r="AV201" s="46">
        <f>($O$3*(O201-$O$1)/$O$2+$P$3*(P201-$P$1)/$P$2+$Q$3*(Q201-$Q$1)/$Q$2)/SUM($O$3:$Q$3)</f>
        <v>-0.79641094873467422</v>
      </c>
      <c r="AW201" s="47">
        <f>COUNT(R201:AO201)/2</f>
        <v>3</v>
      </c>
      <c r="AX201" s="47">
        <f>IF(AND(S201&lt;&gt;"-",S201&gt;5),1,0)+IF(AND(U201&lt;&gt;"-",U201&gt;5),1,0)+IF(AND(W201&lt;&gt;"-",W201&gt;5),1,0)+IF(AND(Y201&lt;&gt;"-",Y201&gt;5),1,0)+IF(AND(AA201&lt;&gt;"-",AA201&gt;5),1,0)+IF(AND(AC201&lt;&gt;"-",AC201&gt;5),1,0)+IF(AND(AE201&lt;&gt;"-",AE201&gt;5),1,0)+IF(AND(AG201&lt;&gt;"-",AG201&gt;5),1,0)+IF(AND(AI201&lt;&gt;"-",AI201&gt;5),1,0)+IF(AND(AK201&lt;&gt;"-",AK201&gt;5),1,0)+IF(AND(AM201&lt;&gt;"-",AM201&gt;5),1,0)+IF(AND(AO201&lt;&gt;"-",AO201&gt;5),1,0)</f>
        <v>1</v>
      </c>
      <c r="AY201" s="48">
        <f>VLOOKUP(AP201,COND!$A$10:$B$32,2,FALSE)</f>
        <v>1</v>
      </c>
      <c r="AZ201" s="46">
        <f>($AU$3*AU201+$AV$3*AV201+$AW$3*AW201+$AX$3*AX201)*AY201*IF(AQ201&lt;5,0.95,IF(AQ201&lt;7,0.975,1))+$I$3*VLOOKUP(I201,COND!$A$2:$E$7,4,FALSE)+$J$3*VLOOKUP(J201,COND!$A$2:$E$7,2,FALSE)+$K$3*VLOOKUP(K201,COND!$A$2:$E$7,3,FALSE)+IF(BB201="SP",$BB$3,0)+IF($AW201&lt;3,-5,0)+IF(AND($B$2&gt;0,$E201&lt;20),$B$2*25,0)</f>
        <v>32.170606513363104</v>
      </c>
      <c r="BA201" s="49">
        <f>STANDARDIZE(AZ201,AVERAGE($AZ$5:$AZ$570),STDEVP($AZ$5:$AZ$570))</f>
        <v>-5.0588143819490339E-2</v>
      </c>
      <c r="BB201" s="47" t="str">
        <f>IF(OR(AND(AQ201&gt;7,AX201&gt;1),AND(AQ201&gt;4,AW201&gt;2)),"SP","RP")</f>
        <v>RP</v>
      </c>
      <c r="BC201" s="47"/>
      <c r="BD201" s="47"/>
      <c r="BE201" s="47"/>
      <c r="BF201" s="47" t="str">
        <f>IF(AVERAGE($O201:$Q201)&gt;=6,"Likely",IF(AVERAGE($O201:$Q201)&gt;=4,"Possible","Unlikely"))</f>
        <v>Unlikely</v>
      </c>
      <c r="BG201" s="47"/>
      <c r="BH201" s="47" t="str">
        <f>INDEX(Table5[[#All],[Ovr]],MATCH(Table3[[#This Row],[PID]],Table5[[#All],[PID]],0))</f>
        <v/>
      </c>
      <c r="BI201" s="47" t="str">
        <f>INDEX(Table5[[#All],[Rnd]],MATCH(Table3[[#This Row],[PID]],Table5[[#All],[PID]],0))</f>
        <v/>
      </c>
      <c r="BJ201" s="47" t="str">
        <f>INDEX(Table5[[#All],[Pick]],MATCH(Table3[[#This Row],[PID]],Table5[[#All],[PID]],0))</f>
        <v/>
      </c>
      <c r="BK201" s="47" t="str">
        <f>INDEX(Table5[[#All],[Team]],MATCH(Table3[[#This Row],[PID]],Table5[[#All],[PID]],0))</f>
        <v/>
      </c>
      <c r="BL2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2" spans="1:64" ht="15" customHeight="1" x14ac:dyDescent="0.25">
      <c r="A202" s="42">
        <v>12469</v>
      </c>
      <c r="B202" s="42" t="s">
        <v>49</v>
      </c>
      <c r="C202" s="42" t="s">
        <v>130</v>
      </c>
      <c r="D202" s="42" t="s">
        <v>1464</v>
      </c>
      <c r="E202" s="42">
        <v>21</v>
      </c>
      <c r="F202" s="42" t="s">
        <v>42</v>
      </c>
      <c r="G202" s="42" t="s">
        <v>42</v>
      </c>
      <c r="H202" s="43" t="s">
        <v>721</v>
      </c>
      <c r="I202" s="44" t="s">
        <v>44</v>
      </c>
      <c r="J202" s="42" t="s">
        <v>44</v>
      </c>
      <c r="K202" s="43" t="s">
        <v>43</v>
      </c>
      <c r="L202" s="42">
        <v>5</v>
      </c>
      <c r="M202" s="42">
        <v>1</v>
      </c>
      <c r="N202" s="43">
        <v>1</v>
      </c>
      <c r="O202" s="42">
        <v>6</v>
      </c>
      <c r="P202" s="42">
        <v>1</v>
      </c>
      <c r="Q202" s="43">
        <v>2</v>
      </c>
      <c r="R202" s="42">
        <v>6</v>
      </c>
      <c r="S202" s="42">
        <v>7</v>
      </c>
      <c r="T202" s="42">
        <v>7</v>
      </c>
      <c r="U202" s="42">
        <v>8</v>
      </c>
      <c r="V202" s="42" t="s">
        <v>45</v>
      </c>
      <c r="W202" s="42" t="s">
        <v>45</v>
      </c>
      <c r="X202" s="42">
        <v>3</v>
      </c>
      <c r="Y202" s="42">
        <v>4</v>
      </c>
      <c r="Z202" s="42" t="s">
        <v>45</v>
      </c>
      <c r="AA202" s="42" t="s">
        <v>45</v>
      </c>
      <c r="AB202" s="42" t="s">
        <v>45</v>
      </c>
      <c r="AC202" s="42" t="s">
        <v>45</v>
      </c>
      <c r="AD202" s="42" t="s">
        <v>45</v>
      </c>
      <c r="AE202" s="42" t="s">
        <v>45</v>
      </c>
      <c r="AF202" s="42">
        <v>5</v>
      </c>
      <c r="AG202" s="42">
        <v>6</v>
      </c>
      <c r="AH202" s="42">
        <v>2</v>
      </c>
      <c r="AI202" s="42">
        <v>6</v>
      </c>
      <c r="AJ202" s="42" t="s">
        <v>45</v>
      </c>
      <c r="AK202" s="42" t="s">
        <v>45</v>
      </c>
      <c r="AL202" s="42" t="s">
        <v>45</v>
      </c>
      <c r="AM202" s="42" t="s">
        <v>45</v>
      </c>
      <c r="AN202" s="42" t="s">
        <v>45</v>
      </c>
      <c r="AO202" s="43" t="s">
        <v>45</v>
      </c>
      <c r="AP202" s="42" t="s">
        <v>58</v>
      </c>
      <c r="AQ202" s="42">
        <v>7</v>
      </c>
      <c r="AR202" s="50" t="s">
        <v>357</v>
      </c>
      <c r="AS202" s="45" t="s">
        <v>717</v>
      </c>
      <c r="AT202" s="45" t="s">
        <v>47</v>
      </c>
      <c r="AU202" s="46">
        <f>($O$3*(L202-$O$1)/$O$2+$P$3*(M202-$P$1)/$P$2+$Q$3*(N202-$P$1)/$Q$2)/SUM($O$3:$Q$3)</f>
        <v>-1.9227189399309039</v>
      </c>
      <c r="AV202" s="46">
        <f>($O$3*(O202-$O$1)/$O$2+$P$3*(P202-$P$1)/$P$2+$Q$3*(Q202-$Q$1)/$Q$2)/SUM($O$3:$Q$3)</f>
        <v>-1.0402122986305484</v>
      </c>
      <c r="AW202" s="47">
        <f>COUNT(R202:AO202)/2</f>
        <v>5</v>
      </c>
      <c r="AX202" s="47">
        <f>IF(AND(S202&lt;&gt;"-",S202&gt;5),1,0)+IF(AND(U202&lt;&gt;"-",U202&gt;5),1,0)+IF(AND(W202&lt;&gt;"-",W202&gt;5),1,0)+IF(AND(Y202&lt;&gt;"-",Y202&gt;5),1,0)+IF(AND(AA202&lt;&gt;"-",AA202&gt;5),1,0)+IF(AND(AC202&lt;&gt;"-",AC202&gt;5),1,0)+IF(AND(AE202&lt;&gt;"-",AE202&gt;5),1,0)+IF(AND(AG202&lt;&gt;"-",AG202&gt;5),1,0)+IF(AND(AI202&lt;&gt;"-",AI202&gt;5),1,0)+IF(AND(AK202&lt;&gt;"-",AK202&gt;5),1,0)+IF(AND(AM202&lt;&gt;"-",AM202&gt;5),1,0)+IF(AND(AO202&lt;&gt;"-",AO202&gt;5),1,0)</f>
        <v>4</v>
      </c>
      <c r="AY202" s="48">
        <f>VLOOKUP(AP202,COND!$A$10:$B$32,2,FALSE)</f>
        <v>1</v>
      </c>
      <c r="AZ202" s="46">
        <f>($AU$3*AU202+$AV$3*AV202+$AW$3*AW202+$AX$3*AX202)*AY202*IF(AQ202&lt;5,0.95,IF(AQ202&lt;7,0.975,1))+$I$3*VLOOKUP(I202,COND!$A$2:$E$7,4,FALSE)+$J$3*VLOOKUP(J202,COND!$A$2:$E$7,2,FALSE)+$K$3*VLOOKUP(K202,COND!$A$2:$E$7,3,FALSE)+IF(BB202="SP",$BB$3,0)+IF($AW202&lt;3,-5,0)+IF(AND($B$2&gt;0,$E202&lt;20),$B$2*25,0)</f>
        <v>32.861210239402851</v>
      </c>
      <c r="BA202" s="49">
        <f>STANDARDIZE(AZ202,AVERAGE($AZ$5:$AZ$570),STDEVP($AZ$5:$AZ$570))</f>
        <v>1.2743169560715696E-2</v>
      </c>
      <c r="BB202" s="47" t="str">
        <f>IF(OR(AND(AQ202&gt;7,AX202&gt;1),AND(AQ202&gt;4,AW202&gt;2)),"SP","RP")</f>
        <v>SP</v>
      </c>
      <c r="BC202" s="47"/>
      <c r="BD202" s="47"/>
      <c r="BE202" s="47"/>
      <c r="BF202" s="47" t="str">
        <f>IF(AVERAGE($O202:$Q202)&gt;=6,"Likely",IF(AVERAGE($O202:$Q202)&gt;=4,"Possible","Unlikely"))</f>
        <v>Unlikely</v>
      </c>
      <c r="BG202" s="47"/>
      <c r="BH202" s="47" t="str">
        <f>INDEX(Table5[[#All],[Ovr]],MATCH(Table3[[#This Row],[PID]],Table5[[#All],[PID]],0))</f>
        <v/>
      </c>
      <c r="BI202" s="47" t="str">
        <f>INDEX(Table5[[#All],[Rnd]],MATCH(Table3[[#This Row],[PID]],Table5[[#All],[PID]],0))</f>
        <v/>
      </c>
      <c r="BJ202" s="47" t="str">
        <f>INDEX(Table5[[#All],[Pick]],MATCH(Table3[[#This Row],[PID]],Table5[[#All],[PID]],0))</f>
        <v/>
      </c>
      <c r="BK202" s="47" t="str">
        <f>INDEX(Table5[[#All],[Team]],MATCH(Table3[[#This Row],[PID]],Table5[[#All],[PID]],0))</f>
        <v/>
      </c>
      <c r="BL2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3" spans="1:64" ht="15" customHeight="1" x14ac:dyDescent="0.25">
      <c r="A203" s="42">
        <v>17643</v>
      </c>
      <c r="B203" s="42" t="s">
        <v>430</v>
      </c>
      <c r="C203" s="42" t="s">
        <v>949</v>
      </c>
      <c r="D203" s="42" t="s">
        <v>744</v>
      </c>
      <c r="E203" s="42">
        <v>18</v>
      </c>
      <c r="F203" s="42" t="s">
        <v>42</v>
      </c>
      <c r="G203" s="42" t="s">
        <v>42</v>
      </c>
      <c r="H203" s="43" t="s">
        <v>721</v>
      </c>
      <c r="I203" s="44" t="s">
        <v>43</v>
      </c>
      <c r="J203" s="42" t="s">
        <v>43</v>
      </c>
      <c r="K203" s="43" t="s">
        <v>44</v>
      </c>
      <c r="L203" s="42">
        <v>1</v>
      </c>
      <c r="M203" s="42">
        <v>2</v>
      </c>
      <c r="N203" s="43">
        <v>1</v>
      </c>
      <c r="O203" s="42">
        <v>4</v>
      </c>
      <c r="P203" s="42">
        <v>2</v>
      </c>
      <c r="Q203" s="43">
        <v>3</v>
      </c>
      <c r="R203" s="42">
        <v>3</v>
      </c>
      <c r="S203" s="42">
        <v>4</v>
      </c>
      <c r="T203" s="42">
        <v>1</v>
      </c>
      <c r="U203" s="42">
        <v>5</v>
      </c>
      <c r="V203" s="42">
        <v>1</v>
      </c>
      <c r="W203" s="42">
        <v>5</v>
      </c>
      <c r="X203" s="42">
        <v>2</v>
      </c>
      <c r="Y203" s="42">
        <v>2</v>
      </c>
      <c r="Z203" s="42" t="s">
        <v>45</v>
      </c>
      <c r="AA203" s="42" t="s">
        <v>45</v>
      </c>
      <c r="AB203" s="42" t="s">
        <v>45</v>
      </c>
      <c r="AC203" s="42" t="s">
        <v>45</v>
      </c>
      <c r="AD203" s="42" t="s">
        <v>45</v>
      </c>
      <c r="AE203" s="42" t="s">
        <v>45</v>
      </c>
      <c r="AF203" s="42">
        <v>2</v>
      </c>
      <c r="AG203" s="42">
        <v>4</v>
      </c>
      <c r="AH203" s="42" t="s">
        <v>45</v>
      </c>
      <c r="AI203" s="42" t="s">
        <v>45</v>
      </c>
      <c r="AJ203" s="42" t="s">
        <v>45</v>
      </c>
      <c r="AK203" s="42" t="s">
        <v>45</v>
      </c>
      <c r="AL203" s="42" t="s">
        <v>45</v>
      </c>
      <c r="AM203" s="42" t="s">
        <v>45</v>
      </c>
      <c r="AN203" s="42" t="s">
        <v>45</v>
      </c>
      <c r="AO203" s="43" t="s">
        <v>45</v>
      </c>
      <c r="AP203" s="42" t="s">
        <v>64</v>
      </c>
      <c r="AQ203" s="42">
        <v>3</v>
      </c>
      <c r="AR203" s="50" t="s">
        <v>353</v>
      </c>
      <c r="AS203" s="45" t="s">
        <v>718</v>
      </c>
      <c r="AT203" s="45" t="s">
        <v>47</v>
      </c>
      <c r="AU203" s="46">
        <f>($O$3*(L203-$O$1)/$O$2+$P$3*(M203-$P$1)/$P$2+$Q$3*(N203-$P$1)/$Q$2)/SUM($O$3:$Q$3)</f>
        <v>-2.5060525215375429</v>
      </c>
      <c r="AV203" s="46">
        <f>($O$3*(O203-$O$1)/$O$2+$P$3*(P203-$P$1)/$P$2+$Q$3*(Q203-$Q$1)/$Q$2)/SUM($O$3:$Q$3)</f>
        <v>-0.99184266516472974</v>
      </c>
      <c r="AW203" s="47">
        <f>COUNT(R203:AO203)/2</f>
        <v>5</v>
      </c>
      <c r="AX203" s="47">
        <f>IF(AND(S203&lt;&gt;"-",S203&gt;5),1,0)+IF(AND(U203&lt;&gt;"-",U203&gt;5),1,0)+IF(AND(W203&lt;&gt;"-",W203&gt;5),1,0)+IF(AND(Y203&lt;&gt;"-",Y203&gt;5),1,0)+IF(AND(AA203&lt;&gt;"-",AA203&gt;5),1,0)+IF(AND(AC203&lt;&gt;"-",AC203&gt;5),1,0)+IF(AND(AE203&lt;&gt;"-",AE203&gt;5),1,0)+IF(AND(AG203&lt;&gt;"-",AG203&gt;5),1,0)+IF(AND(AI203&lt;&gt;"-",AI203&gt;5),1,0)+IF(AND(AK203&lt;&gt;"-",AK203&gt;5),1,0)+IF(AND(AM203&lt;&gt;"-",AM203&gt;5),1,0)+IF(AND(AO203&lt;&gt;"-",AO203&gt;5),1,0)</f>
        <v>0</v>
      </c>
      <c r="AY203" s="48">
        <f>VLOOKUP(AP203,COND!$A$10:$B$32,2,FALSE)</f>
        <v>1</v>
      </c>
      <c r="AZ203" s="46">
        <f>($AU$3*AU203+$AV$3*AV203+$AW$3*AW203+$AX$3*AX203)*AY203*IF(AQ203&lt;5,0.95,IF(AQ203&lt;7,0.975,1))+$I$3*VLOOKUP(I203,COND!$A$2:$E$7,4,FALSE)+$J$3*VLOOKUP(J203,COND!$A$2:$E$7,2,FALSE)+$K$3*VLOOKUP(K203,COND!$A$2:$E$7,3,FALSE)+IF(BB203="SP",$BB$3,0)+IF($AW203&lt;3,-5,0)+IF(AND($B$2&gt;0,$E203&lt;20),$B$2*25,0)</f>
        <v>32.753839382777997</v>
      </c>
      <c r="BA203" s="49">
        <f>STANDARDIZE(AZ203,AVERAGE($AZ$5:$AZ$570),STDEVP($AZ$5:$AZ$570))</f>
        <v>2.8968030955303548E-3</v>
      </c>
      <c r="BB203" s="47" t="str">
        <f>IF(OR(AND(AQ203&gt;7,AX203&gt;1),AND(AQ203&gt;4,AW203&gt;2)),"SP","RP")</f>
        <v>RP</v>
      </c>
      <c r="BC203" s="47"/>
      <c r="BD203" s="47"/>
      <c r="BE203" s="47"/>
      <c r="BF203" s="47" t="str">
        <f>IF(AVERAGE($O203:$Q203)&gt;=6,"Likely",IF(AVERAGE($O203:$Q203)&gt;=4,"Possible","Unlikely"))</f>
        <v>Unlikely</v>
      </c>
      <c r="BG203" s="47"/>
      <c r="BH203" s="47" t="str">
        <f>INDEX(Table5[[#All],[Ovr]],MATCH(Table3[[#This Row],[PID]],Table5[[#All],[PID]],0))</f>
        <v/>
      </c>
      <c r="BI203" s="47" t="str">
        <f>INDEX(Table5[[#All],[Rnd]],MATCH(Table3[[#This Row],[PID]],Table5[[#All],[PID]],0))</f>
        <v/>
      </c>
      <c r="BJ203" s="47" t="str">
        <f>INDEX(Table5[[#All],[Pick]],MATCH(Table3[[#This Row],[PID]],Table5[[#All],[PID]],0))</f>
        <v/>
      </c>
      <c r="BK203" s="47" t="str">
        <f>INDEX(Table5[[#All],[Team]],MATCH(Table3[[#This Row],[PID]],Table5[[#All],[PID]],0))</f>
        <v/>
      </c>
      <c r="BL2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4" spans="1:64" ht="15" customHeight="1" x14ac:dyDescent="0.25">
      <c r="A204" s="42">
        <v>11907</v>
      </c>
      <c r="B204" s="42" t="s">
        <v>24</v>
      </c>
      <c r="C204" s="42" t="s">
        <v>146</v>
      </c>
      <c r="D204" s="42" t="s">
        <v>321</v>
      </c>
      <c r="E204" s="42">
        <v>21</v>
      </c>
      <c r="F204" s="42" t="s">
        <v>42</v>
      </c>
      <c r="G204" s="42" t="s">
        <v>42</v>
      </c>
      <c r="H204" s="43" t="s">
        <v>721</v>
      </c>
      <c r="I204" s="44" t="s">
        <v>47</v>
      </c>
      <c r="J204" s="42" t="s">
        <v>47</v>
      </c>
      <c r="K204" s="43" t="s">
        <v>43</v>
      </c>
      <c r="L204" s="42">
        <v>2</v>
      </c>
      <c r="M204" s="42">
        <v>2</v>
      </c>
      <c r="N204" s="43">
        <v>1</v>
      </c>
      <c r="O204" s="42">
        <v>5</v>
      </c>
      <c r="P204" s="42">
        <v>2</v>
      </c>
      <c r="Q204" s="43">
        <v>2</v>
      </c>
      <c r="R204" s="42" t="s">
        <v>45</v>
      </c>
      <c r="S204" s="42" t="s">
        <v>45</v>
      </c>
      <c r="T204" s="42">
        <v>1</v>
      </c>
      <c r="U204" s="42">
        <v>1</v>
      </c>
      <c r="V204" s="42">
        <v>2</v>
      </c>
      <c r="W204" s="42">
        <v>6</v>
      </c>
      <c r="X204" s="42" t="s">
        <v>45</v>
      </c>
      <c r="Y204" s="42" t="s">
        <v>45</v>
      </c>
      <c r="Z204" s="42" t="s">
        <v>45</v>
      </c>
      <c r="AA204" s="42" t="s">
        <v>45</v>
      </c>
      <c r="AB204" s="42" t="s">
        <v>45</v>
      </c>
      <c r="AC204" s="42" t="s">
        <v>45</v>
      </c>
      <c r="AD204" s="42">
        <v>3</v>
      </c>
      <c r="AE204" s="42">
        <v>6</v>
      </c>
      <c r="AF204" s="42">
        <v>3</v>
      </c>
      <c r="AG204" s="42">
        <v>5</v>
      </c>
      <c r="AH204" s="42" t="s">
        <v>45</v>
      </c>
      <c r="AI204" s="42" t="s">
        <v>45</v>
      </c>
      <c r="AJ204" s="42" t="s">
        <v>45</v>
      </c>
      <c r="AK204" s="42" t="s">
        <v>45</v>
      </c>
      <c r="AL204" s="42" t="s">
        <v>45</v>
      </c>
      <c r="AM204" s="42" t="s">
        <v>45</v>
      </c>
      <c r="AN204" s="42" t="s">
        <v>45</v>
      </c>
      <c r="AO204" s="43" t="s">
        <v>45</v>
      </c>
      <c r="AP204" s="42" t="s">
        <v>56</v>
      </c>
      <c r="AQ204" s="42">
        <v>5</v>
      </c>
      <c r="AR204" s="50" t="s">
        <v>353</v>
      </c>
      <c r="AS204" s="45" t="s">
        <v>717</v>
      </c>
      <c r="AT204" s="45" t="s">
        <v>47</v>
      </c>
      <c r="AU204" s="46">
        <f>($O$3*(L204-$O$1)/$O$2+$P$3*(M204-$P$1)/$P$2+$Q$3*(N204-$P$1)/$Q$2)/SUM($O$3:$Q$3)</f>
        <v>-2.311361197028369</v>
      </c>
      <c r="AV204" s="46">
        <f>($O$3*(O204-$O$1)/$O$2+$P$3*(P204-$P$1)/$P$2+$Q$3*(Q204-$Q$1)/$Q$2)/SUM($O$3:$Q$3)</f>
        <v>-1.0394719067096667</v>
      </c>
      <c r="AW204" s="47">
        <f>COUNT(R204:AO204)/2</f>
        <v>4</v>
      </c>
      <c r="AX204" s="47">
        <f>IF(AND(S204&lt;&gt;"-",S204&gt;5),1,0)+IF(AND(U204&lt;&gt;"-",U204&gt;5),1,0)+IF(AND(W204&lt;&gt;"-",W204&gt;5),1,0)+IF(AND(Y204&lt;&gt;"-",Y204&gt;5),1,0)+IF(AND(AA204&lt;&gt;"-",AA204&gt;5),1,0)+IF(AND(AC204&lt;&gt;"-",AC204&gt;5),1,0)+IF(AND(AE204&lt;&gt;"-",AE204&gt;5),1,0)+IF(AND(AG204&lt;&gt;"-",AG204&gt;5),1,0)+IF(AND(AI204&lt;&gt;"-",AI204&gt;5),1,0)+IF(AND(AK204&lt;&gt;"-",AK204&gt;5),1,0)+IF(AND(AM204&lt;&gt;"-",AM204&gt;5),1,0)+IF(AND(AO204&lt;&gt;"-",AO204&gt;5),1,0)</f>
        <v>2</v>
      </c>
      <c r="AY204" s="48">
        <f>VLOOKUP(AP204,COND!$A$10:$B$32,2,FALSE)</f>
        <v>1</v>
      </c>
      <c r="AZ204" s="46">
        <f>($AU$3*AU204+$AV$3*AV204+$AW$3*AW204+$AX$3*AX204)*AY204*IF(AQ204&lt;5,0.95,IF(AQ204&lt;7,0.975,1))+$I$3*VLOOKUP(I204,COND!$A$2:$E$7,4,FALSE)+$J$3*VLOOKUP(J204,COND!$A$2:$E$7,2,FALSE)+$K$3*VLOOKUP(K204,COND!$A$2:$E$7,3,FALSE)+IF(BB204="SP",$BB$3,0)+IF($AW204&lt;3,-5,0)+IF(AND($B$2&gt;0,$E204&lt;20),$B$2*25,0)</f>
        <v>31.192082385740967</v>
      </c>
      <c r="BA204" s="49">
        <f>STANDARDIZE(AZ204,AVERAGE($AZ$5:$AZ$570),STDEVP($AZ$5:$AZ$570))</f>
        <v>-0.14032298862246148</v>
      </c>
      <c r="BB204" s="47" t="str">
        <f>IF(OR(AND(AQ204&gt;7,AX204&gt;1),AND(AQ204&gt;4,AW204&gt;2)),"SP","RP")</f>
        <v>SP</v>
      </c>
      <c r="BC204" s="47"/>
      <c r="BD204" s="47"/>
      <c r="BE204" s="47"/>
      <c r="BF204" s="47" t="str">
        <f>IF(AVERAGE($O204:$Q204)&gt;=6,"Likely",IF(AVERAGE($O204:$Q204)&gt;=4,"Possible","Unlikely"))</f>
        <v>Unlikely</v>
      </c>
      <c r="BG204" s="47"/>
      <c r="BH204" s="47" t="str">
        <f>INDEX(Table5[[#All],[Ovr]],MATCH(Table3[[#This Row],[PID]],Table5[[#All],[PID]],0))</f>
        <v/>
      </c>
      <c r="BI204" s="47" t="str">
        <f>INDEX(Table5[[#All],[Rnd]],MATCH(Table3[[#This Row],[PID]],Table5[[#All],[PID]],0))</f>
        <v/>
      </c>
      <c r="BJ204" s="47" t="str">
        <f>INDEX(Table5[[#All],[Pick]],MATCH(Table3[[#This Row],[PID]],Table5[[#All],[PID]],0))</f>
        <v/>
      </c>
      <c r="BK204" s="47" t="str">
        <f>INDEX(Table5[[#All],[Team]],MATCH(Table3[[#This Row],[PID]],Table5[[#All],[PID]],0))</f>
        <v/>
      </c>
      <c r="BL2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5" spans="1:64" ht="15" customHeight="1" x14ac:dyDescent="0.25">
      <c r="A205" s="42">
        <v>17913</v>
      </c>
      <c r="B205" s="42" t="s">
        <v>430</v>
      </c>
      <c r="C205" s="42" t="s">
        <v>372</v>
      </c>
      <c r="D205" s="42" t="s">
        <v>1582</v>
      </c>
      <c r="E205" s="42">
        <v>18</v>
      </c>
      <c r="F205" s="42" t="s">
        <v>53</v>
      </c>
      <c r="G205" s="42" t="s">
        <v>53</v>
      </c>
      <c r="H205" s="43" t="s">
        <v>721</v>
      </c>
      <c r="I205" s="44" t="s">
        <v>43</v>
      </c>
      <c r="J205" s="42" t="s">
        <v>43</v>
      </c>
      <c r="K205" s="43" t="s">
        <v>43</v>
      </c>
      <c r="L205" s="42">
        <v>1</v>
      </c>
      <c r="M205" s="42">
        <v>2</v>
      </c>
      <c r="N205" s="43">
        <v>1</v>
      </c>
      <c r="O205" s="42">
        <v>4</v>
      </c>
      <c r="P205" s="42">
        <v>2</v>
      </c>
      <c r="Q205" s="43">
        <v>2</v>
      </c>
      <c r="R205" s="42">
        <v>2</v>
      </c>
      <c r="S205" s="42">
        <v>5</v>
      </c>
      <c r="T205" s="42">
        <v>1</v>
      </c>
      <c r="U205" s="42">
        <v>2</v>
      </c>
      <c r="V205" s="42" t="s">
        <v>45</v>
      </c>
      <c r="W205" s="42" t="s">
        <v>45</v>
      </c>
      <c r="X205" s="42">
        <v>2</v>
      </c>
      <c r="Y205" s="42">
        <v>6</v>
      </c>
      <c r="Z205" s="42" t="s">
        <v>45</v>
      </c>
      <c r="AA205" s="42" t="s">
        <v>45</v>
      </c>
      <c r="AB205" s="42" t="s">
        <v>45</v>
      </c>
      <c r="AC205" s="42" t="s">
        <v>45</v>
      </c>
      <c r="AD205" s="42" t="s">
        <v>45</v>
      </c>
      <c r="AE205" s="42" t="s">
        <v>45</v>
      </c>
      <c r="AF205" s="42" t="s">
        <v>45</v>
      </c>
      <c r="AG205" s="42" t="s">
        <v>45</v>
      </c>
      <c r="AH205" s="42" t="s">
        <v>45</v>
      </c>
      <c r="AI205" s="42" t="s">
        <v>45</v>
      </c>
      <c r="AJ205" s="42" t="s">
        <v>45</v>
      </c>
      <c r="AK205" s="42" t="s">
        <v>45</v>
      </c>
      <c r="AL205" s="42" t="s">
        <v>45</v>
      </c>
      <c r="AM205" s="42" t="s">
        <v>45</v>
      </c>
      <c r="AN205" s="42" t="s">
        <v>45</v>
      </c>
      <c r="AO205" s="43" t="s">
        <v>45</v>
      </c>
      <c r="AP205" s="42" t="s">
        <v>67</v>
      </c>
      <c r="AQ205" s="42">
        <v>8</v>
      </c>
      <c r="AR205" s="50" t="s">
        <v>353</v>
      </c>
      <c r="AS205" s="45" t="s">
        <v>718</v>
      </c>
      <c r="AT205" s="45" t="s">
        <v>47</v>
      </c>
      <c r="AU205" s="46">
        <f>($O$3*(L205-$O$1)/$O$2+$P$3*(M205-$P$1)/$P$2+$Q$3*(N205-$P$1)/$Q$2)/SUM($O$3:$Q$3)</f>
        <v>-2.5060525215375429</v>
      </c>
      <c r="AV205" s="46">
        <f>($O$3*(O205-$O$1)/$O$2+$P$3*(P205-$P$1)/$P$2+$Q$3*(Q205-$Q$1)/$Q$2)/SUM($O$3:$Q$3)</f>
        <v>-1.23416323121884</v>
      </c>
      <c r="AW205" s="47">
        <f>COUNT(R205:AO205)/2</f>
        <v>3</v>
      </c>
      <c r="AX205" s="47">
        <f>IF(AND(S205&lt;&gt;"-",S205&gt;5),1,0)+IF(AND(U205&lt;&gt;"-",U205&gt;5),1,0)+IF(AND(W205&lt;&gt;"-",W205&gt;5),1,0)+IF(AND(Y205&lt;&gt;"-",Y205&gt;5),1,0)+IF(AND(AA205&lt;&gt;"-",AA205&gt;5),1,0)+IF(AND(AC205&lt;&gt;"-",AC205&gt;5),1,0)+IF(AND(AE205&lt;&gt;"-",AE205&gt;5),1,0)+IF(AND(AG205&lt;&gt;"-",AG205&gt;5),1,0)+IF(AND(AI205&lt;&gt;"-",AI205&gt;5),1,0)+IF(AND(AK205&lt;&gt;"-",AK205&gt;5),1,0)+IF(AND(AM205&lt;&gt;"-",AM205&gt;5),1,0)+IF(AND(AO205&lt;&gt;"-",AO205&gt;5),1,0)</f>
        <v>1</v>
      </c>
      <c r="AY205" s="48">
        <f>VLOOKUP(AP205,COND!$A$10:$B$32,2,FALSE)</f>
        <v>0.9</v>
      </c>
      <c r="AZ205" s="46">
        <f>($AU$3*AU205+$AV$3*AV205+$AW$3*AW205+$AX$3*AX205)*AY205*IF(AQ205&lt;5,0.95,IF(AQ205&lt;7,0.975,1))+$I$3*VLOOKUP(I205,COND!$A$2:$E$7,4,FALSE)+$J$3*VLOOKUP(J205,COND!$A$2:$E$7,2,FALSE)+$K$3*VLOOKUP(K205,COND!$A$2:$E$7,3,FALSE)+IF(BB205="SP",$BB$3,0)+IF($AW205&lt;3,-5,0)+IF(AND($B$2&gt;0,$E205&lt;20),$B$2*25,0)</f>
        <v>31.808972384184123</v>
      </c>
      <c r="BA205" s="49">
        <f>STANDARDIZE(AZ205,AVERAGE($AZ$5:$AZ$570),STDEVP($AZ$5:$AZ$570))</f>
        <v>-8.3751539121956181E-2</v>
      </c>
      <c r="BB205" s="47" t="str">
        <f>IF(OR(AND(AQ205&gt;7,AX205&gt;1),AND(AQ205&gt;4,AW205&gt;2)),"SP","RP")</f>
        <v>SP</v>
      </c>
      <c r="BC205" s="47"/>
      <c r="BD205" s="47"/>
      <c r="BE205" s="47"/>
      <c r="BF205" s="47" t="str">
        <f>IF(AVERAGE($O205:$Q205)&gt;=6,"Likely",IF(AVERAGE($O205:$Q205)&gt;=4,"Possible","Unlikely"))</f>
        <v>Unlikely</v>
      </c>
      <c r="BG205" s="47"/>
      <c r="BH205" s="47" t="str">
        <f>INDEX(Table5[[#All],[Ovr]],MATCH(Table3[[#This Row],[PID]],Table5[[#All],[PID]],0))</f>
        <v/>
      </c>
      <c r="BI205" s="47" t="str">
        <f>INDEX(Table5[[#All],[Rnd]],MATCH(Table3[[#This Row],[PID]],Table5[[#All],[PID]],0))</f>
        <v/>
      </c>
      <c r="BJ205" s="47" t="str">
        <f>INDEX(Table5[[#All],[Pick]],MATCH(Table3[[#This Row],[PID]],Table5[[#All],[PID]],0))</f>
        <v/>
      </c>
      <c r="BK205" s="47" t="str">
        <f>INDEX(Table5[[#All],[Team]],MATCH(Table3[[#This Row],[PID]],Table5[[#All],[PID]],0))</f>
        <v/>
      </c>
      <c r="BL2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6" spans="1:64" ht="15" customHeight="1" x14ac:dyDescent="0.25">
      <c r="A206" s="42">
        <v>7796</v>
      </c>
      <c r="B206" s="42" t="s">
        <v>430</v>
      </c>
      <c r="C206" s="42" t="s">
        <v>167</v>
      </c>
      <c r="D206" s="42" t="s">
        <v>1595</v>
      </c>
      <c r="E206" s="42">
        <v>18</v>
      </c>
      <c r="F206" s="42" t="s">
        <v>42</v>
      </c>
      <c r="G206" s="42" t="s">
        <v>42</v>
      </c>
      <c r="H206" s="43" t="s">
        <v>721</v>
      </c>
      <c r="I206" s="44" t="s">
        <v>43</v>
      </c>
      <c r="J206" s="42" t="s">
        <v>44</v>
      </c>
      <c r="K206" s="43" t="s">
        <v>43</v>
      </c>
      <c r="L206" s="42">
        <v>2</v>
      </c>
      <c r="M206" s="42">
        <v>2</v>
      </c>
      <c r="N206" s="43">
        <v>1</v>
      </c>
      <c r="O206" s="42">
        <v>4</v>
      </c>
      <c r="P206" s="42">
        <v>2</v>
      </c>
      <c r="Q206" s="43">
        <v>3</v>
      </c>
      <c r="R206" s="42">
        <v>3</v>
      </c>
      <c r="S206" s="42">
        <v>5</v>
      </c>
      <c r="T206" s="42">
        <v>1</v>
      </c>
      <c r="U206" s="42">
        <v>2</v>
      </c>
      <c r="V206" s="42">
        <v>1</v>
      </c>
      <c r="W206" s="42">
        <v>4</v>
      </c>
      <c r="X206" s="42" t="s">
        <v>45</v>
      </c>
      <c r="Y206" s="42" t="s">
        <v>45</v>
      </c>
      <c r="Z206" s="42" t="s">
        <v>45</v>
      </c>
      <c r="AA206" s="42" t="s">
        <v>45</v>
      </c>
      <c r="AB206" s="42">
        <v>3</v>
      </c>
      <c r="AC206" s="42">
        <v>4</v>
      </c>
      <c r="AD206" s="42" t="s">
        <v>45</v>
      </c>
      <c r="AE206" s="42" t="s">
        <v>45</v>
      </c>
      <c r="AF206" s="42" t="s">
        <v>45</v>
      </c>
      <c r="AG206" s="42" t="s">
        <v>45</v>
      </c>
      <c r="AH206" s="42" t="s">
        <v>45</v>
      </c>
      <c r="AI206" s="42" t="s">
        <v>45</v>
      </c>
      <c r="AJ206" s="42" t="s">
        <v>45</v>
      </c>
      <c r="AK206" s="42" t="s">
        <v>45</v>
      </c>
      <c r="AL206" s="42" t="s">
        <v>45</v>
      </c>
      <c r="AM206" s="42" t="s">
        <v>45</v>
      </c>
      <c r="AN206" s="42" t="s">
        <v>45</v>
      </c>
      <c r="AO206" s="43" t="s">
        <v>45</v>
      </c>
      <c r="AP206" s="42" t="s">
        <v>355</v>
      </c>
      <c r="AQ206" s="42">
        <v>2</v>
      </c>
      <c r="AR206" s="50" t="s">
        <v>353</v>
      </c>
      <c r="AS206" s="45" t="s">
        <v>739</v>
      </c>
      <c r="AT206" s="45" t="s">
        <v>47</v>
      </c>
      <c r="AU206" s="46">
        <f>($O$3*(L206-$O$1)/$O$2+$P$3*(M206-$P$1)/$P$2+$Q$3*(N206-$P$1)/$Q$2)/SUM($O$3:$Q$3)</f>
        <v>-2.311361197028369</v>
      </c>
      <c r="AV206" s="46">
        <f>($O$3*(O206-$O$1)/$O$2+$P$3*(P206-$P$1)/$P$2+$Q$3*(Q206-$Q$1)/$Q$2)/SUM($O$3:$Q$3)</f>
        <v>-0.99184266516472974</v>
      </c>
      <c r="AW206" s="47">
        <f>COUNT(R206:AO206)/2</f>
        <v>4</v>
      </c>
      <c r="AX206" s="47">
        <f>IF(AND(S206&lt;&gt;"-",S206&gt;5),1,0)+IF(AND(U206&lt;&gt;"-",U206&gt;5),1,0)+IF(AND(W206&lt;&gt;"-",W206&gt;5),1,0)+IF(AND(Y206&lt;&gt;"-",Y206&gt;5),1,0)+IF(AND(AA206&lt;&gt;"-",AA206&gt;5),1,0)+IF(AND(AC206&lt;&gt;"-",AC206&gt;5),1,0)+IF(AND(AE206&lt;&gt;"-",AE206&gt;5),1,0)+IF(AND(AG206&lt;&gt;"-",AG206&gt;5),1,0)+IF(AND(AI206&lt;&gt;"-",AI206&gt;5),1,0)+IF(AND(AK206&lt;&gt;"-",AK206&gt;5),1,0)+IF(AND(AM206&lt;&gt;"-",AM206&gt;5),1,0)+IF(AND(AO206&lt;&gt;"-",AO206&gt;5),1,0)</f>
        <v>0</v>
      </c>
      <c r="AY206" s="48">
        <f>VLOOKUP(AP206,COND!$A$10:$B$32,2,FALSE)</f>
        <v>1</v>
      </c>
      <c r="AZ206" s="46">
        <f>($AU$3*AU206+$AV$3*AV206+$AW$3*AW206+$AX$3*AX206)*AY206*IF(AQ206&lt;5,0.95,IF(AQ206&lt;7,0.975,1))+$I$3*VLOOKUP(I206,COND!$A$2:$E$7,4,FALSE)+$J$3*VLOOKUP(J206,COND!$A$2:$E$7,2,FALSE)+$K$3*VLOOKUP(K206,COND!$A$2:$E$7,3,FALSE)+IF(BB206="SP",$BB$3,0)+IF($AW206&lt;3,-5,0)+IF(AND($B$2&gt;0,$E206&lt;20),$B$2*25,0)</f>
        <v>32.315830734434741</v>
      </c>
      <c r="BA206" s="49">
        <f>STANDARDIZE(AZ206,AVERAGE($AZ$5:$AZ$570),STDEVP($AZ$5:$AZ$570))</f>
        <v>-3.7270462045855095E-2</v>
      </c>
      <c r="BB206" s="47" t="str">
        <f>IF(OR(AND(AQ206&gt;7,AX206&gt;1),AND(AQ206&gt;4,AW206&gt;2)),"SP","RP")</f>
        <v>RP</v>
      </c>
      <c r="BC206" s="47"/>
      <c r="BD206" s="47"/>
      <c r="BE206" s="47"/>
      <c r="BF206" s="47" t="str">
        <f>IF(AVERAGE($O206:$Q206)&gt;=6,"Likely",IF(AVERAGE($O206:$Q206)&gt;=4,"Possible","Unlikely"))</f>
        <v>Unlikely</v>
      </c>
      <c r="BG206" s="47"/>
      <c r="BH206" s="47" t="str">
        <f>INDEX(Table5[[#All],[Ovr]],MATCH(Table3[[#This Row],[PID]],Table5[[#All],[PID]],0))</f>
        <v/>
      </c>
      <c r="BI206" s="47" t="str">
        <f>INDEX(Table5[[#All],[Rnd]],MATCH(Table3[[#This Row],[PID]],Table5[[#All],[PID]],0))</f>
        <v/>
      </c>
      <c r="BJ206" s="47" t="str">
        <f>INDEX(Table5[[#All],[Pick]],MATCH(Table3[[#This Row],[PID]],Table5[[#All],[PID]],0))</f>
        <v/>
      </c>
      <c r="BK206" s="47" t="str">
        <f>INDEX(Table5[[#All],[Team]],MATCH(Table3[[#This Row],[PID]],Table5[[#All],[PID]],0))</f>
        <v/>
      </c>
      <c r="BL2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7" spans="1:64" ht="15" customHeight="1" x14ac:dyDescent="0.25">
      <c r="A207" s="42">
        <v>7393</v>
      </c>
      <c r="B207" s="42" t="s">
        <v>24</v>
      </c>
      <c r="C207" s="42" t="s">
        <v>209</v>
      </c>
      <c r="D207" s="42" t="s">
        <v>1521</v>
      </c>
      <c r="E207" s="42">
        <v>21</v>
      </c>
      <c r="F207" s="42" t="s">
        <v>42</v>
      </c>
      <c r="G207" s="42" t="s">
        <v>42</v>
      </c>
      <c r="H207" s="43" t="s">
        <v>721</v>
      </c>
      <c r="I207" s="44" t="s">
        <v>43</v>
      </c>
      <c r="J207" s="42" t="s">
        <v>47</v>
      </c>
      <c r="K207" s="43" t="s">
        <v>43</v>
      </c>
      <c r="L207" s="42">
        <v>4</v>
      </c>
      <c r="M207" s="42">
        <v>1</v>
      </c>
      <c r="N207" s="43">
        <v>3</v>
      </c>
      <c r="O207" s="42">
        <v>5</v>
      </c>
      <c r="P207" s="42">
        <v>1</v>
      </c>
      <c r="Q207" s="43">
        <v>3</v>
      </c>
      <c r="R207" s="42">
        <v>6</v>
      </c>
      <c r="S207" s="42">
        <v>7</v>
      </c>
      <c r="T207" s="42">
        <v>1</v>
      </c>
      <c r="U207" s="42">
        <v>2</v>
      </c>
      <c r="V207" s="42" t="s">
        <v>45</v>
      </c>
      <c r="W207" s="42" t="s">
        <v>45</v>
      </c>
      <c r="X207" s="42">
        <v>4</v>
      </c>
      <c r="Y207" s="42">
        <v>5</v>
      </c>
      <c r="Z207" s="42" t="s">
        <v>45</v>
      </c>
      <c r="AA207" s="42" t="s">
        <v>45</v>
      </c>
      <c r="AB207" s="42" t="s">
        <v>45</v>
      </c>
      <c r="AC207" s="42" t="s">
        <v>45</v>
      </c>
      <c r="AD207" s="42" t="s">
        <v>45</v>
      </c>
      <c r="AE207" s="42" t="s">
        <v>45</v>
      </c>
      <c r="AF207" s="42">
        <v>5</v>
      </c>
      <c r="AG207" s="42">
        <v>6</v>
      </c>
      <c r="AH207" s="42" t="s">
        <v>45</v>
      </c>
      <c r="AI207" s="42" t="s">
        <v>45</v>
      </c>
      <c r="AJ207" s="42" t="s">
        <v>45</v>
      </c>
      <c r="AK207" s="42" t="s">
        <v>45</v>
      </c>
      <c r="AL207" s="42" t="s">
        <v>45</v>
      </c>
      <c r="AM207" s="42" t="s">
        <v>45</v>
      </c>
      <c r="AN207" s="42" t="s">
        <v>45</v>
      </c>
      <c r="AO207" s="43" t="s">
        <v>45</v>
      </c>
      <c r="AP207" s="42" t="s">
        <v>48</v>
      </c>
      <c r="AQ207" s="42">
        <v>7</v>
      </c>
      <c r="AR207" s="50" t="s">
        <v>357</v>
      </c>
      <c r="AS207" s="45" t="s">
        <v>45</v>
      </c>
      <c r="AT207" s="45" t="s">
        <v>47</v>
      </c>
      <c r="AU207" s="46">
        <f>($O$3*(L207-$O$1)/$O$2+$P$3*(M207-$P$1)/$P$2+$Q$3*(N207-$P$1)/$Q$2)/SUM($O$3:$Q$3)</f>
        <v>-1.6327691323318567</v>
      </c>
      <c r="AV207" s="46">
        <f>($O$3*(O207-$O$1)/$O$2+$P$3*(P207-$P$1)/$P$2+$Q$3*(Q207-$Q$1)/$Q$2)/SUM($O$3:$Q$3)</f>
        <v>-0.99258305708561179</v>
      </c>
      <c r="AW207" s="47">
        <f>COUNT(R207:AO207)/2</f>
        <v>4</v>
      </c>
      <c r="AX207" s="47">
        <f>IF(AND(S207&lt;&gt;"-",S207&gt;5),1,0)+IF(AND(U207&lt;&gt;"-",U207&gt;5),1,0)+IF(AND(W207&lt;&gt;"-",W207&gt;5),1,0)+IF(AND(Y207&lt;&gt;"-",Y207&gt;5),1,0)+IF(AND(AA207&lt;&gt;"-",AA207&gt;5),1,0)+IF(AND(AC207&lt;&gt;"-",AC207&gt;5),1,0)+IF(AND(AE207&lt;&gt;"-",AE207&gt;5),1,0)+IF(AND(AG207&lt;&gt;"-",AG207&gt;5),1,0)+IF(AND(AI207&lt;&gt;"-",AI207&gt;5),1,0)+IF(AND(AK207&lt;&gt;"-",AK207&gt;5),1,0)+IF(AND(AM207&lt;&gt;"-",AM207&gt;5),1,0)+IF(AND(AO207&lt;&gt;"-",AO207&gt;5),1,0)</f>
        <v>2</v>
      </c>
      <c r="AY207" s="48">
        <f>VLOOKUP(AP207,COND!$A$10:$B$32,2,FALSE)</f>
        <v>1.05</v>
      </c>
      <c r="AZ207" s="46">
        <f>($AU$3*AU207+$AV$3*AV207+$AW$3*AW207+$AX$3*AX207)*AY207*IF(AQ207&lt;5,0.95,IF(AQ207&lt;7,0.975,1))+$I$3*VLOOKUP(I207,COND!$A$2:$E$7,4,FALSE)+$J$3*VLOOKUP(J207,COND!$A$2:$E$7,2,FALSE)+$K$3*VLOOKUP(K207,COND!$A$2:$E$7,3,FALSE)+IF(BB207="SP",$BB$3,0)+IF($AW207&lt;3,-5,0)+IF(AND($B$2&gt;0,$E207&lt;20),$B$2*25,0)</f>
        <v>30.837874283412464</v>
      </c>
      <c r="BA207" s="49">
        <f>STANDARDIZE(AZ207,AVERAGE($AZ$5:$AZ$570),STDEVP($AZ$5:$AZ$570))</f>
        <v>-0.17280538552323266</v>
      </c>
      <c r="BB207" s="47" t="str">
        <f>IF(OR(AND(AQ207&gt;7,AX207&gt;1),AND(AQ207&gt;4,AW207&gt;2)),"SP","RP")</f>
        <v>SP</v>
      </c>
      <c r="BC207" s="47"/>
      <c r="BD207" s="47"/>
      <c r="BE207" s="47"/>
      <c r="BF207" s="47" t="str">
        <f>IF(AVERAGE($O207:$Q207)&gt;=6,"Likely",IF(AVERAGE($O207:$Q207)&gt;=4,"Possible","Unlikely"))</f>
        <v>Unlikely</v>
      </c>
      <c r="BG207" s="47"/>
      <c r="BH207" s="47" t="str">
        <f>INDEX(Table5[[#All],[Ovr]],MATCH(Table3[[#This Row],[PID]],Table5[[#All],[PID]],0))</f>
        <v/>
      </c>
      <c r="BI207" s="47" t="str">
        <f>INDEX(Table5[[#All],[Rnd]],MATCH(Table3[[#This Row],[PID]],Table5[[#All],[PID]],0))</f>
        <v/>
      </c>
      <c r="BJ207" s="47" t="str">
        <f>INDEX(Table5[[#All],[Pick]],MATCH(Table3[[#This Row],[PID]],Table5[[#All],[PID]],0))</f>
        <v/>
      </c>
      <c r="BK207" s="47" t="str">
        <f>INDEX(Table5[[#All],[Team]],MATCH(Table3[[#This Row],[PID]],Table5[[#All],[PID]],0))</f>
        <v/>
      </c>
      <c r="BL2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8" spans="1:64" ht="15" customHeight="1" x14ac:dyDescent="0.25">
      <c r="A208" s="42">
        <v>17813</v>
      </c>
      <c r="B208" s="42" t="s">
        <v>430</v>
      </c>
      <c r="C208" s="42" t="s">
        <v>1568</v>
      </c>
      <c r="D208" s="42" t="s">
        <v>754</v>
      </c>
      <c r="E208" s="42">
        <v>21</v>
      </c>
      <c r="F208" s="42" t="s">
        <v>42</v>
      </c>
      <c r="G208" s="42" t="s">
        <v>42</v>
      </c>
      <c r="H208" s="43" t="s">
        <v>721</v>
      </c>
      <c r="I208" s="44" t="s">
        <v>43</v>
      </c>
      <c r="J208" s="42" t="s">
        <v>43</v>
      </c>
      <c r="K208" s="43" t="s">
        <v>43</v>
      </c>
      <c r="L208" s="42">
        <v>3</v>
      </c>
      <c r="M208" s="42">
        <v>2</v>
      </c>
      <c r="N208" s="43">
        <v>1</v>
      </c>
      <c r="O208" s="42">
        <v>5</v>
      </c>
      <c r="P208" s="42">
        <v>2</v>
      </c>
      <c r="Q208" s="43">
        <v>2</v>
      </c>
      <c r="R208" s="42">
        <v>4</v>
      </c>
      <c r="S208" s="42">
        <v>6</v>
      </c>
      <c r="T208" s="42">
        <v>1</v>
      </c>
      <c r="U208" s="42">
        <v>2</v>
      </c>
      <c r="V208" s="42" t="s">
        <v>45</v>
      </c>
      <c r="W208" s="42" t="s">
        <v>45</v>
      </c>
      <c r="X208" s="42">
        <v>3</v>
      </c>
      <c r="Y208" s="42">
        <v>6</v>
      </c>
      <c r="Z208" s="42" t="s">
        <v>45</v>
      </c>
      <c r="AA208" s="42" t="s">
        <v>45</v>
      </c>
      <c r="AB208" s="42" t="s">
        <v>45</v>
      </c>
      <c r="AC208" s="42" t="s">
        <v>45</v>
      </c>
      <c r="AD208" s="42">
        <v>4</v>
      </c>
      <c r="AE208" s="42">
        <v>6</v>
      </c>
      <c r="AF208" s="42" t="s">
        <v>45</v>
      </c>
      <c r="AG208" s="42" t="s">
        <v>45</v>
      </c>
      <c r="AH208" s="42" t="s">
        <v>45</v>
      </c>
      <c r="AI208" s="42" t="s">
        <v>45</v>
      </c>
      <c r="AJ208" s="42" t="s">
        <v>45</v>
      </c>
      <c r="AK208" s="42" t="s">
        <v>45</v>
      </c>
      <c r="AL208" s="42" t="s">
        <v>45</v>
      </c>
      <c r="AM208" s="42" t="s">
        <v>45</v>
      </c>
      <c r="AN208" s="42" t="s">
        <v>45</v>
      </c>
      <c r="AO208" s="43" t="s">
        <v>45</v>
      </c>
      <c r="AP208" s="42" t="s">
        <v>57</v>
      </c>
      <c r="AQ208" s="42">
        <v>8</v>
      </c>
      <c r="AR208" s="50" t="s">
        <v>353</v>
      </c>
      <c r="AS208" s="45" t="s">
        <v>717</v>
      </c>
      <c r="AT208" s="45" t="s">
        <v>47</v>
      </c>
      <c r="AU208" s="46">
        <f>($O$3*(L208-$O$1)/$O$2+$P$3*(M208-$P$1)/$P$2+$Q$3*(N208-$P$1)/$Q$2)/SUM($O$3:$Q$3)</f>
        <v>-2.1166698725191955</v>
      </c>
      <c r="AV208" s="46">
        <f>($O$3*(O208-$O$1)/$O$2+$P$3*(P208-$P$1)/$P$2+$Q$3*(Q208-$Q$1)/$Q$2)/SUM($O$3:$Q$3)</f>
        <v>-1.0394719067096667</v>
      </c>
      <c r="AW208" s="47">
        <f>COUNT(R208:AO208)/2</f>
        <v>4</v>
      </c>
      <c r="AX208" s="47">
        <f>IF(AND(S208&lt;&gt;"-",S208&gt;5),1,0)+IF(AND(U208&lt;&gt;"-",U208&gt;5),1,0)+IF(AND(W208&lt;&gt;"-",W208&gt;5),1,0)+IF(AND(Y208&lt;&gt;"-",Y208&gt;5),1,0)+IF(AND(AA208&lt;&gt;"-",AA208&gt;5),1,0)+IF(AND(AC208&lt;&gt;"-",AC208&gt;5),1,0)+IF(AND(AE208&lt;&gt;"-",AE208&gt;5),1,0)+IF(AND(AG208&lt;&gt;"-",AG208&gt;5),1,0)+IF(AND(AI208&lt;&gt;"-",AI208&gt;5),1,0)+IF(AND(AK208&lt;&gt;"-",AK208&gt;5),1,0)+IF(AND(AM208&lt;&gt;"-",AM208&gt;5),1,0)+IF(AND(AO208&lt;&gt;"-",AO208&gt;5),1,0)</f>
        <v>3</v>
      </c>
      <c r="AY208" s="48">
        <f>VLOOKUP(AP208,COND!$A$10:$B$32,2,FALSE)</f>
        <v>1</v>
      </c>
      <c r="AZ208" s="46">
        <f>($AU$3*AU208+$AV$3*AV208+$AW$3*AW208+$AX$3*AX208)*AY208*IF(AQ208&lt;5,0.95,IF(AQ208&lt;7,0.975,1))+$I$3*VLOOKUP(I208,COND!$A$2:$E$7,4,FALSE)+$J$3*VLOOKUP(J208,COND!$A$2:$E$7,2,FALSE)+$K$3*VLOOKUP(K208,COND!$A$2:$E$7,3,FALSE)+IF(BB208="SP",$BB$3,0)+IF($AW208&lt;3,-5,0)+IF(AND($B$2&gt;0,$E208&lt;20),$B$2*25,0)</f>
        <v>31.537227891302827</v>
      </c>
      <c r="BA208" s="49">
        <f>STANDARDIZE(AZ208,AVERAGE($AZ$5:$AZ$570),STDEVP($AZ$5:$AZ$570))</f>
        <v>-0.10867167057954416</v>
      </c>
      <c r="BB208" s="47" t="str">
        <f>IF(OR(AND(AQ208&gt;7,AX208&gt;1),AND(AQ208&gt;4,AW208&gt;2)),"SP","RP")</f>
        <v>SP</v>
      </c>
      <c r="BC208" s="47"/>
      <c r="BD208" s="47"/>
      <c r="BE208" s="47"/>
      <c r="BF208" s="47" t="str">
        <f>IF(AVERAGE($O208:$Q208)&gt;=6,"Likely",IF(AVERAGE($O208:$Q208)&gt;=4,"Possible","Unlikely"))</f>
        <v>Unlikely</v>
      </c>
      <c r="BG208" s="47"/>
      <c r="BH208" s="47" t="str">
        <f>INDEX(Table5[[#All],[Ovr]],MATCH(Table3[[#This Row],[PID]],Table5[[#All],[PID]],0))</f>
        <v/>
      </c>
      <c r="BI208" s="47" t="str">
        <f>INDEX(Table5[[#All],[Rnd]],MATCH(Table3[[#This Row],[PID]],Table5[[#All],[PID]],0))</f>
        <v/>
      </c>
      <c r="BJ208" s="47" t="str">
        <f>INDEX(Table5[[#All],[Pick]],MATCH(Table3[[#This Row],[PID]],Table5[[#All],[PID]],0))</f>
        <v/>
      </c>
      <c r="BK208" s="47" t="str">
        <f>INDEX(Table5[[#All],[Team]],MATCH(Table3[[#This Row],[PID]],Table5[[#All],[PID]],0))</f>
        <v/>
      </c>
      <c r="BL2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9" spans="1:64" ht="15" customHeight="1" x14ac:dyDescent="0.25">
      <c r="A209" s="42">
        <v>17915</v>
      </c>
      <c r="B209" s="42" t="s">
        <v>430</v>
      </c>
      <c r="C209" s="42" t="s">
        <v>732</v>
      </c>
      <c r="D209" s="42" t="s">
        <v>940</v>
      </c>
      <c r="E209" s="42">
        <v>18</v>
      </c>
      <c r="F209" s="42" t="s">
        <v>42</v>
      </c>
      <c r="G209" s="42" t="s">
        <v>42</v>
      </c>
      <c r="H209" s="43" t="s">
        <v>721</v>
      </c>
      <c r="I209" s="44" t="s">
        <v>43</v>
      </c>
      <c r="J209" s="42" t="s">
        <v>47</v>
      </c>
      <c r="K209" s="43" t="s">
        <v>43</v>
      </c>
      <c r="L209" s="42">
        <v>1</v>
      </c>
      <c r="M209" s="42">
        <v>2</v>
      </c>
      <c r="N209" s="43">
        <v>1</v>
      </c>
      <c r="O209" s="42">
        <v>3</v>
      </c>
      <c r="P209" s="42">
        <v>2</v>
      </c>
      <c r="Q209" s="43">
        <v>3</v>
      </c>
      <c r="R209" s="42" t="s">
        <v>45</v>
      </c>
      <c r="S209" s="42" t="s">
        <v>45</v>
      </c>
      <c r="T209" s="42" t="s">
        <v>45</v>
      </c>
      <c r="U209" s="42" t="s">
        <v>45</v>
      </c>
      <c r="V209" s="42">
        <v>2</v>
      </c>
      <c r="W209" s="42">
        <v>4</v>
      </c>
      <c r="X209" s="42">
        <v>2</v>
      </c>
      <c r="Y209" s="42">
        <v>4</v>
      </c>
      <c r="Z209" s="42" t="s">
        <v>45</v>
      </c>
      <c r="AA209" s="42" t="s">
        <v>45</v>
      </c>
      <c r="AB209" s="42" t="s">
        <v>45</v>
      </c>
      <c r="AC209" s="42" t="s">
        <v>45</v>
      </c>
      <c r="AD209" s="42">
        <v>3</v>
      </c>
      <c r="AE209" s="42">
        <v>4</v>
      </c>
      <c r="AF209" s="42" t="s">
        <v>45</v>
      </c>
      <c r="AG209" s="42" t="s">
        <v>45</v>
      </c>
      <c r="AH209" s="42" t="s">
        <v>45</v>
      </c>
      <c r="AI209" s="42" t="s">
        <v>45</v>
      </c>
      <c r="AJ209" s="42" t="s">
        <v>45</v>
      </c>
      <c r="AK209" s="42" t="s">
        <v>45</v>
      </c>
      <c r="AL209" s="42" t="s">
        <v>45</v>
      </c>
      <c r="AM209" s="42" t="s">
        <v>45</v>
      </c>
      <c r="AN209" s="42" t="s">
        <v>45</v>
      </c>
      <c r="AO209" s="43" t="s">
        <v>45</v>
      </c>
      <c r="AP209" s="42" t="s">
        <v>68</v>
      </c>
      <c r="AQ209" s="42">
        <v>7</v>
      </c>
      <c r="AR209" s="50" t="s">
        <v>353</v>
      </c>
      <c r="AS209" s="45" t="s">
        <v>718</v>
      </c>
      <c r="AT209" s="45" t="s">
        <v>705</v>
      </c>
      <c r="AU209" s="46">
        <f>($O$3*(L209-$O$1)/$O$2+$P$3*(M209-$P$1)/$P$2+$Q$3*(N209-$P$1)/$Q$2)/SUM($O$3:$Q$3)</f>
        <v>-2.5060525215375429</v>
      </c>
      <c r="AV209" s="46">
        <f>($O$3*(O209-$O$1)/$O$2+$P$3*(P209-$P$1)/$P$2+$Q$3*(Q209-$Q$1)/$Q$2)/SUM($O$3:$Q$3)</f>
        <v>-1.1865339896739031</v>
      </c>
      <c r="AW209" s="47">
        <f>COUNT(R209:AO209)/2</f>
        <v>3</v>
      </c>
      <c r="AX209" s="47">
        <f>IF(AND(S209&lt;&gt;"-",S209&gt;5),1,0)+IF(AND(U209&lt;&gt;"-",U209&gt;5),1,0)+IF(AND(W209&lt;&gt;"-",W209&gt;5),1,0)+IF(AND(Y209&lt;&gt;"-",Y209&gt;5),1,0)+IF(AND(AA209&lt;&gt;"-",AA209&gt;5),1,0)+IF(AND(AC209&lt;&gt;"-",AC209&gt;5),1,0)+IF(AND(AE209&lt;&gt;"-",AE209&gt;5),1,0)+IF(AND(AG209&lt;&gt;"-",AG209&gt;5),1,0)+IF(AND(AI209&lt;&gt;"-",AI209&gt;5),1,0)+IF(AND(AK209&lt;&gt;"-",AK209&gt;5),1,0)+IF(AND(AM209&lt;&gt;"-",AM209&gt;5),1,0)+IF(AND(AO209&lt;&gt;"-",AO209&gt;5),1,0)</f>
        <v>0</v>
      </c>
      <c r="AY209" s="48">
        <f>VLOOKUP(AP209,COND!$A$10:$B$32,2,FALSE)</f>
        <v>0.95</v>
      </c>
      <c r="AZ209" s="46">
        <f>($AU$3*AU209+$AV$3*AV209+$AW$3*AW209+$AX$3*AX209)*AY209*IF(AQ209&lt;5,0.95,IF(AQ209&lt;7,0.975,1))+$I$3*VLOOKUP(I209,COND!$A$2:$E$7,4,FALSE)+$J$3*VLOOKUP(J209,COND!$A$2:$E$7,2,FALSE)+$K$3*VLOOKUP(K209,COND!$A$2:$E$7,3,FALSE)+IF(BB209="SP",$BB$3,0)+IF($AW209&lt;3,-5,0)+IF(AND($B$2&gt;0,$E209&lt;20),$B$2*25,0)</f>
        <v>30.704704217103711</v>
      </c>
      <c r="BA209" s="49">
        <f>STANDARDIZE(AZ209,AVERAGE($AZ$5:$AZ$570),STDEVP($AZ$5:$AZ$570))</f>
        <v>-0.1850176497845713</v>
      </c>
      <c r="BB209" s="47" t="str">
        <f>IF(OR(AND(AQ209&gt;7,AX209&gt;1),AND(AQ209&gt;4,AW209&gt;2)),"SP","RP")</f>
        <v>SP</v>
      </c>
      <c r="BC209" s="47"/>
      <c r="BD209" s="47"/>
      <c r="BE209" s="47"/>
      <c r="BF209" s="47" t="str">
        <f>IF(AVERAGE($O209:$Q209)&gt;=6,"Likely",IF(AVERAGE($O209:$Q209)&gt;=4,"Possible","Unlikely"))</f>
        <v>Unlikely</v>
      </c>
      <c r="BG209" s="47"/>
      <c r="BH209" s="47" t="str">
        <f>INDEX(Table5[[#All],[Ovr]],MATCH(Table3[[#This Row],[PID]],Table5[[#All],[PID]],0))</f>
        <v/>
      </c>
      <c r="BI209" s="47" t="str">
        <f>INDEX(Table5[[#All],[Rnd]],MATCH(Table3[[#This Row],[PID]],Table5[[#All],[PID]],0))</f>
        <v/>
      </c>
      <c r="BJ209" s="47" t="str">
        <f>INDEX(Table5[[#All],[Pick]],MATCH(Table3[[#This Row],[PID]],Table5[[#All],[PID]],0))</f>
        <v/>
      </c>
      <c r="BK209" s="47" t="str">
        <f>INDEX(Table5[[#All],[Team]],MATCH(Table3[[#This Row],[PID]],Table5[[#All],[PID]],0))</f>
        <v/>
      </c>
      <c r="BL2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0" spans="1:64" ht="15" customHeight="1" x14ac:dyDescent="0.25">
      <c r="A210" s="42">
        <v>17619</v>
      </c>
      <c r="B210" s="42" t="s">
        <v>430</v>
      </c>
      <c r="C210" s="42" t="s">
        <v>961</v>
      </c>
      <c r="D210" s="42" t="s">
        <v>180</v>
      </c>
      <c r="E210" s="42">
        <v>18</v>
      </c>
      <c r="F210" s="42" t="s">
        <v>62</v>
      </c>
      <c r="G210" s="42" t="s">
        <v>42</v>
      </c>
      <c r="H210" s="43" t="s">
        <v>721</v>
      </c>
      <c r="I210" s="44" t="s">
        <v>43</v>
      </c>
      <c r="J210" s="42" t="s">
        <v>43</v>
      </c>
      <c r="K210" s="43" t="s">
        <v>43</v>
      </c>
      <c r="L210" s="42">
        <v>1</v>
      </c>
      <c r="M210" s="42">
        <v>1</v>
      </c>
      <c r="N210" s="43">
        <v>1</v>
      </c>
      <c r="O210" s="42">
        <v>5</v>
      </c>
      <c r="P210" s="42">
        <v>1</v>
      </c>
      <c r="Q210" s="43">
        <v>2</v>
      </c>
      <c r="R210" s="42">
        <v>3</v>
      </c>
      <c r="S210" s="42">
        <v>6</v>
      </c>
      <c r="T210" s="42">
        <v>1</v>
      </c>
      <c r="U210" s="42">
        <v>5</v>
      </c>
      <c r="V210" s="42">
        <v>2</v>
      </c>
      <c r="W210" s="42">
        <v>6</v>
      </c>
      <c r="X210" s="42" t="s">
        <v>45</v>
      </c>
      <c r="Y210" s="42" t="s">
        <v>45</v>
      </c>
      <c r="Z210" s="42" t="s">
        <v>45</v>
      </c>
      <c r="AA210" s="42" t="s">
        <v>45</v>
      </c>
      <c r="AB210" s="42" t="s">
        <v>45</v>
      </c>
      <c r="AC210" s="42" t="s">
        <v>45</v>
      </c>
      <c r="AD210" s="42" t="s">
        <v>45</v>
      </c>
      <c r="AE210" s="42" t="s">
        <v>45</v>
      </c>
      <c r="AF210" s="42" t="s">
        <v>45</v>
      </c>
      <c r="AG210" s="42" t="s">
        <v>45</v>
      </c>
      <c r="AH210" s="42" t="s">
        <v>45</v>
      </c>
      <c r="AI210" s="42" t="s">
        <v>45</v>
      </c>
      <c r="AJ210" s="42" t="s">
        <v>45</v>
      </c>
      <c r="AK210" s="42" t="s">
        <v>45</v>
      </c>
      <c r="AL210" s="42" t="s">
        <v>45</v>
      </c>
      <c r="AM210" s="42" t="s">
        <v>45</v>
      </c>
      <c r="AN210" s="42" t="s">
        <v>45</v>
      </c>
      <c r="AO210" s="43" t="s">
        <v>45</v>
      </c>
      <c r="AP210" s="42" t="s">
        <v>355</v>
      </c>
      <c r="AQ210" s="42">
        <v>6</v>
      </c>
      <c r="AR210" s="50" t="s">
        <v>14</v>
      </c>
      <c r="AS210" s="45" t="s">
        <v>718</v>
      </c>
      <c r="AT210" s="45" t="s">
        <v>47</v>
      </c>
      <c r="AU210" s="46">
        <f>($O$3*(L210-$O$1)/$O$2+$P$3*(M210-$P$1)/$P$2+$Q$3*(N210-$P$1)/$Q$2)/SUM($O$3:$Q$3)</f>
        <v>-2.7014842379675978</v>
      </c>
      <c r="AV210" s="46">
        <f>($O$3*(O210-$O$1)/$O$2+$P$3*(P210-$P$1)/$P$2+$Q$3*(Q210-$Q$1)/$Q$2)/SUM($O$3:$Q$3)</f>
        <v>-1.2349036231397219</v>
      </c>
      <c r="AW210" s="47">
        <f>COUNT(R210:AO210)/2</f>
        <v>3</v>
      </c>
      <c r="AX210" s="47">
        <f>IF(AND(S210&lt;&gt;"-",S210&gt;5),1,0)+IF(AND(U210&lt;&gt;"-",U210&gt;5),1,0)+IF(AND(W210&lt;&gt;"-",W210&gt;5),1,0)+IF(AND(Y210&lt;&gt;"-",Y210&gt;5),1,0)+IF(AND(AA210&lt;&gt;"-",AA210&gt;5),1,0)+IF(AND(AC210&lt;&gt;"-",AC210&gt;5),1,0)+IF(AND(AE210&lt;&gt;"-",AE210&gt;5),1,0)+IF(AND(AG210&lt;&gt;"-",AG210&gt;5),1,0)+IF(AND(AI210&lt;&gt;"-",AI210&gt;5),1,0)+IF(AND(AK210&lt;&gt;"-",AK210&gt;5),1,0)+IF(AND(AM210&lt;&gt;"-",AM210&gt;5),1,0)+IF(AND(AO210&lt;&gt;"-",AO210&gt;5),1,0)</f>
        <v>2</v>
      </c>
      <c r="AY210" s="48">
        <f>VLOOKUP(AP210,COND!$A$10:$B$32,2,FALSE)</f>
        <v>1</v>
      </c>
      <c r="AZ210" s="46">
        <f>($AU$3*AU210+$AV$3*AV210+$AW$3*AW210+$AX$3*AX210)*AY210*IF(AQ210&lt;5,0.95,IF(AQ210&lt;7,0.975,1))+$I$3*VLOOKUP(I210,COND!$A$2:$E$7,4,FALSE)+$J$3*VLOOKUP(J210,COND!$A$2:$E$7,2,FALSE)+$K$3*VLOOKUP(K210,COND!$A$2:$E$7,3,FALSE)+IF(BB210="SP",$BB$3,0)+IF($AW210&lt;3,-5,0)+IF(AND($B$2&gt;0,$E210&lt;20),$B$2*25,0)</f>
        <v>31.292589922371739</v>
      </c>
      <c r="BA210" s="49">
        <f>STANDARDIZE(AZ210,AVERAGE($AZ$5:$AZ$570),STDEVP($AZ$5:$AZ$570))</f>
        <v>-0.13110601793517965</v>
      </c>
      <c r="BB210" s="47" t="str">
        <f>IF(OR(AND(AQ210&gt;7,AX210&gt;1),AND(AQ210&gt;4,AW210&gt;2)),"SP","RP")</f>
        <v>SP</v>
      </c>
      <c r="BC210" s="47"/>
      <c r="BD210" s="47"/>
      <c r="BE210" s="47"/>
      <c r="BF210" s="47" t="str">
        <f>IF(AVERAGE($O210:$Q210)&gt;=6,"Likely",IF(AVERAGE($O210:$Q210)&gt;=4,"Possible","Unlikely"))</f>
        <v>Unlikely</v>
      </c>
      <c r="BG210" s="47"/>
      <c r="BH210" s="47" t="str">
        <f>INDEX(Table5[[#All],[Ovr]],MATCH(Table3[[#This Row],[PID]],Table5[[#All],[PID]],0))</f>
        <v/>
      </c>
      <c r="BI210" s="47" t="str">
        <f>INDEX(Table5[[#All],[Rnd]],MATCH(Table3[[#This Row],[PID]],Table5[[#All],[PID]],0))</f>
        <v/>
      </c>
      <c r="BJ210" s="47" t="str">
        <f>INDEX(Table5[[#All],[Pick]],MATCH(Table3[[#This Row],[PID]],Table5[[#All],[PID]],0))</f>
        <v/>
      </c>
      <c r="BK210" s="47" t="str">
        <f>INDEX(Table5[[#All],[Team]],MATCH(Table3[[#This Row],[PID]],Table5[[#All],[PID]],0))</f>
        <v/>
      </c>
      <c r="BL2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1" spans="1:64" ht="15" customHeight="1" x14ac:dyDescent="0.25">
      <c r="A211" s="42">
        <v>8421</v>
      </c>
      <c r="B211" s="42" t="s">
        <v>430</v>
      </c>
      <c r="C211" s="42" t="s">
        <v>180</v>
      </c>
      <c r="D211" s="42" t="s">
        <v>445</v>
      </c>
      <c r="E211" s="42">
        <v>18</v>
      </c>
      <c r="F211" s="42" t="s">
        <v>62</v>
      </c>
      <c r="G211" s="42" t="s">
        <v>42</v>
      </c>
      <c r="H211" s="43" t="s">
        <v>721</v>
      </c>
      <c r="I211" s="44" t="s">
        <v>44</v>
      </c>
      <c r="J211" s="42" t="s">
        <v>44</v>
      </c>
      <c r="K211" s="43" t="s">
        <v>47</v>
      </c>
      <c r="L211" s="42">
        <v>2</v>
      </c>
      <c r="M211" s="42">
        <v>1</v>
      </c>
      <c r="N211" s="43">
        <v>1</v>
      </c>
      <c r="O211" s="42">
        <v>5</v>
      </c>
      <c r="P211" s="42">
        <v>1</v>
      </c>
      <c r="Q211" s="43">
        <v>2</v>
      </c>
      <c r="R211" s="42">
        <v>4</v>
      </c>
      <c r="S211" s="42">
        <v>6</v>
      </c>
      <c r="T211" s="42">
        <v>1</v>
      </c>
      <c r="U211" s="42">
        <v>1</v>
      </c>
      <c r="V211" s="42" t="s">
        <v>45</v>
      </c>
      <c r="W211" s="42" t="s">
        <v>45</v>
      </c>
      <c r="X211" s="42">
        <v>3</v>
      </c>
      <c r="Y211" s="42">
        <v>7</v>
      </c>
      <c r="Z211" s="42" t="s">
        <v>45</v>
      </c>
      <c r="AA211" s="42" t="s">
        <v>45</v>
      </c>
      <c r="AB211" s="42" t="s">
        <v>45</v>
      </c>
      <c r="AC211" s="42" t="s">
        <v>45</v>
      </c>
      <c r="AD211" s="42" t="s">
        <v>45</v>
      </c>
      <c r="AE211" s="42" t="s">
        <v>45</v>
      </c>
      <c r="AF211" s="42" t="s">
        <v>45</v>
      </c>
      <c r="AG211" s="42" t="s">
        <v>45</v>
      </c>
      <c r="AH211" s="42" t="s">
        <v>45</v>
      </c>
      <c r="AI211" s="42" t="s">
        <v>45</v>
      </c>
      <c r="AJ211" s="42" t="s">
        <v>45</v>
      </c>
      <c r="AK211" s="42" t="s">
        <v>45</v>
      </c>
      <c r="AL211" s="42" t="s">
        <v>45</v>
      </c>
      <c r="AM211" s="42" t="s">
        <v>45</v>
      </c>
      <c r="AN211" s="42" t="s">
        <v>45</v>
      </c>
      <c r="AO211" s="43" t="s">
        <v>45</v>
      </c>
      <c r="AP211" s="42" t="s">
        <v>58</v>
      </c>
      <c r="AQ211" s="42">
        <v>6</v>
      </c>
      <c r="AR211" s="50" t="s">
        <v>14</v>
      </c>
      <c r="AS211" s="45" t="s">
        <v>423</v>
      </c>
      <c r="AT211" s="45" t="s">
        <v>705</v>
      </c>
      <c r="AU211" s="46">
        <f>($O$3*(L211-$O$1)/$O$2+$P$3*(M211-$P$1)/$P$2+$Q$3*(N211-$P$1)/$Q$2)/SUM($O$3:$Q$3)</f>
        <v>-2.5067929134584248</v>
      </c>
      <c r="AV211" s="46">
        <f>($O$3*(O211-$O$1)/$O$2+$P$3*(P211-$P$1)/$P$2+$Q$3*(Q211-$Q$1)/$Q$2)/SUM($O$3:$Q$3)</f>
        <v>-1.2349036231397219</v>
      </c>
      <c r="AW211" s="47">
        <f>COUNT(R211:AO211)/2</f>
        <v>3</v>
      </c>
      <c r="AX211" s="47">
        <f>IF(AND(S211&lt;&gt;"-",S211&gt;5),1,0)+IF(AND(U211&lt;&gt;"-",U211&gt;5),1,0)+IF(AND(W211&lt;&gt;"-",W211&gt;5),1,0)+IF(AND(Y211&lt;&gt;"-",Y211&gt;5),1,0)+IF(AND(AA211&lt;&gt;"-",AA211&gt;5),1,0)+IF(AND(AC211&lt;&gt;"-",AC211&gt;5),1,0)+IF(AND(AE211&lt;&gt;"-",AE211&gt;5),1,0)+IF(AND(AG211&lt;&gt;"-",AG211&gt;5),1,0)+IF(AND(AI211&lt;&gt;"-",AI211&gt;5),1,0)+IF(AND(AK211&lt;&gt;"-",AK211&gt;5),1,0)+IF(AND(AM211&lt;&gt;"-",AM211&gt;5),1,0)+IF(AND(AO211&lt;&gt;"-",AO211&gt;5),1,0)</f>
        <v>2</v>
      </c>
      <c r="AY211" s="48">
        <f>VLOOKUP(AP211,COND!$A$10:$B$32,2,FALSE)</f>
        <v>1</v>
      </c>
      <c r="AZ211" s="46">
        <f>($AU$3*AU211+$AV$3*AV211+$AW$3*AW211+$AX$3*AX211)*AY211*IF(AQ211&lt;5,0.95,IF(AQ211&lt;7,0.975,1))+$I$3*VLOOKUP(I211,COND!$A$2:$E$7,4,FALSE)+$J$3*VLOOKUP(J211,COND!$A$2:$E$7,2,FALSE)+$K$3*VLOOKUP(K211,COND!$A$2:$E$7,3,FALSE)+IF(BB211="SP",$BB$3,0)+IF($AW211&lt;3,-5,0)+IF(AND($B$2&gt;0,$E211&lt;20),$B$2*25,0)</f>
        <v>31.180554730651025</v>
      </c>
      <c r="BA211" s="49">
        <f>STANDARDIZE(AZ211,AVERAGE($AZ$5:$AZ$570),STDEVP($AZ$5:$AZ$570))</f>
        <v>-0.14138012386444257</v>
      </c>
      <c r="BB211" s="47" t="str">
        <f>IF(OR(AND(AQ211&gt;7,AX211&gt;1),AND(AQ211&gt;4,AW211&gt;2)),"SP","RP")</f>
        <v>SP</v>
      </c>
      <c r="BC211" s="47"/>
      <c r="BD211" s="47"/>
      <c r="BE211" s="47"/>
      <c r="BF211" s="47" t="str">
        <f>IF(AVERAGE($O211:$Q211)&gt;=6,"Likely",IF(AVERAGE($O211:$Q211)&gt;=4,"Possible","Unlikely"))</f>
        <v>Unlikely</v>
      </c>
      <c r="BG211" s="47"/>
      <c r="BH211" s="47" t="str">
        <f>INDEX(Table5[[#All],[Ovr]],MATCH(Table3[[#This Row],[PID]],Table5[[#All],[PID]],0))</f>
        <v/>
      </c>
      <c r="BI211" s="47" t="str">
        <f>INDEX(Table5[[#All],[Rnd]],MATCH(Table3[[#This Row],[PID]],Table5[[#All],[PID]],0))</f>
        <v/>
      </c>
      <c r="BJ211" s="47" t="str">
        <f>INDEX(Table5[[#All],[Pick]],MATCH(Table3[[#This Row],[PID]],Table5[[#All],[PID]],0))</f>
        <v/>
      </c>
      <c r="BK211" s="47" t="str">
        <f>INDEX(Table5[[#All],[Team]],MATCH(Table3[[#This Row],[PID]],Table5[[#All],[PID]],0))</f>
        <v/>
      </c>
      <c r="BL2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2" spans="1:64" ht="15" customHeight="1" x14ac:dyDescent="0.25">
      <c r="A212" s="42">
        <v>9688</v>
      </c>
      <c r="B212" s="42" t="s">
        <v>24</v>
      </c>
      <c r="C212" s="42" t="s">
        <v>815</v>
      </c>
      <c r="D212" s="42" t="s">
        <v>559</v>
      </c>
      <c r="E212" s="42">
        <v>22</v>
      </c>
      <c r="F212" s="42" t="s">
        <v>42</v>
      </c>
      <c r="G212" s="42" t="s">
        <v>42</v>
      </c>
      <c r="H212" s="43" t="s">
        <v>721</v>
      </c>
      <c r="I212" s="44" t="s">
        <v>43</v>
      </c>
      <c r="J212" s="42" t="s">
        <v>43</v>
      </c>
      <c r="K212" s="43" t="s">
        <v>43</v>
      </c>
      <c r="L212" s="42">
        <v>2</v>
      </c>
      <c r="M212" s="42">
        <v>2</v>
      </c>
      <c r="N212" s="43">
        <v>2</v>
      </c>
      <c r="O212" s="42">
        <v>4</v>
      </c>
      <c r="P212" s="42">
        <v>2</v>
      </c>
      <c r="Q212" s="43">
        <v>3</v>
      </c>
      <c r="R212" s="42">
        <v>4</v>
      </c>
      <c r="S212" s="42">
        <v>5</v>
      </c>
      <c r="T212" s="42">
        <v>2</v>
      </c>
      <c r="U212" s="42">
        <v>6</v>
      </c>
      <c r="V212" s="42" t="s">
        <v>45</v>
      </c>
      <c r="W212" s="42" t="s">
        <v>45</v>
      </c>
      <c r="X212" s="42">
        <v>3</v>
      </c>
      <c r="Y212" s="42">
        <v>6</v>
      </c>
      <c r="Z212" s="42" t="s">
        <v>45</v>
      </c>
      <c r="AA212" s="42" t="s">
        <v>45</v>
      </c>
      <c r="AB212" s="42" t="s">
        <v>45</v>
      </c>
      <c r="AC212" s="42" t="s">
        <v>45</v>
      </c>
      <c r="AD212" s="42" t="s">
        <v>45</v>
      </c>
      <c r="AE212" s="42" t="s">
        <v>45</v>
      </c>
      <c r="AF212" s="42" t="s">
        <v>45</v>
      </c>
      <c r="AG212" s="42" t="s">
        <v>45</v>
      </c>
      <c r="AH212" s="42" t="s">
        <v>45</v>
      </c>
      <c r="AI212" s="42" t="s">
        <v>45</v>
      </c>
      <c r="AJ212" s="42" t="s">
        <v>45</v>
      </c>
      <c r="AK212" s="42" t="s">
        <v>45</v>
      </c>
      <c r="AL212" s="42" t="s">
        <v>45</v>
      </c>
      <c r="AM212" s="42" t="s">
        <v>45</v>
      </c>
      <c r="AN212" s="42" t="s">
        <v>45</v>
      </c>
      <c r="AO212" s="43" t="s">
        <v>45</v>
      </c>
      <c r="AP212" s="42" t="s">
        <v>56</v>
      </c>
      <c r="AQ212" s="42">
        <v>6</v>
      </c>
      <c r="AR212" s="50" t="s">
        <v>353</v>
      </c>
      <c r="AS212" s="45" t="s">
        <v>45</v>
      </c>
      <c r="AT212" s="45" t="s">
        <v>705</v>
      </c>
      <c r="AU212" s="46">
        <f>($O$3*(L212-$O$1)/$O$2+$P$3*(M212-$P$1)/$P$2+$Q$3*(N212-$P$1)/$Q$2)/SUM($O$3:$Q$3)</f>
        <v>-2.0690406309742588</v>
      </c>
      <c r="AV212" s="46">
        <f>($O$3*(O212-$O$1)/$O$2+$P$3*(P212-$P$1)/$P$2+$Q$3*(Q212-$Q$1)/$Q$2)/SUM($O$3:$Q$3)</f>
        <v>-0.99184266516472974</v>
      </c>
      <c r="AW212" s="47">
        <f>COUNT(R212:AO212)/2</f>
        <v>3</v>
      </c>
      <c r="AX212" s="47">
        <f>IF(AND(S212&lt;&gt;"-",S212&gt;5),1,0)+IF(AND(U212&lt;&gt;"-",U212&gt;5),1,0)+IF(AND(W212&lt;&gt;"-",W212&gt;5),1,0)+IF(AND(Y212&lt;&gt;"-",Y212&gt;5),1,0)+IF(AND(AA212&lt;&gt;"-",AA212&gt;5),1,0)+IF(AND(AC212&lt;&gt;"-",AC212&gt;5),1,0)+IF(AND(AE212&lt;&gt;"-",AE212&gt;5),1,0)+IF(AND(AG212&lt;&gt;"-",AG212&gt;5),1,0)+IF(AND(AI212&lt;&gt;"-",AI212&gt;5),1,0)+IF(AND(AK212&lt;&gt;"-",AK212&gt;5),1,0)+IF(AND(AM212&lt;&gt;"-",AM212&gt;5),1,0)+IF(AND(AO212&lt;&gt;"-",AO212&gt;5),1,0)</f>
        <v>2</v>
      </c>
      <c r="AY212" s="48">
        <f>VLOOKUP(AP212,COND!$A$10:$B$32,2,FALSE)</f>
        <v>1</v>
      </c>
      <c r="AZ212" s="46">
        <f>($AU$3*AU212+$AV$3*AV212+$AW$3*AW212+$AX$3*AX212)*AY212*IF(AQ212&lt;5,0.95,IF(AQ212&lt;7,0.975,1))+$I$3*VLOOKUP(I212,COND!$A$2:$E$7,4,FALSE)+$J$3*VLOOKUP(J212,COND!$A$2:$E$7,2,FALSE)+$K$3*VLOOKUP(K212,COND!$A$2:$E$7,3,FALSE)+IF(BB212="SP",$BB$3,0)+IF($AW212&lt;3,-5,0)+IF(AND($B$2&gt;0,$E212&lt;20),$B$2*25,0)</f>
        <v>31.155605106247791</v>
      </c>
      <c r="BA212" s="49">
        <f>STANDARDIZE(AZ212,AVERAGE($AZ$5:$AZ$570),STDEVP($AZ$5:$AZ$570))</f>
        <v>-0.14366811105915506</v>
      </c>
      <c r="BB212" s="47" t="str">
        <f>IF(OR(AND(AQ212&gt;7,AX212&gt;1),AND(AQ212&gt;4,AW212&gt;2)),"SP","RP")</f>
        <v>SP</v>
      </c>
      <c r="BC212" s="47"/>
      <c r="BD212" s="47"/>
      <c r="BE212" s="47"/>
      <c r="BF212" s="47" t="str">
        <f>IF(AVERAGE($O212:$Q212)&gt;=6,"Likely",IF(AVERAGE($O212:$Q212)&gt;=4,"Possible","Unlikely"))</f>
        <v>Unlikely</v>
      </c>
      <c r="BG212" s="47"/>
      <c r="BH212" s="47" t="str">
        <f>INDEX(Table5[[#All],[Ovr]],MATCH(Table3[[#This Row],[PID]],Table5[[#All],[PID]],0))</f>
        <v/>
      </c>
      <c r="BI212" s="47" t="str">
        <f>INDEX(Table5[[#All],[Rnd]],MATCH(Table3[[#This Row],[PID]],Table5[[#All],[PID]],0))</f>
        <v/>
      </c>
      <c r="BJ212" s="47" t="str">
        <f>INDEX(Table5[[#All],[Pick]],MATCH(Table3[[#This Row],[PID]],Table5[[#All],[PID]],0))</f>
        <v/>
      </c>
      <c r="BK212" s="47" t="str">
        <f>INDEX(Table5[[#All],[Team]],MATCH(Table3[[#This Row],[PID]],Table5[[#All],[PID]],0))</f>
        <v/>
      </c>
      <c r="BL2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3" spans="1:64" ht="15" customHeight="1" x14ac:dyDescent="0.25">
      <c r="A213" s="42">
        <v>12828</v>
      </c>
      <c r="B213" s="42" t="s">
        <v>49</v>
      </c>
      <c r="C213" s="42" t="s">
        <v>1458</v>
      </c>
      <c r="D213" s="42" t="s">
        <v>1459</v>
      </c>
      <c r="E213" s="42">
        <v>20</v>
      </c>
      <c r="F213" s="42" t="s">
        <v>42</v>
      </c>
      <c r="G213" s="42" t="s">
        <v>42</v>
      </c>
      <c r="H213" s="43" t="s">
        <v>721</v>
      </c>
      <c r="I213" s="44" t="s">
        <v>43</v>
      </c>
      <c r="J213" s="42" t="s">
        <v>43</v>
      </c>
      <c r="K213" s="43" t="s">
        <v>47</v>
      </c>
      <c r="L213" s="42">
        <v>4</v>
      </c>
      <c r="M213" s="42">
        <v>2</v>
      </c>
      <c r="N213" s="43">
        <v>1</v>
      </c>
      <c r="O213" s="42">
        <v>7</v>
      </c>
      <c r="P213" s="42">
        <v>2</v>
      </c>
      <c r="Q213" s="43">
        <v>2</v>
      </c>
      <c r="R213" s="42" t="s">
        <v>45</v>
      </c>
      <c r="S213" s="42" t="s">
        <v>45</v>
      </c>
      <c r="T213" s="42" t="s">
        <v>45</v>
      </c>
      <c r="U213" s="42" t="s">
        <v>45</v>
      </c>
      <c r="V213" s="42" t="s">
        <v>45</v>
      </c>
      <c r="W213" s="42" t="s">
        <v>45</v>
      </c>
      <c r="X213" s="42">
        <v>4</v>
      </c>
      <c r="Y213" s="42">
        <v>7</v>
      </c>
      <c r="Z213" s="42" t="s">
        <v>45</v>
      </c>
      <c r="AA213" s="42" t="s">
        <v>45</v>
      </c>
      <c r="AB213" s="42" t="s">
        <v>45</v>
      </c>
      <c r="AC213" s="42" t="s">
        <v>45</v>
      </c>
      <c r="AD213" s="42">
        <v>5</v>
      </c>
      <c r="AE213" s="42">
        <v>6</v>
      </c>
      <c r="AF213" s="42" t="s">
        <v>45</v>
      </c>
      <c r="AG213" s="42" t="s">
        <v>45</v>
      </c>
      <c r="AH213" s="42" t="s">
        <v>45</v>
      </c>
      <c r="AI213" s="42" t="s">
        <v>45</v>
      </c>
      <c r="AJ213" s="42" t="s">
        <v>45</v>
      </c>
      <c r="AK213" s="42" t="s">
        <v>45</v>
      </c>
      <c r="AL213" s="42" t="s">
        <v>45</v>
      </c>
      <c r="AM213" s="42" t="s">
        <v>45</v>
      </c>
      <c r="AN213" s="42" t="s">
        <v>45</v>
      </c>
      <c r="AO213" s="43" t="s">
        <v>45</v>
      </c>
      <c r="AP213" s="42" t="s">
        <v>46</v>
      </c>
      <c r="AQ213" s="42">
        <v>2</v>
      </c>
      <c r="AR213" s="50" t="s">
        <v>353</v>
      </c>
      <c r="AS213" s="45" t="s">
        <v>45</v>
      </c>
      <c r="AT213" s="45" t="s">
        <v>47</v>
      </c>
      <c r="AU213" s="46">
        <f>($O$3*(L213-$O$1)/$O$2+$P$3*(M213-$P$1)/$P$2+$Q$3*(N213-$P$1)/$Q$2)/SUM($O$3:$Q$3)</f>
        <v>-1.9219785480100218</v>
      </c>
      <c r="AV213" s="46">
        <f>($O$3*(O213-$O$1)/$O$2+$P$3*(P213-$P$1)/$P$2+$Q$3*(Q213-$Q$1)/$Q$2)/SUM($O$3:$Q$3)</f>
        <v>-0.65008925769131953</v>
      </c>
      <c r="AW213" s="47">
        <f>COUNT(R213:AO213)/2</f>
        <v>2</v>
      </c>
      <c r="AX213" s="47">
        <f>IF(AND(S213&lt;&gt;"-",S213&gt;5),1,0)+IF(AND(U213&lt;&gt;"-",U213&gt;5),1,0)+IF(AND(W213&lt;&gt;"-",W213&gt;5),1,0)+IF(AND(Y213&lt;&gt;"-",Y213&gt;5),1,0)+IF(AND(AA213&lt;&gt;"-",AA213&gt;5),1,0)+IF(AND(AC213&lt;&gt;"-",AC213&gt;5),1,0)+IF(AND(AE213&lt;&gt;"-",AE213&gt;5),1,0)+IF(AND(AG213&lt;&gt;"-",AG213&gt;5),1,0)+IF(AND(AI213&lt;&gt;"-",AI213&gt;5),1,0)+IF(AND(AK213&lt;&gt;"-",AK213&gt;5),1,0)+IF(AND(AM213&lt;&gt;"-",AM213&gt;5),1,0)+IF(AND(AO213&lt;&gt;"-",AO213&gt;5),1,0)</f>
        <v>2</v>
      </c>
      <c r="AY213" s="48">
        <f>VLOOKUP(AP213,COND!$A$10:$B$32,2,FALSE)</f>
        <v>1.05</v>
      </c>
      <c r="AZ213" s="46">
        <f>($AU$3*AU213+$AV$3*AV213+$AW$3*AW213+$AX$3*AX213)*AY213*IF(AQ213&lt;5,0.95,IF(AQ213&lt;7,0.975,1))+$I$3*VLOOKUP(I213,COND!$A$2:$E$7,4,FALSE)+$J$3*VLOOKUP(J213,COND!$A$2:$E$7,2,FALSE)+$K$3*VLOOKUP(K213,COND!$A$2:$E$7,3,FALSE)+IF(BB213="SP",$BB$3,0)+IF($AW213&lt;3,-5,0)+IF(AND($B$2&gt;0,$E213&lt;20),$B$2*25,0)</f>
        <v>30.438534588730178</v>
      </c>
      <c r="BA213" s="49">
        <f>STANDARDIZE(AZ213,AVERAGE($AZ$5:$AZ$570),STDEVP($AZ$5:$AZ$570))</f>
        <v>-0.20942654233932562</v>
      </c>
      <c r="BB213" s="47" t="str">
        <f>IF(OR(AND(AQ213&gt;7,AX213&gt;1),AND(AQ213&gt;4,AW213&gt;2)),"SP","RP")</f>
        <v>RP</v>
      </c>
      <c r="BC213" s="47"/>
      <c r="BD213" s="47"/>
      <c r="BE213" s="47"/>
      <c r="BF213" s="47" t="str">
        <f>IF(AVERAGE($O213:$Q213)&gt;=6,"Likely",IF(AVERAGE($O213:$Q213)&gt;=4,"Possible","Unlikely"))</f>
        <v>Unlikely</v>
      </c>
      <c r="BG213" s="47"/>
      <c r="BH213" s="47" t="str">
        <f>INDEX(Table5[[#All],[Ovr]],MATCH(Table3[[#This Row],[PID]],Table5[[#All],[PID]],0))</f>
        <v/>
      </c>
      <c r="BI213" s="47" t="str">
        <f>INDEX(Table5[[#All],[Rnd]],MATCH(Table3[[#This Row],[PID]],Table5[[#All],[PID]],0))</f>
        <v/>
      </c>
      <c r="BJ213" s="47" t="str">
        <f>INDEX(Table5[[#All],[Pick]],MATCH(Table3[[#This Row],[PID]],Table5[[#All],[PID]],0))</f>
        <v/>
      </c>
      <c r="BK213" s="47" t="str">
        <f>INDEX(Table5[[#All],[Team]],MATCH(Table3[[#This Row],[PID]],Table5[[#All],[PID]],0))</f>
        <v/>
      </c>
      <c r="BL2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4" spans="1:64" ht="15" customHeight="1" x14ac:dyDescent="0.25">
      <c r="A214" s="42">
        <v>6181</v>
      </c>
      <c r="B214" s="42" t="s">
        <v>24</v>
      </c>
      <c r="C214" s="42" t="s">
        <v>437</v>
      </c>
      <c r="D214" s="42" t="s">
        <v>1502</v>
      </c>
      <c r="E214" s="42">
        <v>18</v>
      </c>
      <c r="F214" s="42" t="s">
        <v>42</v>
      </c>
      <c r="G214" s="42" t="s">
        <v>42</v>
      </c>
      <c r="H214" s="43" t="s">
        <v>721</v>
      </c>
      <c r="I214" s="44" t="s">
        <v>43</v>
      </c>
      <c r="J214" s="42" t="s">
        <v>44</v>
      </c>
      <c r="K214" s="43" t="s">
        <v>47</v>
      </c>
      <c r="L214" s="42">
        <v>1</v>
      </c>
      <c r="M214" s="42">
        <v>2</v>
      </c>
      <c r="N214" s="43">
        <v>1</v>
      </c>
      <c r="O214" s="42">
        <v>5</v>
      </c>
      <c r="P214" s="42">
        <v>2</v>
      </c>
      <c r="Q214" s="43">
        <v>1</v>
      </c>
      <c r="R214" s="42">
        <v>3</v>
      </c>
      <c r="S214" s="42">
        <v>6</v>
      </c>
      <c r="T214" s="42">
        <v>1</v>
      </c>
      <c r="U214" s="42">
        <v>6</v>
      </c>
      <c r="V214" s="42" t="s">
        <v>45</v>
      </c>
      <c r="W214" s="42" t="s">
        <v>45</v>
      </c>
      <c r="X214" s="42">
        <v>2</v>
      </c>
      <c r="Y214" s="42">
        <v>7</v>
      </c>
      <c r="Z214" s="42" t="s">
        <v>45</v>
      </c>
      <c r="AA214" s="42" t="s">
        <v>45</v>
      </c>
      <c r="AB214" s="42" t="s">
        <v>45</v>
      </c>
      <c r="AC214" s="42" t="s">
        <v>45</v>
      </c>
      <c r="AD214" s="42" t="s">
        <v>45</v>
      </c>
      <c r="AE214" s="42" t="s">
        <v>45</v>
      </c>
      <c r="AF214" s="42" t="s">
        <v>45</v>
      </c>
      <c r="AG214" s="42" t="s">
        <v>45</v>
      </c>
      <c r="AH214" s="42" t="s">
        <v>45</v>
      </c>
      <c r="AI214" s="42" t="s">
        <v>45</v>
      </c>
      <c r="AJ214" s="42" t="s">
        <v>45</v>
      </c>
      <c r="AK214" s="42" t="s">
        <v>45</v>
      </c>
      <c r="AL214" s="42" t="s">
        <v>45</v>
      </c>
      <c r="AM214" s="42" t="s">
        <v>45</v>
      </c>
      <c r="AN214" s="42" t="s">
        <v>45</v>
      </c>
      <c r="AO214" s="43" t="s">
        <v>45</v>
      </c>
      <c r="AP214" s="42" t="s">
        <v>355</v>
      </c>
      <c r="AQ214" s="42">
        <v>8</v>
      </c>
      <c r="AR214" s="50" t="s">
        <v>353</v>
      </c>
      <c r="AS214" s="45" t="s">
        <v>733</v>
      </c>
      <c r="AT214" s="45" t="s">
        <v>47</v>
      </c>
      <c r="AU214" s="46">
        <f>($O$3*(L214-$O$1)/$O$2+$P$3*(M214-$P$1)/$P$2+$Q$3*(N214-$P$1)/$Q$2)/SUM($O$3:$Q$3)</f>
        <v>-2.5060525215375429</v>
      </c>
      <c r="AV214" s="46">
        <f>($O$3*(O214-$O$1)/$O$2+$P$3*(P214-$P$1)/$P$2+$Q$3*(Q214-$Q$1)/$Q$2)/SUM($O$3:$Q$3)</f>
        <v>-1.2817924727637771</v>
      </c>
      <c r="AW214" s="47">
        <f>COUNT(R214:AO214)/2</f>
        <v>3</v>
      </c>
      <c r="AX214" s="47">
        <f>IF(AND(S214&lt;&gt;"-",S214&gt;5),1,0)+IF(AND(U214&lt;&gt;"-",U214&gt;5),1,0)+IF(AND(W214&lt;&gt;"-",W214&gt;5),1,0)+IF(AND(Y214&lt;&gt;"-",Y214&gt;5),1,0)+IF(AND(AA214&lt;&gt;"-",AA214&gt;5),1,0)+IF(AND(AC214&lt;&gt;"-",AC214&gt;5),1,0)+IF(AND(AE214&lt;&gt;"-",AE214&gt;5),1,0)+IF(AND(AG214&lt;&gt;"-",AG214&gt;5),1,0)+IF(AND(AI214&lt;&gt;"-",AI214&gt;5),1,0)+IF(AND(AK214&lt;&gt;"-",AK214&gt;5),1,0)+IF(AND(AM214&lt;&gt;"-",AM214&gt;5),1,0)+IF(AND(AO214&lt;&gt;"-",AO214&gt;5),1,0)</f>
        <v>3</v>
      </c>
      <c r="AY214" s="48">
        <f>VLOOKUP(AP214,COND!$A$10:$B$32,2,FALSE)</f>
        <v>1</v>
      </c>
      <c r="AZ214" s="46">
        <f>($AU$3*AU214+$AV$3*AV214+$AW$3*AW214+$AX$3*AX214)*AY214*IF(AQ214&lt;5,0.95,IF(AQ214&lt;7,0.975,1))+$I$3*VLOOKUP(I214,COND!$A$2:$E$7,4,FALSE)+$J$3*VLOOKUP(J214,COND!$A$2:$E$7,2,FALSE)+$K$3*VLOOKUP(K214,COND!$A$2:$E$7,3,FALSE)+IF(BB214="SP",$BB$3,0)+IF($AW214&lt;3,-5,0)+IF(AND($B$2&gt;0,$E214&lt;20),$B$2*25,0)</f>
        <v>31.112940040416952</v>
      </c>
      <c r="BA214" s="49">
        <f>STANDARDIZE(AZ214,AVERAGE($AZ$5:$AZ$570),STDEVP($AZ$5:$AZ$570))</f>
        <v>-0.14758067995016691</v>
      </c>
      <c r="BB214" s="47" t="str">
        <f>IF(OR(AND(AQ214&gt;7,AX214&gt;1),AND(AQ214&gt;4,AW214&gt;2)),"SP","RP")</f>
        <v>SP</v>
      </c>
      <c r="BC214" s="47"/>
      <c r="BD214" s="47"/>
      <c r="BE214" s="47"/>
      <c r="BF214" s="47" t="str">
        <f>IF(AVERAGE($O214:$Q214)&gt;=6,"Likely",IF(AVERAGE($O214:$Q214)&gt;=4,"Possible","Unlikely"))</f>
        <v>Unlikely</v>
      </c>
      <c r="BG214" s="47"/>
      <c r="BH214" s="47" t="str">
        <f>INDEX(Table5[[#All],[Ovr]],MATCH(Table3[[#This Row],[PID]],Table5[[#All],[PID]],0))</f>
        <v/>
      </c>
      <c r="BI214" s="47" t="str">
        <f>INDEX(Table5[[#All],[Rnd]],MATCH(Table3[[#This Row],[PID]],Table5[[#All],[PID]],0))</f>
        <v/>
      </c>
      <c r="BJ214" s="47" t="str">
        <f>INDEX(Table5[[#All],[Pick]],MATCH(Table3[[#This Row],[PID]],Table5[[#All],[PID]],0))</f>
        <v/>
      </c>
      <c r="BK214" s="47" t="str">
        <f>INDEX(Table5[[#All],[Team]],MATCH(Table3[[#This Row],[PID]],Table5[[#All],[PID]],0))</f>
        <v/>
      </c>
      <c r="BL2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5" spans="1:64" ht="15" customHeight="1" x14ac:dyDescent="0.25">
      <c r="A215" s="42">
        <v>17804</v>
      </c>
      <c r="B215" s="42" t="s">
        <v>430</v>
      </c>
      <c r="C215" s="42" t="s">
        <v>1528</v>
      </c>
      <c r="D215" s="42" t="s">
        <v>1527</v>
      </c>
      <c r="E215" s="42">
        <v>21</v>
      </c>
      <c r="F215" s="42" t="s">
        <v>42</v>
      </c>
      <c r="G215" s="42" t="s">
        <v>53</v>
      </c>
      <c r="H215" s="43" t="s">
        <v>721</v>
      </c>
      <c r="I215" s="44" t="s">
        <v>43</v>
      </c>
      <c r="J215" s="42" t="s">
        <v>44</v>
      </c>
      <c r="K215" s="43" t="s">
        <v>43</v>
      </c>
      <c r="L215" s="42">
        <v>3</v>
      </c>
      <c r="M215" s="42">
        <v>2</v>
      </c>
      <c r="N215" s="43">
        <v>2</v>
      </c>
      <c r="O215" s="42">
        <v>5</v>
      </c>
      <c r="P215" s="42">
        <v>2</v>
      </c>
      <c r="Q215" s="43">
        <v>3</v>
      </c>
      <c r="R215" s="42">
        <v>5</v>
      </c>
      <c r="S215" s="42">
        <v>5</v>
      </c>
      <c r="T215" s="42">
        <v>5</v>
      </c>
      <c r="U215" s="42">
        <v>5</v>
      </c>
      <c r="V215" s="42">
        <v>4</v>
      </c>
      <c r="W215" s="42">
        <v>7</v>
      </c>
      <c r="X215" s="42" t="s">
        <v>45</v>
      </c>
      <c r="Y215" s="42" t="s">
        <v>45</v>
      </c>
      <c r="Z215" s="42" t="s">
        <v>45</v>
      </c>
      <c r="AA215" s="42" t="s">
        <v>45</v>
      </c>
      <c r="AB215" s="42" t="s">
        <v>45</v>
      </c>
      <c r="AC215" s="42" t="s">
        <v>45</v>
      </c>
      <c r="AD215" s="42" t="s">
        <v>45</v>
      </c>
      <c r="AE215" s="42" t="s">
        <v>45</v>
      </c>
      <c r="AF215" s="42" t="s">
        <v>45</v>
      </c>
      <c r="AG215" s="42" t="s">
        <v>45</v>
      </c>
      <c r="AH215" s="42" t="s">
        <v>45</v>
      </c>
      <c r="AI215" s="42" t="s">
        <v>45</v>
      </c>
      <c r="AJ215" s="42" t="s">
        <v>45</v>
      </c>
      <c r="AK215" s="42" t="s">
        <v>45</v>
      </c>
      <c r="AL215" s="42" t="s">
        <v>45</v>
      </c>
      <c r="AM215" s="42" t="s">
        <v>45</v>
      </c>
      <c r="AN215" s="42" t="s">
        <v>45</v>
      </c>
      <c r="AO215" s="43" t="s">
        <v>45</v>
      </c>
      <c r="AP215" s="42" t="s">
        <v>355</v>
      </c>
      <c r="AQ215" s="42">
        <v>4</v>
      </c>
      <c r="AR215" s="50" t="s">
        <v>353</v>
      </c>
      <c r="AS215" s="45" t="s">
        <v>723</v>
      </c>
      <c r="AT215" s="45" t="s">
        <v>705</v>
      </c>
      <c r="AU215" s="46">
        <f>($O$3*(L215-$O$1)/$O$2+$P$3*(M215-$P$1)/$P$2+$Q$3*(N215-$P$1)/$Q$2)/SUM($O$3:$Q$3)</f>
        <v>-1.8743493064650851</v>
      </c>
      <c r="AV215" s="46">
        <f>($O$3*(O215-$O$1)/$O$2+$P$3*(P215-$P$1)/$P$2+$Q$3*(Q215-$Q$1)/$Q$2)/SUM($O$3:$Q$3)</f>
        <v>-0.79715134065555615</v>
      </c>
      <c r="AW215" s="47">
        <f>COUNT(R215:AO215)/2</f>
        <v>3</v>
      </c>
      <c r="AX215" s="47">
        <f>IF(AND(S215&lt;&gt;"-",S215&gt;5),1,0)+IF(AND(U215&lt;&gt;"-",U215&gt;5),1,0)+IF(AND(W215&lt;&gt;"-",W215&gt;5),1,0)+IF(AND(Y215&lt;&gt;"-",Y215&gt;5),1,0)+IF(AND(AA215&lt;&gt;"-",AA215&gt;5),1,0)+IF(AND(AC215&lt;&gt;"-",AC215&gt;5),1,0)+IF(AND(AE215&lt;&gt;"-",AE215&gt;5),1,0)+IF(AND(AG215&lt;&gt;"-",AG215&gt;5),1,0)+IF(AND(AI215&lt;&gt;"-",AI215&gt;5),1,0)+IF(AND(AK215&lt;&gt;"-",AK215&gt;5),1,0)+IF(AND(AM215&lt;&gt;"-",AM215&gt;5),1,0)+IF(AND(AO215&lt;&gt;"-",AO215&gt;5),1,0)</f>
        <v>1</v>
      </c>
      <c r="AY215" s="48">
        <f>VLOOKUP(AP215,COND!$A$10:$B$32,2,FALSE)</f>
        <v>1</v>
      </c>
      <c r="AZ215" s="46">
        <f>($AU$3*AU215+$AV$3*AV215+$AW$3*AW215+$AX$3*AX215)*AY215*IF(AQ215&lt;5,0.95,IF(AQ215&lt;7,0.975,1))+$I$3*VLOOKUP(I215,COND!$A$2:$E$7,4,FALSE)+$J$3*VLOOKUP(J215,COND!$A$2:$E$7,2,FALSE)+$K$3*VLOOKUP(K215,COND!$A$2:$E$7,3,FALSE)+IF(BB215="SP",$BB$3,0)+IF($AW215&lt;3,-5,0)+IF(AND($B$2&gt;0,$E215&lt;20),$B$2*25,0)</f>
        <v>31.810498159316069</v>
      </c>
      <c r="BA215" s="49">
        <f>STANDARDIZE(AZ215,AVERAGE($AZ$5:$AZ$570),STDEVP($AZ$5:$AZ$570))</f>
        <v>-8.3611619021056821E-2</v>
      </c>
      <c r="BB215" s="47" t="str">
        <f>IF(OR(AND(AQ215&gt;7,AX215&gt;1),AND(AQ215&gt;4,AW215&gt;2)),"SP","RP")</f>
        <v>RP</v>
      </c>
      <c r="BC215" s="47"/>
      <c r="BD215" s="47"/>
      <c r="BE215" s="47"/>
      <c r="BF215" s="47" t="str">
        <f>IF(AVERAGE($O215:$Q215)&gt;=6,"Likely",IF(AVERAGE($O215:$Q215)&gt;=4,"Possible","Unlikely"))</f>
        <v>Unlikely</v>
      </c>
      <c r="BG215" s="47"/>
      <c r="BH215" s="47" t="str">
        <f>INDEX(Table5[[#All],[Ovr]],MATCH(Table3[[#This Row],[PID]],Table5[[#All],[PID]],0))</f>
        <v/>
      </c>
      <c r="BI215" s="47" t="str">
        <f>INDEX(Table5[[#All],[Rnd]],MATCH(Table3[[#This Row],[PID]],Table5[[#All],[PID]],0))</f>
        <v/>
      </c>
      <c r="BJ215" s="47" t="str">
        <f>INDEX(Table5[[#All],[Pick]],MATCH(Table3[[#This Row],[PID]],Table5[[#All],[PID]],0))</f>
        <v/>
      </c>
      <c r="BK215" s="47" t="str">
        <f>INDEX(Table5[[#All],[Team]],MATCH(Table3[[#This Row],[PID]],Table5[[#All],[PID]],0))</f>
        <v/>
      </c>
      <c r="BL2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6" spans="1:64" ht="15" customHeight="1" x14ac:dyDescent="0.25">
      <c r="A216" s="42">
        <v>6606</v>
      </c>
      <c r="B216" s="42" t="s">
        <v>24</v>
      </c>
      <c r="C216" s="42" t="s">
        <v>125</v>
      </c>
      <c r="D216" s="42" t="s">
        <v>1592</v>
      </c>
      <c r="E216" s="42">
        <v>18</v>
      </c>
      <c r="F216" s="42" t="s">
        <v>42</v>
      </c>
      <c r="G216" s="42" t="s">
        <v>42</v>
      </c>
      <c r="H216" s="43" t="s">
        <v>721</v>
      </c>
      <c r="I216" s="44" t="s">
        <v>43</v>
      </c>
      <c r="J216" s="42" t="s">
        <v>44</v>
      </c>
      <c r="K216" s="43" t="s">
        <v>43</v>
      </c>
      <c r="L216" s="42">
        <v>2</v>
      </c>
      <c r="M216" s="42">
        <v>2</v>
      </c>
      <c r="N216" s="43">
        <v>1</v>
      </c>
      <c r="O216" s="42">
        <v>4</v>
      </c>
      <c r="P216" s="42">
        <v>2</v>
      </c>
      <c r="Q216" s="43">
        <v>2</v>
      </c>
      <c r="R216" s="42">
        <v>5</v>
      </c>
      <c r="S216" s="42">
        <v>6</v>
      </c>
      <c r="T216" s="42">
        <v>2</v>
      </c>
      <c r="U216" s="42">
        <v>6</v>
      </c>
      <c r="V216" s="42" t="s">
        <v>45</v>
      </c>
      <c r="W216" s="42" t="s">
        <v>45</v>
      </c>
      <c r="X216" s="42">
        <v>4</v>
      </c>
      <c r="Y216" s="42">
        <v>6</v>
      </c>
      <c r="Z216" s="42" t="s">
        <v>45</v>
      </c>
      <c r="AA216" s="42" t="s">
        <v>45</v>
      </c>
      <c r="AB216" s="42" t="s">
        <v>45</v>
      </c>
      <c r="AC216" s="42" t="s">
        <v>45</v>
      </c>
      <c r="AD216" s="42" t="s">
        <v>45</v>
      </c>
      <c r="AE216" s="42" t="s">
        <v>45</v>
      </c>
      <c r="AF216" s="42" t="s">
        <v>45</v>
      </c>
      <c r="AG216" s="42" t="s">
        <v>45</v>
      </c>
      <c r="AH216" s="42" t="s">
        <v>45</v>
      </c>
      <c r="AI216" s="42" t="s">
        <v>45</v>
      </c>
      <c r="AJ216" s="42" t="s">
        <v>45</v>
      </c>
      <c r="AK216" s="42" t="s">
        <v>45</v>
      </c>
      <c r="AL216" s="42" t="s">
        <v>45</v>
      </c>
      <c r="AM216" s="42" t="s">
        <v>45</v>
      </c>
      <c r="AN216" s="42" t="s">
        <v>45</v>
      </c>
      <c r="AO216" s="43" t="s">
        <v>45</v>
      </c>
      <c r="AP216" s="42" t="s">
        <v>58</v>
      </c>
      <c r="AQ216" s="42">
        <v>8</v>
      </c>
      <c r="AR216" s="50" t="s">
        <v>353</v>
      </c>
      <c r="AS216" s="45" t="s">
        <v>718</v>
      </c>
      <c r="AT216" s="45" t="s">
        <v>47</v>
      </c>
      <c r="AU216" s="46">
        <f>($O$3*(L216-$O$1)/$O$2+$P$3*(M216-$P$1)/$P$2+$Q$3*(N216-$P$1)/$Q$2)/SUM($O$3:$Q$3)</f>
        <v>-2.311361197028369</v>
      </c>
      <c r="AV216" s="46">
        <f>($O$3*(O216-$O$1)/$O$2+$P$3*(P216-$P$1)/$P$2+$Q$3*(Q216-$Q$1)/$Q$2)/SUM($O$3:$Q$3)</f>
        <v>-1.23416323121884</v>
      </c>
      <c r="AW216" s="47">
        <f>COUNT(R216:AO216)/2</f>
        <v>3</v>
      </c>
      <c r="AX216" s="47">
        <f>IF(AND(S216&lt;&gt;"-",S216&gt;5),1,0)+IF(AND(U216&lt;&gt;"-",U216&gt;5),1,0)+IF(AND(W216&lt;&gt;"-",W216&gt;5),1,0)+IF(AND(Y216&lt;&gt;"-",Y216&gt;5),1,0)+IF(AND(AA216&lt;&gt;"-",AA216&gt;5),1,0)+IF(AND(AC216&lt;&gt;"-",AC216&gt;5),1,0)+IF(AND(AE216&lt;&gt;"-",AE216&gt;5),1,0)+IF(AND(AG216&lt;&gt;"-",AG216&gt;5),1,0)+IF(AND(AI216&lt;&gt;"-",AI216&gt;5),1,0)+IF(AND(AK216&lt;&gt;"-",AK216&gt;5),1,0)+IF(AND(AM216&lt;&gt;"-",AM216&gt;5),1,0)+IF(AND(AO216&lt;&gt;"-",AO216&gt;5),1,0)</f>
        <v>3</v>
      </c>
      <c r="AY216" s="48">
        <f>VLOOKUP(AP216,COND!$A$10:$B$32,2,FALSE)</f>
        <v>1</v>
      </c>
      <c r="AZ216" s="46">
        <f>($AU$3*AU216+$AV$3*AV216+$AW$3*AW216+$AX$3*AX216)*AY216*IF(AQ216&lt;5,0.95,IF(AQ216&lt;7,0.975,1))+$I$3*VLOOKUP(I216,COND!$A$2:$E$7,4,FALSE)+$J$3*VLOOKUP(J216,COND!$A$2:$E$7,2,FALSE)+$K$3*VLOOKUP(K216,COND!$A$2:$E$7,3,FALSE)+IF(BB216="SP",$BB$3,0)+IF($AW216&lt;3,-5,0)+IF(AND($B$2&gt;0,$E216&lt;20),$B$2*25,0)</f>
        <v>31.804463136217525</v>
      </c>
      <c r="BA216" s="49">
        <f>STANDARDIZE(AZ216,AVERAGE($AZ$5:$AZ$570),STDEVP($AZ$5:$AZ$570))</f>
        <v>-8.4165056433424174E-2</v>
      </c>
      <c r="BB216" s="47" t="str">
        <f>IF(OR(AND(AQ216&gt;7,AX216&gt;1),AND(AQ216&gt;4,AW216&gt;2)),"SP","RP")</f>
        <v>SP</v>
      </c>
      <c r="BC216" s="47"/>
      <c r="BD216" s="47"/>
      <c r="BE216" s="47"/>
      <c r="BF216" s="47" t="str">
        <f>IF(AVERAGE($O216:$Q216)&gt;=6,"Likely",IF(AVERAGE($O216:$Q216)&gt;=4,"Possible","Unlikely"))</f>
        <v>Unlikely</v>
      </c>
      <c r="BG216" s="47"/>
      <c r="BH216" s="47" t="str">
        <f>INDEX(Table5[[#All],[Ovr]],MATCH(Table3[[#This Row],[PID]],Table5[[#All],[PID]],0))</f>
        <v/>
      </c>
      <c r="BI216" s="47" t="str">
        <f>INDEX(Table5[[#All],[Rnd]],MATCH(Table3[[#This Row],[PID]],Table5[[#All],[PID]],0))</f>
        <v/>
      </c>
      <c r="BJ216" s="47" t="str">
        <f>INDEX(Table5[[#All],[Pick]],MATCH(Table3[[#This Row],[PID]],Table5[[#All],[PID]],0))</f>
        <v/>
      </c>
      <c r="BK216" s="47" t="str">
        <f>INDEX(Table5[[#All],[Team]],MATCH(Table3[[#This Row],[PID]],Table5[[#All],[PID]],0))</f>
        <v/>
      </c>
      <c r="BL2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7" spans="1:64" ht="15" customHeight="1" x14ac:dyDescent="0.25">
      <c r="A217" s="42">
        <v>12402</v>
      </c>
      <c r="B217" s="42" t="s">
        <v>430</v>
      </c>
      <c r="C217" s="42" t="s">
        <v>1022</v>
      </c>
      <c r="D217" s="42" t="s">
        <v>607</v>
      </c>
      <c r="E217" s="42">
        <v>22</v>
      </c>
      <c r="F217" s="42" t="s">
        <v>42</v>
      </c>
      <c r="G217" s="42" t="s">
        <v>42</v>
      </c>
      <c r="H217" s="43" t="s">
        <v>721</v>
      </c>
      <c r="I217" s="44" t="s">
        <v>43</v>
      </c>
      <c r="J217" s="42" t="s">
        <v>47</v>
      </c>
      <c r="K217" s="43" t="s">
        <v>43</v>
      </c>
      <c r="L217" s="42">
        <v>3</v>
      </c>
      <c r="M217" s="42">
        <v>2</v>
      </c>
      <c r="N217" s="43">
        <v>3</v>
      </c>
      <c r="O217" s="42">
        <v>4</v>
      </c>
      <c r="P217" s="42">
        <v>2</v>
      </c>
      <c r="Q217" s="43">
        <v>3</v>
      </c>
      <c r="R217" s="42">
        <v>5</v>
      </c>
      <c r="S217" s="42">
        <v>6</v>
      </c>
      <c r="T217" s="42">
        <v>2</v>
      </c>
      <c r="U217" s="42">
        <v>4</v>
      </c>
      <c r="V217" s="42">
        <v>2</v>
      </c>
      <c r="W217" s="42">
        <v>4</v>
      </c>
      <c r="X217" s="42" t="s">
        <v>45</v>
      </c>
      <c r="Y217" s="42" t="s">
        <v>45</v>
      </c>
      <c r="Z217" s="42" t="s">
        <v>45</v>
      </c>
      <c r="AA217" s="42" t="s">
        <v>45</v>
      </c>
      <c r="AB217" s="42">
        <v>4</v>
      </c>
      <c r="AC217" s="42">
        <v>5</v>
      </c>
      <c r="AD217" s="42" t="s">
        <v>45</v>
      </c>
      <c r="AE217" s="42" t="s">
        <v>45</v>
      </c>
      <c r="AF217" s="42" t="s">
        <v>45</v>
      </c>
      <c r="AG217" s="42" t="s">
        <v>45</v>
      </c>
      <c r="AH217" s="42" t="s">
        <v>45</v>
      </c>
      <c r="AI217" s="42" t="s">
        <v>45</v>
      </c>
      <c r="AJ217" s="42" t="s">
        <v>45</v>
      </c>
      <c r="AK217" s="42" t="s">
        <v>45</v>
      </c>
      <c r="AL217" s="42" t="s">
        <v>45</v>
      </c>
      <c r="AM217" s="42" t="s">
        <v>45</v>
      </c>
      <c r="AN217" s="42" t="s">
        <v>45</v>
      </c>
      <c r="AO217" s="43" t="s">
        <v>45</v>
      </c>
      <c r="AP217" s="42" t="s">
        <v>56</v>
      </c>
      <c r="AQ217" s="42">
        <v>7</v>
      </c>
      <c r="AR217" s="50" t="s">
        <v>14</v>
      </c>
      <c r="AS217" s="45" t="s">
        <v>45</v>
      </c>
      <c r="AT217" s="45" t="s">
        <v>47</v>
      </c>
      <c r="AU217" s="46">
        <f>($O$3*(L217-$O$1)/$O$2+$P$3*(M217-$P$1)/$P$2+$Q$3*(N217-$P$1)/$Q$2)/SUM($O$3:$Q$3)</f>
        <v>-1.6320287404109748</v>
      </c>
      <c r="AV217" s="46">
        <f>($O$3*(O217-$O$1)/$O$2+$P$3*(P217-$P$1)/$P$2+$Q$3*(Q217-$Q$1)/$Q$2)/SUM($O$3:$Q$3)</f>
        <v>-0.99184266516472974</v>
      </c>
      <c r="AW217" s="47">
        <f>COUNT(R217:AO217)/2</f>
        <v>4</v>
      </c>
      <c r="AX217" s="47">
        <f>IF(AND(S217&lt;&gt;"-",S217&gt;5),1,0)+IF(AND(U217&lt;&gt;"-",U217&gt;5),1,0)+IF(AND(W217&lt;&gt;"-",W217&gt;5),1,0)+IF(AND(Y217&lt;&gt;"-",Y217&gt;5),1,0)+IF(AND(AA217&lt;&gt;"-",AA217&gt;5),1,0)+IF(AND(AC217&lt;&gt;"-",AC217&gt;5),1,0)+IF(AND(AE217&lt;&gt;"-",AE217&gt;5),1,0)+IF(AND(AG217&lt;&gt;"-",AG217&gt;5),1,0)+IF(AND(AI217&lt;&gt;"-",AI217&gt;5),1,0)+IF(AND(AK217&lt;&gt;"-",AK217&gt;5),1,0)+IF(AND(AM217&lt;&gt;"-",AM217&gt;5),1,0)+IF(AND(AO217&lt;&gt;"-",AO217&gt;5),1,0)</f>
        <v>1</v>
      </c>
      <c r="AY217" s="48">
        <f>VLOOKUP(AP217,COND!$A$10:$B$32,2,FALSE)</f>
        <v>1</v>
      </c>
      <c r="AZ217" s="46">
        <f>($AU$3*AU217+$AV$3*AV217+$AW$3*AW217+$AX$3*AX217)*AY217*IF(AQ217&lt;5,0.95,IF(AQ217&lt;7,0.975,1))+$I$3*VLOOKUP(I217,COND!$A$2:$E$7,4,FALSE)+$J$3*VLOOKUP(J217,COND!$A$2:$E$7,2,FALSE)+$K$3*VLOOKUP(K217,COND!$A$2:$E$7,3,FALSE)+IF(BB217="SP",$BB$3,0)+IF($AW217&lt;3,-5,0)+IF(AND($B$2&gt;0,$E217&lt;20),$B$2*25,0)</f>
        <v>30.38674094862321</v>
      </c>
      <c r="BA217" s="49">
        <f>STANDARDIZE(AZ217,AVERAGE($AZ$5:$AZ$570),STDEVP($AZ$5:$AZ$570))</f>
        <v>-0.21417624050780501</v>
      </c>
      <c r="BB217" s="47" t="str">
        <f>IF(OR(AND(AQ217&gt;7,AX217&gt;1),AND(AQ217&gt;4,AW217&gt;2)),"SP","RP")</f>
        <v>SP</v>
      </c>
      <c r="BC217" s="47"/>
      <c r="BD217" s="47"/>
      <c r="BE217" s="47"/>
      <c r="BF217" s="47" t="str">
        <f>IF(AVERAGE($O217:$Q217)&gt;=6,"Likely",IF(AVERAGE($O217:$Q217)&gt;=4,"Possible","Unlikely"))</f>
        <v>Unlikely</v>
      </c>
      <c r="BG217" s="47"/>
      <c r="BH217" s="47" t="str">
        <f>INDEX(Table5[[#All],[Ovr]],MATCH(Table3[[#This Row],[PID]],Table5[[#All],[PID]],0))</f>
        <v/>
      </c>
      <c r="BI217" s="47" t="str">
        <f>INDEX(Table5[[#All],[Rnd]],MATCH(Table3[[#This Row],[PID]],Table5[[#All],[PID]],0))</f>
        <v/>
      </c>
      <c r="BJ217" s="47" t="str">
        <f>INDEX(Table5[[#All],[Pick]],MATCH(Table3[[#This Row],[PID]],Table5[[#All],[PID]],0))</f>
        <v/>
      </c>
      <c r="BK217" s="47" t="str">
        <f>INDEX(Table5[[#All],[Team]],MATCH(Table3[[#This Row],[PID]],Table5[[#All],[PID]],0))</f>
        <v/>
      </c>
      <c r="BL2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8" spans="1:64" ht="15" customHeight="1" x14ac:dyDescent="0.25">
      <c r="A218" s="42">
        <v>17608</v>
      </c>
      <c r="B218" s="42" t="s">
        <v>430</v>
      </c>
      <c r="C218" s="42" t="s">
        <v>443</v>
      </c>
      <c r="D218" s="42" t="s">
        <v>157</v>
      </c>
      <c r="E218" s="42">
        <v>18</v>
      </c>
      <c r="F218" s="42" t="s">
        <v>42</v>
      </c>
      <c r="G218" s="42" t="s">
        <v>42</v>
      </c>
      <c r="H218" s="43" t="s">
        <v>721</v>
      </c>
      <c r="I218" s="44" t="s">
        <v>43</v>
      </c>
      <c r="J218" s="42" t="s">
        <v>47</v>
      </c>
      <c r="K218" s="43" t="s">
        <v>43</v>
      </c>
      <c r="L218" s="42">
        <v>1</v>
      </c>
      <c r="M218" s="42">
        <v>2</v>
      </c>
      <c r="N218" s="43">
        <v>1</v>
      </c>
      <c r="O218" s="42">
        <v>4</v>
      </c>
      <c r="P218" s="42">
        <v>2</v>
      </c>
      <c r="Q218" s="43">
        <v>2</v>
      </c>
      <c r="R218" s="42">
        <v>2</v>
      </c>
      <c r="S218" s="42">
        <v>3</v>
      </c>
      <c r="T218" s="42">
        <v>1</v>
      </c>
      <c r="U218" s="42">
        <v>5</v>
      </c>
      <c r="V218" s="42" t="s">
        <v>45</v>
      </c>
      <c r="W218" s="42" t="s">
        <v>45</v>
      </c>
      <c r="X218" s="42">
        <v>1</v>
      </c>
      <c r="Y218" s="42">
        <v>5</v>
      </c>
      <c r="Z218" s="42" t="s">
        <v>45</v>
      </c>
      <c r="AA218" s="42" t="s">
        <v>45</v>
      </c>
      <c r="AB218" s="42" t="s">
        <v>45</v>
      </c>
      <c r="AC218" s="42" t="s">
        <v>45</v>
      </c>
      <c r="AD218" s="42" t="s">
        <v>45</v>
      </c>
      <c r="AE218" s="42" t="s">
        <v>45</v>
      </c>
      <c r="AF218" s="42" t="s">
        <v>45</v>
      </c>
      <c r="AG218" s="42" t="s">
        <v>45</v>
      </c>
      <c r="AH218" s="42" t="s">
        <v>45</v>
      </c>
      <c r="AI218" s="42" t="s">
        <v>45</v>
      </c>
      <c r="AJ218" s="42" t="s">
        <v>45</v>
      </c>
      <c r="AK218" s="42" t="s">
        <v>45</v>
      </c>
      <c r="AL218" s="42" t="s">
        <v>45</v>
      </c>
      <c r="AM218" s="42" t="s">
        <v>45</v>
      </c>
      <c r="AN218" s="42" t="s">
        <v>45</v>
      </c>
      <c r="AO218" s="43" t="s">
        <v>45</v>
      </c>
      <c r="AP218" s="42" t="s">
        <v>68</v>
      </c>
      <c r="AQ218" s="42">
        <v>6</v>
      </c>
      <c r="AR218" s="50" t="s">
        <v>353</v>
      </c>
      <c r="AS218" s="45" t="s">
        <v>718</v>
      </c>
      <c r="AT218" s="45" t="s">
        <v>47</v>
      </c>
      <c r="AU218" s="46">
        <f>($O$3*(L218-$O$1)/$O$2+$P$3*(M218-$P$1)/$P$2+$Q$3*(N218-$P$1)/$Q$2)/SUM($O$3:$Q$3)</f>
        <v>-2.5060525215375429</v>
      </c>
      <c r="AV218" s="46">
        <f>($O$3*(O218-$O$1)/$O$2+$P$3*(P218-$P$1)/$P$2+$Q$3*(Q218-$Q$1)/$Q$2)/SUM($O$3:$Q$3)</f>
        <v>-1.23416323121884</v>
      </c>
      <c r="AW218" s="47">
        <f>COUNT(R218:AO218)/2</f>
        <v>3</v>
      </c>
      <c r="AX218" s="47">
        <f>IF(AND(S218&lt;&gt;"-",S218&gt;5),1,0)+IF(AND(U218&lt;&gt;"-",U218&gt;5),1,0)+IF(AND(W218&lt;&gt;"-",W218&gt;5),1,0)+IF(AND(Y218&lt;&gt;"-",Y218&gt;5),1,0)+IF(AND(AA218&lt;&gt;"-",AA218&gt;5),1,0)+IF(AND(AC218&lt;&gt;"-",AC218&gt;5),1,0)+IF(AND(AE218&lt;&gt;"-",AE218&gt;5),1,0)+IF(AND(AG218&lt;&gt;"-",AG218&gt;5),1,0)+IF(AND(AI218&lt;&gt;"-",AI218&gt;5),1,0)+IF(AND(AK218&lt;&gt;"-",AK218&gt;5),1,0)+IF(AND(AM218&lt;&gt;"-",AM218&gt;5),1,0)+IF(AND(AO218&lt;&gt;"-",AO218&gt;5),1,0)</f>
        <v>0</v>
      </c>
      <c r="AY218" s="48">
        <f>VLOOKUP(AP218,COND!$A$10:$B$32,2,FALSE)</f>
        <v>0.95</v>
      </c>
      <c r="AZ218" s="46">
        <f>($AU$3*AU218+$AV$3*AV218+$AW$3*AW218+$AX$3*AX218)*AY218*IF(AQ218&lt;5,0.95,IF(AQ218&lt;7,0.975,1))+$I$3*VLOOKUP(I218,COND!$A$2:$E$7,4,FALSE)+$J$3*VLOOKUP(J218,COND!$A$2:$E$7,2,FALSE)+$K$3*VLOOKUP(K218,COND!$A$2:$E$7,3,FALSE)+IF(BB218="SP",$BB$3,0)+IF($AW218&lt;3,-5,0)+IF(AND($B$2&gt;0,$E218&lt;20),$B$2*25,0)</f>
        <v>30.362254912056162</v>
      </c>
      <c r="BA218" s="49">
        <f>STANDARDIZE(AZ218,AVERAGE($AZ$5:$AZ$570),STDEVP($AZ$5:$AZ$570))</f>
        <v>-0.21642171471652311</v>
      </c>
      <c r="BB218" s="47" t="str">
        <f>IF(OR(AND(AQ218&gt;7,AX218&gt;1),AND(AQ218&gt;4,AW218&gt;2)),"SP","RP")</f>
        <v>SP</v>
      </c>
      <c r="BC218" s="47"/>
      <c r="BD218" s="47"/>
      <c r="BE218" s="47"/>
      <c r="BF218" s="47" t="str">
        <f>IF(AVERAGE($O218:$Q218)&gt;=6,"Likely",IF(AVERAGE($O218:$Q218)&gt;=4,"Possible","Unlikely"))</f>
        <v>Unlikely</v>
      </c>
      <c r="BG218" s="47"/>
      <c r="BH218" s="47" t="str">
        <f>INDEX(Table5[[#All],[Ovr]],MATCH(Table3[[#This Row],[PID]],Table5[[#All],[PID]],0))</f>
        <v/>
      </c>
      <c r="BI218" s="47" t="str">
        <f>INDEX(Table5[[#All],[Rnd]],MATCH(Table3[[#This Row],[PID]],Table5[[#All],[PID]],0))</f>
        <v/>
      </c>
      <c r="BJ218" s="47" t="str">
        <f>INDEX(Table5[[#All],[Pick]],MATCH(Table3[[#This Row],[PID]],Table5[[#All],[PID]],0))</f>
        <v/>
      </c>
      <c r="BK218" s="47" t="str">
        <f>INDEX(Table5[[#All],[Team]],MATCH(Table3[[#This Row],[PID]],Table5[[#All],[PID]],0))</f>
        <v/>
      </c>
      <c r="BL2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9" spans="1:64" ht="15" customHeight="1" x14ac:dyDescent="0.25">
      <c r="A219" s="42">
        <v>6559</v>
      </c>
      <c r="B219" s="42" t="s">
        <v>430</v>
      </c>
      <c r="C219" s="42" t="s">
        <v>176</v>
      </c>
      <c r="D219" s="42" t="s">
        <v>1627</v>
      </c>
      <c r="E219" s="42">
        <v>18</v>
      </c>
      <c r="F219" s="42" t="s">
        <v>42</v>
      </c>
      <c r="G219" s="42" t="s">
        <v>42</v>
      </c>
      <c r="H219" s="43" t="s">
        <v>721</v>
      </c>
      <c r="I219" s="44" t="s">
        <v>43</v>
      </c>
      <c r="J219" s="42" t="s">
        <v>43</v>
      </c>
      <c r="K219" s="43" t="s">
        <v>43</v>
      </c>
      <c r="L219" s="42">
        <v>1</v>
      </c>
      <c r="M219" s="42">
        <v>2</v>
      </c>
      <c r="N219" s="43">
        <v>1</v>
      </c>
      <c r="O219" s="42">
        <v>4</v>
      </c>
      <c r="P219" s="42">
        <v>2</v>
      </c>
      <c r="Q219" s="43">
        <v>2</v>
      </c>
      <c r="R219" s="42">
        <v>2</v>
      </c>
      <c r="S219" s="42">
        <v>4</v>
      </c>
      <c r="T219" s="42">
        <v>1</v>
      </c>
      <c r="U219" s="42">
        <v>5</v>
      </c>
      <c r="V219" s="42" t="s">
        <v>45</v>
      </c>
      <c r="W219" s="42" t="s">
        <v>45</v>
      </c>
      <c r="X219" s="42">
        <v>2</v>
      </c>
      <c r="Y219" s="42">
        <v>5</v>
      </c>
      <c r="Z219" s="42" t="s">
        <v>45</v>
      </c>
      <c r="AA219" s="42" t="s">
        <v>45</v>
      </c>
      <c r="AB219" s="42">
        <v>2</v>
      </c>
      <c r="AC219" s="42">
        <v>3</v>
      </c>
      <c r="AD219" s="42" t="s">
        <v>45</v>
      </c>
      <c r="AE219" s="42" t="s">
        <v>45</v>
      </c>
      <c r="AF219" s="42">
        <v>2</v>
      </c>
      <c r="AG219" s="42">
        <v>3</v>
      </c>
      <c r="AH219" s="42" t="s">
        <v>45</v>
      </c>
      <c r="AI219" s="42" t="s">
        <v>45</v>
      </c>
      <c r="AJ219" s="42" t="s">
        <v>45</v>
      </c>
      <c r="AK219" s="42" t="s">
        <v>45</v>
      </c>
      <c r="AL219" s="42" t="s">
        <v>45</v>
      </c>
      <c r="AM219" s="42" t="s">
        <v>45</v>
      </c>
      <c r="AN219" s="42" t="s">
        <v>45</v>
      </c>
      <c r="AO219" s="43" t="s">
        <v>45</v>
      </c>
      <c r="AP219" s="42" t="s">
        <v>68</v>
      </c>
      <c r="AQ219" s="42">
        <v>6</v>
      </c>
      <c r="AR219" s="50" t="s">
        <v>353</v>
      </c>
      <c r="AS219" s="45" t="s">
        <v>730</v>
      </c>
      <c r="AT219" s="45" t="s">
        <v>47</v>
      </c>
      <c r="AU219" s="46">
        <f>($O$3*(L219-$O$1)/$O$2+$P$3*(M219-$P$1)/$P$2+$Q$3*(N219-$P$1)/$Q$2)/SUM($O$3:$Q$3)</f>
        <v>-2.5060525215375429</v>
      </c>
      <c r="AV219" s="46">
        <f>($O$3*(O219-$O$1)/$O$2+$P$3*(P219-$P$1)/$P$2+$Q$3*(Q219-$Q$1)/$Q$2)/SUM($O$3:$Q$3)</f>
        <v>-1.23416323121884</v>
      </c>
      <c r="AW219" s="47">
        <f>COUNT(R219:AO219)/2</f>
        <v>5</v>
      </c>
      <c r="AX219" s="47">
        <f>IF(AND(S219&lt;&gt;"-",S219&gt;5),1,0)+IF(AND(U219&lt;&gt;"-",U219&gt;5),1,0)+IF(AND(W219&lt;&gt;"-",W219&gt;5),1,0)+IF(AND(Y219&lt;&gt;"-",Y219&gt;5),1,0)+IF(AND(AA219&lt;&gt;"-",AA219&gt;5),1,0)+IF(AND(AC219&lt;&gt;"-",AC219&gt;5),1,0)+IF(AND(AE219&lt;&gt;"-",AE219&gt;5),1,0)+IF(AND(AG219&lt;&gt;"-",AG219&gt;5),1,0)+IF(AND(AI219&lt;&gt;"-",AI219&gt;5),1,0)+IF(AND(AK219&lt;&gt;"-",AK219&gt;5),1,0)+IF(AND(AM219&lt;&gt;"-",AM219&gt;5),1,0)+IF(AND(AO219&lt;&gt;"-",AO219&gt;5),1,0)</f>
        <v>0</v>
      </c>
      <c r="AY219" s="48">
        <f>VLOOKUP(AP219,COND!$A$10:$B$32,2,FALSE)</f>
        <v>0.95</v>
      </c>
      <c r="AZ219" s="46">
        <f>($AU$3*AU219+$AV$3*AV219+$AW$3*AW219+$AX$3*AX219)*AY219*IF(AQ219&lt;5,0.95,IF(AQ219&lt;7,0.975,1))+$I$3*VLOOKUP(I219,COND!$A$2:$E$7,4,FALSE)+$J$3*VLOOKUP(J219,COND!$A$2:$E$7,2,FALSE)+$K$3*VLOOKUP(K219,COND!$A$2:$E$7,3,FALSE)+IF(BB219="SP",$BB$3,0)+IF($AW219&lt;3,-5,0)+IF(AND($B$2&gt;0,$E219&lt;20),$B$2*25,0)</f>
        <v>30.988504912056161</v>
      </c>
      <c r="BA219" s="49">
        <f>STANDARDIZE(AZ219,AVERAGE($AZ$5:$AZ$570),STDEVP($AZ$5:$AZ$570))</f>
        <v>-0.15899191306776789</v>
      </c>
      <c r="BB219" s="47" t="str">
        <f>IF(OR(AND(AQ219&gt;7,AX219&gt;1),AND(AQ219&gt;4,AW219&gt;2)),"SP","RP")</f>
        <v>SP</v>
      </c>
      <c r="BC219" s="47"/>
      <c r="BD219" s="47"/>
      <c r="BE219" s="47"/>
      <c r="BF219" s="47" t="str">
        <f>IF(AVERAGE($O219:$Q219)&gt;=6,"Likely",IF(AVERAGE($O219:$Q219)&gt;=4,"Possible","Unlikely"))</f>
        <v>Unlikely</v>
      </c>
      <c r="BG219" s="47"/>
      <c r="BH219" s="47" t="str">
        <f>INDEX(Table5[[#All],[Ovr]],MATCH(Table3[[#This Row],[PID]],Table5[[#All],[PID]],0))</f>
        <v/>
      </c>
      <c r="BI219" s="47" t="str">
        <f>INDEX(Table5[[#All],[Rnd]],MATCH(Table3[[#This Row],[PID]],Table5[[#All],[PID]],0))</f>
        <v/>
      </c>
      <c r="BJ219" s="47" t="str">
        <f>INDEX(Table5[[#All],[Pick]],MATCH(Table3[[#This Row],[PID]],Table5[[#All],[PID]],0))</f>
        <v/>
      </c>
      <c r="BK219" s="47" t="str">
        <f>INDEX(Table5[[#All],[Team]],MATCH(Table3[[#This Row],[PID]],Table5[[#All],[PID]],0))</f>
        <v/>
      </c>
      <c r="BL2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0" spans="1:64" ht="15" customHeight="1" x14ac:dyDescent="0.25">
      <c r="A220" s="42">
        <v>17596</v>
      </c>
      <c r="B220" s="42" t="s">
        <v>430</v>
      </c>
      <c r="C220" s="42" t="s">
        <v>566</v>
      </c>
      <c r="D220" s="42" t="s">
        <v>402</v>
      </c>
      <c r="E220" s="42">
        <v>18</v>
      </c>
      <c r="F220" s="42" t="s">
        <v>53</v>
      </c>
      <c r="G220" s="42" t="s">
        <v>53</v>
      </c>
      <c r="H220" s="43" t="s">
        <v>721</v>
      </c>
      <c r="I220" s="44" t="s">
        <v>47</v>
      </c>
      <c r="J220" s="42" t="s">
        <v>47</v>
      </c>
      <c r="K220" s="43" t="s">
        <v>43</v>
      </c>
      <c r="L220" s="42">
        <v>2</v>
      </c>
      <c r="M220" s="42">
        <v>1</v>
      </c>
      <c r="N220" s="43">
        <v>1</v>
      </c>
      <c r="O220" s="42">
        <v>5</v>
      </c>
      <c r="P220" s="42">
        <v>1</v>
      </c>
      <c r="Q220" s="43">
        <v>2</v>
      </c>
      <c r="R220" s="42">
        <v>2</v>
      </c>
      <c r="S220" s="42">
        <v>4</v>
      </c>
      <c r="T220" s="42">
        <v>1</v>
      </c>
      <c r="U220" s="42">
        <v>7</v>
      </c>
      <c r="V220" s="42" t="s">
        <v>45</v>
      </c>
      <c r="W220" s="42" t="s">
        <v>45</v>
      </c>
      <c r="X220" s="42" t="s">
        <v>45</v>
      </c>
      <c r="Y220" s="42" t="s">
        <v>45</v>
      </c>
      <c r="Z220" s="42" t="s">
        <v>45</v>
      </c>
      <c r="AA220" s="42" t="s">
        <v>45</v>
      </c>
      <c r="AB220" s="42" t="s">
        <v>45</v>
      </c>
      <c r="AC220" s="42" t="s">
        <v>45</v>
      </c>
      <c r="AD220" s="42">
        <v>2</v>
      </c>
      <c r="AE220" s="42">
        <v>5</v>
      </c>
      <c r="AF220" s="42" t="s">
        <v>45</v>
      </c>
      <c r="AG220" s="42" t="s">
        <v>45</v>
      </c>
      <c r="AH220" s="42" t="s">
        <v>45</v>
      </c>
      <c r="AI220" s="42" t="s">
        <v>45</v>
      </c>
      <c r="AJ220" s="42" t="s">
        <v>45</v>
      </c>
      <c r="AK220" s="42" t="s">
        <v>45</v>
      </c>
      <c r="AL220" s="42" t="s">
        <v>45</v>
      </c>
      <c r="AM220" s="42" t="s">
        <v>45</v>
      </c>
      <c r="AN220" s="42" t="s">
        <v>45</v>
      </c>
      <c r="AO220" s="43" t="s">
        <v>45</v>
      </c>
      <c r="AP220" s="42" t="s">
        <v>68</v>
      </c>
      <c r="AQ220" s="42">
        <v>4</v>
      </c>
      <c r="AR220" s="50" t="s">
        <v>14</v>
      </c>
      <c r="AS220" s="45" t="s">
        <v>45</v>
      </c>
      <c r="AT220" s="45" t="s">
        <v>47</v>
      </c>
      <c r="AU220" s="46">
        <f>($O$3*(L220-$O$1)/$O$2+$P$3*(M220-$P$1)/$P$2+$Q$3*(N220-$P$1)/$Q$2)/SUM($O$3:$Q$3)</f>
        <v>-2.5067929134584248</v>
      </c>
      <c r="AV220" s="46">
        <f>($O$3*(O220-$O$1)/$O$2+$P$3*(P220-$P$1)/$P$2+$Q$3*(Q220-$Q$1)/$Q$2)/SUM($O$3:$Q$3)</f>
        <v>-1.2349036231397219</v>
      </c>
      <c r="AW220" s="47">
        <f>COUNT(R220:AO220)/2</f>
        <v>3</v>
      </c>
      <c r="AX220" s="47">
        <f>IF(AND(S220&lt;&gt;"-",S220&gt;5),1,0)+IF(AND(U220&lt;&gt;"-",U220&gt;5),1,0)+IF(AND(W220&lt;&gt;"-",W220&gt;5),1,0)+IF(AND(Y220&lt;&gt;"-",Y220&gt;5),1,0)+IF(AND(AA220&lt;&gt;"-",AA220&gt;5),1,0)+IF(AND(AC220&lt;&gt;"-",AC220&gt;5),1,0)+IF(AND(AE220&lt;&gt;"-",AE220&gt;5),1,0)+IF(AND(AG220&lt;&gt;"-",AG220&gt;5),1,0)+IF(AND(AI220&lt;&gt;"-",AI220&gt;5),1,0)+IF(AND(AK220&lt;&gt;"-",AK220&gt;5),1,0)+IF(AND(AM220&lt;&gt;"-",AM220&gt;5),1,0)+IF(AND(AO220&lt;&gt;"-",AO220&gt;5),1,0)</f>
        <v>1</v>
      </c>
      <c r="AY220" s="48">
        <f>VLOOKUP(AP220,COND!$A$10:$B$32,2,FALSE)</f>
        <v>0.95</v>
      </c>
      <c r="AZ220" s="46">
        <f>($AU$3*AU220+$AV$3*AV220+$AW$3*AW220+$AX$3*AX220)*AY220*IF(AQ220&lt;5,0.95,IF(AQ220&lt;7,0.975,1))+$I$3*VLOOKUP(I220,COND!$A$2:$E$7,4,FALSE)+$J$3*VLOOKUP(J220,COND!$A$2:$E$7,2,FALSE)+$K$3*VLOOKUP(K220,COND!$A$2:$E$7,3,FALSE)+IF(BB220="SP",$BB$3,0)+IF($AW220&lt;3,-5,0)+IF(AND($B$2&gt;0,$E220&lt;20),$B$2*25,0)</f>
        <v>30.264388481448773</v>
      </c>
      <c r="BA220" s="49">
        <f>STANDARDIZE(AZ220,AVERAGE($AZ$5:$AZ$570),STDEVP($AZ$5:$AZ$570))</f>
        <v>-0.22539648469313636</v>
      </c>
      <c r="BB220" s="47" t="str">
        <f>IF(OR(AND(AQ220&gt;7,AX220&gt;1),AND(AQ220&gt;4,AW220&gt;2)),"SP","RP")</f>
        <v>RP</v>
      </c>
      <c r="BC220" s="47"/>
      <c r="BD220" s="47"/>
      <c r="BE220" s="47"/>
      <c r="BF220" s="47" t="str">
        <f>IF(AVERAGE($O220:$Q220)&gt;=6,"Likely",IF(AVERAGE($O220:$Q220)&gt;=4,"Possible","Unlikely"))</f>
        <v>Unlikely</v>
      </c>
      <c r="BG220" s="47"/>
      <c r="BH220" s="47" t="str">
        <f>INDEX(Table5[[#All],[Ovr]],MATCH(Table3[[#This Row],[PID]],Table5[[#All],[PID]],0))</f>
        <v/>
      </c>
      <c r="BI220" s="47" t="str">
        <f>INDEX(Table5[[#All],[Rnd]],MATCH(Table3[[#This Row],[PID]],Table5[[#All],[PID]],0))</f>
        <v/>
      </c>
      <c r="BJ220" s="47" t="str">
        <f>INDEX(Table5[[#All],[Pick]],MATCH(Table3[[#This Row],[PID]],Table5[[#All],[PID]],0))</f>
        <v/>
      </c>
      <c r="BK220" s="47" t="str">
        <f>INDEX(Table5[[#All],[Team]],MATCH(Table3[[#This Row],[PID]],Table5[[#All],[PID]],0))</f>
        <v/>
      </c>
      <c r="BL2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1" spans="1:64" ht="15" customHeight="1" x14ac:dyDescent="0.25">
      <c r="A221" s="42">
        <v>11675</v>
      </c>
      <c r="B221" s="42" t="s">
        <v>24</v>
      </c>
      <c r="C221" s="42" t="s">
        <v>191</v>
      </c>
      <c r="D221" s="42" t="s">
        <v>727</v>
      </c>
      <c r="E221" s="42">
        <v>21</v>
      </c>
      <c r="F221" s="42" t="s">
        <v>42</v>
      </c>
      <c r="G221" s="42" t="s">
        <v>42</v>
      </c>
      <c r="H221" s="43" t="s">
        <v>721</v>
      </c>
      <c r="I221" s="44" t="s">
        <v>43</v>
      </c>
      <c r="J221" s="42" t="s">
        <v>43</v>
      </c>
      <c r="K221" s="43" t="s">
        <v>43</v>
      </c>
      <c r="L221" s="42">
        <v>2</v>
      </c>
      <c r="M221" s="42">
        <v>2</v>
      </c>
      <c r="N221" s="43">
        <v>2</v>
      </c>
      <c r="O221" s="42">
        <v>4</v>
      </c>
      <c r="P221" s="42">
        <v>2</v>
      </c>
      <c r="Q221" s="43">
        <v>3</v>
      </c>
      <c r="R221" s="42">
        <v>5</v>
      </c>
      <c r="S221" s="42">
        <v>6</v>
      </c>
      <c r="T221" s="42">
        <v>1</v>
      </c>
      <c r="U221" s="42">
        <v>4</v>
      </c>
      <c r="V221" s="42">
        <v>2</v>
      </c>
      <c r="W221" s="42">
        <v>6</v>
      </c>
      <c r="X221" s="42">
        <v>3</v>
      </c>
      <c r="Y221" s="42">
        <v>5</v>
      </c>
      <c r="Z221" s="42" t="s">
        <v>45</v>
      </c>
      <c r="AA221" s="42" t="s">
        <v>45</v>
      </c>
      <c r="AB221" s="42" t="s">
        <v>45</v>
      </c>
      <c r="AC221" s="42" t="s">
        <v>45</v>
      </c>
      <c r="AD221" s="42" t="s">
        <v>45</v>
      </c>
      <c r="AE221" s="42" t="s">
        <v>45</v>
      </c>
      <c r="AF221" s="42" t="s">
        <v>45</v>
      </c>
      <c r="AG221" s="42" t="s">
        <v>45</v>
      </c>
      <c r="AH221" s="42" t="s">
        <v>45</v>
      </c>
      <c r="AI221" s="42" t="s">
        <v>45</v>
      </c>
      <c r="AJ221" s="42" t="s">
        <v>45</v>
      </c>
      <c r="AK221" s="42" t="s">
        <v>45</v>
      </c>
      <c r="AL221" s="42" t="s">
        <v>45</v>
      </c>
      <c r="AM221" s="42" t="s">
        <v>45</v>
      </c>
      <c r="AN221" s="42" t="s">
        <v>45</v>
      </c>
      <c r="AO221" s="43" t="s">
        <v>45</v>
      </c>
      <c r="AP221" s="42" t="s">
        <v>54</v>
      </c>
      <c r="AQ221" s="42">
        <v>8</v>
      </c>
      <c r="AR221" s="50" t="s">
        <v>353</v>
      </c>
      <c r="AS221" s="45" t="s">
        <v>45</v>
      </c>
      <c r="AT221" s="45" t="s">
        <v>47</v>
      </c>
      <c r="AU221" s="46">
        <f>($O$3*(L221-$O$1)/$O$2+$P$3*(M221-$P$1)/$P$2+$Q$3*(N221-$P$1)/$Q$2)/SUM($O$3:$Q$3)</f>
        <v>-2.0690406309742588</v>
      </c>
      <c r="AV221" s="46">
        <f>($O$3*(O221-$O$1)/$O$2+$P$3*(P221-$P$1)/$P$2+$Q$3*(Q221-$Q$1)/$Q$2)/SUM($O$3:$Q$3)</f>
        <v>-0.99184266516472974</v>
      </c>
      <c r="AW221" s="47">
        <f>COUNT(R221:AO221)/2</f>
        <v>4</v>
      </c>
      <c r="AX221" s="47">
        <f>IF(AND(S221&lt;&gt;"-",S221&gt;5),1,0)+IF(AND(U221&lt;&gt;"-",U221&gt;5),1,0)+IF(AND(W221&lt;&gt;"-",W221&gt;5),1,0)+IF(AND(Y221&lt;&gt;"-",Y221&gt;5),1,0)+IF(AND(AA221&lt;&gt;"-",AA221&gt;5),1,0)+IF(AND(AC221&lt;&gt;"-",AC221&gt;5),1,0)+IF(AND(AE221&lt;&gt;"-",AE221&gt;5),1,0)+IF(AND(AG221&lt;&gt;"-",AG221&gt;5),1,0)+IF(AND(AI221&lt;&gt;"-",AI221&gt;5),1,0)+IF(AND(AK221&lt;&gt;"-",AK221&gt;5),1,0)+IF(AND(AM221&lt;&gt;"-",AM221&gt;5),1,0)+IF(AND(AO221&lt;&gt;"-",AO221&gt;5),1,0)</f>
        <v>2</v>
      </c>
      <c r="AY221" s="48">
        <f>VLOOKUP(AP221,COND!$A$10:$B$32,2,FALSE)</f>
        <v>1.0249999999999999</v>
      </c>
      <c r="AZ221" s="46">
        <f>($AU$3*AU221+$AV$3*AV221+$AW$3*AW221+$AX$3*AX221)*AY221*IF(AQ221&lt;5,0.95,IF(AQ221&lt;7,0.975,1))+$I$3*VLOOKUP(I221,COND!$A$2:$E$7,4,FALSE)+$J$3*VLOOKUP(J221,COND!$A$2:$E$7,2,FALSE)+$K$3*VLOOKUP(K221,COND!$A$2:$E$7,3,FALSE)+IF(BB221="SP",$BB$3,0)+IF($AW221&lt;3,-5,0)+IF(AND($B$2&gt;0,$E221&lt;20),$B$2*25,0)</f>
        <v>30.855572034773317</v>
      </c>
      <c r="BA221" s="49">
        <f>STANDARDIZE(AZ221,AVERAGE($AZ$5:$AZ$570),STDEVP($AZ$5:$AZ$570))</f>
        <v>-0.1711824260816634</v>
      </c>
      <c r="BB221" s="47" t="str">
        <f>IF(OR(AND(AQ221&gt;7,AX221&gt;1),AND(AQ221&gt;4,AW221&gt;2)),"SP","RP")</f>
        <v>SP</v>
      </c>
      <c r="BC221" s="47"/>
      <c r="BD221" s="47"/>
      <c r="BE221" s="47"/>
      <c r="BF221" s="47" t="str">
        <f>IF(AVERAGE($O221:$Q221)&gt;=6,"Likely",IF(AVERAGE($O221:$Q221)&gt;=4,"Possible","Unlikely"))</f>
        <v>Unlikely</v>
      </c>
      <c r="BG221" s="47"/>
      <c r="BH221" s="47" t="str">
        <f>INDEX(Table5[[#All],[Ovr]],MATCH(Table3[[#This Row],[PID]],Table5[[#All],[PID]],0))</f>
        <v/>
      </c>
      <c r="BI221" s="47" t="str">
        <f>INDEX(Table5[[#All],[Rnd]],MATCH(Table3[[#This Row],[PID]],Table5[[#All],[PID]],0))</f>
        <v/>
      </c>
      <c r="BJ221" s="47" t="str">
        <f>INDEX(Table5[[#All],[Pick]],MATCH(Table3[[#This Row],[PID]],Table5[[#All],[PID]],0))</f>
        <v/>
      </c>
      <c r="BK221" s="47" t="str">
        <f>INDEX(Table5[[#All],[Team]],MATCH(Table3[[#This Row],[PID]],Table5[[#All],[PID]],0))</f>
        <v/>
      </c>
      <c r="BL2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2" spans="1:64" ht="15" customHeight="1" x14ac:dyDescent="0.25">
      <c r="A222" s="42">
        <v>7786</v>
      </c>
      <c r="B222" s="42" t="s">
        <v>24</v>
      </c>
      <c r="C222" s="42" t="s">
        <v>142</v>
      </c>
      <c r="D222" s="42" t="s">
        <v>1593</v>
      </c>
      <c r="E222" s="42">
        <v>18</v>
      </c>
      <c r="F222" s="42" t="s">
        <v>42</v>
      </c>
      <c r="G222" s="42" t="s">
        <v>42</v>
      </c>
      <c r="H222" s="43" t="s">
        <v>721</v>
      </c>
      <c r="I222" s="44" t="s">
        <v>43</v>
      </c>
      <c r="J222" s="42" t="s">
        <v>47</v>
      </c>
      <c r="K222" s="43" t="s">
        <v>43</v>
      </c>
      <c r="L222" s="42">
        <v>2</v>
      </c>
      <c r="M222" s="42">
        <v>2</v>
      </c>
      <c r="N222" s="43">
        <v>1</v>
      </c>
      <c r="O222" s="42">
        <v>4</v>
      </c>
      <c r="P222" s="42">
        <v>2</v>
      </c>
      <c r="Q222" s="43">
        <v>2</v>
      </c>
      <c r="R222" s="42">
        <v>3</v>
      </c>
      <c r="S222" s="42">
        <v>5</v>
      </c>
      <c r="T222" s="42">
        <v>1</v>
      </c>
      <c r="U222" s="42">
        <v>1</v>
      </c>
      <c r="V222" s="42">
        <v>1</v>
      </c>
      <c r="W222" s="42">
        <v>4</v>
      </c>
      <c r="X222" s="42">
        <v>2</v>
      </c>
      <c r="Y222" s="42">
        <v>4</v>
      </c>
      <c r="Z222" s="42" t="s">
        <v>45</v>
      </c>
      <c r="AA222" s="42" t="s">
        <v>45</v>
      </c>
      <c r="AB222" s="42">
        <v>3</v>
      </c>
      <c r="AC222" s="42">
        <v>4</v>
      </c>
      <c r="AD222" s="42" t="s">
        <v>45</v>
      </c>
      <c r="AE222" s="42" t="s">
        <v>45</v>
      </c>
      <c r="AF222" s="42" t="s">
        <v>45</v>
      </c>
      <c r="AG222" s="42" t="s">
        <v>45</v>
      </c>
      <c r="AH222" s="42" t="s">
        <v>45</v>
      </c>
      <c r="AI222" s="42" t="s">
        <v>45</v>
      </c>
      <c r="AJ222" s="42" t="s">
        <v>45</v>
      </c>
      <c r="AK222" s="42" t="s">
        <v>45</v>
      </c>
      <c r="AL222" s="42">
        <v>2</v>
      </c>
      <c r="AM222" s="42">
        <v>5</v>
      </c>
      <c r="AN222" s="42" t="s">
        <v>45</v>
      </c>
      <c r="AO222" s="43" t="s">
        <v>45</v>
      </c>
      <c r="AP222" s="42" t="s">
        <v>355</v>
      </c>
      <c r="AQ222" s="42">
        <v>9</v>
      </c>
      <c r="AR222" s="50" t="s">
        <v>353</v>
      </c>
      <c r="AS222" s="45" t="s">
        <v>718</v>
      </c>
      <c r="AT222" s="45" t="s">
        <v>705</v>
      </c>
      <c r="AU222" s="46">
        <f>($O$3*(L222-$O$1)/$O$2+$P$3*(M222-$P$1)/$P$2+$Q$3*(N222-$P$1)/$Q$2)/SUM($O$3:$Q$3)</f>
        <v>-2.311361197028369</v>
      </c>
      <c r="AV222" s="46">
        <f>($O$3*(O222-$O$1)/$O$2+$P$3*(P222-$P$1)/$P$2+$Q$3*(Q222-$Q$1)/$Q$2)/SUM($O$3:$Q$3)</f>
        <v>-1.23416323121884</v>
      </c>
      <c r="AW222" s="47">
        <f>COUNT(R222:AO222)/2</f>
        <v>6</v>
      </c>
      <c r="AX222" s="47">
        <f>IF(AND(S222&lt;&gt;"-",S222&gt;5),1,0)+IF(AND(U222&lt;&gt;"-",U222&gt;5),1,0)+IF(AND(W222&lt;&gt;"-",W222&gt;5),1,0)+IF(AND(Y222&lt;&gt;"-",Y222&gt;5),1,0)+IF(AND(AA222&lt;&gt;"-",AA222&gt;5),1,0)+IF(AND(AC222&lt;&gt;"-",AC222&gt;5),1,0)+IF(AND(AE222&lt;&gt;"-",AE222&gt;5),1,0)+IF(AND(AG222&lt;&gt;"-",AG222&gt;5),1,0)+IF(AND(AI222&lt;&gt;"-",AI222&gt;5),1,0)+IF(AND(AK222&lt;&gt;"-",AK222&gt;5),1,0)+IF(AND(AM222&lt;&gt;"-",AM222&gt;5),1,0)+IF(AND(AO222&lt;&gt;"-",AO222&gt;5),1,0)</f>
        <v>0</v>
      </c>
      <c r="AY222" s="48">
        <f>VLOOKUP(AP222,COND!$A$10:$B$32,2,FALSE)</f>
        <v>1</v>
      </c>
      <c r="AZ222" s="46">
        <f>($AU$3*AU222+$AV$3*AV222+$AW$3*AW222+$AX$3*AX222)*AY222*IF(AQ222&lt;5,0.95,IF(AQ222&lt;7,0.975,1))+$I$3*VLOOKUP(I222,COND!$A$2:$E$7,4,FALSE)+$J$3*VLOOKUP(J222,COND!$A$2:$E$7,2,FALSE)+$K$3*VLOOKUP(K222,COND!$A$2:$E$7,3,FALSE)+IF(BB222="SP",$BB$3,0)+IF($AW222&lt;3,-5,0)+IF(AND($B$2&gt;0,$E222&lt;20),$B$2*25,0)</f>
        <v>30.154463136217526</v>
      </c>
      <c r="BA222" s="49">
        <f>STANDARDIZE(AZ222,AVERAGE($AZ$5:$AZ$570),STDEVP($AZ$5:$AZ$570))</f>
        <v>-0.23547710868164168</v>
      </c>
      <c r="BB222" s="47" t="str">
        <f>IF(OR(AND(AQ222&gt;7,AX222&gt;1),AND(AQ222&gt;4,AW222&gt;2)),"SP","RP")</f>
        <v>SP</v>
      </c>
      <c r="BC222" s="47"/>
      <c r="BD222" s="47"/>
      <c r="BE222" s="47"/>
      <c r="BF222" s="47" t="str">
        <f>IF(AVERAGE($O222:$Q222)&gt;=6,"Likely",IF(AVERAGE($O222:$Q222)&gt;=4,"Possible","Unlikely"))</f>
        <v>Unlikely</v>
      </c>
      <c r="BG222" s="47"/>
      <c r="BH222" s="47" t="str">
        <f>INDEX(Table5[[#All],[Ovr]],MATCH(Table3[[#This Row],[PID]],Table5[[#All],[PID]],0))</f>
        <v/>
      </c>
      <c r="BI222" s="47" t="str">
        <f>INDEX(Table5[[#All],[Rnd]],MATCH(Table3[[#This Row],[PID]],Table5[[#All],[PID]],0))</f>
        <v/>
      </c>
      <c r="BJ222" s="47" t="str">
        <f>INDEX(Table5[[#All],[Pick]],MATCH(Table3[[#This Row],[PID]],Table5[[#All],[PID]],0))</f>
        <v/>
      </c>
      <c r="BK222" s="47" t="str">
        <f>INDEX(Table5[[#All],[Team]],MATCH(Table3[[#This Row],[PID]],Table5[[#All],[PID]],0))</f>
        <v/>
      </c>
      <c r="BL2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3" spans="1:64" ht="15" customHeight="1" x14ac:dyDescent="0.25">
      <c r="A223" s="42">
        <v>5204</v>
      </c>
      <c r="B223" s="42" t="s">
        <v>430</v>
      </c>
      <c r="C223" s="42" t="s">
        <v>209</v>
      </c>
      <c r="D223" s="42" t="s">
        <v>1584</v>
      </c>
      <c r="E223" s="42">
        <v>18</v>
      </c>
      <c r="F223" s="42" t="s">
        <v>42</v>
      </c>
      <c r="G223" s="42" t="s">
        <v>53</v>
      </c>
      <c r="H223" s="43" t="s">
        <v>721</v>
      </c>
      <c r="I223" s="44" t="s">
        <v>43</v>
      </c>
      <c r="J223" s="42" t="s">
        <v>47</v>
      </c>
      <c r="K223" s="43" t="s">
        <v>47</v>
      </c>
      <c r="L223" s="42">
        <v>1</v>
      </c>
      <c r="M223" s="42">
        <v>1</v>
      </c>
      <c r="N223" s="43">
        <v>1</v>
      </c>
      <c r="O223" s="42">
        <v>4</v>
      </c>
      <c r="P223" s="42">
        <v>1</v>
      </c>
      <c r="Q223" s="43">
        <v>2</v>
      </c>
      <c r="R223" s="42">
        <v>2</v>
      </c>
      <c r="S223" s="42">
        <v>4</v>
      </c>
      <c r="T223" s="42">
        <v>1</v>
      </c>
      <c r="U223" s="42">
        <v>3</v>
      </c>
      <c r="V223" s="42" t="s">
        <v>45</v>
      </c>
      <c r="W223" s="42" t="s">
        <v>45</v>
      </c>
      <c r="X223" s="42">
        <v>2</v>
      </c>
      <c r="Y223" s="42">
        <v>7</v>
      </c>
      <c r="Z223" s="42" t="s">
        <v>45</v>
      </c>
      <c r="AA223" s="42" t="s">
        <v>45</v>
      </c>
      <c r="AB223" s="42" t="s">
        <v>45</v>
      </c>
      <c r="AC223" s="42" t="s">
        <v>45</v>
      </c>
      <c r="AD223" s="42" t="s">
        <v>45</v>
      </c>
      <c r="AE223" s="42" t="s">
        <v>45</v>
      </c>
      <c r="AF223" s="42" t="s">
        <v>45</v>
      </c>
      <c r="AG223" s="42" t="s">
        <v>45</v>
      </c>
      <c r="AH223" s="42" t="s">
        <v>45</v>
      </c>
      <c r="AI223" s="42" t="s">
        <v>45</v>
      </c>
      <c r="AJ223" s="42" t="s">
        <v>45</v>
      </c>
      <c r="AK223" s="42" t="s">
        <v>45</v>
      </c>
      <c r="AL223" s="42" t="s">
        <v>45</v>
      </c>
      <c r="AM223" s="42" t="s">
        <v>45</v>
      </c>
      <c r="AN223" s="42" t="s">
        <v>45</v>
      </c>
      <c r="AO223" s="43" t="s">
        <v>45</v>
      </c>
      <c r="AP223" s="42" t="s">
        <v>67</v>
      </c>
      <c r="AQ223" s="42">
        <v>6</v>
      </c>
      <c r="AR223" s="50" t="s">
        <v>14</v>
      </c>
      <c r="AS223" s="45" t="s">
        <v>730</v>
      </c>
      <c r="AT223" s="45" t="s">
        <v>705</v>
      </c>
      <c r="AU223" s="46">
        <f>($O$3*(L223-$O$1)/$O$2+$P$3*(M223-$P$1)/$P$2+$Q$3*(N223-$P$1)/$Q$2)/SUM($O$3:$Q$3)</f>
        <v>-2.7014842379675978</v>
      </c>
      <c r="AV223" s="46">
        <f>($O$3*(O223-$O$1)/$O$2+$P$3*(P223-$P$1)/$P$2+$Q$3*(Q223-$Q$1)/$Q$2)/SUM($O$3:$Q$3)</f>
        <v>-1.4295949476488956</v>
      </c>
      <c r="AW223" s="47">
        <f>COUNT(R223:AO223)/2</f>
        <v>3</v>
      </c>
      <c r="AX223" s="47">
        <f>IF(AND(S223&lt;&gt;"-",S223&gt;5),1,0)+IF(AND(U223&lt;&gt;"-",U223&gt;5),1,0)+IF(AND(W223&lt;&gt;"-",W223&gt;5),1,0)+IF(AND(Y223&lt;&gt;"-",Y223&gt;5),1,0)+IF(AND(AA223&lt;&gt;"-",AA223&gt;5),1,0)+IF(AND(AC223&lt;&gt;"-",AC223&gt;5),1,0)+IF(AND(AE223&lt;&gt;"-",AE223&gt;5),1,0)+IF(AND(AG223&lt;&gt;"-",AG223&gt;5),1,0)+IF(AND(AI223&lt;&gt;"-",AI223&gt;5),1,0)+IF(AND(AK223&lt;&gt;"-",AK223&gt;5),1,0)+IF(AND(AM223&lt;&gt;"-",AM223&gt;5),1,0)+IF(AND(AO223&lt;&gt;"-",AO223&gt;5),1,0)</f>
        <v>1</v>
      </c>
      <c r="AY223" s="48">
        <f>VLOOKUP(AP223,COND!$A$10:$B$32,2,FALSE)</f>
        <v>0.9</v>
      </c>
      <c r="AZ223" s="46">
        <f>($AU$3*AU223+$AV$3*AV223+$AW$3*AW223+$AX$3*AX223)*AY223*IF(AQ223&lt;5,0.95,IF(AQ223&lt;7,0.975,1))+$I$3*VLOOKUP(I223,COND!$A$2:$E$7,4,FALSE)+$J$3*VLOOKUP(J223,COND!$A$2:$E$7,2,FALSE)+$K$3*VLOOKUP(K223,COND!$A$2:$E$7,3,FALSE)+IF(BB223="SP",$BB$3,0)+IF($AW223&lt;3,-5,0)+IF(AND($B$2&gt;0,$E223&lt;20),$B$2*25,0)</f>
        <v>29.449623184998568</v>
      </c>
      <c r="BA223" s="49">
        <f>STANDARDIZE(AZ223,AVERAGE($AZ$5:$AZ$570),STDEVP($AZ$5:$AZ$570))</f>
        <v>-0.3001139447576866</v>
      </c>
      <c r="BB223" s="47" t="str">
        <f>IF(OR(AND(AQ223&gt;7,AX223&gt;1),AND(AQ223&gt;4,AW223&gt;2)),"SP","RP")</f>
        <v>SP</v>
      </c>
      <c r="BC223" s="47"/>
      <c r="BD223" s="47"/>
      <c r="BE223" s="47"/>
      <c r="BF223" s="47" t="str">
        <f>IF(AVERAGE($O223:$Q223)&gt;=6,"Likely",IF(AVERAGE($O223:$Q223)&gt;=4,"Possible","Unlikely"))</f>
        <v>Unlikely</v>
      </c>
      <c r="BG223" s="47"/>
      <c r="BH223" s="47" t="str">
        <f>INDEX(Table5[[#All],[Ovr]],MATCH(Table3[[#This Row],[PID]],Table5[[#All],[PID]],0))</f>
        <v/>
      </c>
      <c r="BI223" s="47" t="str">
        <f>INDEX(Table5[[#All],[Rnd]],MATCH(Table3[[#This Row],[PID]],Table5[[#All],[PID]],0))</f>
        <v/>
      </c>
      <c r="BJ223" s="47" t="str">
        <f>INDEX(Table5[[#All],[Pick]],MATCH(Table3[[#This Row],[PID]],Table5[[#All],[PID]],0))</f>
        <v/>
      </c>
      <c r="BK223" s="47" t="str">
        <f>INDEX(Table5[[#All],[Team]],MATCH(Table3[[#This Row],[PID]],Table5[[#All],[PID]],0))</f>
        <v/>
      </c>
      <c r="BL2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4" spans="1:64" ht="15" customHeight="1" x14ac:dyDescent="0.25">
      <c r="A224" s="42">
        <v>7254</v>
      </c>
      <c r="B224" s="42" t="s">
        <v>24</v>
      </c>
      <c r="C224" s="42" t="s">
        <v>1667</v>
      </c>
      <c r="D224" s="42" t="s">
        <v>1668</v>
      </c>
      <c r="E224" s="42">
        <v>21</v>
      </c>
      <c r="F224" s="42" t="s">
        <v>62</v>
      </c>
      <c r="G224" s="42" t="s">
        <v>42</v>
      </c>
      <c r="H224" s="43" t="s">
        <v>721</v>
      </c>
      <c r="I224" s="44" t="s">
        <v>44</v>
      </c>
      <c r="J224" s="42" t="s">
        <v>43</v>
      </c>
      <c r="K224" s="43" t="s">
        <v>43</v>
      </c>
      <c r="L224" s="42">
        <v>3</v>
      </c>
      <c r="M224" s="42">
        <v>1</v>
      </c>
      <c r="N224" s="43">
        <v>3</v>
      </c>
      <c r="O224" s="42">
        <v>4</v>
      </c>
      <c r="P224" s="42">
        <v>1</v>
      </c>
      <c r="Q224" s="43">
        <v>4</v>
      </c>
      <c r="R224" s="42">
        <v>5</v>
      </c>
      <c r="S224" s="42">
        <v>6</v>
      </c>
      <c r="T224" s="42">
        <v>3</v>
      </c>
      <c r="U224" s="42">
        <v>5</v>
      </c>
      <c r="V224" s="42" t="s">
        <v>45</v>
      </c>
      <c r="W224" s="42" t="s">
        <v>45</v>
      </c>
      <c r="X224" s="42">
        <v>4</v>
      </c>
      <c r="Y224" s="42">
        <v>5</v>
      </c>
      <c r="Z224" s="42" t="s">
        <v>45</v>
      </c>
      <c r="AA224" s="42" t="s">
        <v>45</v>
      </c>
      <c r="AB224" s="42" t="s">
        <v>45</v>
      </c>
      <c r="AC224" s="42" t="s">
        <v>45</v>
      </c>
      <c r="AD224" s="42" t="s">
        <v>45</v>
      </c>
      <c r="AE224" s="42" t="s">
        <v>45</v>
      </c>
      <c r="AF224" s="42">
        <v>4</v>
      </c>
      <c r="AG224" s="42">
        <v>4</v>
      </c>
      <c r="AH224" s="42" t="s">
        <v>45</v>
      </c>
      <c r="AI224" s="42" t="s">
        <v>45</v>
      </c>
      <c r="AJ224" s="42" t="s">
        <v>45</v>
      </c>
      <c r="AK224" s="42" t="s">
        <v>45</v>
      </c>
      <c r="AL224" s="42" t="s">
        <v>45</v>
      </c>
      <c r="AM224" s="42" t="s">
        <v>45</v>
      </c>
      <c r="AN224" s="42" t="s">
        <v>45</v>
      </c>
      <c r="AO224" s="43" t="s">
        <v>45</v>
      </c>
      <c r="AP224" s="42" t="s">
        <v>56</v>
      </c>
      <c r="AQ224" s="42">
        <v>8</v>
      </c>
      <c r="AR224" s="50" t="s">
        <v>357</v>
      </c>
      <c r="AS224" s="45" t="s">
        <v>45</v>
      </c>
      <c r="AT224" s="45" t="s">
        <v>47</v>
      </c>
      <c r="AU224" s="46">
        <f>($O$3*(L224-$O$1)/$O$2+$P$3*(M224-$P$1)/$P$2+$Q$3*(N224-$P$1)/$Q$2)/SUM($O$3:$Q$3)</f>
        <v>-1.8274604568410304</v>
      </c>
      <c r="AV224" s="46">
        <f>($O$3*(O224-$O$1)/$O$2+$P$3*(P224-$P$1)/$P$2+$Q$3*(Q224-$Q$1)/$Q$2)/SUM($O$3:$Q$3)</f>
        <v>-0.94495381554067481</v>
      </c>
      <c r="AW224" s="47">
        <f>COUNT(R224:AO224)/2</f>
        <v>4</v>
      </c>
      <c r="AX224" s="47">
        <f>IF(AND(S224&lt;&gt;"-",S224&gt;5),1,0)+IF(AND(U224&lt;&gt;"-",U224&gt;5),1,0)+IF(AND(W224&lt;&gt;"-",W224&gt;5),1,0)+IF(AND(Y224&lt;&gt;"-",Y224&gt;5),1,0)+IF(AND(AA224&lt;&gt;"-",AA224&gt;5),1,0)+IF(AND(AC224&lt;&gt;"-",AC224&gt;5),1,0)+IF(AND(AE224&lt;&gt;"-",AE224&gt;5),1,0)+IF(AND(AG224&lt;&gt;"-",AG224&gt;5),1,0)+IF(AND(AI224&lt;&gt;"-",AI224&gt;5),1,0)+IF(AND(AK224&lt;&gt;"-",AK224&gt;5),1,0)+IF(AND(AM224&lt;&gt;"-",AM224&gt;5),1,0)+IF(AND(AO224&lt;&gt;"-",AO224&gt;5),1,0)</f>
        <v>1</v>
      </c>
      <c r="AY224" s="48">
        <f>VLOOKUP(AP224,COND!$A$10:$B$32,2,FALSE)</f>
        <v>1</v>
      </c>
      <c r="AZ224" s="46">
        <f>($AU$3*AU224+$AV$3*AV224+$AW$3*AW224+$AX$3*AX224)*AY224*IF(AQ224&lt;5,0.95,IF(AQ224&lt;7,0.975,1))+$I$3*VLOOKUP(I224,COND!$A$2:$E$7,4,FALSE)+$J$3*VLOOKUP(J224,COND!$A$2:$E$7,2,FALSE)+$K$3*VLOOKUP(K224,COND!$A$2:$E$7,3,FALSE)+IF(BB224="SP",$BB$3,0)+IF($AW224&lt;3,-5,0)+IF(AND($B$2&gt;0,$E224&lt;20),$B$2*25,0)</f>
        <v>30.8354315978183</v>
      </c>
      <c r="BA224" s="49">
        <f>STANDARDIZE(AZ224,AVERAGE($AZ$5:$AZ$570),STDEVP($AZ$5:$AZ$570))</f>
        <v>-0.17302939023247524</v>
      </c>
      <c r="BB224" s="47" t="str">
        <f>IF(OR(AND(AQ224&gt;7,AX224&gt;1),AND(AQ224&gt;4,AW224&gt;2)),"SP","RP")</f>
        <v>SP</v>
      </c>
      <c r="BC224" s="47"/>
      <c r="BD224" s="47"/>
      <c r="BE224" s="47"/>
      <c r="BF224" s="47" t="str">
        <f>IF(AVERAGE($O224:$Q224)&gt;=6,"Likely",IF(AVERAGE($O224:$Q224)&gt;=4,"Possible","Unlikely"))</f>
        <v>Unlikely</v>
      </c>
      <c r="BG224" s="47"/>
      <c r="BH224" s="47" t="str">
        <f>INDEX(Table5[[#All],[Ovr]],MATCH(Table3[[#This Row],[PID]],Table5[[#All],[PID]],0))</f>
        <v/>
      </c>
      <c r="BI224" s="47" t="str">
        <f>INDEX(Table5[[#All],[Rnd]],MATCH(Table3[[#This Row],[PID]],Table5[[#All],[PID]],0))</f>
        <v/>
      </c>
      <c r="BJ224" s="47" t="str">
        <f>INDEX(Table5[[#All],[Pick]],MATCH(Table3[[#This Row],[PID]],Table5[[#All],[PID]],0))</f>
        <v/>
      </c>
      <c r="BK224" s="47" t="str">
        <f>INDEX(Table5[[#All],[Team]],MATCH(Table3[[#This Row],[PID]],Table5[[#All],[PID]],0))</f>
        <v/>
      </c>
      <c r="BL2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5" spans="1:64" ht="15" customHeight="1" x14ac:dyDescent="0.25">
      <c r="A225" s="42">
        <v>13845</v>
      </c>
      <c r="B225" s="42" t="s">
        <v>24</v>
      </c>
      <c r="C225" s="42" t="s">
        <v>1706</v>
      </c>
      <c r="D225" s="42" t="s">
        <v>1707</v>
      </c>
      <c r="E225" s="42">
        <v>18</v>
      </c>
      <c r="F225" s="42" t="s">
        <v>53</v>
      </c>
      <c r="G225" s="42" t="s">
        <v>53</v>
      </c>
      <c r="H225" s="43" t="s">
        <v>721</v>
      </c>
      <c r="I225" s="44" t="s">
        <v>44</v>
      </c>
      <c r="J225" s="42" t="s">
        <v>47</v>
      </c>
      <c r="K225" s="43" t="s">
        <v>47</v>
      </c>
      <c r="L225" s="42">
        <v>1</v>
      </c>
      <c r="M225" s="42">
        <v>2</v>
      </c>
      <c r="N225" s="43">
        <v>1</v>
      </c>
      <c r="O225" s="42">
        <v>4</v>
      </c>
      <c r="P225" s="42">
        <v>2</v>
      </c>
      <c r="Q225" s="43">
        <v>2</v>
      </c>
      <c r="R225" s="42">
        <v>3</v>
      </c>
      <c r="S225" s="42">
        <v>5</v>
      </c>
      <c r="T225" s="42" t="s">
        <v>45</v>
      </c>
      <c r="U225" s="42" t="s">
        <v>45</v>
      </c>
      <c r="V225" s="42">
        <v>1</v>
      </c>
      <c r="W225" s="42">
        <v>5</v>
      </c>
      <c r="X225" s="42">
        <v>2</v>
      </c>
      <c r="Y225" s="42">
        <v>5</v>
      </c>
      <c r="Z225" s="42" t="s">
        <v>45</v>
      </c>
      <c r="AA225" s="42" t="s">
        <v>45</v>
      </c>
      <c r="AB225" s="42" t="s">
        <v>45</v>
      </c>
      <c r="AC225" s="42" t="s">
        <v>45</v>
      </c>
      <c r="AD225" s="42" t="s">
        <v>45</v>
      </c>
      <c r="AE225" s="42" t="s">
        <v>45</v>
      </c>
      <c r="AF225" s="42" t="s">
        <v>45</v>
      </c>
      <c r="AG225" s="42" t="s">
        <v>45</v>
      </c>
      <c r="AH225" s="42" t="s">
        <v>45</v>
      </c>
      <c r="AI225" s="42" t="s">
        <v>45</v>
      </c>
      <c r="AJ225" s="42" t="s">
        <v>45</v>
      </c>
      <c r="AK225" s="42" t="s">
        <v>45</v>
      </c>
      <c r="AL225" s="42" t="s">
        <v>45</v>
      </c>
      <c r="AM225" s="42" t="s">
        <v>45</v>
      </c>
      <c r="AN225" s="42" t="s">
        <v>45</v>
      </c>
      <c r="AO225" s="43" t="s">
        <v>45</v>
      </c>
      <c r="AP225" s="42" t="s">
        <v>355</v>
      </c>
      <c r="AQ225" s="42">
        <v>6</v>
      </c>
      <c r="AR225" s="50" t="s">
        <v>353</v>
      </c>
      <c r="AS225" s="45" t="s">
        <v>718</v>
      </c>
      <c r="AT225" s="45" t="s">
        <v>47</v>
      </c>
      <c r="AU225" s="46">
        <f>($O$3*(L225-$O$1)/$O$2+$P$3*(M225-$P$1)/$P$2+$Q$3*(N225-$P$1)/$Q$2)/SUM($O$3:$Q$3)</f>
        <v>-2.5060525215375429</v>
      </c>
      <c r="AV225" s="46">
        <f>($O$3*(O225-$O$1)/$O$2+$P$3*(P225-$P$1)/$P$2+$Q$3*(Q225-$Q$1)/$Q$2)/SUM($O$3:$Q$3)</f>
        <v>-1.23416323121884</v>
      </c>
      <c r="AW225" s="47">
        <f>COUNT(R225:AO225)/2</f>
        <v>3</v>
      </c>
      <c r="AX225" s="47">
        <f>IF(AND(S225&lt;&gt;"-",S225&gt;5),1,0)+IF(AND(U225&lt;&gt;"-",U225&gt;5),1,0)+IF(AND(W225&lt;&gt;"-",W225&gt;5),1,0)+IF(AND(Y225&lt;&gt;"-",Y225&gt;5),1,0)+IF(AND(AA225&lt;&gt;"-",AA225&gt;5),1,0)+IF(AND(AC225&lt;&gt;"-",AC225&gt;5),1,0)+IF(AND(AE225&lt;&gt;"-",AE225&gt;5),1,0)+IF(AND(AG225&lt;&gt;"-",AG225&gt;5),1,0)+IF(AND(AI225&lt;&gt;"-",AI225&gt;5),1,0)+IF(AND(AK225&lt;&gt;"-",AK225&gt;5),1,0)+IF(AND(AM225&lt;&gt;"-",AM225&gt;5),1,0)+IF(AND(AO225&lt;&gt;"-",AO225&gt;5),1,0)</f>
        <v>0</v>
      </c>
      <c r="AY225" s="48">
        <f>VLOOKUP(AP225,COND!$A$10:$B$32,2,FALSE)</f>
        <v>1</v>
      </c>
      <c r="AZ225" s="46">
        <f>($AU$3*AU225+$AV$3*AV225+$AW$3*AW225+$AX$3*AX225)*AY225*IF(AQ225&lt;5,0.95,IF(AQ225&lt;7,0.975,1))+$I$3*VLOOKUP(I225,COND!$A$2:$E$7,4,FALSE)+$J$3*VLOOKUP(J225,COND!$A$2:$E$7,2,FALSE)+$K$3*VLOOKUP(K225,COND!$A$2:$E$7,3,FALSE)+IF(BB225="SP",$BB$3,0)+IF($AW225&lt;3,-5,0)+IF(AND($B$2&gt;0,$E225&lt;20),$B$2*25,0)</f>
        <v>29.357636749532801</v>
      </c>
      <c r="BA225" s="49">
        <f>STANDARDIZE(AZ225,AVERAGE($AZ$5:$AZ$570),STDEVP($AZ$5:$AZ$570))</f>
        <v>-0.30854949404818566</v>
      </c>
      <c r="BB225" s="47" t="str">
        <f>IF(OR(AND(AQ225&gt;7,AX225&gt;1),AND(AQ225&gt;4,AW225&gt;2)),"SP","RP")</f>
        <v>SP</v>
      </c>
      <c r="BC225" s="47"/>
      <c r="BD225" s="47"/>
      <c r="BE225" s="47"/>
      <c r="BF225" s="47" t="str">
        <f>IF(AVERAGE($O225:$Q225)&gt;=6,"Likely",IF(AVERAGE($O225:$Q225)&gt;=4,"Possible","Unlikely"))</f>
        <v>Unlikely</v>
      </c>
      <c r="BG225" s="47"/>
      <c r="BH225" s="47" t="str">
        <f>INDEX(Table5[[#All],[Ovr]],MATCH(Table3[[#This Row],[PID]],Table5[[#All],[PID]],0))</f>
        <v/>
      </c>
      <c r="BI225" s="47" t="str">
        <f>INDEX(Table5[[#All],[Rnd]],MATCH(Table3[[#This Row],[PID]],Table5[[#All],[PID]],0))</f>
        <v/>
      </c>
      <c r="BJ225" s="47" t="str">
        <f>INDEX(Table5[[#All],[Pick]],MATCH(Table3[[#This Row],[PID]],Table5[[#All],[PID]],0))</f>
        <v/>
      </c>
      <c r="BK225" s="47" t="str">
        <f>INDEX(Table5[[#All],[Team]],MATCH(Table3[[#This Row],[PID]],Table5[[#All],[PID]],0))</f>
        <v/>
      </c>
      <c r="BL2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6" spans="1:64" ht="15" customHeight="1" x14ac:dyDescent="0.25">
      <c r="A226" s="42">
        <v>6096</v>
      </c>
      <c r="B226" s="42" t="s">
        <v>430</v>
      </c>
      <c r="C226" s="42" t="s">
        <v>128</v>
      </c>
      <c r="D226" s="42" t="s">
        <v>1599</v>
      </c>
      <c r="E226" s="42">
        <v>18</v>
      </c>
      <c r="F226" s="42" t="s">
        <v>42</v>
      </c>
      <c r="G226" s="42" t="s">
        <v>42</v>
      </c>
      <c r="H226" s="43" t="s">
        <v>721</v>
      </c>
      <c r="I226" s="44" t="s">
        <v>43</v>
      </c>
      <c r="J226" s="42" t="s">
        <v>44</v>
      </c>
      <c r="K226" s="43" t="s">
        <v>47</v>
      </c>
      <c r="L226" s="42">
        <v>1</v>
      </c>
      <c r="M226" s="42">
        <v>2</v>
      </c>
      <c r="N226" s="43">
        <v>1</v>
      </c>
      <c r="O226" s="42">
        <v>4</v>
      </c>
      <c r="P226" s="42">
        <v>2</v>
      </c>
      <c r="Q226" s="43">
        <v>2</v>
      </c>
      <c r="R226" s="42">
        <v>2</v>
      </c>
      <c r="S226" s="42">
        <v>4</v>
      </c>
      <c r="T226" s="42">
        <v>1</v>
      </c>
      <c r="U226" s="42">
        <v>1</v>
      </c>
      <c r="V226" s="42">
        <v>1</v>
      </c>
      <c r="W226" s="42">
        <v>6</v>
      </c>
      <c r="X226" s="42" t="s">
        <v>45</v>
      </c>
      <c r="Y226" s="42" t="s">
        <v>45</v>
      </c>
      <c r="Z226" s="42" t="s">
        <v>45</v>
      </c>
      <c r="AA226" s="42" t="s">
        <v>45</v>
      </c>
      <c r="AB226" s="42" t="s">
        <v>45</v>
      </c>
      <c r="AC226" s="42" t="s">
        <v>45</v>
      </c>
      <c r="AD226" s="42" t="s">
        <v>45</v>
      </c>
      <c r="AE226" s="42" t="s">
        <v>45</v>
      </c>
      <c r="AF226" s="42" t="s">
        <v>45</v>
      </c>
      <c r="AG226" s="42" t="s">
        <v>45</v>
      </c>
      <c r="AH226" s="42" t="s">
        <v>45</v>
      </c>
      <c r="AI226" s="42" t="s">
        <v>45</v>
      </c>
      <c r="AJ226" s="42" t="s">
        <v>45</v>
      </c>
      <c r="AK226" s="42" t="s">
        <v>45</v>
      </c>
      <c r="AL226" s="42" t="s">
        <v>45</v>
      </c>
      <c r="AM226" s="42" t="s">
        <v>45</v>
      </c>
      <c r="AN226" s="42" t="s">
        <v>45</v>
      </c>
      <c r="AO226" s="43" t="s">
        <v>45</v>
      </c>
      <c r="AP226" s="42" t="s">
        <v>65</v>
      </c>
      <c r="AQ226" s="42">
        <v>7</v>
      </c>
      <c r="AR226" s="50" t="s">
        <v>353</v>
      </c>
      <c r="AS226" s="45" t="s">
        <v>739</v>
      </c>
      <c r="AT226" s="45" t="s">
        <v>47</v>
      </c>
      <c r="AU226" s="46">
        <f>($O$3*(L226-$O$1)/$O$2+$P$3*(M226-$P$1)/$P$2+$Q$3*(N226-$P$1)/$Q$2)/SUM($O$3:$Q$3)</f>
        <v>-2.5060525215375429</v>
      </c>
      <c r="AV226" s="46">
        <f>($O$3*(O226-$O$1)/$O$2+$P$3*(P226-$P$1)/$P$2+$Q$3*(Q226-$Q$1)/$Q$2)/SUM($O$3:$Q$3)</f>
        <v>-1.23416323121884</v>
      </c>
      <c r="AW226" s="47">
        <f>COUNT(R226:AO226)/2</f>
        <v>3</v>
      </c>
      <c r="AX226" s="47">
        <f>IF(AND(S226&lt;&gt;"-",S226&gt;5),1,0)+IF(AND(U226&lt;&gt;"-",U226&gt;5),1,0)+IF(AND(W226&lt;&gt;"-",W226&gt;5),1,0)+IF(AND(Y226&lt;&gt;"-",Y226&gt;5),1,0)+IF(AND(AA226&lt;&gt;"-",AA226&gt;5),1,0)+IF(AND(AC226&lt;&gt;"-",AC226&gt;5),1,0)+IF(AND(AE226&lt;&gt;"-",AE226&gt;5),1,0)+IF(AND(AG226&lt;&gt;"-",AG226&gt;5),1,0)+IF(AND(AI226&lt;&gt;"-",AI226&gt;5),1,0)+IF(AND(AK226&lt;&gt;"-",AK226&gt;5),1,0)+IF(AND(AM226&lt;&gt;"-",AM226&gt;5),1,0)+IF(AND(AO226&lt;&gt;"-",AO226&gt;5),1,0)</f>
        <v>1</v>
      </c>
      <c r="AY226" s="48">
        <f>VLOOKUP(AP226,COND!$A$10:$B$32,2,FALSE)</f>
        <v>0.95</v>
      </c>
      <c r="AZ226" s="46">
        <f>($AU$3*AU226+$AV$3*AV226+$AW$3*AW226+$AX$3*AX226)*AY226*IF(AQ226&lt;5,0.95,IF(AQ226&lt;7,0.975,1))+$I$3*VLOOKUP(I226,COND!$A$2:$E$7,4,FALSE)+$J$3*VLOOKUP(J226,COND!$A$2:$E$7,2,FALSE)+$K$3*VLOOKUP(K226,COND!$A$2:$E$7,3,FALSE)+IF(BB226="SP",$BB$3,0)+IF($AW226&lt;3,-5,0)+IF(AND($B$2&gt;0,$E226&lt;20),$B$2*25,0)</f>
        <v>30.687248627749909</v>
      </c>
      <c r="BA226" s="49">
        <f>STANDARDIZE(AZ226,AVERAGE($AZ$5:$AZ$570),STDEVP($AZ$5:$AZ$570))</f>
        <v>-0.18661840193507181</v>
      </c>
      <c r="BB226" s="47" t="str">
        <f>IF(OR(AND(AQ226&gt;7,AX226&gt;1),AND(AQ226&gt;4,AW226&gt;2)),"SP","RP")</f>
        <v>SP</v>
      </c>
      <c r="BC226" s="47"/>
      <c r="BD226" s="47"/>
      <c r="BE226" s="47"/>
      <c r="BF226" s="47" t="str">
        <f>IF(AVERAGE($O226:$Q226)&gt;=6,"Likely",IF(AVERAGE($O226:$Q226)&gt;=4,"Possible","Unlikely"))</f>
        <v>Unlikely</v>
      </c>
      <c r="BG226" s="47"/>
      <c r="BH226" s="47" t="str">
        <f>INDEX(Table5[[#All],[Ovr]],MATCH(Table3[[#This Row],[PID]],Table5[[#All],[PID]],0))</f>
        <v/>
      </c>
      <c r="BI226" s="47" t="str">
        <f>INDEX(Table5[[#All],[Rnd]],MATCH(Table3[[#This Row],[PID]],Table5[[#All],[PID]],0))</f>
        <v/>
      </c>
      <c r="BJ226" s="47" t="str">
        <f>INDEX(Table5[[#All],[Pick]],MATCH(Table3[[#This Row],[PID]],Table5[[#All],[PID]],0))</f>
        <v/>
      </c>
      <c r="BK226" s="47" t="str">
        <f>INDEX(Table5[[#All],[Team]],MATCH(Table3[[#This Row],[PID]],Table5[[#All],[PID]],0))</f>
        <v/>
      </c>
      <c r="BL2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7" spans="1:64" ht="15" customHeight="1" x14ac:dyDescent="0.25">
      <c r="A227" s="42">
        <v>12418</v>
      </c>
      <c r="B227" s="42" t="s">
        <v>24</v>
      </c>
      <c r="C227" s="42" t="s">
        <v>636</v>
      </c>
      <c r="D227" s="42" t="s">
        <v>945</v>
      </c>
      <c r="E227" s="42">
        <v>22</v>
      </c>
      <c r="F227" s="42" t="s">
        <v>42</v>
      </c>
      <c r="G227" s="42" t="s">
        <v>42</v>
      </c>
      <c r="H227" s="43" t="s">
        <v>721</v>
      </c>
      <c r="I227" s="44" t="s">
        <v>44</v>
      </c>
      <c r="J227" s="42" t="s">
        <v>44</v>
      </c>
      <c r="K227" s="43" t="s">
        <v>43</v>
      </c>
      <c r="L227" s="42">
        <v>3</v>
      </c>
      <c r="M227" s="42">
        <v>1</v>
      </c>
      <c r="N227" s="43">
        <v>4</v>
      </c>
      <c r="O227" s="42">
        <v>4</v>
      </c>
      <c r="P227" s="42">
        <v>1</v>
      </c>
      <c r="Q227" s="43">
        <v>4</v>
      </c>
      <c r="R227" s="42">
        <v>5</v>
      </c>
      <c r="S227" s="42">
        <v>6</v>
      </c>
      <c r="T227" s="42" t="s">
        <v>45</v>
      </c>
      <c r="U227" s="42" t="s">
        <v>45</v>
      </c>
      <c r="V227" s="42" t="s">
        <v>45</v>
      </c>
      <c r="W227" s="42" t="s">
        <v>45</v>
      </c>
      <c r="X227" s="42" t="s">
        <v>45</v>
      </c>
      <c r="Y227" s="42" t="s">
        <v>45</v>
      </c>
      <c r="Z227" s="42" t="s">
        <v>45</v>
      </c>
      <c r="AA227" s="42" t="s">
        <v>45</v>
      </c>
      <c r="AB227" s="42">
        <v>4</v>
      </c>
      <c r="AC227" s="42">
        <v>5</v>
      </c>
      <c r="AD227" s="42" t="s">
        <v>45</v>
      </c>
      <c r="AE227" s="42" t="s">
        <v>45</v>
      </c>
      <c r="AF227" s="42" t="s">
        <v>45</v>
      </c>
      <c r="AG227" s="42" t="s">
        <v>45</v>
      </c>
      <c r="AH227" s="42" t="s">
        <v>45</v>
      </c>
      <c r="AI227" s="42" t="s">
        <v>45</v>
      </c>
      <c r="AJ227" s="42" t="s">
        <v>45</v>
      </c>
      <c r="AK227" s="42" t="s">
        <v>45</v>
      </c>
      <c r="AL227" s="42">
        <v>3</v>
      </c>
      <c r="AM227" s="42">
        <v>6</v>
      </c>
      <c r="AN227" s="42" t="s">
        <v>45</v>
      </c>
      <c r="AO227" s="43" t="s">
        <v>45</v>
      </c>
      <c r="AP227" s="42" t="s">
        <v>56</v>
      </c>
      <c r="AQ227" s="42">
        <v>9</v>
      </c>
      <c r="AR227" s="50" t="s">
        <v>14</v>
      </c>
      <c r="AS227" s="45" t="s">
        <v>45</v>
      </c>
      <c r="AT227" s="45" t="s">
        <v>47</v>
      </c>
      <c r="AU227" s="46">
        <f>($O$3*(L227-$O$1)/$O$2+$P$3*(M227-$P$1)/$P$2+$Q$3*(N227-$P$1)/$Q$2)/SUM($O$3:$Q$3)</f>
        <v>-1.5851398907869199</v>
      </c>
      <c r="AV227" s="46">
        <f>($O$3*(O227-$O$1)/$O$2+$P$3*(P227-$P$1)/$P$2+$Q$3*(Q227-$Q$1)/$Q$2)/SUM($O$3:$Q$3)</f>
        <v>-0.94495381554067481</v>
      </c>
      <c r="AW227" s="47">
        <f>COUNT(R227:AO227)/2</f>
        <v>3</v>
      </c>
      <c r="AX227" s="47">
        <f>IF(AND(S227&lt;&gt;"-",S227&gt;5),1,0)+IF(AND(U227&lt;&gt;"-",U227&gt;5),1,0)+IF(AND(W227&lt;&gt;"-",W227&gt;5),1,0)+IF(AND(Y227&lt;&gt;"-",Y227&gt;5),1,0)+IF(AND(AA227&lt;&gt;"-",AA227&gt;5),1,0)+IF(AND(AC227&lt;&gt;"-",AC227&gt;5),1,0)+IF(AND(AE227&lt;&gt;"-",AE227&gt;5),1,0)+IF(AND(AG227&lt;&gt;"-",AG227&gt;5),1,0)+IF(AND(AI227&lt;&gt;"-",AI227&gt;5),1,0)+IF(AND(AK227&lt;&gt;"-",AK227&gt;5),1,0)+IF(AND(AM227&lt;&gt;"-",AM227&gt;5),1,0)+IF(AND(AO227&lt;&gt;"-",AO227&gt;5),1,0)</f>
        <v>2</v>
      </c>
      <c r="AY227" s="48">
        <f>VLOOKUP(AP227,COND!$A$10:$B$32,2,FALSE)</f>
        <v>1</v>
      </c>
      <c r="AZ227" s="46">
        <f>($AU$3*AU227+$AV$3*AV227+$AW$3*AW227+$AX$3*AX227)*AY227*IF(AQ227&lt;5,0.95,IF(AQ227&lt;7,0.975,1))+$I$3*VLOOKUP(I227,COND!$A$2:$E$7,4,FALSE)+$J$3*VLOOKUP(J227,COND!$A$2:$E$7,2,FALSE)+$K$3*VLOOKUP(K227,COND!$A$2:$E$7,3,FALSE)+IF(BB227="SP",$BB$3,0)+IF($AW227&lt;3,-5,0)+IF(AND($B$2&gt;0,$E227&lt;20),$B$2*25,0)</f>
        <v>31.333895711029122</v>
      </c>
      <c r="BA227" s="49">
        <f>STANDARDIZE(AZ227,AVERAGE($AZ$5:$AZ$570),STDEVP($AZ$5:$AZ$570))</f>
        <v>-0.12731810057064649</v>
      </c>
      <c r="BB227" s="47" t="str">
        <f>IF(OR(AND(AQ227&gt;7,AX227&gt;1),AND(AQ227&gt;4,AW227&gt;2)),"SP","RP")</f>
        <v>SP</v>
      </c>
      <c r="BC227" s="47"/>
      <c r="BD227" s="47"/>
      <c r="BE227" s="47"/>
      <c r="BF227" s="47" t="str">
        <f>IF(AVERAGE($O227:$Q227)&gt;=6,"Likely",IF(AVERAGE($O227:$Q227)&gt;=4,"Possible","Unlikely"))</f>
        <v>Unlikely</v>
      </c>
      <c r="BG227" s="47"/>
      <c r="BH227" s="47" t="str">
        <f>INDEX(Table5[[#All],[Ovr]],MATCH(Table3[[#This Row],[PID]],Table5[[#All],[PID]],0))</f>
        <v/>
      </c>
      <c r="BI227" s="47" t="str">
        <f>INDEX(Table5[[#All],[Rnd]],MATCH(Table3[[#This Row],[PID]],Table5[[#All],[PID]],0))</f>
        <v/>
      </c>
      <c r="BJ227" s="47" t="str">
        <f>INDEX(Table5[[#All],[Pick]],MATCH(Table3[[#This Row],[PID]],Table5[[#All],[PID]],0))</f>
        <v/>
      </c>
      <c r="BK227" s="47" t="str">
        <f>INDEX(Table5[[#All],[Team]],MATCH(Table3[[#This Row],[PID]],Table5[[#All],[PID]],0))</f>
        <v/>
      </c>
      <c r="BL2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8" spans="1:64" ht="15" customHeight="1" x14ac:dyDescent="0.25">
      <c r="A228" s="42">
        <v>11970</v>
      </c>
      <c r="B228" s="42" t="s">
        <v>24</v>
      </c>
      <c r="C228" s="42" t="s">
        <v>291</v>
      </c>
      <c r="D228" s="42" t="s">
        <v>744</v>
      </c>
      <c r="E228" s="42">
        <v>21</v>
      </c>
      <c r="F228" s="42" t="s">
        <v>42</v>
      </c>
      <c r="G228" s="42" t="s">
        <v>42</v>
      </c>
      <c r="H228" s="43" t="s">
        <v>721</v>
      </c>
      <c r="I228" s="44" t="s">
        <v>47</v>
      </c>
      <c r="J228" s="42" t="s">
        <v>47</v>
      </c>
      <c r="K228" s="43" t="s">
        <v>43</v>
      </c>
      <c r="L228" s="42">
        <v>3</v>
      </c>
      <c r="M228" s="42">
        <v>2</v>
      </c>
      <c r="N228" s="43">
        <v>2</v>
      </c>
      <c r="O228" s="42">
        <v>5</v>
      </c>
      <c r="P228" s="42">
        <v>2</v>
      </c>
      <c r="Q228" s="43">
        <v>2</v>
      </c>
      <c r="R228" s="42">
        <v>5</v>
      </c>
      <c r="S228" s="42">
        <v>7</v>
      </c>
      <c r="T228" s="42" t="s">
        <v>45</v>
      </c>
      <c r="U228" s="42" t="s">
        <v>45</v>
      </c>
      <c r="V228" s="42">
        <v>3</v>
      </c>
      <c r="W228" s="42">
        <v>8</v>
      </c>
      <c r="X228" s="42" t="s">
        <v>45</v>
      </c>
      <c r="Y228" s="42" t="s">
        <v>45</v>
      </c>
      <c r="Z228" s="42">
        <v>4</v>
      </c>
      <c r="AA228" s="42">
        <v>5</v>
      </c>
      <c r="AB228" s="42" t="s">
        <v>45</v>
      </c>
      <c r="AC228" s="42" t="s">
        <v>45</v>
      </c>
      <c r="AD228" s="42" t="s">
        <v>45</v>
      </c>
      <c r="AE228" s="42" t="s">
        <v>45</v>
      </c>
      <c r="AF228" s="42" t="s">
        <v>45</v>
      </c>
      <c r="AG228" s="42" t="s">
        <v>45</v>
      </c>
      <c r="AH228" s="42" t="s">
        <v>45</v>
      </c>
      <c r="AI228" s="42" t="s">
        <v>45</v>
      </c>
      <c r="AJ228" s="42" t="s">
        <v>45</v>
      </c>
      <c r="AK228" s="42" t="s">
        <v>45</v>
      </c>
      <c r="AL228" s="42" t="s">
        <v>45</v>
      </c>
      <c r="AM228" s="42" t="s">
        <v>45</v>
      </c>
      <c r="AN228" s="42" t="s">
        <v>45</v>
      </c>
      <c r="AO228" s="43" t="s">
        <v>45</v>
      </c>
      <c r="AP228" s="42" t="s">
        <v>60</v>
      </c>
      <c r="AQ228" s="42">
        <v>8</v>
      </c>
      <c r="AR228" s="50" t="s">
        <v>353</v>
      </c>
      <c r="AS228" s="45" t="s">
        <v>717</v>
      </c>
      <c r="AT228" s="45" t="s">
        <v>47</v>
      </c>
      <c r="AU228" s="46">
        <f>($O$3*(L228-$O$1)/$O$2+$P$3*(M228-$P$1)/$P$2+$Q$3*(N228-$P$1)/$Q$2)/SUM($O$3:$Q$3)</f>
        <v>-1.8743493064650851</v>
      </c>
      <c r="AV228" s="46">
        <f>($O$3*(O228-$O$1)/$O$2+$P$3*(P228-$P$1)/$P$2+$Q$3*(Q228-$Q$1)/$Q$2)/SUM($O$3:$Q$3)</f>
        <v>-1.0394719067096667</v>
      </c>
      <c r="AW228" s="47">
        <f>COUNT(R228:AO228)/2</f>
        <v>3</v>
      </c>
      <c r="AX228" s="47">
        <f>IF(AND(S228&lt;&gt;"-",S228&gt;5),1,0)+IF(AND(U228&lt;&gt;"-",U228&gt;5),1,0)+IF(AND(W228&lt;&gt;"-",W228&gt;5),1,0)+IF(AND(Y228&lt;&gt;"-",Y228&gt;5),1,0)+IF(AND(AA228&lt;&gt;"-",AA228&gt;5),1,0)+IF(AND(AC228&lt;&gt;"-",AC228&gt;5),1,0)+IF(AND(AE228&lt;&gt;"-",AE228&gt;5),1,0)+IF(AND(AG228&lt;&gt;"-",AG228&gt;5),1,0)+IF(AND(AI228&lt;&gt;"-",AI228&gt;5),1,0)+IF(AND(AK228&lt;&gt;"-",AK228&gt;5),1,0)+IF(AND(AM228&lt;&gt;"-",AM228&gt;5),1,0)+IF(AND(AO228&lt;&gt;"-",AO228&gt;5),1,0)</f>
        <v>2</v>
      </c>
      <c r="AY228" s="48">
        <f>VLOOKUP(AP228,COND!$A$10:$B$32,2,FALSE)</f>
        <v>1.0249999999999999</v>
      </c>
      <c r="AZ228" s="46">
        <f>($AU$3*AU228+$AV$3*AV228+$AW$3*AW228+$AX$3*AX228)*AY228*IF(AQ228&lt;5,0.95,IF(AQ228&lt;7,0.975,1))+$I$3*VLOOKUP(I228,COND!$A$2:$E$7,4,FALSE)+$J$3*VLOOKUP(J228,COND!$A$2:$E$7,2,FALSE)+$K$3*VLOOKUP(K228,COND!$A$2:$E$7,3,FALSE)+IF(BB228="SP",$BB$3,0)+IF($AW228&lt;3,-5,0)+IF(AND($B$2&gt;0,$E228&lt;20),$B$2*25,0)</f>
        <v>29.93158430462649</v>
      </c>
      <c r="BA228" s="49">
        <f>STANDARDIZE(AZ228,AVERAGE($AZ$5:$AZ$570),STDEVP($AZ$5:$AZ$570))</f>
        <v>-0.25591605014268681</v>
      </c>
      <c r="BB228" s="47" t="str">
        <f>IF(OR(AND(AQ228&gt;7,AX228&gt;1),AND(AQ228&gt;4,AW228&gt;2)),"SP","RP")</f>
        <v>SP</v>
      </c>
      <c r="BC228" s="47"/>
      <c r="BD228" s="47"/>
      <c r="BE228" s="47"/>
      <c r="BF228" s="47" t="str">
        <f>IF(AVERAGE($O228:$Q228)&gt;=6,"Likely",IF(AVERAGE($O228:$Q228)&gt;=4,"Possible","Unlikely"))</f>
        <v>Unlikely</v>
      </c>
      <c r="BG228" s="47"/>
      <c r="BH228" s="47" t="str">
        <f>INDEX(Table5[[#All],[Ovr]],MATCH(Table3[[#This Row],[PID]],Table5[[#All],[PID]],0))</f>
        <v/>
      </c>
      <c r="BI228" s="47" t="str">
        <f>INDEX(Table5[[#All],[Rnd]],MATCH(Table3[[#This Row],[PID]],Table5[[#All],[PID]],0))</f>
        <v/>
      </c>
      <c r="BJ228" s="47" t="str">
        <f>INDEX(Table5[[#All],[Pick]],MATCH(Table3[[#This Row],[PID]],Table5[[#All],[PID]],0))</f>
        <v/>
      </c>
      <c r="BK228" s="47" t="str">
        <f>INDEX(Table5[[#All],[Team]],MATCH(Table3[[#This Row],[PID]],Table5[[#All],[PID]],0))</f>
        <v/>
      </c>
      <c r="BL2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9" spans="1:64" ht="15" customHeight="1" x14ac:dyDescent="0.25">
      <c r="A229" s="42">
        <v>10448</v>
      </c>
      <c r="B229" s="42" t="s">
        <v>24</v>
      </c>
      <c r="C229" s="42" t="s">
        <v>342</v>
      </c>
      <c r="D229" s="42" t="s">
        <v>162</v>
      </c>
      <c r="E229" s="42">
        <v>21</v>
      </c>
      <c r="F229" s="42" t="s">
        <v>42</v>
      </c>
      <c r="G229" s="42" t="s">
        <v>42</v>
      </c>
      <c r="H229" s="43" t="s">
        <v>721</v>
      </c>
      <c r="I229" s="44" t="s">
        <v>43</v>
      </c>
      <c r="J229" s="42" t="s">
        <v>44</v>
      </c>
      <c r="K229" s="43" t="s">
        <v>43</v>
      </c>
      <c r="L229" s="42">
        <v>3</v>
      </c>
      <c r="M229" s="42">
        <v>1</v>
      </c>
      <c r="N229" s="43">
        <v>2</v>
      </c>
      <c r="O229" s="42">
        <v>4</v>
      </c>
      <c r="P229" s="42">
        <v>2</v>
      </c>
      <c r="Q229" s="43">
        <v>3</v>
      </c>
      <c r="R229" s="42">
        <v>5</v>
      </c>
      <c r="S229" s="42">
        <v>7</v>
      </c>
      <c r="T229" s="42" t="s">
        <v>45</v>
      </c>
      <c r="U229" s="42" t="s">
        <v>45</v>
      </c>
      <c r="V229" s="42">
        <v>2</v>
      </c>
      <c r="W229" s="42">
        <v>6</v>
      </c>
      <c r="X229" s="42">
        <v>4</v>
      </c>
      <c r="Y229" s="42">
        <v>6</v>
      </c>
      <c r="Z229" s="42" t="s">
        <v>45</v>
      </c>
      <c r="AA229" s="42" t="s">
        <v>45</v>
      </c>
      <c r="AB229" s="42" t="s">
        <v>45</v>
      </c>
      <c r="AC229" s="42" t="s">
        <v>45</v>
      </c>
      <c r="AD229" s="42" t="s">
        <v>45</v>
      </c>
      <c r="AE229" s="42" t="s">
        <v>45</v>
      </c>
      <c r="AF229" s="42" t="s">
        <v>45</v>
      </c>
      <c r="AG229" s="42" t="s">
        <v>45</v>
      </c>
      <c r="AH229" s="42" t="s">
        <v>45</v>
      </c>
      <c r="AI229" s="42" t="s">
        <v>45</v>
      </c>
      <c r="AJ229" s="42" t="s">
        <v>45</v>
      </c>
      <c r="AK229" s="42" t="s">
        <v>45</v>
      </c>
      <c r="AL229" s="42" t="s">
        <v>45</v>
      </c>
      <c r="AM229" s="42" t="s">
        <v>45</v>
      </c>
      <c r="AN229" s="42" t="s">
        <v>45</v>
      </c>
      <c r="AO229" s="43" t="s">
        <v>45</v>
      </c>
      <c r="AP229" s="42" t="s">
        <v>60</v>
      </c>
      <c r="AQ229" s="42">
        <v>8</v>
      </c>
      <c r="AR229" s="50" t="s">
        <v>14</v>
      </c>
      <c r="AS229" s="45" t="s">
        <v>45</v>
      </c>
      <c r="AT229" s="45" t="s">
        <v>705</v>
      </c>
      <c r="AU229" s="46">
        <f>($O$3*(L229-$O$1)/$O$2+$P$3*(M229-$P$1)/$P$2+$Q$3*(N229-$P$1)/$Q$2)/SUM($O$3:$Q$3)</f>
        <v>-2.0697810228951408</v>
      </c>
      <c r="AV229" s="46">
        <f>($O$3*(O229-$O$1)/$O$2+$P$3*(P229-$P$1)/$P$2+$Q$3*(Q229-$Q$1)/$Q$2)/SUM($O$3:$Q$3)</f>
        <v>-0.99184266516472974</v>
      </c>
      <c r="AW229" s="47">
        <f>COUNT(R229:AO229)/2</f>
        <v>3</v>
      </c>
      <c r="AX229" s="47">
        <f>IF(AND(S229&lt;&gt;"-",S229&gt;5),1,0)+IF(AND(U229&lt;&gt;"-",U229&gt;5),1,0)+IF(AND(W229&lt;&gt;"-",W229&gt;5),1,0)+IF(AND(Y229&lt;&gt;"-",Y229&gt;5),1,0)+IF(AND(AA229&lt;&gt;"-",AA229&gt;5),1,0)+IF(AND(AC229&lt;&gt;"-",AC229&gt;5),1,0)+IF(AND(AE229&lt;&gt;"-",AE229&gt;5),1,0)+IF(AND(AG229&lt;&gt;"-",AG229&gt;5),1,0)+IF(AND(AI229&lt;&gt;"-",AI229&gt;5),1,0)+IF(AND(AK229&lt;&gt;"-",AK229&gt;5),1,0)+IF(AND(AM229&lt;&gt;"-",AM229&gt;5),1,0)+IF(AND(AO229&lt;&gt;"-",AO229&gt;5),1,0)</f>
        <v>3</v>
      </c>
      <c r="AY229" s="48">
        <f>VLOOKUP(AP229,COND!$A$10:$B$32,2,FALSE)</f>
        <v>1.0249999999999999</v>
      </c>
      <c r="AZ229" s="46">
        <f>($AU$3*AU229+$AV$3*AV229+$AW$3*AW229+$AX$3*AX229)*AY229*IF(AQ229&lt;5,0.95,IF(AQ229&lt;7,0.975,1))+$I$3*VLOOKUP(I229,COND!$A$2:$E$7,4,FALSE)+$J$3*VLOOKUP(J229,COND!$A$2:$E$7,2,FALSE)+$K$3*VLOOKUP(K229,COND!$A$2:$E$7,3,FALSE)+IF(BB229="SP",$BB$3,0)+IF($AW229&lt;3,-5,0)+IF(AND($B$2&gt;0,$E229&lt;20),$B$2*25,0)</f>
        <v>31.324170254429532</v>
      </c>
      <c r="BA229" s="49">
        <f>STANDARDIZE(AZ229,AVERAGE($AZ$5:$AZ$570),STDEVP($AZ$5:$AZ$570))</f>
        <v>-0.12820996650830399</v>
      </c>
      <c r="BB229" s="47" t="str">
        <f>IF(OR(AND(AQ229&gt;7,AX229&gt;1),AND(AQ229&gt;4,AW229&gt;2)),"SP","RP")</f>
        <v>SP</v>
      </c>
      <c r="BC229" s="47"/>
      <c r="BD229" s="47"/>
      <c r="BE229" s="47"/>
      <c r="BF229" s="47" t="str">
        <f>IF(AVERAGE($O229:$Q229)&gt;=6,"Likely",IF(AVERAGE($O229:$Q229)&gt;=4,"Possible","Unlikely"))</f>
        <v>Unlikely</v>
      </c>
      <c r="BG229" s="47"/>
      <c r="BH229" s="47" t="str">
        <f>INDEX(Table5[[#All],[Ovr]],MATCH(Table3[[#This Row],[PID]],Table5[[#All],[PID]],0))</f>
        <v/>
      </c>
      <c r="BI229" s="47" t="str">
        <f>INDEX(Table5[[#All],[Rnd]],MATCH(Table3[[#This Row],[PID]],Table5[[#All],[PID]],0))</f>
        <v/>
      </c>
      <c r="BJ229" s="47" t="str">
        <f>INDEX(Table5[[#All],[Pick]],MATCH(Table3[[#This Row],[PID]],Table5[[#All],[PID]],0))</f>
        <v/>
      </c>
      <c r="BK229" s="47" t="str">
        <f>INDEX(Table5[[#All],[Team]],MATCH(Table3[[#This Row],[PID]],Table5[[#All],[PID]],0))</f>
        <v/>
      </c>
      <c r="BL2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0" spans="1:64" ht="15" customHeight="1" x14ac:dyDescent="0.25">
      <c r="A230" s="42">
        <v>9564</v>
      </c>
      <c r="B230" s="42" t="s">
        <v>49</v>
      </c>
      <c r="C230" s="42" t="s">
        <v>377</v>
      </c>
      <c r="D230" s="42" t="s">
        <v>1317</v>
      </c>
      <c r="E230" s="42">
        <v>21</v>
      </c>
      <c r="F230" s="42" t="s">
        <v>62</v>
      </c>
      <c r="G230" s="42" t="s">
        <v>42</v>
      </c>
      <c r="H230" s="43" t="s">
        <v>721</v>
      </c>
      <c r="I230" s="44" t="s">
        <v>44</v>
      </c>
      <c r="J230" s="42" t="s">
        <v>44</v>
      </c>
      <c r="K230" s="43" t="s">
        <v>43</v>
      </c>
      <c r="L230" s="42">
        <v>4</v>
      </c>
      <c r="M230" s="42">
        <v>2</v>
      </c>
      <c r="N230" s="43">
        <v>1</v>
      </c>
      <c r="O230" s="42">
        <v>6</v>
      </c>
      <c r="P230" s="42">
        <v>2</v>
      </c>
      <c r="Q230" s="43">
        <v>2</v>
      </c>
      <c r="R230" s="42">
        <v>6</v>
      </c>
      <c r="S230" s="42">
        <v>8</v>
      </c>
      <c r="T230" s="42">
        <v>1</v>
      </c>
      <c r="U230" s="42">
        <v>1</v>
      </c>
      <c r="V230" s="42" t="s">
        <v>45</v>
      </c>
      <c r="W230" s="42" t="s">
        <v>45</v>
      </c>
      <c r="X230" s="42" t="s">
        <v>45</v>
      </c>
      <c r="Y230" s="42" t="s">
        <v>45</v>
      </c>
      <c r="Z230" s="42">
        <v>4</v>
      </c>
      <c r="AA230" s="42">
        <v>6</v>
      </c>
      <c r="AB230" s="42" t="s">
        <v>45</v>
      </c>
      <c r="AC230" s="42" t="s">
        <v>45</v>
      </c>
      <c r="AD230" s="42" t="s">
        <v>45</v>
      </c>
      <c r="AE230" s="42" t="s">
        <v>45</v>
      </c>
      <c r="AF230" s="42" t="s">
        <v>45</v>
      </c>
      <c r="AG230" s="42" t="s">
        <v>45</v>
      </c>
      <c r="AH230" s="42" t="s">
        <v>45</v>
      </c>
      <c r="AI230" s="42" t="s">
        <v>45</v>
      </c>
      <c r="AJ230" s="42" t="s">
        <v>45</v>
      </c>
      <c r="AK230" s="42" t="s">
        <v>45</v>
      </c>
      <c r="AL230" s="42" t="s">
        <v>45</v>
      </c>
      <c r="AM230" s="42" t="s">
        <v>45</v>
      </c>
      <c r="AN230" s="42" t="s">
        <v>45</v>
      </c>
      <c r="AO230" s="43" t="s">
        <v>45</v>
      </c>
      <c r="AP230" s="42" t="s">
        <v>48</v>
      </c>
      <c r="AQ230" s="42">
        <v>4</v>
      </c>
      <c r="AR230" s="50" t="s">
        <v>353</v>
      </c>
      <c r="AS230" s="45" t="s">
        <v>723</v>
      </c>
      <c r="AT230" s="45" t="s">
        <v>47</v>
      </c>
      <c r="AU230" s="46">
        <f>($O$3*(L230-$O$1)/$O$2+$P$3*(M230-$P$1)/$P$2+$Q$3*(N230-$P$1)/$Q$2)/SUM($O$3:$Q$3)</f>
        <v>-1.9219785480100218</v>
      </c>
      <c r="AV230" s="46">
        <f>($O$3*(O230-$O$1)/$O$2+$P$3*(P230-$P$1)/$P$2+$Q$3*(Q230-$Q$1)/$Q$2)/SUM($O$3:$Q$3)</f>
        <v>-0.84478058220049301</v>
      </c>
      <c r="AW230" s="47">
        <f>COUNT(R230:AO230)/2</f>
        <v>3</v>
      </c>
      <c r="AX230" s="47">
        <f>IF(AND(S230&lt;&gt;"-",S230&gt;5),1,0)+IF(AND(U230&lt;&gt;"-",U230&gt;5),1,0)+IF(AND(W230&lt;&gt;"-",W230&gt;5),1,0)+IF(AND(Y230&lt;&gt;"-",Y230&gt;5),1,0)+IF(AND(AA230&lt;&gt;"-",AA230&gt;5),1,0)+IF(AND(AC230&lt;&gt;"-",AC230&gt;5),1,0)+IF(AND(AE230&lt;&gt;"-",AE230&gt;5),1,0)+IF(AND(AG230&lt;&gt;"-",AG230&gt;5),1,0)+IF(AND(AI230&lt;&gt;"-",AI230&gt;5),1,0)+IF(AND(AK230&lt;&gt;"-",AK230&gt;5),1,0)+IF(AND(AM230&lt;&gt;"-",AM230&gt;5),1,0)+IF(AND(AO230&lt;&gt;"-",AO230&gt;5),1,0)</f>
        <v>2</v>
      </c>
      <c r="AY230" s="48">
        <f>VLOOKUP(AP230,COND!$A$10:$B$32,2,FALSE)</f>
        <v>1.05</v>
      </c>
      <c r="AZ230" s="46">
        <f>($AU$3*AU230+$AV$3*AV230+$AW$3*AW230+$AX$3*AX230)*AY230*IF(AQ230&lt;5,0.95,IF(AQ230&lt;7,0.975,1))+$I$3*VLOOKUP(I230,COND!$A$2:$E$7,4,FALSE)+$J$3*VLOOKUP(J230,COND!$A$2:$E$7,2,FALSE)+$K$3*VLOOKUP(K230,COND!$A$2:$E$7,3,FALSE)+IF(BB230="SP",$BB$3,0)+IF($AW230&lt;3,-5,0)+IF(AND($B$2&gt;0,$E230&lt;20),$B$2*25,0)</f>
        <v>31.303192664772165</v>
      </c>
      <c r="BA230" s="49">
        <f>STANDARDIZE(AZ230,AVERAGE($AZ$5:$AZ$570),STDEVP($AZ$5:$AZ$570))</f>
        <v>-0.13013370113998712</v>
      </c>
      <c r="BB230" s="47" t="str">
        <f>IF(OR(AND(AQ230&gt;7,AX230&gt;1),AND(AQ230&gt;4,AW230&gt;2)),"SP","RP")</f>
        <v>RP</v>
      </c>
      <c r="BC230" s="47"/>
      <c r="BD230" s="47"/>
      <c r="BE230" s="47"/>
      <c r="BF230" s="47" t="str">
        <f>IF(AVERAGE($O230:$Q230)&gt;=6,"Likely",IF(AVERAGE($O230:$Q230)&gt;=4,"Possible","Unlikely"))</f>
        <v>Unlikely</v>
      </c>
      <c r="BG230" s="47"/>
      <c r="BH230" s="47" t="str">
        <f>INDEX(Table5[[#All],[Ovr]],MATCH(Table3[[#This Row],[PID]],Table5[[#All],[PID]],0))</f>
        <v/>
      </c>
      <c r="BI230" s="47" t="str">
        <f>INDEX(Table5[[#All],[Rnd]],MATCH(Table3[[#This Row],[PID]],Table5[[#All],[PID]],0))</f>
        <v/>
      </c>
      <c r="BJ230" s="47" t="str">
        <f>INDEX(Table5[[#All],[Pick]],MATCH(Table3[[#This Row],[PID]],Table5[[#All],[PID]],0))</f>
        <v/>
      </c>
      <c r="BK230" s="47" t="str">
        <f>INDEX(Table5[[#All],[Team]],MATCH(Table3[[#This Row],[PID]],Table5[[#All],[PID]],0))</f>
        <v/>
      </c>
      <c r="BL2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1" spans="1:64" ht="15" customHeight="1" x14ac:dyDescent="0.25">
      <c r="A231" s="42">
        <v>9931</v>
      </c>
      <c r="B231" s="42" t="s">
        <v>430</v>
      </c>
      <c r="C231" s="42" t="s">
        <v>1511</v>
      </c>
      <c r="D231" s="42" t="s">
        <v>550</v>
      </c>
      <c r="E231" s="42">
        <v>18</v>
      </c>
      <c r="F231" s="42" t="s">
        <v>42</v>
      </c>
      <c r="G231" s="42" t="s">
        <v>42</v>
      </c>
      <c r="H231" s="43" t="s">
        <v>721</v>
      </c>
      <c r="I231" s="44" t="s">
        <v>43</v>
      </c>
      <c r="J231" s="42" t="s">
        <v>47</v>
      </c>
      <c r="K231" s="43" t="s">
        <v>43</v>
      </c>
      <c r="L231" s="42">
        <v>2</v>
      </c>
      <c r="M231" s="42">
        <v>1</v>
      </c>
      <c r="N231" s="43">
        <v>1</v>
      </c>
      <c r="O231" s="42">
        <v>5</v>
      </c>
      <c r="P231" s="42">
        <v>1</v>
      </c>
      <c r="Q231" s="43">
        <v>2</v>
      </c>
      <c r="R231" s="42">
        <v>3</v>
      </c>
      <c r="S231" s="42">
        <v>5</v>
      </c>
      <c r="T231" s="42">
        <v>1</v>
      </c>
      <c r="U231" s="42">
        <v>1</v>
      </c>
      <c r="V231" s="42">
        <v>2</v>
      </c>
      <c r="W231" s="42">
        <v>7</v>
      </c>
      <c r="X231" s="42" t="s">
        <v>45</v>
      </c>
      <c r="Y231" s="42" t="s">
        <v>45</v>
      </c>
      <c r="Z231" s="42" t="s">
        <v>45</v>
      </c>
      <c r="AA231" s="42" t="s">
        <v>45</v>
      </c>
      <c r="AB231" s="42" t="s">
        <v>45</v>
      </c>
      <c r="AC231" s="42" t="s">
        <v>45</v>
      </c>
      <c r="AD231" s="42" t="s">
        <v>45</v>
      </c>
      <c r="AE231" s="42" t="s">
        <v>45</v>
      </c>
      <c r="AF231" s="42" t="s">
        <v>45</v>
      </c>
      <c r="AG231" s="42" t="s">
        <v>45</v>
      </c>
      <c r="AH231" s="42" t="s">
        <v>45</v>
      </c>
      <c r="AI231" s="42" t="s">
        <v>45</v>
      </c>
      <c r="AJ231" s="42" t="s">
        <v>45</v>
      </c>
      <c r="AK231" s="42" t="s">
        <v>45</v>
      </c>
      <c r="AL231" s="42" t="s">
        <v>45</v>
      </c>
      <c r="AM231" s="42" t="s">
        <v>45</v>
      </c>
      <c r="AN231" s="42" t="s">
        <v>45</v>
      </c>
      <c r="AO231" s="43" t="s">
        <v>45</v>
      </c>
      <c r="AP231" s="42" t="s">
        <v>355</v>
      </c>
      <c r="AQ231" s="42">
        <v>8</v>
      </c>
      <c r="AR231" s="50" t="s">
        <v>14</v>
      </c>
      <c r="AS231" s="45" t="s">
        <v>758</v>
      </c>
      <c r="AT231" s="45" t="s">
        <v>705</v>
      </c>
      <c r="AU231" s="46">
        <f>($O$3*(L231-$O$1)/$O$2+$P$3*(M231-$P$1)/$P$2+$Q$3*(N231-$P$1)/$Q$2)/SUM($O$3:$Q$3)</f>
        <v>-2.5067929134584248</v>
      </c>
      <c r="AV231" s="46">
        <f>($O$3*(O231-$O$1)/$O$2+$P$3*(P231-$P$1)/$P$2+$Q$3*(Q231-$Q$1)/$Q$2)/SUM($O$3:$Q$3)</f>
        <v>-1.2349036231397219</v>
      </c>
      <c r="AW231" s="47">
        <f>COUNT(R231:AO231)/2</f>
        <v>3</v>
      </c>
      <c r="AX231" s="47">
        <f>IF(AND(S231&lt;&gt;"-",S231&gt;5),1,0)+IF(AND(U231&lt;&gt;"-",U231&gt;5),1,0)+IF(AND(W231&lt;&gt;"-",W231&gt;5),1,0)+IF(AND(Y231&lt;&gt;"-",Y231&gt;5),1,0)+IF(AND(AA231&lt;&gt;"-",AA231&gt;5),1,0)+IF(AND(AC231&lt;&gt;"-",AC231&gt;5),1,0)+IF(AND(AE231&lt;&gt;"-",AE231&gt;5),1,0)+IF(AND(AG231&lt;&gt;"-",AG231&gt;5),1,0)+IF(AND(AI231&lt;&gt;"-",AI231&gt;5),1,0)+IF(AND(AK231&lt;&gt;"-",AK231&gt;5),1,0)+IF(AND(AM231&lt;&gt;"-",AM231&gt;5),1,0)+IF(AND(AO231&lt;&gt;"-",AO231&gt;5),1,0)</f>
        <v>1</v>
      </c>
      <c r="AY231" s="48">
        <f>VLOOKUP(AP231,COND!$A$10:$B$32,2,FALSE)</f>
        <v>1</v>
      </c>
      <c r="AZ231" s="46">
        <f>($AU$3*AU231+$AV$3*AV231+$AW$3*AW231+$AX$3*AX231)*AY231*IF(AQ231&lt;5,0.95,IF(AQ231&lt;7,0.975,1))+$I$3*VLOOKUP(I231,COND!$A$2:$E$7,4,FALSE)+$J$3*VLOOKUP(J231,COND!$A$2:$E$7,2,FALSE)+$K$3*VLOOKUP(K231,COND!$A$2:$E$7,3,FALSE)+IF(BB231="SP",$BB$3,0)+IF($AW231&lt;3,-5,0)+IF(AND($B$2&gt;0,$E231&lt;20),$B$2*25,0)</f>
        <v>29.850568954513875</v>
      </c>
      <c r="BA231" s="49">
        <f>STANDARDIZE(AZ231,AVERAGE($AZ$5:$AZ$570),STDEVP($AZ$5:$AZ$570))</f>
        <v>-0.26334550401489754</v>
      </c>
      <c r="BB231" s="47" t="str">
        <f>IF(OR(AND(AQ231&gt;7,AX231&gt;1),AND(AQ231&gt;4,AW231&gt;2)),"SP","RP")</f>
        <v>SP</v>
      </c>
      <c r="BC231" s="47"/>
      <c r="BD231" s="47"/>
      <c r="BE231" s="47"/>
      <c r="BF231" s="47" t="str">
        <f>IF(AVERAGE($O231:$Q231)&gt;=6,"Likely",IF(AVERAGE($O231:$Q231)&gt;=4,"Possible","Unlikely"))</f>
        <v>Unlikely</v>
      </c>
      <c r="BG231" s="47"/>
      <c r="BH231" s="47" t="str">
        <f>INDEX(Table5[[#All],[Ovr]],MATCH(Table3[[#This Row],[PID]],Table5[[#All],[PID]],0))</f>
        <v/>
      </c>
      <c r="BI231" s="47" t="str">
        <f>INDEX(Table5[[#All],[Rnd]],MATCH(Table3[[#This Row],[PID]],Table5[[#All],[PID]],0))</f>
        <v/>
      </c>
      <c r="BJ231" s="47" t="str">
        <f>INDEX(Table5[[#All],[Pick]],MATCH(Table3[[#This Row],[PID]],Table5[[#All],[PID]],0))</f>
        <v/>
      </c>
      <c r="BK231" s="47" t="str">
        <f>INDEX(Table5[[#All],[Team]],MATCH(Table3[[#This Row],[PID]],Table5[[#All],[PID]],0))</f>
        <v/>
      </c>
      <c r="BL2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2" spans="1:64" ht="15" customHeight="1" x14ac:dyDescent="0.25">
      <c r="A232" s="42">
        <v>5436</v>
      </c>
      <c r="B232" s="42" t="s">
        <v>430</v>
      </c>
      <c r="C232" s="42" t="s">
        <v>934</v>
      </c>
      <c r="D232" s="42" t="s">
        <v>1331</v>
      </c>
      <c r="E232" s="42">
        <v>18</v>
      </c>
      <c r="F232" s="42" t="s">
        <v>53</v>
      </c>
      <c r="G232" s="42" t="s">
        <v>53</v>
      </c>
      <c r="H232" s="43" t="s">
        <v>721</v>
      </c>
      <c r="I232" s="44" t="s">
        <v>43</v>
      </c>
      <c r="J232" s="42" t="s">
        <v>43</v>
      </c>
      <c r="K232" s="43" t="s">
        <v>47</v>
      </c>
      <c r="L232" s="42">
        <v>1</v>
      </c>
      <c r="M232" s="42">
        <v>2</v>
      </c>
      <c r="N232" s="43">
        <v>1</v>
      </c>
      <c r="O232" s="42">
        <v>4</v>
      </c>
      <c r="P232" s="42">
        <v>2</v>
      </c>
      <c r="Q232" s="43">
        <v>2</v>
      </c>
      <c r="R232" s="42">
        <v>3</v>
      </c>
      <c r="S232" s="42">
        <v>4</v>
      </c>
      <c r="T232" s="42">
        <v>1</v>
      </c>
      <c r="U232" s="42">
        <v>5</v>
      </c>
      <c r="V232" s="42" t="s">
        <v>45</v>
      </c>
      <c r="W232" s="42" t="s">
        <v>45</v>
      </c>
      <c r="X232" s="42">
        <v>2</v>
      </c>
      <c r="Y232" s="42">
        <v>5</v>
      </c>
      <c r="Z232" s="42" t="s">
        <v>45</v>
      </c>
      <c r="AA232" s="42" t="s">
        <v>45</v>
      </c>
      <c r="AB232" s="42" t="s">
        <v>45</v>
      </c>
      <c r="AC232" s="42" t="s">
        <v>45</v>
      </c>
      <c r="AD232" s="42" t="s">
        <v>45</v>
      </c>
      <c r="AE232" s="42" t="s">
        <v>45</v>
      </c>
      <c r="AF232" s="42" t="s">
        <v>45</v>
      </c>
      <c r="AG232" s="42" t="s">
        <v>45</v>
      </c>
      <c r="AH232" s="42" t="s">
        <v>45</v>
      </c>
      <c r="AI232" s="42" t="s">
        <v>45</v>
      </c>
      <c r="AJ232" s="42" t="s">
        <v>45</v>
      </c>
      <c r="AK232" s="42" t="s">
        <v>45</v>
      </c>
      <c r="AL232" s="42" t="s">
        <v>45</v>
      </c>
      <c r="AM232" s="42" t="s">
        <v>45</v>
      </c>
      <c r="AN232" s="42" t="s">
        <v>45</v>
      </c>
      <c r="AO232" s="43" t="s">
        <v>45</v>
      </c>
      <c r="AP232" s="42" t="s">
        <v>68</v>
      </c>
      <c r="AQ232" s="42">
        <v>10</v>
      </c>
      <c r="AR232" s="50" t="s">
        <v>353</v>
      </c>
      <c r="AS232" s="45" t="s">
        <v>718</v>
      </c>
      <c r="AT232" s="45" t="s">
        <v>705</v>
      </c>
      <c r="AU232" s="46">
        <f>($O$3*(L232-$O$1)/$O$2+$P$3*(M232-$P$1)/$P$2+$Q$3*(N232-$P$1)/$Q$2)/SUM($O$3:$Q$3)</f>
        <v>-2.5060525215375429</v>
      </c>
      <c r="AV232" s="46">
        <f>($O$3*(O232-$O$1)/$O$2+$P$3*(P232-$P$1)/$P$2+$Q$3*(Q232-$Q$1)/$Q$2)/SUM($O$3:$Q$3)</f>
        <v>-1.23416323121884</v>
      </c>
      <c r="AW232" s="47">
        <f>COUNT(R232:AO232)/2</f>
        <v>3</v>
      </c>
      <c r="AX232" s="47">
        <f>IF(AND(S232&lt;&gt;"-",S232&gt;5),1,0)+IF(AND(U232&lt;&gt;"-",U232&gt;5),1,0)+IF(AND(W232&lt;&gt;"-",W232&gt;5),1,0)+IF(AND(Y232&lt;&gt;"-",Y232&gt;5),1,0)+IF(AND(AA232&lt;&gt;"-",AA232&gt;5),1,0)+IF(AND(AC232&lt;&gt;"-",AC232&gt;5),1,0)+IF(AND(AE232&lt;&gt;"-",AE232&gt;5),1,0)+IF(AND(AG232&lt;&gt;"-",AG232&gt;5),1,0)+IF(AND(AI232&lt;&gt;"-",AI232&gt;5),1,0)+IF(AND(AK232&lt;&gt;"-",AK232&gt;5),1,0)+IF(AND(AM232&lt;&gt;"-",AM232&gt;5),1,0)+IF(AND(AO232&lt;&gt;"-",AO232&gt;5),1,0)</f>
        <v>0</v>
      </c>
      <c r="AY232" s="48">
        <f>VLOOKUP(AP232,COND!$A$10:$B$32,2,FALSE)</f>
        <v>0.95</v>
      </c>
      <c r="AZ232" s="46">
        <f>($AU$3*AU232+$AV$3*AV232+$AW$3*AW232+$AX$3*AX232)*AY232*IF(AQ232&lt;5,0.95,IF(AQ232&lt;7,0.975,1))+$I$3*VLOOKUP(I232,COND!$A$2:$E$7,4,FALSE)+$J$3*VLOOKUP(J232,COND!$A$2:$E$7,2,FALSE)+$K$3*VLOOKUP(K232,COND!$A$2:$E$7,3,FALSE)+IF(BB232="SP",$BB$3,0)+IF($AW232&lt;3,-5,0)+IF(AND($B$2&gt;0,$E232&lt;20),$B$2*25,0)</f>
        <v>29.79974862774991</v>
      </c>
      <c r="BA232" s="49">
        <f>STANDARDIZE(AZ232,AVERAGE($AZ$5:$AZ$570),STDEVP($AZ$5:$AZ$570))</f>
        <v>-0.26800594518979487</v>
      </c>
      <c r="BB232" s="47" t="str">
        <f>IF(OR(AND(AQ232&gt;7,AX232&gt;1),AND(AQ232&gt;4,AW232&gt;2)),"SP","RP")</f>
        <v>SP</v>
      </c>
      <c r="BC232" s="47"/>
      <c r="BD232" s="47"/>
      <c r="BE232" s="47"/>
      <c r="BF232" s="47" t="str">
        <f>IF(AVERAGE($O232:$Q232)&gt;=6,"Likely",IF(AVERAGE($O232:$Q232)&gt;=4,"Possible","Unlikely"))</f>
        <v>Unlikely</v>
      </c>
      <c r="BG232" s="47"/>
      <c r="BH232" s="47" t="str">
        <f>INDEX(Table5[[#All],[Ovr]],MATCH(Table3[[#This Row],[PID]],Table5[[#All],[PID]],0))</f>
        <v/>
      </c>
      <c r="BI232" s="47" t="str">
        <f>INDEX(Table5[[#All],[Rnd]],MATCH(Table3[[#This Row],[PID]],Table5[[#All],[PID]],0))</f>
        <v/>
      </c>
      <c r="BJ232" s="47" t="str">
        <f>INDEX(Table5[[#All],[Pick]],MATCH(Table3[[#This Row],[PID]],Table5[[#All],[PID]],0))</f>
        <v/>
      </c>
      <c r="BK232" s="47" t="str">
        <f>INDEX(Table5[[#All],[Team]],MATCH(Table3[[#This Row],[PID]],Table5[[#All],[PID]],0))</f>
        <v/>
      </c>
      <c r="BL2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3" spans="1:64" ht="15" customHeight="1" x14ac:dyDescent="0.25">
      <c r="A233" s="42">
        <v>15813</v>
      </c>
      <c r="B233" s="42" t="s">
        <v>430</v>
      </c>
      <c r="C233" s="42" t="s">
        <v>851</v>
      </c>
      <c r="D233" s="42" t="s">
        <v>780</v>
      </c>
      <c r="E233" s="42">
        <v>18</v>
      </c>
      <c r="F233" s="42" t="s">
        <v>42</v>
      </c>
      <c r="G233" s="42" t="s">
        <v>42</v>
      </c>
      <c r="H233" s="43" t="s">
        <v>721</v>
      </c>
      <c r="I233" s="44" t="s">
        <v>43</v>
      </c>
      <c r="J233" s="42" t="s">
        <v>47</v>
      </c>
      <c r="K233" s="43" t="s">
        <v>43</v>
      </c>
      <c r="L233" s="42">
        <v>1</v>
      </c>
      <c r="M233" s="42">
        <v>2</v>
      </c>
      <c r="N233" s="43">
        <v>1</v>
      </c>
      <c r="O233" s="42">
        <v>4</v>
      </c>
      <c r="P233" s="42">
        <v>2</v>
      </c>
      <c r="Q233" s="43">
        <v>2</v>
      </c>
      <c r="R233" s="42">
        <v>2</v>
      </c>
      <c r="S233" s="42">
        <v>5</v>
      </c>
      <c r="T233" s="42">
        <v>1</v>
      </c>
      <c r="U233" s="42">
        <v>2</v>
      </c>
      <c r="V233" s="42" t="s">
        <v>45</v>
      </c>
      <c r="W233" s="42" t="s">
        <v>45</v>
      </c>
      <c r="X233" s="42" t="s">
        <v>45</v>
      </c>
      <c r="Y233" s="42" t="s">
        <v>45</v>
      </c>
      <c r="Z233" s="42">
        <v>2</v>
      </c>
      <c r="AA233" s="42">
        <v>4</v>
      </c>
      <c r="AB233" s="42" t="s">
        <v>45</v>
      </c>
      <c r="AC233" s="42" t="s">
        <v>45</v>
      </c>
      <c r="AD233" s="42" t="s">
        <v>45</v>
      </c>
      <c r="AE233" s="42" t="s">
        <v>45</v>
      </c>
      <c r="AF233" s="42" t="s">
        <v>45</v>
      </c>
      <c r="AG233" s="42" t="s">
        <v>45</v>
      </c>
      <c r="AH233" s="42" t="s">
        <v>45</v>
      </c>
      <c r="AI233" s="42" t="s">
        <v>45</v>
      </c>
      <c r="AJ233" s="42" t="s">
        <v>45</v>
      </c>
      <c r="AK233" s="42" t="s">
        <v>45</v>
      </c>
      <c r="AL233" s="42" t="s">
        <v>45</v>
      </c>
      <c r="AM233" s="42" t="s">
        <v>45</v>
      </c>
      <c r="AN233" s="42" t="s">
        <v>45</v>
      </c>
      <c r="AO233" s="43" t="s">
        <v>45</v>
      </c>
      <c r="AP233" s="42" t="s">
        <v>65</v>
      </c>
      <c r="AQ233" s="42">
        <v>8</v>
      </c>
      <c r="AR233" s="50" t="s">
        <v>353</v>
      </c>
      <c r="AS233" s="45" t="s">
        <v>627</v>
      </c>
      <c r="AT233" s="45" t="s">
        <v>705</v>
      </c>
      <c r="AU233" s="46">
        <f>($O$3*(L233-$O$1)/$O$2+$P$3*(M233-$P$1)/$P$2+$Q$3*(N233-$P$1)/$Q$2)/SUM($O$3:$Q$3)</f>
        <v>-2.5060525215375429</v>
      </c>
      <c r="AV233" s="46">
        <f>($O$3*(O233-$O$1)/$O$2+$P$3*(P233-$P$1)/$P$2+$Q$3*(Q233-$Q$1)/$Q$2)/SUM($O$3:$Q$3)</f>
        <v>-1.23416323121884</v>
      </c>
      <c r="AW233" s="47">
        <f>COUNT(R233:AO233)/2</f>
        <v>3</v>
      </c>
      <c r="AX233" s="47">
        <f>IF(AND(S233&lt;&gt;"-",S233&gt;5),1,0)+IF(AND(U233&lt;&gt;"-",U233&gt;5),1,0)+IF(AND(W233&lt;&gt;"-",W233&gt;5),1,0)+IF(AND(Y233&lt;&gt;"-",Y233&gt;5),1,0)+IF(AND(AA233&lt;&gt;"-",AA233&gt;5),1,0)+IF(AND(AC233&lt;&gt;"-",AC233&gt;5),1,0)+IF(AND(AE233&lt;&gt;"-",AE233&gt;5),1,0)+IF(AND(AG233&lt;&gt;"-",AG233&gt;5),1,0)+IF(AND(AI233&lt;&gt;"-",AI233&gt;5),1,0)+IF(AND(AK233&lt;&gt;"-",AK233&gt;5),1,0)+IF(AND(AM233&lt;&gt;"-",AM233&gt;5),1,0)+IF(AND(AO233&lt;&gt;"-",AO233&gt;5),1,0)</f>
        <v>0</v>
      </c>
      <c r="AY233" s="48">
        <f>VLOOKUP(AP233,COND!$A$10:$B$32,2,FALSE)</f>
        <v>0.95</v>
      </c>
      <c r="AZ233" s="46">
        <f>($AU$3*AU233+$AV$3*AV233+$AW$3*AW233+$AX$3*AX233)*AY233*IF(AQ233&lt;5,0.95,IF(AQ233&lt;7,0.975,1))+$I$3*VLOOKUP(I233,COND!$A$2:$E$7,4,FALSE)+$J$3*VLOOKUP(J233,COND!$A$2:$E$7,2,FALSE)+$K$3*VLOOKUP(K233,COND!$A$2:$E$7,3,FALSE)+IF(BB233="SP",$BB$3,0)+IF($AW233&lt;3,-5,0)+IF(AND($B$2&gt;0,$E233&lt;20),$B$2*25,0)</f>
        <v>29.79974862774991</v>
      </c>
      <c r="BA233" s="49">
        <f>STANDARDIZE(AZ233,AVERAGE($AZ$5:$AZ$570),STDEVP($AZ$5:$AZ$570))</f>
        <v>-0.26800594518979487</v>
      </c>
      <c r="BB233" s="47" t="str">
        <f>IF(OR(AND(AQ233&gt;7,AX233&gt;1),AND(AQ233&gt;4,AW233&gt;2)),"SP","RP")</f>
        <v>SP</v>
      </c>
      <c r="BC233" s="47"/>
      <c r="BD233" s="47"/>
      <c r="BE233" s="47"/>
      <c r="BF233" s="47" t="str">
        <f>IF(AVERAGE($O233:$Q233)&gt;=6,"Likely",IF(AVERAGE($O233:$Q233)&gt;=4,"Possible","Unlikely"))</f>
        <v>Unlikely</v>
      </c>
      <c r="BG233" s="47"/>
      <c r="BH233" s="47" t="str">
        <f>INDEX(Table5[[#All],[Ovr]],MATCH(Table3[[#This Row],[PID]],Table5[[#All],[PID]],0))</f>
        <v/>
      </c>
      <c r="BI233" s="47" t="str">
        <f>INDEX(Table5[[#All],[Rnd]],MATCH(Table3[[#This Row],[PID]],Table5[[#All],[PID]],0))</f>
        <v/>
      </c>
      <c r="BJ233" s="47" t="str">
        <f>INDEX(Table5[[#All],[Pick]],MATCH(Table3[[#This Row],[PID]],Table5[[#All],[PID]],0))</f>
        <v/>
      </c>
      <c r="BK233" s="47" t="str">
        <f>INDEX(Table5[[#All],[Team]],MATCH(Table3[[#This Row],[PID]],Table5[[#All],[PID]],0))</f>
        <v/>
      </c>
      <c r="BL2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4" spans="1:64" ht="15" customHeight="1" x14ac:dyDescent="0.25">
      <c r="A234" s="42">
        <v>13959</v>
      </c>
      <c r="B234" s="42" t="s">
        <v>24</v>
      </c>
      <c r="C234" s="42" t="s">
        <v>1712</v>
      </c>
      <c r="D234" s="42" t="s">
        <v>1713</v>
      </c>
      <c r="E234" s="42">
        <v>21</v>
      </c>
      <c r="F234" s="42" t="s">
        <v>42</v>
      </c>
      <c r="G234" s="42" t="s">
        <v>42</v>
      </c>
      <c r="H234" s="43" t="s">
        <v>721</v>
      </c>
      <c r="I234" s="44" t="s">
        <v>43</v>
      </c>
      <c r="J234" s="42" t="s">
        <v>44</v>
      </c>
      <c r="K234" s="43" t="s">
        <v>43</v>
      </c>
      <c r="L234" s="42">
        <v>1</v>
      </c>
      <c r="M234" s="42">
        <v>2</v>
      </c>
      <c r="N234" s="43">
        <v>1</v>
      </c>
      <c r="O234" s="42">
        <v>4</v>
      </c>
      <c r="P234" s="42">
        <v>2</v>
      </c>
      <c r="Q234" s="43">
        <v>3</v>
      </c>
      <c r="R234" s="42">
        <v>3</v>
      </c>
      <c r="S234" s="42">
        <v>5</v>
      </c>
      <c r="T234" s="42">
        <v>2</v>
      </c>
      <c r="U234" s="42">
        <v>7</v>
      </c>
      <c r="V234" s="42" t="s">
        <v>45</v>
      </c>
      <c r="W234" s="42" t="s">
        <v>45</v>
      </c>
      <c r="X234" s="42">
        <v>2</v>
      </c>
      <c r="Y234" s="42">
        <v>6</v>
      </c>
      <c r="Z234" s="42" t="s">
        <v>45</v>
      </c>
      <c r="AA234" s="42" t="s">
        <v>45</v>
      </c>
      <c r="AB234" s="42" t="s">
        <v>45</v>
      </c>
      <c r="AC234" s="42" t="s">
        <v>45</v>
      </c>
      <c r="AD234" s="42" t="s">
        <v>45</v>
      </c>
      <c r="AE234" s="42" t="s">
        <v>45</v>
      </c>
      <c r="AF234" s="42" t="s">
        <v>45</v>
      </c>
      <c r="AG234" s="42" t="s">
        <v>45</v>
      </c>
      <c r="AH234" s="42" t="s">
        <v>45</v>
      </c>
      <c r="AI234" s="42" t="s">
        <v>45</v>
      </c>
      <c r="AJ234" s="42" t="s">
        <v>45</v>
      </c>
      <c r="AK234" s="42" t="s">
        <v>45</v>
      </c>
      <c r="AL234" s="42" t="s">
        <v>45</v>
      </c>
      <c r="AM234" s="42" t="s">
        <v>45</v>
      </c>
      <c r="AN234" s="42" t="s">
        <v>45</v>
      </c>
      <c r="AO234" s="43" t="s">
        <v>45</v>
      </c>
      <c r="AP234" s="42" t="s">
        <v>68</v>
      </c>
      <c r="AQ234" s="42">
        <v>8</v>
      </c>
      <c r="AR234" s="50" t="s">
        <v>353</v>
      </c>
      <c r="AS234" s="45" t="s">
        <v>814</v>
      </c>
      <c r="AT234" s="45" t="s">
        <v>705</v>
      </c>
      <c r="AU234" s="46">
        <f>($O$3*(L234-$O$1)/$O$2+$P$3*(M234-$P$1)/$P$2+$Q$3*(N234-$P$1)/$Q$2)/SUM($O$3:$Q$3)</f>
        <v>-2.5060525215375429</v>
      </c>
      <c r="AV234" s="46">
        <f>($O$3*(O234-$O$1)/$O$2+$P$3*(P234-$P$1)/$P$2+$Q$3*(Q234-$Q$1)/$Q$2)/SUM($O$3:$Q$3)</f>
        <v>-0.99184266516472974</v>
      </c>
      <c r="AW234" s="47">
        <f>COUNT(R234:AO234)/2</f>
        <v>3</v>
      </c>
      <c r="AX234" s="47">
        <f>IF(AND(S234&lt;&gt;"-",S234&gt;5),1,0)+IF(AND(U234&lt;&gt;"-",U234&gt;5),1,0)+IF(AND(W234&lt;&gt;"-",W234&gt;5),1,0)+IF(AND(Y234&lt;&gt;"-",Y234&gt;5),1,0)+IF(AND(AA234&lt;&gt;"-",AA234&gt;5),1,0)+IF(AND(AC234&lt;&gt;"-",AC234&gt;5),1,0)+IF(AND(AE234&lt;&gt;"-",AE234&gt;5),1,0)+IF(AND(AG234&lt;&gt;"-",AG234&gt;5),1,0)+IF(AND(AI234&lt;&gt;"-",AI234&gt;5),1,0)+IF(AND(AK234&lt;&gt;"-",AK234&gt;5),1,0)+IF(AND(AM234&lt;&gt;"-",AM234&gt;5),1,0)+IF(AND(AO234&lt;&gt;"-",AO234&gt;5),1,0)</f>
        <v>2</v>
      </c>
      <c r="AY234" s="48">
        <f>VLOOKUP(AP234,COND!$A$10:$B$32,2,FALSE)</f>
        <v>0.95</v>
      </c>
      <c r="AZ234" s="46">
        <f>($AU$3*AU234+$AV$3*AV234+$AW$3*AW234+$AX$3*AX234)*AY234*IF(AQ234&lt;5,0.95,IF(AQ234&lt;7,0.975,1))+$I$3*VLOOKUP(I234,COND!$A$2:$E$7,4,FALSE)+$J$3*VLOOKUP(J234,COND!$A$2:$E$7,2,FALSE)+$K$3*VLOOKUP(K234,COND!$A$2:$E$7,3,FALSE)+IF(BB234="SP",$BB$3,0)+IF($AW234&lt;3,-5,0)+IF(AND($B$2&gt;0,$E234&lt;20),$B$2*25,0)</f>
        <v>31.178839382778001</v>
      </c>
      <c r="BA234" s="49">
        <f>STANDARDIZE(AZ234,AVERAGE($AZ$5:$AZ$570),STDEVP($AZ$5:$AZ$570))</f>
        <v>-0.14153742859594973</v>
      </c>
      <c r="BB234" s="47" t="str">
        <f>IF(OR(AND(AQ234&gt;7,AX234&gt;1),AND(AQ234&gt;4,AW234&gt;2)),"SP","RP")</f>
        <v>SP</v>
      </c>
      <c r="BC234" s="47"/>
      <c r="BD234" s="47"/>
      <c r="BE234" s="47"/>
      <c r="BF234" s="47" t="str">
        <f>IF(AVERAGE($O234:$Q234)&gt;=6,"Likely",IF(AVERAGE($O234:$Q234)&gt;=4,"Possible","Unlikely"))</f>
        <v>Unlikely</v>
      </c>
      <c r="BG234" s="47"/>
      <c r="BH234" s="47" t="str">
        <f>INDEX(Table5[[#All],[Ovr]],MATCH(Table3[[#This Row],[PID]],Table5[[#All],[PID]],0))</f>
        <v/>
      </c>
      <c r="BI234" s="47" t="str">
        <f>INDEX(Table5[[#All],[Rnd]],MATCH(Table3[[#This Row],[PID]],Table5[[#All],[PID]],0))</f>
        <v/>
      </c>
      <c r="BJ234" s="47" t="str">
        <f>INDEX(Table5[[#All],[Pick]],MATCH(Table3[[#This Row],[PID]],Table5[[#All],[PID]],0))</f>
        <v/>
      </c>
      <c r="BK234" s="47" t="str">
        <f>INDEX(Table5[[#All],[Team]],MATCH(Table3[[#This Row],[PID]],Table5[[#All],[PID]],0))</f>
        <v/>
      </c>
      <c r="BL2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5" spans="1:64" ht="15" customHeight="1" x14ac:dyDescent="0.25">
      <c r="A235" s="42">
        <v>17885</v>
      </c>
      <c r="B235" s="42" t="s">
        <v>24</v>
      </c>
      <c r="C235" s="42" t="s">
        <v>1783</v>
      </c>
      <c r="D235" s="42" t="s">
        <v>1784</v>
      </c>
      <c r="E235" s="42">
        <v>18</v>
      </c>
      <c r="F235" s="42" t="s">
        <v>42</v>
      </c>
      <c r="G235" s="42" t="s">
        <v>42</v>
      </c>
      <c r="H235" s="43" t="s">
        <v>721</v>
      </c>
      <c r="I235" s="44" t="s">
        <v>43</v>
      </c>
      <c r="J235" s="42" t="s">
        <v>47</v>
      </c>
      <c r="K235" s="43" t="s">
        <v>43</v>
      </c>
      <c r="L235" s="42">
        <v>1</v>
      </c>
      <c r="M235" s="42">
        <v>2</v>
      </c>
      <c r="N235" s="43">
        <v>1</v>
      </c>
      <c r="O235" s="42">
        <v>3</v>
      </c>
      <c r="P235" s="42">
        <v>2</v>
      </c>
      <c r="Q235" s="43">
        <v>3</v>
      </c>
      <c r="R235" s="42">
        <v>2</v>
      </c>
      <c r="S235" s="42">
        <v>4</v>
      </c>
      <c r="T235" s="42">
        <v>1</v>
      </c>
      <c r="U235" s="42">
        <v>6</v>
      </c>
      <c r="V235" s="42" t="s">
        <v>45</v>
      </c>
      <c r="W235" s="42" t="s">
        <v>45</v>
      </c>
      <c r="X235" s="42">
        <v>2</v>
      </c>
      <c r="Y235" s="42">
        <v>5</v>
      </c>
      <c r="Z235" s="42" t="s">
        <v>45</v>
      </c>
      <c r="AA235" s="42" t="s">
        <v>45</v>
      </c>
      <c r="AB235" s="42" t="s">
        <v>45</v>
      </c>
      <c r="AC235" s="42" t="s">
        <v>45</v>
      </c>
      <c r="AD235" s="42" t="s">
        <v>45</v>
      </c>
      <c r="AE235" s="42" t="s">
        <v>45</v>
      </c>
      <c r="AF235" s="42" t="s">
        <v>45</v>
      </c>
      <c r="AG235" s="42" t="s">
        <v>45</v>
      </c>
      <c r="AH235" s="42" t="s">
        <v>45</v>
      </c>
      <c r="AI235" s="42" t="s">
        <v>45</v>
      </c>
      <c r="AJ235" s="42" t="s">
        <v>45</v>
      </c>
      <c r="AK235" s="42" t="s">
        <v>45</v>
      </c>
      <c r="AL235" s="42" t="s">
        <v>45</v>
      </c>
      <c r="AM235" s="42" t="s">
        <v>45</v>
      </c>
      <c r="AN235" s="42" t="s">
        <v>45</v>
      </c>
      <c r="AO235" s="43" t="s">
        <v>45</v>
      </c>
      <c r="AP235" s="42" t="s">
        <v>65</v>
      </c>
      <c r="AQ235" s="42">
        <v>3</v>
      </c>
      <c r="AR235" s="50" t="s">
        <v>353</v>
      </c>
      <c r="AS235" s="45" t="s">
        <v>758</v>
      </c>
      <c r="AT235" s="45" t="s">
        <v>705</v>
      </c>
      <c r="AU235" s="46">
        <f>($O$3*(L235-$O$1)/$O$2+$P$3*(M235-$P$1)/$P$2+$Q$3*(N235-$P$1)/$Q$2)/SUM($O$3:$Q$3)</f>
        <v>-2.5060525215375429</v>
      </c>
      <c r="AV235" s="46">
        <f>($O$3*(O235-$O$1)/$O$2+$P$3*(P235-$P$1)/$P$2+$Q$3*(Q235-$Q$1)/$Q$2)/SUM($O$3:$Q$3)</f>
        <v>-1.1865339896739031</v>
      </c>
      <c r="AW235" s="47">
        <f>COUNT(R235:AO235)/2</f>
        <v>3</v>
      </c>
      <c r="AX235" s="47">
        <f>IF(AND(S235&lt;&gt;"-",S235&gt;5),1,0)+IF(AND(U235&lt;&gt;"-",U235&gt;5),1,0)+IF(AND(W235&lt;&gt;"-",W235&gt;5),1,0)+IF(AND(Y235&lt;&gt;"-",Y235&gt;5),1,0)+IF(AND(AA235&lt;&gt;"-",AA235&gt;5),1,0)+IF(AND(AC235&lt;&gt;"-",AC235&gt;5),1,0)+IF(AND(AE235&lt;&gt;"-",AE235&gt;5),1,0)+IF(AND(AG235&lt;&gt;"-",AG235&gt;5),1,0)+IF(AND(AI235&lt;&gt;"-",AI235&gt;5),1,0)+IF(AND(AK235&lt;&gt;"-",AK235&gt;5),1,0)+IF(AND(AM235&lt;&gt;"-",AM235&gt;5),1,0)+IF(AND(AO235&lt;&gt;"-",AO235&gt;5),1,0)</f>
        <v>1</v>
      </c>
      <c r="AY235" s="48">
        <f>VLOOKUP(AP235,COND!$A$10:$B$32,2,FALSE)</f>
        <v>0.95</v>
      </c>
      <c r="AZ235" s="46">
        <f>($AU$3*AU235+$AV$3*AV235+$AW$3*AW235+$AX$3*AX235)*AY235*IF(AQ235&lt;5,0.95,IF(AQ235&lt;7,0.975,1))+$I$3*VLOOKUP(I235,COND!$A$2:$E$7,4,FALSE)+$J$3*VLOOKUP(J235,COND!$A$2:$E$7,2,FALSE)+$K$3*VLOOKUP(K235,COND!$A$2:$E$7,3,FALSE)+IF(BB235="SP",$BB$3,0)+IF($AW235&lt;3,-5,0)+IF(AND($B$2&gt;0,$E235&lt;20),$B$2*25,0)</f>
        <v>30.912594006248526</v>
      </c>
      <c r="BA235" s="49">
        <f>STANDARDIZE(AZ235,AVERAGE($AZ$5:$AZ$676),STDEVP($AZ$5:$AZ$676))</f>
        <v>4.5341832824903998E-2</v>
      </c>
      <c r="BB235" s="47" t="str">
        <f>IF(OR(AND(AQ235&gt;7,AX235&gt;1),AND(AQ235&gt;4,AW235&gt;2)),"SP","RP")</f>
        <v>RP</v>
      </c>
      <c r="BC235" s="47"/>
      <c r="BD235" s="47"/>
      <c r="BE235" s="47"/>
      <c r="BF235" s="47" t="str">
        <f>IF(AVERAGE($O235:$Q235)&gt;=6,"Likely",IF(AVERAGE($O235:$Q235)&gt;=4,"Possible","Unlikely"))</f>
        <v>Unlikely</v>
      </c>
      <c r="BG235" s="47"/>
      <c r="BH235" s="47" t="str">
        <f>INDEX(Table5[[#All],[Ovr]],MATCH(Table3[[#This Row],[PID]],Table5[[#All],[PID]],0))</f>
        <v/>
      </c>
      <c r="BI235" s="47" t="str">
        <f>INDEX(Table5[[#All],[Rnd]],MATCH(Table3[[#This Row],[PID]],Table5[[#All],[PID]],0))</f>
        <v/>
      </c>
      <c r="BJ235" s="47" t="str">
        <f>INDEX(Table5[[#All],[Pick]],MATCH(Table3[[#This Row],[PID]],Table5[[#All],[PID]],0))</f>
        <v/>
      </c>
      <c r="BK235" s="47" t="str">
        <f>INDEX(Table5[[#All],[Team]],MATCH(Table3[[#This Row],[PID]],Table5[[#All],[PID]],0))</f>
        <v/>
      </c>
      <c r="BL2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6" spans="1:64" ht="15" customHeight="1" x14ac:dyDescent="0.25">
      <c r="A236" s="42">
        <v>9303</v>
      </c>
      <c r="B236" s="42" t="s">
        <v>24</v>
      </c>
      <c r="C236" s="42" t="s">
        <v>842</v>
      </c>
      <c r="D236" s="42" t="s">
        <v>727</v>
      </c>
      <c r="E236" s="42">
        <v>21</v>
      </c>
      <c r="F236" s="42" t="s">
        <v>53</v>
      </c>
      <c r="G236" s="42" t="s">
        <v>53</v>
      </c>
      <c r="H236" s="43" t="s">
        <v>721</v>
      </c>
      <c r="I236" s="44" t="s">
        <v>43</v>
      </c>
      <c r="J236" s="42" t="s">
        <v>43</v>
      </c>
      <c r="K236" s="43" t="s">
        <v>43</v>
      </c>
      <c r="L236" s="42">
        <v>2</v>
      </c>
      <c r="M236" s="42">
        <v>1</v>
      </c>
      <c r="N236" s="43">
        <v>2</v>
      </c>
      <c r="O236" s="42">
        <v>4</v>
      </c>
      <c r="P236" s="42">
        <v>1</v>
      </c>
      <c r="Q236" s="43">
        <v>4</v>
      </c>
      <c r="R236" s="42">
        <v>4</v>
      </c>
      <c r="S236" s="42">
        <v>5</v>
      </c>
      <c r="T236" s="42">
        <v>4</v>
      </c>
      <c r="U236" s="42">
        <v>6</v>
      </c>
      <c r="V236" s="42">
        <v>2</v>
      </c>
      <c r="W236" s="42">
        <v>5</v>
      </c>
      <c r="X236" s="42" t="s">
        <v>45</v>
      </c>
      <c r="Y236" s="42" t="s">
        <v>45</v>
      </c>
      <c r="Z236" s="42" t="s">
        <v>45</v>
      </c>
      <c r="AA236" s="42" t="s">
        <v>45</v>
      </c>
      <c r="AB236" s="42" t="s">
        <v>45</v>
      </c>
      <c r="AC236" s="42" t="s">
        <v>45</v>
      </c>
      <c r="AD236" s="42" t="s">
        <v>45</v>
      </c>
      <c r="AE236" s="42" t="s">
        <v>45</v>
      </c>
      <c r="AF236" s="42" t="s">
        <v>45</v>
      </c>
      <c r="AG236" s="42" t="s">
        <v>45</v>
      </c>
      <c r="AH236" s="42" t="s">
        <v>45</v>
      </c>
      <c r="AI236" s="42" t="s">
        <v>45</v>
      </c>
      <c r="AJ236" s="42" t="s">
        <v>45</v>
      </c>
      <c r="AK236" s="42" t="s">
        <v>45</v>
      </c>
      <c r="AL236" s="42" t="s">
        <v>45</v>
      </c>
      <c r="AM236" s="42" t="s">
        <v>45</v>
      </c>
      <c r="AN236" s="42" t="s">
        <v>45</v>
      </c>
      <c r="AO236" s="43" t="s">
        <v>45</v>
      </c>
      <c r="AP236" s="42" t="s">
        <v>356</v>
      </c>
      <c r="AQ236" s="42">
        <v>10</v>
      </c>
      <c r="AR236" s="50" t="s">
        <v>14</v>
      </c>
      <c r="AS236" s="45" t="s">
        <v>45</v>
      </c>
      <c r="AT236" s="45" t="s">
        <v>705</v>
      </c>
      <c r="AU236" s="46">
        <f>($O$3*(L236-$O$1)/$O$2+$P$3*(M236-$P$1)/$P$2+$Q$3*(N236-$P$1)/$Q$2)/SUM($O$3:$Q$3)</f>
        <v>-2.2644723474043147</v>
      </c>
      <c r="AV236" s="46">
        <f>($O$3*(O236-$O$1)/$O$2+$P$3*(P236-$P$1)/$P$2+$Q$3*(Q236-$Q$1)/$Q$2)/SUM($O$3:$Q$3)</f>
        <v>-0.94495381554067481</v>
      </c>
      <c r="AW236" s="47">
        <f>COUNT(R236:AO236)/2</f>
        <v>3</v>
      </c>
      <c r="AX236" s="47">
        <f>IF(AND(S236&lt;&gt;"-",S236&gt;5),1,0)+IF(AND(U236&lt;&gt;"-",U236&gt;5),1,0)+IF(AND(W236&lt;&gt;"-",W236&gt;5),1,0)+IF(AND(Y236&lt;&gt;"-",Y236&gt;5),1,0)+IF(AND(AA236&lt;&gt;"-",AA236&gt;5),1,0)+IF(AND(AC236&lt;&gt;"-",AC236&gt;5),1,0)+IF(AND(AE236&lt;&gt;"-",AE236&gt;5),1,0)+IF(AND(AG236&lt;&gt;"-",AG236&gt;5),1,0)+IF(AND(AI236&lt;&gt;"-",AI236&gt;5),1,0)+IF(AND(AK236&lt;&gt;"-",AK236&gt;5),1,0)+IF(AND(AM236&lt;&gt;"-",AM236&gt;5),1,0)+IF(AND(AO236&lt;&gt;"-",AO236&gt;5),1,0)</f>
        <v>1</v>
      </c>
      <c r="AY236" s="48">
        <f>VLOOKUP(AP236,COND!$A$10:$B$32,2,FALSE)</f>
        <v>1</v>
      </c>
      <c r="AZ236" s="46">
        <f>($AU$3*AU236+$AV$3*AV236+$AW$3*AW236+$AX$3*AX236)*AY236*IF(AQ236&lt;5,0.95,IF(AQ236&lt;7,0.975,1))+$I$3*VLOOKUP(I236,COND!$A$2:$E$7,4,FALSE)+$J$3*VLOOKUP(J236,COND!$A$2:$E$7,2,FALSE)+$K$3*VLOOKUP(K236,COND!$A$2:$E$7,3,FALSE)+IF(BB236="SP",$BB$3,0)+IF($AW236&lt;3,-5,0)+IF(AND($B$2&gt;0,$E236&lt;20),$B$2*25,0)</f>
        <v>30.398029219705641</v>
      </c>
      <c r="BA236" s="49">
        <f>STANDARDIZE(AZ236,AVERAGE($AZ$5:$AZ$570),STDEVP($AZ$5:$AZ$570))</f>
        <v>-0.2131410578024614</v>
      </c>
      <c r="BB236" s="47" t="str">
        <f>IF(OR(AND(AQ236&gt;7,AX236&gt;1),AND(AQ236&gt;4,AW236&gt;2)),"SP","RP")</f>
        <v>SP</v>
      </c>
      <c r="BC236" s="47"/>
      <c r="BD236" s="47"/>
      <c r="BE236" s="47"/>
      <c r="BF236" s="47" t="str">
        <f>IF(AVERAGE($O236:$Q236)&gt;=6,"Likely",IF(AVERAGE($O236:$Q236)&gt;=4,"Possible","Unlikely"))</f>
        <v>Unlikely</v>
      </c>
      <c r="BG236" s="47"/>
      <c r="BH236" s="47" t="str">
        <f>INDEX(Table5[[#All],[Ovr]],MATCH(Table3[[#This Row],[PID]],Table5[[#All],[PID]],0))</f>
        <v/>
      </c>
      <c r="BI236" s="47" t="str">
        <f>INDEX(Table5[[#All],[Rnd]],MATCH(Table3[[#This Row],[PID]],Table5[[#All],[PID]],0))</f>
        <v/>
      </c>
      <c r="BJ236" s="47" t="str">
        <f>INDEX(Table5[[#All],[Pick]],MATCH(Table3[[#This Row],[PID]],Table5[[#All],[PID]],0))</f>
        <v/>
      </c>
      <c r="BK236" s="47" t="str">
        <f>INDEX(Table5[[#All],[Team]],MATCH(Table3[[#This Row],[PID]],Table5[[#All],[PID]],0))</f>
        <v/>
      </c>
      <c r="BL2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7" spans="1:64" ht="15" customHeight="1" x14ac:dyDescent="0.25">
      <c r="A237" s="42">
        <v>5942</v>
      </c>
      <c r="B237" s="42" t="s">
        <v>430</v>
      </c>
      <c r="C237" s="42" t="s">
        <v>432</v>
      </c>
      <c r="D237" s="42" t="s">
        <v>813</v>
      </c>
      <c r="E237" s="42">
        <v>17</v>
      </c>
      <c r="F237" s="42" t="s">
        <v>62</v>
      </c>
      <c r="G237" s="42" t="s">
        <v>42</v>
      </c>
      <c r="H237" s="43" t="s">
        <v>721</v>
      </c>
      <c r="I237" s="44" t="s">
        <v>43</v>
      </c>
      <c r="J237" s="42" t="s">
        <v>44</v>
      </c>
      <c r="K237" s="43" t="s">
        <v>43</v>
      </c>
      <c r="L237" s="42">
        <v>2</v>
      </c>
      <c r="M237" s="42">
        <v>2</v>
      </c>
      <c r="N237" s="43">
        <v>1</v>
      </c>
      <c r="O237" s="42">
        <v>4</v>
      </c>
      <c r="P237" s="42">
        <v>2</v>
      </c>
      <c r="Q237" s="43">
        <v>2</v>
      </c>
      <c r="R237" s="42">
        <v>4</v>
      </c>
      <c r="S237" s="42">
        <v>6</v>
      </c>
      <c r="T237" s="42">
        <v>1</v>
      </c>
      <c r="U237" s="42">
        <v>1</v>
      </c>
      <c r="V237" s="42">
        <v>2</v>
      </c>
      <c r="W237" s="42">
        <v>6</v>
      </c>
      <c r="X237" s="42" t="s">
        <v>45</v>
      </c>
      <c r="Y237" s="42" t="s">
        <v>45</v>
      </c>
      <c r="Z237" s="42" t="s">
        <v>45</v>
      </c>
      <c r="AA237" s="42" t="s">
        <v>45</v>
      </c>
      <c r="AB237" s="42" t="s">
        <v>45</v>
      </c>
      <c r="AC237" s="42" t="s">
        <v>45</v>
      </c>
      <c r="AD237" s="42" t="s">
        <v>45</v>
      </c>
      <c r="AE237" s="42" t="s">
        <v>45</v>
      </c>
      <c r="AF237" s="42" t="s">
        <v>45</v>
      </c>
      <c r="AG237" s="42" t="s">
        <v>45</v>
      </c>
      <c r="AH237" s="42" t="s">
        <v>45</v>
      </c>
      <c r="AI237" s="42" t="s">
        <v>45</v>
      </c>
      <c r="AJ237" s="42" t="s">
        <v>45</v>
      </c>
      <c r="AK237" s="42" t="s">
        <v>45</v>
      </c>
      <c r="AL237" s="42" t="s">
        <v>45</v>
      </c>
      <c r="AM237" s="42" t="s">
        <v>45</v>
      </c>
      <c r="AN237" s="42" t="s">
        <v>45</v>
      </c>
      <c r="AO237" s="43" t="s">
        <v>45</v>
      </c>
      <c r="AP237" s="42" t="s">
        <v>57</v>
      </c>
      <c r="AQ237" s="42">
        <v>6</v>
      </c>
      <c r="AR237" s="50" t="s">
        <v>353</v>
      </c>
      <c r="AS237" s="45" t="s">
        <v>730</v>
      </c>
      <c r="AT237" s="45" t="s">
        <v>47</v>
      </c>
      <c r="AU237" s="46">
        <f>($O$3*(L237-$O$1)/$O$2+$P$3*(M237-$P$1)/$P$2+$Q$3*(N237-$P$1)/$Q$2)/SUM($O$3:$Q$3)</f>
        <v>-2.311361197028369</v>
      </c>
      <c r="AV237" s="46">
        <f>($O$3*(O237-$O$1)/$O$2+$P$3*(P237-$P$1)/$P$2+$Q$3*(Q237-$Q$1)/$Q$2)/SUM($O$3:$Q$3)</f>
        <v>-1.23416323121884</v>
      </c>
      <c r="AW237" s="47">
        <f>COUNT(R237:AO237)/2</f>
        <v>3</v>
      </c>
      <c r="AX237" s="47">
        <f>IF(AND(S237&lt;&gt;"-",S237&gt;5),1,0)+IF(AND(U237&lt;&gt;"-",U237&gt;5),1,0)+IF(AND(W237&lt;&gt;"-",W237&gt;5),1,0)+IF(AND(Y237&lt;&gt;"-",Y237&gt;5),1,0)+IF(AND(AA237&lt;&gt;"-",AA237&gt;5),1,0)+IF(AND(AC237&lt;&gt;"-",AC237&gt;5),1,0)+IF(AND(AE237&lt;&gt;"-",AE237&gt;5),1,0)+IF(AND(AG237&lt;&gt;"-",AG237&gt;5),1,0)+IF(AND(AI237&lt;&gt;"-",AI237&gt;5),1,0)+IF(AND(AK237&lt;&gt;"-",AK237&gt;5),1,0)+IF(AND(AM237&lt;&gt;"-",AM237&gt;5),1,0)+IF(AND(AO237&lt;&gt;"-",AO237&gt;5),1,0)</f>
        <v>2</v>
      </c>
      <c r="AY237" s="48">
        <f>VLOOKUP(AP237,COND!$A$10:$B$32,2,FALSE)</f>
        <v>1</v>
      </c>
      <c r="AZ237" s="46">
        <f>($AU$3*AU237+$AV$3*AV237+$AW$3*AW237+$AX$3*AX237)*AY237*IF(AQ237&lt;5,0.95,IF(AQ237&lt;7,0.975,1))+$I$3*VLOOKUP(I237,COND!$A$2:$E$7,4,FALSE)+$J$3*VLOOKUP(J237,COND!$A$2:$E$7,2,FALSE)+$K$3*VLOOKUP(K237,COND!$A$2:$E$7,3,FALSE)+IF(BB237="SP",$BB$3,0)+IF($AW237&lt;3,-5,0)+IF(AND($B$2&gt;0,$E237&lt;20),$B$2*25,0)</f>
        <v>31.083101557812086</v>
      </c>
      <c r="BA237" s="49">
        <f>STANDARDIZE(AZ237,AVERAGE($AZ$5:$AZ$570),STDEVP($AZ$5:$AZ$570))</f>
        <v>-0.15031699633738813</v>
      </c>
      <c r="BB237" s="47" t="str">
        <f>IF(OR(AND(AQ237&gt;7,AX237&gt;1),AND(AQ237&gt;4,AW237&gt;2)),"SP","RP")</f>
        <v>SP</v>
      </c>
      <c r="BC237" s="47"/>
      <c r="BD237" s="47"/>
      <c r="BE237" s="47"/>
      <c r="BF237" s="47" t="str">
        <f>IF(AVERAGE($O237:$Q237)&gt;=6,"Likely",IF(AVERAGE($O237:$Q237)&gt;=4,"Possible","Unlikely"))</f>
        <v>Unlikely</v>
      </c>
      <c r="BG237" s="47"/>
      <c r="BH237" s="47" t="str">
        <f>INDEX(Table5[[#All],[Ovr]],MATCH(Table3[[#This Row],[PID]],Table5[[#All],[PID]],0))</f>
        <v/>
      </c>
      <c r="BI237" s="47" t="str">
        <f>INDEX(Table5[[#All],[Rnd]],MATCH(Table3[[#This Row],[PID]],Table5[[#All],[PID]],0))</f>
        <v/>
      </c>
      <c r="BJ237" s="47" t="str">
        <f>INDEX(Table5[[#All],[Pick]],MATCH(Table3[[#This Row],[PID]],Table5[[#All],[PID]],0))</f>
        <v/>
      </c>
      <c r="BK237" s="47" t="str">
        <f>INDEX(Table5[[#All],[Team]],MATCH(Table3[[#This Row],[PID]],Table5[[#All],[PID]],0))</f>
        <v/>
      </c>
      <c r="BL2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8" spans="1:64" ht="15" customHeight="1" x14ac:dyDescent="0.25">
      <c r="A238" s="42">
        <v>17601</v>
      </c>
      <c r="B238" s="42" t="s">
        <v>430</v>
      </c>
      <c r="C238" s="42" t="s">
        <v>173</v>
      </c>
      <c r="D238" s="42" t="s">
        <v>987</v>
      </c>
      <c r="E238" s="42">
        <v>18</v>
      </c>
      <c r="F238" s="42" t="s">
        <v>42</v>
      </c>
      <c r="G238" s="42" t="s">
        <v>42</v>
      </c>
      <c r="H238" s="43" t="s">
        <v>721</v>
      </c>
      <c r="I238" s="44" t="s">
        <v>43</v>
      </c>
      <c r="J238" s="42" t="s">
        <v>44</v>
      </c>
      <c r="K238" s="43" t="s">
        <v>43</v>
      </c>
      <c r="L238" s="42">
        <v>2</v>
      </c>
      <c r="M238" s="42">
        <v>2</v>
      </c>
      <c r="N238" s="43">
        <v>1</v>
      </c>
      <c r="O238" s="42">
        <v>4</v>
      </c>
      <c r="P238" s="42">
        <v>2</v>
      </c>
      <c r="Q238" s="43">
        <v>2</v>
      </c>
      <c r="R238" s="42">
        <v>4</v>
      </c>
      <c r="S238" s="42">
        <v>6</v>
      </c>
      <c r="T238" s="42">
        <v>1</v>
      </c>
      <c r="U238" s="42">
        <v>1</v>
      </c>
      <c r="V238" s="42">
        <v>2</v>
      </c>
      <c r="W238" s="42">
        <v>6</v>
      </c>
      <c r="X238" s="42" t="s">
        <v>45</v>
      </c>
      <c r="Y238" s="42" t="s">
        <v>45</v>
      </c>
      <c r="Z238" s="42" t="s">
        <v>45</v>
      </c>
      <c r="AA238" s="42" t="s">
        <v>45</v>
      </c>
      <c r="AB238" s="42" t="s">
        <v>45</v>
      </c>
      <c r="AC238" s="42" t="s">
        <v>45</v>
      </c>
      <c r="AD238" s="42" t="s">
        <v>45</v>
      </c>
      <c r="AE238" s="42" t="s">
        <v>45</v>
      </c>
      <c r="AF238" s="42" t="s">
        <v>45</v>
      </c>
      <c r="AG238" s="42" t="s">
        <v>45</v>
      </c>
      <c r="AH238" s="42" t="s">
        <v>45</v>
      </c>
      <c r="AI238" s="42" t="s">
        <v>45</v>
      </c>
      <c r="AJ238" s="42" t="s">
        <v>45</v>
      </c>
      <c r="AK238" s="42" t="s">
        <v>45</v>
      </c>
      <c r="AL238" s="42" t="s">
        <v>45</v>
      </c>
      <c r="AM238" s="42" t="s">
        <v>45</v>
      </c>
      <c r="AN238" s="42" t="s">
        <v>45</v>
      </c>
      <c r="AO238" s="43" t="s">
        <v>45</v>
      </c>
      <c r="AP238" s="42" t="s">
        <v>356</v>
      </c>
      <c r="AQ238" s="42">
        <v>5</v>
      </c>
      <c r="AR238" s="50" t="s">
        <v>353</v>
      </c>
      <c r="AS238" s="45" t="s">
        <v>730</v>
      </c>
      <c r="AT238" s="45" t="s">
        <v>705</v>
      </c>
      <c r="AU238" s="46">
        <f>($O$3*(L238-$O$1)/$O$2+$P$3*(M238-$P$1)/$P$2+$Q$3*(N238-$P$1)/$Q$2)/SUM($O$3:$Q$3)</f>
        <v>-2.311361197028369</v>
      </c>
      <c r="AV238" s="46">
        <f>($O$3*(O238-$O$1)/$O$2+$P$3*(P238-$P$1)/$P$2+$Q$3*(Q238-$Q$1)/$Q$2)/SUM($O$3:$Q$3)</f>
        <v>-1.23416323121884</v>
      </c>
      <c r="AW238" s="47">
        <f>COUNT(R238:AO238)/2</f>
        <v>3</v>
      </c>
      <c r="AX238" s="47">
        <f>IF(AND(S238&lt;&gt;"-",S238&gt;5),1,0)+IF(AND(U238&lt;&gt;"-",U238&gt;5),1,0)+IF(AND(W238&lt;&gt;"-",W238&gt;5),1,0)+IF(AND(Y238&lt;&gt;"-",Y238&gt;5),1,0)+IF(AND(AA238&lt;&gt;"-",AA238&gt;5),1,0)+IF(AND(AC238&lt;&gt;"-",AC238&gt;5),1,0)+IF(AND(AE238&lt;&gt;"-",AE238&gt;5),1,0)+IF(AND(AG238&lt;&gt;"-",AG238&gt;5),1,0)+IF(AND(AI238&lt;&gt;"-",AI238&gt;5),1,0)+IF(AND(AK238&lt;&gt;"-",AK238&gt;5),1,0)+IF(AND(AM238&lt;&gt;"-",AM238&gt;5),1,0)+IF(AND(AO238&lt;&gt;"-",AO238&gt;5),1,0)</f>
        <v>2</v>
      </c>
      <c r="AY238" s="48">
        <f>VLOOKUP(AP238,COND!$A$10:$B$32,2,FALSE)</f>
        <v>1</v>
      </c>
      <c r="AZ238" s="46">
        <f>($AU$3*AU238+$AV$3*AV238+$AW$3*AW238+$AX$3*AX238)*AY238*IF(AQ238&lt;5,0.95,IF(AQ238&lt;7,0.975,1))+$I$3*VLOOKUP(I238,COND!$A$2:$E$7,4,FALSE)+$J$3*VLOOKUP(J238,COND!$A$2:$E$7,2,FALSE)+$K$3*VLOOKUP(K238,COND!$A$2:$E$7,3,FALSE)+IF(BB238="SP",$BB$3,0)+IF($AW238&lt;3,-5,0)+IF(AND($B$2&gt;0,$E238&lt;20),$B$2*25,0)</f>
        <v>31.083101557812086</v>
      </c>
      <c r="BA238" s="49">
        <f>STANDARDIZE(AZ238,AVERAGE($AZ$5:$AZ$570),STDEVP($AZ$5:$AZ$570))</f>
        <v>-0.15031699633738813</v>
      </c>
      <c r="BB238" s="47" t="str">
        <f>IF(OR(AND(AQ238&gt;7,AX238&gt;1),AND(AQ238&gt;4,AW238&gt;2)),"SP","RP")</f>
        <v>SP</v>
      </c>
      <c r="BC238" s="47"/>
      <c r="BD238" s="47"/>
      <c r="BE238" s="47"/>
      <c r="BF238" s="47" t="str">
        <f>IF(AVERAGE($O238:$Q238)&gt;=6,"Likely",IF(AVERAGE($O238:$Q238)&gt;=4,"Possible","Unlikely"))</f>
        <v>Unlikely</v>
      </c>
      <c r="BG238" s="47"/>
      <c r="BH238" s="47" t="str">
        <f>INDEX(Table5[[#All],[Ovr]],MATCH(Table3[[#This Row],[PID]],Table5[[#All],[PID]],0))</f>
        <v/>
      </c>
      <c r="BI238" s="47" t="str">
        <f>INDEX(Table5[[#All],[Rnd]],MATCH(Table3[[#This Row],[PID]],Table5[[#All],[PID]],0))</f>
        <v/>
      </c>
      <c r="BJ238" s="47" t="str">
        <f>INDEX(Table5[[#All],[Pick]],MATCH(Table3[[#This Row],[PID]],Table5[[#All],[PID]],0))</f>
        <v/>
      </c>
      <c r="BK238" s="47" t="str">
        <f>INDEX(Table5[[#All],[Team]],MATCH(Table3[[#This Row],[PID]],Table5[[#All],[PID]],0))</f>
        <v/>
      </c>
      <c r="BL2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9" spans="1:64" ht="15" customHeight="1" x14ac:dyDescent="0.25">
      <c r="A239" s="42">
        <v>6188</v>
      </c>
      <c r="B239" s="42" t="s">
        <v>430</v>
      </c>
      <c r="C239" s="42" t="s">
        <v>1750</v>
      </c>
      <c r="D239" s="42" t="s">
        <v>763</v>
      </c>
      <c r="E239" s="42">
        <v>18</v>
      </c>
      <c r="F239" s="42" t="s">
        <v>53</v>
      </c>
      <c r="G239" s="42" t="s">
        <v>53</v>
      </c>
      <c r="H239" s="43" t="s">
        <v>721</v>
      </c>
      <c r="I239" s="44" t="s">
        <v>43</v>
      </c>
      <c r="J239" s="42" t="s">
        <v>44</v>
      </c>
      <c r="K239" s="43" t="s">
        <v>47</v>
      </c>
      <c r="L239" s="42">
        <v>1</v>
      </c>
      <c r="M239" s="42">
        <v>1</v>
      </c>
      <c r="N239" s="43">
        <v>1</v>
      </c>
      <c r="O239" s="42">
        <v>3</v>
      </c>
      <c r="P239" s="42">
        <v>2</v>
      </c>
      <c r="Q239" s="43">
        <v>3</v>
      </c>
      <c r="R239" s="42">
        <v>2</v>
      </c>
      <c r="S239" s="42">
        <v>4</v>
      </c>
      <c r="T239" s="42" t="s">
        <v>45</v>
      </c>
      <c r="U239" s="42" t="s">
        <v>45</v>
      </c>
      <c r="V239" s="42">
        <v>1</v>
      </c>
      <c r="W239" s="42">
        <v>4</v>
      </c>
      <c r="X239" s="42">
        <v>1</v>
      </c>
      <c r="Y239" s="42">
        <v>3</v>
      </c>
      <c r="Z239" s="42" t="s">
        <v>45</v>
      </c>
      <c r="AA239" s="42" t="s">
        <v>45</v>
      </c>
      <c r="AB239" s="42" t="s">
        <v>45</v>
      </c>
      <c r="AC239" s="42" t="s">
        <v>45</v>
      </c>
      <c r="AD239" s="42" t="s">
        <v>45</v>
      </c>
      <c r="AE239" s="42" t="s">
        <v>45</v>
      </c>
      <c r="AF239" s="42" t="s">
        <v>45</v>
      </c>
      <c r="AG239" s="42" t="s">
        <v>45</v>
      </c>
      <c r="AH239" s="42" t="s">
        <v>45</v>
      </c>
      <c r="AI239" s="42" t="s">
        <v>45</v>
      </c>
      <c r="AJ239" s="42" t="s">
        <v>45</v>
      </c>
      <c r="AK239" s="42" t="s">
        <v>45</v>
      </c>
      <c r="AL239" s="42" t="s">
        <v>45</v>
      </c>
      <c r="AM239" s="42" t="s">
        <v>45</v>
      </c>
      <c r="AN239" s="42" t="s">
        <v>45</v>
      </c>
      <c r="AO239" s="43" t="s">
        <v>45</v>
      </c>
      <c r="AP239" s="42" t="s">
        <v>68</v>
      </c>
      <c r="AQ239" s="42">
        <v>7</v>
      </c>
      <c r="AR239" s="50" t="s">
        <v>14</v>
      </c>
      <c r="AS239" s="45" t="s">
        <v>730</v>
      </c>
      <c r="AT239" s="45" t="s">
        <v>705</v>
      </c>
      <c r="AU239" s="46">
        <f>($O$3*(L239-$O$1)/$O$2+$P$3*(M239-$P$1)/$P$2+$Q$3*(N239-$P$1)/$Q$2)/SUM($O$3:$Q$3)</f>
        <v>-2.7014842379675978</v>
      </c>
      <c r="AV239" s="46">
        <f>($O$3*(O239-$O$1)/$O$2+$P$3*(P239-$P$1)/$P$2+$Q$3*(Q239-$Q$1)/$Q$2)/SUM($O$3:$Q$3)</f>
        <v>-1.1865339896739031</v>
      </c>
      <c r="AW239" s="47">
        <f>COUNT(R239:AO239)/2</f>
        <v>3</v>
      </c>
      <c r="AX239" s="47">
        <f>IF(AND(S239&lt;&gt;"-",S239&gt;5),1,0)+IF(AND(U239&lt;&gt;"-",U239&gt;5),1,0)+IF(AND(W239&lt;&gt;"-",W239&gt;5),1,0)+IF(AND(Y239&lt;&gt;"-",Y239&gt;5),1,0)+IF(AND(AA239&lt;&gt;"-",AA239&gt;5),1,0)+IF(AND(AC239&lt;&gt;"-",AC239&gt;5),1,0)+IF(AND(AE239&lt;&gt;"-",AE239&gt;5),1,0)+IF(AND(AG239&lt;&gt;"-",AG239&gt;5),1,0)+IF(AND(AI239&lt;&gt;"-",AI239&gt;5),1,0)+IF(AND(AK239&lt;&gt;"-",AK239&gt;5),1,0)+IF(AND(AM239&lt;&gt;"-",AM239&gt;5),1,0)+IF(AND(AO239&lt;&gt;"-",AO239&gt;5),1,0)</f>
        <v>0</v>
      </c>
      <c r="AY239" s="48">
        <f>VLOOKUP(AP239,COND!$A$10:$B$32,2,FALSE)</f>
        <v>0.95</v>
      </c>
      <c r="AZ239" s="46">
        <f>($AU$3*AU239+$AV$3*AV239+$AW$3*AW239+$AX$3*AX239)*AY239*IF(AQ239&lt;5,0.95,IF(AQ239&lt;7,0.975,1))+$I$3*VLOOKUP(I239,COND!$A$2:$E$7,4,FALSE)+$J$3*VLOOKUP(J239,COND!$A$2:$E$7,2,FALSE)+$K$3*VLOOKUP(K239,COND!$A$2:$E$7,3,FALSE)+IF(BB239="SP",$BB$3,0)+IF($AW239&lt;3,-5,0)+IF(AND($B$2&gt;0,$E239&lt;20),$B$2*25,0)</f>
        <v>30.367572190981999</v>
      </c>
      <c r="BA239" s="49">
        <f>STANDARDIZE(AZ239,AVERAGE($AZ$5:$AZ$570),STDEVP($AZ$5:$AZ$570))</f>
        <v>-0.21593409751249609</v>
      </c>
      <c r="BB239" s="47" t="str">
        <f>IF(OR(AND(AQ239&gt;7,AX239&gt;1),AND(AQ239&gt;4,AW239&gt;2)),"SP","RP")</f>
        <v>SP</v>
      </c>
      <c r="BC239" s="47"/>
      <c r="BD239" s="47"/>
      <c r="BE239" s="47"/>
      <c r="BF239" s="47" t="str">
        <f>IF(AVERAGE($O239:$Q239)&gt;=6,"Likely",IF(AVERAGE($O239:$Q239)&gt;=4,"Possible","Unlikely"))</f>
        <v>Unlikely</v>
      </c>
      <c r="BG239" s="47"/>
      <c r="BH239" s="47" t="str">
        <f>INDEX(Table5[[#All],[Ovr]],MATCH(Table3[[#This Row],[PID]],Table5[[#All],[PID]],0))</f>
        <v/>
      </c>
      <c r="BI239" s="47" t="str">
        <f>INDEX(Table5[[#All],[Rnd]],MATCH(Table3[[#This Row],[PID]],Table5[[#All],[PID]],0))</f>
        <v/>
      </c>
      <c r="BJ239" s="47" t="str">
        <f>INDEX(Table5[[#All],[Pick]],MATCH(Table3[[#This Row],[PID]],Table5[[#All],[PID]],0))</f>
        <v/>
      </c>
      <c r="BK239" s="47" t="str">
        <f>INDEX(Table5[[#All],[Team]],MATCH(Table3[[#This Row],[PID]],Table5[[#All],[PID]],0))</f>
        <v/>
      </c>
      <c r="BL2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0" spans="1:64" ht="15" customHeight="1" x14ac:dyDescent="0.25">
      <c r="A240" s="42">
        <v>11216</v>
      </c>
      <c r="B240" s="42" t="s">
        <v>24</v>
      </c>
      <c r="C240" s="42" t="s">
        <v>1301</v>
      </c>
      <c r="D240" s="42" t="s">
        <v>550</v>
      </c>
      <c r="E240" s="42">
        <v>18</v>
      </c>
      <c r="F240" s="42" t="s">
        <v>53</v>
      </c>
      <c r="G240" s="42" t="s">
        <v>42</v>
      </c>
      <c r="H240" s="43" t="s">
        <v>721</v>
      </c>
      <c r="I240" s="44" t="s">
        <v>47</v>
      </c>
      <c r="J240" s="42" t="s">
        <v>43</v>
      </c>
      <c r="K240" s="43" t="s">
        <v>43</v>
      </c>
      <c r="L240" s="42">
        <v>1</v>
      </c>
      <c r="M240" s="42">
        <v>1</v>
      </c>
      <c r="N240" s="43">
        <v>1</v>
      </c>
      <c r="O240" s="42">
        <v>4</v>
      </c>
      <c r="P240" s="42">
        <v>2</v>
      </c>
      <c r="Q240" s="43">
        <v>2</v>
      </c>
      <c r="R240" s="42">
        <v>3</v>
      </c>
      <c r="S240" s="42">
        <v>5</v>
      </c>
      <c r="T240" s="42">
        <v>1</v>
      </c>
      <c r="U240" s="42">
        <v>6</v>
      </c>
      <c r="V240" s="42" t="s">
        <v>45</v>
      </c>
      <c r="W240" s="42" t="s">
        <v>45</v>
      </c>
      <c r="X240" s="42">
        <v>2</v>
      </c>
      <c r="Y240" s="42">
        <v>2</v>
      </c>
      <c r="Z240" s="42" t="s">
        <v>45</v>
      </c>
      <c r="AA240" s="42" t="s">
        <v>45</v>
      </c>
      <c r="AB240" s="42" t="s">
        <v>45</v>
      </c>
      <c r="AC240" s="42" t="s">
        <v>45</v>
      </c>
      <c r="AD240" s="42" t="s">
        <v>45</v>
      </c>
      <c r="AE240" s="42" t="s">
        <v>45</v>
      </c>
      <c r="AF240" s="42">
        <v>3</v>
      </c>
      <c r="AG240" s="42">
        <v>5</v>
      </c>
      <c r="AH240" s="42" t="s">
        <v>45</v>
      </c>
      <c r="AI240" s="42" t="s">
        <v>45</v>
      </c>
      <c r="AJ240" s="42" t="s">
        <v>45</v>
      </c>
      <c r="AK240" s="42" t="s">
        <v>45</v>
      </c>
      <c r="AL240" s="42" t="s">
        <v>45</v>
      </c>
      <c r="AM240" s="42" t="s">
        <v>45</v>
      </c>
      <c r="AN240" s="42" t="s">
        <v>45</v>
      </c>
      <c r="AO240" s="43" t="s">
        <v>45</v>
      </c>
      <c r="AP240" s="42" t="s">
        <v>356</v>
      </c>
      <c r="AQ240" s="42">
        <v>7</v>
      </c>
      <c r="AR240" s="50" t="s">
        <v>14</v>
      </c>
      <c r="AS240" s="45" t="s">
        <v>758</v>
      </c>
      <c r="AT240" s="45" t="s">
        <v>705</v>
      </c>
      <c r="AU240" s="46">
        <f>($O$3*(L240-$O$1)/$O$2+$P$3*(M240-$P$1)/$P$2+$Q$3*(N240-$P$1)/$Q$2)/SUM($O$3:$Q$3)</f>
        <v>-2.7014842379675978</v>
      </c>
      <c r="AV240" s="46">
        <f>($O$3*(O240-$O$1)/$O$2+$P$3*(P240-$P$1)/$P$2+$Q$3*(Q240-$Q$1)/$Q$2)/SUM($O$3:$Q$3)</f>
        <v>-1.23416323121884</v>
      </c>
      <c r="AW240" s="47">
        <f>COUNT(R240:AO240)/2</f>
        <v>4</v>
      </c>
      <c r="AX240" s="47">
        <f>IF(AND(S240&lt;&gt;"-",S240&gt;5),1,0)+IF(AND(U240&lt;&gt;"-",U240&gt;5),1,0)+IF(AND(W240&lt;&gt;"-",W240&gt;5),1,0)+IF(AND(Y240&lt;&gt;"-",Y240&gt;5),1,0)+IF(AND(AA240&lt;&gt;"-",AA240&gt;5),1,0)+IF(AND(AC240&lt;&gt;"-",AC240&gt;5),1,0)+IF(AND(AE240&lt;&gt;"-",AE240&gt;5),1,0)+IF(AND(AG240&lt;&gt;"-",AG240&gt;5),1,0)+IF(AND(AI240&lt;&gt;"-",AI240&gt;5),1,0)+IF(AND(AK240&lt;&gt;"-",AK240&gt;5),1,0)+IF(AND(AM240&lt;&gt;"-",AM240&gt;5),1,0)+IF(AND(AO240&lt;&gt;"-",AO240&gt;5),1,0)</f>
        <v>1</v>
      </c>
      <c r="AY240" s="48">
        <f>VLOOKUP(AP240,COND!$A$10:$B$32,2,FALSE)</f>
        <v>1</v>
      </c>
      <c r="AZ240" s="46">
        <f>($AU$3*AU240+$AV$3*AV240+$AW$3*AW240+$AX$3*AX240)*AY240*IF(AQ240&lt;5,0.95,IF(AQ240&lt;7,0.975,1))+$I$3*VLOOKUP(I240,COND!$A$2:$E$7,4,FALSE)+$J$3*VLOOKUP(J240,COND!$A$2:$E$7,2,FALSE)+$K$3*VLOOKUP(K240,COND!$A$2:$E$7,3,FALSE)+IF(BB240="SP",$BB$3,0)+IF($AW240&lt;3,-5,0)+IF(AND($B$2&gt;0,$E240&lt;20),$B$2*25,0)</f>
        <v>30.251438528029677</v>
      </c>
      <c r="BA240" s="49">
        <f>STANDARDIZE(AZ240,AVERAGE($AZ$5:$AZ$570),STDEVP($AZ$5:$AZ$570))</f>
        <v>-0.22658405077093163</v>
      </c>
      <c r="BB240" s="47" t="str">
        <f>IF(OR(AND(AQ240&gt;7,AX240&gt;1),AND(AQ240&gt;4,AW240&gt;2)),"SP","RP")</f>
        <v>SP</v>
      </c>
      <c r="BC240" s="47"/>
      <c r="BD240" s="47"/>
      <c r="BE240" s="47"/>
      <c r="BF240" s="47" t="str">
        <f>IF(AVERAGE($O240:$Q240)&gt;=6,"Likely",IF(AVERAGE($O240:$Q240)&gt;=4,"Possible","Unlikely"))</f>
        <v>Unlikely</v>
      </c>
      <c r="BG240" s="47"/>
      <c r="BH240" s="47" t="str">
        <f>INDEX(Table5[[#All],[Ovr]],MATCH(Table3[[#This Row],[PID]],Table5[[#All],[PID]],0))</f>
        <v/>
      </c>
      <c r="BI240" s="47" t="str">
        <f>INDEX(Table5[[#All],[Rnd]],MATCH(Table3[[#This Row],[PID]],Table5[[#All],[PID]],0))</f>
        <v/>
      </c>
      <c r="BJ240" s="47" t="str">
        <f>INDEX(Table5[[#All],[Pick]],MATCH(Table3[[#This Row],[PID]],Table5[[#All],[PID]],0))</f>
        <v/>
      </c>
      <c r="BK240" s="47" t="str">
        <f>INDEX(Table5[[#All],[Team]],MATCH(Table3[[#This Row],[PID]],Table5[[#All],[PID]],0))</f>
        <v/>
      </c>
      <c r="BL2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1" spans="1:64" ht="15" customHeight="1" x14ac:dyDescent="0.25">
      <c r="A241" s="42">
        <v>9184</v>
      </c>
      <c r="B241" s="42" t="s">
        <v>49</v>
      </c>
      <c r="C241" s="42" t="s">
        <v>167</v>
      </c>
      <c r="D241" s="42" t="s">
        <v>470</v>
      </c>
      <c r="E241" s="42">
        <v>18</v>
      </c>
      <c r="F241" s="42" t="s">
        <v>62</v>
      </c>
      <c r="G241" s="42" t="s">
        <v>42</v>
      </c>
      <c r="H241" s="43" t="s">
        <v>721</v>
      </c>
      <c r="I241" s="44" t="s">
        <v>43</v>
      </c>
      <c r="J241" s="42" t="s">
        <v>44</v>
      </c>
      <c r="K241" s="43" t="s">
        <v>43</v>
      </c>
      <c r="L241" s="42">
        <v>1</v>
      </c>
      <c r="M241" s="42">
        <v>2</v>
      </c>
      <c r="N241" s="43">
        <v>1</v>
      </c>
      <c r="O241" s="42">
        <v>4</v>
      </c>
      <c r="P241" s="42">
        <v>2</v>
      </c>
      <c r="Q241" s="43">
        <v>2</v>
      </c>
      <c r="R241" s="42">
        <v>2</v>
      </c>
      <c r="S241" s="42">
        <v>3</v>
      </c>
      <c r="T241" s="42">
        <v>1</v>
      </c>
      <c r="U241" s="42">
        <v>5</v>
      </c>
      <c r="V241" s="42">
        <v>2</v>
      </c>
      <c r="W241" s="42">
        <v>6</v>
      </c>
      <c r="X241" s="42" t="s">
        <v>45</v>
      </c>
      <c r="Y241" s="42" t="s">
        <v>45</v>
      </c>
      <c r="Z241" s="42" t="s">
        <v>45</v>
      </c>
      <c r="AA241" s="42" t="s">
        <v>45</v>
      </c>
      <c r="AB241" s="42" t="s">
        <v>45</v>
      </c>
      <c r="AC241" s="42" t="s">
        <v>45</v>
      </c>
      <c r="AD241" s="42" t="s">
        <v>45</v>
      </c>
      <c r="AE241" s="42" t="s">
        <v>45</v>
      </c>
      <c r="AF241" s="42" t="s">
        <v>45</v>
      </c>
      <c r="AG241" s="42" t="s">
        <v>45</v>
      </c>
      <c r="AH241" s="42" t="s">
        <v>45</v>
      </c>
      <c r="AI241" s="42" t="s">
        <v>45</v>
      </c>
      <c r="AJ241" s="42" t="s">
        <v>45</v>
      </c>
      <c r="AK241" s="42" t="s">
        <v>45</v>
      </c>
      <c r="AL241" s="42" t="s">
        <v>45</v>
      </c>
      <c r="AM241" s="42" t="s">
        <v>45</v>
      </c>
      <c r="AN241" s="42" t="s">
        <v>45</v>
      </c>
      <c r="AO241" s="43" t="s">
        <v>45</v>
      </c>
      <c r="AP241" s="42" t="s">
        <v>65</v>
      </c>
      <c r="AQ241" s="42">
        <v>6</v>
      </c>
      <c r="AR241" s="50" t="s">
        <v>353</v>
      </c>
      <c r="AS241" s="45" t="s">
        <v>718</v>
      </c>
      <c r="AT241" s="45" t="s">
        <v>705</v>
      </c>
      <c r="AU241" s="46">
        <f>($O$3*(L241-$O$1)/$O$2+$P$3*(M241-$P$1)/$P$2+$Q$3*(N241-$P$1)/$Q$2)/SUM($O$3:$Q$3)</f>
        <v>-2.5060525215375429</v>
      </c>
      <c r="AV241" s="46">
        <f>($O$3*(O241-$O$1)/$O$2+$P$3*(P241-$P$1)/$P$2+$Q$3*(Q241-$Q$1)/$Q$2)/SUM($O$3:$Q$3)</f>
        <v>-1.23416323121884</v>
      </c>
      <c r="AW241" s="47">
        <f>COUNT(R241:AO241)/2</f>
        <v>3</v>
      </c>
      <c r="AX241" s="47">
        <f>IF(AND(S241&lt;&gt;"-",S241&gt;5),1,0)+IF(AND(U241&lt;&gt;"-",U241&gt;5),1,0)+IF(AND(W241&lt;&gt;"-",W241&gt;5),1,0)+IF(AND(Y241&lt;&gt;"-",Y241&gt;5),1,0)+IF(AND(AA241&lt;&gt;"-",AA241&gt;5),1,0)+IF(AND(AC241&lt;&gt;"-",AC241&gt;5),1,0)+IF(AND(AE241&lt;&gt;"-",AE241&gt;5),1,0)+IF(AND(AG241&lt;&gt;"-",AG241&gt;5),1,0)+IF(AND(AI241&lt;&gt;"-",AI241&gt;5),1,0)+IF(AND(AK241&lt;&gt;"-",AK241&gt;5),1,0)+IF(AND(AM241&lt;&gt;"-",AM241&gt;5),1,0)+IF(AND(AO241&lt;&gt;"-",AO241&gt;5),1,0)</f>
        <v>1</v>
      </c>
      <c r="AY241" s="48">
        <f>VLOOKUP(AP241,COND!$A$10:$B$32,2,FALSE)</f>
        <v>0.95</v>
      </c>
      <c r="AZ241" s="46">
        <f>($AU$3*AU241+$AV$3*AV241+$AW$3*AW241+$AX$3*AX241)*AY241*IF(AQ241&lt;5,0.95,IF(AQ241&lt;7,0.975,1))+$I$3*VLOOKUP(I241,COND!$A$2:$E$7,4,FALSE)+$J$3*VLOOKUP(J241,COND!$A$2:$E$7,2,FALSE)+$K$3*VLOOKUP(K241,COND!$A$2:$E$7,3,FALSE)+IF(BB241="SP",$BB$3,0)+IF($AW241&lt;3,-5,0)+IF(AND($B$2&gt;0,$E241&lt;20),$B$2*25,0)</f>
        <v>30.920067412056163</v>
      </c>
      <c r="BA241" s="49">
        <f>STANDARDIZE(AZ241,AVERAGE($AZ$5:$AZ$570),STDEVP($AZ$5:$AZ$570))</f>
        <v>-0.16526792432579038</v>
      </c>
      <c r="BB241" s="47" t="str">
        <f>IF(OR(AND(AQ241&gt;7,AX241&gt;1),AND(AQ241&gt;4,AW241&gt;2)),"SP","RP")</f>
        <v>SP</v>
      </c>
      <c r="BC241" s="47"/>
      <c r="BD241" s="47"/>
      <c r="BE241" s="47"/>
      <c r="BF241" s="47" t="str">
        <f>IF(AVERAGE($O241:$Q241)&gt;=6,"Likely",IF(AVERAGE($O241:$Q241)&gt;=4,"Possible","Unlikely"))</f>
        <v>Unlikely</v>
      </c>
      <c r="BG241" s="47"/>
      <c r="BH241" s="47" t="str">
        <f>INDEX(Table5[[#All],[Ovr]],MATCH(Table3[[#This Row],[PID]],Table5[[#All],[PID]],0))</f>
        <v/>
      </c>
      <c r="BI241" s="47" t="str">
        <f>INDEX(Table5[[#All],[Rnd]],MATCH(Table3[[#This Row],[PID]],Table5[[#All],[PID]],0))</f>
        <v/>
      </c>
      <c r="BJ241" s="47" t="str">
        <f>INDEX(Table5[[#All],[Pick]],MATCH(Table3[[#This Row],[PID]],Table5[[#All],[PID]],0))</f>
        <v/>
      </c>
      <c r="BK241" s="47" t="str">
        <f>INDEX(Table5[[#All],[Team]],MATCH(Table3[[#This Row],[PID]],Table5[[#All],[PID]],0))</f>
        <v/>
      </c>
      <c r="BL2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2" spans="1:64" ht="15" customHeight="1" x14ac:dyDescent="0.25">
      <c r="A242" s="42">
        <v>12768</v>
      </c>
      <c r="B242" s="42" t="s">
        <v>430</v>
      </c>
      <c r="C242" s="42" t="s">
        <v>639</v>
      </c>
      <c r="D242" s="42" t="s">
        <v>1413</v>
      </c>
      <c r="E242" s="42">
        <v>21</v>
      </c>
      <c r="F242" s="42" t="s">
        <v>53</v>
      </c>
      <c r="G242" s="42" t="s">
        <v>53</v>
      </c>
      <c r="H242" s="43" t="s">
        <v>721</v>
      </c>
      <c r="I242" s="44" t="s">
        <v>43</v>
      </c>
      <c r="J242" s="42" t="s">
        <v>47</v>
      </c>
      <c r="K242" s="43" t="s">
        <v>43</v>
      </c>
      <c r="L242" s="42">
        <v>2</v>
      </c>
      <c r="M242" s="42">
        <v>2</v>
      </c>
      <c r="N242" s="43">
        <v>2</v>
      </c>
      <c r="O242" s="42">
        <v>4</v>
      </c>
      <c r="P242" s="42">
        <v>2</v>
      </c>
      <c r="Q242" s="43">
        <v>3</v>
      </c>
      <c r="R242" s="42">
        <v>4</v>
      </c>
      <c r="S242" s="42">
        <v>5</v>
      </c>
      <c r="T242" s="42">
        <v>2</v>
      </c>
      <c r="U242" s="42">
        <v>3</v>
      </c>
      <c r="V242" s="42">
        <v>2</v>
      </c>
      <c r="W242" s="42">
        <v>5</v>
      </c>
      <c r="X242" s="42">
        <v>2</v>
      </c>
      <c r="Y242" s="42">
        <v>3</v>
      </c>
      <c r="Z242" s="42" t="s">
        <v>45</v>
      </c>
      <c r="AA242" s="42" t="s">
        <v>45</v>
      </c>
      <c r="AB242" s="42" t="s">
        <v>45</v>
      </c>
      <c r="AC242" s="42" t="s">
        <v>45</v>
      </c>
      <c r="AD242" s="42" t="s">
        <v>45</v>
      </c>
      <c r="AE242" s="42" t="s">
        <v>45</v>
      </c>
      <c r="AF242" s="42" t="s">
        <v>45</v>
      </c>
      <c r="AG242" s="42" t="s">
        <v>45</v>
      </c>
      <c r="AH242" s="42" t="s">
        <v>45</v>
      </c>
      <c r="AI242" s="42" t="s">
        <v>45</v>
      </c>
      <c r="AJ242" s="42" t="s">
        <v>45</v>
      </c>
      <c r="AK242" s="42" t="s">
        <v>45</v>
      </c>
      <c r="AL242" s="42" t="s">
        <v>45</v>
      </c>
      <c r="AM242" s="42" t="s">
        <v>45</v>
      </c>
      <c r="AN242" s="42" t="s">
        <v>45</v>
      </c>
      <c r="AO242" s="43" t="s">
        <v>45</v>
      </c>
      <c r="AP242" s="42" t="s">
        <v>57</v>
      </c>
      <c r="AQ242" s="42">
        <v>6</v>
      </c>
      <c r="AR242" s="50" t="s">
        <v>353</v>
      </c>
      <c r="AS242" s="45" t="s">
        <v>45</v>
      </c>
      <c r="AT242" s="45" t="s">
        <v>705</v>
      </c>
      <c r="AU242" s="46">
        <f>($O$3*(L242-$O$1)/$O$2+$P$3*(M242-$P$1)/$P$2+$Q$3*(N242-$P$1)/$Q$2)/SUM($O$3:$Q$3)</f>
        <v>-2.0690406309742588</v>
      </c>
      <c r="AV242" s="46">
        <f>($O$3*(O242-$O$1)/$O$2+$P$3*(P242-$P$1)/$P$2+$Q$3*(Q242-$Q$1)/$Q$2)/SUM($O$3:$Q$3)</f>
        <v>-0.99184266516472974</v>
      </c>
      <c r="AW242" s="47">
        <f>COUNT(R242:AO242)/2</f>
        <v>4</v>
      </c>
      <c r="AX242" s="47">
        <f>IF(AND(S242&lt;&gt;"-",S242&gt;5),1,0)+IF(AND(U242&lt;&gt;"-",U242&gt;5),1,0)+IF(AND(W242&lt;&gt;"-",W242&gt;5),1,0)+IF(AND(Y242&lt;&gt;"-",Y242&gt;5),1,0)+IF(AND(AA242&lt;&gt;"-",AA242&gt;5),1,0)+IF(AND(AC242&lt;&gt;"-",AC242&gt;5),1,0)+IF(AND(AE242&lt;&gt;"-",AE242&gt;5),1,0)+IF(AND(AG242&lt;&gt;"-",AG242&gt;5),1,0)+IF(AND(AI242&lt;&gt;"-",AI242&gt;5),1,0)+IF(AND(AK242&lt;&gt;"-",AK242&gt;5),1,0)+IF(AND(AM242&lt;&gt;"-",AM242&gt;5),1,0)+IF(AND(AO242&lt;&gt;"-",AO242&gt;5),1,0)</f>
        <v>0</v>
      </c>
      <c r="AY242" s="48">
        <f>VLOOKUP(AP242,COND!$A$10:$B$32,2,FALSE)</f>
        <v>1</v>
      </c>
      <c r="AZ242" s="46">
        <f>($AU$3*AU242+$AV$3*AV242+$AW$3*AW242+$AX$3*AX242)*AY242*IF(AQ242&lt;5,0.95,IF(AQ242&lt;7,0.975,1))+$I$3*VLOOKUP(I242,COND!$A$2:$E$7,4,FALSE)+$J$3*VLOOKUP(J242,COND!$A$2:$E$7,2,FALSE)+$K$3*VLOOKUP(K242,COND!$A$2:$E$7,3,FALSE)+IF(BB242="SP",$BB$3,0)+IF($AW242&lt;3,-5,0)+IF(AND($B$2&gt;0,$E242&lt;20),$B$2*25,0)</f>
        <v>29.505605106247788</v>
      </c>
      <c r="BA242" s="49">
        <f>STANDARDIZE(AZ242,AVERAGE($AZ$5:$AZ$570),STDEVP($AZ$5:$AZ$570))</f>
        <v>-0.29498016330737292</v>
      </c>
      <c r="BB242" s="47" t="str">
        <f>IF(OR(AND(AQ242&gt;7,AX242&gt;1),AND(AQ242&gt;4,AW242&gt;2)),"SP","RP")</f>
        <v>SP</v>
      </c>
      <c r="BC242" s="47"/>
      <c r="BD242" s="47"/>
      <c r="BE242" s="47"/>
      <c r="BF242" s="47" t="str">
        <f>IF(AVERAGE($O242:$Q242)&gt;=6,"Likely",IF(AVERAGE($O242:$Q242)&gt;=4,"Possible","Unlikely"))</f>
        <v>Unlikely</v>
      </c>
      <c r="BG242" s="47"/>
      <c r="BH242" s="47" t="str">
        <f>INDEX(Table5[[#All],[Ovr]],MATCH(Table3[[#This Row],[PID]],Table5[[#All],[PID]],0))</f>
        <v/>
      </c>
      <c r="BI242" s="47" t="str">
        <f>INDEX(Table5[[#All],[Rnd]],MATCH(Table3[[#This Row],[PID]],Table5[[#All],[PID]],0))</f>
        <v/>
      </c>
      <c r="BJ242" s="47" t="str">
        <f>INDEX(Table5[[#All],[Pick]],MATCH(Table3[[#This Row],[PID]],Table5[[#All],[PID]],0))</f>
        <v/>
      </c>
      <c r="BK242" s="47" t="str">
        <f>INDEX(Table5[[#All],[Team]],MATCH(Table3[[#This Row],[PID]],Table5[[#All],[PID]],0))</f>
        <v/>
      </c>
      <c r="BL2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3" spans="1:64" ht="15" customHeight="1" x14ac:dyDescent="0.25">
      <c r="A243" s="42">
        <v>17878</v>
      </c>
      <c r="B243" s="42" t="s">
        <v>24</v>
      </c>
      <c r="C243" s="42" t="s">
        <v>1698</v>
      </c>
      <c r="D243" s="42" t="s">
        <v>416</v>
      </c>
      <c r="E243" s="42">
        <v>18</v>
      </c>
      <c r="F243" s="42" t="s">
        <v>53</v>
      </c>
      <c r="G243" s="42" t="s">
        <v>53</v>
      </c>
      <c r="H243" s="43" t="s">
        <v>721</v>
      </c>
      <c r="I243" s="44" t="s">
        <v>44</v>
      </c>
      <c r="J243" s="42" t="s">
        <v>44</v>
      </c>
      <c r="K243" s="43" t="s">
        <v>43</v>
      </c>
      <c r="L243" s="42">
        <v>1</v>
      </c>
      <c r="M243" s="42">
        <v>2</v>
      </c>
      <c r="N243" s="43">
        <v>1</v>
      </c>
      <c r="O243" s="42">
        <v>4</v>
      </c>
      <c r="P243" s="42">
        <v>2</v>
      </c>
      <c r="Q243" s="43">
        <v>2</v>
      </c>
      <c r="R243" s="42">
        <v>3</v>
      </c>
      <c r="S243" s="42">
        <v>5</v>
      </c>
      <c r="T243" s="42" t="s">
        <v>45</v>
      </c>
      <c r="U243" s="42" t="s">
        <v>45</v>
      </c>
      <c r="V243" s="42">
        <v>2</v>
      </c>
      <c r="W243" s="42">
        <v>6</v>
      </c>
      <c r="X243" s="42">
        <v>2</v>
      </c>
      <c r="Y243" s="42">
        <v>6</v>
      </c>
      <c r="Z243" s="42" t="s">
        <v>45</v>
      </c>
      <c r="AA243" s="42" t="s">
        <v>45</v>
      </c>
      <c r="AB243" s="42" t="s">
        <v>45</v>
      </c>
      <c r="AC243" s="42" t="s">
        <v>45</v>
      </c>
      <c r="AD243" s="42" t="s">
        <v>45</v>
      </c>
      <c r="AE243" s="42" t="s">
        <v>45</v>
      </c>
      <c r="AF243" s="42" t="s">
        <v>45</v>
      </c>
      <c r="AG243" s="42" t="s">
        <v>45</v>
      </c>
      <c r="AH243" s="42" t="s">
        <v>45</v>
      </c>
      <c r="AI243" s="42" t="s">
        <v>45</v>
      </c>
      <c r="AJ243" s="42" t="s">
        <v>45</v>
      </c>
      <c r="AK243" s="42" t="s">
        <v>45</v>
      </c>
      <c r="AL243" s="42" t="s">
        <v>45</v>
      </c>
      <c r="AM243" s="42" t="s">
        <v>45</v>
      </c>
      <c r="AN243" s="42" t="s">
        <v>45</v>
      </c>
      <c r="AO243" s="43" t="s">
        <v>45</v>
      </c>
      <c r="AP243" s="42" t="s">
        <v>64</v>
      </c>
      <c r="AQ243" s="42">
        <v>5</v>
      </c>
      <c r="AR243" s="50" t="s">
        <v>353</v>
      </c>
      <c r="AS243" s="45" t="s">
        <v>606</v>
      </c>
      <c r="AT243" s="45" t="s">
        <v>47</v>
      </c>
      <c r="AU243" s="46">
        <f>($O$3*(L243-$O$1)/$O$2+$P$3*(M243-$P$1)/$P$2+$Q$3*(N243-$P$1)/$Q$2)/SUM($O$3:$Q$3)</f>
        <v>-2.5060525215375429</v>
      </c>
      <c r="AV243" s="46">
        <f>($O$3*(O243-$O$1)/$O$2+$P$3*(P243-$P$1)/$P$2+$Q$3*(Q243-$Q$1)/$Q$2)/SUM($O$3:$Q$3)</f>
        <v>-1.23416323121884</v>
      </c>
      <c r="AW243" s="47">
        <f>COUNT(R243:AO243)/2</f>
        <v>3</v>
      </c>
      <c r="AX243" s="47">
        <f>IF(AND(S243&lt;&gt;"-",S243&gt;5),1,0)+IF(AND(U243&lt;&gt;"-",U243&gt;5),1,0)+IF(AND(W243&lt;&gt;"-",W243&gt;5),1,0)+IF(AND(Y243&lt;&gt;"-",Y243&gt;5),1,0)+IF(AND(AA243&lt;&gt;"-",AA243&gt;5),1,0)+IF(AND(AC243&lt;&gt;"-",AC243&gt;5),1,0)+IF(AND(AE243&lt;&gt;"-",AE243&gt;5),1,0)+IF(AND(AG243&lt;&gt;"-",AG243&gt;5),1,0)+IF(AND(AI243&lt;&gt;"-",AI243&gt;5),1,0)+IF(AND(AK243&lt;&gt;"-",AK243&gt;5),1,0)+IF(AND(AM243&lt;&gt;"-",AM243&gt;5),1,0)+IF(AND(AO243&lt;&gt;"-",AO243&gt;5),1,0)</f>
        <v>2</v>
      </c>
      <c r="AY243" s="48">
        <f>VLOOKUP(AP243,COND!$A$10:$B$32,2,FALSE)</f>
        <v>1</v>
      </c>
      <c r="AZ243" s="46">
        <f>($AU$3*AU243+$AV$3*AV243+$AW$3*AW243+$AX$3*AX243)*AY243*IF(AQ243&lt;5,0.95,IF(AQ243&lt;7,0.975,1))+$I$3*VLOOKUP(I243,COND!$A$2:$E$7,4,FALSE)+$J$3*VLOOKUP(J243,COND!$A$2:$E$7,2,FALSE)+$K$3*VLOOKUP(K243,COND!$A$2:$E$7,3,FALSE)+IF(BB243="SP",$BB$3,0)+IF($AW243&lt;3,-5,0)+IF(AND($B$2&gt;0,$E243&lt;20),$B$2*25,0)</f>
        <v>30.895136749532796</v>
      </c>
      <c r="BA243" s="49">
        <f>STANDARDIZE(AZ243,AVERAGE($AZ$5:$AZ$570),STDEVP($AZ$5:$AZ$570))</f>
        <v>-0.16755417263507424</v>
      </c>
      <c r="BB243" s="47" t="str">
        <f>IF(OR(AND(AQ243&gt;7,AX243&gt;1),AND(AQ243&gt;4,AW243&gt;2)),"SP","RP")</f>
        <v>SP</v>
      </c>
      <c r="BC243" s="47"/>
      <c r="BD243" s="47"/>
      <c r="BE243" s="47"/>
      <c r="BF243" s="47" t="str">
        <f>IF(AVERAGE($O243:$Q243)&gt;=6,"Likely",IF(AVERAGE($O243:$Q243)&gt;=4,"Possible","Unlikely"))</f>
        <v>Unlikely</v>
      </c>
      <c r="BG243" s="47"/>
      <c r="BH243" s="47" t="str">
        <f>INDEX(Table5[[#All],[Ovr]],MATCH(Table3[[#This Row],[PID]],Table5[[#All],[PID]],0))</f>
        <v/>
      </c>
      <c r="BI243" s="47" t="str">
        <f>INDEX(Table5[[#All],[Rnd]],MATCH(Table3[[#This Row],[PID]],Table5[[#All],[PID]],0))</f>
        <v/>
      </c>
      <c r="BJ243" s="47" t="str">
        <f>INDEX(Table5[[#All],[Pick]],MATCH(Table3[[#This Row],[PID]],Table5[[#All],[PID]],0))</f>
        <v/>
      </c>
      <c r="BK243" s="47" t="str">
        <f>INDEX(Table5[[#All],[Team]],MATCH(Table3[[#This Row],[PID]],Table5[[#All],[PID]],0))</f>
        <v/>
      </c>
      <c r="BL2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4" spans="1:64" ht="15" customHeight="1" x14ac:dyDescent="0.25">
      <c r="A244" s="42">
        <v>17609</v>
      </c>
      <c r="B244" s="42" t="s">
        <v>430</v>
      </c>
      <c r="C244" s="42" t="s">
        <v>1465</v>
      </c>
      <c r="D244" s="42" t="s">
        <v>1092</v>
      </c>
      <c r="E244" s="42">
        <v>18</v>
      </c>
      <c r="F244" s="42" t="s">
        <v>53</v>
      </c>
      <c r="G244" s="42" t="s">
        <v>53</v>
      </c>
      <c r="H244" s="43" t="s">
        <v>721</v>
      </c>
      <c r="I244" s="44" t="s">
        <v>43</v>
      </c>
      <c r="J244" s="42" t="s">
        <v>43</v>
      </c>
      <c r="K244" s="43" t="s">
        <v>44</v>
      </c>
      <c r="L244" s="42">
        <v>1</v>
      </c>
      <c r="M244" s="42">
        <v>1</v>
      </c>
      <c r="N244" s="43">
        <v>1</v>
      </c>
      <c r="O244" s="42">
        <v>5</v>
      </c>
      <c r="P244" s="42">
        <v>1</v>
      </c>
      <c r="Q244" s="43">
        <v>2</v>
      </c>
      <c r="R244" s="42">
        <v>3</v>
      </c>
      <c r="S244" s="42">
        <v>5</v>
      </c>
      <c r="T244" s="42">
        <v>1</v>
      </c>
      <c r="U244" s="42">
        <v>2</v>
      </c>
      <c r="V244" s="42" t="s">
        <v>45</v>
      </c>
      <c r="W244" s="42" t="s">
        <v>45</v>
      </c>
      <c r="X244" s="42" t="s">
        <v>45</v>
      </c>
      <c r="Y244" s="42" t="s">
        <v>45</v>
      </c>
      <c r="Z244" s="42" t="s">
        <v>45</v>
      </c>
      <c r="AA244" s="42" t="s">
        <v>45</v>
      </c>
      <c r="AB244" s="42" t="s">
        <v>45</v>
      </c>
      <c r="AC244" s="42" t="s">
        <v>45</v>
      </c>
      <c r="AD244" s="42" t="s">
        <v>45</v>
      </c>
      <c r="AE244" s="42" t="s">
        <v>45</v>
      </c>
      <c r="AF244" s="42" t="s">
        <v>45</v>
      </c>
      <c r="AG244" s="42" t="s">
        <v>45</v>
      </c>
      <c r="AH244" s="42" t="s">
        <v>45</v>
      </c>
      <c r="AI244" s="42" t="s">
        <v>45</v>
      </c>
      <c r="AJ244" s="42" t="s">
        <v>45</v>
      </c>
      <c r="AK244" s="42" t="s">
        <v>45</v>
      </c>
      <c r="AL244" s="42">
        <v>1</v>
      </c>
      <c r="AM244" s="42">
        <v>7</v>
      </c>
      <c r="AN244" s="42" t="s">
        <v>45</v>
      </c>
      <c r="AO244" s="43" t="s">
        <v>45</v>
      </c>
      <c r="AP244" s="42" t="s">
        <v>68</v>
      </c>
      <c r="AQ244" s="42">
        <v>6</v>
      </c>
      <c r="AR244" s="50" t="s">
        <v>14</v>
      </c>
      <c r="AS244" s="45" t="s">
        <v>739</v>
      </c>
      <c r="AT244" s="45" t="s">
        <v>47</v>
      </c>
      <c r="AU244" s="46">
        <f>($O$3*(L244-$O$1)/$O$2+$P$3*(M244-$P$1)/$P$2+$Q$3*(N244-$P$1)/$Q$2)/SUM($O$3:$Q$3)</f>
        <v>-2.7014842379675978</v>
      </c>
      <c r="AV244" s="46">
        <f>($O$3*(O244-$O$1)/$O$2+$P$3*(P244-$P$1)/$P$2+$Q$3*(Q244-$Q$1)/$Q$2)/SUM($O$3:$Q$3)</f>
        <v>-1.2349036231397219</v>
      </c>
      <c r="AW244" s="47">
        <f>COUNT(R244:AO244)/2</f>
        <v>3</v>
      </c>
      <c r="AX244" s="47">
        <f>IF(AND(S244&lt;&gt;"-",S244&gt;5),1,0)+IF(AND(U244&lt;&gt;"-",U244&gt;5),1,0)+IF(AND(W244&lt;&gt;"-",W244&gt;5),1,0)+IF(AND(Y244&lt;&gt;"-",Y244&gt;5),1,0)+IF(AND(AA244&lt;&gt;"-",AA244&gt;5),1,0)+IF(AND(AC244&lt;&gt;"-",AC244&gt;5),1,0)+IF(AND(AE244&lt;&gt;"-",AE244&gt;5),1,0)+IF(AND(AG244&lt;&gt;"-",AG244&gt;5),1,0)+IF(AND(AI244&lt;&gt;"-",AI244&gt;5),1,0)+IF(AND(AK244&lt;&gt;"-",AK244&gt;5),1,0)+IF(AND(AM244&lt;&gt;"-",AM244&gt;5),1,0)+IF(AND(AO244&lt;&gt;"-",AO244&gt;5),1,0)</f>
        <v>1</v>
      </c>
      <c r="AY244" s="48">
        <f>VLOOKUP(AP244,COND!$A$10:$B$32,2,FALSE)</f>
        <v>0.95</v>
      </c>
      <c r="AZ244" s="46">
        <f>($AU$3*AU244+$AV$3*AV244+$AW$3*AW244+$AX$3*AX244)*AY244*IF(AQ244&lt;5,0.95,IF(AQ244&lt;7,0.975,1))+$I$3*VLOOKUP(I244,COND!$A$2:$E$7,4,FALSE)+$J$3*VLOOKUP(J244,COND!$A$2:$E$7,2,FALSE)+$K$3*VLOOKUP(K244,COND!$A$2:$E$7,3,FALSE)+IF(BB244="SP",$BB$3,0)+IF($AW244&lt;3,-5,0)+IF(AND($B$2&gt;0,$E244&lt;20),$B$2*25,0)</f>
        <v>30.870147926253154</v>
      </c>
      <c r="BA244" s="49">
        <f>STANDARDIZE(AZ244,AVERAGE($AZ$5:$AZ$570),STDEVP($AZ$5:$AZ$570))</f>
        <v>-0.16984575453429288</v>
      </c>
      <c r="BB244" s="47" t="str">
        <f>IF(OR(AND(AQ244&gt;7,AX244&gt;1),AND(AQ244&gt;4,AW244&gt;2)),"SP","RP")</f>
        <v>SP</v>
      </c>
      <c r="BC244" s="47"/>
      <c r="BD244" s="47"/>
      <c r="BE244" s="47"/>
      <c r="BF244" s="47" t="str">
        <f>IF(AVERAGE($O244:$Q244)&gt;=6,"Likely",IF(AVERAGE($O244:$Q244)&gt;=4,"Possible","Unlikely"))</f>
        <v>Unlikely</v>
      </c>
      <c r="BG244" s="47"/>
      <c r="BH244" s="47" t="str">
        <f>INDEX(Table5[[#All],[Ovr]],MATCH(Table3[[#This Row],[PID]],Table5[[#All],[PID]],0))</f>
        <v/>
      </c>
      <c r="BI244" s="47" t="str">
        <f>INDEX(Table5[[#All],[Rnd]],MATCH(Table3[[#This Row],[PID]],Table5[[#All],[PID]],0))</f>
        <v/>
      </c>
      <c r="BJ244" s="47" t="str">
        <f>INDEX(Table5[[#All],[Pick]],MATCH(Table3[[#This Row],[PID]],Table5[[#All],[PID]],0))</f>
        <v/>
      </c>
      <c r="BK244" s="47" t="str">
        <f>INDEX(Table5[[#All],[Team]],MATCH(Table3[[#This Row],[PID]],Table5[[#All],[PID]],0))</f>
        <v/>
      </c>
      <c r="BL2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5" spans="1:64" ht="15" customHeight="1" x14ac:dyDescent="0.25">
      <c r="A245" s="42">
        <v>15254</v>
      </c>
      <c r="B245" s="42" t="s">
        <v>430</v>
      </c>
      <c r="C245" s="42" t="s">
        <v>1210</v>
      </c>
      <c r="D245" s="42" t="s">
        <v>1594</v>
      </c>
      <c r="E245" s="42">
        <v>18</v>
      </c>
      <c r="F245" s="42" t="s">
        <v>42</v>
      </c>
      <c r="G245" s="42" t="s">
        <v>42</v>
      </c>
      <c r="H245" s="43" t="s">
        <v>721</v>
      </c>
      <c r="I245" s="44" t="s">
        <v>43</v>
      </c>
      <c r="J245" s="42" t="s">
        <v>43</v>
      </c>
      <c r="K245" s="43" t="s">
        <v>43</v>
      </c>
      <c r="L245" s="42">
        <v>2</v>
      </c>
      <c r="M245" s="42">
        <v>2</v>
      </c>
      <c r="N245" s="43">
        <v>1</v>
      </c>
      <c r="O245" s="42">
        <v>4</v>
      </c>
      <c r="P245" s="42">
        <v>2</v>
      </c>
      <c r="Q245" s="43">
        <v>2</v>
      </c>
      <c r="R245" s="42">
        <v>3</v>
      </c>
      <c r="S245" s="42">
        <v>5</v>
      </c>
      <c r="T245" s="42">
        <v>2</v>
      </c>
      <c r="U245" s="42">
        <v>6</v>
      </c>
      <c r="V245" s="42">
        <v>2</v>
      </c>
      <c r="W245" s="42">
        <v>5</v>
      </c>
      <c r="X245" s="42" t="s">
        <v>45</v>
      </c>
      <c r="Y245" s="42" t="s">
        <v>45</v>
      </c>
      <c r="Z245" s="42" t="s">
        <v>45</v>
      </c>
      <c r="AA245" s="42" t="s">
        <v>45</v>
      </c>
      <c r="AB245" s="42" t="s">
        <v>45</v>
      </c>
      <c r="AC245" s="42" t="s">
        <v>45</v>
      </c>
      <c r="AD245" s="42" t="s">
        <v>45</v>
      </c>
      <c r="AE245" s="42" t="s">
        <v>45</v>
      </c>
      <c r="AF245" s="42" t="s">
        <v>45</v>
      </c>
      <c r="AG245" s="42" t="s">
        <v>45</v>
      </c>
      <c r="AH245" s="42" t="s">
        <v>45</v>
      </c>
      <c r="AI245" s="42" t="s">
        <v>45</v>
      </c>
      <c r="AJ245" s="42" t="s">
        <v>45</v>
      </c>
      <c r="AK245" s="42" t="s">
        <v>45</v>
      </c>
      <c r="AL245" s="42" t="s">
        <v>45</v>
      </c>
      <c r="AM245" s="42" t="s">
        <v>45</v>
      </c>
      <c r="AN245" s="42" t="s">
        <v>45</v>
      </c>
      <c r="AO245" s="43" t="s">
        <v>45</v>
      </c>
      <c r="AP245" s="42" t="s">
        <v>355</v>
      </c>
      <c r="AQ245" s="42">
        <v>6</v>
      </c>
      <c r="AR245" s="50" t="s">
        <v>353</v>
      </c>
      <c r="AS245" s="45" t="s">
        <v>758</v>
      </c>
      <c r="AT245" s="45" t="s">
        <v>47</v>
      </c>
      <c r="AU245" s="46">
        <f>($O$3*(L245-$O$1)/$O$2+$P$3*(M245-$P$1)/$P$2+$Q$3*(N245-$P$1)/$Q$2)/SUM($O$3:$Q$3)</f>
        <v>-2.311361197028369</v>
      </c>
      <c r="AV245" s="46">
        <f>($O$3*(O245-$O$1)/$O$2+$P$3*(P245-$P$1)/$P$2+$Q$3*(Q245-$Q$1)/$Q$2)/SUM($O$3:$Q$3)</f>
        <v>-1.23416323121884</v>
      </c>
      <c r="AW245" s="47">
        <f>COUNT(R245:AO245)/2</f>
        <v>3</v>
      </c>
      <c r="AX245" s="47">
        <f>IF(AND(S245&lt;&gt;"-",S245&gt;5),1,0)+IF(AND(U245&lt;&gt;"-",U245&gt;5),1,0)+IF(AND(W245&lt;&gt;"-",W245&gt;5),1,0)+IF(AND(Y245&lt;&gt;"-",Y245&gt;5),1,0)+IF(AND(AA245&lt;&gt;"-",AA245&gt;5),1,0)+IF(AND(AC245&lt;&gt;"-",AC245&gt;5),1,0)+IF(AND(AE245&lt;&gt;"-",AE245&gt;5),1,0)+IF(AND(AG245&lt;&gt;"-",AG245&gt;5),1,0)+IF(AND(AI245&lt;&gt;"-",AI245&gt;5),1,0)+IF(AND(AK245&lt;&gt;"-",AK245&gt;5),1,0)+IF(AND(AM245&lt;&gt;"-",AM245&gt;5),1,0)+IF(AND(AO245&lt;&gt;"-",AO245&gt;5),1,0)</f>
        <v>1</v>
      </c>
      <c r="AY245" s="48">
        <f>VLOOKUP(AP245,COND!$A$10:$B$32,2,FALSE)</f>
        <v>1</v>
      </c>
      <c r="AZ245" s="46">
        <f>($AU$3*AU245+$AV$3*AV245+$AW$3*AW245+$AX$3*AX245)*AY245*IF(AQ245&lt;5,0.95,IF(AQ245&lt;7,0.975,1))+$I$3*VLOOKUP(I245,COND!$A$2:$E$7,4,FALSE)+$J$3*VLOOKUP(J245,COND!$A$2:$E$7,2,FALSE)+$K$3*VLOOKUP(K245,COND!$A$2:$E$7,3,FALSE)+IF(BB245="SP",$BB$3,0)+IF($AW245&lt;3,-5,0)+IF(AND($B$2&gt;0,$E245&lt;20),$B$2*25,0)</f>
        <v>30.164351557812086</v>
      </c>
      <c r="BA245" s="49">
        <f>STANDARDIZE(AZ245,AVERAGE($AZ$5:$AZ$570),STDEVP($AZ$5:$AZ$570))</f>
        <v>-0.23457029815741834</v>
      </c>
      <c r="BB245" s="47" t="str">
        <f>IF(OR(AND(AQ245&gt;7,AX245&gt;1),AND(AQ245&gt;4,AW245&gt;2)),"SP","RP")</f>
        <v>SP</v>
      </c>
      <c r="BC245" s="47"/>
      <c r="BD245" s="47"/>
      <c r="BE245" s="47"/>
      <c r="BF245" s="47" t="str">
        <f>IF(AVERAGE($O245:$Q245)&gt;=6,"Likely",IF(AVERAGE($O245:$Q245)&gt;=4,"Possible","Unlikely"))</f>
        <v>Unlikely</v>
      </c>
      <c r="BG245" s="47"/>
      <c r="BH245" s="47" t="str">
        <f>INDEX(Table5[[#All],[Ovr]],MATCH(Table3[[#This Row],[PID]],Table5[[#All],[PID]],0))</f>
        <v/>
      </c>
      <c r="BI245" s="47" t="str">
        <f>INDEX(Table5[[#All],[Rnd]],MATCH(Table3[[#This Row],[PID]],Table5[[#All],[PID]],0))</f>
        <v/>
      </c>
      <c r="BJ245" s="47" t="str">
        <f>INDEX(Table5[[#All],[Pick]],MATCH(Table3[[#This Row],[PID]],Table5[[#All],[PID]],0))</f>
        <v/>
      </c>
      <c r="BK245" s="47" t="str">
        <f>INDEX(Table5[[#All],[Team]],MATCH(Table3[[#This Row],[PID]],Table5[[#All],[PID]],0))</f>
        <v/>
      </c>
      <c r="BL2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6" spans="1:64" ht="15" customHeight="1" x14ac:dyDescent="0.25">
      <c r="A246" s="42">
        <v>7589</v>
      </c>
      <c r="B246" s="42" t="s">
        <v>430</v>
      </c>
      <c r="C246" s="42" t="s">
        <v>598</v>
      </c>
      <c r="D246" s="42" t="s">
        <v>1680</v>
      </c>
      <c r="E246" s="42">
        <v>18</v>
      </c>
      <c r="F246" s="42" t="s">
        <v>42</v>
      </c>
      <c r="G246" s="42" t="s">
        <v>42</v>
      </c>
      <c r="H246" s="43" t="s">
        <v>721</v>
      </c>
      <c r="I246" s="44" t="s">
        <v>43</v>
      </c>
      <c r="J246" s="42" t="s">
        <v>44</v>
      </c>
      <c r="K246" s="43" t="s">
        <v>47</v>
      </c>
      <c r="L246" s="42">
        <v>1</v>
      </c>
      <c r="M246" s="42">
        <v>2</v>
      </c>
      <c r="N246" s="43">
        <v>1</v>
      </c>
      <c r="O246" s="42">
        <v>4</v>
      </c>
      <c r="P246" s="42">
        <v>2</v>
      </c>
      <c r="Q246" s="43">
        <v>2</v>
      </c>
      <c r="R246" s="42">
        <v>3</v>
      </c>
      <c r="S246" s="42">
        <v>4</v>
      </c>
      <c r="T246" s="42" t="s">
        <v>45</v>
      </c>
      <c r="U246" s="42" t="s">
        <v>45</v>
      </c>
      <c r="V246" s="42">
        <v>1</v>
      </c>
      <c r="W246" s="42">
        <v>6</v>
      </c>
      <c r="X246" s="42" t="s">
        <v>45</v>
      </c>
      <c r="Y246" s="42" t="s">
        <v>45</v>
      </c>
      <c r="Z246" s="42" t="s">
        <v>45</v>
      </c>
      <c r="AA246" s="42" t="s">
        <v>45</v>
      </c>
      <c r="AB246" s="42">
        <v>2</v>
      </c>
      <c r="AC246" s="42">
        <v>5</v>
      </c>
      <c r="AD246" s="42" t="s">
        <v>45</v>
      </c>
      <c r="AE246" s="42" t="s">
        <v>45</v>
      </c>
      <c r="AF246" s="42" t="s">
        <v>45</v>
      </c>
      <c r="AG246" s="42" t="s">
        <v>45</v>
      </c>
      <c r="AH246" s="42" t="s">
        <v>45</v>
      </c>
      <c r="AI246" s="42" t="s">
        <v>45</v>
      </c>
      <c r="AJ246" s="42" t="s">
        <v>45</v>
      </c>
      <c r="AK246" s="42" t="s">
        <v>45</v>
      </c>
      <c r="AL246" s="42" t="s">
        <v>45</v>
      </c>
      <c r="AM246" s="42" t="s">
        <v>45</v>
      </c>
      <c r="AN246" s="42" t="s">
        <v>45</v>
      </c>
      <c r="AO246" s="43" t="s">
        <v>45</v>
      </c>
      <c r="AP246" s="42" t="s">
        <v>64</v>
      </c>
      <c r="AQ246" s="42">
        <v>6</v>
      </c>
      <c r="AR246" s="50" t="s">
        <v>353</v>
      </c>
      <c r="AS246" s="45" t="s">
        <v>718</v>
      </c>
      <c r="AT246" s="45" t="s">
        <v>705</v>
      </c>
      <c r="AU246" s="46">
        <f>($O$3*(L246-$O$1)/$O$2+$P$3*(M246-$P$1)/$P$2+$Q$3*(N246-$P$1)/$Q$2)/SUM($O$3:$Q$3)</f>
        <v>-2.5060525215375429</v>
      </c>
      <c r="AV246" s="46">
        <f>($O$3*(O246-$O$1)/$O$2+$P$3*(P246-$P$1)/$P$2+$Q$3*(Q246-$Q$1)/$Q$2)/SUM($O$3:$Q$3)</f>
        <v>-1.23416323121884</v>
      </c>
      <c r="AW246" s="47">
        <f>COUNT(R246:AO246)/2</f>
        <v>3</v>
      </c>
      <c r="AX246" s="47">
        <f>IF(AND(S246&lt;&gt;"-",S246&gt;5),1,0)+IF(AND(U246&lt;&gt;"-",U246&gt;5),1,0)+IF(AND(W246&lt;&gt;"-",W246&gt;5),1,0)+IF(AND(Y246&lt;&gt;"-",Y246&gt;5),1,0)+IF(AND(AA246&lt;&gt;"-",AA246&gt;5),1,0)+IF(AND(AC246&lt;&gt;"-",AC246&gt;5),1,0)+IF(AND(AE246&lt;&gt;"-",AE246&gt;5),1,0)+IF(AND(AG246&lt;&gt;"-",AG246&gt;5),1,0)+IF(AND(AI246&lt;&gt;"-",AI246&gt;5),1,0)+IF(AND(AK246&lt;&gt;"-",AK246&gt;5),1,0)+IF(AND(AM246&lt;&gt;"-",AM246&gt;5),1,0)+IF(AND(AO246&lt;&gt;"-",AO246&gt;5),1,0)</f>
        <v>1</v>
      </c>
      <c r="AY246" s="48">
        <f>VLOOKUP(AP246,COND!$A$10:$B$32,2,FALSE)</f>
        <v>1</v>
      </c>
      <c r="AZ246" s="46">
        <f>($AU$3*AU246+$AV$3*AV246+$AW$3*AW246+$AX$3*AX246)*AY246*IF(AQ246&lt;5,0.95,IF(AQ246&lt;7,0.975,1))+$I$3*VLOOKUP(I246,COND!$A$2:$E$7,4,FALSE)+$J$3*VLOOKUP(J246,COND!$A$2:$E$7,2,FALSE)+$K$3*VLOOKUP(K246,COND!$A$2:$E$7,3,FALSE)+IF(BB246="SP",$BB$3,0)+IF($AW246&lt;3,-5,0)+IF(AND($B$2&gt;0,$E246&lt;20),$B$2*25,0)</f>
        <v>30.126386749532799</v>
      </c>
      <c r="BA246" s="49">
        <f>STANDARDIZE(AZ246,AVERAGE($AZ$5:$AZ$570),STDEVP($AZ$5:$AZ$570))</f>
        <v>-0.23805183334162994</v>
      </c>
      <c r="BB246" s="47" t="str">
        <f>IF(OR(AND(AQ246&gt;7,AX246&gt;1),AND(AQ246&gt;4,AW246&gt;2)),"SP","RP")</f>
        <v>SP</v>
      </c>
      <c r="BC246" s="47"/>
      <c r="BD246" s="47"/>
      <c r="BE246" s="47"/>
      <c r="BF246" s="47" t="str">
        <f>IF(AVERAGE($O246:$Q246)&gt;=6,"Likely",IF(AVERAGE($O246:$Q246)&gt;=4,"Possible","Unlikely"))</f>
        <v>Unlikely</v>
      </c>
      <c r="BG246" s="47"/>
      <c r="BH246" s="47" t="str">
        <f>INDEX(Table5[[#All],[Ovr]],MATCH(Table3[[#This Row],[PID]],Table5[[#All],[PID]],0))</f>
        <v/>
      </c>
      <c r="BI246" s="47" t="str">
        <f>INDEX(Table5[[#All],[Rnd]],MATCH(Table3[[#This Row],[PID]],Table5[[#All],[PID]],0))</f>
        <v/>
      </c>
      <c r="BJ246" s="47" t="str">
        <f>INDEX(Table5[[#All],[Pick]],MATCH(Table3[[#This Row],[PID]],Table5[[#All],[PID]],0))</f>
        <v/>
      </c>
      <c r="BK246" s="47" t="str">
        <f>INDEX(Table5[[#All],[Team]],MATCH(Table3[[#This Row],[PID]],Table5[[#All],[PID]],0))</f>
        <v/>
      </c>
      <c r="BL2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7" spans="1:64" ht="15" customHeight="1" x14ac:dyDescent="0.25">
      <c r="A247" s="42">
        <v>12937</v>
      </c>
      <c r="B247" s="42" t="s">
        <v>24</v>
      </c>
      <c r="C247" s="42" t="s">
        <v>676</v>
      </c>
      <c r="D247" s="42" t="s">
        <v>1530</v>
      </c>
      <c r="E247" s="42">
        <v>20</v>
      </c>
      <c r="F247" s="42" t="s">
        <v>42</v>
      </c>
      <c r="G247" s="42" t="s">
        <v>42</v>
      </c>
      <c r="H247" s="43" t="s">
        <v>721</v>
      </c>
      <c r="I247" s="44" t="s">
        <v>44</v>
      </c>
      <c r="J247" s="42" t="s">
        <v>44</v>
      </c>
      <c r="K247" s="43" t="s">
        <v>43</v>
      </c>
      <c r="L247" s="42">
        <v>3</v>
      </c>
      <c r="M247" s="42">
        <v>1</v>
      </c>
      <c r="N247" s="43">
        <v>2</v>
      </c>
      <c r="O247" s="42">
        <v>5</v>
      </c>
      <c r="P247" s="42">
        <v>1</v>
      </c>
      <c r="Q247" s="43">
        <v>3</v>
      </c>
      <c r="R247" s="42">
        <v>5</v>
      </c>
      <c r="S247" s="42">
        <v>8</v>
      </c>
      <c r="T247" s="42">
        <v>1</v>
      </c>
      <c r="U247" s="42">
        <v>1</v>
      </c>
      <c r="V247" s="42" t="s">
        <v>45</v>
      </c>
      <c r="W247" s="42" t="s">
        <v>45</v>
      </c>
      <c r="X247" s="42">
        <v>3</v>
      </c>
      <c r="Y247" s="42">
        <v>6</v>
      </c>
      <c r="Z247" s="42" t="s">
        <v>45</v>
      </c>
      <c r="AA247" s="42" t="s">
        <v>45</v>
      </c>
      <c r="AB247" s="42" t="s">
        <v>45</v>
      </c>
      <c r="AC247" s="42" t="s">
        <v>45</v>
      </c>
      <c r="AD247" s="42" t="s">
        <v>45</v>
      </c>
      <c r="AE247" s="42" t="s">
        <v>45</v>
      </c>
      <c r="AF247" s="42">
        <v>4</v>
      </c>
      <c r="AG247" s="42">
        <v>5</v>
      </c>
      <c r="AH247" s="42" t="s">
        <v>45</v>
      </c>
      <c r="AI247" s="42" t="s">
        <v>45</v>
      </c>
      <c r="AJ247" s="42" t="s">
        <v>45</v>
      </c>
      <c r="AK247" s="42" t="s">
        <v>45</v>
      </c>
      <c r="AL247" s="42" t="s">
        <v>45</v>
      </c>
      <c r="AM247" s="42" t="s">
        <v>45</v>
      </c>
      <c r="AN247" s="42" t="s">
        <v>45</v>
      </c>
      <c r="AO247" s="43" t="s">
        <v>45</v>
      </c>
      <c r="AP247" s="42" t="s">
        <v>54</v>
      </c>
      <c r="AQ247" s="42">
        <v>6</v>
      </c>
      <c r="AR247" s="50" t="s">
        <v>14</v>
      </c>
      <c r="AS247" s="45" t="s">
        <v>717</v>
      </c>
      <c r="AT247" s="45" t="s">
        <v>47</v>
      </c>
      <c r="AU247" s="46">
        <f>($O$3*(L247-$O$1)/$O$2+$P$3*(M247-$P$1)/$P$2+$Q$3*(N247-$P$1)/$Q$2)/SUM($O$3:$Q$3)</f>
        <v>-2.0697810228951408</v>
      </c>
      <c r="AV247" s="46">
        <f>($O$3*(O247-$O$1)/$O$2+$P$3*(P247-$P$1)/$P$2+$Q$3*(Q247-$Q$1)/$Q$2)/SUM($O$3:$Q$3)</f>
        <v>-0.99258305708561179</v>
      </c>
      <c r="AW247" s="47">
        <f>COUNT(R247:AO247)/2</f>
        <v>4</v>
      </c>
      <c r="AX247" s="47">
        <f>IF(AND(S247&lt;&gt;"-",S247&gt;5),1,0)+IF(AND(U247&lt;&gt;"-",U247&gt;5),1,0)+IF(AND(W247&lt;&gt;"-",W247&gt;5),1,0)+IF(AND(Y247&lt;&gt;"-",Y247&gt;5),1,0)+IF(AND(AA247&lt;&gt;"-",AA247&gt;5),1,0)+IF(AND(AC247&lt;&gt;"-",AC247&gt;5),1,0)+IF(AND(AE247&lt;&gt;"-",AE247&gt;5),1,0)+IF(AND(AG247&lt;&gt;"-",AG247&gt;5),1,0)+IF(AND(AI247&lt;&gt;"-",AI247&gt;5),1,0)+IF(AND(AK247&lt;&gt;"-",AK247&gt;5),1,0)+IF(AND(AM247&lt;&gt;"-",AM247&gt;5),1,0)+IF(AND(AO247&lt;&gt;"-",AO247&gt;5),1,0)</f>
        <v>2</v>
      </c>
      <c r="AY247" s="48">
        <f>VLOOKUP(AP247,COND!$A$10:$B$32,2,FALSE)</f>
        <v>1.0249999999999999</v>
      </c>
      <c r="AZ247" s="46">
        <f>($AU$3*AU247+$AV$3*AV247+$AW$3*AW247+$AX$3*AX247)*AY247*IF(AQ247&lt;5,0.95,IF(AQ247&lt;7,0.975,1))+$I$3*VLOOKUP(I247,COND!$A$2:$E$7,4,FALSE)+$J$3*VLOOKUP(J247,COND!$A$2:$E$7,2,FALSE)+$K$3*VLOOKUP(K247,COND!$A$2:$E$7,3,FALSE)+IF(BB247="SP",$BB$3,0)+IF($AW247&lt;3,-5,0)+IF(AND($B$2&gt;0,$E247&lt;20),$B$2*25,0)</f>
        <v>30.794236164550167</v>
      </c>
      <c r="BA247" s="49">
        <f>STANDARDIZE(AZ247,AVERAGE($AZ$5:$AZ$570),STDEVP($AZ$5:$AZ$570))</f>
        <v>-0.17680718753614533</v>
      </c>
      <c r="BB247" s="47" t="str">
        <f>IF(OR(AND(AQ247&gt;7,AX247&gt;1),AND(AQ247&gt;4,AW247&gt;2)),"SP","RP")</f>
        <v>SP</v>
      </c>
      <c r="BC247" s="47"/>
      <c r="BD247" s="47"/>
      <c r="BE247" s="47"/>
      <c r="BF247" s="47" t="str">
        <f>IF(AVERAGE($O247:$Q247)&gt;=6,"Likely",IF(AVERAGE($O247:$Q247)&gt;=4,"Possible","Unlikely"))</f>
        <v>Unlikely</v>
      </c>
      <c r="BG247" s="47"/>
      <c r="BH247" s="47" t="str">
        <f>INDEX(Table5[[#All],[Ovr]],MATCH(Table3[[#This Row],[PID]],Table5[[#All],[PID]],0))</f>
        <v/>
      </c>
      <c r="BI247" s="47" t="str">
        <f>INDEX(Table5[[#All],[Rnd]],MATCH(Table3[[#This Row],[PID]],Table5[[#All],[PID]],0))</f>
        <v/>
      </c>
      <c r="BJ247" s="47" t="str">
        <f>INDEX(Table5[[#All],[Pick]],MATCH(Table3[[#This Row],[PID]],Table5[[#All],[PID]],0))</f>
        <v/>
      </c>
      <c r="BK247" s="47" t="str">
        <f>INDEX(Table5[[#All],[Team]],MATCH(Table3[[#This Row],[PID]],Table5[[#All],[PID]],0))</f>
        <v/>
      </c>
      <c r="BL2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8" spans="1:64" ht="15" customHeight="1" x14ac:dyDescent="0.25">
      <c r="A248" s="42">
        <v>8890</v>
      </c>
      <c r="B248" s="42" t="s">
        <v>430</v>
      </c>
      <c r="C248" s="42" t="s">
        <v>180</v>
      </c>
      <c r="D248" s="42" t="s">
        <v>346</v>
      </c>
      <c r="E248" s="42">
        <v>22</v>
      </c>
      <c r="F248" s="42" t="s">
        <v>53</v>
      </c>
      <c r="G248" s="42" t="s">
        <v>53</v>
      </c>
      <c r="H248" s="43" t="s">
        <v>721</v>
      </c>
      <c r="I248" s="44" t="s">
        <v>43</v>
      </c>
      <c r="J248" s="42" t="s">
        <v>43</v>
      </c>
      <c r="K248" s="43" t="s">
        <v>43</v>
      </c>
      <c r="L248" s="42">
        <v>2</v>
      </c>
      <c r="M248" s="42">
        <v>2</v>
      </c>
      <c r="N248" s="43">
        <v>1</v>
      </c>
      <c r="O248" s="42">
        <v>4</v>
      </c>
      <c r="P248" s="42">
        <v>2</v>
      </c>
      <c r="Q248" s="43">
        <v>3</v>
      </c>
      <c r="R248" s="42">
        <v>3</v>
      </c>
      <c r="S248" s="42">
        <v>4</v>
      </c>
      <c r="T248" s="42">
        <v>2</v>
      </c>
      <c r="U248" s="42">
        <v>5</v>
      </c>
      <c r="V248" s="42" t="s">
        <v>45</v>
      </c>
      <c r="W248" s="42" t="s">
        <v>45</v>
      </c>
      <c r="X248" s="42" t="s">
        <v>45</v>
      </c>
      <c r="Y248" s="42" t="s">
        <v>45</v>
      </c>
      <c r="Z248" s="42" t="s">
        <v>45</v>
      </c>
      <c r="AA248" s="42" t="s">
        <v>45</v>
      </c>
      <c r="AB248" s="42">
        <v>2</v>
      </c>
      <c r="AC248" s="42">
        <v>3</v>
      </c>
      <c r="AD248" s="42">
        <v>3</v>
      </c>
      <c r="AE248" s="42">
        <v>5</v>
      </c>
      <c r="AF248" s="42" t="s">
        <v>45</v>
      </c>
      <c r="AG248" s="42" t="s">
        <v>45</v>
      </c>
      <c r="AH248" s="42" t="s">
        <v>45</v>
      </c>
      <c r="AI248" s="42" t="s">
        <v>45</v>
      </c>
      <c r="AJ248" s="42" t="s">
        <v>45</v>
      </c>
      <c r="AK248" s="42" t="s">
        <v>45</v>
      </c>
      <c r="AL248" s="42" t="s">
        <v>45</v>
      </c>
      <c r="AM248" s="42" t="s">
        <v>45</v>
      </c>
      <c r="AN248" s="42" t="s">
        <v>45</v>
      </c>
      <c r="AO248" s="43" t="s">
        <v>45</v>
      </c>
      <c r="AP248" s="42" t="s">
        <v>68</v>
      </c>
      <c r="AQ248" s="42">
        <v>6</v>
      </c>
      <c r="AR248" s="50" t="s">
        <v>353</v>
      </c>
      <c r="AS248" s="45" t="s">
        <v>45</v>
      </c>
      <c r="AT248" s="45" t="s">
        <v>705</v>
      </c>
      <c r="AU248" s="46">
        <f>($O$3*(L248-$O$1)/$O$2+$P$3*(M248-$P$1)/$P$2+$Q$3*(N248-$P$1)/$Q$2)/SUM($O$3:$Q$3)</f>
        <v>-2.311361197028369</v>
      </c>
      <c r="AV248" s="46">
        <f>($O$3*(O248-$O$1)/$O$2+$P$3*(P248-$P$1)/$P$2+$Q$3*(Q248-$Q$1)/$Q$2)/SUM($O$3:$Q$3)</f>
        <v>-0.99184266516472974</v>
      </c>
      <c r="AW248" s="47">
        <f>COUNT(R248:AO248)/2</f>
        <v>4</v>
      </c>
      <c r="AX248" s="47">
        <f>IF(AND(S248&lt;&gt;"-",S248&gt;5),1,0)+IF(AND(U248&lt;&gt;"-",U248&gt;5),1,0)+IF(AND(W248&lt;&gt;"-",W248&gt;5),1,0)+IF(AND(Y248&lt;&gt;"-",Y248&gt;5),1,0)+IF(AND(AA248&lt;&gt;"-",AA248&gt;5),1,0)+IF(AND(AC248&lt;&gt;"-",AC248&gt;5),1,0)+IF(AND(AE248&lt;&gt;"-",AE248&gt;5),1,0)+IF(AND(AG248&lt;&gt;"-",AG248&gt;5),1,0)+IF(AND(AI248&lt;&gt;"-",AI248&gt;5),1,0)+IF(AND(AK248&lt;&gt;"-",AK248&gt;5),1,0)+IF(AND(AM248&lt;&gt;"-",AM248&gt;5),1,0)+IF(AND(AO248&lt;&gt;"-",AO248&gt;5),1,0)</f>
        <v>0</v>
      </c>
      <c r="AY248" s="48">
        <f>VLOOKUP(AP248,COND!$A$10:$B$32,2,FALSE)</f>
        <v>0.95</v>
      </c>
      <c r="AZ248" s="46">
        <f>($AU$3*AU248+$AV$3*AV248+$AW$3*AW248+$AX$3*AX248)*AY248*IF(AQ248&lt;5,0.95,IF(AQ248&lt;7,0.975,1))+$I$3*VLOOKUP(I248,COND!$A$2:$E$7,4,FALSE)+$J$3*VLOOKUP(J248,COND!$A$2:$E$7,2,FALSE)+$K$3*VLOOKUP(K248,COND!$A$2:$E$7,3,FALSE)+IF(BB248="SP",$BB$3,0)+IF($AW248&lt;3,-5,0)+IF(AND($B$2&gt;0,$E248&lt;20),$B$2*25,0)</f>
        <v>30.050434966073876</v>
      </c>
      <c r="BA248" s="49">
        <f>STANDARDIZE(AZ248,AVERAGE($AZ$5:$AZ$570),STDEVP($AZ$5:$AZ$570))</f>
        <v>-0.2450169365095583</v>
      </c>
      <c r="BB248" s="47" t="str">
        <f>IF(OR(AND(AQ248&gt;7,AX248&gt;1),AND(AQ248&gt;4,AW248&gt;2)),"SP","RP")</f>
        <v>SP</v>
      </c>
      <c r="BC248" s="47"/>
      <c r="BD248" s="47"/>
      <c r="BE248" s="47"/>
      <c r="BF248" s="47" t="str">
        <f>IF(AVERAGE($O248:$Q248)&gt;=6,"Likely",IF(AVERAGE($O248:$Q248)&gt;=4,"Possible","Unlikely"))</f>
        <v>Unlikely</v>
      </c>
      <c r="BG248" s="47"/>
      <c r="BH248" s="47" t="str">
        <f>INDEX(Table5[[#All],[Ovr]],MATCH(Table3[[#This Row],[PID]],Table5[[#All],[PID]],0))</f>
        <v/>
      </c>
      <c r="BI248" s="47" t="str">
        <f>INDEX(Table5[[#All],[Rnd]],MATCH(Table3[[#This Row],[PID]],Table5[[#All],[PID]],0))</f>
        <v/>
      </c>
      <c r="BJ248" s="47" t="str">
        <f>INDEX(Table5[[#All],[Pick]],MATCH(Table3[[#This Row],[PID]],Table5[[#All],[PID]],0))</f>
        <v/>
      </c>
      <c r="BK248" s="47" t="str">
        <f>INDEX(Table5[[#All],[Team]],MATCH(Table3[[#This Row],[PID]],Table5[[#All],[PID]],0))</f>
        <v/>
      </c>
      <c r="BL2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9" spans="1:64" ht="15" customHeight="1" x14ac:dyDescent="0.25">
      <c r="A249" s="42">
        <v>17920</v>
      </c>
      <c r="B249" s="42" t="s">
        <v>24</v>
      </c>
      <c r="C249" s="42" t="s">
        <v>151</v>
      </c>
      <c r="D249" s="42" t="s">
        <v>1339</v>
      </c>
      <c r="E249" s="42">
        <v>18</v>
      </c>
      <c r="F249" s="42" t="s">
        <v>62</v>
      </c>
      <c r="G249" s="42" t="s">
        <v>42</v>
      </c>
      <c r="H249" s="43" t="s">
        <v>721</v>
      </c>
      <c r="I249" s="44" t="s">
        <v>43</v>
      </c>
      <c r="J249" s="42" t="s">
        <v>44</v>
      </c>
      <c r="K249" s="43" t="s">
        <v>43</v>
      </c>
      <c r="L249" s="42">
        <v>2</v>
      </c>
      <c r="M249" s="42">
        <v>1</v>
      </c>
      <c r="N249" s="43">
        <v>1</v>
      </c>
      <c r="O249" s="42">
        <v>5</v>
      </c>
      <c r="P249" s="42">
        <v>1</v>
      </c>
      <c r="Q249" s="43">
        <v>2</v>
      </c>
      <c r="R249" s="42">
        <v>4</v>
      </c>
      <c r="S249" s="42">
        <v>6</v>
      </c>
      <c r="T249" s="42">
        <v>1</v>
      </c>
      <c r="U249" s="42">
        <v>6</v>
      </c>
      <c r="V249" s="42" t="s">
        <v>45</v>
      </c>
      <c r="W249" s="42" t="s">
        <v>45</v>
      </c>
      <c r="X249" s="42">
        <v>3</v>
      </c>
      <c r="Y249" s="42">
        <v>7</v>
      </c>
      <c r="Z249" s="42" t="s">
        <v>45</v>
      </c>
      <c r="AA249" s="42" t="s">
        <v>45</v>
      </c>
      <c r="AB249" s="42" t="s">
        <v>45</v>
      </c>
      <c r="AC249" s="42" t="s">
        <v>45</v>
      </c>
      <c r="AD249" s="42" t="s">
        <v>45</v>
      </c>
      <c r="AE249" s="42" t="s">
        <v>45</v>
      </c>
      <c r="AF249" s="42" t="s">
        <v>45</v>
      </c>
      <c r="AG249" s="42" t="s">
        <v>45</v>
      </c>
      <c r="AH249" s="42" t="s">
        <v>45</v>
      </c>
      <c r="AI249" s="42" t="s">
        <v>45</v>
      </c>
      <c r="AJ249" s="42" t="s">
        <v>45</v>
      </c>
      <c r="AK249" s="42" t="s">
        <v>45</v>
      </c>
      <c r="AL249" s="42" t="s">
        <v>45</v>
      </c>
      <c r="AM249" s="42" t="s">
        <v>45</v>
      </c>
      <c r="AN249" s="42" t="s">
        <v>45</v>
      </c>
      <c r="AO249" s="43" t="s">
        <v>45</v>
      </c>
      <c r="AP249" s="42" t="s">
        <v>58</v>
      </c>
      <c r="AQ249" s="42">
        <v>4</v>
      </c>
      <c r="AR249" s="50" t="s">
        <v>353</v>
      </c>
      <c r="AS249" s="45" t="s">
        <v>718</v>
      </c>
      <c r="AT249" s="45" t="s">
        <v>47</v>
      </c>
      <c r="AU249" s="46">
        <f>($O$3*(L249-$O$1)/$O$2+$P$3*(M249-$P$1)/$P$2+$Q$3*(N249-$P$1)/$Q$2)/SUM($O$3:$Q$3)</f>
        <v>-2.5067929134584248</v>
      </c>
      <c r="AV249" s="46">
        <f>($O$3*(O249-$O$1)/$O$2+$P$3*(P249-$P$1)/$P$2+$Q$3*(Q249-$Q$1)/$Q$2)/SUM($O$3:$Q$3)</f>
        <v>-1.2349036231397219</v>
      </c>
      <c r="AW249" s="47">
        <f>COUNT(R249:AO249)/2</f>
        <v>3</v>
      </c>
      <c r="AX249" s="47">
        <f>IF(AND(S249&lt;&gt;"-",S249&gt;5),1,0)+IF(AND(U249&lt;&gt;"-",U249&gt;5),1,0)+IF(AND(W249&lt;&gt;"-",W249&gt;5),1,0)+IF(AND(Y249&lt;&gt;"-",Y249&gt;5),1,0)+IF(AND(AA249&lt;&gt;"-",AA249&gt;5),1,0)+IF(AND(AC249&lt;&gt;"-",AC249&gt;5),1,0)+IF(AND(AE249&lt;&gt;"-",AE249&gt;5),1,0)+IF(AND(AG249&lt;&gt;"-",AG249&gt;5),1,0)+IF(AND(AI249&lt;&gt;"-",AI249&gt;5),1,0)+IF(AND(AK249&lt;&gt;"-",AK249&gt;5),1,0)+IF(AND(AM249&lt;&gt;"-",AM249&gt;5),1,0)+IF(AND(AO249&lt;&gt;"-",AO249&gt;5),1,0)</f>
        <v>3</v>
      </c>
      <c r="AY249" s="48">
        <f>VLOOKUP(AP249,COND!$A$10:$B$32,2,FALSE)</f>
        <v>1</v>
      </c>
      <c r="AZ249" s="46">
        <f>($AU$3*AU249+$AV$3*AV249+$AW$3*AW249+$AX$3*AX249)*AY249*IF(AQ249&lt;5,0.95,IF(AQ249&lt;7,0.975,1))+$I$3*VLOOKUP(I249,COND!$A$2:$E$7,4,FALSE)+$J$3*VLOOKUP(J249,COND!$A$2:$E$7,2,FALSE)+$K$3*VLOOKUP(K249,COND!$A$2:$E$7,3,FALSE)+IF(BB249="SP",$BB$3,0)+IF($AW249&lt;3,-5,0)+IF(AND($B$2&gt;0,$E249&lt;20),$B$2*25,0)</f>
        <v>30.748040506788179</v>
      </c>
      <c r="BA249" s="49">
        <f>STANDARDIZE(AZ249,AVERAGE($AZ$5:$AZ$570),STDEVP($AZ$5:$AZ$570))</f>
        <v>-0.18104352679731059</v>
      </c>
      <c r="BB249" s="47" t="str">
        <f>IF(OR(AND(AQ249&gt;7,AX249&gt;1),AND(AQ249&gt;4,AW249&gt;2)),"SP","RP")</f>
        <v>RP</v>
      </c>
      <c r="BC249" s="47"/>
      <c r="BD249" s="47"/>
      <c r="BE249" s="47"/>
      <c r="BF249" s="47" t="str">
        <f>IF(AVERAGE($O249:$Q249)&gt;=6,"Likely",IF(AVERAGE($O249:$Q249)&gt;=4,"Possible","Unlikely"))</f>
        <v>Unlikely</v>
      </c>
      <c r="BG249" s="47"/>
      <c r="BH249" s="47" t="str">
        <f>INDEX(Table5[[#All],[Ovr]],MATCH(Table3[[#This Row],[PID]],Table5[[#All],[PID]],0))</f>
        <v/>
      </c>
      <c r="BI249" s="47" t="str">
        <f>INDEX(Table5[[#All],[Rnd]],MATCH(Table3[[#This Row],[PID]],Table5[[#All],[PID]],0))</f>
        <v/>
      </c>
      <c r="BJ249" s="47" t="str">
        <f>INDEX(Table5[[#All],[Pick]],MATCH(Table3[[#This Row],[PID]],Table5[[#All],[PID]],0))</f>
        <v/>
      </c>
      <c r="BK249" s="47" t="str">
        <f>INDEX(Table5[[#All],[Team]],MATCH(Table3[[#This Row],[PID]],Table5[[#All],[PID]],0))</f>
        <v/>
      </c>
      <c r="BL2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0" spans="1:64" ht="15" customHeight="1" x14ac:dyDescent="0.25">
      <c r="A250" s="42">
        <v>6043</v>
      </c>
      <c r="B250" s="42" t="s">
        <v>430</v>
      </c>
      <c r="C250" s="42" t="s">
        <v>1113</v>
      </c>
      <c r="D250" s="42" t="s">
        <v>1342</v>
      </c>
      <c r="E250" s="42">
        <v>18</v>
      </c>
      <c r="F250" s="42" t="s">
        <v>42</v>
      </c>
      <c r="G250" s="42" t="s">
        <v>42</v>
      </c>
      <c r="H250" s="43" t="s">
        <v>721</v>
      </c>
      <c r="I250" s="44" t="s">
        <v>44</v>
      </c>
      <c r="J250" s="42" t="s">
        <v>43</v>
      </c>
      <c r="K250" s="43" t="s">
        <v>43</v>
      </c>
      <c r="L250" s="42">
        <v>1</v>
      </c>
      <c r="M250" s="42">
        <v>2</v>
      </c>
      <c r="N250" s="43">
        <v>1</v>
      </c>
      <c r="O250" s="42">
        <v>4</v>
      </c>
      <c r="P250" s="42">
        <v>2</v>
      </c>
      <c r="Q250" s="43">
        <v>2</v>
      </c>
      <c r="R250" s="42" t="s">
        <v>45</v>
      </c>
      <c r="S250" s="42" t="s">
        <v>45</v>
      </c>
      <c r="T250" s="42">
        <v>1</v>
      </c>
      <c r="U250" s="42">
        <v>5</v>
      </c>
      <c r="V250" s="42" t="s">
        <v>45</v>
      </c>
      <c r="W250" s="42" t="s">
        <v>45</v>
      </c>
      <c r="X250" s="42">
        <v>1</v>
      </c>
      <c r="Y250" s="42">
        <v>5</v>
      </c>
      <c r="Z250" s="42" t="s">
        <v>45</v>
      </c>
      <c r="AA250" s="42" t="s">
        <v>45</v>
      </c>
      <c r="AB250" s="42" t="s">
        <v>45</v>
      </c>
      <c r="AC250" s="42" t="s">
        <v>45</v>
      </c>
      <c r="AD250" s="42">
        <v>2</v>
      </c>
      <c r="AE250" s="42">
        <v>4</v>
      </c>
      <c r="AF250" s="42">
        <v>2</v>
      </c>
      <c r="AG250" s="42">
        <v>4</v>
      </c>
      <c r="AH250" s="42" t="s">
        <v>45</v>
      </c>
      <c r="AI250" s="42" t="s">
        <v>45</v>
      </c>
      <c r="AJ250" s="42" t="s">
        <v>45</v>
      </c>
      <c r="AK250" s="42" t="s">
        <v>45</v>
      </c>
      <c r="AL250" s="42" t="s">
        <v>45</v>
      </c>
      <c r="AM250" s="42" t="s">
        <v>45</v>
      </c>
      <c r="AN250" s="42" t="s">
        <v>45</v>
      </c>
      <c r="AO250" s="43" t="s">
        <v>45</v>
      </c>
      <c r="AP250" s="42" t="s">
        <v>67</v>
      </c>
      <c r="AQ250" s="42">
        <v>2</v>
      </c>
      <c r="AR250" s="50" t="s">
        <v>353</v>
      </c>
      <c r="AS250" s="45" t="s">
        <v>730</v>
      </c>
      <c r="AT250" s="45" t="s">
        <v>705</v>
      </c>
      <c r="AU250" s="46">
        <f>($O$3*(L250-$O$1)/$O$2+$P$3*(M250-$P$1)/$P$2+$Q$3*(N250-$P$1)/$Q$2)/SUM($O$3:$Q$3)</f>
        <v>-2.5060525215375429</v>
      </c>
      <c r="AV250" s="46">
        <f>($O$3*(O250-$O$1)/$O$2+$P$3*(P250-$P$1)/$P$2+$Q$3*(Q250-$Q$1)/$Q$2)/SUM($O$3:$Q$3)</f>
        <v>-1.23416323121884</v>
      </c>
      <c r="AW250" s="47">
        <f>COUNT(R250:AO250)/2</f>
        <v>4</v>
      </c>
      <c r="AX250" s="47">
        <f>IF(AND(S250&lt;&gt;"-",S250&gt;5),1,0)+IF(AND(U250&lt;&gt;"-",U250&gt;5),1,0)+IF(AND(W250&lt;&gt;"-",W250&gt;5),1,0)+IF(AND(Y250&lt;&gt;"-",Y250&gt;5),1,0)+IF(AND(AA250&lt;&gt;"-",AA250&gt;5),1,0)+IF(AND(AC250&lt;&gt;"-",AC250&gt;5),1,0)+IF(AND(AE250&lt;&gt;"-",AE250&gt;5),1,0)+IF(AND(AG250&lt;&gt;"-",AG250&gt;5),1,0)+IF(AND(AI250&lt;&gt;"-",AI250&gt;5),1,0)+IF(AND(AK250&lt;&gt;"-",AK250&gt;5),1,0)+IF(AND(AM250&lt;&gt;"-",AM250&gt;5),1,0)+IF(AND(AO250&lt;&gt;"-",AO250&gt;5),1,0)</f>
        <v>0</v>
      </c>
      <c r="AY250" s="48">
        <f>VLOOKUP(AP250,COND!$A$10:$B$32,2,FALSE)</f>
        <v>0.9</v>
      </c>
      <c r="AZ250" s="46">
        <f>($AU$3*AU250+$AV$3*AV250+$AW$3*AW250+$AX$3*AX250)*AY250*IF(AQ250&lt;5,0.95,IF(AQ250&lt;7,0.975,1))+$I$3*VLOOKUP(I250,COND!$A$2:$E$7,4,FALSE)+$J$3*VLOOKUP(J250,COND!$A$2:$E$7,2,FALSE)+$K$3*VLOOKUP(K250,COND!$A$2:$E$7,3,FALSE)+IF(BB250="SP",$BB$3,0)+IF($AW250&lt;3,-5,0)+IF(AND($B$2&gt;0,$E250&lt;20),$B$2*25,0)</f>
        <v>30.027273764974915</v>
      </c>
      <c r="BA250" s="49">
        <f>STANDARDIZE(AZ250,AVERAGE($AZ$5:$AZ$570),STDEVP($AZ$5:$AZ$570))</f>
        <v>-0.24714091764338711</v>
      </c>
      <c r="BB250" s="47" t="str">
        <f>IF(OR(AND(AQ250&gt;7,AX250&gt;1),AND(AQ250&gt;4,AW250&gt;2)),"SP","RP")</f>
        <v>RP</v>
      </c>
      <c r="BC250" s="47"/>
      <c r="BD250" s="47"/>
      <c r="BE250" s="47"/>
      <c r="BF250" s="47" t="str">
        <f>IF(AVERAGE($O250:$Q250)&gt;=6,"Likely",IF(AVERAGE($O250:$Q250)&gt;=4,"Possible","Unlikely"))</f>
        <v>Unlikely</v>
      </c>
      <c r="BG250" s="47"/>
      <c r="BH250" s="47" t="str">
        <f>INDEX(Table5[[#All],[Ovr]],MATCH(Table3[[#This Row],[PID]],Table5[[#All],[PID]],0))</f>
        <v/>
      </c>
      <c r="BI250" s="47" t="str">
        <f>INDEX(Table5[[#All],[Rnd]],MATCH(Table3[[#This Row],[PID]],Table5[[#All],[PID]],0))</f>
        <v/>
      </c>
      <c r="BJ250" s="47" t="str">
        <f>INDEX(Table5[[#All],[Pick]],MATCH(Table3[[#This Row],[PID]],Table5[[#All],[PID]],0))</f>
        <v/>
      </c>
      <c r="BK250" s="47" t="str">
        <f>INDEX(Table5[[#All],[Team]],MATCH(Table3[[#This Row],[PID]],Table5[[#All],[PID]],0))</f>
        <v/>
      </c>
      <c r="BL2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1" spans="1:64" ht="15" customHeight="1" x14ac:dyDescent="0.25">
      <c r="A251" s="42">
        <v>13238</v>
      </c>
      <c r="B251" s="42" t="s">
        <v>430</v>
      </c>
      <c r="C251" s="42" t="s">
        <v>1561</v>
      </c>
      <c r="D251" s="42" t="s">
        <v>1562</v>
      </c>
      <c r="E251" s="42">
        <v>21</v>
      </c>
      <c r="F251" s="42" t="s">
        <v>42</v>
      </c>
      <c r="G251" s="42" t="s">
        <v>42</v>
      </c>
      <c r="H251" s="43" t="s">
        <v>721</v>
      </c>
      <c r="I251" s="44" t="s">
        <v>43</v>
      </c>
      <c r="J251" s="42" t="s">
        <v>44</v>
      </c>
      <c r="K251" s="43" t="s">
        <v>43</v>
      </c>
      <c r="L251" s="42">
        <v>2</v>
      </c>
      <c r="M251" s="42">
        <v>1</v>
      </c>
      <c r="N251" s="43">
        <v>1</v>
      </c>
      <c r="O251" s="42">
        <v>5</v>
      </c>
      <c r="P251" s="42">
        <v>2</v>
      </c>
      <c r="Q251" s="43">
        <v>2</v>
      </c>
      <c r="R251" s="42">
        <v>3</v>
      </c>
      <c r="S251" s="42">
        <v>5</v>
      </c>
      <c r="T251" s="42" t="s">
        <v>45</v>
      </c>
      <c r="U251" s="42" t="s">
        <v>45</v>
      </c>
      <c r="V251" s="42">
        <v>2</v>
      </c>
      <c r="W251" s="42">
        <v>6</v>
      </c>
      <c r="X251" s="42">
        <v>2</v>
      </c>
      <c r="Y251" s="42">
        <v>6</v>
      </c>
      <c r="Z251" s="42" t="s">
        <v>45</v>
      </c>
      <c r="AA251" s="42" t="s">
        <v>45</v>
      </c>
      <c r="AB251" s="42" t="s">
        <v>45</v>
      </c>
      <c r="AC251" s="42" t="s">
        <v>45</v>
      </c>
      <c r="AD251" s="42" t="s">
        <v>45</v>
      </c>
      <c r="AE251" s="42" t="s">
        <v>45</v>
      </c>
      <c r="AF251" s="42" t="s">
        <v>45</v>
      </c>
      <c r="AG251" s="42" t="s">
        <v>45</v>
      </c>
      <c r="AH251" s="42" t="s">
        <v>45</v>
      </c>
      <c r="AI251" s="42" t="s">
        <v>45</v>
      </c>
      <c r="AJ251" s="42" t="s">
        <v>45</v>
      </c>
      <c r="AK251" s="42" t="s">
        <v>45</v>
      </c>
      <c r="AL251" s="42" t="s">
        <v>45</v>
      </c>
      <c r="AM251" s="42" t="s">
        <v>45</v>
      </c>
      <c r="AN251" s="42" t="s">
        <v>45</v>
      </c>
      <c r="AO251" s="43" t="s">
        <v>45</v>
      </c>
      <c r="AP251" s="42" t="s">
        <v>65</v>
      </c>
      <c r="AQ251" s="42">
        <v>6</v>
      </c>
      <c r="AR251" s="50" t="s">
        <v>14</v>
      </c>
      <c r="AS251" s="45" t="s">
        <v>45</v>
      </c>
      <c r="AT251" s="45" t="s">
        <v>47</v>
      </c>
      <c r="AU251" s="46">
        <f>($O$3*(L251-$O$1)/$O$2+$P$3*(M251-$P$1)/$P$2+$Q$3*(N251-$P$1)/$Q$2)/SUM($O$3:$Q$3)</f>
        <v>-2.5067929134584248</v>
      </c>
      <c r="AV251" s="46">
        <f>($O$3*(O251-$O$1)/$O$2+$P$3*(P251-$P$1)/$P$2+$Q$3*(Q251-$Q$1)/$Q$2)/SUM($O$3:$Q$3)</f>
        <v>-1.0394719067096667</v>
      </c>
      <c r="AW251" s="47">
        <f>COUNT(R251:AO251)/2</f>
        <v>3</v>
      </c>
      <c r="AX251" s="47">
        <f>IF(AND(S251&lt;&gt;"-",S251&gt;5),1,0)+IF(AND(U251&lt;&gt;"-",U251&gt;5),1,0)+IF(AND(W251&lt;&gt;"-",W251&gt;5),1,0)+IF(AND(Y251&lt;&gt;"-",Y251&gt;5),1,0)+IF(AND(AA251&lt;&gt;"-",AA251&gt;5),1,0)+IF(AND(AC251&lt;&gt;"-",AC251&gt;5),1,0)+IF(AND(AE251&lt;&gt;"-",AE251&gt;5),1,0)+IF(AND(AG251&lt;&gt;"-",AG251&gt;5),1,0)+IF(AND(AI251&lt;&gt;"-",AI251&gt;5),1,0)+IF(AND(AK251&lt;&gt;"-",AK251&gt;5),1,0)+IF(AND(AM251&lt;&gt;"-",AM251&gt;5),1,0)+IF(AND(AO251&lt;&gt;"-",AO251&gt;5),1,0)</f>
        <v>2</v>
      </c>
      <c r="AY251" s="48">
        <f>VLOOKUP(AP251,COND!$A$10:$B$32,2,FALSE)</f>
        <v>0.95</v>
      </c>
      <c r="AZ251" s="46">
        <f>($AU$3*AU251+$AV$3*AV251+$AW$3*AW251+$AX$3*AX251)*AY251*IF(AQ251&lt;5,0.95,IF(AQ251&lt;7,0.975,1))+$I$3*VLOOKUP(I251,COND!$A$2:$E$7,4,FALSE)+$J$3*VLOOKUP(J251,COND!$A$2:$E$7,2,FALSE)+$K$3*VLOOKUP(K251,COND!$A$2:$E$7,3,FALSE)+IF(BB251="SP",$BB$3,0)+IF($AW251&lt;3,-5,0)+IF(AND($B$2&gt;0,$E251&lt;20),$B$2*25,0)</f>
        <v>30.68439954098525</v>
      </c>
      <c r="BA251" s="49">
        <f>STANDARDIZE(AZ251,AVERAGE($AZ$5:$AZ$570),STDEVP($AZ$5:$AZ$570))</f>
        <v>-0.18687967536864378</v>
      </c>
      <c r="BB251" s="47" t="str">
        <f>IF(OR(AND(AQ251&gt;7,AX251&gt;1),AND(AQ251&gt;4,AW251&gt;2)),"SP","RP")</f>
        <v>SP</v>
      </c>
      <c r="BC251" s="47"/>
      <c r="BD251" s="47"/>
      <c r="BE251" s="47"/>
      <c r="BF251" s="47" t="str">
        <f>IF(AVERAGE($O251:$Q251)&gt;=6,"Likely",IF(AVERAGE($O251:$Q251)&gt;=4,"Possible","Unlikely"))</f>
        <v>Unlikely</v>
      </c>
      <c r="BG251" s="47"/>
      <c r="BH251" s="47" t="str">
        <f>INDEX(Table5[[#All],[Ovr]],MATCH(Table3[[#This Row],[PID]],Table5[[#All],[PID]],0))</f>
        <v/>
      </c>
      <c r="BI251" s="47" t="str">
        <f>INDEX(Table5[[#All],[Rnd]],MATCH(Table3[[#This Row],[PID]],Table5[[#All],[PID]],0))</f>
        <v/>
      </c>
      <c r="BJ251" s="47" t="str">
        <f>INDEX(Table5[[#All],[Pick]],MATCH(Table3[[#This Row],[PID]],Table5[[#All],[PID]],0))</f>
        <v/>
      </c>
      <c r="BK251" s="47" t="str">
        <f>INDEX(Table5[[#All],[Team]],MATCH(Table3[[#This Row],[PID]],Table5[[#All],[PID]],0))</f>
        <v/>
      </c>
      <c r="BL2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2" spans="1:64" ht="15" customHeight="1" x14ac:dyDescent="0.25">
      <c r="A252" s="42">
        <v>9181</v>
      </c>
      <c r="B252" s="42" t="s">
        <v>24</v>
      </c>
      <c r="C252" s="42" t="s">
        <v>463</v>
      </c>
      <c r="D252" s="42" t="s">
        <v>1016</v>
      </c>
      <c r="E252" s="42">
        <v>18</v>
      </c>
      <c r="F252" s="42" t="s">
        <v>62</v>
      </c>
      <c r="G252" s="42" t="s">
        <v>42</v>
      </c>
      <c r="H252" s="43" t="s">
        <v>721</v>
      </c>
      <c r="I252" s="44" t="s">
        <v>44</v>
      </c>
      <c r="J252" s="42" t="s">
        <v>43</v>
      </c>
      <c r="K252" s="43" t="s">
        <v>43</v>
      </c>
      <c r="L252" s="42">
        <v>1</v>
      </c>
      <c r="M252" s="42">
        <v>2</v>
      </c>
      <c r="N252" s="43">
        <v>1</v>
      </c>
      <c r="O252" s="42">
        <v>4</v>
      </c>
      <c r="P252" s="42">
        <v>2</v>
      </c>
      <c r="Q252" s="43">
        <v>2</v>
      </c>
      <c r="R252" s="42" t="s">
        <v>45</v>
      </c>
      <c r="S252" s="42" t="s">
        <v>45</v>
      </c>
      <c r="T252" s="42">
        <v>1</v>
      </c>
      <c r="U252" s="42">
        <v>1</v>
      </c>
      <c r="V252" s="42" t="s">
        <v>45</v>
      </c>
      <c r="W252" s="42" t="s">
        <v>45</v>
      </c>
      <c r="X252" s="42">
        <v>2</v>
      </c>
      <c r="Y252" s="42">
        <v>5</v>
      </c>
      <c r="Z252" s="42" t="s">
        <v>45</v>
      </c>
      <c r="AA252" s="42" t="s">
        <v>45</v>
      </c>
      <c r="AB252" s="42" t="s">
        <v>45</v>
      </c>
      <c r="AC252" s="42" t="s">
        <v>45</v>
      </c>
      <c r="AD252" s="42">
        <v>3</v>
      </c>
      <c r="AE252" s="42">
        <v>6</v>
      </c>
      <c r="AF252" s="42" t="s">
        <v>45</v>
      </c>
      <c r="AG252" s="42" t="s">
        <v>45</v>
      </c>
      <c r="AH252" s="42" t="s">
        <v>45</v>
      </c>
      <c r="AI252" s="42" t="s">
        <v>45</v>
      </c>
      <c r="AJ252" s="42" t="s">
        <v>45</v>
      </c>
      <c r="AK252" s="42" t="s">
        <v>45</v>
      </c>
      <c r="AL252" s="42" t="s">
        <v>45</v>
      </c>
      <c r="AM252" s="42" t="s">
        <v>45</v>
      </c>
      <c r="AN252" s="42" t="s">
        <v>45</v>
      </c>
      <c r="AO252" s="43" t="s">
        <v>45</v>
      </c>
      <c r="AP252" s="42" t="s">
        <v>356</v>
      </c>
      <c r="AQ252" s="42">
        <v>6</v>
      </c>
      <c r="AR252" s="50" t="s">
        <v>353</v>
      </c>
      <c r="AS252" s="45" t="s">
        <v>627</v>
      </c>
      <c r="AT252" s="45" t="s">
        <v>705</v>
      </c>
      <c r="AU252" s="46">
        <f>($O$3*(L252-$O$1)/$O$2+$P$3*(M252-$P$1)/$P$2+$Q$3*(N252-$P$1)/$Q$2)/SUM($O$3:$Q$3)</f>
        <v>-2.5060525215375429</v>
      </c>
      <c r="AV252" s="46">
        <f>($O$3*(O252-$O$1)/$O$2+$P$3*(P252-$P$1)/$P$2+$Q$3*(Q252-$Q$1)/$Q$2)/SUM($O$3:$Q$3)</f>
        <v>-1.23416323121884</v>
      </c>
      <c r="AW252" s="47">
        <f>COUNT(R252:AO252)/2</f>
        <v>3</v>
      </c>
      <c r="AX252" s="47">
        <f>IF(AND(S252&lt;&gt;"-",S252&gt;5),1,0)+IF(AND(U252&lt;&gt;"-",U252&gt;5),1,0)+IF(AND(W252&lt;&gt;"-",W252&gt;5),1,0)+IF(AND(Y252&lt;&gt;"-",Y252&gt;5),1,0)+IF(AND(AA252&lt;&gt;"-",AA252&gt;5),1,0)+IF(AND(AC252&lt;&gt;"-",AC252&gt;5),1,0)+IF(AND(AE252&lt;&gt;"-",AE252&gt;5),1,0)+IF(AND(AG252&lt;&gt;"-",AG252&gt;5),1,0)+IF(AND(AI252&lt;&gt;"-",AI252&gt;5),1,0)+IF(AND(AK252&lt;&gt;"-",AK252&gt;5),1,0)+IF(AND(AM252&lt;&gt;"-",AM252&gt;5),1,0)+IF(AND(AO252&lt;&gt;"-",AO252&gt;5),1,0)</f>
        <v>1</v>
      </c>
      <c r="AY252" s="48">
        <f>VLOOKUP(AP252,COND!$A$10:$B$32,2,FALSE)</f>
        <v>1</v>
      </c>
      <c r="AZ252" s="46">
        <f>($AU$3*AU252+$AV$3*AV252+$AW$3*AW252+$AX$3*AX252)*AY252*IF(AQ252&lt;5,0.95,IF(AQ252&lt;7,0.975,1))+$I$3*VLOOKUP(I252,COND!$A$2:$E$7,4,FALSE)+$J$3*VLOOKUP(J252,COND!$A$2:$E$7,2,FALSE)+$K$3*VLOOKUP(K252,COND!$A$2:$E$7,3,FALSE)+IF(BB252="SP",$BB$3,0)+IF($AW252&lt;3,-5,0)+IF(AND($B$2&gt;0,$E252&lt;20),$B$2*25,0)</f>
        <v>29.9763867495328</v>
      </c>
      <c r="BA252" s="49">
        <f>STANDARDIZE(AZ252,AVERAGE($AZ$5:$AZ$570),STDEVP($AZ$5:$AZ$570))</f>
        <v>-0.25180747445510415</v>
      </c>
      <c r="BB252" s="47" t="str">
        <f>IF(OR(AND(AQ252&gt;7,AX252&gt;1),AND(AQ252&gt;4,AW252&gt;2)),"SP","RP")</f>
        <v>SP</v>
      </c>
      <c r="BC252" s="47"/>
      <c r="BD252" s="47"/>
      <c r="BE252" s="47"/>
      <c r="BF252" s="47" t="str">
        <f>IF(AVERAGE($O252:$Q252)&gt;=6,"Likely",IF(AVERAGE($O252:$Q252)&gt;=4,"Possible","Unlikely"))</f>
        <v>Unlikely</v>
      </c>
      <c r="BG252" s="47"/>
      <c r="BH252" s="47" t="str">
        <f>INDEX(Table5[[#All],[Ovr]],MATCH(Table3[[#This Row],[PID]],Table5[[#All],[PID]],0))</f>
        <v/>
      </c>
      <c r="BI252" s="47" t="str">
        <f>INDEX(Table5[[#All],[Rnd]],MATCH(Table3[[#This Row],[PID]],Table5[[#All],[PID]],0))</f>
        <v/>
      </c>
      <c r="BJ252" s="47" t="str">
        <f>INDEX(Table5[[#All],[Pick]],MATCH(Table3[[#This Row],[PID]],Table5[[#All],[PID]],0))</f>
        <v/>
      </c>
      <c r="BK252" s="47" t="str">
        <f>INDEX(Table5[[#All],[Team]],MATCH(Table3[[#This Row],[PID]],Table5[[#All],[PID]],0))</f>
        <v/>
      </c>
      <c r="BL2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3" spans="1:64" ht="15" customHeight="1" x14ac:dyDescent="0.25">
      <c r="A253" s="42">
        <v>15112</v>
      </c>
      <c r="B253" s="42" t="s">
        <v>430</v>
      </c>
      <c r="C253" s="42" t="s">
        <v>1675</v>
      </c>
      <c r="D253" s="42" t="s">
        <v>1676</v>
      </c>
      <c r="E253" s="42">
        <v>18</v>
      </c>
      <c r="F253" s="42" t="s">
        <v>42</v>
      </c>
      <c r="G253" s="42" t="s">
        <v>42</v>
      </c>
      <c r="H253" s="43" t="s">
        <v>721</v>
      </c>
      <c r="I253" s="44" t="s">
        <v>43</v>
      </c>
      <c r="J253" s="42" t="s">
        <v>43</v>
      </c>
      <c r="K253" s="43" t="s">
        <v>43</v>
      </c>
      <c r="L253" s="42">
        <v>1</v>
      </c>
      <c r="M253" s="42">
        <v>1</v>
      </c>
      <c r="N253" s="43">
        <v>1</v>
      </c>
      <c r="O253" s="42">
        <v>4</v>
      </c>
      <c r="P253" s="42">
        <v>2</v>
      </c>
      <c r="Q253" s="43">
        <v>2</v>
      </c>
      <c r="R253" s="42">
        <v>2</v>
      </c>
      <c r="S253" s="42">
        <v>5</v>
      </c>
      <c r="T253" s="42">
        <v>1</v>
      </c>
      <c r="U253" s="42">
        <v>1</v>
      </c>
      <c r="V253" s="42" t="s">
        <v>45</v>
      </c>
      <c r="W253" s="42" t="s">
        <v>45</v>
      </c>
      <c r="X253" s="42" t="s">
        <v>45</v>
      </c>
      <c r="Y253" s="42" t="s">
        <v>45</v>
      </c>
      <c r="Z253" s="42" t="s">
        <v>45</v>
      </c>
      <c r="AA253" s="42" t="s">
        <v>45</v>
      </c>
      <c r="AB253" s="42">
        <v>2</v>
      </c>
      <c r="AC253" s="42">
        <v>4</v>
      </c>
      <c r="AD253" s="42" t="s">
        <v>45</v>
      </c>
      <c r="AE253" s="42" t="s">
        <v>45</v>
      </c>
      <c r="AF253" s="42">
        <v>2</v>
      </c>
      <c r="AG253" s="42">
        <v>5</v>
      </c>
      <c r="AH253" s="42" t="s">
        <v>45</v>
      </c>
      <c r="AI253" s="42" t="s">
        <v>45</v>
      </c>
      <c r="AJ253" s="42" t="s">
        <v>45</v>
      </c>
      <c r="AK253" s="42" t="s">
        <v>45</v>
      </c>
      <c r="AL253" s="42" t="s">
        <v>45</v>
      </c>
      <c r="AM253" s="42" t="s">
        <v>45</v>
      </c>
      <c r="AN253" s="42" t="s">
        <v>45</v>
      </c>
      <c r="AO253" s="43" t="s">
        <v>45</v>
      </c>
      <c r="AP253" s="42" t="s">
        <v>68</v>
      </c>
      <c r="AQ253" s="42">
        <v>7</v>
      </c>
      <c r="AR253" s="50" t="s">
        <v>353</v>
      </c>
      <c r="AS253" s="45" t="s">
        <v>718</v>
      </c>
      <c r="AT253" s="45" t="s">
        <v>705</v>
      </c>
      <c r="AU253" s="46">
        <f>($O$3*(L253-$O$1)/$O$2+$P$3*(M253-$P$1)/$P$2+$Q$3*(N253-$P$1)/$Q$2)/SUM($O$3:$Q$3)</f>
        <v>-2.7014842379675978</v>
      </c>
      <c r="AV253" s="46">
        <f>($O$3*(O253-$O$1)/$O$2+$P$3*(P253-$P$1)/$P$2+$Q$3*(Q253-$Q$1)/$Q$2)/SUM($O$3:$Q$3)</f>
        <v>-1.23416323121884</v>
      </c>
      <c r="AW253" s="47">
        <f>COUNT(R253:AO253)/2</f>
        <v>4</v>
      </c>
      <c r="AX253" s="47">
        <f>IF(AND(S253&lt;&gt;"-",S253&gt;5),1,0)+IF(AND(U253&lt;&gt;"-",U253&gt;5),1,0)+IF(AND(W253&lt;&gt;"-",W253&gt;5),1,0)+IF(AND(Y253&lt;&gt;"-",Y253&gt;5),1,0)+IF(AND(AA253&lt;&gt;"-",AA253&gt;5),1,0)+IF(AND(AC253&lt;&gt;"-",AC253&gt;5),1,0)+IF(AND(AE253&lt;&gt;"-",AE253&gt;5),1,0)+IF(AND(AG253&lt;&gt;"-",AG253&gt;5),1,0)+IF(AND(AI253&lt;&gt;"-",AI253&gt;5),1,0)+IF(AND(AK253&lt;&gt;"-",AK253&gt;5),1,0)+IF(AND(AM253&lt;&gt;"-",AM253&gt;5),1,0)+IF(AND(AO253&lt;&gt;"-",AO253&gt;5),1,0)</f>
        <v>0</v>
      </c>
      <c r="AY253" s="48">
        <f>VLOOKUP(AP253,COND!$A$10:$B$32,2,FALSE)</f>
        <v>0.95</v>
      </c>
      <c r="AZ253" s="46">
        <f>($AU$3*AU253+$AV$3*AV253+$AW$3*AW253+$AX$3*AX253)*AY253*IF(AQ253&lt;5,0.95,IF(AQ253&lt;7,0.975,1))+$I$3*VLOOKUP(I253,COND!$A$2:$E$7,4,FALSE)+$J$3*VLOOKUP(J253,COND!$A$2:$E$7,2,FALSE)+$K$3*VLOOKUP(K253,COND!$A$2:$E$7,3,FALSE)+IF(BB253="SP",$BB$3,0)+IF($AW253&lt;3,-5,0)+IF(AND($B$2&gt;0,$E253&lt;20),$B$2*25,0)</f>
        <v>29.937616601628196</v>
      </c>
      <c r="BA253" s="49">
        <f>STANDARDIZE(AZ253,AVERAGE($AZ$5:$AZ$570),STDEVP($AZ$5:$AZ$570))</f>
        <v>-0.2553628627250511</v>
      </c>
      <c r="BB253" s="47" t="str">
        <f>IF(OR(AND(AQ253&gt;7,AX253&gt;1),AND(AQ253&gt;4,AW253&gt;2)),"SP","RP")</f>
        <v>SP</v>
      </c>
      <c r="BC253" s="47"/>
      <c r="BD253" s="47"/>
      <c r="BE253" s="47"/>
      <c r="BF253" s="47" t="str">
        <f>IF(AVERAGE($O253:$Q253)&gt;=6,"Likely",IF(AVERAGE($O253:$Q253)&gt;=4,"Possible","Unlikely"))</f>
        <v>Unlikely</v>
      </c>
      <c r="BG253" s="47"/>
      <c r="BH253" s="47" t="str">
        <f>INDEX(Table5[[#All],[Ovr]],MATCH(Table3[[#This Row],[PID]],Table5[[#All],[PID]],0))</f>
        <v/>
      </c>
      <c r="BI253" s="47" t="str">
        <f>INDEX(Table5[[#All],[Rnd]],MATCH(Table3[[#This Row],[PID]],Table5[[#All],[PID]],0))</f>
        <v/>
      </c>
      <c r="BJ253" s="47" t="str">
        <f>INDEX(Table5[[#All],[Pick]],MATCH(Table3[[#This Row],[PID]],Table5[[#All],[PID]],0))</f>
        <v/>
      </c>
      <c r="BK253" s="47" t="str">
        <f>INDEX(Table5[[#All],[Team]],MATCH(Table3[[#This Row],[PID]],Table5[[#All],[PID]],0))</f>
        <v/>
      </c>
      <c r="BL2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4" spans="1:64" ht="15" customHeight="1" x14ac:dyDescent="0.25">
      <c r="A254" s="42">
        <v>8971</v>
      </c>
      <c r="B254" s="42" t="s">
        <v>430</v>
      </c>
      <c r="C254" s="42" t="s">
        <v>372</v>
      </c>
      <c r="D254" s="42" t="s">
        <v>162</v>
      </c>
      <c r="E254" s="42">
        <v>18</v>
      </c>
      <c r="F254" s="42" t="s">
        <v>42</v>
      </c>
      <c r="G254" s="42" t="s">
        <v>42</v>
      </c>
      <c r="H254" s="43" t="s">
        <v>721</v>
      </c>
      <c r="I254" s="44" t="s">
        <v>43</v>
      </c>
      <c r="J254" s="42" t="s">
        <v>44</v>
      </c>
      <c r="K254" s="43" t="s">
        <v>47</v>
      </c>
      <c r="L254" s="42">
        <v>2</v>
      </c>
      <c r="M254" s="42">
        <v>2</v>
      </c>
      <c r="N254" s="43">
        <v>1</v>
      </c>
      <c r="O254" s="42">
        <v>5</v>
      </c>
      <c r="P254" s="42">
        <v>2</v>
      </c>
      <c r="Q254" s="43">
        <v>1</v>
      </c>
      <c r="R254" s="42">
        <v>3</v>
      </c>
      <c r="S254" s="42">
        <v>6</v>
      </c>
      <c r="T254" s="42">
        <v>1</v>
      </c>
      <c r="U254" s="42">
        <v>1</v>
      </c>
      <c r="V254" s="42" t="s">
        <v>45</v>
      </c>
      <c r="W254" s="42" t="s">
        <v>45</v>
      </c>
      <c r="X254" s="42">
        <v>2</v>
      </c>
      <c r="Y254" s="42">
        <v>7</v>
      </c>
      <c r="Z254" s="42" t="s">
        <v>45</v>
      </c>
      <c r="AA254" s="42" t="s">
        <v>45</v>
      </c>
      <c r="AB254" s="42" t="s">
        <v>45</v>
      </c>
      <c r="AC254" s="42" t="s">
        <v>45</v>
      </c>
      <c r="AD254" s="42" t="s">
        <v>45</v>
      </c>
      <c r="AE254" s="42" t="s">
        <v>45</v>
      </c>
      <c r="AF254" s="42" t="s">
        <v>45</v>
      </c>
      <c r="AG254" s="42" t="s">
        <v>45</v>
      </c>
      <c r="AH254" s="42" t="s">
        <v>45</v>
      </c>
      <c r="AI254" s="42" t="s">
        <v>45</v>
      </c>
      <c r="AJ254" s="42" t="s">
        <v>45</v>
      </c>
      <c r="AK254" s="42" t="s">
        <v>45</v>
      </c>
      <c r="AL254" s="42" t="s">
        <v>45</v>
      </c>
      <c r="AM254" s="42" t="s">
        <v>45</v>
      </c>
      <c r="AN254" s="42" t="s">
        <v>45</v>
      </c>
      <c r="AO254" s="43" t="s">
        <v>45</v>
      </c>
      <c r="AP254" s="42" t="s">
        <v>355</v>
      </c>
      <c r="AQ254" s="42">
        <v>10</v>
      </c>
      <c r="AR254" s="50" t="s">
        <v>353</v>
      </c>
      <c r="AS254" s="45" t="s">
        <v>615</v>
      </c>
      <c r="AT254" s="45" t="s">
        <v>47</v>
      </c>
      <c r="AU254" s="46">
        <f>($O$3*(L254-$O$1)/$O$2+$P$3*(M254-$P$1)/$P$2+$Q$3*(N254-$P$1)/$Q$2)/SUM($O$3:$Q$3)</f>
        <v>-2.311361197028369</v>
      </c>
      <c r="AV254" s="46">
        <f>($O$3*(O254-$O$1)/$O$2+$P$3*(P254-$P$1)/$P$2+$Q$3*(Q254-$Q$1)/$Q$2)/SUM($O$3:$Q$3)</f>
        <v>-1.2817924727637771</v>
      </c>
      <c r="AW254" s="47">
        <f>COUNT(R254:AO254)/2</f>
        <v>3</v>
      </c>
      <c r="AX254" s="47">
        <f>IF(AND(S254&lt;&gt;"-",S254&gt;5),1,0)+IF(AND(U254&lt;&gt;"-",U254&gt;5),1,0)+IF(AND(W254&lt;&gt;"-",W254&gt;5),1,0)+IF(AND(Y254&lt;&gt;"-",Y254&gt;5),1,0)+IF(AND(AA254&lt;&gt;"-",AA254&gt;5),1,0)+IF(AND(AC254&lt;&gt;"-",AC254&gt;5),1,0)+IF(AND(AE254&lt;&gt;"-",AE254&gt;5),1,0)+IF(AND(AG254&lt;&gt;"-",AG254&gt;5),1,0)+IF(AND(AI254&lt;&gt;"-",AI254&gt;5),1,0)+IF(AND(AK254&lt;&gt;"-",AK254&gt;5),1,0)+IF(AND(AM254&lt;&gt;"-",AM254&gt;5),1,0)+IF(AND(AO254&lt;&gt;"-",AO254&gt;5),1,0)</f>
        <v>2</v>
      </c>
      <c r="AY254" s="48">
        <f>VLOOKUP(AP254,COND!$A$10:$B$32,2,FALSE)</f>
        <v>1</v>
      </c>
      <c r="AZ254" s="46">
        <f>($AU$3*AU254+$AV$3*AV254+$AW$3*AW254+$AX$3*AX254)*AY254*IF(AQ254&lt;5,0.95,IF(AQ254&lt;7,0.975,1))+$I$3*VLOOKUP(I254,COND!$A$2:$E$7,4,FALSE)+$J$3*VLOOKUP(J254,COND!$A$2:$E$7,2,FALSE)+$K$3*VLOOKUP(K254,COND!$A$2:$E$7,3,FALSE)+IF(BB254="SP",$BB$3,0)+IF($AW254&lt;3,-5,0)+IF(AND($B$2&gt;0,$E254&lt;20),$B$2*25,0)</f>
        <v>29.901878305318785</v>
      </c>
      <c r="BA254" s="49">
        <f>STANDARDIZE(AZ254,AVERAGE($AZ$5:$AZ$570),STDEVP($AZ$5:$AZ$570))</f>
        <v>-0.25864021724531289</v>
      </c>
      <c r="BB254" s="47" t="str">
        <f>IF(OR(AND(AQ254&gt;7,AX254&gt;1),AND(AQ254&gt;4,AW254&gt;2)),"SP","RP")</f>
        <v>SP</v>
      </c>
      <c r="BC254" s="47"/>
      <c r="BD254" s="47"/>
      <c r="BE254" s="47"/>
      <c r="BF254" s="47" t="str">
        <f>IF(AVERAGE($O254:$Q254)&gt;=6,"Likely",IF(AVERAGE($O254:$Q254)&gt;=4,"Possible","Unlikely"))</f>
        <v>Unlikely</v>
      </c>
      <c r="BG254" s="47"/>
      <c r="BH254" s="47" t="str">
        <f>INDEX(Table5[[#All],[Ovr]],MATCH(Table3[[#This Row],[PID]],Table5[[#All],[PID]],0))</f>
        <v/>
      </c>
      <c r="BI254" s="47" t="str">
        <f>INDEX(Table5[[#All],[Rnd]],MATCH(Table3[[#This Row],[PID]],Table5[[#All],[PID]],0))</f>
        <v/>
      </c>
      <c r="BJ254" s="47" t="str">
        <f>INDEX(Table5[[#All],[Pick]],MATCH(Table3[[#This Row],[PID]],Table5[[#All],[PID]],0))</f>
        <v/>
      </c>
      <c r="BK254" s="47" t="str">
        <f>INDEX(Table5[[#All],[Team]],MATCH(Table3[[#This Row],[PID]],Table5[[#All],[PID]],0))</f>
        <v/>
      </c>
      <c r="BL2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5" spans="1:64" ht="15" customHeight="1" x14ac:dyDescent="0.25">
      <c r="A255" s="42">
        <v>8963</v>
      </c>
      <c r="B255" s="42" t="s">
        <v>430</v>
      </c>
      <c r="C255" s="42" t="s">
        <v>590</v>
      </c>
      <c r="D255" s="42" t="s">
        <v>1493</v>
      </c>
      <c r="E255" s="42">
        <v>18</v>
      </c>
      <c r="F255" s="42" t="s">
        <v>62</v>
      </c>
      <c r="G255" s="42" t="s">
        <v>42</v>
      </c>
      <c r="H255" s="43" t="s">
        <v>721</v>
      </c>
      <c r="I255" s="44" t="s">
        <v>43</v>
      </c>
      <c r="J255" s="42" t="s">
        <v>43</v>
      </c>
      <c r="K255" s="43" t="s">
        <v>43</v>
      </c>
      <c r="L255" s="42">
        <v>2</v>
      </c>
      <c r="M255" s="42">
        <v>1</v>
      </c>
      <c r="N255" s="43">
        <v>1</v>
      </c>
      <c r="O255" s="42">
        <v>5</v>
      </c>
      <c r="P255" s="42">
        <v>1</v>
      </c>
      <c r="Q255" s="43">
        <v>2</v>
      </c>
      <c r="R255" s="42">
        <v>4</v>
      </c>
      <c r="S255" s="42">
        <v>7</v>
      </c>
      <c r="T255" s="42">
        <v>1</v>
      </c>
      <c r="U255" s="42">
        <v>1</v>
      </c>
      <c r="V255" s="42" t="s">
        <v>45</v>
      </c>
      <c r="W255" s="42" t="s">
        <v>45</v>
      </c>
      <c r="X255" s="42" t="s">
        <v>45</v>
      </c>
      <c r="Y255" s="42" t="s">
        <v>45</v>
      </c>
      <c r="Z255" s="42" t="s">
        <v>45</v>
      </c>
      <c r="AA255" s="42" t="s">
        <v>45</v>
      </c>
      <c r="AB255" s="42" t="s">
        <v>45</v>
      </c>
      <c r="AC255" s="42" t="s">
        <v>45</v>
      </c>
      <c r="AD255" s="42" t="s">
        <v>45</v>
      </c>
      <c r="AE255" s="42" t="s">
        <v>45</v>
      </c>
      <c r="AF255" s="42" t="s">
        <v>45</v>
      </c>
      <c r="AG255" s="42" t="s">
        <v>45</v>
      </c>
      <c r="AH255" s="42" t="s">
        <v>45</v>
      </c>
      <c r="AI255" s="42" t="s">
        <v>45</v>
      </c>
      <c r="AJ255" s="42" t="s">
        <v>45</v>
      </c>
      <c r="AK255" s="42" t="s">
        <v>45</v>
      </c>
      <c r="AL255" s="42">
        <v>2</v>
      </c>
      <c r="AM255" s="42">
        <v>7</v>
      </c>
      <c r="AN255" s="42" t="s">
        <v>45</v>
      </c>
      <c r="AO255" s="43" t="s">
        <v>45</v>
      </c>
      <c r="AP255" s="42" t="s">
        <v>58</v>
      </c>
      <c r="AQ255" s="42">
        <v>4</v>
      </c>
      <c r="AR255" s="50" t="s">
        <v>357</v>
      </c>
      <c r="AS255" s="45" t="s">
        <v>758</v>
      </c>
      <c r="AT255" s="45" t="s">
        <v>47</v>
      </c>
      <c r="AU255" s="46">
        <f>($O$3*(L255-$O$1)/$O$2+$P$3*(M255-$P$1)/$P$2+$Q$3*(N255-$P$1)/$Q$2)/SUM($O$3:$Q$3)</f>
        <v>-2.5067929134584248</v>
      </c>
      <c r="AV255" s="46">
        <f>($O$3*(O255-$O$1)/$O$2+$P$3*(P255-$P$1)/$P$2+$Q$3*(Q255-$Q$1)/$Q$2)/SUM($O$3:$Q$3)</f>
        <v>-1.2349036231397219</v>
      </c>
      <c r="AW255" s="47">
        <f>COUNT(R255:AO255)/2</f>
        <v>3</v>
      </c>
      <c r="AX255" s="47">
        <f>IF(AND(S255&lt;&gt;"-",S255&gt;5),1,0)+IF(AND(U255&lt;&gt;"-",U255&gt;5),1,0)+IF(AND(W255&lt;&gt;"-",W255&gt;5),1,0)+IF(AND(Y255&lt;&gt;"-",Y255&gt;5),1,0)+IF(AND(AA255&lt;&gt;"-",AA255&gt;5),1,0)+IF(AND(AC255&lt;&gt;"-",AC255&gt;5),1,0)+IF(AND(AE255&lt;&gt;"-",AE255&gt;5),1,0)+IF(AND(AG255&lt;&gt;"-",AG255&gt;5),1,0)+IF(AND(AI255&lt;&gt;"-",AI255&gt;5),1,0)+IF(AND(AK255&lt;&gt;"-",AK255&gt;5),1,0)+IF(AND(AM255&lt;&gt;"-",AM255&gt;5),1,0)+IF(AND(AO255&lt;&gt;"-",AO255&gt;5),1,0)</f>
        <v>2</v>
      </c>
      <c r="AY255" s="48">
        <f>VLOOKUP(AP255,COND!$A$10:$B$32,2,FALSE)</f>
        <v>1</v>
      </c>
      <c r="AZ255" s="46">
        <f>($AU$3*AU255+$AV$3*AV255+$AW$3*AW255+$AX$3*AX255)*AY255*IF(AQ255&lt;5,0.95,IF(AQ255&lt;7,0.975,1))+$I$3*VLOOKUP(I255,COND!$A$2:$E$7,4,FALSE)+$J$3*VLOOKUP(J255,COND!$A$2:$E$7,2,FALSE)+$K$3*VLOOKUP(K255,COND!$A$2:$E$7,3,FALSE)+IF(BB255="SP",$BB$3,0)+IF($AW255&lt;3,-5,0)+IF(AND($B$2&gt;0,$E255&lt;20),$B$2*25,0)</f>
        <v>29.860540506788183</v>
      </c>
      <c r="BA255" s="49">
        <f>STANDARDIZE(AZ255,AVERAGE($AZ$5:$AZ$570),STDEVP($AZ$5:$AZ$570))</f>
        <v>-0.26243107005203331</v>
      </c>
      <c r="BB255" s="47" t="str">
        <f>IF(OR(AND(AQ255&gt;7,AX255&gt;1),AND(AQ255&gt;4,AW255&gt;2)),"SP","RP")</f>
        <v>RP</v>
      </c>
      <c r="BC255" s="47"/>
      <c r="BD255" s="47"/>
      <c r="BE255" s="47"/>
      <c r="BF255" s="47" t="str">
        <f>IF(AVERAGE($O255:$Q255)&gt;=6,"Likely",IF(AVERAGE($O255:$Q255)&gt;=4,"Possible","Unlikely"))</f>
        <v>Unlikely</v>
      </c>
      <c r="BG255" s="47"/>
      <c r="BH255" s="47" t="str">
        <f>INDEX(Table5[[#All],[Ovr]],MATCH(Table3[[#This Row],[PID]],Table5[[#All],[PID]],0))</f>
        <v/>
      </c>
      <c r="BI255" s="47" t="str">
        <f>INDEX(Table5[[#All],[Rnd]],MATCH(Table3[[#This Row],[PID]],Table5[[#All],[PID]],0))</f>
        <v/>
      </c>
      <c r="BJ255" s="47" t="str">
        <f>INDEX(Table5[[#All],[Pick]],MATCH(Table3[[#This Row],[PID]],Table5[[#All],[PID]],0))</f>
        <v/>
      </c>
      <c r="BK255" s="47" t="str">
        <f>INDEX(Table5[[#All],[Team]],MATCH(Table3[[#This Row],[PID]],Table5[[#All],[PID]],0))</f>
        <v/>
      </c>
      <c r="BL2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6" spans="1:64" ht="15" customHeight="1" x14ac:dyDescent="0.25">
      <c r="A256" s="42">
        <v>17628</v>
      </c>
      <c r="B256" s="42" t="s">
        <v>430</v>
      </c>
      <c r="C256" s="42" t="s">
        <v>146</v>
      </c>
      <c r="D256" s="42" t="s">
        <v>1729</v>
      </c>
      <c r="E256" s="42">
        <v>18</v>
      </c>
      <c r="F256" s="42" t="s">
        <v>53</v>
      </c>
      <c r="G256" s="42" t="s">
        <v>42</v>
      </c>
      <c r="H256" s="43" t="s">
        <v>721</v>
      </c>
      <c r="I256" s="44" t="s">
        <v>43</v>
      </c>
      <c r="J256" s="42" t="s">
        <v>44</v>
      </c>
      <c r="K256" s="43" t="s">
        <v>43</v>
      </c>
      <c r="L256" s="42">
        <v>2</v>
      </c>
      <c r="M256" s="42">
        <v>2</v>
      </c>
      <c r="N256" s="43">
        <v>1</v>
      </c>
      <c r="O256" s="42">
        <v>4</v>
      </c>
      <c r="P256" s="42">
        <v>2</v>
      </c>
      <c r="Q256" s="43">
        <v>2</v>
      </c>
      <c r="R256" s="42">
        <v>4</v>
      </c>
      <c r="S256" s="42">
        <v>6</v>
      </c>
      <c r="T256" s="42">
        <v>1</v>
      </c>
      <c r="U256" s="42">
        <v>1</v>
      </c>
      <c r="V256" s="42" t="s">
        <v>45</v>
      </c>
      <c r="W256" s="42" t="s">
        <v>45</v>
      </c>
      <c r="X256" s="42">
        <v>3</v>
      </c>
      <c r="Y256" s="42">
        <v>6</v>
      </c>
      <c r="Z256" s="42" t="s">
        <v>45</v>
      </c>
      <c r="AA256" s="42" t="s">
        <v>45</v>
      </c>
      <c r="AB256" s="42" t="s">
        <v>45</v>
      </c>
      <c r="AC256" s="42" t="s">
        <v>45</v>
      </c>
      <c r="AD256" s="42" t="s">
        <v>45</v>
      </c>
      <c r="AE256" s="42" t="s">
        <v>45</v>
      </c>
      <c r="AF256" s="42" t="s">
        <v>45</v>
      </c>
      <c r="AG256" s="42" t="s">
        <v>45</v>
      </c>
      <c r="AH256" s="42" t="s">
        <v>45</v>
      </c>
      <c r="AI256" s="42" t="s">
        <v>45</v>
      </c>
      <c r="AJ256" s="42" t="s">
        <v>45</v>
      </c>
      <c r="AK256" s="42" t="s">
        <v>45</v>
      </c>
      <c r="AL256" s="42" t="s">
        <v>45</v>
      </c>
      <c r="AM256" s="42" t="s">
        <v>45</v>
      </c>
      <c r="AN256" s="42" t="s">
        <v>45</v>
      </c>
      <c r="AO256" s="43" t="s">
        <v>45</v>
      </c>
      <c r="AP256" s="42" t="s">
        <v>56</v>
      </c>
      <c r="AQ256" s="42">
        <v>7</v>
      </c>
      <c r="AR256" s="50" t="s">
        <v>353</v>
      </c>
      <c r="AS256" s="45" t="s">
        <v>718</v>
      </c>
      <c r="AT256" s="45" t="s">
        <v>47</v>
      </c>
      <c r="AU256" s="46">
        <f>($O$3*(L256-$O$1)/$O$2+$P$3*(M256-$P$1)/$P$2+$Q$3*(N256-$P$1)/$Q$2)/SUM($O$3:$Q$3)</f>
        <v>-2.311361197028369</v>
      </c>
      <c r="AV256" s="46">
        <f>($O$3*(O256-$O$1)/$O$2+$P$3*(P256-$P$1)/$P$2+$Q$3*(Q256-$Q$1)/$Q$2)/SUM($O$3:$Q$3)</f>
        <v>-1.23416323121884</v>
      </c>
      <c r="AW256" s="47">
        <f>COUNT(R256:AO256)/2</f>
        <v>3</v>
      </c>
      <c r="AX256" s="47">
        <f>IF(AND(S256&lt;&gt;"-",S256&gt;5),1,0)+IF(AND(U256&lt;&gt;"-",U256&gt;5),1,0)+IF(AND(W256&lt;&gt;"-",W256&gt;5),1,0)+IF(AND(Y256&lt;&gt;"-",Y256&gt;5),1,0)+IF(AND(AA256&lt;&gt;"-",AA256&gt;5),1,0)+IF(AND(AC256&lt;&gt;"-",AC256&gt;5),1,0)+IF(AND(AE256&lt;&gt;"-",AE256&gt;5),1,0)+IF(AND(AG256&lt;&gt;"-",AG256&gt;5),1,0)+IF(AND(AI256&lt;&gt;"-",AI256&gt;5),1,0)+IF(AND(AK256&lt;&gt;"-",AK256&gt;5),1,0)+IF(AND(AM256&lt;&gt;"-",AM256&gt;5),1,0)+IF(AND(AO256&lt;&gt;"-",AO256&gt;5),1,0)</f>
        <v>2</v>
      </c>
      <c r="AY256" s="48">
        <f>VLOOKUP(AP256,COND!$A$10:$B$32,2,FALSE)</f>
        <v>1</v>
      </c>
      <c r="AZ256" s="46">
        <f>($AU$3*AU256+$AV$3*AV256+$AW$3*AW256+$AX$3*AX256)*AY256*IF(AQ256&lt;5,0.95,IF(AQ256&lt;7,0.975,1))+$I$3*VLOOKUP(I256,COND!$A$2:$E$7,4,FALSE)+$J$3*VLOOKUP(J256,COND!$A$2:$E$7,2,FALSE)+$K$3*VLOOKUP(K256,COND!$A$2:$E$7,3,FALSE)+IF(BB256="SP",$BB$3,0)+IF($AW256&lt;3,-5,0)+IF(AND($B$2&gt;0,$E256&lt;20),$B$2*25,0)</f>
        <v>30.554463136217525</v>
      </c>
      <c r="BA256" s="49">
        <f>STANDARDIZE(AZ256,AVERAGE($AZ$5:$AZ$570),STDEVP($AZ$5:$AZ$570))</f>
        <v>-0.19879539904571028</v>
      </c>
      <c r="BB256" s="47" t="str">
        <f>IF(OR(AND(AQ256&gt;7,AX256&gt;1),AND(AQ256&gt;4,AW256&gt;2)),"SP","RP")</f>
        <v>SP</v>
      </c>
      <c r="BC256" s="47"/>
      <c r="BD256" s="47"/>
      <c r="BE256" s="47"/>
      <c r="BF256" s="47" t="str">
        <f>IF(AVERAGE($O256:$Q256)&gt;=6,"Likely",IF(AVERAGE($O256:$Q256)&gt;=4,"Possible","Unlikely"))</f>
        <v>Unlikely</v>
      </c>
      <c r="BG256" s="47"/>
      <c r="BH256" s="47" t="str">
        <f>INDEX(Table5[[#All],[Ovr]],MATCH(Table3[[#This Row],[PID]],Table5[[#All],[PID]],0))</f>
        <v/>
      </c>
      <c r="BI256" s="47" t="str">
        <f>INDEX(Table5[[#All],[Rnd]],MATCH(Table3[[#This Row],[PID]],Table5[[#All],[PID]],0))</f>
        <v/>
      </c>
      <c r="BJ256" s="47" t="str">
        <f>INDEX(Table5[[#All],[Pick]],MATCH(Table3[[#This Row],[PID]],Table5[[#All],[PID]],0))</f>
        <v/>
      </c>
      <c r="BK256" s="47" t="str">
        <f>INDEX(Table5[[#All],[Team]],MATCH(Table3[[#This Row],[PID]],Table5[[#All],[PID]],0))</f>
        <v/>
      </c>
      <c r="BL2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7" spans="1:64" ht="15" customHeight="1" x14ac:dyDescent="0.25">
      <c r="A257" s="42">
        <v>9975</v>
      </c>
      <c r="B257" s="42" t="s">
        <v>430</v>
      </c>
      <c r="C257" s="42" t="s">
        <v>128</v>
      </c>
      <c r="D257" s="42" t="s">
        <v>947</v>
      </c>
      <c r="E257" s="42">
        <v>22</v>
      </c>
      <c r="F257" s="42" t="s">
        <v>53</v>
      </c>
      <c r="G257" s="42" t="s">
        <v>53</v>
      </c>
      <c r="H257" s="43" t="s">
        <v>721</v>
      </c>
      <c r="I257" s="44" t="s">
        <v>43</v>
      </c>
      <c r="J257" s="42" t="s">
        <v>43</v>
      </c>
      <c r="K257" s="43" t="s">
        <v>43</v>
      </c>
      <c r="L257" s="42">
        <v>3</v>
      </c>
      <c r="M257" s="42">
        <v>2</v>
      </c>
      <c r="N257" s="43">
        <v>1</v>
      </c>
      <c r="O257" s="42">
        <v>5</v>
      </c>
      <c r="P257" s="42">
        <v>2</v>
      </c>
      <c r="Q257" s="43">
        <v>2</v>
      </c>
      <c r="R257" s="42">
        <v>5</v>
      </c>
      <c r="S257" s="42">
        <v>6</v>
      </c>
      <c r="T257" s="42">
        <v>3</v>
      </c>
      <c r="U257" s="42">
        <v>6</v>
      </c>
      <c r="V257" s="42" t="s">
        <v>45</v>
      </c>
      <c r="W257" s="42" t="s">
        <v>45</v>
      </c>
      <c r="X257" s="42">
        <v>2</v>
      </c>
      <c r="Y257" s="42">
        <v>3</v>
      </c>
      <c r="Z257" s="42" t="s">
        <v>45</v>
      </c>
      <c r="AA257" s="42" t="s">
        <v>45</v>
      </c>
      <c r="AB257" s="42" t="s">
        <v>45</v>
      </c>
      <c r="AC257" s="42" t="s">
        <v>45</v>
      </c>
      <c r="AD257" s="42" t="s">
        <v>45</v>
      </c>
      <c r="AE257" s="42" t="s">
        <v>45</v>
      </c>
      <c r="AF257" s="42" t="s">
        <v>45</v>
      </c>
      <c r="AG257" s="42" t="s">
        <v>45</v>
      </c>
      <c r="AH257" s="42" t="s">
        <v>45</v>
      </c>
      <c r="AI257" s="42" t="s">
        <v>45</v>
      </c>
      <c r="AJ257" s="42" t="s">
        <v>45</v>
      </c>
      <c r="AK257" s="42" t="s">
        <v>45</v>
      </c>
      <c r="AL257" s="42" t="s">
        <v>45</v>
      </c>
      <c r="AM257" s="42" t="s">
        <v>45</v>
      </c>
      <c r="AN257" s="42" t="s">
        <v>45</v>
      </c>
      <c r="AO257" s="43" t="s">
        <v>45</v>
      </c>
      <c r="AP257" s="42" t="s">
        <v>56</v>
      </c>
      <c r="AQ257" s="42">
        <v>7</v>
      </c>
      <c r="AR257" s="50" t="s">
        <v>353</v>
      </c>
      <c r="AS257" s="45" t="s">
        <v>45</v>
      </c>
      <c r="AT257" s="45" t="s">
        <v>705</v>
      </c>
      <c r="AU257" s="46">
        <f>($O$3*(L257-$O$1)/$O$2+$P$3*(M257-$P$1)/$P$2+$Q$3*(N257-$P$1)/$Q$2)/SUM($O$3:$Q$3)</f>
        <v>-2.1166698725191955</v>
      </c>
      <c r="AV257" s="46">
        <f>($O$3*(O257-$O$1)/$O$2+$P$3*(P257-$P$1)/$P$2+$Q$3*(Q257-$Q$1)/$Q$2)/SUM($O$3:$Q$3)</f>
        <v>-1.0394719067096667</v>
      </c>
      <c r="AW257" s="47">
        <f>COUNT(R257:AO257)/2</f>
        <v>3</v>
      </c>
      <c r="AX257" s="47">
        <f>IF(AND(S257&lt;&gt;"-",S257&gt;5),1,0)+IF(AND(U257&lt;&gt;"-",U257&gt;5),1,0)+IF(AND(W257&lt;&gt;"-",W257&gt;5),1,0)+IF(AND(Y257&lt;&gt;"-",Y257&gt;5),1,0)+IF(AND(AA257&lt;&gt;"-",AA257&gt;5),1,0)+IF(AND(AC257&lt;&gt;"-",AC257&gt;5),1,0)+IF(AND(AE257&lt;&gt;"-",AE257&gt;5),1,0)+IF(AND(AG257&lt;&gt;"-",AG257&gt;5),1,0)+IF(AND(AI257&lt;&gt;"-",AI257&gt;5),1,0)+IF(AND(AK257&lt;&gt;"-",AK257&gt;5),1,0)+IF(AND(AM257&lt;&gt;"-",AM257&gt;5),1,0)+IF(AND(AO257&lt;&gt;"-",AO257&gt;5),1,0)</f>
        <v>2</v>
      </c>
      <c r="AY257" s="48">
        <f>VLOOKUP(AP257,COND!$A$10:$B$32,2,FALSE)</f>
        <v>1</v>
      </c>
      <c r="AZ257" s="46">
        <f>($AU$3*AU257+$AV$3*AV257+$AW$3*AW257+$AX$3*AX257)*AY257*IF(AQ257&lt;5,0.95,IF(AQ257&lt;7,0.975,1))+$I$3*VLOOKUP(I257,COND!$A$2:$E$7,4,FALSE)+$J$3*VLOOKUP(J257,COND!$A$2:$E$7,2,FALSE)+$K$3*VLOOKUP(K257,COND!$A$2:$E$7,3,FALSE)+IF(BB257="SP",$BB$3,0)+IF($AW257&lt;3,-5,0)+IF(AND($B$2&gt;0,$E257&lt;20),$B$2*25,0)</f>
        <v>29.787227891302827</v>
      </c>
      <c r="BA257" s="49">
        <f>STANDARDIZE(AZ257,AVERAGE($AZ$5:$AZ$570),STDEVP($AZ$5:$AZ$570))</f>
        <v>-0.26915415023674472</v>
      </c>
      <c r="BB257" s="47" t="str">
        <f>IF(OR(AND(AQ257&gt;7,AX257&gt;1),AND(AQ257&gt;4,AW257&gt;2)),"SP","RP")</f>
        <v>SP</v>
      </c>
      <c r="BC257" s="47"/>
      <c r="BD257" s="47"/>
      <c r="BE257" s="47"/>
      <c r="BF257" s="47" t="str">
        <f>IF(AVERAGE($O257:$Q257)&gt;=6,"Likely",IF(AVERAGE($O257:$Q257)&gt;=4,"Possible","Unlikely"))</f>
        <v>Unlikely</v>
      </c>
      <c r="BG257" s="47"/>
      <c r="BH257" s="47" t="str">
        <f>INDEX(Table5[[#All],[Ovr]],MATCH(Table3[[#This Row],[PID]],Table5[[#All],[PID]],0))</f>
        <v/>
      </c>
      <c r="BI257" s="47" t="str">
        <f>INDEX(Table5[[#All],[Rnd]],MATCH(Table3[[#This Row],[PID]],Table5[[#All],[PID]],0))</f>
        <v/>
      </c>
      <c r="BJ257" s="47" t="str">
        <f>INDEX(Table5[[#All],[Pick]],MATCH(Table3[[#This Row],[PID]],Table5[[#All],[PID]],0))</f>
        <v/>
      </c>
      <c r="BK257" s="47" t="str">
        <f>INDEX(Table5[[#All],[Team]],MATCH(Table3[[#This Row],[PID]],Table5[[#All],[PID]],0))</f>
        <v/>
      </c>
      <c r="BL2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8" spans="1:64" ht="15" customHeight="1" x14ac:dyDescent="0.25">
      <c r="A258" s="42">
        <v>8671</v>
      </c>
      <c r="B258" s="42" t="s">
        <v>430</v>
      </c>
      <c r="C258" s="42" t="s">
        <v>152</v>
      </c>
      <c r="D258" s="42" t="s">
        <v>1591</v>
      </c>
      <c r="E258" s="42">
        <v>18</v>
      </c>
      <c r="F258" s="42" t="s">
        <v>42</v>
      </c>
      <c r="G258" s="42" t="s">
        <v>42</v>
      </c>
      <c r="H258" s="43" t="s">
        <v>721</v>
      </c>
      <c r="I258" s="44" t="s">
        <v>43</v>
      </c>
      <c r="J258" s="42" t="s">
        <v>43</v>
      </c>
      <c r="K258" s="43" t="s">
        <v>43</v>
      </c>
      <c r="L258" s="42">
        <v>1</v>
      </c>
      <c r="M258" s="42">
        <v>1</v>
      </c>
      <c r="N258" s="43">
        <v>1</v>
      </c>
      <c r="O258" s="42">
        <v>4</v>
      </c>
      <c r="P258" s="42">
        <v>2</v>
      </c>
      <c r="Q258" s="43">
        <v>2</v>
      </c>
      <c r="R258" s="42">
        <v>2</v>
      </c>
      <c r="S258" s="42">
        <v>3</v>
      </c>
      <c r="T258" s="42">
        <v>1</v>
      </c>
      <c r="U258" s="42">
        <v>7</v>
      </c>
      <c r="V258" s="42" t="s">
        <v>45</v>
      </c>
      <c r="W258" s="42" t="s">
        <v>45</v>
      </c>
      <c r="X258" s="42">
        <v>1</v>
      </c>
      <c r="Y258" s="42">
        <v>1</v>
      </c>
      <c r="Z258" s="42" t="s">
        <v>45</v>
      </c>
      <c r="AA258" s="42" t="s">
        <v>45</v>
      </c>
      <c r="AB258" s="42" t="s">
        <v>45</v>
      </c>
      <c r="AC258" s="42" t="s">
        <v>45</v>
      </c>
      <c r="AD258" s="42" t="s">
        <v>45</v>
      </c>
      <c r="AE258" s="42" t="s">
        <v>45</v>
      </c>
      <c r="AF258" s="42" t="s">
        <v>45</v>
      </c>
      <c r="AG258" s="42" t="s">
        <v>45</v>
      </c>
      <c r="AH258" s="42" t="s">
        <v>45</v>
      </c>
      <c r="AI258" s="42" t="s">
        <v>45</v>
      </c>
      <c r="AJ258" s="42" t="s">
        <v>45</v>
      </c>
      <c r="AK258" s="42" t="s">
        <v>45</v>
      </c>
      <c r="AL258" s="42" t="s">
        <v>45</v>
      </c>
      <c r="AM258" s="42" t="s">
        <v>45</v>
      </c>
      <c r="AN258" s="42" t="s">
        <v>45</v>
      </c>
      <c r="AO258" s="43" t="s">
        <v>45</v>
      </c>
      <c r="AP258" s="42" t="s">
        <v>65</v>
      </c>
      <c r="AQ258" s="42">
        <v>3</v>
      </c>
      <c r="AR258" s="50" t="s">
        <v>14</v>
      </c>
      <c r="AS258" s="45" t="s">
        <v>730</v>
      </c>
      <c r="AT258" s="45" t="s">
        <v>705</v>
      </c>
      <c r="AU258" s="46">
        <f>($O$3*(L258-$O$1)/$O$2+$P$3*(M258-$P$1)/$P$2+$Q$3*(N258-$P$1)/$Q$2)/SUM($O$3:$Q$3)</f>
        <v>-2.7014842379675978</v>
      </c>
      <c r="AV258" s="46">
        <f>($O$3*(O258-$O$1)/$O$2+$P$3*(P258-$P$1)/$P$2+$Q$3*(Q258-$Q$1)/$Q$2)/SUM($O$3:$Q$3)</f>
        <v>-1.23416323121884</v>
      </c>
      <c r="AW258" s="47">
        <f>COUNT(R258:AO258)/2</f>
        <v>3</v>
      </c>
      <c r="AX258" s="47">
        <f>IF(AND(S258&lt;&gt;"-",S258&gt;5),1,0)+IF(AND(U258&lt;&gt;"-",U258&gt;5),1,0)+IF(AND(W258&lt;&gt;"-",W258&gt;5),1,0)+IF(AND(Y258&lt;&gt;"-",Y258&gt;5),1,0)+IF(AND(AA258&lt;&gt;"-",AA258&gt;5),1,0)+IF(AND(AC258&lt;&gt;"-",AC258&gt;5),1,0)+IF(AND(AE258&lt;&gt;"-",AE258&gt;5),1,0)+IF(AND(AG258&lt;&gt;"-",AG258&gt;5),1,0)+IF(AND(AI258&lt;&gt;"-",AI258&gt;5),1,0)+IF(AND(AK258&lt;&gt;"-",AK258&gt;5),1,0)+IF(AND(AM258&lt;&gt;"-",AM258&gt;5),1,0)+IF(AND(AO258&lt;&gt;"-",AO258&gt;5),1,0)</f>
        <v>1</v>
      </c>
      <c r="AY258" s="48">
        <f>VLOOKUP(AP258,COND!$A$10:$B$32,2,FALSE)</f>
        <v>0.95</v>
      </c>
      <c r="AZ258" s="46">
        <f>($AU$3*AU258+$AV$3*AV258+$AW$3*AW258+$AX$3*AX258)*AY258*IF(AQ258&lt;5,0.95,IF(AQ258&lt;7,0.975,1))+$I$3*VLOOKUP(I258,COND!$A$2:$E$7,4,FALSE)+$J$3*VLOOKUP(J258,COND!$A$2:$E$7,2,FALSE)+$K$3*VLOOKUP(K258,COND!$A$2:$E$7,3,FALSE)+IF(BB258="SP",$BB$3,0)+IF($AW258&lt;3,-5,0)+IF(AND($B$2&gt;0,$E258&lt;20),$B$2*25,0)</f>
        <v>29.717610771546788</v>
      </c>
      <c r="BA258" s="49">
        <f>STANDARDIZE(AZ258,AVERAGE($AZ$5:$AZ$570),STDEVP($AZ$5:$AZ$570))</f>
        <v>-0.27553833766819691</v>
      </c>
      <c r="BB258" s="47" t="str">
        <f>IF(OR(AND(AQ258&gt;7,AX258&gt;1),AND(AQ258&gt;4,AW258&gt;2)),"SP","RP")</f>
        <v>RP</v>
      </c>
      <c r="BC258" s="47"/>
      <c r="BD258" s="47"/>
      <c r="BE258" s="47"/>
      <c r="BF258" s="47" t="str">
        <f>IF(AVERAGE($O258:$Q258)&gt;=6,"Likely",IF(AVERAGE($O258:$Q258)&gt;=4,"Possible","Unlikely"))</f>
        <v>Unlikely</v>
      </c>
      <c r="BG258" s="47"/>
      <c r="BH258" s="47" t="str">
        <f>INDEX(Table5[[#All],[Ovr]],MATCH(Table3[[#This Row],[PID]],Table5[[#All],[PID]],0))</f>
        <v/>
      </c>
      <c r="BI258" s="47" t="str">
        <f>INDEX(Table5[[#All],[Rnd]],MATCH(Table3[[#This Row],[PID]],Table5[[#All],[PID]],0))</f>
        <v/>
      </c>
      <c r="BJ258" s="47" t="str">
        <f>INDEX(Table5[[#All],[Pick]],MATCH(Table3[[#This Row],[PID]],Table5[[#All],[PID]],0))</f>
        <v/>
      </c>
      <c r="BK258" s="47" t="str">
        <f>INDEX(Table5[[#All],[Team]],MATCH(Table3[[#This Row],[PID]],Table5[[#All],[PID]],0))</f>
        <v/>
      </c>
      <c r="BL2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9" spans="1:64" ht="15" customHeight="1" x14ac:dyDescent="0.25">
      <c r="A259" s="42">
        <v>9832</v>
      </c>
      <c r="B259" s="42" t="s">
        <v>430</v>
      </c>
      <c r="C259" s="42" t="s">
        <v>626</v>
      </c>
      <c r="D259" s="42" t="s">
        <v>1497</v>
      </c>
      <c r="E259" s="42">
        <v>21</v>
      </c>
      <c r="F259" s="42" t="s">
        <v>42</v>
      </c>
      <c r="G259" s="42" t="s">
        <v>42</v>
      </c>
      <c r="H259" s="43" t="s">
        <v>721</v>
      </c>
      <c r="I259" s="44" t="s">
        <v>44</v>
      </c>
      <c r="J259" s="42" t="s">
        <v>43</v>
      </c>
      <c r="K259" s="43" t="s">
        <v>43</v>
      </c>
      <c r="L259" s="42">
        <v>3</v>
      </c>
      <c r="M259" s="42">
        <v>2</v>
      </c>
      <c r="N259" s="43">
        <v>1</v>
      </c>
      <c r="O259" s="42">
        <v>5</v>
      </c>
      <c r="P259" s="42">
        <v>2</v>
      </c>
      <c r="Q259" s="43">
        <v>2</v>
      </c>
      <c r="R259" s="42">
        <v>4</v>
      </c>
      <c r="S259" s="42">
        <v>6</v>
      </c>
      <c r="T259" s="42">
        <v>1</v>
      </c>
      <c r="U259" s="42">
        <v>1</v>
      </c>
      <c r="V259" s="42">
        <v>3</v>
      </c>
      <c r="W259" s="42">
        <v>8</v>
      </c>
      <c r="X259" s="42" t="s">
        <v>45</v>
      </c>
      <c r="Y259" s="42" t="s">
        <v>45</v>
      </c>
      <c r="Z259" s="42" t="s">
        <v>45</v>
      </c>
      <c r="AA259" s="42" t="s">
        <v>45</v>
      </c>
      <c r="AB259" s="42" t="s">
        <v>45</v>
      </c>
      <c r="AC259" s="42" t="s">
        <v>45</v>
      </c>
      <c r="AD259" s="42" t="s">
        <v>45</v>
      </c>
      <c r="AE259" s="42" t="s">
        <v>45</v>
      </c>
      <c r="AF259" s="42" t="s">
        <v>45</v>
      </c>
      <c r="AG259" s="42" t="s">
        <v>45</v>
      </c>
      <c r="AH259" s="42" t="s">
        <v>45</v>
      </c>
      <c r="AI259" s="42" t="s">
        <v>45</v>
      </c>
      <c r="AJ259" s="42" t="s">
        <v>45</v>
      </c>
      <c r="AK259" s="42" t="s">
        <v>45</v>
      </c>
      <c r="AL259" s="42" t="s">
        <v>45</v>
      </c>
      <c r="AM259" s="42" t="s">
        <v>45</v>
      </c>
      <c r="AN259" s="42" t="s">
        <v>45</v>
      </c>
      <c r="AO259" s="43" t="s">
        <v>45</v>
      </c>
      <c r="AP259" s="42" t="s">
        <v>356</v>
      </c>
      <c r="AQ259" s="42">
        <v>7</v>
      </c>
      <c r="AR259" s="50" t="s">
        <v>353</v>
      </c>
      <c r="AS259" s="45" t="s">
        <v>717</v>
      </c>
      <c r="AT259" s="45" t="s">
        <v>47</v>
      </c>
      <c r="AU259" s="46">
        <f>($O$3*(L259-$O$1)/$O$2+$P$3*(M259-$P$1)/$P$2+$Q$3*(N259-$P$1)/$Q$2)/SUM($O$3:$Q$3)</f>
        <v>-2.1166698725191955</v>
      </c>
      <c r="AV259" s="46">
        <f>($O$3*(O259-$O$1)/$O$2+$P$3*(P259-$P$1)/$P$2+$Q$3*(Q259-$Q$1)/$Q$2)/SUM($O$3:$Q$3)</f>
        <v>-1.0394719067096667</v>
      </c>
      <c r="AW259" s="47">
        <f>COUNT(R259:AO259)/2</f>
        <v>3</v>
      </c>
      <c r="AX259" s="47">
        <f>IF(AND(S259&lt;&gt;"-",S259&gt;5),1,0)+IF(AND(U259&lt;&gt;"-",U259&gt;5),1,0)+IF(AND(W259&lt;&gt;"-",W259&gt;5),1,0)+IF(AND(Y259&lt;&gt;"-",Y259&gt;5),1,0)+IF(AND(AA259&lt;&gt;"-",AA259&gt;5),1,0)+IF(AND(AC259&lt;&gt;"-",AC259&gt;5),1,0)+IF(AND(AE259&lt;&gt;"-",AE259&gt;5),1,0)+IF(AND(AG259&lt;&gt;"-",AG259&gt;5),1,0)+IF(AND(AI259&lt;&gt;"-",AI259&gt;5),1,0)+IF(AND(AK259&lt;&gt;"-",AK259&gt;5),1,0)+IF(AND(AM259&lt;&gt;"-",AM259&gt;5),1,0)+IF(AND(AO259&lt;&gt;"-",AO259&gt;5),1,0)</f>
        <v>2</v>
      </c>
      <c r="AY259" s="48">
        <f>VLOOKUP(AP259,COND!$A$10:$B$32,2,FALSE)</f>
        <v>1</v>
      </c>
      <c r="AZ259" s="46">
        <f>($AU$3*AU259+$AV$3*AV259+$AW$3*AW259+$AX$3*AX259)*AY259*IF(AQ259&lt;5,0.95,IF(AQ259&lt;7,0.975,1))+$I$3*VLOOKUP(I259,COND!$A$2:$E$7,4,FALSE)+$J$3*VLOOKUP(J259,COND!$A$2:$E$7,2,FALSE)+$K$3*VLOOKUP(K259,COND!$A$2:$E$7,3,FALSE)+IF(BB259="SP",$BB$3,0)+IF($AW259&lt;3,-5,0)+IF(AND($B$2&gt;0,$E259&lt;20),$B$2*25,0)</f>
        <v>29.637227891302828</v>
      </c>
      <c r="BA259" s="49">
        <f>STANDARDIZE(AZ259,AVERAGE($AZ$5:$AZ$570),STDEVP($AZ$5:$AZ$570))</f>
        <v>-0.28290979135021888</v>
      </c>
      <c r="BB259" s="47" t="str">
        <f>IF(OR(AND(AQ259&gt;7,AX259&gt;1),AND(AQ259&gt;4,AW259&gt;2)),"SP","RP")</f>
        <v>SP</v>
      </c>
      <c r="BC259" s="47"/>
      <c r="BD259" s="47"/>
      <c r="BE259" s="47"/>
      <c r="BF259" s="47" t="str">
        <f>IF(AVERAGE($O259:$Q259)&gt;=6,"Likely",IF(AVERAGE($O259:$Q259)&gt;=4,"Possible","Unlikely"))</f>
        <v>Unlikely</v>
      </c>
      <c r="BG259" s="47"/>
      <c r="BH259" s="47" t="str">
        <f>INDEX(Table5[[#All],[Ovr]],MATCH(Table3[[#This Row],[PID]],Table5[[#All],[PID]],0))</f>
        <v/>
      </c>
      <c r="BI259" s="47" t="str">
        <f>INDEX(Table5[[#All],[Rnd]],MATCH(Table3[[#This Row],[PID]],Table5[[#All],[PID]],0))</f>
        <v/>
      </c>
      <c r="BJ259" s="47" t="str">
        <f>INDEX(Table5[[#All],[Pick]],MATCH(Table3[[#This Row],[PID]],Table5[[#All],[PID]],0))</f>
        <v/>
      </c>
      <c r="BK259" s="47" t="str">
        <f>INDEX(Table5[[#All],[Team]],MATCH(Table3[[#This Row],[PID]],Table5[[#All],[PID]],0))</f>
        <v/>
      </c>
      <c r="BL2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0" spans="1:64" ht="15" customHeight="1" x14ac:dyDescent="0.25">
      <c r="A260" s="42">
        <v>15643</v>
      </c>
      <c r="B260" s="42" t="s">
        <v>24</v>
      </c>
      <c r="C260" s="42" t="s">
        <v>645</v>
      </c>
      <c r="D260" s="42" t="s">
        <v>1651</v>
      </c>
      <c r="E260" s="42">
        <v>18</v>
      </c>
      <c r="F260" s="42" t="s">
        <v>42</v>
      </c>
      <c r="G260" s="42" t="s">
        <v>42</v>
      </c>
      <c r="H260" s="43" t="s">
        <v>721</v>
      </c>
      <c r="I260" s="44" t="s">
        <v>43</v>
      </c>
      <c r="J260" s="42" t="s">
        <v>44</v>
      </c>
      <c r="K260" s="43" t="s">
        <v>43</v>
      </c>
      <c r="L260" s="42">
        <v>1</v>
      </c>
      <c r="M260" s="42">
        <v>2</v>
      </c>
      <c r="N260" s="43">
        <v>1</v>
      </c>
      <c r="O260" s="42">
        <v>4</v>
      </c>
      <c r="P260" s="42">
        <v>2</v>
      </c>
      <c r="Q260" s="43">
        <v>2</v>
      </c>
      <c r="R260" s="42">
        <v>3</v>
      </c>
      <c r="S260" s="42">
        <v>5</v>
      </c>
      <c r="T260" s="42">
        <v>1</v>
      </c>
      <c r="U260" s="42">
        <v>7</v>
      </c>
      <c r="V260" s="42">
        <v>2</v>
      </c>
      <c r="W260" s="42">
        <v>5</v>
      </c>
      <c r="X260" s="42" t="s">
        <v>45</v>
      </c>
      <c r="Y260" s="42" t="s">
        <v>45</v>
      </c>
      <c r="Z260" s="42" t="s">
        <v>45</v>
      </c>
      <c r="AA260" s="42" t="s">
        <v>45</v>
      </c>
      <c r="AB260" s="42" t="s">
        <v>45</v>
      </c>
      <c r="AC260" s="42" t="s">
        <v>45</v>
      </c>
      <c r="AD260" s="42" t="s">
        <v>45</v>
      </c>
      <c r="AE260" s="42" t="s">
        <v>45</v>
      </c>
      <c r="AF260" s="42" t="s">
        <v>45</v>
      </c>
      <c r="AG260" s="42" t="s">
        <v>45</v>
      </c>
      <c r="AH260" s="42" t="s">
        <v>45</v>
      </c>
      <c r="AI260" s="42" t="s">
        <v>45</v>
      </c>
      <c r="AJ260" s="42">
        <v>1</v>
      </c>
      <c r="AK260" s="42">
        <v>5</v>
      </c>
      <c r="AL260" s="42" t="s">
        <v>45</v>
      </c>
      <c r="AM260" s="42" t="s">
        <v>45</v>
      </c>
      <c r="AN260" s="42" t="s">
        <v>45</v>
      </c>
      <c r="AO260" s="43" t="s">
        <v>45</v>
      </c>
      <c r="AP260" s="42" t="s">
        <v>356</v>
      </c>
      <c r="AQ260" s="42">
        <v>6</v>
      </c>
      <c r="AR260" s="50" t="s">
        <v>353</v>
      </c>
      <c r="AS260" s="45" t="s">
        <v>718</v>
      </c>
      <c r="AT260" s="45" t="s">
        <v>47</v>
      </c>
      <c r="AU260" s="46">
        <f>($O$3*(L260-$O$1)/$O$2+$P$3*(M260-$P$1)/$P$2+$Q$3*(N260-$P$1)/$Q$2)/SUM($O$3:$Q$3)</f>
        <v>-2.5060525215375429</v>
      </c>
      <c r="AV260" s="46">
        <f>($O$3*(O260-$O$1)/$O$2+$P$3*(P260-$P$1)/$P$2+$Q$3*(Q260-$Q$1)/$Q$2)/SUM($O$3:$Q$3)</f>
        <v>-1.23416323121884</v>
      </c>
      <c r="AW260" s="47">
        <f>COUNT(R260:AO260)/2</f>
        <v>4</v>
      </c>
      <c r="AX260" s="47">
        <f>IF(AND(S260&lt;&gt;"-",S260&gt;5),1,0)+IF(AND(U260&lt;&gt;"-",U260&gt;5),1,0)+IF(AND(W260&lt;&gt;"-",W260&gt;5),1,0)+IF(AND(Y260&lt;&gt;"-",Y260&gt;5),1,0)+IF(AND(AA260&lt;&gt;"-",AA260&gt;5),1,0)+IF(AND(AC260&lt;&gt;"-",AC260&gt;5),1,0)+IF(AND(AE260&lt;&gt;"-",AE260&gt;5),1,0)+IF(AND(AG260&lt;&gt;"-",AG260&gt;5),1,0)+IF(AND(AI260&lt;&gt;"-",AI260&gt;5),1,0)+IF(AND(AK260&lt;&gt;"-",AK260&gt;5),1,0)+IF(AND(AM260&lt;&gt;"-",AM260&gt;5),1,0)+IF(AND(AO260&lt;&gt;"-",AO260&gt;5),1,0)</f>
        <v>1</v>
      </c>
      <c r="AY260" s="48">
        <f>VLOOKUP(AP260,COND!$A$10:$B$32,2,FALSE)</f>
        <v>1</v>
      </c>
      <c r="AZ260" s="46">
        <f>($AU$3*AU260+$AV$3*AV260+$AW$3*AW260+$AX$3*AX260)*AY260*IF(AQ260&lt;5,0.95,IF(AQ260&lt;7,0.975,1))+$I$3*VLOOKUP(I260,COND!$A$2:$E$7,4,FALSE)+$J$3*VLOOKUP(J260,COND!$A$2:$E$7,2,FALSE)+$K$3*VLOOKUP(K260,COND!$A$2:$E$7,3,FALSE)+IF(BB260="SP",$BB$3,0)+IF($AW260&lt;3,-5,0)+IF(AND($B$2&gt;0,$E260&lt;20),$B$2*25,0)</f>
        <v>30.313886749532799</v>
      </c>
      <c r="BA260" s="49">
        <f>STANDARDIZE(AZ260,AVERAGE($AZ$5:$AZ$570),STDEVP($AZ$5:$AZ$570))</f>
        <v>-0.22085728194978704</v>
      </c>
      <c r="BB260" s="47" t="str">
        <f>IF(OR(AND(AQ260&gt;7,AX260&gt;1),AND(AQ260&gt;4,AW260&gt;2)),"SP","RP")</f>
        <v>SP</v>
      </c>
      <c r="BC260" s="47"/>
      <c r="BD260" s="47"/>
      <c r="BE260" s="47"/>
      <c r="BF260" s="47" t="str">
        <f>IF(AVERAGE($O260:$Q260)&gt;=6,"Likely",IF(AVERAGE($O260:$Q260)&gt;=4,"Possible","Unlikely"))</f>
        <v>Unlikely</v>
      </c>
      <c r="BG260" s="47"/>
      <c r="BH260" s="47" t="str">
        <f>INDEX(Table5[[#All],[Ovr]],MATCH(Table3[[#This Row],[PID]],Table5[[#All],[PID]],0))</f>
        <v/>
      </c>
      <c r="BI260" s="47" t="str">
        <f>INDEX(Table5[[#All],[Rnd]],MATCH(Table3[[#This Row],[PID]],Table5[[#All],[PID]],0))</f>
        <v/>
      </c>
      <c r="BJ260" s="47" t="str">
        <f>INDEX(Table5[[#All],[Pick]],MATCH(Table3[[#This Row],[PID]],Table5[[#All],[PID]],0))</f>
        <v/>
      </c>
      <c r="BK260" s="47" t="str">
        <f>INDEX(Table5[[#All],[Team]],MATCH(Table3[[#This Row],[PID]],Table5[[#All],[PID]],0))</f>
        <v/>
      </c>
      <c r="BL2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1" spans="1:64" ht="15" customHeight="1" x14ac:dyDescent="0.25">
      <c r="A261" s="42">
        <v>6628</v>
      </c>
      <c r="B261" s="42" t="s">
        <v>24</v>
      </c>
      <c r="C261" s="42" t="s">
        <v>1004</v>
      </c>
      <c r="D261" s="42" t="s">
        <v>728</v>
      </c>
      <c r="E261" s="42">
        <v>18</v>
      </c>
      <c r="F261" s="42" t="s">
        <v>42</v>
      </c>
      <c r="G261" s="42" t="s">
        <v>42</v>
      </c>
      <c r="H261" s="43" t="s">
        <v>721</v>
      </c>
      <c r="I261" s="44" t="s">
        <v>43</v>
      </c>
      <c r="J261" s="42" t="s">
        <v>43</v>
      </c>
      <c r="K261" s="43" t="s">
        <v>43</v>
      </c>
      <c r="L261" s="42">
        <v>1</v>
      </c>
      <c r="M261" s="42">
        <v>2</v>
      </c>
      <c r="N261" s="43">
        <v>1</v>
      </c>
      <c r="O261" s="42">
        <v>4</v>
      </c>
      <c r="P261" s="42">
        <v>2</v>
      </c>
      <c r="Q261" s="43">
        <v>2</v>
      </c>
      <c r="R261" s="42" t="s">
        <v>45</v>
      </c>
      <c r="S261" s="42" t="s">
        <v>45</v>
      </c>
      <c r="T261" s="42" t="s">
        <v>45</v>
      </c>
      <c r="U261" s="42" t="s">
        <v>45</v>
      </c>
      <c r="V261" s="42">
        <v>1</v>
      </c>
      <c r="W261" s="42">
        <v>6</v>
      </c>
      <c r="X261" s="42">
        <v>2</v>
      </c>
      <c r="Y261" s="42">
        <v>5</v>
      </c>
      <c r="Z261" s="42" t="s">
        <v>45</v>
      </c>
      <c r="AA261" s="42" t="s">
        <v>45</v>
      </c>
      <c r="AB261" s="42" t="s">
        <v>45</v>
      </c>
      <c r="AC261" s="42" t="s">
        <v>45</v>
      </c>
      <c r="AD261" s="42">
        <v>3</v>
      </c>
      <c r="AE261" s="42">
        <v>4</v>
      </c>
      <c r="AF261" s="42" t="s">
        <v>45</v>
      </c>
      <c r="AG261" s="42" t="s">
        <v>45</v>
      </c>
      <c r="AH261" s="42" t="s">
        <v>45</v>
      </c>
      <c r="AI261" s="42" t="s">
        <v>45</v>
      </c>
      <c r="AJ261" s="42" t="s">
        <v>45</v>
      </c>
      <c r="AK261" s="42" t="s">
        <v>45</v>
      </c>
      <c r="AL261" s="42" t="s">
        <v>45</v>
      </c>
      <c r="AM261" s="42" t="s">
        <v>45</v>
      </c>
      <c r="AN261" s="42" t="s">
        <v>45</v>
      </c>
      <c r="AO261" s="43" t="s">
        <v>45</v>
      </c>
      <c r="AP261" s="42" t="s">
        <v>355</v>
      </c>
      <c r="AQ261" s="42">
        <v>9</v>
      </c>
      <c r="AR261" s="50" t="s">
        <v>353</v>
      </c>
      <c r="AS261" s="45" t="s">
        <v>615</v>
      </c>
      <c r="AT261" s="45" t="s">
        <v>47</v>
      </c>
      <c r="AU261" s="46">
        <f>($O$3*(L261-$O$1)/$O$2+$P$3*(M261-$P$1)/$P$2+$Q$3*(N261-$P$1)/$Q$2)/SUM($O$3:$Q$3)</f>
        <v>-2.5060525215375429</v>
      </c>
      <c r="AV261" s="46">
        <f>($O$3*(O261-$O$1)/$O$2+$P$3*(P261-$P$1)/$P$2+$Q$3*(Q261-$Q$1)/$Q$2)/SUM($O$3:$Q$3)</f>
        <v>-1.23416323121884</v>
      </c>
      <c r="AW261" s="47">
        <f>COUNT(R261:AO261)/2</f>
        <v>3</v>
      </c>
      <c r="AX261" s="47">
        <f>IF(AND(S261&lt;&gt;"-",S261&gt;5),1,0)+IF(AND(U261&lt;&gt;"-",U261&gt;5),1,0)+IF(AND(W261&lt;&gt;"-",W261&gt;5),1,0)+IF(AND(Y261&lt;&gt;"-",Y261&gt;5),1,0)+IF(AND(AA261&lt;&gt;"-",AA261&gt;5),1,0)+IF(AND(AC261&lt;&gt;"-",AC261&gt;5),1,0)+IF(AND(AE261&lt;&gt;"-",AE261&gt;5),1,0)+IF(AND(AG261&lt;&gt;"-",AG261&gt;5),1,0)+IF(AND(AI261&lt;&gt;"-",AI261&gt;5),1,0)+IF(AND(AK261&lt;&gt;"-",AK261&gt;5),1,0)+IF(AND(AM261&lt;&gt;"-",AM261&gt;5),1,0)+IF(AND(AO261&lt;&gt;"-",AO261&gt;5),1,0)</f>
        <v>1</v>
      </c>
      <c r="AY261" s="48">
        <f>VLOOKUP(AP261,COND!$A$10:$B$32,2,FALSE)</f>
        <v>1</v>
      </c>
      <c r="AZ261" s="46">
        <f>($AU$3*AU261+$AV$3*AV261+$AW$3*AW261+$AX$3*AX261)*AY261*IF(AQ261&lt;5,0.95,IF(AQ261&lt;7,0.975,1))+$I$3*VLOOKUP(I261,COND!$A$2:$E$7,4,FALSE)+$J$3*VLOOKUP(J261,COND!$A$2:$E$7,2,FALSE)+$K$3*VLOOKUP(K261,COND!$A$2:$E$7,3,FALSE)+IF(BB261="SP",$BB$3,0)+IF($AW261&lt;3,-5,0)+IF(AND($B$2&gt;0,$E261&lt;20),$B$2*25,0)</f>
        <v>29.565524871315692</v>
      </c>
      <c r="BA261" s="49">
        <f>STANDARDIZE(AZ261,AVERAGE($AZ$5:$AZ$570),STDEVP($AZ$5:$AZ$570))</f>
        <v>-0.28948526474818775</v>
      </c>
      <c r="BB261" s="47" t="str">
        <f>IF(OR(AND(AQ261&gt;7,AX261&gt;1),AND(AQ261&gt;4,AW261&gt;2)),"SP","RP")</f>
        <v>SP</v>
      </c>
      <c r="BC261" s="47"/>
      <c r="BD261" s="47"/>
      <c r="BE261" s="47"/>
      <c r="BF261" s="47" t="str">
        <f>IF(AVERAGE($O261:$Q261)&gt;=6,"Likely",IF(AVERAGE($O261:$Q261)&gt;=4,"Possible","Unlikely"))</f>
        <v>Unlikely</v>
      </c>
      <c r="BG261" s="47"/>
      <c r="BH261" s="47" t="str">
        <f>INDEX(Table5[[#All],[Ovr]],MATCH(Table3[[#This Row],[PID]],Table5[[#All],[PID]],0))</f>
        <v/>
      </c>
      <c r="BI261" s="47" t="str">
        <f>INDEX(Table5[[#All],[Rnd]],MATCH(Table3[[#This Row],[PID]],Table5[[#All],[PID]],0))</f>
        <v/>
      </c>
      <c r="BJ261" s="47" t="str">
        <f>INDEX(Table5[[#All],[Pick]],MATCH(Table3[[#This Row],[PID]],Table5[[#All],[PID]],0))</f>
        <v/>
      </c>
      <c r="BK261" s="47" t="str">
        <f>INDEX(Table5[[#All],[Team]],MATCH(Table3[[#This Row],[PID]],Table5[[#All],[PID]],0))</f>
        <v/>
      </c>
      <c r="BL2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2" spans="1:64" ht="15" customHeight="1" x14ac:dyDescent="0.25">
      <c r="A262" s="42">
        <v>6566</v>
      </c>
      <c r="B262" s="42" t="s">
        <v>430</v>
      </c>
      <c r="C262" s="42" t="s">
        <v>1434</v>
      </c>
      <c r="D262" s="42" t="s">
        <v>1641</v>
      </c>
      <c r="E262" s="42">
        <v>18</v>
      </c>
      <c r="F262" s="42" t="s">
        <v>42</v>
      </c>
      <c r="G262" s="42" t="s">
        <v>42</v>
      </c>
      <c r="H262" s="43" t="s">
        <v>721</v>
      </c>
      <c r="I262" s="44" t="s">
        <v>43</v>
      </c>
      <c r="J262" s="42" t="s">
        <v>47</v>
      </c>
      <c r="K262" s="43" t="s">
        <v>47</v>
      </c>
      <c r="L262" s="42">
        <v>1</v>
      </c>
      <c r="M262" s="42">
        <v>1</v>
      </c>
      <c r="N262" s="43">
        <v>1</v>
      </c>
      <c r="O262" s="42">
        <v>4</v>
      </c>
      <c r="P262" s="42">
        <v>1</v>
      </c>
      <c r="Q262" s="43">
        <v>2</v>
      </c>
      <c r="R262" s="42">
        <v>2</v>
      </c>
      <c r="S262" s="42">
        <v>3</v>
      </c>
      <c r="T262" s="42">
        <v>1</v>
      </c>
      <c r="U262" s="42">
        <v>6</v>
      </c>
      <c r="V262" s="42" t="s">
        <v>45</v>
      </c>
      <c r="W262" s="42" t="s">
        <v>45</v>
      </c>
      <c r="X262" s="42">
        <v>2</v>
      </c>
      <c r="Y262" s="42">
        <v>5</v>
      </c>
      <c r="Z262" s="42" t="s">
        <v>45</v>
      </c>
      <c r="AA262" s="42" t="s">
        <v>45</v>
      </c>
      <c r="AB262" s="42" t="s">
        <v>45</v>
      </c>
      <c r="AC262" s="42" t="s">
        <v>45</v>
      </c>
      <c r="AD262" s="42" t="s">
        <v>45</v>
      </c>
      <c r="AE262" s="42" t="s">
        <v>45</v>
      </c>
      <c r="AF262" s="42" t="s">
        <v>45</v>
      </c>
      <c r="AG262" s="42" t="s">
        <v>45</v>
      </c>
      <c r="AH262" s="42" t="s">
        <v>45</v>
      </c>
      <c r="AI262" s="42" t="s">
        <v>45</v>
      </c>
      <c r="AJ262" s="42" t="s">
        <v>45</v>
      </c>
      <c r="AK262" s="42" t="s">
        <v>45</v>
      </c>
      <c r="AL262" s="42" t="s">
        <v>45</v>
      </c>
      <c r="AM262" s="42" t="s">
        <v>45</v>
      </c>
      <c r="AN262" s="42" t="s">
        <v>45</v>
      </c>
      <c r="AO262" s="43" t="s">
        <v>45</v>
      </c>
      <c r="AP262" s="42" t="s">
        <v>65</v>
      </c>
      <c r="AQ262" s="42">
        <v>6</v>
      </c>
      <c r="AR262" s="50" t="s">
        <v>357</v>
      </c>
      <c r="AS262" s="45" t="s">
        <v>718</v>
      </c>
      <c r="AT262" s="45" t="s">
        <v>705</v>
      </c>
      <c r="AU262" s="46">
        <f>($O$3*(L262-$O$1)/$O$2+$P$3*(M262-$P$1)/$P$2+$Q$3*(N262-$P$1)/$Q$2)/SUM($O$3:$Q$3)</f>
        <v>-2.7014842379675978</v>
      </c>
      <c r="AV262" s="46">
        <f>($O$3*(O262-$O$1)/$O$2+$P$3*(P262-$P$1)/$P$2+$Q$3*(Q262-$Q$1)/$Q$2)/SUM($O$3:$Q$3)</f>
        <v>-1.4295949476488956</v>
      </c>
      <c r="AW262" s="47">
        <f>COUNT(R262:AO262)/2</f>
        <v>3</v>
      </c>
      <c r="AX262" s="47">
        <f>IF(AND(S262&lt;&gt;"-",S262&gt;5),1,0)+IF(AND(U262&lt;&gt;"-",U262&gt;5),1,0)+IF(AND(W262&lt;&gt;"-",W262&gt;5),1,0)+IF(AND(Y262&lt;&gt;"-",Y262&gt;5),1,0)+IF(AND(AA262&lt;&gt;"-",AA262&gt;5),1,0)+IF(AND(AC262&lt;&gt;"-",AC262&gt;5),1,0)+IF(AND(AE262&lt;&gt;"-",AE262&gt;5),1,0)+IF(AND(AG262&lt;&gt;"-",AG262&gt;5),1,0)+IF(AND(AI262&lt;&gt;"-",AI262&gt;5),1,0)+IF(AND(AK262&lt;&gt;"-",AK262&gt;5),1,0)+IF(AND(AM262&lt;&gt;"-",AM262&gt;5),1,0)+IF(AND(AO262&lt;&gt;"-",AO262&gt;5),1,0)</f>
        <v>1</v>
      </c>
      <c r="AY262" s="48">
        <f>VLOOKUP(AP262,COND!$A$10:$B$32,2,FALSE)</f>
        <v>0.95</v>
      </c>
      <c r="AZ262" s="46">
        <f>($AU$3*AU262+$AV$3*AV262+$AW$3*AW262+$AX$3*AX262)*AY262*IF(AQ262&lt;5,0.95,IF(AQ262&lt;7,0.975,1))+$I$3*VLOOKUP(I262,COND!$A$2:$E$7,4,FALSE)+$J$3*VLOOKUP(J262,COND!$A$2:$E$7,2,FALSE)+$K$3*VLOOKUP(K262,COND!$A$2:$E$7,3,FALSE)+IF(BB262="SP",$BB$3,0)+IF($AW262&lt;3,-5,0)+IF(AND($B$2&gt;0,$E262&lt;20),$B$2*25,0)</f>
        <v>28.163491139720712</v>
      </c>
      <c r="BA262" s="49">
        <f>STANDARDIZE(AZ262,AVERAGE($AZ$5:$AZ$570),STDEVP($AZ$5:$AZ$570))</f>
        <v>-0.41805775035355935</v>
      </c>
      <c r="BB262" s="47" t="str">
        <f>IF(OR(AND(AQ262&gt;7,AX262&gt;1),AND(AQ262&gt;4,AW262&gt;2)),"SP","RP")</f>
        <v>SP</v>
      </c>
      <c r="BC262" s="47"/>
      <c r="BD262" s="47"/>
      <c r="BE262" s="47"/>
      <c r="BF262" s="47" t="str">
        <f>IF(AVERAGE($O262:$Q262)&gt;=6,"Likely",IF(AVERAGE($O262:$Q262)&gt;=4,"Possible","Unlikely"))</f>
        <v>Unlikely</v>
      </c>
      <c r="BG262" s="47"/>
      <c r="BH262" s="47" t="str">
        <f>INDEX(Table5[[#All],[Ovr]],MATCH(Table3[[#This Row],[PID]],Table5[[#All],[PID]],0))</f>
        <v/>
      </c>
      <c r="BI262" s="47" t="str">
        <f>INDEX(Table5[[#All],[Rnd]],MATCH(Table3[[#This Row],[PID]],Table5[[#All],[PID]],0))</f>
        <v/>
      </c>
      <c r="BJ262" s="47" t="str">
        <f>INDEX(Table5[[#All],[Pick]],MATCH(Table3[[#This Row],[PID]],Table5[[#All],[PID]],0))</f>
        <v/>
      </c>
      <c r="BK262" s="47" t="str">
        <f>INDEX(Table5[[#All],[Team]],MATCH(Table3[[#This Row],[PID]],Table5[[#All],[PID]],0))</f>
        <v/>
      </c>
      <c r="BL2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3" spans="1:64" ht="15" customHeight="1" x14ac:dyDescent="0.25">
      <c r="A263" s="42">
        <v>8434</v>
      </c>
      <c r="B263" s="42" t="s">
        <v>430</v>
      </c>
      <c r="C263" s="42" t="s">
        <v>143</v>
      </c>
      <c r="D263" s="42" t="s">
        <v>713</v>
      </c>
      <c r="E263" s="42">
        <v>18</v>
      </c>
      <c r="F263" s="42" t="s">
        <v>42</v>
      </c>
      <c r="G263" s="42" t="s">
        <v>42</v>
      </c>
      <c r="H263" s="43" t="s">
        <v>721</v>
      </c>
      <c r="I263" s="44" t="s">
        <v>44</v>
      </c>
      <c r="J263" s="42" t="s">
        <v>44</v>
      </c>
      <c r="K263" s="43" t="s">
        <v>43</v>
      </c>
      <c r="L263" s="42">
        <v>1</v>
      </c>
      <c r="M263" s="42">
        <v>2</v>
      </c>
      <c r="N263" s="43">
        <v>1</v>
      </c>
      <c r="O263" s="42">
        <v>4</v>
      </c>
      <c r="P263" s="42">
        <v>2</v>
      </c>
      <c r="Q263" s="43">
        <v>2</v>
      </c>
      <c r="R263" s="42">
        <v>2</v>
      </c>
      <c r="S263" s="42">
        <v>4</v>
      </c>
      <c r="T263" s="42">
        <v>1</v>
      </c>
      <c r="U263" s="42">
        <v>1</v>
      </c>
      <c r="V263" s="42">
        <v>1</v>
      </c>
      <c r="W263" s="42">
        <v>7</v>
      </c>
      <c r="X263" s="42" t="s">
        <v>45</v>
      </c>
      <c r="Y263" s="42" t="s">
        <v>45</v>
      </c>
      <c r="Z263" s="42" t="s">
        <v>45</v>
      </c>
      <c r="AA263" s="42" t="s">
        <v>45</v>
      </c>
      <c r="AB263" s="42" t="s">
        <v>45</v>
      </c>
      <c r="AC263" s="42" t="s">
        <v>45</v>
      </c>
      <c r="AD263" s="42" t="s">
        <v>45</v>
      </c>
      <c r="AE263" s="42" t="s">
        <v>45</v>
      </c>
      <c r="AF263" s="42" t="s">
        <v>45</v>
      </c>
      <c r="AG263" s="42" t="s">
        <v>45</v>
      </c>
      <c r="AH263" s="42" t="s">
        <v>45</v>
      </c>
      <c r="AI263" s="42" t="s">
        <v>45</v>
      </c>
      <c r="AJ263" s="42" t="s">
        <v>45</v>
      </c>
      <c r="AK263" s="42" t="s">
        <v>45</v>
      </c>
      <c r="AL263" s="42" t="s">
        <v>45</v>
      </c>
      <c r="AM263" s="42" t="s">
        <v>45</v>
      </c>
      <c r="AN263" s="42" t="s">
        <v>45</v>
      </c>
      <c r="AO263" s="43" t="s">
        <v>45</v>
      </c>
      <c r="AP263" s="42" t="s">
        <v>65</v>
      </c>
      <c r="AQ263" s="42">
        <v>8</v>
      </c>
      <c r="AR263" s="50" t="s">
        <v>353</v>
      </c>
      <c r="AS263" s="45" t="s">
        <v>739</v>
      </c>
      <c r="AT263" s="45" t="s">
        <v>47</v>
      </c>
      <c r="AU263" s="46">
        <f>($O$3*(L263-$O$1)/$O$2+$P$3*(M263-$P$1)/$P$2+$Q$3*(N263-$P$1)/$Q$2)/SUM($O$3:$Q$3)</f>
        <v>-2.5060525215375429</v>
      </c>
      <c r="AV263" s="46">
        <f>($O$3*(O263-$O$1)/$O$2+$P$3*(P263-$P$1)/$P$2+$Q$3*(Q263-$Q$1)/$Q$2)/SUM($O$3:$Q$3)</f>
        <v>-1.23416323121884</v>
      </c>
      <c r="AW263" s="47">
        <f>COUNT(R263:AO263)/2</f>
        <v>3</v>
      </c>
      <c r="AX263" s="47">
        <f>IF(AND(S263&lt;&gt;"-",S263&gt;5),1,0)+IF(AND(U263&lt;&gt;"-",U263&gt;5),1,0)+IF(AND(W263&lt;&gt;"-",W263&gt;5),1,0)+IF(AND(Y263&lt;&gt;"-",Y263&gt;5),1,0)+IF(AND(AA263&lt;&gt;"-",AA263&gt;5),1,0)+IF(AND(AC263&lt;&gt;"-",AC263&gt;5),1,0)+IF(AND(AE263&lt;&gt;"-",AE263&gt;5),1,0)+IF(AND(AG263&lt;&gt;"-",AG263&gt;5),1,0)+IF(AND(AI263&lt;&gt;"-",AI263&gt;5),1,0)+IF(AND(AK263&lt;&gt;"-",AK263&gt;5),1,0)+IF(AND(AM263&lt;&gt;"-",AM263&gt;5),1,0)+IF(AND(AO263&lt;&gt;"-",AO263&gt;5),1,0)</f>
        <v>1</v>
      </c>
      <c r="AY263" s="48">
        <f>VLOOKUP(AP263,COND!$A$10:$B$32,2,FALSE)</f>
        <v>0.95</v>
      </c>
      <c r="AZ263" s="46">
        <f>($AU$3*AU263+$AV$3*AV263+$AW$3*AW263+$AX$3*AX263)*AY263*IF(AQ263&lt;5,0.95,IF(AQ263&lt;7,0.975,1))+$I$3*VLOOKUP(I263,COND!$A$2:$E$7,4,FALSE)+$J$3*VLOOKUP(J263,COND!$A$2:$E$7,2,FALSE)+$K$3*VLOOKUP(K263,COND!$A$2:$E$7,3,FALSE)+IF(BB263="SP",$BB$3,0)+IF($AW263&lt;3,-5,0)+IF(AND($B$2&gt;0,$E263&lt;20),$B$2*25,0)</f>
        <v>30.237248627749906</v>
      </c>
      <c r="BA263" s="49">
        <f>STANDARDIZE(AZ263,AVERAGE($AZ$5:$AZ$570),STDEVP($AZ$5:$AZ$570))</f>
        <v>-0.22788532527549507</v>
      </c>
      <c r="BB263" s="47" t="str">
        <f>IF(OR(AND(AQ263&gt;7,AX263&gt;1),AND(AQ263&gt;4,AW263&gt;2)),"SP","RP")</f>
        <v>SP</v>
      </c>
      <c r="BC263" s="47"/>
      <c r="BD263" s="47"/>
      <c r="BE263" s="47"/>
      <c r="BF263" s="47" t="str">
        <f>IF(AVERAGE($O263:$Q263)&gt;=6,"Likely",IF(AVERAGE($O263:$Q263)&gt;=4,"Possible","Unlikely"))</f>
        <v>Unlikely</v>
      </c>
      <c r="BG263" s="47"/>
      <c r="BH263" s="47" t="str">
        <f>INDEX(Table5[[#All],[Ovr]],MATCH(Table3[[#This Row],[PID]],Table5[[#All],[PID]],0))</f>
        <v/>
      </c>
      <c r="BI263" s="47" t="str">
        <f>INDEX(Table5[[#All],[Rnd]],MATCH(Table3[[#This Row],[PID]],Table5[[#All],[PID]],0))</f>
        <v/>
      </c>
      <c r="BJ263" s="47" t="str">
        <f>INDEX(Table5[[#All],[Pick]],MATCH(Table3[[#This Row],[PID]],Table5[[#All],[PID]],0))</f>
        <v/>
      </c>
      <c r="BK263" s="47" t="str">
        <f>INDEX(Table5[[#All],[Team]],MATCH(Table3[[#This Row],[PID]],Table5[[#All],[PID]],0))</f>
        <v/>
      </c>
      <c r="BL2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4" spans="1:64" ht="15" customHeight="1" x14ac:dyDescent="0.25">
      <c r="A264" s="42">
        <v>9149</v>
      </c>
      <c r="B264" s="42" t="s">
        <v>430</v>
      </c>
      <c r="C264" s="42" t="s">
        <v>720</v>
      </c>
      <c r="D264" s="42" t="s">
        <v>762</v>
      </c>
      <c r="E264" s="42">
        <v>18</v>
      </c>
      <c r="F264" s="42" t="s">
        <v>53</v>
      </c>
      <c r="G264" s="42" t="s">
        <v>53</v>
      </c>
      <c r="H264" s="43" t="s">
        <v>721</v>
      </c>
      <c r="I264" s="44" t="s">
        <v>47</v>
      </c>
      <c r="J264" s="42" t="s">
        <v>47</v>
      </c>
      <c r="K264" s="43" t="s">
        <v>43</v>
      </c>
      <c r="L264" s="42">
        <v>1</v>
      </c>
      <c r="M264" s="42">
        <v>2</v>
      </c>
      <c r="N264" s="43">
        <v>1</v>
      </c>
      <c r="O264" s="42">
        <v>3</v>
      </c>
      <c r="P264" s="42">
        <v>2</v>
      </c>
      <c r="Q264" s="43">
        <v>2</v>
      </c>
      <c r="R264" s="42">
        <v>2</v>
      </c>
      <c r="S264" s="42">
        <v>4</v>
      </c>
      <c r="T264" s="42">
        <v>1</v>
      </c>
      <c r="U264" s="42">
        <v>1</v>
      </c>
      <c r="V264" s="42">
        <v>2</v>
      </c>
      <c r="W264" s="42">
        <v>7</v>
      </c>
      <c r="X264" s="42" t="s">
        <v>45</v>
      </c>
      <c r="Y264" s="42" t="s">
        <v>45</v>
      </c>
      <c r="Z264" s="42" t="s">
        <v>45</v>
      </c>
      <c r="AA264" s="42" t="s">
        <v>45</v>
      </c>
      <c r="AB264" s="42" t="s">
        <v>45</v>
      </c>
      <c r="AC264" s="42" t="s">
        <v>45</v>
      </c>
      <c r="AD264" s="42" t="s">
        <v>45</v>
      </c>
      <c r="AE264" s="42" t="s">
        <v>45</v>
      </c>
      <c r="AF264" s="42" t="s">
        <v>45</v>
      </c>
      <c r="AG264" s="42" t="s">
        <v>45</v>
      </c>
      <c r="AH264" s="42" t="s">
        <v>45</v>
      </c>
      <c r="AI264" s="42" t="s">
        <v>45</v>
      </c>
      <c r="AJ264" s="42" t="s">
        <v>45</v>
      </c>
      <c r="AK264" s="42" t="s">
        <v>45</v>
      </c>
      <c r="AL264" s="42" t="s">
        <v>45</v>
      </c>
      <c r="AM264" s="42" t="s">
        <v>45</v>
      </c>
      <c r="AN264" s="42" t="s">
        <v>45</v>
      </c>
      <c r="AO264" s="43" t="s">
        <v>45</v>
      </c>
      <c r="AP264" s="42" t="s">
        <v>70</v>
      </c>
      <c r="AQ264" s="42">
        <v>10</v>
      </c>
      <c r="AR264" s="50" t="s">
        <v>353</v>
      </c>
      <c r="AS264" s="45" t="s">
        <v>718</v>
      </c>
      <c r="AT264" s="45" t="s">
        <v>47</v>
      </c>
      <c r="AU264" s="46">
        <f>($O$3*(L264-$O$1)/$O$2+$P$3*(M264-$P$1)/$P$2+$Q$3*(N264-$P$1)/$Q$2)/SUM($O$3:$Q$3)</f>
        <v>-2.5060525215375429</v>
      </c>
      <c r="AV264" s="46">
        <f>($O$3*(O264-$O$1)/$O$2+$P$3*(P264-$P$1)/$P$2+$Q$3*(Q264-$Q$1)/$Q$2)/SUM($O$3:$Q$3)</f>
        <v>-1.4288545557280135</v>
      </c>
      <c r="AW264" s="47">
        <f>COUNT(R264:AO264)/2</f>
        <v>3</v>
      </c>
      <c r="AX264" s="47">
        <f>IF(AND(S264&lt;&gt;"-",S264&gt;5),1,0)+IF(AND(U264&lt;&gt;"-",U264&gt;5),1,0)+IF(AND(W264&lt;&gt;"-",W264&gt;5),1,0)+IF(AND(Y264&lt;&gt;"-",Y264&gt;5),1,0)+IF(AND(AA264&lt;&gt;"-",AA264&gt;5),1,0)+IF(AND(AC264&lt;&gt;"-",AC264&gt;5),1,0)+IF(AND(AE264&lt;&gt;"-",AE264&gt;5),1,0)+IF(AND(AG264&lt;&gt;"-",AG264&gt;5),1,0)+IF(AND(AI264&lt;&gt;"-",AI264&gt;5),1,0)+IF(AND(AK264&lt;&gt;"-",AK264&gt;5),1,0)+IF(AND(AM264&lt;&gt;"-",AM264&gt;5),1,0)+IF(AND(AO264&lt;&gt;"-",AO264&gt;5),1,0)</f>
        <v>1</v>
      </c>
      <c r="AY264" s="48">
        <f>VLOOKUP(AP264,COND!$A$10:$B$32,2,FALSE)</f>
        <v>0.9</v>
      </c>
      <c r="AZ264" s="46">
        <f>($AU$3*AU264+$AV$3*AV264+$AW$3*AW264+$AX$3*AX264)*AY264*IF(AQ264&lt;5,0.95,IF(AQ264&lt;7,0.975,1))+$I$3*VLOOKUP(I264,COND!$A$2:$E$7,4,FALSE)+$J$3*VLOOKUP(J264,COND!$A$2:$E$7,2,FALSE)+$K$3*VLOOKUP(K264,COND!$A$2:$E$7,3,FALSE)+IF(BB264="SP",$BB$3,0)+IF($AW264&lt;3,-5,0)+IF(AND($B$2&gt;0,$E264&lt;20),$B$2*25,0)</f>
        <v>28.829528543018998</v>
      </c>
      <c r="BA264" s="49">
        <f>STANDARDIZE(AZ264,AVERAGE($AZ$5:$AZ$570),STDEVP($AZ$5:$AZ$570))</f>
        <v>-0.35697927376741539</v>
      </c>
      <c r="BB264" s="47" t="str">
        <f>IF(OR(AND(AQ264&gt;7,AX264&gt;1),AND(AQ264&gt;4,AW264&gt;2)),"SP","RP")</f>
        <v>SP</v>
      </c>
      <c r="BC264" s="47"/>
      <c r="BD264" s="47"/>
      <c r="BE264" s="47"/>
      <c r="BF264" s="47" t="str">
        <f>IF(AVERAGE($O264:$Q264)&gt;=6,"Likely",IF(AVERAGE($O264:$Q264)&gt;=4,"Possible","Unlikely"))</f>
        <v>Unlikely</v>
      </c>
      <c r="BG264" s="47"/>
      <c r="BH264" s="47" t="str">
        <f>INDEX(Table5[[#All],[Ovr]],MATCH(Table3[[#This Row],[PID]],Table5[[#All],[PID]],0))</f>
        <v/>
      </c>
      <c r="BI264" s="47" t="str">
        <f>INDEX(Table5[[#All],[Rnd]],MATCH(Table3[[#This Row],[PID]],Table5[[#All],[PID]],0))</f>
        <v/>
      </c>
      <c r="BJ264" s="47" t="str">
        <f>INDEX(Table5[[#All],[Pick]],MATCH(Table3[[#This Row],[PID]],Table5[[#All],[PID]],0))</f>
        <v/>
      </c>
      <c r="BK264" s="47" t="str">
        <f>INDEX(Table5[[#All],[Team]],MATCH(Table3[[#This Row],[PID]],Table5[[#All],[PID]],0))</f>
        <v/>
      </c>
      <c r="BL2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5" spans="1:64" ht="15" customHeight="1" x14ac:dyDescent="0.25">
      <c r="A265" s="42">
        <v>7579</v>
      </c>
      <c r="B265" s="42" t="s">
        <v>24</v>
      </c>
      <c r="C265" s="42" t="s">
        <v>370</v>
      </c>
      <c r="D265" s="42" t="s">
        <v>1555</v>
      </c>
      <c r="E265" s="42">
        <v>18</v>
      </c>
      <c r="F265" s="42" t="s">
        <v>42</v>
      </c>
      <c r="G265" s="42" t="s">
        <v>42</v>
      </c>
      <c r="H265" s="43" t="s">
        <v>721</v>
      </c>
      <c r="I265" s="44" t="s">
        <v>43</v>
      </c>
      <c r="J265" s="42" t="s">
        <v>43</v>
      </c>
      <c r="K265" s="43" t="s">
        <v>43</v>
      </c>
      <c r="L265" s="42">
        <v>1</v>
      </c>
      <c r="M265" s="42">
        <v>1</v>
      </c>
      <c r="N265" s="43">
        <v>1</v>
      </c>
      <c r="O265" s="42">
        <v>4</v>
      </c>
      <c r="P265" s="42">
        <v>2</v>
      </c>
      <c r="Q265" s="43">
        <v>2</v>
      </c>
      <c r="R265" s="42">
        <v>3</v>
      </c>
      <c r="S265" s="42">
        <v>5</v>
      </c>
      <c r="T265" s="42">
        <v>1</v>
      </c>
      <c r="U265" s="42">
        <v>4</v>
      </c>
      <c r="V265" s="42">
        <v>1</v>
      </c>
      <c r="W265" s="42">
        <v>6</v>
      </c>
      <c r="X265" s="42" t="s">
        <v>45</v>
      </c>
      <c r="Y265" s="42" t="s">
        <v>45</v>
      </c>
      <c r="Z265" s="42" t="s">
        <v>45</v>
      </c>
      <c r="AA265" s="42" t="s">
        <v>45</v>
      </c>
      <c r="AB265" s="42" t="s">
        <v>45</v>
      </c>
      <c r="AC265" s="42" t="s">
        <v>45</v>
      </c>
      <c r="AD265" s="42" t="s">
        <v>45</v>
      </c>
      <c r="AE265" s="42" t="s">
        <v>45</v>
      </c>
      <c r="AF265" s="42" t="s">
        <v>45</v>
      </c>
      <c r="AG265" s="42" t="s">
        <v>45</v>
      </c>
      <c r="AH265" s="42" t="s">
        <v>45</v>
      </c>
      <c r="AI265" s="42" t="s">
        <v>45</v>
      </c>
      <c r="AJ265" s="42" t="s">
        <v>45</v>
      </c>
      <c r="AK265" s="42" t="s">
        <v>45</v>
      </c>
      <c r="AL265" s="42" t="s">
        <v>45</v>
      </c>
      <c r="AM265" s="42" t="s">
        <v>45</v>
      </c>
      <c r="AN265" s="42" t="s">
        <v>45</v>
      </c>
      <c r="AO265" s="43" t="s">
        <v>45</v>
      </c>
      <c r="AP265" s="42" t="s">
        <v>355</v>
      </c>
      <c r="AQ265" s="42">
        <v>8</v>
      </c>
      <c r="AR265" s="50" t="s">
        <v>14</v>
      </c>
      <c r="AS265" s="45" t="s">
        <v>718</v>
      </c>
      <c r="AT265" s="45" t="s">
        <v>47</v>
      </c>
      <c r="AU265" s="46">
        <f>($O$3*(L265-$O$1)/$O$2+$P$3*(M265-$P$1)/$P$2+$Q$3*(N265-$P$1)/$Q$2)/SUM($O$3:$Q$3)</f>
        <v>-2.7014842379675978</v>
      </c>
      <c r="AV265" s="46">
        <f>($O$3*(O265-$O$1)/$O$2+$P$3*(P265-$P$1)/$P$2+$Q$3*(Q265-$Q$1)/$Q$2)/SUM($O$3:$Q$3)</f>
        <v>-1.23416323121884</v>
      </c>
      <c r="AW265" s="47">
        <f>COUNT(R265:AO265)/2</f>
        <v>3</v>
      </c>
      <c r="AX265" s="47">
        <f>IF(AND(S265&lt;&gt;"-",S265&gt;5),1,0)+IF(AND(U265&lt;&gt;"-",U265&gt;5),1,0)+IF(AND(W265&lt;&gt;"-",W265&gt;5),1,0)+IF(AND(Y265&lt;&gt;"-",Y265&gt;5),1,0)+IF(AND(AA265&lt;&gt;"-",AA265&gt;5),1,0)+IF(AND(AC265&lt;&gt;"-",AC265&gt;5),1,0)+IF(AND(AE265&lt;&gt;"-",AE265&gt;5),1,0)+IF(AND(AG265&lt;&gt;"-",AG265&gt;5),1,0)+IF(AND(AI265&lt;&gt;"-",AI265&gt;5),1,0)+IF(AND(AK265&lt;&gt;"-",AK265&gt;5),1,0)+IF(AND(AM265&lt;&gt;"-",AM265&gt;5),1,0)+IF(AND(AO265&lt;&gt;"-",AO265&gt;5),1,0)</f>
        <v>1</v>
      </c>
      <c r="AY265" s="48">
        <f>VLOOKUP(AP265,COND!$A$10:$B$32,2,FALSE)</f>
        <v>1</v>
      </c>
      <c r="AZ265" s="46">
        <f>($AU$3*AU265+$AV$3*AV265+$AW$3*AW265+$AX$3*AX265)*AY265*IF(AQ265&lt;5,0.95,IF(AQ265&lt;7,0.975,1))+$I$3*VLOOKUP(I265,COND!$A$2:$E$7,4,FALSE)+$J$3*VLOOKUP(J265,COND!$A$2:$E$7,2,FALSE)+$K$3*VLOOKUP(K265,COND!$A$2:$E$7,3,FALSE)+IF(BB265="SP",$BB$3,0)+IF($AW265&lt;3,-5,0)+IF(AND($B$2&gt;0,$E265&lt;20),$B$2*25,0)</f>
        <v>29.526438528029679</v>
      </c>
      <c r="BA265" s="49">
        <f>STANDARDIZE(AZ265,AVERAGE($AZ$5:$AZ$570),STDEVP($AZ$5:$AZ$570))</f>
        <v>-0.29306964948605735</v>
      </c>
      <c r="BB265" s="47" t="str">
        <f>IF(OR(AND(AQ265&gt;7,AX265&gt;1),AND(AQ265&gt;4,AW265&gt;2)),"SP","RP")</f>
        <v>SP</v>
      </c>
      <c r="BC265" s="47"/>
      <c r="BD265" s="47"/>
      <c r="BE265" s="47"/>
      <c r="BF265" s="47" t="str">
        <f>IF(AVERAGE($O265:$Q265)&gt;=6,"Likely",IF(AVERAGE($O265:$Q265)&gt;=4,"Possible","Unlikely"))</f>
        <v>Unlikely</v>
      </c>
      <c r="BG265" s="47"/>
      <c r="BH265" s="47" t="str">
        <f>INDEX(Table5[[#All],[Ovr]],MATCH(Table3[[#This Row],[PID]],Table5[[#All],[PID]],0))</f>
        <v/>
      </c>
      <c r="BI265" s="47" t="str">
        <f>INDEX(Table5[[#All],[Rnd]],MATCH(Table3[[#This Row],[PID]],Table5[[#All],[PID]],0))</f>
        <v/>
      </c>
      <c r="BJ265" s="47" t="str">
        <f>INDEX(Table5[[#All],[Pick]],MATCH(Table3[[#This Row],[PID]],Table5[[#All],[PID]],0))</f>
        <v/>
      </c>
      <c r="BK265" s="47" t="str">
        <f>INDEX(Table5[[#All],[Team]],MATCH(Table3[[#This Row],[PID]],Table5[[#All],[PID]],0))</f>
        <v/>
      </c>
      <c r="BL2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6" spans="1:64" ht="15" customHeight="1" x14ac:dyDescent="0.25">
      <c r="A266" s="42">
        <v>8294</v>
      </c>
      <c r="B266" s="42" t="s">
        <v>430</v>
      </c>
      <c r="C266" s="42" t="s">
        <v>1699</v>
      </c>
      <c r="D266" s="42" t="s">
        <v>1700</v>
      </c>
      <c r="E266" s="42">
        <v>21</v>
      </c>
      <c r="F266" s="42" t="s">
        <v>42</v>
      </c>
      <c r="G266" s="42" t="s">
        <v>42</v>
      </c>
      <c r="H266" s="43" t="s">
        <v>721</v>
      </c>
      <c r="I266" s="44" t="s">
        <v>43</v>
      </c>
      <c r="J266" s="42" t="s">
        <v>43</v>
      </c>
      <c r="K266" s="43" t="s">
        <v>43</v>
      </c>
      <c r="L266" s="42">
        <v>2</v>
      </c>
      <c r="M266" s="42">
        <v>1</v>
      </c>
      <c r="N266" s="43">
        <v>2</v>
      </c>
      <c r="O266" s="42">
        <v>4</v>
      </c>
      <c r="P266" s="42">
        <v>2</v>
      </c>
      <c r="Q266" s="43">
        <v>3</v>
      </c>
      <c r="R266" s="42">
        <v>4</v>
      </c>
      <c r="S266" s="42">
        <v>5</v>
      </c>
      <c r="T266" s="42" t="s">
        <v>45</v>
      </c>
      <c r="U266" s="42" t="s">
        <v>45</v>
      </c>
      <c r="V266" s="42">
        <v>3</v>
      </c>
      <c r="W266" s="42">
        <v>6</v>
      </c>
      <c r="X266" s="42" t="s">
        <v>45</v>
      </c>
      <c r="Y266" s="42" t="s">
        <v>45</v>
      </c>
      <c r="Z266" s="42" t="s">
        <v>45</v>
      </c>
      <c r="AA266" s="42" t="s">
        <v>45</v>
      </c>
      <c r="AB266" s="42" t="s">
        <v>45</v>
      </c>
      <c r="AC266" s="42" t="s">
        <v>45</v>
      </c>
      <c r="AD266" s="42" t="s">
        <v>45</v>
      </c>
      <c r="AE266" s="42" t="s">
        <v>45</v>
      </c>
      <c r="AF266" s="42">
        <v>3</v>
      </c>
      <c r="AG266" s="42">
        <v>4</v>
      </c>
      <c r="AH266" s="42" t="s">
        <v>45</v>
      </c>
      <c r="AI266" s="42" t="s">
        <v>45</v>
      </c>
      <c r="AJ266" s="42" t="s">
        <v>45</v>
      </c>
      <c r="AK266" s="42" t="s">
        <v>45</v>
      </c>
      <c r="AL266" s="42" t="s">
        <v>45</v>
      </c>
      <c r="AM266" s="42" t="s">
        <v>45</v>
      </c>
      <c r="AN266" s="42" t="s">
        <v>45</v>
      </c>
      <c r="AO266" s="43" t="s">
        <v>45</v>
      </c>
      <c r="AP266" s="42" t="s">
        <v>355</v>
      </c>
      <c r="AQ266" s="42">
        <v>9</v>
      </c>
      <c r="AR266" s="50" t="s">
        <v>357</v>
      </c>
      <c r="AS266" s="45" t="s">
        <v>45</v>
      </c>
      <c r="AT266" s="45" t="s">
        <v>47</v>
      </c>
      <c r="AU266" s="46">
        <f>($O$3*(L266-$O$1)/$O$2+$P$3*(M266-$P$1)/$P$2+$Q$3*(N266-$P$1)/$Q$2)/SUM($O$3:$Q$3)</f>
        <v>-2.2644723474043147</v>
      </c>
      <c r="AV266" s="46">
        <f>($O$3*(O266-$O$1)/$O$2+$P$3*(P266-$P$1)/$P$2+$Q$3*(Q266-$Q$1)/$Q$2)/SUM($O$3:$Q$3)</f>
        <v>-0.99184266516472974</v>
      </c>
      <c r="AW266" s="47">
        <f>COUNT(R266:AO266)/2</f>
        <v>3</v>
      </c>
      <c r="AX266" s="47">
        <f>IF(AND(S266&lt;&gt;"-",S266&gt;5),1,0)+IF(AND(U266&lt;&gt;"-",U266&gt;5),1,0)+IF(AND(W266&lt;&gt;"-",W266&gt;5),1,0)+IF(AND(Y266&lt;&gt;"-",Y266&gt;5),1,0)+IF(AND(AA266&lt;&gt;"-",AA266&gt;5),1,0)+IF(AND(AC266&lt;&gt;"-",AC266&gt;5),1,0)+IF(AND(AE266&lt;&gt;"-",AE266&gt;5),1,0)+IF(AND(AG266&lt;&gt;"-",AG266&gt;5),1,0)+IF(AND(AI266&lt;&gt;"-",AI266&gt;5),1,0)+IF(AND(AK266&lt;&gt;"-",AK266&gt;5),1,0)+IF(AND(AM266&lt;&gt;"-",AM266&gt;5),1,0)+IF(AND(AO266&lt;&gt;"-",AO266&gt;5),1,0)</f>
        <v>1</v>
      </c>
      <c r="AY266" s="48">
        <f>VLOOKUP(AP266,COND!$A$10:$B$32,2,FALSE)</f>
        <v>1</v>
      </c>
      <c r="AZ266" s="46">
        <f>($AU$3*AU266+$AV$3*AV266+$AW$3*AW266+$AX$3*AX266)*AY266*IF(AQ266&lt;5,0.95,IF(AQ266&lt;7,0.975,1))+$I$3*VLOOKUP(I266,COND!$A$2:$E$7,4,FALSE)+$J$3*VLOOKUP(J266,COND!$A$2:$E$7,2,FALSE)+$K$3*VLOOKUP(K266,COND!$A$2:$E$7,3,FALSE)+IF(BB266="SP",$BB$3,0)+IF($AW266&lt;3,-5,0)+IF(AND($B$2&gt;0,$E266&lt;20),$B$2*25,0)</f>
        <v>29.46025222722454</v>
      </c>
      <c r="BA266" s="49">
        <f>STANDARDIZE(AZ266,AVERAGE($AZ$5:$AZ$570),STDEVP($AZ$5:$AZ$570))</f>
        <v>-0.29913921615608369</v>
      </c>
      <c r="BB266" s="47" t="str">
        <f>IF(OR(AND(AQ266&gt;7,AX266&gt;1),AND(AQ266&gt;4,AW266&gt;2)),"SP","RP")</f>
        <v>SP</v>
      </c>
      <c r="BC266" s="47"/>
      <c r="BD266" s="47"/>
      <c r="BE266" s="47"/>
      <c r="BF266" s="47" t="str">
        <f>IF(AVERAGE($O266:$Q266)&gt;=6,"Likely",IF(AVERAGE($O266:$Q266)&gt;=4,"Possible","Unlikely"))</f>
        <v>Unlikely</v>
      </c>
      <c r="BG266" s="47"/>
      <c r="BH266" s="47" t="str">
        <f>INDEX(Table5[[#All],[Ovr]],MATCH(Table3[[#This Row],[PID]],Table5[[#All],[PID]],0))</f>
        <v/>
      </c>
      <c r="BI266" s="47" t="str">
        <f>INDEX(Table5[[#All],[Rnd]],MATCH(Table3[[#This Row],[PID]],Table5[[#All],[PID]],0))</f>
        <v/>
      </c>
      <c r="BJ266" s="47" t="str">
        <f>INDEX(Table5[[#All],[Pick]],MATCH(Table3[[#This Row],[PID]],Table5[[#All],[PID]],0))</f>
        <v/>
      </c>
      <c r="BK266" s="47" t="str">
        <f>INDEX(Table5[[#All],[Team]],MATCH(Table3[[#This Row],[PID]],Table5[[#All],[PID]],0))</f>
        <v/>
      </c>
      <c r="BL2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7" spans="1:64" ht="15" customHeight="1" x14ac:dyDescent="0.25">
      <c r="A267" s="42">
        <v>16045</v>
      </c>
      <c r="B267" s="42" t="s">
        <v>430</v>
      </c>
      <c r="C267" s="42" t="s">
        <v>1812</v>
      </c>
      <c r="D267" s="42" t="s">
        <v>1433</v>
      </c>
      <c r="E267" s="42">
        <v>18</v>
      </c>
      <c r="F267" s="42" t="s">
        <v>53</v>
      </c>
      <c r="G267" s="42" t="s">
        <v>53</v>
      </c>
      <c r="H267" s="43" t="s">
        <v>721</v>
      </c>
      <c r="I267" s="44" t="s">
        <v>43</v>
      </c>
      <c r="J267" s="42" t="s">
        <v>43</v>
      </c>
      <c r="K267" s="43" t="s">
        <v>43</v>
      </c>
      <c r="L267" s="42">
        <v>1</v>
      </c>
      <c r="M267" s="42">
        <v>2</v>
      </c>
      <c r="N267" s="43">
        <v>1</v>
      </c>
      <c r="O267" s="42">
        <v>2</v>
      </c>
      <c r="P267" s="42">
        <v>3</v>
      </c>
      <c r="Q267" s="43">
        <v>3</v>
      </c>
      <c r="R267" s="42">
        <v>2</v>
      </c>
      <c r="S267" s="42">
        <v>4</v>
      </c>
      <c r="T267" s="42">
        <v>1</v>
      </c>
      <c r="U267" s="42">
        <v>1</v>
      </c>
      <c r="V267" s="42" t="s">
        <v>45</v>
      </c>
      <c r="W267" s="42" t="s">
        <v>45</v>
      </c>
      <c r="X267" s="42" t="s">
        <v>45</v>
      </c>
      <c r="Y267" s="42" t="s">
        <v>45</v>
      </c>
      <c r="Z267" s="42" t="s">
        <v>45</v>
      </c>
      <c r="AA267" s="42" t="s">
        <v>45</v>
      </c>
      <c r="AB267" s="42" t="s">
        <v>45</v>
      </c>
      <c r="AC267" s="42" t="s">
        <v>45</v>
      </c>
      <c r="AD267" s="42" t="s">
        <v>45</v>
      </c>
      <c r="AE267" s="42" t="s">
        <v>45</v>
      </c>
      <c r="AF267" s="42" t="s">
        <v>45</v>
      </c>
      <c r="AG267" s="42" t="s">
        <v>45</v>
      </c>
      <c r="AH267" s="42" t="s">
        <v>45</v>
      </c>
      <c r="AI267" s="42" t="s">
        <v>45</v>
      </c>
      <c r="AJ267" s="42" t="s">
        <v>45</v>
      </c>
      <c r="AK267" s="42" t="s">
        <v>45</v>
      </c>
      <c r="AL267" s="42">
        <v>2</v>
      </c>
      <c r="AM267" s="42">
        <v>4</v>
      </c>
      <c r="AN267" s="42" t="s">
        <v>45</v>
      </c>
      <c r="AO267" s="43" t="s">
        <v>45</v>
      </c>
      <c r="AP267" s="42" t="s">
        <v>67</v>
      </c>
      <c r="AQ267" s="42">
        <v>4</v>
      </c>
      <c r="AR267" s="50" t="s">
        <v>353</v>
      </c>
      <c r="AS267" s="45" t="s">
        <v>718</v>
      </c>
      <c r="AT267" s="45" t="s">
        <v>47</v>
      </c>
      <c r="AU267" s="46">
        <f>($O$3*(L267-$O$1)/$O$2+$P$3*(M267-$P$1)/$P$2+$Q$3*(N267-$P$1)/$Q$2)/SUM($O$3:$Q$3)</f>
        <v>-2.5060525215375429</v>
      </c>
      <c r="AV267" s="46">
        <f>($O$3*(O267-$O$1)/$O$2+$P$3*(P267-$P$1)/$P$2+$Q$3*(Q267-$Q$1)/$Q$2)/SUM($O$3:$Q$3)</f>
        <v>-1.1857935977530214</v>
      </c>
      <c r="AW267" s="47">
        <f>COUNT(R267:AO267)/2</f>
        <v>3</v>
      </c>
      <c r="AX267" s="47">
        <f>IF(AND(S267&lt;&gt;"-",S267&gt;5),1,0)+IF(AND(U267&lt;&gt;"-",U267&gt;5),1,0)+IF(AND(W267&lt;&gt;"-",W267&gt;5),1,0)+IF(AND(Y267&lt;&gt;"-",Y267&gt;5),1,0)+IF(AND(AA267&lt;&gt;"-",AA267&gt;5),1,0)+IF(AND(AC267&lt;&gt;"-",AC267&gt;5),1,0)+IF(AND(AE267&lt;&gt;"-",AE267&gt;5),1,0)+IF(AND(AG267&lt;&gt;"-",AG267&gt;5),1,0)+IF(AND(AI267&lt;&gt;"-",AI267&gt;5),1,0)+IF(AND(AK267&lt;&gt;"-",AK267&gt;5),1,0)+IF(AND(AM267&lt;&gt;"-",AM267&gt;5),1,0)+IF(AND(AO267&lt;&gt;"-",AO267&gt;5),1,0)</f>
        <v>0</v>
      </c>
      <c r="AY267" s="48">
        <f>VLOOKUP(AP267,COND!$A$10:$B$32,2,FALSE)</f>
        <v>0.9</v>
      </c>
      <c r="AZ267" s="46">
        <f>($AU$3*AU267+$AV$3*AV267+$AW$3*AW267+$AX$3*AX267)*AY267*IF(AQ267&lt;5,0.95,IF(AQ267&lt;7,0.975,1))+$I$3*VLOOKUP(I267,COND!$A$2:$E$7,4,FALSE)+$J$3*VLOOKUP(J267,COND!$A$2:$E$7,2,FALSE)+$K$3*VLOOKUP(K267,COND!$A$2:$E$7,3,FALSE)+IF(BB267="SP",$BB$3,0)+IF($AW267&lt;3,-5,0)+IF(AND($B$2&gt;0,$E267&lt;20),$B$2*25,0)</f>
        <v>30.576894497240414</v>
      </c>
      <c r="BA267" s="49">
        <f>STANDARDIZE(AZ267,AVERAGE($AZ$5:$AZ$676),STDEVP($AZ$5:$AZ$676))</f>
        <v>1.5920254473722535E-2</v>
      </c>
      <c r="BB267" s="47" t="str">
        <f>IF(OR(AND(AQ267&gt;7,AX267&gt;1),AND(AQ267&gt;4,AW267&gt;2)),"SP","RP")</f>
        <v>RP</v>
      </c>
      <c r="BC267" s="47"/>
      <c r="BD267" s="47"/>
      <c r="BE267" s="47"/>
      <c r="BF267" s="47" t="str">
        <f>IF(AVERAGE($O267:$Q267)&gt;=6,"Likely",IF(AVERAGE($O267:$Q267)&gt;=4,"Possible","Unlikely"))</f>
        <v>Unlikely</v>
      </c>
      <c r="BG267" s="47"/>
      <c r="BH267" s="47" t="str">
        <f>INDEX(Table5[[#All],[Ovr]],MATCH(Table3[[#This Row],[PID]],Table5[[#All],[PID]],0))</f>
        <v/>
      </c>
      <c r="BI267" s="47" t="str">
        <f>INDEX(Table5[[#All],[Rnd]],MATCH(Table3[[#This Row],[PID]],Table5[[#All],[PID]],0))</f>
        <v/>
      </c>
      <c r="BJ267" s="47" t="str">
        <f>INDEX(Table5[[#All],[Pick]],MATCH(Table3[[#This Row],[PID]],Table5[[#All],[PID]],0))</f>
        <v/>
      </c>
      <c r="BK267" s="47" t="str">
        <f>INDEX(Table5[[#All],[Team]],MATCH(Table3[[#This Row],[PID]],Table5[[#All],[PID]],0))</f>
        <v/>
      </c>
      <c r="BL2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8" spans="1:64" ht="15" customHeight="1" x14ac:dyDescent="0.25">
      <c r="A268" s="42">
        <v>12213</v>
      </c>
      <c r="B268" s="42" t="s">
        <v>430</v>
      </c>
      <c r="C268" s="42" t="s">
        <v>342</v>
      </c>
      <c r="D268" s="42" t="s">
        <v>1658</v>
      </c>
      <c r="E268" s="42">
        <v>21</v>
      </c>
      <c r="F268" s="42" t="s">
        <v>42</v>
      </c>
      <c r="G268" s="42" t="s">
        <v>42</v>
      </c>
      <c r="H268" s="43" t="s">
        <v>721</v>
      </c>
      <c r="I268" s="44" t="s">
        <v>44</v>
      </c>
      <c r="J268" s="42" t="s">
        <v>44</v>
      </c>
      <c r="K268" s="43" t="s">
        <v>43</v>
      </c>
      <c r="L268" s="42">
        <v>3</v>
      </c>
      <c r="M268" s="42">
        <v>2</v>
      </c>
      <c r="N268" s="43">
        <v>2</v>
      </c>
      <c r="O268" s="42">
        <v>4</v>
      </c>
      <c r="P268" s="42">
        <v>2</v>
      </c>
      <c r="Q268" s="43">
        <v>3</v>
      </c>
      <c r="R268" s="42">
        <v>5</v>
      </c>
      <c r="S268" s="42">
        <v>6</v>
      </c>
      <c r="T268" s="42">
        <v>1</v>
      </c>
      <c r="U268" s="42">
        <v>3</v>
      </c>
      <c r="V268" s="42" t="s">
        <v>45</v>
      </c>
      <c r="W268" s="42" t="s">
        <v>45</v>
      </c>
      <c r="X268" s="42">
        <v>2</v>
      </c>
      <c r="Y268" s="42">
        <v>2</v>
      </c>
      <c r="Z268" s="42" t="s">
        <v>45</v>
      </c>
      <c r="AA268" s="42" t="s">
        <v>45</v>
      </c>
      <c r="AB268" s="42" t="s">
        <v>45</v>
      </c>
      <c r="AC268" s="42" t="s">
        <v>45</v>
      </c>
      <c r="AD268" s="42" t="s">
        <v>45</v>
      </c>
      <c r="AE268" s="42" t="s">
        <v>45</v>
      </c>
      <c r="AF268" s="42">
        <v>4</v>
      </c>
      <c r="AG268" s="42">
        <v>5</v>
      </c>
      <c r="AH268" s="42" t="s">
        <v>45</v>
      </c>
      <c r="AI268" s="42" t="s">
        <v>45</v>
      </c>
      <c r="AJ268" s="42">
        <v>2</v>
      </c>
      <c r="AK268" s="42">
        <v>4</v>
      </c>
      <c r="AL268" s="42" t="s">
        <v>45</v>
      </c>
      <c r="AM268" s="42" t="s">
        <v>45</v>
      </c>
      <c r="AN268" s="42" t="s">
        <v>45</v>
      </c>
      <c r="AO268" s="43" t="s">
        <v>45</v>
      </c>
      <c r="AP268" s="42" t="s">
        <v>58</v>
      </c>
      <c r="AQ268" s="42">
        <v>7</v>
      </c>
      <c r="AR268" s="50" t="s">
        <v>353</v>
      </c>
      <c r="AS268" s="45" t="s">
        <v>45</v>
      </c>
      <c r="AT268" s="45" t="s">
        <v>705</v>
      </c>
      <c r="AU268" s="46">
        <f>($O$3*(L268-$O$1)/$O$2+$P$3*(M268-$P$1)/$P$2+$Q$3*(N268-$P$1)/$Q$2)/SUM($O$3:$Q$3)</f>
        <v>-1.8743493064650851</v>
      </c>
      <c r="AV268" s="46">
        <f>($O$3*(O268-$O$1)/$O$2+$P$3*(P268-$P$1)/$P$2+$Q$3*(Q268-$Q$1)/$Q$2)/SUM($O$3:$Q$3)</f>
        <v>-0.99184266516472974</v>
      </c>
      <c r="AW268" s="47">
        <f>COUNT(R268:AO268)/2</f>
        <v>5</v>
      </c>
      <c r="AX268" s="47">
        <f>IF(AND(S268&lt;&gt;"-",S268&gt;5),1,0)+IF(AND(U268&lt;&gt;"-",U268&gt;5),1,0)+IF(AND(W268&lt;&gt;"-",W268&gt;5),1,0)+IF(AND(Y268&lt;&gt;"-",Y268&gt;5),1,0)+IF(AND(AA268&lt;&gt;"-",AA268&gt;5),1,0)+IF(AND(AC268&lt;&gt;"-",AC268&gt;5),1,0)+IF(AND(AE268&lt;&gt;"-",AE268&gt;5),1,0)+IF(AND(AG268&lt;&gt;"-",AG268&gt;5),1,0)+IF(AND(AI268&lt;&gt;"-",AI268&gt;5),1,0)+IF(AND(AK268&lt;&gt;"-",AK268&gt;5),1,0)+IF(AND(AM268&lt;&gt;"-",AM268&gt;5),1,0)+IF(AND(AO268&lt;&gt;"-",AO268&gt;5),1,0)</f>
        <v>1</v>
      </c>
      <c r="AY268" s="48">
        <f>VLOOKUP(AP268,COND!$A$10:$B$32,2,FALSE)</f>
        <v>1</v>
      </c>
      <c r="AZ268" s="46">
        <f>($AU$3*AU268+$AV$3*AV268+$AW$3*AW268+$AX$3*AX268)*AY268*IF(AQ268&lt;5,0.95,IF(AQ268&lt;7,0.975,1))+$I$3*VLOOKUP(I268,COND!$A$2:$E$7,4,FALSE)+$J$3*VLOOKUP(J268,COND!$A$2:$E$7,2,FALSE)+$K$3*VLOOKUP(K268,COND!$A$2:$E$7,3,FALSE)+IF(BB268="SP",$BB$3,0)+IF($AW268&lt;3,-5,0)+IF(AND($B$2&gt;0,$E268&lt;20),$B$2*25,0)</f>
        <v>30.088276835412387</v>
      </c>
      <c r="BA268" s="49">
        <f>STANDARDIZE(AZ268,AVERAGE($AZ$5:$AZ$570),STDEVP($AZ$5:$AZ$570))</f>
        <v>-0.24154667535166802</v>
      </c>
      <c r="BB268" s="47" t="str">
        <f>IF(OR(AND(AQ268&gt;7,AX268&gt;1),AND(AQ268&gt;4,AW268&gt;2)),"SP","RP")</f>
        <v>SP</v>
      </c>
      <c r="BC268" s="47"/>
      <c r="BD268" s="47"/>
      <c r="BE268" s="47"/>
      <c r="BF268" s="47" t="str">
        <f>IF(AVERAGE($O268:$Q268)&gt;=6,"Likely",IF(AVERAGE($O268:$Q268)&gt;=4,"Possible","Unlikely"))</f>
        <v>Unlikely</v>
      </c>
      <c r="BG268" s="47"/>
      <c r="BH268" s="47" t="str">
        <f>INDEX(Table5[[#All],[Ovr]],MATCH(Table3[[#This Row],[PID]],Table5[[#All],[PID]],0))</f>
        <v/>
      </c>
      <c r="BI268" s="47" t="str">
        <f>INDEX(Table5[[#All],[Rnd]],MATCH(Table3[[#This Row],[PID]],Table5[[#All],[PID]],0))</f>
        <v/>
      </c>
      <c r="BJ268" s="47" t="str">
        <f>INDEX(Table5[[#All],[Pick]],MATCH(Table3[[#This Row],[PID]],Table5[[#All],[PID]],0))</f>
        <v/>
      </c>
      <c r="BK268" s="47" t="str">
        <f>INDEX(Table5[[#All],[Team]],MATCH(Table3[[#This Row],[PID]],Table5[[#All],[PID]],0))</f>
        <v/>
      </c>
      <c r="BL2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9" spans="1:64" ht="15" customHeight="1" x14ac:dyDescent="0.25">
      <c r="A269" s="42">
        <v>10278</v>
      </c>
      <c r="B269" s="42" t="s">
        <v>24</v>
      </c>
      <c r="C269" s="42" t="s">
        <v>401</v>
      </c>
      <c r="D269" s="42" t="s">
        <v>863</v>
      </c>
      <c r="E269" s="42">
        <v>20</v>
      </c>
      <c r="F269" s="42" t="s">
        <v>42</v>
      </c>
      <c r="G269" s="42" t="s">
        <v>42</v>
      </c>
      <c r="H269" s="43" t="s">
        <v>721</v>
      </c>
      <c r="I269" s="44" t="s">
        <v>43</v>
      </c>
      <c r="J269" s="42" t="s">
        <v>44</v>
      </c>
      <c r="K269" s="43" t="s">
        <v>43</v>
      </c>
      <c r="L269" s="42">
        <v>2</v>
      </c>
      <c r="M269" s="42">
        <v>2</v>
      </c>
      <c r="N269" s="43">
        <v>1</v>
      </c>
      <c r="O269" s="42">
        <v>4</v>
      </c>
      <c r="P269" s="42">
        <v>2</v>
      </c>
      <c r="Q269" s="43">
        <v>3</v>
      </c>
      <c r="R269" s="42">
        <v>4</v>
      </c>
      <c r="S269" s="42">
        <v>5</v>
      </c>
      <c r="T269" s="42">
        <v>1</v>
      </c>
      <c r="U269" s="42">
        <v>5</v>
      </c>
      <c r="V269" s="42">
        <v>3</v>
      </c>
      <c r="W269" s="42">
        <v>6</v>
      </c>
      <c r="X269" s="42">
        <v>2</v>
      </c>
      <c r="Y269" s="42">
        <v>3</v>
      </c>
      <c r="Z269" s="42" t="s">
        <v>45</v>
      </c>
      <c r="AA269" s="42" t="s">
        <v>45</v>
      </c>
      <c r="AB269" s="42" t="s">
        <v>45</v>
      </c>
      <c r="AC269" s="42" t="s">
        <v>45</v>
      </c>
      <c r="AD269" s="42" t="s">
        <v>45</v>
      </c>
      <c r="AE269" s="42" t="s">
        <v>45</v>
      </c>
      <c r="AF269" s="42" t="s">
        <v>45</v>
      </c>
      <c r="AG269" s="42" t="s">
        <v>45</v>
      </c>
      <c r="AH269" s="42" t="s">
        <v>45</v>
      </c>
      <c r="AI269" s="42" t="s">
        <v>45</v>
      </c>
      <c r="AJ269" s="42" t="s">
        <v>45</v>
      </c>
      <c r="AK269" s="42" t="s">
        <v>45</v>
      </c>
      <c r="AL269" s="42" t="s">
        <v>45</v>
      </c>
      <c r="AM269" s="42" t="s">
        <v>45</v>
      </c>
      <c r="AN269" s="42" t="s">
        <v>45</v>
      </c>
      <c r="AO269" s="43" t="s">
        <v>45</v>
      </c>
      <c r="AP269" s="42" t="s">
        <v>56</v>
      </c>
      <c r="AQ269" s="42">
        <v>6</v>
      </c>
      <c r="AR269" s="50" t="s">
        <v>353</v>
      </c>
      <c r="AS269" s="45" t="s">
        <v>717</v>
      </c>
      <c r="AT269" s="45" t="s">
        <v>705</v>
      </c>
      <c r="AU269" s="46">
        <f>($O$3*(L269-$O$1)/$O$2+$P$3*(M269-$P$1)/$P$2+$Q$3*(N269-$P$1)/$Q$2)/SUM($O$3:$Q$3)</f>
        <v>-2.311361197028369</v>
      </c>
      <c r="AV269" s="46">
        <f>($O$3*(O269-$O$1)/$O$2+$P$3*(P269-$P$1)/$P$2+$Q$3*(Q269-$Q$1)/$Q$2)/SUM($O$3:$Q$3)</f>
        <v>-0.99184266516472974</v>
      </c>
      <c r="AW269" s="47">
        <f>COUNT(R269:AO269)/2</f>
        <v>4</v>
      </c>
      <c r="AX269" s="47">
        <f>IF(AND(S269&lt;&gt;"-",S269&gt;5),1,0)+IF(AND(U269&lt;&gt;"-",U269&gt;5),1,0)+IF(AND(W269&lt;&gt;"-",W269&gt;5),1,0)+IF(AND(Y269&lt;&gt;"-",Y269&gt;5),1,0)+IF(AND(AA269&lt;&gt;"-",AA269&gt;5),1,0)+IF(AND(AC269&lt;&gt;"-",AC269&gt;5),1,0)+IF(AND(AE269&lt;&gt;"-",AE269&gt;5),1,0)+IF(AND(AG269&lt;&gt;"-",AG269&gt;5),1,0)+IF(AND(AI269&lt;&gt;"-",AI269&gt;5),1,0)+IF(AND(AK269&lt;&gt;"-",AK269&gt;5),1,0)+IF(AND(AM269&lt;&gt;"-",AM269&gt;5),1,0)+IF(AND(AO269&lt;&gt;"-",AO269&gt;5),1,0)</f>
        <v>1</v>
      </c>
      <c r="AY269" s="48">
        <f>VLOOKUP(AP269,COND!$A$10:$B$32,2,FALSE)</f>
        <v>1</v>
      </c>
      <c r="AZ269" s="46">
        <f>($AU$3*AU269+$AV$3*AV269+$AW$3*AW269+$AX$3*AX269)*AY269*IF(AQ269&lt;5,0.95,IF(AQ269&lt;7,0.975,1))+$I$3*VLOOKUP(I269,COND!$A$2:$E$7,4,FALSE)+$J$3*VLOOKUP(J269,COND!$A$2:$E$7,2,FALSE)+$K$3*VLOOKUP(K269,COND!$A$2:$E$7,3,FALSE)+IF(BB269="SP",$BB$3,0)+IF($AW269&lt;3,-5,0)+IF(AND($B$2&gt;0,$E269&lt;20),$B$2*25,0)</f>
        <v>30.077102595867235</v>
      </c>
      <c r="BA269" s="49">
        <f>STANDARDIZE(AZ269,AVERAGE($AZ$5:$AZ$570),STDEVP($AZ$5:$AZ$570))</f>
        <v>-0.24257140087766207</v>
      </c>
      <c r="BB269" s="47" t="str">
        <f>IF(OR(AND(AQ269&gt;7,AX269&gt;1),AND(AQ269&gt;4,AW269&gt;2)),"SP","RP")</f>
        <v>SP</v>
      </c>
      <c r="BC269" s="47"/>
      <c r="BD269" s="47"/>
      <c r="BE269" s="47"/>
      <c r="BF269" s="47" t="str">
        <f>IF(AVERAGE($O269:$Q269)&gt;=6,"Likely",IF(AVERAGE($O269:$Q269)&gt;=4,"Possible","Unlikely"))</f>
        <v>Unlikely</v>
      </c>
      <c r="BG269" s="47"/>
      <c r="BH269" s="47" t="str">
        <f>INDEX(Table5[[#All],[Ovr]],MATCH(Table3[[#This Row],[PID]],Table5[[#All],[PID]],0))</f>
        <v/>
      </c>
      <c r="BI269" s="47" t="str">
        <f>INDEX(Table5[[#All],[Rnd]],MATCH(Table3[[#This Row],[PID]],Table5[[#All],[PID]],0))</f>
        <v/>
      </c>
      <c r="BJ269" s="47" t="str">
        <f>INDEX(Table5[[#All],[Pick]],MATCH(Table3[[#This Row],[PID]],Table5[[#All],[PID]],0))</f>
        <v/>
      </c>
      <c r="BK269" s="47" t="str">
        <f>INDEX(Table5[[#All],[Team]],MATCH(Table3[[#This Row],[PID]],Table5[[#All],[PID]],0))</f>
        <v/>
      </c>
      <c r="BL2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0" spans="1:64" ht="15" customHeight="1" x14ac:dyDescent="0.25">
      <c r="A270" s="42">
        <v>12113</v>
      </c>
      <c r="B270" s="42" t="s">
        <v>430</v>
      </c>
      <c r="C270" s="42" t="s">
        <v>181</v>
      </c>
      <c r="D270" s="42" t="s">
        <v>319</v>
      </c>
      <c r="E270" s="42">
        <v>21</v>
      </c>
      <c r="F270" s="42" t="s">
        <v>42</v>
      </c>
      <c r="G270" s="42" t="s">
        <v>42</v>
      </c>
      <c r="H270" s="43" t="s">
        <v>721</v>
      </c>
      <c r="I270" s="44" t="s">
        <v>43</v>
      </c>
      <c r="J270" s="42" t="s">
        <v>43</v>
      </c>
      <c r="K270" s="43" t="s">
        <v>43</v>
      </c>
      <c r="L270" s="42">
        <v>3</v>
      </c>
      <c r="M270" s="42">
        <v>2</v>
      </c>
      <c r="N270" s="43">
        <v>1</v>
      </c>
      <c r="O270" s="42">
        <v>5</v>
      </c>
      <c r="P270" s="42">
        <v>2</v>
      </c>
      <c r="Q270" s="43">
        <v>2</v>
      </c>
      <c r="R270" s="42">
        <v>5</v>
      </c>
      <c r="S270" s="42">
        <v>7</v>
      </c>
      <c r="T270" s="42" t="s">
        <v>45</v>
      </c>
      <c r="U270" s="42" t="s">
        <v>45</v>
      </c>
      <c r="V270" s="42">
        <v>2</v>
      </c>
      <c r="W270" s="42">
        <v>5</v>
      </c>
      <c r="X270" s="42">
        <v>3</v>
      </c>
      <c r="Y270" s="42">
        <v>6</v>
      </c>
      <c r="Z270" s="42" t="s">
        <v>45</v>
      </c>
      <c r="AA270" s="42" t="s">
        <v>45</v>
      </c>
      <c r="AB270" s="42" t="s">
        <v>45</v>
      </c>
      <c r="AC270" s="42" t="s">
        <v>45</v>
      </c>
      <c r="AD270" s="42" t="s">
        <v>45</v>
      </c>
      <c r="AE270" s="42" t="s">
        <v>45</v>
      </c>
      <c r="AF270" s="42" t="s">
        <v>45</v>
      </c>
      <c r="AG270" s="42" t="s">
        <v>45</v>
      </c>
      <c r="AH270" s="42" t="s">
        <v>45</v>
      </c>
      <c r="AI270" s="42" t="s">
        <v>45</v>
      </c>
      <c r="AJ270" s="42" t="s">
        <v>45</v>
      </c>
      <c r="AK270" s="42" t="s">
        <v>45</v>
      </c>
      <c r="AL270" s="42" t="s">
        <v>45</v>
      </c>
      <c r="AM270" s="42" t="s">
        <v>45</v>
      </c>
      <c r="AN270" s="42" t="s">
        <v>45</v>
      </c>
      <c r="AO270" s="43" t="s">
        <v>45</v>
      </c>
      <c r="AP270" s="42" t="s">
        <v>54</v>
      </c>
      <c r="AQ270" s="42">
        <v>10</v>
      </c>
      <c r="AR270" s="50" t="s">
        <v>353</v>
      </c>
      <c r="AS270" s="45" t="s">
        <v>45</v>
      </c>
      <c r="AT270" s="45" t="s">
        <v>47</v>
      </c>
      <c r="AU270" s="46">
        <f>($O$3*(L270-$O$1)/$O$2+$P$3*(M270-$P$1)/$P$2+$Q$3*(N270-$P$1)/$Q$2)/SUM($O$3:$Q$3)</f>
        <v>-2.1166698725191955</v>
      </c>
      <c r="AV270" s="46">
        <f>($O$3*(O270-$O$1)/$O$2+$P$3*(P270-$P$1)/$P$2+$Q$3*(Q270-$Q$1)/$Q$2)/SUM($O$3:$Q$3)</f>
        <v>-1.0394719067096667</v>
      </c>
      <c r="AW270" s="47">
        <f>COUNT(R270:AO270)/2</f>
        <v>3</v>
      </c>
      <c r="AX270" s="47">
        <f>IF(AND(S270&lt;&gt;"-",S270&gt;5),1,0)+IF(AND(U270&lt;&gt;"-",U270&gt;5),1,0)+IF(AND(W270&lt;&gt;"-",W270&gt;5),1,0)+IF(AND(Y270&lt;&gt;"-",Y270&gt;5),1,0)+IF(AND(AA270&lt;&gt;"-",AA270&gt;5),1,0)+IF(AND(AC270&lt;&gt;"-",AC270&gt;5),1,0)+IF(AND(AE270&lt;&gt;"-",AE270&gt;5),1,0)+IF(AND(AG270&lt;&gt;"-",AG270&gt;5),1,0)+IF(AND(AI270&lt;&gt;"-",AI270&gt;5),1,0)+IF(AND(AK270&lt;&gt;"-",AK270&gt;5),1,0)+IF(AND(AM270&lt;&gt;"-",AM270&gt;5),1,0)+IF(AND(AO270&lt;&gt;"-",AO270&gt;5),1,0)</f>
        <v>2</v>
      </c>
      <c r="AY270" s="48">
        <f>VLOOKUP(AP270,COND!$A$10:$B$32,2,FALSE)</f>
        <v>1.0249999999999999</v>
      </c>
      <c r="AZ270" s="46">
        <f>($AU$3*AU270+$AV$3*AV270+$AW$3*AW270+$AX$3*AX270)*AY270*IF(AQ270&lt;5,0.95,IF(AQ270&lt;7,0.975,1))+$I$3*VLOOKUP(I270,COND!$A$2:$E$7,4,FALSE)+$J$3*VLOOKUP(J270,COND!$A$2:$E$7,2,FALSE)+$K$3*VLOOKUP(K270,COND!$A$2:$E$7,3,FALSE)+IF(BB270="SP",$BB$3,0)+IF($AW270&lt;3,-5,0)+IF(AND($B$2&gt;0,$E270&lt;20),$B$2*25,0)</f>
        <v>29.356908588585398</v>
      </c>
      <c r="BA270" s="49">
        <f>STANDARDIZE(AZ270,AVERAGE($AZ$5:$AZ$570),STDEVP($AZ$5:$AZ$570))</f>
        <v>-0.30861626951928783</v>
      </c>
      <c r="BB270" s="47" t="str">
        <f>IF(OR(AND(AQ270&gt;7,AX270&gt;1),AND(AQ270&gt;4,AW270&gt;2)),"SP","RP")</f>
        <v>SP</v>
      </c>
      <c r="BC270" s="47"/>
      <c r="BD270" s="47"/>
      <c r="BE270" s="47"/>
      <c r="BF270" s="47" t="str">
        <f>IF(AVERAGE($O270:$Q270)&gt;=6,"Likely",IF(AVERAGE($O270:$Q270)&gt;=4,"Possible","Unlikely"))</f>
        <v>Unlikely</v>
      </c>
      <c r="BG270" s="47"/>
      <c r="BH270" s="47" t="str">
        <f>INDEX(Table5[[#All],[Ovr]],MATCH(Table3[[#This Row],[PID]],Table5[[#All],[PID]],0))</f>
        <v/>
      </c>
      <c r="BI270" s="47" t="str">
        <f>INDEX(Table5[[#All],[Rnd]],MATCH(Table3[[#This Row],[PID]],Table5[[#All],[PID]],0))</f>
        <v/>
      </c>
      <c r="BJ270" s="47" t="str">
        <f>INDEX(Table5[[#All],[Pick]],MATCH(Table3[[#This Row],[PID]],Table5[[#All],[PID]],0))</f>
        <v/>
      </c>
      <c r="BK270" s="47" t="str">
        <f>INDEX(Table5[[#All],[Team]],MATCH(Table3[[#This Row],[PID]],Table5[[#All],[PID]],0))</f>
        <v/>
      </c>
      <c r="BL2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1" spans="1:64" ht="15" customHeight="1" x14ac:dyDescent="0.25">
      <c r="A271" s="42">
        <v>7279</v>
      </c>
      <c r="B271" s="42" t="s">
        <v>24</v>
      </c>
      <c r="C271" s="42" t="s">
        <v>1505</v>
      </c>
      <c r="D271" s="42" t="s">
        <v>1161</v>
      </c>
      <c r="E271" s="42">
        <v>21</v>
      </c>
      <c r="F271" s="42" t="s">
        <v>42</v>
      </c>
      <c r="G271" s="42" t="s">
        <v>42</v>
      </c>
      <c r="H271" s="43" t="s">
        <v>721</v>
      </c>
      <c r="I271" s="44" t="s">
        <v>43</v>
      </c>
      <c r="J271" s="42" t="s">
        <v>43</v>
      </c>
      <c r="K271" s="43" t="s">
        <v>43</v>
      </c>
      <c r="L271" s="42">
        <v>3</v>
      </c>
      <c r="M271" s="42">
        <v>2</v>
      </c>
      <c r="N271" s="43">
        <v>1</v>
      </c>
      <c r="O271" s="42">
        <v>5</v>
      </c>
      <c r="P271" s="42">
        <v>2</v>
      </c>
      <c r="Q271" s="43">
        <v>2</v>
      </c>
      <c r="R271" s="42">
        <v>6</v>
      </c>
      <c r="S271" s="42">
        <v>8</v>
      </c>
      <c r="T271" s="42" t="s">
        <v>45</v>
      </c>
      <c r="U271" s="42" t="s">
        <v>45</v>
      </c>
      <c r="V271" s="42">
        <v>3</v>
      </c>
      <c r="W271" s="42">
        <v>6</v>
      </c>
      <c r="X271" s="42" t="s">
        <v>45</v>
      </c>
      <c r="Y271" s="42" t="s">
        <v>45</v>
      </c>
      <c r="Z271" s="42">
        <v>4</v>
      </c>
      <c r="AA271" s="42">
        <v>5</v>
      </c>
      <c r="AB271" s="42" t="s">
        <v>45</v>
      </c>
      <c r="AC271" s="42" t="s">
        <v>45</v>
      </c>
      <c r="AD271" s="42" t="s">
        <v>45</v>
      </c>
      <c r="AE271" s="42" t="s">
        <v>45</v>
      </c>
      <c r="AF271" s="42" t="s">
        <v>45</v>
      </c>
      <c r="AG271" s="42" t="s">
        <v>45</v>
      </c>
      <c r="AH271" s="42" t="s">
        <v>45</v>
      </c>
      <c r="AI271" s="42" t="s">
        <v>45</v>
      </c>
      <c r="AJ271" s="42" t="s">
        <v>45</v>
      </c>
      <c r="AK271" s="42" t="s">
        <v>45</v>
      </c>
      <c r="AL271" s="42" t="s">
        <v>45</v>
      </c>
      <c r="AM271" s="42" t="s">
        <v>45</v>
      </c>
      <c r="AN271" s="42" t="s">
        <v>45</v>
      </c>
      <c r="AO271" s="43" t="s">
        <v>45</v>
      </c>
      <c r="AP271" s="42" t="s">
        <v>54</v>
      </c>
      <c r="AQ271" s="42">
        <v>7</v>
      </c>
      <c r="AR271" s="50" t="s">
        <v>353</v>
      </c>
      <c r="AS271" s="45" t="s">
        <v>45</v>
      </c>
      <c r="AT271" s="45" t="s">
        <v>705</v>
      </c>
      <c r="AU271" s="46">
        <f>($O$3*(L271-$O$1)/$O$2+$P$3*(M271-$P$1)/$P$2+$Q$3*(N271-$P$1)/$Q$2)/SUM($O$3:$Q$3)</f>
        <v>-2.1166698725191955</v>
      </c>
      <c r="AV271" s="46">
        <f>($O$3*(O271-$O$1)/$O$2+$P$3*(P271-$P$1)/$P$2+$Q$3*(Q271-$Q$1)/$Q$2)/SUM($O$3:$Q$3)</f>
        <v>-1.0394719067096667</v>
      </c>
      <c r="AW271" s="47">
        <f>COUNT(R271:AO271)/2</f>
        <v>3</v>
      </c>
      <c r="AX271" s="47">
        <f>IF(AND(S271&lt;&gt;"-",S271&gt;5),1,0)+IF(AND(U271&lt;&gt;"-",U271&gt;5),1,0)+IF(AND(W271&lt;&gt;"-",W271&gt;5),1,0)+IF(AND(Y271&lt;&gt;"-",Y271&gt;5),1,0)+IF(AND(AA271&lt;&gt;"-",AA271&gt;5),1,0)+IF(AND(AC271&lt;&gt;"-",AC271&gt;5),1,0)+IF(AND(AE271&lt;&gt;"-",AE271&gt;5),1,0)+IF(AND(AG271&lt;&gt;"-",AG271&gt;5),1,0)+IF(AND(AI271&lt;&gt;"-",AI271&gt;5),1,0)+IF(AND(AK271&lt;&gt;"-",AK271&gt;5),1,0)+IF(AND(AM271&lt;&gt;"-",AM271&gt;5),1,0)+IF(AND(AO271&lt;&gt;"-",AO271&gt;5),1,0)</f>
        <v>2</v>
      </c>
      <c r="AY271" s="48">
        <f>VLOOKUP(AP271,COND!$A$10:$B$32,2,FALSE)</f>
        <v>1.0249999999999999</v>
      </c>
      <c r="AZ271" s="46">
        <f>($AU$3*AU271+$AV$3*AV271+$AW$3*AW271+$AX$3*AX271)*AY271*IF(AQ271&lt;5,0.95,IF(AQ271&lt;7,0.975,1))+$I$3*VLOOKUP(I271,COND!$A$2:$E$7,4,FALSE)+$J$3*VLOOKUP(J271,COND!$A$2:$E$7,2,FALSE)+$K$3*VLOOKUP(K271,COND!$A$2:$E$7,3,FALSE)+IF(BB271="SP",$BB$3,0)+IF($AW271&lt;3,-5,0)+IF(AND($B$2&gt;0,$E271&lt;20),$B$2*25,0)</f>
        <v>29.356908588585398</v>
      </c>
      <c r="BA271" s="49">
        <f>STANDARDIZE(AZ271,AVERAGE($AZ$5:$AZ$570),STDEVP($AZ$5:$AZ$570))</f>
        <v>-0.30861626951928783</v>
      </c>
      <c r="BB271" s="47" t="str">
        <f>IF(OR(AND(AQ271&gt;7,AX271&gt;1),AND(AQ271&gt;4,AW271&gt;2)),"SP","RP")</f>
        <v>SP</v>
      </c>
      <c r="BC271" s="47"/>
      <c r="BD271" s="47"/>
      <c r="BE271" s="47"/>
      <c r="BF271" s="47" t="str">
        <f>IF(AVERAGE($O271:$Q271)&gt;=6,"Likely",IF(AVERAGE($O271:$Q271)&gt;=4,"Possible","Unlikely"))</f>
        <v>Unlikely</v>
      </c>
      <c r="BG271" s="47"/>
      <c r="BH271" s="47" t="str">
        <f>INDEX(Table5[[#All],[Ovr]],MATCH(Table3[[#This Row],[PID]],Table5[[#All],[PID]],0))</f>
        <v/>
      </c>
      <c r="BI271" s="47" t="str">
        <f>INDEX(Table5[[#All],[Rnd]],MATCH(Table3[[#This Row],[PID]],Table5[[#All],[PID]],0))</f>
        <v/>
      </c>
      <c r="BJ271" s="47" t="str">
        <f>INDEX(Table5[[#All],[Pick]],MATCH(Table3[[#This Row],[PID]],Table5[[#All],[PID]],0))</f>
        <v/>
      </c>
      <c r="BK271" s="47" t="str">
        <f>INDEX(Table5[[#All],[Team]],MATCH(Table3[[#This Row],[PID]],Table5[[#All],[PID]],0))</f>
        <v/>
      </c>
      <c r="BL2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2" spans="1:64" ht="15" customHeight="1" x14ac:dyDescent="0.25">
      <c r="A272" s="42">
        <v>6686</v>
      </c>
      <c r="B272" s="42" t="s">
        <v>430</v>
      </c>
      <c r="C272" s="42" t="s">
        <v>798</v>
      </c>
      <c r="D272" s="42" t="s">
        <v>297</v>
      </c>
      <c r="E272" s="42">
        <v>18</v>
      </c>
      <c r="F272" s="42" t="s">
        <v>42</v>
      </c>
      <c r="G272" s="42" t="s">
        <v>42</v>
      </c>
      <c r="H272" s="43" t="s">
        <v>721</v>
      </c>
      <c r="I272" s="44" t="s">
        <v>43</v>
      </c>
      <c r="J272" s="42" t="s">
        <v>43</v>
      </c>
      <c r="K272" s="43" t="s">
        <v>43</v>
      </c>
      <c r="L272" s="42">
        <v>2</v>
      </c>
      <c r="M272" s="42">
        <v>2</v>
      </c>
      <c r="N272" s="43">
        <v>1</v>
      </c>
      <c r="O272" s="42">
        <v>4</v>
      </c>
      <c r="P272" s="42">
        <v>2</v>
      </c>
      <c r="Q272" s="43">
        <v>2</v>
      </c>
      <c r="R272" s="42">
        <v>3</v>
      </c>
      <c r="S272" s="42">
        <v>5</v>
      </c>
      <c r="T272" s="42">
        <v>1</v>
      </c>
      <c r="U272" s="42">
        <v>1</v>
      </c>
      <c r="V272" s="42" t="s">
        <v>45</v>
      </c>
      <c r="W272" s="42" t="s">
        <v>45</v>
      </c>
      <c r="X272" s="42">
        <v>2</v>
      </c>
      <c r="Y272" s="42">
        <v>5</v>
      </c>
      <c r="Z272" s="42" t="s">
        <v>45</v>
      </c>
      <c r="AA272" s="42" t="s">
        <v>45</v>
      </c>
      <c r="AB272" s="42" t="s">
        <v>45</v>
      </c>
      <c r="AC272" s="42" t="s">
        <v>45</v>
      </c>
      <c r="AD272" s="42">
        <v>3</v>
      </c>
      <c r="AE272" s="42">
        <v>4</v>
      </c>
      <c r="AF272" s="42">
        <v>3</v>
      </c>
      <c r="AG272" s="42">
        <v>4</v>
      </c>
      <c r="AH272" s="42" t="s">
        <v>45</v>
      </c>
      <c r="AI272" s="42" t="s">
        <v>45</v>
      </c>
      <c r="AJ272" s="42" t="s">
        <v>45</v>
      </c>
      <c r="AK272" s="42" t="s">
        <v>45</v>
      </c>
      <c r="AL272" s="42" t="s">
        <v>45</v>
      </c>
      <c r="AM272" s="42" t="s">
        <v>45</v>
      </c>
      <c r="AN272" s="42" t="s">
        <v>45</v>
      </c>
      <c r="AO272" s="43" t="s">
        <v>45</v>
      </c>
      <c r="AP272" s="42" t="s">
        <v>355</v>
      </c>
      <c r="AQ272" s="42">
        <v>9</v>
      </c>
      <c r="AR272" s="50" t="s">
        <v>353</v>
      </c>
      <c r="AS272" s="45" t="s">
        <v>718</v>
      </c>
      <c r="AT272" s="45" t="s">
        <v>47</v>
      </c>
      <c r="AU272" s="46">
        <f>($O$3*(L272-$O$1)/$O$2+$P$3*(M272-$P$1)/$P$2+$Q$3*(N272-$P$1)/$Q$2)/SUM($O$3:$Q$3)</f>
        <v>-2.311361197028369</v>
      </c>
      <c r="AV272" s="46">
        <f>($O$3*(O272-$O$1)/$O$2+$P$3*(P272-$P$1)/$P$2+$Q$3*(Q272-$Q$1)/$Q$2)/SUM($O$3:$Q$3)</f>
        <v>-1.23416323121884</v>
      </c>
      <c r="AW272" s="47">
        <f>COUNT(R272:AO272)/2</f>
        <v>5</v>
      </c>
      <c r="AX272" s="47">
        <f>IF(AND(S272&lt;&gt;"-",S272&gt;5),1,0)+IF(AND(U272&lt;&gt;"-",U272&gt;5),1,0)+IF(AND(W272&lt;&gt;"-",W272&gt;5),1,0)+IF(AND(Y272&lt;&gt;"-",Y272&gt;5),1,0)+IF(AND(AA272&lt;&gt;"-",AA272&gt;5),1,0)+IF(AND(AC272&lt;&gt;"-",AC272&gt;5),1,0)+IF(AND(AE272&lt;&gt;"-",AE272&gt;5),1,0)+IF(AND(AG272&lt;&gt;"-",AG272&gt;5),1,0)+IF(AND(AI272&lt;&gt;"-",AI272&gt;5),1,0)+IF(AND(AK272&lt;&gt;"-",AK272&gt;5),1,0)+IF(AND(AM272&lt;&gt;"-",AM272&gt;5),1,0)+IF(AND(AO272&lt;&gt;"-",AO272&gt;5),1,0)</f>
        <v>0</v>
      </c>
      <c r="AY272" s="48">
        <f>VLOOKUP(AP272,COND!$A$10:$B$32,2,FALSE)</f>
        <v>1</v>
      </c>
      <c r="AZ272" s="46">
        <f>($AU$3*AU272+$AV$3*AV272+$AW$3*AW272+$AX$3*AX272)*AY272*IF(AQ272&lt;5,0.95,IF(AQ272&lt;7,0.975,1))+$I$3*VLOOKUP(I272,COND!$A$2:$E$7,4,FALSE)+$J$3*VLOOKUP(J272,COND!$A$2:$E$7,2,FALSE)+$K$3*VLOOKUP(K272,COND!$A$2:$E$7,3,FALSE)+IF(BB272="SP",$BB$3,0)+IF($AW272&lt;3,-5,0)+IF(AND($B$2&gt;0,$E272&lt;20),$B$2*25,0)</f>
        <v>29.354463136217525</v>
      </c>
      <c r="BA272" s="49">
        <f>STANDARDIZE(AZ272,AVERAGE($AZ$5:$AZ$570),STDEVP($AZ$5:$AZ$570))</f>
        <v>-0.30884052795350486</v>
      </c>
      <c r="BB272" s="47" t="str">
        <f>IF(OR(AND(AQ272&gt;7,AX272&gt;1),AND(AQ272&gt;4,AW272&gt;2)),"SP","RP")</f>
        <v>SP</v>
      </c>
      <c r="BC272" s="47"/>
      <c r="BD272" s="47"/>
      <c r="BE272" s="47"/>
      <c r="BF272" s="47" t="str">
        <f>IF(AVERAGE($O272:$Q272)&gt;=6,"Likely",IF(AVERAGE($O272:$Q272)&gt;=4,"Possible","Unlikely"))</f>
        <v>Unlikely</v>
      </c>
      <c r="BG272" s="47"/>
      <c r="BH272" s="47" t="str">
        <f>INDEX(Table5[[#All],[Ovr]],MATCH(Table3[[#This Row],[PID]],Table5[[#All],[PID]],0))</f>
        <v/>
      </c>
      <c r="BI272" s="47" t="str">
        <f>INDEX(Table5[[#All],[Rnd]],MATCH(Table3[[#This Row],[PID]],Table5[[#All],[PID]],0))</f>
        <v/>
      </c>
      <c r="BJ272" s="47" t="str">
        <f>INDEX(Table5[[#All],[Pick]],MATCH(Table3[[#This Row],[PID]],Table5[[#All],[PID]],0))</f>
        <v/>
      </c>
      <c r="BK272" s="47" t="str">
        <f>INDEX(Table5[[#All],[Team]],MATCH(Table3[[#This Row],[PID]],Table5[[#All],[PID]],0))</f>
        <v/>
      </c>
      <c r="BL2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3" spans="1:64" ht="15" customHeight="1" x14ac:dyDescent="0.25">
      <c r="A273" s="42">
        <v>17902</v>
      </c>
      <c r="B273" s="42" t="s">
        <v>430</v>
      </c>
      <c r="C273" s="42" t="s">
        <v>738</v>
      </c>
      <c r="D273" s="42" t="s">
        <v>1760</v>
      </c>
      <c r="E273" s="42">
        <v>18</v>
      </c>
      <c r="F273" s="42" t="s">
        <v>53</v>
      </c>
      <c r="G273" s="42" t="s">
        <v>53</v>
      </c>
      <c r="H273" s="43" t="s">
        <v>721</v>
      </c>
      <c r="I273" s="44" t="s">
        <v>43</v>
      </c>
      <c r="J273" s="42" t="s">
        <v>47</v>
      </c>
      <c r="K273" s="43" t="s">
        <v>43</v>
      </c>
      <c r="L273" s="42">
        <v>1</v>
      </c>
      <c r="M273" s="42">
        <v>2</v>
      </c>
      <c r="N273" s="43">
        <v>1</v>
      </c>
      <c r="O273" s="42">
        <v>3</v>
      </c>
      <c r="P273" s="42">
        <v>2</v>
      </c>
      <c r="Q273" s="43">
        <v>2</v>
      </c>
      <c r="R273" s="42">
        <v>2</v>
      </c>
      <c r="S273" s="42">
        <v>4</v>
      </c>
      <c r="T273" s="42">
        <v>1</v>
      </c>
      <c r="U273" s="42">
        <v>1</v>
      </c>
      <c r="V273" s="42" t="s">
        <v>45</v>
      </c>
      <c r="W273" s="42" t="s">
        <v>45</v>
      </c>
      <c r="X273" s="42">
        <v>2</v>
      </c>
      <c r="Y273" s="42">
        <v>7</v>
      </c>
      <c r="Z273" s="42" t="s">
        <v>45</v>
      </c>
      <c r="AA273" s="42" t="s">
        <v>45</v>
      </c>
      <c r="AB273" s="42" t="s">
        <v>45</v>
      </c>
      <c r="AC273" s="42" t="s">
        <v>45</v>
      </c>
      <c r="AD273" s="42" t="s">
        <v>45</v>
      </c>
      <c r="AE273" s="42" t="s">
        <v>45</v>
      </c>
      <c r="AF273" s="42" t="s">
        <v>45</v>
      </c>
      <c r="AG273" s="42" t="s">
        <v>45</v>
      </c>
      <c r="AH273" s="42" t="s">
        <v>45</v>
      </c>
      <c r="AI273" s="42" t="s">
        <v>45</v>
      </c>
      <c r="AJ273" s="42" t="s">
        <v>45</v>
      </c>
      <c r="AK273" s="42" t="s">
        <v>45</v>
      </c>
      <c r="AL273" s="42" t="s">
        <v>45</v>
      </c>
      <c r="AM273" s="42" t="s">
        <v>45</v>
      </c>
      <c r="AN273" s="42" t="s">
        <v>45</v>
      </c>
      <c r="AO273" s="43" t="s">
        <v>45</v>
      </c>
      <c r="AP273" s="42" t="s">
        <v>70</v>
      </c>
      <c r="AQ273" s="42">
        <v>8</v>
      </c>
      <c r="AR273" s="50" t="s">
        <v>353</v>
      </c>
      <c r="AS273" s="45" t="s">
        <v>718</v>
      </c>
      <c r="AT273" s="45" t="s">
        <v>47</v>
      </c>
      <c r="AU273" s="46">
        <f>($O$3*(L273-$O$1)/$O$2+$P$3*(M273-$P$1)/$P$2+$Q$3*(N273-$P$1)/$Q$2)/SUM($O$3:$Q$3)</f>
        <v>-2.5060525215375429</v>
      </c>
      <c r="AV273" s="46">
        <f>($O$3*(O273-$O$1)/$O$2+$P$3*(P273-$P$1)/$P$2+$Q$3*(Q273-$Q$1)/$Q$2)/SUM($O$3:$Q$3)</f>
        <v>-1.4288545557280135</v>
      </c>
      <c r="AW273" s="47">
        <f>COUNT(R273:AO273)/2</f>
        <v>3</v>
      </c>
      <c r="AX273" s="47">
        <f>IF(AND(S273&lt;&gt;"-",S273&gt;5),1,0)+IF(AND(U273&lt;&gt;"-",U273&gt;5),1,0)+IF(AND(W273&lt;&gt;"-",W273&gt;5),1,0)+IF(AND(Y273&lt;&gt;"-",Y273&gt;5),1,0)+IF(AND(AA273&lt;&gt;"-",AA273&gt;5),1,0)+IF(AND(AC273&lt;&gt;"-",AC273&gt;5),1,0)+IF(AND(AE273&lt;&gt;"-",AE273&gt;5),1,0)+IF(AND(AG273&lt;&gt;"-",AG273&gt;5),1,0)+IF(AND(AI273&lt;&gt;"-",AI273&gt;5),1,0)+IF(AND(AK273&lt;&gt;"-",AK273&gt;5),1,0)+IF(AND(AM273&lt;&gt;"-",AM273&gt;5),1,0)+IF(AND(AO273&lt;&gt;"-",AO273&gt;5),1,0)</f>
        <v>1</v>
      </c>
      <c r="AY273" s="48">
        <f>VLOOKUP(AP273,COND!$A$10:$B$32,2,FALSE)</f>
        <v>0.9</v>
      </c>
      <c r="AZ273" s="46">
        <f>($AU$3*AU273+$AV$3*AV273+$AW$3*AW273+$AX$3*AX273)*AY273*IF(AQ273&lt;5,0.95,IF(AQ273&lt;7,0.975,1))+$I$3*VLOOKUP(I273,COND!$A$2:$E$7,4,FALSE)+$J$3*VLOOKUP(J273,COND!$A$2:$E$7,2,FALSE)+$K$3*VLOOKUP(K273,COND!$A$2:$E$7,3,FALSE)+IF(BB273="SP",$BB$3,0)+IF($AW273&lt;3,-5,0)+IF(AND($B$2&gt;0,$E273&lt;20),$B$2*25,0)</f>
        <v>28.604528543019001</v>
      </c>
      <c r="BA273" s="49">
        <f>STANDARDIZE(AZ273,AVERAGE($AZ$5:$AZ$570),STDEVP($AZ$5:$AZ$570))</f>
        <v>-0.37761273543762669</v>
      </c>
      <c r="BB273" s="47" t="str">
        <f>IF(OR(AND(AQ273&gt;7,AX273&gt;1),AND(AQ273&gt;4,AW273&gt;2)),"SP","RP")</f>
        <v>SP</v>
      </c>
      <c r="BC273" s="47"/>
      <c r="BD273" s="47"/>
      <c r="BE273" s="47"/>
      <c r="BF273" s="47" t="str">
        <f>IF(AVERAGE($O273:$Q273)&gt;=6,"Likely",IF(AVERAGE($O273:$Q273)&gt;=4,"Possible","Unlikely"))</f>
        <v>Unlikely</v>
      </c>
      <c r="BG273" s="47"/>
      <c r="BH273" s="47" t="str">
        <f>INDEX(Table5[[#All],[Ovr]],MATCH(Table3[[#This Row],[PID]],Table5[[#All],[PID]],0))</f>
        <v/>
      </c>
      <c r="BI273" s="47" t="str">
        <f>INDEX(Table5[[#All],[Rnd]],MATCH(Table3[[#This Row],[PID]],Table5[[#All],[PID]],0))</f>
        <v/>
      </c>
      <c r="BJ273" s="47" t="str">
        <f>INDEX(Table5[[#All],[Pick]],MATCH(Table3[[#This Row],[PID]],Table5[[#All],[PID]],0))</f>
        <v/>
      </c>
      <c r="BK273" s="47" t="str">
        <f>INDEX(Table5[[#All],[Team]],MATCH(Table3[[#This Row],[PID]],Table5[[#All],[PID]],0))</f>
        <v/>
      </c>
      <c r="BL2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4" spans="1:64" ht="15" customHeight="1" x14ac:dyDescent="0.25">
      <c r="A274" s="42">
        <v>6810</v>
      </c>
      <c r="B274" s="42" t="s">
        <v>49</v>
      </c>
      <c r="C274" s="42" t="s">
        <v>650</v>
      </c>
      <c r="D274" s="42" t="s">
        <v>1385</v>
      </c>
      <c r="E274" s="42">
        <v>21</v>
      </c>
      <c r="F274" s="42" t="s">
        <v>53</v>
      </c>
      <c r="G274" s="42" t="s">
        <v>53</v>
      </c>
      <c r="H274" s="43" t="s">
        <v>721</v>
      </c>
      <c r="I274" s="44" t="s">
        <v>43</v>
      </c>
      <c r="J274" s="42" t="s">
        <v>44</v>
      </c>
      <c r="K274" s="43" t="s">
        <v>43</v>
      </c>
      <c r="L274" s="42">
        <v>4</v>
      </c>
      <c r="M274" s="42">
        <v>2</v>
      </c>
      <c r="N274" s="43">
        <v>2</v>
      </c>
      <c r="O274" s="42">
        <v>5</v>
      </c>
      <c r="P274" s="42">
        <v>2</v>
      </c>
      <c r="Q274" s="43">
        <v>2</v>
      </c>
      <c r="R274" s="42">
        <v>5</v>
      </c>
      <c r="S274" s="42">
        <v>6</v>
      </c>
      <c r="T274" s="42">
        <v>3</v>
      </c>
      <c r="U274" s="42">
        <v>4</v>
      </c>
      <c r="V274" s="42" t="s">
        <v>45</v>
      </c>
      <c r="W274" s="42" t="s">
        <v>45</v>
      </c>
      <c r="X274" s="42" t="s">
        <v>45</v>
      </c>
      <c r="Y274" s="42" t="s">
        <v>45</v>
      </c>
      <c r="Z274" s="42">
        <v>5</v>
      </c>
      <c r="AA274" s="42">
        <v>6</v>
      </c>
      <c r="AB274" s="42" t="s">
        <v>45</v>
      </c>
      <c r="AC274" s="42" t="s">
        <v>45</v>
      </c>
      <c r="AD274" s="42" t="s">
        <v>45</v>
      </c>
      <c r="AE274" s="42" t="s">
        <v>45</v>
      </c>
      <c r="AF274" s="42" t="s">
        <v>45</v>
      </c>
      <c r="AG274" s="42" t="s">
        <v>45</v>
      </c>
      <c r="AH274" s="42" t="s">
        <v>45</v>
      </c>
      <c r="AI274" s="42" t="s">
        <v>45</v>
      </c>
      <c r="AJ274" s="42" t="s">
        <v>45</v>
      </c>
      <c r="AK274" s="42" t="s">
        <v>45</v>
      </c>
      <c r="AL274" s="42" t="s">
        <v>45</v>
      </c>
      <c r="AM274" s="42" t="s">
        <v>45</v>
      </c>
      <c r="AN274" s="42" t="s">
        <v>45</v>
      </c>
      <c r="AO274" s="43" t="s">
        <v>45</v>
      </c>
      <c r="AP274" s="42" t="s">
        <v>56</v>
      </c>
      <c r="AQ274" s="42">
        <v>5</v>
      </c>
      <c r="AR274" s="50" t="s">
        <v>353</v>
      </c>
      <c r="AS274" s="45" t="s">
        <v>45</v>
      </c>
      <c r="AT274" s="45" t="s">
        <v>47</v>
      </c>
      <c r="AU274" s="46">
        <f>($O$3*(L274-$O$1)/$O$2+$P$3*(M274-$P$1)/$P$2+$Q$3*(N274-$P$1)/$Q$2)/SUM($O$3:$Q$3)</f>
        <v>-1.6796579819559116</v>
      </c>
      <c r="AV274" s="46">
        <f>($O$3*(O274-$O$1)/$O$2+$P$3*(P274-$P$1)/$P$2+$Q$3*(Q274-$Q$1)/$Q$2)/SUM($O$3:$Q$3)</f>
        <v>-1.0394719067096667</v>
      </c>
      <c r="AW274" s="47">
        <f>COUNT(R274:AO274)/2</f>
        <v>3</v>
      </c>
      <c r="AX274" s="47">
        <f>IF(AND(S274&lt;&gt;"-",S274&gt;5),1,0)+IF(AND(U274&lt;&gt;"-",U274&gt;5),1,0)+IF(AND(W274&lt;&gt;"-",W274&gt;5),1,0)+IF(AND(Y274&lt;&gt;"-",Y274&gt;5),1,0)+IF(AND(AA274&lt;&gt;"-",AA274&gt;5),1,0)+IF(AND(AC274&lt;&gt;"-",AC274&gt;5),1,0)+IF(AND(AE274&lt;&gt;"-",AE274&gt;5),1,0)+IF(AND(AG274&lt;&gt;"-",AG274&gt;5),1,0)+IF(AND(AI274&lt;&gt;"-",AI274&gt;5),1,0)+IF(AND(AK274&lt;&gt;"-",AK274&gt;5),1,0)+IF(AND(AM274&lt;&gt;"-",AM274&gt;5),1,0)+IF(AND(AO274&lt;&gt;"-",AO274&gt;5),1,0)</f>
        <v>2</v>
      </c>
      <c r="AY274" s="48">
        <f>VLOOKUP(AP274,COND!$A$10:$B$32,2,FALSE)</f>
        <v>1</v>
      </c>
      <c r="AZ274" s="46">
        <f>($AU$3*AU274+$AV$3*AV274+$AW$3*AW274+$AX$3*AX274)*AY274*IF(AQ274&lt;5,0.95,IF(AQ274&lt;7,0.975,1))+$I$3*VLOOKUP(I274,COND!$A$2:$E$7,4,FALSE)+$J$3*VLOOKUP(J274,COND!$A$2:$E$7,2,FALSE)+$K$3*VLOOKUP(K274,COND!$A$2:$E$7,3,FALSE)+IF(BB274="SP",$BB$3,0)+IF($AW274&lt;3,-5,0)+IF(AND($B$2&gt;0,$E274&lt;20),$B$2*25,0)</f>
        <v>30.002764512680095</v>
      </c>
      <c r="BA274" s="49">
        <f>STANDARDIZE(AZ274,AVERAGE($AZ$5:$AZ$570),STDEVP($AZ$5:$AZ$570))</f>
        <v>-0.24938852083356805</v>
      </c>
      <c r="BB274" s="47" t="str">
        <f>IF(OR(AND(AQ274&gt;7,AX274&gt;1),AND(AQ274&gt;4,AW274&gt;2)),"SP","RP")</f>
        <v>SP</v>
      </c>
      <c r="BC274" s="47"/>
      <c r="BD274" s="47"/>
      <c r="BE274" s="47"/>
      <c r="BF274" s="47" t="str">
        <f>IF(AVERAGE($O274:$Q274)&gt;=6,"Likely",IF(AVERAGE($O274:$Q274)&gt;=4,"Possible","Unlikely"))</f>
        <v>Unlikely</v>
      </c>
      <c r="BG274" s="47"/>
      <c r="BH274" s="47" t="str">
        <f>INDEX(Table5[[#All],[Ovr]],MATCH(Table3[[#This Row],[PID]],Table5[[#All],[PID]],0))</f>
        <v/>
      </c>
      <c r="BI274" s="47" t="str">
        <f>INDEX(Table5[[#All],[Rnd]],MATCH(Table3[[#This Row],[PID]],Table5[[#All],[PID]],0))</f>
        <v/>
      </c>
      <c r="BJ274" s="47" t="str">
        <f>INDEX(Table5[[#All],[Pick]],MATCH(Table3[[#This Row],[PID]],Table5[[#All],[PID]],0))</f>
        <v/>
      </c>
      <c r="BK274" s="47" t="str">
        <f>INDEX(Table5[[#All],[Team]],MATCH(Table3[[#This Row],[PID]],Table5[[#All],[PID]],0))</f>
        <v/>
      </c>
      <c r="BL2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5" spans="1:64" ht="15" customHeight="1" x14ac:dyDescent="0.25">
      <c r="A275" s="42">
        <v>13316</v>
      </c>
      <c r="B275" s="42" t="s">
        <v>430</v>
      </c>
      <c r="C275" s="42" t="s">
        <v>161</v>
      </c>
      <c r="D275" s="42" t="s">
        <v>384</v>
      </c>
      <c r="E275" s="42">
        <v>22</v>
      </c>
      <c r="F275" s="42" t="s">
        <v>42</v>
      </c>
      <c r="G275" s="42" t="s">
        <v>42</v>
      </c>
      <c r="H275" s="43" t="s">
        <v>721</v>
      </c>
      <c r="I275" s="44" t="s">
        <v>43</v>
      </c>
      <c r="J275" s="42" t="s">
        <v>43</v>
      </c>
      <c r="K275" s="43" t="s">
        <v>43</v>
      </c>
      <c r="L275" s="42">
        <v>3</v>
      </c>
      <c r="M275" s="42">
        <v>2</v>
      </c>
      <c r="N275" s="43">
        <v>3</v>
      </c>
      <c r="O275" s="42">
        <v>4</v>
      </c>
      <c r="P275" s="42">
        <v>2</v>
      </c>
      <c r="Q275" s="43">
        <v>3</v>
      </c>
      <c r="R275" s="42">
        <v>4</v>
      </c>
      <c r="S275" s="42">
        <v>5</v>
      </c>
      <c r="T275" s="42">
        <v>2</v>
      </c>
      <c r="U275" s="42">
        <v>3</v>
      </c>
      <c r="V275" s="42" t="s">
        <v>45</v>
      </c>
      <c r="W275" s="42" t="s">
        <v>45</v>
      </c>
      <c r="X275" s="42">
        <v>3</v>
      </c>
      <c r="Y275" s="42">
        <v>5</v>
      </c>
      <c r="Z275" s="42" t="s">
        <v>45</v>
      </c>
      <c r="AA275" s="42" t="s">
        <v>45</v>
      </c>
      <c r="AB275" s="42">
        <v>3</v>
      </c>
      <c r="AC275" s="42">
        <v>4</v>
      </c>
      <c r="AD275" s="42" t="s">
        <v>45</v>
      </c>
      <c r="AE275" s="42" t="s">
        <v>45</v>
      </c>
      <c r="AF275" s="42" t="s">
        <v>45</v>
      </c>
      <c r="AG275" s="42" t="s">
        <v>45</v>
      </c>
      <c r="AH275" s="42" t="s">
        <v>45</v>
      </c>
      <c r="AI275" s="42" t="s">
        <v>45</v>
      </c>
      <c r="AJ275" s="42" t="s">
        <v>45</v>
      </c>
      <c r="AK275" s="42" t="s">
        <v>45</v>
      </c>
      <c r="AL275" s="42" t="s">
        <v>45</v>
      </c>
      <c r="AM275" s="42" t="s">
        <v>45</v>
      </c>
      <c r="AN275" s="42" t="s">
        <v>45</v>
      </c>
      <c r="AO275" s="43" t="s">
        <v>45</v>
      </c>
      <c r="AP275" s="42" t="s">
        <v>356</v>
      </c>
      <c r="AQ275" s="42">
        <v>6</v>
      </c>
      <c r="AR275" s="50" t="s">
        <v>353</v>
      </c>
      <c r="AS275" s="45" t="s">
        <v>45</v>
      </c>
      <c r="AT275" s="45" t="s">
        <v>705</v>
      </c>
      <c r="AU275" s="46">
        <f>($O$3*(L275-$O$1)/$O$2+$P$3*(M275-$P$1)/$P$2+$Q$3*(N275-$P$1)/$Q$2)/SUM($O$3:$Q$3)</f>
        <v>-1.6320287404109748</v>
      </c>
      <c r="AV275" s="46">
        <f>($O$3*(O275-$O$1)/$O$2+$P$3*(P275-$P$1)/$P$2+$Q$3*(Q275-$Q$1)/$Q$2)/SUM($O$3:$Q$3)</f>
        <v>-0.99184266516472974</v>
      </c>
      <c r="AW275" s="47">
        <f>COUNT(R275:AO275)/2</f>
        <v>4</v>
      </c>
      <c r="AX275" s="47">
        <f>IF(AND(S275&lt;&gt;"-",S275&gt;5),1,0)+IF(AND(U275&lt;&gt;"-",U275&gt;5),1,0)+IF(AND(W275&lt;&gt;"-",W275&gt;5),1,0)+IF(AND(Y275&lt;&gt;"-",Y275&gt;5),1,0)+IF(AND(AA275&lt;&gt;"-",AA275&gt;5),1,0)+IF(AND(AC275&lt;&gt;"-",AC275&gt;5),1,0)+IF(AND(AE275&lt;&gt;"-",AE275&gt;5),1,0)+IF(AND(AG275&lt;&gt;"-",AG275&gt;5),1,0)+IF(AND(AI275&lt;&gt;"-",AI275&gt;5),1,0)+IF(AND(AK275&lt;&gt;"-",AK275&gt;5),1,0)+IF(AND(AM275&lt;&gt;"-",AM275&gt;5),1,0)+IF(AND(AO275&lt;&gt;"-",AO275&gt;5),1,0)</f>
        <v>0</v>
      </c>
      <c r="AY275" s="48">
        <f>VLOOKUP(AP275,COND!$A$10:$B$32,2,FALSE)</f>
        <v>1</v>
      </c>
      <c r="AZ275" s="46">
        <f>($AU$3*AU275+$AV$3*AV275+$AW$3*AW275+$AX$3*AX275)*AY275*IF(AQ275&lt;5,0.95,IF(AQ275&lt;7,0.975,1))+$I$3*VLOOKUP(I275,COND!$A$2:$E$7,4,FALSE)+$J$3*VLOOKUP(J275,COND!$A$2:$E$7,2,FALSE)+$K$3*VLOOKUP(K275,COND!$A$2:$E$7,3,FALSE)+IF(BB275="SP",$BB$3,0)+IF($AW275&lt;3,-5,0)+IF(AND($B$2&gt;0,$E275&lt;20),$B$2*25,0)</f>
        <v>29.290822424907628</v>
      </c>
      <c r="BA275" s="49">
        <f>STANDARDIZE(AZ275,AVERAGE($AZ$5:$AZ$570),STDEVP($AZ$5:$AZ$570))</f>
        <v>-0.31467665318673937</v>
      </c>
      <c r="BB275" s="47" t="str">
        <f>IF(OR(AND(AQ275&gt;7,AX275&gt;1),AND(AQ275&gt;4,AW275&gt;2)),"SP","RP")</f>
        <v>SP</v>
      </c>
      <c r="BC275" s="47"/>
      <c r="BD275" s="47"/>
      <c r="BE275" s="47"/>
      <c r="BF275" s="47" t="str">
        <f>IF(AVERAGE($O275:$Q275)&gt;=6,"Likely",IF(AVERAGE($O275:$Q275)&gt;=4,"Possible","Unlikely"))</f>
        <v>Unlikely</v>
      </c>
      <c r="BG275" s="47"/>
      <c r="BH275" s="47" t="str">
        <f>INDEX(Table5[[#All],[Ovr]],MATCH(Table3[[#This Row],[PID]],Table5[[#All],[PID]],0))</f>
        <v/>
      </c>
      <c r="BI275" s="47" t="str">
        <f>INDEX(Table5[[#All],[Rnd]],MATCH(Table3[[#This Row],[PID]],Table5[[#All],[PID]],0))</f>
        <v/>
      </c>
      <c r="BJ275" s="47" t="str">
        <f>INDEX(Table5[[#All],[Pick]],MATCH(Table3[[#This Row],[PID]],Table5[[#All],[PID]],0))</f>
        <v/>
      </c>
      <c r="BK275" s="47" t="str">
        <f>INDEX(Table5[[#All],[Team]],MATCH(Table3[[#This Row],[PID]],Table5[[#All],[PID]],0))</f>
        <v/>
      </c>
      <c r="BL2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6" spans="1:64" ht="15" customHeight="1" x14ac:dyDescent="0.25">
      <c r="A276" s="42">
        <v>17595</v>
      </c>
      <c r="B276" s="42" t="s">
        <v>430</v>
      </c>
      <c r="C276" s="42" t="s">
        <v>766</v>
      </c>
      <c r="D276" s="42" t="s">
        <v>742</v>
      </c>
      <c r="E276" s="42">
        <v>18</v>
      </c>
      <c r="F276" s="42" t="s">
        <v>53</v>
      </c>
      <c r="G276" s="42" t="s">
        <v>53</v>
      </c>
      <c r="H276" s="43" t="s">
        <v>721</v>
      </c>
      <c r="I276" s="44" t="s">
        <v>44</v>
      </c>
      <c r="J276" s="42" t="s">
        <v>43</v>
      </c>
      <c r="K276" s="43" t="s">
        <v>43</v>
      </c>
      <c r="L276" s="42">
        <v>2</v>
      </c>
      <c r="M276" s="42">
        <v>2</v>
      </c>
      <c r="N276" s="43">
        <v>1</v>
      </c>
      <c r="O276" s="42">
        <v>4</v>
      </c>
      <c r="P276" s="42">
        <v>2</v>
      </c>
      <c r="Q276" s="43">
        <v>2</v>
      </c>
      <c r="R276" s="42">
        <v>3</v>
      </c>
      <c r="S276" s="42">
        <v>5</v>
      </c>
      <c r="T276" s="42">
        <v>1</v>
      </c>
      <c r="U276" s="42">
        <v>4</v>
      </c>
      <c r="V276" s="42">
        <v>1</v>
      </c>
      <c r="W276" s="42">
        <v>4</v>
      </c>
      <c r="X276" s="42" t="s">
        <v>45</v>
      </c>
      <c r="Y276" s="42" t="s">
        <v>45</v>
      </c>
      <c r="Z276" s="42" t="s">
        <v>45</v>
      </c>
      <c r="AA276" s="42" t="s">
        <v>45</v>
      </c>
      <c r="AB276" s="42" t="s">
        <v>45</v>
      </c>
      <c r="AC276" s="42" t="s">
        <v>45</v>
      </c>
      <c r="AD276" s="42">
        <v>3</v>
      </c>
      <c r="AE276" s="42">
        <v>5</v>
      </c>
      <c r="AF276" s="42" t="s">
        <v>45</v>
      </c>
      <c r="AG276" s="42" t="s">
        <v>45</v>
      </c>
      <c r="AH276" s="42" t="s">
        <v>45</v>
      </c>
      <c r="AI276" s="42" t="s">
        <v>45</v>
      </c>
      <c r="AJ276" s="42" t="s">
        <v>45</v>
      </c>
      <c r="AK276" s="42" t="s">
        <v>45</v>
      </c>
      <c r="AL276" s="42" t="s">
        <v>45</v>
      </c>
      <c r="AM276" s="42" t="s">
        <v>45</v>
      </c>
      <c r="AN276" s="42" t="s">
        <v>45</v>
      </c>
      <c r="AO276" s="43" t="s">
        <v>45</v>
      </c>
      <c r="AP276" s="42" t="s">
        <v>356</v>
      </c>
      <c r="AQ276" s="42">
        <v>6</v>
      </c>
      <c r="AR276" s="50" t="s">
        <v>353</v>
      </c>
      <c r="AS276" s="45" t="s">
        <v>606</v>
      </c>
      <c r="AT276" s="45" t="s">
        <v>47</v>
      </c>
      <c r="AU276" s="46">
        <f>($O$3*(L276-$O$1)/$O$2+$P$3*(M276-$P$1)/$P$2+$Q$3*(N276-$P$1)/$Q$2)/SUM($O$3:$Q$3)</f>
        <v>-2.311361197028369</v>
      </c>
      <c r="AV276" s="46">
        <f>($O$3*(O276-$O$1)/$O$2+$P$3*(P276-$P$1)/$P$2+$Q$3*(Q276-$Q$1)/$Q$2)/SUM($O$3:$Q$3)</f>
        <v>-1.23416323121884</v>
      </c>
      <c r="AW276" s="47">
        <f>COUNT(R276:AO276)/2</f>
        <v>4</v>
      </c>
      <c r="AX276" s="47">
        <f>IF(AND(S276&lt;&gt;"-",S276&gt;5),1,0)+IF(AND(U276&lt;&gt;"-",U276&gt;5),1,0)+IF(AND(W276&lt;&gt;"-",W276&gt;5),1,0)+IF(AND(Y276&lt;&gt;"-",Y276&gt;5),1,0)+IF(AND(AA276&lt;&gt;"-",AA276&gt;5),1,0)+IF(AND(AC276&lt;&gt;"-",AC276&gt;5),1,0)+IF(AND(AE276&lt;&gt;"-",AE276&gt;5),1,0)+IF(AND(AG276&lt;&gt;"-",AG276&gt;5),1,0)+IF(AND(AI276&lt;&gt;"-",AI276&gt;5),1,0)+IF(AND(AK276&lt;&gt;"-",AK276&gt;5),1,0)+IF(AND(AM276&lt;&gt;"-",AM276&gt;5),1,0)+IF(AND(AO276&lt;&gt;"-",AO276&gt;5),1,0)</f>
        <v>0</v>
      </c>
      <c r="AY276" s="48">
        <f>VLOOKUP(AP276,COND!$A$10:$B$32,2,FALSE)</f>
        <v>1</v>
      </c>
      <c r="AZ276" s="46">
        <f>($AU$3*AU276+$AV$3*AV276+$AW$3*AW276+$AX$3*AX276)*AY276*IF(AQ276&lt;5,0.95,IF(AQ276&lt;7,0.975,1))+$I$3*VLOOKUP(I276,COND!$A$2:$E$7,4,FALSE)+$J$3*VLOOKUP(J276,COND!$A$2:$E$7,2,FALSE)+$K$3*VLOOKUP(K276,COND!$A$2:$E$7,3,FALSE)+IF(BB276="SP",$BB$3,0)+IF($AW276&lt;3,-5,0)+IF(AND($B$2&gt;0,$E276&lt;20),$B$2*25,0)</f>
        <v>29.283101557812088</v>
      </c>
      <c r="BA276" s="49">
        <f>STANDARDIZE(AZ276,AVERAGE($AZ$5:$AZ$570),STDEVP($AZ$5:$AZ$570))</f>
        <v>-0.31538468969907985</v>
      </c>
      <c r="BB276" s="47" t="str">
        <f>IF(OR(AND(AQ276&gt;7,AX276&gt;1),AND(AQ276&gt;4,AW276&gt;2)),"SP","RP")</f>
        <v>SP</v>
      </c>
      <c r="BC276" s="47"/>
      <c r="BD276" s="47"/>
      <c r="BE276" s="47"/>
      <c r="BF276" s="47" t="str">
        <f>IF(AVERAGE($O276:$Q276)&gt;=6,"Likely",IF(AVERAGE($O276:$Q276)&gt;=4,"Possible","Unlikely"))</f>
        <v>Unlikely</v>
      </c>
      <c r="BG276" s="47"/>
      <c r="BH276" s="47" t="str">
        <f>INDEX(Table5[[#All],[Ovr]],MATCH(Table3[[#This Row],[PID]],Table5[[#All],[PID]],0))</f>
        <v/>
      </c>
      <c r="BI276" s="47" t="str">
        <f>INDEX(Table5[[#All],[Rnd]],MATCH(Table3[[#This Row],[PID]],Table5[[#All],[PID]],0))</f>
        <v/>
      </c>
      <c r="BJ276" s="47" t="str">
        <f>INDEX(Table5[[#All],[Pick]],MATCH(Table3[[#This Row],[PID]],Table5[[#All],[PID]],0))</f>
        <v/>
      </c>
      <c r="BK276" s="47" t="str">
        <f>INDEX(Table5[[#All],[Team]],MATCH(Table3[[#This Row],[PID]],Table5[[#All],[PID]],0))</f>
        <v/>
      </c>
      <c r="BL2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7" spans="1:64" ht="15" customHeight="1" x14ac:dyDescent="0.25">
      <c r="A277" s="42">
        <v>6650</v>
      </c>
      <c r="B277" s="42" t="s">
        <v>430</v>
      </c>
      <c r="C277" s="42" t="s">
        <v>180</v>
      </c>
      <c r="D277" s="42" t="s">
        <v>1722</v>
      </c>
      <c r="E277" s="42">
        <v>18</v>
      </c>
      <c r="F277" s="42" t="s">
        <v>62</v>
      </c>
      <c r="G277" s="42" t="s">
        <v>42</v>
      </c>
      <c r="H277" s="43" t="s">
        <v>721</v>
      </c>
      <c r="I277" s="44" t="s">
        <v>43</v>
      </c>
      <c r="J277" s="42" t="s">
        <v>44</v>
      </c>
      <c r="K277" s="43" t="s">
        <v>44</v>
      </c>
      <c r="L277" s="42">
        <v>1</v>
      </c>
      <c r="M277" s="42">
        <v>2</v>
      </c>
      <c r="N277" s="43">
        <v>1</v>
      </c>
      <c r="O277" s="42">
        <v>4</v>
      </c>
      <c r="P277" s="42">
        <v>2</v>
      </c>
      <c r="Q277" s="43">
        <v>2</v>
      </c>
      <c r="R277" s="42">
        <v>3</v>
      </c>
      <c r="S277" s="42">
        <v>5</v>
      </c>
      <c r="T277" s="42">
        <v>1</v>
      </c>
      <c r="U277" s="42">
        <v>1</v>
      </c>
      <c r="V277" s="42">
        <v>2</v>
      </c>
      <c r="W277" s="42">
        <v>7</v>
      </c>
      <c r="X277" s="42" t="s">
        <v>45</v>
      </c>
      <c r="Y277" s="42" t="s">
        <v>45</v>
      </c>
      <c r="Z277" s="42" t="s">
        <v>45</v>
      </c>
      <c r="AA277" s="42" t="s">
        <v>45</v>
      </c>
      <c r="AB277" s="42" t="s">
        <v>45</v>
      </c>
      <c r="AC277" s="42" t="s">
        <v>45</v>
      </c>
      <c r="AD277" s="42" t="s">
        <v>45</v>
      </c>
      <c r="AE277" s="42" t="s">
        <v>45</v>
      </c>
      <c r="AF277" s="42" t="s">
        <v>45</v>
      </c>
      <c r="AG277" s="42" t="s">
        <v>45</v>
      </c>
      <c r="AH277" s="42" t="s">
        <v>45</v>
      </c>
      <c r="AI277" s="42" t="s">
        <v>45</v>
      </c>
      <c r="AJ277" s="42" t="s">
        <v>45</v>
      </c>
      <c r="AK277" s="42" t="s">
        <v>45</v>
      </c>
      <c r="AL277" s="42" t="s">
        <v>45</v>
      </c>
      <c r="AM277" s="42" t="s">
        <v>45</v>
      </c>
      <c r="AN277" s="42" t="s">
        <v>45</v>
      </c>
      <c r="AO277" s="43" t="s">
        <v>45</v>
      </c>
      <c r="AP277" s="42" t="s">
        <v>65</v>
      </c>
      <c r="AQ277" s="42">
        <v>6</v>
      </c>
      <c r="AR277" s="50" t="s">
        <v>353</v>
      </c>
      <c r="AS277" s="45" t="s">
        <v>718</v>
      </c>
      <c r="AT277" s="45" t="s">
        <v>47</v>
      </c>
      <c r="AU277" s="46">
        <f>($O$3*(L277-$O$1)/$O$2+$P$3*(M277-$P$1)/$P$2+$Q$3*(N277-$P$1)/$Q$2)/SUM($O$3:$Q$3)</f>
        <v>-2.5060525215375429</v>
      </c>
      <c r="AV277" s="46">
        <f>($O$3*(O277-$O$1)/$O$2+$P$3*(P277-$P$1)/$P$2+$Q$3*(Q277-$Q$1)/$Q$2)/SUM($O$3:$Q$3)</f>
        <v>-1.23416323121884</v>
      </c>
      <c r="AW277" s="47">
        <f>COUNT(R277:AO277)/2</f>
        <v>3</v>
      </c>
      <c r="AX277" s="47">
        <f>IF(AND(S277&lt;&gt;"-",S277&gt;5),1,0)+IF(AND(U277&lt;&gt;"-",U277&gt;5),1,0)+IF(AND(W277&lt;&gt;"-",W277&gt;5),1,0)+IF(AND(Y277&lt;&gt;"-",Y277&gt;5),1,0)+IF(AND(AA277&lt;&gt;"-",AA277&gt;5),1,0)+IF(AND(AC277&lt;&gt;"-",AC277&gt;5),1,0)+IF(AND(AE277&lt;&gt;"-",AE277&gt;5),1,0)+IF(AND(AG277&lt;&gt;"-",AG277&gt;5),1,0)+IF(AND(AI277&lt;&gt;"-",AI277&gt;5),1,0)+IF(AND(AK277&lt;&gt;"-",AK277&gt;5),1,0)+IF(AND(AM277&lt;&gt;"-",AM277&gt;5),1,0)+IF(AND(AO277&lt;&gt;"-",AO277&gt;5),1,0)</f>
        <v>1</v>
      </c>
      <c r="AY277" s="48">
        <f>VLOOKUP(AP277,COND!$A$10:$B$32,2,FALSE)</f>
        <v>0.95</v>
      </c>
      <c r="AZ277" s="46">
        <f>($AU$3*AU277+$AV$3*AV277+$AW$3*AW277+$AX$3*AX277)*AY277*IF(AQ277&lt;5,0.95,IF(AQ277&lt;7,0.975,1))+$I$3*VLOOKUP(I277,COND!$A$2:$E$7,4,FALSE)+$J$3*VLOOKUP(J277,COND!$A$2:$E$7,2,FALSE)+$K$3*VLOOKUP(K277,COND!$A$2:$E$7,3,FALSE)+IF(BB277="SP",$BB$3,0)+IF($AW277&lt;3,-5,0)+IF(AND($B$2&gt;0,$E277&lt;20),$B$2*25,0)</f>
        <v>30.620067412056162</v>
      </c>
      <c r="BA277" s="49">
        <f>STANDARDIZE(AZ277,AVERAGE($AZ$5:$AZ$570),STDEVP($AZ$5:$AZ$570))</f>
        <v>-0.19277920655273909</v>
      </c>
      <c r="BB277" s="47" t="str">
        <f>IF(OR(AND(AQ277&gt;7,AX277&gt;1),AND(AQ277&gt;4,AW277&gt;2)),"SP","RP")</f>
        <v>SP</v>
      </c>
      <c r="BC277" s="47"/>
      <c r="BD277" s="47"/>
      <c r="BE277" s="47"/>
      <c r="BF277" s="47" t="str">
        <f>IF(AVERAGE($O277:$Q277)&gt;=6,"Likely",IF(AVERAGE($O277:$Q277)&gt;=4,"Possible","Unlikely"))</f>
        <v>Unlikely</v>
      </c>
      <c r="BG277" s="47"/>
      <c r="BH277" s="47" t="str">
        <f>INDEX(Table5[[#All],[Ovr]],MATCH(Table3[[#This Row],[PID]],Table5[[#All],[PID]],0))</f>
        <v/>
      </c>
      <c r="BI277" s="47" t="str">
        <f>INDEX(Table5[[#All],[Rnd]],MATCH(Table3[[#This Row],[PID]],Table5[[#All],[PID]],0))</f>
        <v/>
      </c>
      <c r="BJ277" s="47" t="str">
        <f>INDEX(Table5[[#All],[Pick]],MATCH(Table3[[#This Row],[PID]],Table5[[#All],[PID]],0))</f>
        <v/>
      </c>
      <c r="BK277" s="47" t="str">
        <f>INDEX(Table5[[#All],[Team]],MATCH(Table3[[#This Row],[PID]],Table5[[#All],[PID]],0))</f>
        <v/>
      </c>
      <c r="BL2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8" spans="1:64" ht="15" customHeight="1" x14ac:dyDescent="0.25">
      <c r="A278" s="42">
        <v>5958</v>
      </c>
      <c r="B278" s="42" t="s">
        <v>430</v>
      </c>
      <c r="C278" s="42" t="s">
        <v>172</v>
      </c>
      <c r="D278" s="42" t="s">
        <v>1655</v>
      </c>
      <c r="E278" s="42">
        <v>18</v>
      </c>
      <c r="F278" s="42" t="s">
        <v>53</v>
      </c>
      <c r="G278" s="42" t="s">
        <v>53</v>
      </c>
      <c r="H278" s="43" t="s">
        <v>721</v>
      </c>
      <c r="I278" s="44" t="s">
        <v>43</v>
      </c>
      <c r="J278" s="42" t="s">
        <v>44</v>
      </c>
      <c r="K278" s="43" t="s">
        <v>43</v>
      </c>
      <c r="L278" s="42">
        <v>1</v>
      </c>
      <c r="M278" s="42">
        <v>1</v>
      </c>
      <c r="N278" s="43">
        <v>1</v>
      </c>
      <c r="O278" s="42">
        <v>4</v>
      </c>
      <c r="P278" s="42">
        <v>1</v>
      </c>
      <c r="Q278" s="43">
        <v>3</v>
      </c>
      <c r="R278" s="42">
        <v>3</v>
      </c>
      <c r="S278" s="42">
        <v>5</v>
      </c>
      <c r="T278" s="42">
        <v>1</v>
      </c>
      <c r="U278" s="42">
        <v>1</v>
      </c>
      <c r="V278" s="42">
        <v>1</v>
      </c>
      <c r="W278" s="42">
        <v>4</v>
      </c>
      <c r="X278" s="42">
        <v>2</v>
      </c>
      <c r="Y278" s="42">
        <v>4</v>
      </c>
      <c r="Z278" s="42" t="s">
        <v>45</v>
      </c>
      <c r="AA278" s="42" t="s">
        <v>45</v>
      </c>
      <c r="AB278" s="42" t="s">
        <v>45</v>
      </c>
      <c r="AC278" s="42" t="s">
        <v>45</v>
      </c>
      <c r="AD278" s="42" t="s">
        <v>45</v>
      </c>
      <c r="AE278" s="42" t="s">
        <v>45</v>
      </c>
      <c r="AF278" s="42">
        <v>2</v>
      </c>
      <c r="AG278" s="42">
        <v>4</v>
      </c>
      <c r="AH278" s="42" t="s">
        <v>45</v>
      </c>
      <c r="AI278" s="42" t="s">
        <v>45</v>
      </c>
      <c r="AJ278" s="42" t="s">
        <v>45</v>
      </c>
      <c r="AK278" s="42" t="s">
        <v>45</v>
      </c>
      <c r="AL278" s="42" t="s">
        <v>45</v>
      </c>
      <c r="AM278" s="42" t="s">
        <v>45</v>
      </c>
      <c r="AN278" s="42" t="s">
        <v>45</v>
      </c>
      <c r="AO278" s="43" t="s">
        <v>45</v>
      </c>
      <c r="AP278" s="42" t="s">
        <v>64</v>
      </c>
      <c r="AQ278" s="42">
        <v>9</v>
      </c>
      <c r="AR278" s="50" t="s">
        <v>14</v>
      </c>
      <c r="AS278" s="45" t="s">
        <v>718</v>
      </c>
      <c r="AT278" s="45" t="s">
        <v>47</v>
      </c>
      <c r="AU278" s="46">
        <f>($O$3*(L278-$O$1)/$O$2+$P$3*(M278-$P$1)/$P$2+$Q$3*(N278-$P$1)/$Q$2)/SUM($O$3:$Q$3)</f>
        <v>-2.7014842379675978</v>
      </c>
      <c r="AV278" s="46">
        <f>($O$3*(O278-$O$1)/$O$2+$P$3*(P278-$P$1)/$P$2+$Q$3*(Q278-$Q$1)/$Q$2)/SUM($O$3:$Q$3)</f>
        <v>-1.1872743815947853</v>
      </c>
      <c r="AW278" s="47">
        <f>COUNT(R278:AO278)/2</f>
        <v>5</v>
      </c>
      <c r="AX278" s="47">
        <f>IF(AND(S278&lt;&gt;"-",S278&gt;5),1,0)+IF(AND(U278&lt;&gt;"-",U278&gt;5),1,0)+IF(AND(W278&lt;&gt;"-",W278&gt;5),1,0)+IF(AND(Y278&lt;&gt;"-",Y278&gt;5),1,0)+IF(AND(AA278&lt;&gt;"-",AA278&gt;5),1,0)+IF(AND(AC278&lt;&gt;"-",AC278&gt;5),1,0)+IF(AND(AE278&lt;&gt;"-",AE278&gt;5),1,0)+IF(AND(AG278&lt;&gt;"-",AG278&gt;5),1,0)+IF(AND(AI278&lt;&gt;"-",AI278&gt;5),1,0)+IF(AND(AK278&lt;&gt;"-",AK278&gt;5),1,0)+IF(AND(AM278&lt;&gt;"-",AM278&gt;5),1,0)+IF(AND(AO278&lt;&gt;"-",AO278&gt;5),1,0)</f>
        <v>0</v>
      </c>
      <c r="AY278" s="48">
        <f>VLOOKUP(AP278,COND!$A$10:$B$32,2,FALSE)</f>
        <v>1</v>
      </c>
      <c r="AZ278" s="46">
        <f>($AU$3*AU278+$AV$3*AV278+$AW$3*AW278+$AX$3*AX278)*AY278*IF(AQ278&lt;5,0.95,IF(AQ278&lt;7,0.975,1))+$I$3*VLOOKUP(I278,COND!$A$2:$E$7,4,FALSE)+$J$3*VLOOKUP(J278,COND!$A$2:$E$7,2,FALSE)+$K$3*VLOOKUP(K278,COND!$A$2:$E$7,3,FALSE)+IF(BB278="SP",$BB$3,0)+IF($AW278&lt;3,-5,0)+IF(AND($B$2&gt;0,$E278&lt;20),$B$2*25,0)</f>
        <v>29.914215520510773</v>
      </c>
      <c r="BA278" s="49">
        <f>STANDARDIZE(AZ278,AVERAGE($AZ$5:$AZ$570),STDEVP($AZ$5:$AZ$570))</f>
        <v>-0.25750884188184164</v>
      </c>
      <c r="BB278" s="47" t="str">
        <f>IF(OR(AND(AQ278&gt;7,AX278&gt;1),AND(AQ278&gt;4,AW278&gt;2)),"SP","RP")</f>
        <v>SP</v>
      </c>
      <c r="BC278" s="47"/>
      <c r="BD278" s="47"/>
      <c r="BE278" s="47"/>
      <c r="BF278" s="47" t="str">
        <f>IF(AVERAGE($O278:$Q278)&gt;=6,"Likely",IF(AVERAGE($O278:$Q278)&gt;=4,"Possible","Unlikely"))</f>
        <v>Unlikely</v>
      </c>
      <c r="BG278" s="47"/>
      <c r="BH278" s="47" t="str">
        <f>INDEX(Table5[[#All],[Ovr]],MATCH(Table3[[#This Row],[PID]],Table5[[#All],[PID]],0))</f>
        <v/>
      </c>
      <c r="BI278" s="47" t="str">
        <f>INDEX(Table5[[#All],[Rnd]],MATCH(Table3[[#This Row],[PID]],Table5[[#All],[PID]],0))</f>
        <v/>
      </c>
      <c r="BJ278" s="47" t="str">
        <f>INDEX(Table5[[#All],[Pick]],MATCH(Table3[[#This Row],[PID]],Table5[[#All],[PID]],0))</f>
        <v/>
      </c>
      <c r="BK278" s="47" t="str">
        <f>INDEX(Table5[[#All],[Team]],MATCH(Table3[[#This Row],[PID]],Table5[[#All],[PID]],0))</f>
        <v/>
      </c>
      <c r="BL2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9" spans="1:64" ht="15" customHeight="1" x14ac:dyDescent="0.25">
      <c r="A279" s="42">
        <v>10109</v>
      </c>
      <c r="B279" s="42" t="s">
        <v>430</v>
      </c>
      <c r="C279" s="42" t="s">
        <v>463</v>
      </c>
      <c r="D279" s="42" t="s">
        <v>619</v>
      </c>
      <c r="E279" s="42">
        <v>21</v>
      </c>
      <c r="F279" s="42" t="s">
        <v>53</v>
      </c>
      <c r="G279" s="42" t="s">
        <v>53</v>
      </c>
      <c r="H279" s="43" t="s">
        <v>721</v>
      </c>
      <c r="I279" s="44" t="s">
        <v>43</v>
      </c>
      <c r="J279" s="42" t="s">
        <v>43</v>
      </c>
      <c r="K279" s="43" t="s">
        <v>43</v>
      </c>
      <c r="L279" s="42">
        <v>1</v>
      </c>
      <c r="M279" s="42">
        <v>2</v>
      </c>
      <c r="N279" s="43">
        <v>1</v>
      </c>
      <c r="O279" s="42">
        <v>4</v>
      </c>
      <c r="P279" s="42">
        <v>3</v>
      </c>
      <c r="Q279" s="43">
        <v>2</v>
      </c>
      <c r="R279" s="42">
        <v>2</v>
      </c>
      <c r="S279" s="42">
        <v>4</v>
      </c>
      <c r="T279" s="42">
        <v>1</v>
      </c>
      <c r="U279" s="42">
        <v>4</v>
      </c>
      <c r="V279" s="42" t="s">
        <v>45</v>
      </c>
      <c r="W279" s="42" t="s">
        <v>45</v>
      </c>
      <c r="X279" s="42" t="s">
        <v>45</v>
      </c>
      <c r="Y279" s="42" t="s">
        <v>45</v>
      </c>
      <c r="Z279" s="42">
        <v>3</v>
      </c>
      <c r="AA279" s="42">
        <v>5</v>
      </c>
      <c r="AB279" s="42" t="s">
        <v>45</v>
      </c>
      <c r="AC279" s="42" t="s">
        <v>45</v>
      </c>
      <c r="AD279" s="42" t="s">
        <v>45</v>
      </c>
      <c r="AE279" s="42" t="s">
        <v>45</v>
      </c>
      <c r="AF279" s="42" t="s">
        <v>45</v>
      </c>
      <c r="AG279" s="42" t="s">
        <v>45</v>
      </c>
      <c r="AH279" s="42" t="s">
        <v>45</v>
      </c>
      <c r="AI279" s="42" t="s">
        <v>45</v>
      </c>
      <c r="AJ279" s="42" t="s">
        <v>45</v>
      </c>
      <c r="AK279" s="42" t="s">
        <v>45</v>
      </c>
      <c r="AL279" s="42" t="s">
        <v>45</v>
      </c>
      <c r="AM279" s="42" t="s">
        <v>45</v>
      </c>
      <c r="AN279" s="42" t="s">
        <v>45</v>
      </c>
      <c r="AO279" s="43" t="s">
        <v>45</v>
      </c>
      <c r="AP279" s="42" t="s">
        <v>67</v>
      </c>
      <c r="AQ279" s="42">
        <v>10</v>
      </c>
      <c r="AR279" s="50" t="s">
        <v>353</v>
      </c>
      <c r="AS279" s="45" t="s">
        <v>45</v>
      </c>
      <c r="AT279" s="45" t="s">
        <v>47</v>
      </c>
      <c r="AU279" s="46">
        <f>($O$3*(L279-$O$1)/$O$2+$P$3*(M279-$P$1)/$P$2+$Q$3*(N279-$P$1)/$Q$2)/SUM($O$3:$Q$3)</f>
        <v>-2.5060525215375429</v>
      </c>
      <c r="AV279" s="46">
        <f>($O$3*(O279-$O$1)/$O$2+$P$3*(P279-$P$1)/$P$2+$Q$3*(Q279-$Q$1)/$Q$2)/SUM($O$3:$Q$3)</f>
        <v>-1.0387315147887846</v>
      </c>
      <c r="AW279" s="47">
        <f>COUNT(R279:AO279)/2</f>
        <v>3</v>
      </c>
      <c r="AX279" s="47">
        <f>IF(AND(S279&lt;&gt;"-",S279&gt;5),1,0)+IF(AND(U279&lt;&gt;"-",U279&gt;5),1,0)+IF(AND(W279&lt;&gt;"-",W279&gt;5),1,0)+IF(AND(Y279&lt;&gt;"-",Y279&gt;5),1,0)+IF(AND(AA279&lt;&gt;"-",AA279&gt;5),1,0)+IF(AND(AC279&lt;&gt;"-",AC279&gt;5),1,0)+IF(AND(AE279&lt;&gt;"-",AE279&gt;5),1,0)+IF(AND(AG279&lt;&gt;"-",AG279&gt;5),1,0)+IF(AND(AI279&lt;&gt;"-",AI279&gt;5),1,0)+IF(AND(AK279&lt;&gt;"-",AK279&gt;5),1,0)+IF(AND(AM279&lt;&gt;"-",AM279&gt;5),1,0)+IF(AND(AO279&lt;&gt;"-",AO279&gt;5),1,0)</f>
        <v>0</v>
      </c>
      <c r="AY279" s="48">
        <f>VLOOKUP(AP279,COND!$A$10:$B$32,2,FALSE)</f>
        <v>0.9</v>
      </c>
      <c r="AZ279" s="46">
        <f>($AU$3*AU279+$AV$3*AV279+$AW$3*AW279+$AX$3*AX279)*AY279*IF(AQ279&lt;5,0.95,IF(AQ279&lt;7,0.975,1))+$I$3*VLOOKUP(I279,COND!$A$2:$E$7,4,FALSE)+$J$3*VLOOKUP(J279,COND!$A$2:$E$7,2,FALSE)+$K$3*VLOOKUP(K279,COND!$A$2:$E$7,3,FALSE)+IF(BB279="SP",$BB$3,0)+IF($AW279&lt;3,-5,0)+IF(AND($B$2&gt;0,$E279&lt;20),$B$2*25,0)</f>
        <v>29.201743279925122</v>
      </c>
      <c r="BA279" s="49">
        <f>STANDARDIZE(AZ279,AVERAGE($AZ$5:$AZ$570),STDEVP($AZ$5:$AZ$570))</f>
        <v>-0.32284559151390269</v>
      </c>
      <c r="BB279" s="47" t="str">
        <f>IF(OR(AND(AQ279&gt;7,AX279&gt;1),AND(AQ279&gt;4,AW279&gt;2)),"SP","RP")</f>
        <v>SP</v>
      </c>
      <c r="BC279" s="47"/>
      <c r="BD279" s="47"/>
      <c r="BE279" s="47"/>
      <c r="BF279" s="47" t="str">
        <f>IF(AVERAGE($O279:$Q279)&gt;=6,"Likely",IF(AVERAGE($O279:$Q279)&gt;=4,"Possible","Unlikely"))</f>
        <v>Unlikely</v>
      </c>
      <c r="BG279" s="47"/>
      <c r="BH279" s="47" t="str">
        <f>INDEX(Table5[[#All],[Ovr]],MATCH(Table3[[#This Row],[PID]],Table5[[#All],[PID]],0))</f>
        <v/>
      </c>
      <c r="BI279" s="47" t="str">
        <f>INDEX(Table5[[#All],[Rnd]],MATCH(Table3[[#This Row],[PID]],Table5[[#All],[PID]],0))</f>
        <v/>
      </c>
      <c r="BJ279" s="47" t="str">
        <f>INDEX(Table5[[#All],[Pick]],MATCH(Table3[[#This Row],[PID]],Table5[[#All],[PID]],0))</f>
        <v/>
      </c>
      <c r="BK279" s="47" t="str">
        <f>INDEX(Table5[[#All],[Team]],MATCH(Table3[[#This Row],[PID]],Table5[[#All],[PID]],0))</f>
        <v/>
      </c>
      <c r="BL2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0" spans="1:64" ht="15" customHeight="1" x14ac:dyDescent="0.25">
      <c r="A280" s="42">
        <v>7261</v>
      </c>
      <c r="B280" s="42" t="s">
        <v>24</v>
      </c>
      <c r="C280" s="42" t="s">
        <v>1681</v>
      </c>
      <c r="D280" s="42" t="s">
        <v>1682</v>
      </c>
      <c r="E280" s="42">
        <v>21</v>
      </c>
      <c r="F280" s="42" t="s">
        <v>42</v>
      </c>
      <c r="G280" s="42" t="s">
        <v>42</v>
      </c>
      <c r="H280" s="43" t="s">
        <v>721</v>
      </c>
      <c r="I280" s="44" t="s">
        <v>43</v>
      </c>
      <c r="J280" s="42" t="s">
        <v>44</v>
      </c>
      <c r="K280" s="43" t="s">
        <v>43</v>
      </c>
      <c r="L280" s="42">
        <v>3</v>
      </c>
      <c r="M280" s="42">
        <v>2</v>
      </c>
      <c r="N280" s="43">
        <v>3</v>
      </c>
      <c r="O280" s="42">
        <v>4</v>
      </c>
      <c r="P280" s="42">
        <v>2</v>
      </c>
      <c r="Q280" s="43">
        <v>3</v>
      </c>
      <c r="R280" s="42">
        <v>5</v>
      </c>
      <c r="S280" s="42">
        <v>6</v>
      </c>
      <c r="T280" s="42">
        <v>2</v>
      </c>
      <c r="U280" s="42">
        <v>4</v>
      </c>
      <c r="V280" s="42" t="s">
        <v>45</v>
      </c>
      <c r="W280" s="42" t="s">
        <v>45</v>
      </c>
      <c r="X280" s="42">
        <v>3</v>
      </c>
      <c r="Y280" s="42">
        <v>4</v>
      </c>
      <c r="Z280" s="42" t="s">
        <v>45</v>
      </c>
      <c r="AA280" s="42" t="s">
        <v>45</v>
      </c>
      <c r="AB280" s="42" t="s">
        <v>45</v>
      </c>
      <c r="AC280" s="42" t="s">
        <v>45</v>
      </c>
      <c r="AD280" s="42">
        <v>4</v>
      </c>
      <c r="AE280" s="42">
        <v>5</v>
      </c>
      <c r="AF280" s="42">
        <v>4</v>
      </c>
      <c r="AG280" s="42">
        <v>5</v>
      </c>
      <c r="AH280" s="42" t="s">
        <v>45</v>
      </c>
      <c r="AI280" s="42" t="s">
        <v>45</v>
      </c>
      <c r="AJ280" s="42" t="s">
        <v>45</v>
      </c>
      <c r="AK280" s="42" t="s">
        <v>45</v>
      </c>
      <c r="AL280" s="42" t="s">
        <v>45</v>
      </c>
      <c r="AM280" s="42" t="s">
        <v>45</v>
      </c>
      <c r="AN280" s="42" t="s">
        <v>45</v>
      </c>
      <c r="AO280" s="43" t="s">
        <v>45</v>
      </c>
      <c r="AP280" s="42" t="s">
        <v>60</v>
      </c>
      <c r="AQ280" s="42">
        <v>7</v>
      </c>
      <c r="AR280" s="50" t="s">
        <v>353</v>
      </c>
      <c r="AS280" s="45" t="s">
        <v>45</v>
      </c>
      <c r="AT280" s="45" t="s">
        <v>47</v>
      </c>
      <c r="AU280" s="46">
        <f>($O$3*(L280-$O$1)/$O$2+$P$3*(M280-$P$1)/$P$2+$Q$3*(N280-$P$1)/$Q$2)/SUM($O$3:$Q$3)</f>
        <v>-1.6320287404109748</v>
      </c>
      <c r="AV280" s="46">
        <f>($O$3*(O280-$O$1)/$O$2+$P$3*(P280-$P$1)/$P$2+$Q$3*(Q280-$Q$1)/$Q$2)/SUM($O$3:$Q$3)</f>
        <v>-0.99184266516472974</v>
      </c>
      <c r="AW280" s="47">
        <f>COUNT(R280:AO280)/2</f>
        <v>5</v>
      </c>
      <c r="AX280" s="47">
        <f>IF(AND(S280&lt;&gt;"-",S280&gt;5),1,0)+IF(AND(U280&lt;&gt;"-",U280&gt;5),1,0)+IF(AND(W280&lt;&gt;"-",W280&gt;5),1,0)+IF(AND(Y280&lt;&gt;"-",Y280&gt;5),1,0)+IF(AND(AA280&lt;&gt;"-",AA280&gt;5),1,0)+IF(AND(AC280&lt;&gt;"-",AC280&gt;5),1,0)+IF(AND(AE280&lt;&gt;"-",AE280&gt;5),1,0)+IF(AND(AG280&lt;&gt;"-",AG280&gt;5),1,0)+IF(AND(AI280&lt;&gt;"-",AI280&gt;5),1,0)+IF(AND(AK280&lt;&gt;"-",AK280&gt;5),1,0)+IF(AND(AM280&lt;&gt;"-",AM280&gt;5),1,0)+IF(AND(AO280&lt;&gt;"-",AO280&gt;5),1,0)</f>
        <v>1</v>
      </c>
      <c r="AY280" s="48">
        <f>VLOOKUP(AP280,COND!$A$10:$B$32,2,FALSE)</f>
        <v>1.0249999999999999</v>
      </c>
      <c r="AZ280" s="46">
        <f>($AU$3*AU280+$AV$3*AV280+$AW$3*AW280+$AX$3*AX280)*AY280*IF(AQ280&lt;5,0.95,IF(AQ280&lt;7,0.975,1))+$I$3*VLOOKUP(I280,COND!$A$2:$E$7,4,FALSE)+$J$3*VLOOKUP(J280,COND!$A$2:$E$7,2,FALSE)+$K$3*VLOOKUP(K280,COND!$A$2:$E$7,3,FALSE)+IF(BB280="SP",$BB$3,0)+IF($AW280&lt;3,-5,0)+IF(AND($B$2&gt;0,$E280&lt;20),$B$2*25,0)</f>
        <v>29.876409472338789</v>
      </c>
      <c r="BA280" s="49">
        <f>STANDARDIZE(AZ280,AVERAGE($AZ$5:$AZ$570),STDEVP($AZ$5:$AZ$570))</f>
        <v>-0.26097581808565851</v>
      </c>
      <c r="BB280" s="47" t="str">
        <f>IF(OR(AND(AQ280&gt;7,AX280&gt;1),AND(AQ280&gt;4,AW280&gt;2)),"SP","RP")</f>
        <v>SP</v>
      </c>
      <c r="BC280" s="47"/>
      <c r="BD280" s="47"/>
      <c r="BE280" s="47"/>
      <c r="BF280" s="47" t="str">
        <f>IF(AVERAGE($O280:$Q280)&gt;=6,"Likely",IF(AVERAGE($O280:$Q280)&gt;=4,"Possible","Unlikely"))</f>
        <v>Unlikely</v>
      </c>
      <c r="BG280" s="47"/>
      <c r="BH280" s="47" t="str">
        <f>INDEX(Table5[[#All],[Ovr]],MATCH(Table3[[#This Row],[PID]],Table5[[#All],[PID]],0))</f>
        <v/>
      </c>
      <c r="BI280" s="47" t="str">
        <f>INDEX(Table5[[#All],[Rnd]],MATCH(Table3[[#This Row],[PID]],Table5[[#All],[PID]],0))</f>
        <v/>
      </c>
      <c r="BJ280" s="47" t="str">
        <f>INDEX(Table5[[#All],[Pick]],MATCH(Table3[[#This Row],[PID]],Table5[[#All],[PID]],0))</f>
        <v/>
      </c>
      <c r="BK280" s="47" t="str">
        <f>INDEX(Table5[[#All],[Team]],MATCH(Table3[[#This Row],[PID]],Table5[[#All],[PID]],0))</f>
        <v/>
      </c>
      <c r="BL2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1" spans="1:64" ht="15" customHeight="1" x14ac:dyDescent="0.25">
      <c r="A281" s="42">
        <v>8216</v>
      </c>
      <c r="B281" s="42" t="s">
        <v>430</v>
      </c>
      <c r="C281" s="42" t="s">
        <v>183</v>
      </c>
      <c r="D281" s="42" t="s">
        <v>1430</v>
      </c>
      <c r="E281" s="42">
        <v>18</v>
      </c>
      <c r="F281" s="42" t="s">
        <v>53</v>
      </c>
      <c r="G281" s="42" t="s">
        <v>53</v>
      </c>
      <c r="H281" s="43" t="s">
        <v>721</v>
      </c>
      <c r="I281" s="44" t="s">
        <v>43</v>
      </c>
      <c r="J281" s="42" t="s">
        <v>44</v>
      </c>
      <c r="K281" s="43" t="s">
        <v>43</v>
      </c>
      <c r="L281" s="42">
        <v>2</v>
      </c>
      <c r="M281" s="42">
        <v>2</v>
      </c>
      <c r="N281" s="43">
        <v>1</v>
      </c>
      <c r="O281" s="42">
        <v>4</v>
      </c>
      <c r="P281" s="42">
        <v>2</v>
      </c>
      <c r="Q281" s="43">
        <v>2</v>
      </c>
      <c r="R281" s="42">
        <v>3</v>
      </c>
      <c r="S281" s="42">
        <v>5</v>
      </c>
      <c r="T281" s="42" t="s">
        <v>45</v>
      </c>
      <c r="U281" s="42" t="s">
        <v>45</v>
      </c>
      <c r="V281" s="42">
        <v>2</v>
      </c>
      <c r="W281" s="42">
        <v>6</v>
      </c>
      <c r="X281" s="42" t="s">
        <v>45</v>
      </c>
      <c r="Y281" s="42" t="s">
        <v>45</v>
      </c>
      <c r="Z281" s="42" t="s">
        <v>45</v>
      </c>
      <c r="AA281" s="42" t="s">
        <v>45</v>
      </c>
      <c r="AB281" s="42" t="s">
        <v>45</v>
      </c>
      <c r="AC281" s="42" t="s">
        <v>45</v>
      </c>
      <c r="AD281" s="42" t="s">
        <v>45</v>
      </c>
      <c r="AE281" s="42" t="s">
        <v>45</v>
      </c>
      <c r="AF281" s="42" t="s">
        <v>45</v>
      </c>
      <c r="AG281" s="42" t="s">
        <v>45</v>
      </c>
      <c r="AH281" s="42" t="s">
        <v>45</v>
      </c>
      <c r="AI281" s="42" t="s">
        <v>45</v>
      </c>
      <c r="AJ281" s="42" t="s">
        <v>45</v>
      </c>
      <c r="AK281" s="42" t="s">
        <v>45</v>
      </c>
      <c r="AL281" s="42">
        <v>2</v>
      </c>
      <c r="AM281" s="42">
        <v>5</v>
      </c>
      <c r="AN281" s="42" t="s">
        <v>45</v>
      </c>
      <c r="AO281" s="43" t="s">
        <v>45</v>
      </c>
      <c r="AP281" s="42" t="s">
        <v>355</v>
      </c>
      <c r="AQ281" s="42">
        <v>6</v>
      </c>
      <c r="AR281" s="50" t="s">
        <v>353</v>
      </c>
      <c r="AS281" s="45" t="s">
        <v>718</v>
      </c>
      <c r="AT281" s="45" t="s">
        <v>47</v>
      </c>
      <c r="AU281" s="46">
        <f>($O$3*(L281-$O$1)/$O$2+$P$3*(M281-$P$1)/$P$2+$Q$3*(N281-$P$1)/$Q$2)/SUM($O$3:$Q$3)</f>
        <v>-2.311361197028369</v>
      </c>
      <c r="AV281" s="46">
        <f>($O$3*(O281-$O$1)/$O$2+$P$3*(P281-$P$1)/$P$2+$Q$3*(Q281-$Q$1)/$Q$2)/SUM($O$3:$Q$3)</f>
        <v>-1.23416323121884</v>
      </c>
      <c r="AW281" s="47">
        <f>COUNT(R281:AO281)/2</f>
        <v>3</v>
      </c>
      <c r="AX281" s="47">
        <f>IF(AND(S281&lt;&gt;"-",S281&gt;5),1,0)+IF(AND(U281&lt;&gt;"-",U281&gt;5),1,0)+IF(AND(W281&lt;&gt;"-",W281&gt;5),1,0)+IF(AND(Y281&lt;&gt;"-",Y281&gt;5),1,0)+IF(AND(AA281&lt;&gt;"-",AA281&gt;5),1,0)+IF(AND(AC281&lt;&gt;"-",AC281&gt;5),1,0)+IF(AND(AE281&lt;&gt;"-",AE281&gt;5),1,0)+IF(AND(AG281&lt;&gt;"-",AG281&gt;5),1,0)+IF(AND(AI281&lt;&gt;"-",AI281&gt;5),1,0)+IF(AND(AK281&lt;&gt;"-",AK281&gt;5),1,0)+IF(AND(AM281&lt;&gt;"-",AM281&gt;5),1,0)+IF(AND(AO281&lt;&gt;"-",AO281&gt;5),1,0)</f>
        <v>1</v>
      </c>
      <c r="AY281" s="48">
        <f>VLOOKUP(AP281,COND!$A$10:$B$32,2,FALSE)</f>
        <v>1</v>
      </c>
      <c r="AZ281" s="46">
        <f>($AU$3*AU281+$AV$3*AV281+$AW$3*AW281+$AX$3*AX281)*AY281*IF(AQ281&lt;5,0.95,IF(AQ281&lt;7,0.975,1))+$I$3*VLOOKUP(I281,COND!$A$2:$E$7,4,FALSE)+$J$3*VLOOKUP(J281,COND!$A$2:$E$7,2,FALSE)+$K$3*VLOOKUP(K281,COND!$A$2:$E$7,3,FALSE)+IF(BB281="SP",$BB$3,0)+IF($AW281&lt;3,-5,0)+IF(AND($B$2&gt;0,$E281&lt;20),$B$2*25,0)</f>
        <v>29.864351557812086</v>
      </c>
      <c r="BA281" s="49">
        <f>STANDARDIZE(AZ281,AVERAGE($AZ$5:$AZ$570),STDEVP($AZ$5:$AZ$570))</f>
        <v>-0.26208158038436707</v>
      </c>
      <c r="BB281" s="47" t="str">
        <f>IF(OR(AND(AQ281&gt;7,AX281&gt;1),AND(AQ281&gt;4,AW281&gt;2)),"SP","RP")</f>
        <v>SP</v>
      </c>
      <c r="BC281" s="47"/>
      <c r="BD281" s="47"/>
      <c r="BE281" s="47"/>
      <c r="BF281" s="47" t="str">
        <f>IF(AVERAGE($O281:$Q281)&gt;=6,"Likely",IF(AVERAGE($O281:$Q281)&gt;=4,"Possible","Unlikely"))</f>
        <v>Unlikely</v>
      </c>
      <c r="BG281" s="47"/>
      <c r="BH281" s="47" t="str">
        <f>INDEX(Table5[[#All],[Ovr]],MATCH(Table3[[#This Row],[PID]],Table5[[#All],[PID]],0))</f>
        <v/>
      </c>
      <c r="BI281" s="47" t="str">
        <f>INDEX(Table5[[#All],[Rnd]],MATCH(Table3[[#This Row],[PID]],Table5[[#All],[PID]],0))</f>
        <v/>
      </c>
      <c r="BJ281" s="47" t="str">
        <f>INDEX(Table5[[#All],[Pick]],MATCH(Table3[[#This Row],[PID]],Table5[[#All],[PID]],0))</f>
        <v/>
      </c>
      <c r="BK281" s="47" t="str">
        <f>INDEX(Table5[[#All],[Team]],MATCH(Table3[[#This Row],[PID]],Table5[[#All],[PID]],0))</f>
        <v/>
      </c>
      <c r="BL2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2" spans="1:64" ht="15" customHeight="1" x14ac:dyDescent="0.25">
      <c r="A282" s="42">
        <v>8616</v>
      </c>
      <c r="B282" s="42" t="s">
        <v>49</v>
      </c>
      <c r="C282" s="42" t="s">
        <v>156</v>
      </c>
      <c r="D282" s="42" t="s">
        <v>1546</v>
      </c>
      <c r="E282" s="42">
        <v>18</v>
      </c>
      <c r="F282" s="42" t="s">
        <v>53</v>
      </c>
      <c r="G282" s="42" t="s">
        <v>53</v>
      </c>
      <c r="H282" s="43" t="s">
        <v>721</v>
      </c>
      <c r="I282" s="44" t="s">
        <v>43</v>
      </c>
      <c r="J282" s="42" t="s">
        <v>47</v>
      </c>
      <c r="K282" s="43" t="s">
        <v>43</v>
      </c>
      <c r="L282" s="42">
        <v>2</v>
      </c>
      <c r="M282" s="42">
        <v>2</v>
      </c>
      <c r="N282" s="43">
        <v>1</v>
      </c>
      <c r="O282" s="42">
        <v>5</v>
      </c>
      <c r="P282" s="42">
        <v>2</v>
      </c>
      <c r="Q282" s="43">
        <v>2</v>
      </c>
      <c r="R282" s="42">
        <v>4</v>
      </c>
      <c r="S282" s="42">
        <v>7</v>
      </c>
      <c r="T282" s="42" t="s">
        <v>45</v>
      </c>
      <c r="U282" s="42" t="s">
        <v>45</v>
      </c>
      <c r="V282" s="42" t="s">
        <v>45</v>
      </c>
      <c r="W282" s="42" t="s">
        <v>45</v>
      </c>
      <c r="X282" s="42">
        <v>2</v>
      </c>
      <c r="Y282" s="42">
        <v>7</v>
      </c>
      <c r="Z282" s="42" t="s">
        <v>45</v>
      </c>
      <c r="AA282" s="42" t="s">
        <v>45</v>
      </c>
      <c r="AB282" s="42" t="s">
        <v>45</v>
      </c>
      <c r="AC282" s="42" t="s">
        <v>45</v>
      </c>
      <c r="AD282" s="42" t="s">
        <v>45</v>
      </c>
      <c r="AE282" s="42" t="s">
        <v>45</v>
      </c>
      <c r="AF282" s="42" t="s">
        <v>45</v>
      </c>
      <c r="AG282" s="42" t="s">
        <v>45</v>
      </c>
      <c r="AH282" s="42" t="s">
        <v>45</v>
      </c>
      <c r="AI282" s="42" t="s">
        <v>45</v>
      </c>
      <c r="AJ282" s="42" t="s">
        <v>45</v>
      </c>
      <c r="AK282" s="42" t="s">
        <v>45</v>
      </c>
      <c r="AL282" s="42" t="s">
        <v>45</v>
      </c>
      <c r="AM282" s="42" t="s">
        <v>45</v>
      </c>
      <c r="AN282" s="42" t="s">
        <v>45</v>
      </c>
      <c r="AO282" s="43" t="s">
        <v>45</v>
      </c>
      <c r="AP282" s="42" t="s">
        <v>57</v>
      </c>
      <c r="AQ282" s="42">
        <v>2</v>
      </c>
      <c r="AR282" s="50" t="s">
        <v>353</v>
      </c>
      <c r="AS282" s="45" t="s">
        <v>718</v>
      </c>
      <c r="AT282" s="45" t="s">
        <v>47</v>
      </c>
      <c r="AU282" s="46">
        <f>($O$3*(L282-$O$1)/$O$2+$P$3*(M282-$P$1)/$P$2+$Q$3*(N282-$P$1)/$Q$2)/SUM($O$3:$Q$3)</f>
        <v>-2.311361197028369</v>
      </c>
      <c r="AV282" s="46">
        <f>($O$3*(O282-$O$1)/$O$2+$P$3*(P282-$P$1)/$P$2+$Q$3*(Q282-$Q$1)/$Q$2)/SUM($O$3:$Q$3)</f>
        <v>-1.0394719067096667</v>
      </c>
      <c r="AW282" s="47">
        <f>COUNT(R282:AO282)/2</f>
        <v>2</v>
      </c>
      <c r="AX282" s="47">
        <f>IF(AND(S282&lt;&gt;"-",S282&gt;5),1,0)+IF(AND(U282&lt;&gt;"-",U282&gt;5),1,0)+IF(AND(W282&lt;&gt;"-",W282&gt;5),1,0)+IF(AND(Y282&lt;&gt;"-",Y282&gt;5),1,0)+IF(AND(AA282&lt;&gt;"-",AA282&gt;5),1,0)+IF(AND(AC282&lt;&gt;"-",AC282&gt;5),1,0)+IF(AND(AE282&lt;&gt;"-",AE282&gt;5),1,0)+IF(AND(AG282&lt;&gt;"-",AG282&gt;5),1,0)+IF(AND(AI282&lt;&gt;"-",AI282&gt;5),1,0)+IF(AND(AK282&lt;&gt;"-",AK282&gt;5),1,0)+IF(AND(AM282&lt;&gt;"-",AM282&gt;5),1,0)+IF(AND(AO282&lt;&gt;"-",AO282&gt;5),1,0)</f>
        <v>2</v>
      </c>
      <c r="AY282" s="48">
        <f>VLOOKUP(AP282,COND!$A$10:$B$32,2,FALSE)</f>
        <v>1</v>
      </c>
      <c r="AZ282" s="46">
        <f>($AU$3*AU282+$AV$3*AV282+$AW$3*AW282+$AX$3*AX282)*AY282*IF(AQ282&lt;5,0.95,IF(AQ282&lt;7,0.975,1))+$I$3*VLOOKUP(I282,COND!$A$2:$E$7,4,FALSE)+$J$3*VLOOKUP(J282,COND!$A$2:$E$7,2,FALSE)+$K$3*VLOOKUP(K282,COND!$A$2:$E$7,3,FALSE)+IF(BB282="SP",$BB$3,0)+IF($AW282&lt;3,-5,0)+IF(AND($B$2&gt;0,$E282&lt;20),$B$2*25,0)</f>
        <v>28.435875145080946</v>
      </c>
      <c r="BA282" s="49">
        <f>STANDARDIZE(AZ282,AVERAGE($AZ$5:$AZ$570),STDEVP($AZ$5:$AZ$570))</f>
        <v>-0.39307897286831905</v>
      </c>
      <c r="BB282" s="47" t="str">
        <f>IF(OR(AND(AQ282&gt;7,AX282&gt;1),AND(AQ282&gt;4,AW282&gt;2)),"SP","RP")</f>
        <v>RP</v>
      </c>
      <c r="BC282" s="47"/>
      <c r="BD282" s="47"/>
      <c r="BE282" s="47"/>
      <c r="BF282" s="47" t="str">
        <f>IF(AVERAGE($O282:$Q282)&gt;=6,"Likely",IF(AVERAGE($O282:$Q282)&gt;=4,"Possible","Unlikely"))</f>
        <v>Unlikely</v>
      </c>
      <c r="BG282" s="47"/>
      <c r="BH282" s="47" t="str">
        <f>INDEX(Table5[[#All],[Ovr]],MATCH(Table3[[#This Row],[PID]],Table5[[#All],[PID]],0))</f>
        <v/>
      </c>
      <c r="BI282" s="47" t="str">
        <f>INDEX(Table5[[#All],[Rnd]],MATCH(Table3[[#This Row],[PID]],Table5[[#All],[PID]],0))</f>
        <v/>
      </c>
      <c r="BJ282" s="47" t="str">
        <f>INDEX(Table5[[#All],[Pick]],MATCH(Table3[[#This Row],[PID]],Table5[[#All],[PID]],0))</f>
        <v/>
      </c>
      <c r="BK282" s="47" t="str">
        <f>INDEX(Table5[[#All],[Team]],MATCH(Table3[[#This Row],[PID]],Table5[[#All],[PID]],0))</f>
        <v/>
      </c>
      <c r="BL2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3" spans="1:64" ht="15" customHeight="1" x14ac:dyDescent="0.25">
      <c r="A283" s="42">
        <v>6223</v>
      </c>
      <c r="B283" s="42" t="s">
        <v>24</v>
      </c>
      <c r="C283" s="42" t="s">
        <v>1719</v>
      </c>
      <c r="D283" s="42" t="s">
        <v>1720</v>
      </c>
      <c r="E283" s="42">
        <v>18</v>
      </c>
      <c r="F283" s="42" t="s">
        <v>42</v>
      </c>
      <c r="G283" s="42" t="s">
        <v>42</v>
      </c>
      <c r="H283" s="43" t="s">
        <v>721</v>
      </c>
      <c r="I283" s="44" t="s">
        <v>43</v>
      </c>
      <c r="J283" s="42" t="s">
        <v>47</v>
      </c>
      <c r="K283" s="43" t="s">
        <v>43</v>
      </c>
      <c r="L283" s="42">
        <v>1</v>
      </c>
      <c r="M283" s="42">
        <v>1</v>
      </c>
      <c r="N283" s="43">
        <v>1</v>
      </c>
      <c r="O283" s="42">
        <v>4</v>
      </c>
      <c r="P283" s="42">
        <v>1</v>
      </c>
      <c r="Q283" s="43">
        <v>2</v>
      </c>
      <c r="R283" s="42">
        <v>4</v>
      </c>
      <c r="S283" s="42">
        <v>6</v>
      </c>
      <c r="T283" s="42">
        <v>1</v>
      </c>
      <c r="U283" s="42">
        <v>7</v>
      </c>
      <c r="V283" s="42">
        <v>2</v>
      </c>
      <c r="W283" s="42">
        <v>6</v>
      </c>
      <c r="X283" s="42" t="s">
        <v>45</v>
      </c>
      <c r="Y283" s="42" t="s">
        <v>45</v>
      </c>
      <c r="Z283" s="42" t="s">
        <v>45</v>
      </c>
      <c r="AA283" s="42" t="s">
        <v>45</v>
      </c>
      <c r="AB283" s="42" t="s">
        <v>45</v>
      </c>
      <c r="AC283" s="42" t="s">
        <v>45</v>
      </c>
      <c r="AD283" s="42" t="s">
        <v>45</v>
      </c>
      <c r="AE283" s="42" t="s">
        <v>45</v>
      </c>
      <c r="AF283" s="42" t="s">
        <v>45</v>
      </c>
      <c r="AG283" s="42" t="s">
        <v>45</v>
      </c>
      <c r="AH283" s="42" t="s">
        <v>45</v>
      </c>
      <c r="AI283" s="42" t="s">
        <v>45</v>
      </c>
      <c r="AJ283" s="42" t="s">
        <v>45</v>
      </c>
      <c r="AK283" s="42" t="s">
        <v>45</v>
      </c>
      <c r="AL283" s="42" t="s">
        <v>45</v>
      </c>
      <c r="AM283" s="42" t="s">
        <v>45</v>
      </c>
      <c r="AN283" s="42" t="s">
        <v>45</v>
      </c>
      <c r="AO283" s="43" t="s">
        <v>45</v>
      </c>
      <c r="AP283" s="42" t="s">
        <v>57</v>
      </c>
      <c r="AQ283" s="42">
        <v>8</v>
      </c>
      <c r="AR283" s="50" t="s">
        <v>14</v>
      </c>
      <c r="AS283" s="45" t="s">
        <v>718</v>
      </c>
      <c r="AT283" s="45" t="s">
        <v>705</v>
      </c>
      <c r="AU283" s="46">
        <f>($O$3*(L283-$O$1)/$O$2+$P$3*(M283-$P$1)/$P$2+$Q$3*(N283-$P$1)/$Q$2)/SUM($O$3:$Q$3)</f>
        <v>-2.7014842379675978</v>
      </c>
      <c r="AV283" s="46">
        <f>($O$3*(O283-$O$1)/$O$2+$P$3*(P283-$P$1)/$P$2+$Q$3*(Q283-$Q$1)/$Q$2)/SUM($O$3:$Q$3)</f>
        <v>-1.4295949476488956</v>
      </c>
      <c r="AW283" s="47">
        <f>COUNT(R283:AO283)/2</f>
        <v>3</v>
      </c>
      <c r="AX283" s="47">
        <f>IF(AND(S283&lt;&gt;"-",S283&gt;5),1,0)+IF(AND(U283&lt;&gt;"-",U283&gt;5),1,0)+IF(AND(W283&lt;&gt;"-",W283&gt;5),1,0)+IF(AND(Y283&lt;&gt;"-",Y283&gt;5),1,0)+IF(AND(AA283&lt;&gt;"-",AA283&gt;5),1,0)+IF(AND(AC283&lt;&gt;"-",AC283&gt;5),1,0)+IF(AND(AE283&lt;&gt;"-",AE283&gt;5),1,0)+IF(AND(AG283&lt;&gt;"-",AG283&gt;5),1,0)+IF(AND(AI283&lt;&gt;"-",AI283&gt;5),1,0)+IF(AND(AK283&lt;&gt;"-",AK283&gt;5),1,0)+IF(AND(AM283&lt;&gt;"-",AM283&gt;5),1,0)+IF(AND(AO283&lt;&gt;"-",AO283&gt;5),1,0)</f>
        <v>3</v>
      </c>
      <c r="AY283" s="48">
        <f>VLOOKUP(AP283,COND!$A$10:$B$32,2,FALSE)</f>
        <v>1</v>
      </c>
      <c r="AZ283" s="46">
        <f>($AU$3*AU283+$AV$3*AV283+$AW$3*AW283+$AX$3*AX283)*AY283*IF(AQ283&lt;5,0.95,IF(AQ283&lt;7,0.975,1))+$I$3*VLOOKUP(I283,COND!$A$2:$E$7,4,FALSE)+$J$3*VLOOKUP(J283,COND!$A$2:$E$7,2,FALSE)+$K$3*VLOOKUP(K283,COND!$A$2:$E$7,3,FALSE)+IF(BB283="SP",$BB$3,0)+IF($AW283&lt;3,-5,0)+IF(AND($B$2&gt;0,$E283&lt;20),$B$2*25,0)</f>
        <v>28.417804199428566</v>
      </c>
      <c r="BA283" s="49">
        <f>STANDARDIZE(AZ283,AVERAGE($AZ$5:$AZ$570),STDEVP($AZ$5:$AZ$570))</f>
        <v>-0.39473615582148724</v>
      </c>
      <c r="BB283" s="47" t="str">
        <f>IF(OR(AND(AQ283&gt;7,AX283&gt;1),AND(AQ283&gt;4,AW283&gt;2)),"SP","RP")</f>
        <v>SP</v>
      </c>
      <c r="BC283" s="47"/>
      <c r="BD283" s="47"/>
      <c r="BE283" s="47"/>
      <c r="BF283" s="47" t="str">
        <f>IF(AVERAGE($O283:$Q283)&gt;=6,"Likely",IF(AVERAGE($O283:$Q283)&gt;=4,"Possible","Unlikely"))</f>
        <v>Unlikely</v>
      </c>
      <c r="BG283" s="47"/>
      <c r="BH283" s="47" t="str">
        <f>INDEX(Table5[[#All],[Ovr]],MATCH(Table3[[#This Row],[PID]],Table5[[#All],[PID]],0))</f>
        <v/>
      </c>
      <c r="BI283" s="47" t="str">
        <f>INDEX(Table5[[#All],[Rnd]],MATCH(Table3[[#This Row],[PID]],Table5[[#All],[PID]],0))</f>
        <v/>
      </c>
      <c r="BJ283" s="47" t="str">
        <f>INDEX(Table5[[#All],[Pick]],MATCH(Table3[[#This Row],[PID]],Table5[[#All],[PID]],0))</f>
        <v/>
      </c>
      <c r="BK283" s="47" t="str">
        <f>INDEX(Table5[[#All],[Team]],MATCH(Table3[[#This Row],[PID]],Table5[[#All],[PID]],0))</f>
        <v/>
      </c>
      <c r="BL2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4" spans="1:64" ht="15" customHeight="1" x14ac:dyDescent="0.25">
      <c r="A284" s="42">
        <v>6430</v>
      </c>
      <c r="B284" s="42" t="s">
        <v>430</v>
      </c>
      <c r="C284" s="42" t="s">
        <v>1724</v>
      </c>
      <c r="D284" s="42" t="s">
        <v>1725</v>
      </c>
      <c r="E284" s="42">
        <v>18</v>
      </c>
      <c r="F284" s="42" t="s">
        <v>42</v>
      </c>
      <c r="G284" s="42" t="s">
        <v>42</v>
      </c>
      <c r="H284" s="43" t="s">
        <v>721</v>
      </c>
      <c r="I284" s="44" t="s">
        <v>43</v>
      </c>
      <c r="J284" s="42" t="s">
        <v>44</v>
      </c>
      <c r="K284" s="43" t="s">
        <v>43</v>
      </c>
      <c r="L284" s="42">
        <v>1</v>
      </c>
      <c r="M284" s="42">
        <v>2</v>
      </c>
      <c r="N284" s="43">
        <v>1</v>
      </c>
      <c r="O284" s="42">
        <v>4</v>
      </c>
      <c r="P284" s="42">
        <v>2</v>
      </c>
      <c r="Q284" s="43">
        <v>2</v>
      </c>
      <c r="R284" s="42">
        <v>2</v>
      </c>
      <c r="S284" s="42">
        <v>4</v>
      </c>
      <c r="T284" s="42">
        <v>1</v>
      </c>
      <c r="U284" s="42">
        <v>1</v>
      </c>
      <c r="V284" s="42">
        <v>2</v>
      </c>
      <c r="W284" s="42">
        <v>5</v>
      </c>
      <c r="X284" s="42" t="s">
        <v>45</v>
      </c>
      <c r="Y284" s="42" t="s">
        <v>45</v>
      </c>
      <c r="Z284" s="42" t="s">
        <v>45</v>
      </c>
      <c r="AA284" s="42" t="s">
        <v>45</v>
      </c>
      <c r="AB284" s="42" t="s">
        <v>45</v>
      </c>
      <c r="AC284" s="42" t="s">
        <v>45</v>
      </c>
      <c r="AD284" s="42" t="s">
        <v>45</v>
      </c>
      <c r="AE284" s="42" t="s">
        <v>45</v>
      </c>
      <c r="AF284" s="42" t="s">
        <v>45</v>
      </c>
      <c r="AG284" s="42" t="s">
        <v>45</v>
      </c>
      <c r="AH284" s="42" t="s">
        <v>45</v>
      </c>
      <c r="AI284" s="42" t="s">
        <v>45</v>
      </c>
      <c r="AJ284" s="42" t="s">
        <v>45</v>
      </c>
      <c r="AK284" s="42" t="s">
        <v>45</v>
      </c>
      <c r="AL284" s="42" t="s">
        <v>45</v>
      </c>
      <c r="AM284" s="42" t="s">
        <v>45</v>
      </c>
      <c r="AN284" s="42" t="s">
        <v>45</v>
      </c>
      <c r="AO284" s="43" t="s">
        <v>45</v>
      </c>
      <c r="AP284" s="42" t="s">
        <v>65</v>
      </c>
      <c r="AQ284" s="42">
        <v>5</v>
      </c>
      <c r="AR284" s="50" t="s">
        <v>353</v>
      </c>
      <c r="AS284" s="45" t="s">
        <v>718</v>
      </c>
      <c r="AT284" s="45" t="s">
        <v>47</v>
      </c>
      <c r="AU284" s="46">
        <f>($O$3*(L284-$O$1)/$O$2+$P$3*(M284-$P$1)/$P$2+$Q$3*(N284-$P$1)/$Q$2)/SUM($O$3:$Q$3)</f>
        <v>-2.5060525215375429</v>
      </c>
      <c r="AV284" s="46">
        <f>($O$3*(O284-$O$1)/$O$2+$P$3*(P284-$P$1)/$P$2+$Q$3*(Q284-$Q$1)/$Q$2)/SUM($O$3:$Q$3)</f>
        <v>-1.23416323121884</v>
      </c>
      <c r="AW284" s="47">
        <f>COUNT(R284:AO284)/2</f>
        <v>3</v>
      </c>
      <c r="AX284" s="47">
        <f>IF(AND(S284&lt;&gt;"-",S284&gt;5),1,0)+IF(AND(U284&lt;&gt;"-",U284&gt;5),1,0)+IF(AND(W284&lt;&gt;"-",W284&gt;5),1,0)+IF(AND(Y284&lt;&gt;"-",Y284&gt;5),1,0)+IF(AND(AA284&lt;&gt;"-",AA284&gt;5),1,0)+IF(AND(AC284&lt;&gt;"-",AC284&gt;5),1,0)+IF(AND(AE284&lt;&gt;"-",AE284&gt;5),1,0)+IF(AND(AG284&lt;&gt;"-",AG284&gt;5),1,0)+IF(AND(AI284&lt;&gt;"-",AI284&gt;5),1,0)+IF(AND(AK284&lt;&gt;"-",AK284&gt;5),1,0)+IF(AND(AM284&lt;&gt;"-",AM284&gt;5),1,0)+IF(AND(AO284&lt;&gt;"-",AO284&gt;5),1,0)</f>
        <v>0</v>
      </c>
      <c r="AY284" s="48">
        <f>VLOOKUP(AP284,COND!$A$10:$B$32,2,FALSE)</f>
        <v>0.95</v>
      </c>
      <c r="AZ284" s="46">
        <f>($AU$3*AU284+$AV$3*AV284+$AW$3*AW284+$AX$3*AX284)*AY284*IF(AQ284&lt;5,0.95,IF(AQ284&lt;7,0.975,1))+$I$3*VLOOKUP(I284,COND!$A$2:$E$7,4,FALSE)+$J$3*VLOOKUP(J284,COND!$A$2:$E$7,2,FALSE)+$K$3*VLOOKUP(K284,COND!$A$2:$E$7,3,FALSE)+IF(BB284="SP",$BB$3,0)+IF($AW284&lt;3,-5,0)+IF(AND($B$2&gt;0,$E284&lt;20),$B$2*25,0)</f>
        <v>29.762254912056161</v>
      </c>
      <c r="BA284" s="49">
        <f>STANDARDIZE(AZ284,AVERAGE($AZ$5:$AZ$570),STDEVP($AZ$5:$AZ$570))</f>
        <v>-0.27144427917042058</v>
      </c>
      <c r="BB284" s="47" t="str">
        <f>IF(OR(AND(AQ284&gt;7,AX284&gt;1),AND(AQ284&gt;4,AW284&gt;2)),"SP","RP")</f>
        <v>SP</v>
      </c>
      <c r="BC284" s="47"/>
      <c r="BD284" s="47"/>
      <c r="BE284" s="47"/>
      <c r="BF284" s="47" t="str">
        <f>IF(AVERAGE($O284:$Q284)&gt;=6,"Likely",IF(AVERAGE($O284:$Q284)&gt;=4,"Possible","Unlikely"))</f>
        <v>Unlikely</v>
      </c>
      <c r="BG284" s="47"/>
      <c r="BH284" s="47" t="str">
        <f>INDEX(Table5[[#All],[Ovr]],MATCH(Table3[[#This Row],[PID]],Table5[[#All],[PID]],0))</f>
        <v/>
      </c>
      <c r="BI284" s="47" t="str">
        <f>INDEX(Table5[[#All],[Rnd]],MATCH(Table3[[#This Row],[PID]],Table5[[#All],[PID]],0))</f>
        <v/>
      </c>
      <c r="BJ284" s="47" t="str">
        <f>INDEX(Table5[[#All],[Pick]],MATCH(Table3[[#This Row],[PID]],Table5[[#All],[PID]],0))</f>
        <v/>
      </c>
      <c r="BK284" s="47" t="str">
        <f>INDEX(Table5[[#All],[Team]],MATCH(Table3[[#This Row],[PID]],Table5[[#All],[PID]],0))</f>
        <v/>
      </c>
      <c r="BL2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5" spans="1:64" ht="15" customHeight="1" x14ac:dyDescent="0.25">
      <c r="A285" s="42">
        <v>9470</v>
      </c>
      <c r="B285" s="42" t="s">
        <v>430</v>
      </c>
      <c r="C285" s="42" t="s">
        <v>1089</v>
      </c>
      <c r="D285" s="42" t="s">
        <v>654</v>
      </c>
      <c r="E285" s="42">
        <v>21</v>
      </c>
      <c r="F285" s="42" t="s">
        <v>42</v>
      </c>
      <c r="G285" s="42" t="s">
        <v>42</v>
      </c>
      <c r="H285" s="43" t="s">
        <v>721</v>
      </c>
      <c r="I285" s="44" t="s">
        <v>43</v>
      </c>
      <c r="J285" s="42" t="s">
        <v>43</v>
      </c>
      <c r="K285" s="43" t="s">
        <v>43</v>
      </c>
      <c r="L285" s="42">
        <v>3</v>
      </c>
      <c r="M285" s="42">
        <v>2</v>
      </c>
      <c r="N285" s="43">
        <v>1</v>
      </c>
      <c r="O285" s="42">
        <v>5</v>
      </c>
      <c r="P285" s="42">
        <v>2</v>
      </c>
      <c r="Q285" s="43">
        <v>2</v>
      </c>
      <c r="R285" s="42">
        <v>4</v>
      </c>
      <c r="S285" s="42">
        <v>6</v>
      </c>
      <c r="T285" s="42">
        <v>1</v>
      </c>
      <c r="U285" s="42">
        <v>3</v>
      </c>
      <c r="V285" s="42" t="s">
        <v>45</v>
      </c>
      <c r="W285" s="42" t="s">
        <v>45</v>
      </c>
      <c r="X285" s="42" t="s">
        <v>45</v>
      </c>
      <c r="Y285" s="42" t="s">
        <v>45</v>
      </c>
      <c r="Z285" s="42">
        <v>4</v>
      </c>
      <c r="AA285" s="42">
        <v>5</v>
      </c>
      <c r="AB285" s="42" t="s">
        <v>45</v>
      </c>
      <c r="AC285" s="42" t="s">
        <v>45</v>
      </c>
      <c r="AD285" s="42" t="s">
        <v>45</v>
      </c>
      <c r="AE285" s="42" t="s">
        <v>45</v>
      </c>
      <c r="AF285" s="42" t="s">
        <v>45</v>
      </c>
      <c r="AG285" s="42" t="s">
        <v>45</v>
      </c>
      <c r="AH285" s="42" t="s">
        <v>45</v>
      </c>
      <c r="AI285" s="42" t="s">
        <v>45</v>
      </c>
      <c r="AJ285" s="42" t="s">
        <v>45</v>
      </c>
      <c r="AK285" s="42" t="s">
        <v>45</v>
      </c>
      <c r="AL285" s="42" t="s">
        <v>45</v>
      </c>
      <c r="AM285" s="42" t="s">
        <v>45</v>
      </c>
      <c r="AN285" s="42" t="s">
        <v>45</v>
      </c>
      <c r="AO285" s="43" t="s">
        <v>45</v>
      </c>
      <c r="AP285" s="42" t="s">
        <v>57</v>
      </c>
      <c r="AQ285" s="42">
        <v>6</v>
      </c>
      <c r="AR285" s="50" t="s">
        <v>352</v>
      </c>
      <c r="AS285" s="45" t="s">
        <v>45</v>
      </c>
      <c r="AT285" s="45" t="s">
        <v>705</v>
      </c>
      <c r="AU285" s="46">
        <f>($O$3*(L285-$O$1)/$O$2+$P$3*(M285-$P$1)/$P$2+$Q$3*(N285-$P$1)/$Q$2)/SUM($O$3:$Q$3)</f>
        <v>-2.1166698725191955</v>
      </c>
      <c r="AV285" s="46">
        <f>($O$3*(O285-$O$1)/$O$2+$P$3*(P285-$P$1)/$P$2+$Q$3*(Q285-$Q$1)/$Q$2)/SUM($O$3:$Q$3)</f>
        <v>-1.0394719067096667</v>
      </c>
      <c r="AW285" s="47">
        <f>COUNT(R285:AO285)/2</f>
        <v>3</v>
      </c>
      <c r="AX285" s="47">
        <f>IF(AND(S285&lt;&gt;"-",S285&gt;5),1,0)+IF(AND(U285&lt;&gt;"-",U285&gt;5),1,0)+IF(AND(W285&lt;&gt;"-",W285&gt;5),1,0)+IF(AND(Y285&lt;&gt;"-",Y285&gt;5),1,0)+IF(AND(AA285&lt;&gt;"-",AA285&gt;5),1,0)+IF(AND(AC285&lt;&gt;"-",AC285&gt;5),1,0)+IF(AND(AE285&lt;&gt;"-",AE285&gt;5),1,0)+IF(AND(AG285&lt;&gt;"-",AG285&gt;5),1,0)+IF(AND(AI285&lt;&gt;"-",AI285&gt;5),1,0)+IF(AND(AK285&lt;&gt;"-",AK285&gt;5),1,0)+IF(AND(AM285&lt;&gt;"-",AM285&gt;5),1,0)+IF(AND(AO285&lt;&gt;"-",AO285&gt;5),1,0)</f>
        <v>1</v>
      </c>
      <c r="AY285" s="48">
        <f>VLOOKUP(AP285,COND!$A$10:$B$32,2,FALSE)</f>
        <v>1</v>
      </c>
      <c r="AZ285" s="46">
        <f>($AU$3*AU285+$AV$3*AV285+$AW$3*AW285+$AX$3*AX285)*AY285*IF(AQ285&lt;5,0.95,IF(AQ285&lt;7,0.975,1))+$I$3*VLOOKUP(I285,COND!$A$2:$E$7,4,FALSE)+$J$3*VLOOKUP(J285,COND!$A$2:$E$7,2,FALSE)+$K$3*VLOOKUP(K285,COND!$A$2:$E$7,3,FALSE)+IF(BB285="SP",$BB$3,0)+IF($AW285&lt;3,-5,0)+IF(AND($B$2&gt;0,$E285&lt;20),$B$2*25,0)</f>
        <v>28.998797194020256</v>
      </c>
      <c r="BA285" s="49">
        <f>STANDARDIZE(AZ285,AVERAGE($AZ$5:$AZ$570),STDEVP($AZ$5:$AZ$570))</f>
        <v>-0.34145661500118052</v>
      </c>
      <c r="BB285" s="47" t="str">
        <f>IF(OR(AND(AQ285&gt;7,AX285&gt;1),AND(AQ285&gt;4,AW285&gt;2)),"SP","RP")</f>
        <v>SP</v>
      </c>
      <c r="BC285" s="47"/>
      <c r="BD285" s="47"/>
      <c r="BE285" s="47"/>
      <c r="BF285" s="47" t="str">
        <f>IF(AVERAGE($O285:$Q285)&gt;=6,"Likely",IF(AVERAGE($O285:$Q285)&gt;=4,"Possible","Unlikely"))</f>
        <v>Unlikely</v>
      </c>
      <c r="BG285" s="47"/>
      <c r="BH285" s="47" t="str">
        <f>INDEX(Table5[[#All],[Ovr]],MATCH(Table3[[#This Row],[PID]],Table5[[#All],[PID]],0))</f>
        <v/>
      </c>
      <c r="BI285" s="47" t="str">
        <f>INDEX(Table5[[#All],[Rnd]],MATCH(Table3[[#This Row],[PID]],Table5[[#All],[PID]],0))</f>
        <v/>
      </c>
      <c r="BJ285" s="47" t="str">
        <f>INDEX(Table5[[#All],[Pick]],MATCH(Table3[[#This Row],[PID]],Table5[[#All],[PID]],0))</f>
        <v/>
      </c>
      <c r="BK285" s="47" t="str">
        <f>INDEX(Table5[[#All],[Team]],MATCH(Table3[[#This Row],[PID]],Table5[[#All],[PID]],0))</f>
        <v/>
      </c>
      <c r="BL2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6" spans="1:64" ht="15" customHeight="1" x14ac:dyDescent="0.25">
      <c r="A286" s="42">
        <v>5776</v>
      </c>
      <c r="B286" s="42" t="s">
        <v>430</v>
      </c>
      <c r="C286" s="42" t="s">
        <v>128</v>
      </c>
      <c r="D286" s="42" t="s">
        <v>178</v>
      </c>
      <c r="E286" s="42">
        <v>18</v>
      </c>
      <c r="F286" s="42" t="s">
        <v>42</v>
      </c>
      <c r="G286" s="42" t="s">
        <v>42</v>
      </c>
      <c r="H286" s="43" t="s">
        <v>721</v>
      </c>
      <c r="I286" s="44" t="s">
        <v>43</v>
      </c>
      <c r="J286" s="42" t="s">
        <v>43</v>
      </c>
      <c r="K286" s="43" t="s">
        <v>43</v>
      </c>
      <c r="L286" s="42">
        <v>2</v>
      </c>
      <c r="M286" s="42">
        <v>1</v>
      </c>
      <c r="N286" s="43">
        <v>1</v>
      </c>
      <c r="O286" s="42">
        <v>5</v>
      </c>
      <c r="P286" s="42">
        <v>1</v>
      </c>
      <c r="Q286" s="43">
        <v>2</v>
      </c>
      <c r="R286" s="42">
        <v>5</v>
      </c>
      <c r="S286" s="42">
        <v>6</v>
      </c>
      <c r="T286" s="42" t="s">
        <v>45</v>
      </c>
      <c r="U286" s="42" t="s">
        <v>45</v>
      </c>
      <c r="V286" s="42">
        <v>2</v>
      </c>
      <c r="W286" s="42">
        <v>5</v>
      </c>
      <c r="X286" s="42">
        <v>3</v>
      </c>
      <c r="Y286" s="42">
        <v>5</v>
      </c>
      <c r="Z286" s="42" t="s">
        <v>45</v>
      </c>
      <c r="AA286" s="42" t="s">
        <v>45</v>
      </c>
      <c r="AB286" s="42" t="s">
        <v>45</v>
      </c>
      <c r="AC286" s="42" t="s">
        <v>45</v>
      </c>
      <c r="AD286" s="42" t="s">
        <v>45</v>
      </c>
      <c r="AE286" s="42" t="s">
        <v>45</v>
      </c>
      <c r="AF286" s="42" t="s">
        <v>45</v>
      </c>
      <c r="AG286" s="42" t="s">
        <v>45</v>
      </c>
      <c r="AH286" s="42" t="s">
        <v>45</v>
      </c>
      <c r="AI286" s="42" t="s">
        <v>45</v>
      </c>
      <c r="AJ286" s="42" t="s">
        <v>45</v>
      </c>
      <c r="AK286" s="42" t="s">
        <v>45</v>
      </c>
      <c r="AL286" s="42" t="s">
        <v>45</v>
      </c>
      <c r="AM286" s="42" t="s">
        <v>45</v>
      </c>
      <c r="AN286" s="42" t="s">
        <v>45</v>
      </c>
      <c r="AO286" s="43" t="s">
        <v>45</v>
      </c>
      <c r="AP286" s="42" t="s">
        <v>60</v>
      </c>
      <c r="AQ286" s="42">
        <v>7</v>
      </c>
      <c r="AR286" s="50" t="s">
        <v>353</v>
      </c>
      <c r="AS286" s="45" t="s">
        <v>718</v>
      </c>
      <c r="AT286" s="45" t="s">
        <v>705</v>
      </c>
      <c r="AU286" s="46">
        <f>($O$3*(L286-$O$1)/$O$2+$P$3*(M286-$P$1)/$P$2+$Q$3*(N286-$P$1)/$Q$2)/SUM($O$3:$Q$3)</f>
        <v>-2.5067929134584248</v>
      </c>
      <c r="AV286" s="46">
        <f>($O$3*(O286-$O$1)/$O$2+$P$3*(P286-$P$1)/$P$2+$Q$3*(Q286-$Q$1)/$Q$2)/SUM($O$3:$Q$3)</f>
        <v>-1.2349036231397219</v>
      </c>
      <c r="AW286" s="47">
        <f>COUNT(R286:AO286)/2</f>
        <v>3</v>
      </c>
      <c r="AX286" s="47">
        <f>IF(AND(S286&lt;&gt;"-",S286&gt;5),1,0)+IF(AND(U286&lt;&gt;"-",U286&gt;5),1,0)+IF(AND(W286&lt;&gt;"-",W286&gt;5),1,0)+IF(AND(Y286&lt;&gt;"-",Y286&gt;5),1,0)+IF(AND(AA286&lt;&gt;"-",AA286&gt;5),1,0)+IF(AND(AC286&lt;&gt;"-",AC286&gt;5),1,0)+IF(AND(AE286&lt;&gt;"-",AE286&gt;5),1,0)+IF(AND(AG286&lt;&gt;"-",AG286&gt;5),1,0)+IF(AND(AI286&lt;&gt;"-",AI286&gt;5),1,0)+IF(AND(AK286&lt;&gt;"-",AK286&gt;5),1,0)+IF(AND(AM286&lt;&gt;"-",AM286&gt;5),1,0)+IF(AND(AO286&lt;&gt;"-",AO286&gt;5),1,0)</f>
        <v>1</v>
      </c>
      <c r="AY286" s="48">
        <f>VLOOKUP(AP286,COND!$A$10:$B$32,2,FALSE)</f>
        <v>1.0249999999999999</v>
      </c>
      <c r="AZ286" s="46">
        <f>($AU$3*AU286+$AV$3*AV286+$AW$3*AW286+$AX$3*AX286)*AY286*IF(AQ286&lt;5,0.95,IF(AQ286&lt;7,0.975,1))+$I$3*VLOOKUP(I286,COND!$A$2:$E$7,4,FALSE)+$J$3*VLOOKUP(J286,COND!$A$2:$E$7,2,FALSE)+$K$3*VLOOKUP(K286,COND!$A$2:$E$7,3,FALSE)+IF(BB286="SP",$BB$3,0)+IF($AW286&lt;3,-5,0)+IF(AND($B$2&gt;0,$E286&lt;20),$B$2*25,0)</f>
        <v>28.989333178376722</v>
      </c>
      <c r="BA286" s="49">
        <f>STANDARDIZE(AZ286,AVERAGE($AZ$5:$AZ$570),STDEVP($AZ$5:$AZ$570))</f>
        <v>-0.34232450568574557</v>
      </c>
      <c r="BB286" s="47" t="str">
        <f>IF(OR(AND(AQ286&gt;7,AX286&gt;1),AND(AQ286&gt;4,AW286&gt;2)),"SP","RP")</f>
        <v>SP</v>
      </c>
      <c r="BC286" s="47"/>
      <c r="BD286" s="47"/>
      <c r="BE286" s="47"/>
      <c r="BF286" s="47" t="str">
        <f>IF(AVERAGE($O286:$Q286)&gt;=6,"Likely",IF(AVERAGE($O286:$Q286)&gt;=4,"Possible","Unlikely"))</f>
        <v>Unlikely</v>
      </c>
      <c r="BG286" s="47"/>
      <c r="BH286" s="47" t="str">
        <f>INDEX(Table5[[#All],[Ovr]],MATCH(Table3[[#This Row],[PID]],Table5[[#All],[PID]],0))</f>
        <v/>
      </c>
      <c r="BI286" s="47" t="str">
        <f>INDEX(Table5[[#All],[Rnd]],MATCH(Table3[[#This Row],[PID]],Table5[[#All],[PID]],0))</f>
        <v/>
      </c>
      <c r="BJ286" s="47" t="str">
        <f>INDEX(Table5[[#All],[Pick]],MATCH(Table3[[#This Row],[PID]],Table5[[#All],[PID]],0))</f>
        <v/>
      </c>
      <c r="BK286" s="47" t="str">
        <f>INDEX(Table5[[#All],[Team]],MATCH(Table3[[#This Row],[PID]],Table5[[#All],[PID]],0))</f>
        <v/>
      </c>
      <c r="BL2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7" spans="1:64" ht="15" customHeight="1" x14ac:dyDescent="0.25">
      <c r="A287" s="42">
        <v>5567</v>
      </c>
      <c r="B287" s="42" t="s">
        <v>24</v>
      </c>
      <c r="C287" s="42" t="s">
        <v>205</v>
      </c>
      <c r="D287" s="42" t="s">
        <v>470</v>
      </c>
      <c r="E287" s="42">
        <v>21</v>
      </c>
      <c r="F287" s="42" t="s">
        <v>42</v>
      </c>
      <c r="G287" s="42" t="s">
        <v>53</v>
      </c>
      <c r="H287" s="43" t="s">
        <v>721</v>
      </c>
      <c r="I287" s="44" t="s">
        <v>47</v>
      </c>
      <c r="J287" s="42" t="s">
        <v>43</v>
      </c>
      <c r="K287" s="43" t="s">
        <v>43</v>
      </c>
      <c r="L287" s="42">
        <v>2</v>
      </c>
      <c r="M287" s="42">
        <v>2</v>
      </c>
      <c r="N287" s="43">
        <v>1</v>
      </c>
      <c r="O287" s="42">
        <v>5</v>
      </c>
      <c r="P287" s="42">
        <v>2</v>
      </c>
      <c r="Q287" s="43">
        <v>2</v>
      </c>
      <c r="R287" s="42">
        <v>4</v>
      </c>
      <c r="S287" s="42">
        <v>5</v>
      </c>
      <c r="T287" s="42">
        <v>1</v>
      </c>
      <c r="U287" s="42">
        <v>5</v>
      </c>
      <c r="V287" s="42">
        <v>2</v>
      </c>
      <c r="W287" s="42">
        <v>5</v>
      </c>
      <c r="X287" s="42">
        <v>2</v>
      </c>
      <c r="Y287" s="42">
        <v>5</v>
      </c>
      <c r="Z287" s="42" t="s">
        <v>45</v>
      </c>
      <c r="AA287" s="42" t="s">
        <v>45</v>
      </c>
      <c r="AB287" s="42">
        <v>3</v>
      </c>
      <c r="AC287" s="42">
        <v>5</v>
      </c>
      <c r="AD287" s="42" t="s">
        <v>45</v>
      </c>
      <c r="AE287" s="42" t="s">
        <v>45</v>
      </c>
      <c r="AF287" s="42">
        <v>3</v>
      </c>
      <c r="AG287" s="42">
        <v>5</v>
      </c>
      <c r="AH287" s="42" t="s">
        <v>45</v>
      </c>
      <c r="AI287" s="42" t="s">
        <v>45</v>
      </c>
      <c r="AJ287" s="42" t="s">
        <v>45</v>
      </c>
      <c r="AK287" s="42" t="s">
        <v>45</v>
      </c>
      <c r="AL287" s="42" t="s">
        <v>45</v>
      </c>
      <c r="AM287" s="42" t="s">
        <v>45</v>
      </c>
      <c r="AN287" s="42" t="s">
        <v>45</v>
      </c>
      <c r="AO287" s="43" t="s">
        <v>45</v>
      </c>
      <c r="AP287" s="42" t="s">
        <v>56</v>
      </c>
      <c r="AQ287" s="42">
        <v>7</v>
      </c>
      <c r="AR287" s="50" t="s">
        <v>353</v>
      </c>
      <c r="AS287" s="45" t="s">
        <v>45</v>
      </c>
      <c r="AT287" s="45" t="s">
        <v>705</v>
      </c>
      <c r="AU287" s="46">
        <f>($O$3*(L287-$O$1)/$O$2+$P$3*(M287-$P$1)/$P$2+$Q$3*(N287-$P$1)/$Q$2)/SUM($O$3:$Q$3)</f>
        <v>-2.311361197028369</v>
      </c>
      <c r="AV287" s="46">
        <f>($O$3*(O287-$O$1)/$O$2+$P$3*(P287-$P$1)/$P$2+$Q$3*(Q287-$Q$1)/$Q$2)/SUM($O$3:$Q$3)</f>
        <v>-1.0394719067096667</v>
      </c>
      <c r="AW287" s="47">
        <f>COUNT(R287:AO287)/2</f>
        <v>6</v>
      </c>
      <c r="AX287" s="47">
        <f>IF(AND(S287&lt;&gt;"-",S287&gt;5),1,0)+IF(AND(U287&lt;&gt;"-",U287&gt;5),1,0)+IF(AND(W287&lt;&gt;"-",W287&gt;5),1,0)+IF(AND(Y287&lt;&gt;"-",Y287&gt;5),1,0)+IF(AND(AA287&lt;&gt;"-",AA287&gt;5),1,0)+IF(AND(AC287&lt;&gt;"-",AC287&gt;5),1,0)+IF(AND(AE287&lt;&gt;"-",AE287&gt;5),1,0)+IF(AND(AG287&lt;&gt;"-",AG287&gt;5),1,0)+IF(AND(AI287&lt;&gt;"-",AI287&gt;5),1,0)+IF(AND(AK287&lt;&gt;"-",AK287&gt;5),1,0)+IF(AND(AM287&lt;&gt;"-",AM287&gt;5),1,0)+IF(AND(AO287&lt;&gt;"-",AO287&gt;5),1,0)</f>
        <v>0</v>
      </c>
      <c r="AY287" s="48">
        <f>VLOOKUP(AP287,COND!$A$10:$B$32,2,FALSE)</f>
        <v>1</v>
      </c>
      <c r="AZ287" s="46">
        <f>($AU$3*AU287+$AV$3*AV287+$AW$3*AW287+$AX$3*AX287)*AY287*IF(AQ287&lt;5,0.95,IF(AQ287&lt;7,0.975,1))+$I$3*VLOOKUP(I287,COND!$A$2:$E$7,4,FALSE)+$J$3*VLOOKUP(J287,COND!$A$2:$E$7,2,FALSE)+$K$3*VLOOKUP(K287,COND!$A$2:$E$7,3,FALSE)+IF(BB287="SP",$BB$3,0)+IF($AW287&lt;3,-5,0)+IF(AND($B$2&gt;0,$E287&lt;20),$B$2*25,0)</f>
        <v>28.973289626400991</v>
      </c>
      <c r="BA287" s="49">
        <f>STANDARDIZE(AZ287,AVERAGE($AZ$5:$AZ$570),STDEVP($AZ$5:$AZ$570))</f>
        <v>-0.34379576797350242</v>
      </c>
      <c r="BB287" s="47" t="str">
        <f>IF(OR(AND(AQ287&gt;7,AX287&gt;1),AND(AQ287&gt;4,AW287&gt;2)),"SP","RP")</f>
        <v>SP</v>
      </c>
      <c r="BC287" s="47"/>
      <c r="BD287" s="47"/>
      <c r="BE287" s="47"/>
      <c r="BF287" s="47" t="str">
        <f>IF(AVERAGE($O287:$Q287)&gt;=6,"Likely",IF(AVERAGE($O287:$Q287)&gt;=4,"Possible","Unlikely"))</f>
        <v>Unlikely</v>
      </c>
      <c r="BG287" s="47"/>
      <c r="BH287" s="47" t="str">
        <f>INDEX(Table5[[#All],[Ovr]],MATCH(Table3[[#This Row],[PID]],Table5[[#All],[PID]],0))</f>
        <v/>
      </c>
      <c r="BI287" s="47" t="str">
        <f>INDEX(Table5[[#All],[Rnd]],MATCH(Table3[[#This Row],[PID]],Table5[[#All],[PID]],0))</f>
        <v/>
      </c>
      <c r="BJ287" s="47" t="str">
        <f>INDEX(Table5[[#All],[Pick]],MATCH(Table3[[#This Row],[PID]],Table5[[#All],[PID]],0))</f>
        <v/>
      </c>
      <c r="BK287" s="47" t="str">
        <f>INDEX(Table5[[#All],[Team]],MATCH(Table3[[#This Row],[PID]],Table5[[#All],[PID]],0))</f>
        <v/>
      </c>
      <c r="BL2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8" spans="1:64" ht="15" customHeight="1" x14ac:dyDescent="0.25">
      <c r="A288" s="42">
        <v>14668</v>
      </c>
      <c r="B288" s="42" t="s">
        <v>430</v>
      </c>
      <c r="C288" s="42" t="s">
        <v>126</v>
      </c>
      <c r="D288" s="42" t="s">
        <v>943</v>
      </c>
      <c r="E288" s="42">
        <v>18</v>
      </c>
      <c r="F288" s="42" t="s">
        <v>62</v>
      </c>
      <c r="G288" s="42" t="s">
        <v>42</v>
      </c>
      <c r="H288" s="43" t="s">
        <v>721</v>
      </c>
      <c r="I288" s="44" t="s">
        <v>43</v>
      </c>
      <c r="J288" s="42" t="s">
        <v>43</v>
      </c>
      <c r="K288" s="43" t="s">
        <v>43</v>
      </c>
      <c r="L288" s="42">
        <v>2</v>
      </c>
      <c r="M288" s="42">
        <v>2</v>
      </c>
      <c r="N288" s="43">
        <v>1</v>
      </c>
      <c r="O288" s="42">
        <v>4</v>
      </c>
      <c r="P288" s="42">
        <v>2</v>
      </c>
      <c r="Q288" s="43">
        <v>2</v>
      </c>
      <c r="R288" s="42">
        <v>3</v>
      </c>
      <c r="S288" s="42">
        <v>5</v>
      </c>
      <c r="T288" s="42">
        <v>1</v>
      </c>
      <c r="U288" s="42">
        <v>1</v>
      </c>
      <c r="V288" s="42" t="s">
        <v>45</v>
      </c>
      <c r="W288" s="42" t="s">
        <v>45</v>
      </c>
      <c r="X288" s="42" t="s">
        <v>45</v>
      </c>
      <c r="Y288" s="42" t="s">
        <v>45</v>
      </c>
      <c r="Z288" s="42" t="s">
        <v>45</v>
      </c>
      <c r="AA288" s="42" t="s">
        <v>45</v>
      </c>
      <c r="AB288" s="42">
        <v>2</v>
      </c>
      <c r="AC288" s="42">
        <v>5</v>
      </c>
      <c r="AD288" s="42" t="s">
        <v>45</v>
      </c>
      <c r="AE288" s="42" t="s">
        <v>45</v>
      </c>
      <c r="AF288" s="42" t="s">
        <v>45</v>
      </c>
      <c r="AG288" s="42" t="s">
        <v>45</v>
      </c>
      <c r="AH288" s="42" t="s">
        <v>45</v>
      </c>
      <c r="AI288" s="42" t="s">
        <v>45</v>
      </c>
      <c r="AJ288" s="42" t="s">
        <v>45</v>
      </c>
      <c r="AK288" s="42" t="s">
        <v>45</v>
      </c>
      <c r="AL288" s="42" t="s">
        <v>45</v>
      </c>
      <c r="AM288" s="42" t="s">
        <v>45</v>
      </c>
      <c r="AN288" s="42" t="s">
        <v>45</v>
      </c>
      <c r="AO288" s="43" t="s">
        <v>45</v>
      </c>
      <c r="AP288" s="42" t="s">
        <v>64</v>
      </c>
      <c r="AQ288" s="42">
        <v>6</v>
      </c>
      <c r="AR288" s="50" t="s">
        <v>353</v>
      </c>
      <c r="AS288" s="45" t="s">
        <v>733</v>
      </c>
      <c r="AT288" s="45" t="s">
        <v>47</v>
      </c>
      <c r="AU288" s="46">
        <f>($O$3*(L288-$O$1)/$O$2+$P$3*(M288-$P$1)/$P$2+$Q$3*(N288-$P$1)/$Q$2)/SUM($O$3:$Q$3)</f>
        <v>-2.311361197028369</v>
      </c>
      <c r="AV288" s="46">
        <f>($O$3*(O288-$O$1)/$O$2+$P$3*(P288-$P$1)/$P$2+$Q$3*(Q288-$Q$1)/$Q$2)/SUM($O$3:$Q$3)</f>
        <v>-1.23416323121884</v>
      </c>
      <c r="AW288" s="47">
        <f>COUNT(R288:AO288)/2</f>
        <v>3</v>
      </c>
      <c r="AX288" s="47">
        <f>IF(AND(S288&lt;&gt;"-",S288&gt;5),1,0)+IF(AND(U288&lt;&gt;"-",U288&gt;5),1,0)+IF(AND(W288&lt;&gt;"-",W288&gt;5),1,0)+IF(AND(Y288&lt;&gt;"-",Y288&gt;5),1,0)+IF(AND(AA288&lt;&gt;"-",AA288&gt;5),1,0)+IF(AND(AC288&lt;&gt;"-",AC288&gt;5),1,0)+IF(AND(AE288&lt;&gt;"-",AE288&gt;5),1,0)+IF(AND(AG288&lt;&gt;"-",AG288&gt;5),1,0)+IF(AND(AI288&lt;&gt;"-",AI288&gt;5),1,0)+IF(AND(AK288&lt;&gt;"-",AK288&gt;5),1,0)+IF(AND(AM288&lt;&gt;"-",AM288&gt;5),1,0)+IF(AND(AO288&lt;&gt;"-",AO288&gt;5),1,0)</f>
        <v>0</v>
      </c>
      <c r="AY288" s="48">
        <f>VLOOKUP(AP288,COND!$A$10:$B$32,2,FALSE)</f>
        <v>1</v>
      </c>
      <c r="AZ288" s="46">
        <f>($AU$3*AU288+$AV$3*AV288+$AW$3*AW288+$AX$3*AX288)*AY288*IF(AQ288&lt;5,0.95,IF(AQ288&lt;7,0.975,1))+$I$3*VLOOKUP(I288,COND!$A$2:$E$7,4,FALSE)+$J$3*VLOOKUP(J288,COND!$A$2:$E$7,2,FALSE)+$K$3*VLOOKUP(K288,COND!$A$2:$E$7,3,FALSE)+IF(BB288="SP",$BB$3,0)+IF($AW288&lt;3,-5,0)+IF(AND($B$2&gt;0,$E288&lt;20),$B$2*25,0)</f>
        <v>28.945601557812086</v>
      </c>
      <c r="BA288" s="49">
        <f>STANDARDIZE(AZ288,AVERAGE($AZ$5:$AZ$570),STDEVP($AZ$5:$AZ$570))</f>
        <v>-0.34633488220439729</v>
      </c>
      <c r="BB288" s="47" t="str">
        <f>IF(OR(AND(AQ288&gt;7,AX288&gt;1),AND(AQ288&gt;4,AW288&gt;2)),"SP","RP")</f>
        <v>SP</v>
      </c>
      <c r="BC288" s="47"/>
      <c r="BD288" s="47"/>
      <c r="BE288" s="47"/>
      <c r="BF288" s="47" t="str">
        <f>IF(AVERAGE($O288:$Q288)&gt;=6,"Likely",IF(AVERAGE($O288:$Q288)&gt;=4,"Possible","Unlikely"))</f>
        <v>Unlikely</v>
      </c>
      <c r="BG288" s="47"/>
      <c r="BH288" s="47" t="str">
        <f>INDEX(Table5[[#All],[Ovr]],MATCH(Table3[[#This Row],[PID]],Table5[[#All],[PID]],0))</f>
        <v/>
      </c>
      <c r="BI288" s="47" t="str">
        <f>INDEX(Table5[[#All],[Rnd]],MATCH(Table3[[#This Row],[PID]],Table5[[#All],[PID]],0))</f>
        <v/>
      </c>
      <c r="BJ288" s="47" t="str">
        <f>INDEX(Table5[[#All],[Pick]],MATCH(Table3[[#This Row],[PID]],Table5[[#All],[PID]],0))</f>
        <v/>
      </c>
      <c r="BK288" s="47" t="str">
        <f>INDEX(Table5[[#All],[Team]],MATCH(Table3[[#This Row],[PID]],Table5[[#All],[PID]],0))</f>
        <v/>
      </c>
      <c r="BL2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9" spans="1:64" ht="15" customHeight="1" x14ac:dyDescent="0.25">
      <c r="A289" s="42">
        <v>6627</v>
      </c>
      <c r="B289" s="42" t="s">
        <v>430</v>
      </c>
      <c r="C289" s="42" t="s">
        <v>1576</v>
      </c>
      <c r="D289" s="42" t="s">
        <v>1674</v>
      </c>
      <c r="E289" s="42">
        <v>18</v>
      </c>
      <c r="F289" s="42" t="s">
        <v>42</v>
      </c>
      <c r="G289" s="42" t="s">
        <v>42</v>
      </c>
      <c r="H289" s="43" t="s">
        <v>721</v>
      </c>
      <c r="I289" s="44" t="s">
        <v>43</v>
      </c>
      <c r="J289" s="42" t="s">
        <v>43</v>
      </c>
      <c r="K289" s="43" t="s">
        <v>43</v>
      </c>
      <c r="L289" s="42">
        <v>2</v>
      </c>
      <c r="M289" s="42">
        <v>2</v>
      </c>
      <c r="N289" s="43">
        <v>1</v>
      </c>
      <c r="O289" s="42">
        <v>4</v>
      </c>
      <c r="P289" s="42">
        <v>2</v>
      </c>
      <c r="Q289" s="43">
        <v>2</v>
      </c>
      <c r="R289" s="42">
        <v>3</v>
      </c>
      <c r="S289" s="42">
        <v>5</v>
      </c>
      <c r="T289" s="42">
        <v>1</v>
      </c>
      <c r="U289" s="42">
        <v>4</v>
      </c>
      <c r="V289" s="42" t="s">
        <v>45</v>
      </c>
      <c r="W289" s="42" t="s">
        <v>45</v>
      </c>
      <c r="X289" s="42" t="s">
        <v>45</v>
      </c>
      <c r="Y289" s="42" t="s">
        <v>45</v>
      </c>
      <c r="Z289" s="42">
        <v>3</v>
      </c>
      <c r="AA289" s="42">
        <v>5</v>
      </c>
      <c r="AB289" s="42" t="s">
        <v>45</v>
      </c>
      <c r="AC289" s="42" t="s">
        <v>45</v>
      </c>
      <c r="AD289" s="42" t="s">
        <v>45</v>
      </c>
      <c r="AE289" s="42" t="s">
        <v>45</v>
      </c>
      <c r="AF289" s="42" t="s">
        <v>45</v>
      </c>
      <c r="AG289" s="42" t="s">
        <v>45</v>
      </c>
      <c r="AH289" s="42" t="s">
        <v>45</v>
      </c>
      <c r="AI289" s="42" t="s">
        <v>45</v>
      </c>
      <c r="AJ289" s="42" t="s">
        <v>45</v>
      </c>
      <c r="AK289" s="42" t="s">
        <v>45</v>
      </c>
      <c r="AL289" s="42" t="s">
        <v>45</v>
      </c>
      <c r="AM289" s="42" t="s">
        <v>45</v>
      </c>
      <c r="AN289" s="42" t="s">
        <v>45</v>
      </c>
      <c r="AO289" s="43" t="s">
        <v>45</v>
      </c>
      <c r="AP289" s="42" t="s">
        <v>64</v>
      </c>
      <c r="AQ289" s="42">
        <v>5</v>
      </c>
      <c r="AR289" s="50" t="s">
        <v>353</v>
      </c>
      <c r="AS289" s="45" t="s">
        <v>425</v>
      </c>
      <c r="AT289" s="45" t="s">
        <v>47</v>
      </c>
      <c r="AU289" s="46">
        <f>($O$3*(L289-$O$1)/$O$2+$P$3*(M289-$P$1)/$P$2+$Q$3*(N289-$P$1)/$Q$2)/SUM($O$3:$Q$3)</f>
        <v>-2.311361197028369</v>
      </c>
      <c r="AV289" s="46">
        <f>($O$3*(O289-$O$1)/$O$2+$P$3*(P289-$P$1)/$P$2+$Q$3*(Q289-$Q$1)/$Q$2)/SUM($O$3:$Q$3)</f>
        <v>-1.23416323121884</v>
      </c>
      <c r="AW289" s="47">
        <f>COUNT(R289:AO289)/2</f>
        <v>3</v>
      </c>
      <c r="AX289" s="47">
        <f>IF(AND(S289&lt;&gt;"-",S289&gt;5),1,0)+IF(AND(U289&lt;&gt;"-",U289&gt;5),1,0)+IF(AND(W289&lt;&gt;"-",W289&gt;5),1,0)+IF(AND(Y289&lt;&gt;"-",Y289&gt;5),1,0)+IF(AND(AA289&lt;&gt;"-",AA289&gt;5),1,0)+IF(AND(AC289&lt;&gt;"-",AC289&gt;5),1,0)+IF(AND(AE289&lt;&gt;"-",AE289&gt;5),1,0)+IF(AND(AG289&lt;&gt;"-",AG289&gt;5),1,0)+IF(AND(AI289&lt;&gt;"-",AI289&gt;5),1,0)+IF(AND(AK289&lt;&gt;"-",AK289&gt;5),1,0)+IF(AND(AM289&lt;&gt;"-",AM289&gt;5),1,0)+IF(AND(AO289&lt;&gt;"-",AO289&gt;5),1,0)</f>
        <v>0</v>
      </c>
      <c r="AY289" s="48">
        <f>VLOOKUP(AP289,COND!$A$10:$B$32,2,FALSE)</f>
        <v>1</v>
      </c>
      <c r="AZ289" s="46">
        <f>($AU$3*AU289+$AV$3*AV289+$AW$3*AW289+$AX$3*AX289)*AY289*IF(AQ289&lt;5,0.95,IF(AQ289&lt;7,0.975,1))+$I$3*VLOOKUP(I289,COND!$A$2:$E$7,4,FALSE)+$J$3*VLOOKUP(J289,COND!$A$2:$E$7,2,FALSE)+$K$3*VLOOKUP(K289,COND!$A$2:$E$7,3,FALSE)+IF(BB289="SP",$BB$3,0)+IF($AW289&lt;3,-5,0)+IF(AND($B$2&gt;0,$E289&lt;20),$B$2*25,0)</f>
        <v>28.945601557812086</v>
      </c>
      <c r="BA289" s="49">
        <f>STANDARDIZE(AZ289,AVERAGE($AZ$5:$AZ$570),STDEVP($AZ$5:$AZ$570))</f>
        <v>-0.34633488220439729</v>
      </c>
      <c r="BB289" s="47" t="str">
        <f>IF(OR(AND(AQ289&gt;7,AX289&gt;1),AND(AQ289&gt;4,AW289&gt;2)),"SP","RP")</f>
        <v>SP</v>
      </c>
      <c r="BC289" s="47"/>
      <c r="BD289" s="47"/>
      <c r="BE289" s="47"/>
      <c r="BF289" s="47" t="str">
        <f>IF(AVERAGE($O289:$Q289)&gt;=6,"Likely",IF(AVERAGE($O289:$Q289)&gt;=4,"Possible","Unlikely"))</f>
        <v>Unlikely</v>
      </c>
      <c r="BG289" s="47"/>
      <c r="BH289" s="47" t="str">
        <f>INDEX(Table5[[#All],[Ovr]],MATCH(Table3[[#This Row],[PID]],Table5[[#All],[PID]],0))</f>
        <v/>
      </c>
      <c r="BI289" s="47" t="str">
        <f>INDEX(Table5[[#All],[Rnd]],MATCH(Table3[[#This Row],[PID]],Table5[[#All],[PID]],0))</f>
        <v/>
      </c>
      <c r="BJ289" s="47" t="str">
        <f>INDEX(Table5[[#All],[Pick]],MATCH(Table3[[#This Row],[PID]],Table5[[#All],[PID]],0))</f>
        <v/>
      </c>
      <c r="BK289" s="47" t="str">
        <f>INDEX(Table5[[#All],[Team]],MATCH(Table3[[#This Row],[PID]],Table5[[#All],[PID]],0))</f>
        <v/>
      </c>
      <c r="BL2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0" spans="1:64" ht="15" customHeight="1" x14ac:dyDescent="0.25">
      <c r="A290" s="42">
        <v>9487</v>
      </c>
      <c r="B290" s="42" t="s">
        <v>430</v>
      </c>
      <c r="C290" s="42" t="s">
        <v>125</v>
      </c>
      <c r="D290" s="42" t="s">
        <v>1544</v>
      </c>
      <c r="E290" s="42">
        <v>21</v>
      </c>
      <c r="F290" s="42" t="s">
        <v>42</v>
      </c>
      <c r="G290" s="42" t="s">
        <v>42</v>
      </c>
      <c r="H290" s="43" t="s">
        <v>721</v>
      </c>
      <c r="I290" s="44" t="s">
        <v>43</v>
      </c>
      <c r="J290" s="42" t="s">
        <v>44</v>
      </c>
      <c r="K290" s="43" t="s">
        <v>43</v>
      </c>
      <c r="L290" s="42">
        <v>3</v>
      </c>
      <c r="M290" s="42">
        <v>2</v>
      </c>
      <c r="N290" s="43">
        <v>1</v>
      </c>
      <c r="O290" s="42">
        <v>5</v>
      </c>
      <c r="P290" s="42">
        <v>2</v>
      </c>
      <c r="Q290" s="43">
        <v>2</v>
      </c>
      <c r="R290" s="42">
        <v>5</v>
      </c>
      <c r="S290" s="42">
        <v>6</v>
      </c>
      <c r="T290" s="42">
        <v>1</v>
      </c>
      <c r="U290" s="42">
        <v>5</v>
      </c>
      <c r="V290" s="42" t="s">
        <v>45</v>
      </c>
      <c r="W290" s="42" t="s">
        <v>45</v>
      </c>
      <c r="X290" s="42">
        <v>3</v>
      </c>
      <c r="Y290" s="42">
        <v>6</v>
      </c>
      <c r="Z290" s="42" t="s">
        <v>45</v>
      </c>
      <c r="AA290" s="42" t="s">
        <v>45</v>
      </c>
      <c r="AB290" s="42" t="s">
        <v>45</v>
      </c>
      <c r="AC290" s="42" t="s">
        <v>45</v>
      </c>
      <c r="AD290" s="42" t="s">
        <v>45</v>
      </c>
      <c r="AE290" s="42" t="s">
        <v>45</v>
      </c>
      <c r="AF290" s="42">
        <v>4</v>
      </c>
      <c r="AG290" s="42">
        <v>4</v>
      </c>
      <c r="AH290" s="42" t="s">
        <v>45</v>
      </c>
      <c r="AI290" s="42" t="s">
        <v>45</v>
      </c>
      <c r="AJ290" s="42" t="s">
        <v>45</v>
      </c>
      <c r="AK290" s="42" t="s">
        <v>45</v>
      </c>
      <c r="AL290" s="42" t="s">
        <v>45</v>
      </c>
      <c r="AM290" s="42" t="s">
        <v>45</v>
      </c>
      <c r="AN290" s="42" t="s">
        <v>45</v>
      </c>
      <c r="AO290" s="43" t="s">
        <v>45</v>
      </c>
      <c r="AP290" s="42" t="s">
        <v>60</v>
      </c>
      <c r="AQ290" s="42">
        <v>8</v>
      </c>
      <c r="AR290" s="50" t="s">
        <v>353</v>
      </c>
      <c r="AS290" s="45" t="s">
        <v>45</v>
      </c>
      <c r="AT290" s="45" t="s">
        <v>47</v>
      </c>
      <c r="AU290" s="46">
        <f>($O$3*(L290-$O$1)/$O$2+$P$3*(M290-$P$1)/$P$2+$Q$3*(N290-$P$1)/$Q$2)/SUM($O$3:$Q$3)</f>
        <v>-2.1166698725191955</v>
      </c>
      <c r="AV290" s="46">
        <f>($O$3*(O290-$O$1)/$O$2+$P$3*(P290-$P$1)/$P$2+$Q$3*(Q290-$Q$1)/$Q$2)/SUM($O$3:$Q$3)</f>
        <v>-1.0394719067096667</v>
      </c>
      <c r="AW290" s="47">
        <f>COUNT(R290:AO290)/2</f>
        <v>4</v>
      </c>
      <c r="AX290" s="47">
        <f>IF(AND(S290&lt;&gt;"-",S290&gt;5),1,0)+IF(AND(U290&lt;&gt;"-",U290&gt;5),1,0)+IF(AND(W290&lt;&gt;"-",W290&gt;5),1,0)+IF(AND(Y290&lt;&gt;"-",Y290&gt;5),1,0)+IF(AND(AA290&lt;&gt;"-",AA290&gt;5),1,0)+IF(AND(AC290&lt;&gt;"-",AC290&gt;5),1,0)+IF(AND(AE290&lt;&gt;"-",AE290&gt;5),1,0)+IF(AND(AG290&lt;&gt;"-",AG290&gt;5),1,0)+IF(AND(AI290&lt;&gt;"-",AI290&gt;5),1,0)+IF(AND(AK290&lt;&gt;"-",AK290&gt;5),1,0)+IF(AND(AM290&lt;&gt;"-",AM290&gt;5),1,0)+IF(AND(AO290&lt;&gt;"-",AO290&gt;5),1,0)</f>
        <v>2</v>
      </c>
      <c r="AY290" s="48">
        <f>VLOOKUP(AP290,COND!$A$10:$B$32,2,FALSE)</f>
        <v>1.0249999999999999</v>
      </c>
      <c r="AZ290" s="46">
        <f>($AU$3*AU290+$AV$3*AV290+$AW$3*AW290+$AX$3*AX290)*AY290*IF(AQ290&lt;5,0.95,IF(AQ290&lt;7,0.975,1))+$I$3*VLOOKUP(I290,COND!$A$2:$E$7,4,FALSE)+$J$3*VLOOKUP(J290,COND!$A$2:$E$7,2,FALSE)+$K$3*VLOOKUP(K290,COND!$A$2:$E$7,3,FALSE)+IF(BB290="SP",$BB$3,0)+IF($AW290&lt;3,-5,0)+IF(AND($B$2&gt;0,$E290&lt;20),$B$2*25,0)</f>
        <v>29.569408588585397</v>
      </c>
      <c r="BA290" s="49">
        <f>STANDARDIZE(AZ290,AVERAGE($AZ$5:$AZ$570),STDEVP($AZ$5:$AZ$570))</f>
        <v>-0.2891291112751993</v>
      </c>
      <c r="BB290" s="47" t="str">
        <f>IF(OR(AND(AQ290&gt;7,AX290&gt;1),AND(AQ290&gt;4,AW290&gt;2)),"SP","RP")</f>
        <v>SP</v>
      </c>
      <c r="BC290" s="47"/>
      <c r="BD290" s="47"/>
      <c r="BE290" s="47"/>
      <c r="BF290" s="47" t="str">
        <f>IF(AVERAGE($O290:$Q290)&gt;=6,"Likely",IF(AVERAGE($O290:$Q290)&gt;=4,"Possible","Unlikely"))</f>
        <v>Unlikely</v>
      </c>
      <c r="BG290" s="47"/>
      <c r="BH290" s="47" t="str">
        <f>INDEX(Table5[[#All],[Ovr]],MATCH(Table3[[#This Row],[PID]],Table5[[#All],[PID]],0))</f>
        <v/>
      </c>
      <c r="BI290" s="47" t="str">
        <f>INDEX(Table5[[#All],[Rnd]],MATCH(Table3[[#This Row],[PID]],Table5[[#All],[PID]],0))</f>
        <v/>
      </c>
      <c r="BJ290" s="47" t="str">
        <f>INDEX(Table5[[#All],[Pick]],MATCH(Table3[[#This Row],[PID]],Table5[[#All],[PID]],0))</f>
        <v/>
      </c>
      <c r="BK290" s="47" t="str">
        <f>INDEX(Table5[[#All],[Team]],MATCH(Table3[[#This Row],[PID]],Table5[[#All],[PID]],0))</f>
        <v/>
      </c>
      <c r="BL2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1" spans="1:64" ht="15" customHeight="1" x14ac:dyDescent="0.25">
      <c r="A291" s="42">
        <v>6056</v>
      </c>
      <c r="B291" s="42" t="s">
        <v>430</v>
      </c>
      <c r="C291" s="42" t="s">
        <v>124</v>
      </c>
      <c r="D291" s="42" t="s">
        <v>158</v>
      </c>
      <c r="E291" s="42">
        <v>18</v>
      </c>
      <c r="F291" s="42" t="s">
        <v>53</v>
      </c>
      <c r="G291" s="42" t="s">
        <v>42</v>
      </c>
      <c r="H291" s="43" t="s">
        <v>721</v>
      </c>
      <c r="I291" s="44" t="s">
        <v>43</v>
      </c>
      <c r="J291" s="42" t="s">
        <v>43</v>
      </c>
      <c r="K291" s="43" t="s">
        <v>43</v>
      </c>
      <c r="L291" s="42">
        <v>2</v>
      </c>
      <c r="M291" s="42">
        <v>2</v>
      </c>
      <c r="N291" s="43">
        <v>1</v>
      </c>
      <c r="O291" s="42">
        <v>4</v>
      </c>
      <c r="P291" s="42">
        <v>2</v>
      </c>
      <c r="Q291" s="43">
        <v>2</v>
      </c>
      <c r="R291" s="42">
        <v>3</v>
      </c>
      <c r="S291" s="42">
        <v>4</v>
      </c>
      <c r="T291" s="42" t="s">
        <v>45</v>
      </c>
      <c r="U291" s="42" t="s">
        <v>45</v>
      </c>
      <c r="V291" s="42">
        <v>1</v>
      </c>
      <c r="W291" s="42">
        <v>5</v>
      </c>
      <c r="X291" s="42">
        <v>2</v>
      </c>
      <c r="Y291" s="42">
        <v>3</v>
      </c>
      <c r="Z291" s="42" t="s">
        <v>45</v>
      </c>
      <c r="AA291" s="42" t="s">
        <v>45</v>
      </c>
      <c r="AB291" s="42">
        <v>3</v>
      </c>
      <c r="AC291" s="42">
        <v>4</v>
      </c>
      <c r="AD291" s="42" t="s">
        <v>45</v>
      </c>
      <c r="AE291" s="42" t="s">
        <v>45</v>
      </c>
      <c r="AF291" s="42" t="s">
        <v>45</v>
      </c>
      <c r="AG291" s="42" t="s">
        <v>45</v>
      </c>
      <c r="AH291" s="42" t="s">
        <v>45</v>
      </c>
      <c r="AI291" s="42" t="s">
        <v>45</v>
      </c>
      <c r="AJ291" s="42" t="s">
        <v>45</v>
      </c>
      <c r="AK291" s="42" t="s">
        <v>45</v>
      </c>
      <c r="AL291" s="42" t="s">
        <v>45</v>
      </c>
      <c r="AM291" s="42" t="s">
        <v>45</v>
      </c>
      <c r="AN291" s="42" t="s">
        <v>45</v>
      </c>
      <c r="AO291" s="43" t="s">
        <v>45</v>
      </c>
      <c r="AP291" s="42" t="s">
        <v>356</v>
      </c>
      <c r="AQ291" s="42">
        <v>10</v>
      </c>
      <c r="AR291" s="50" t="s">
        <v>353</v>
      </c>
      <c r="AS291" s="45" t="s">
        <v>739</v>
      </c>
      <c r="AT291" s="45" t="s">
        <v>47</v>
      </c>
      <c r="AU291" s="46">
        <f>($O$3*(L291-$O$1)/$O$2+$P$3*(M291-$P$1)/$P$2+$Q$3*(N291-$P$1)/$Q$2)/SUM($O$3:$Q$3)</f>
        <v>-2.311361197028369</v>
      </c>
      <c r="AV291" s="46">
        <f>($O$3*(O291-$O$1)/$O$2+$P$3*(P291-$P$1)/$P$2+$Q$3*(Q291-$Q$1)/$Q$2)/SUM($O$3:$Q$3)</f>
        <v>-1.23416323121884</v>
      </c>
      <c r="AW291" s="47">
        <f>COUNT(R291:AO291)/2</f>
        <v>4</v>
      </c>
      <c r="AX291" s="47">
        <f>IF(AND(S291&lt;&gt;"-",S291&gt;5),1,0)+IF(AND(U291&lt;&gt;"-",U291&gt;5),1,0)+IF(AND(W291&lt;&gt;"-",W291&gt;5),1,0)+IF(AND(Y291&lt;&gt;"-",Y291&gt;5),1,0)+IF(AND(AA291&lt;&gt;"-",AA291&gt;5),1,0)+IF(AND(AC291&lt;&gt;"-",AC291&gt;5),1,0)+IF(AND(AE291&lt;&gt;"-",AE291&gt;5),1,0)+IF(AND(AG291&lt;&gt;"-",AG291&gt;5),1,0)+IF(AND(AI291&lt;&gt;"-",AI291&gt;5),1,0)+IF(AND(AK291&lt;&gt;"-",AK291&gt;5),1,0)+IF(AND(AM291&lt;&gt;"-",AM291&gt;5),1,0)+IF(AND(AO291&lt;&gt;"-",AO291&gt;5),1,0)</f>
        <v>0</v>
      </c>
      <c r="AY291" s="48">
        <f>VLOOKUP(AP291,COND!$A$10:$B$32,2,FALSE)</f>
        <v>1</v>
      </c>
      <c r="AZ291" s="46">
        <f>($AU$3*AU291+$AV$3*AV291+$AW$3*AW291+$AX$3*AX291)*AY291*IF(AQ291&lt;5,0.95,IF(AQ291&lt;7,0.975,1))+$I$3*VLOOKUP(I291,COND!$A$2:$E$7,4,FALSE)+$J$3*VLOOKUP(J291,COND!$A$2:$E$7,2,FALSE)+$K$3*VLOOKUP(K291,COND!$A$2:$E$7,3,FALSE)+IF(BB291="SP",$BB$3,0)+IF($AW291&lt;3,-5,0)+IF(AND($B$2&gt;0,$E291&lt;20),$B$2*25,0)</f>
        <v>28.854463136217525</v>
      </c>
      <c r="BA291" s="49">
        <f>STANDARDIZE(AZ291,AVERAGE($AZ$5:$AZ$570),STDEVP($AZ$5:$AZ$570))</f>
        <v>-0.35469266499841928</v>
      </c>
      <c r="BB291" s="47" t="str">
        <f>IF(OR(AND(AQ291&gt;7,AX291&gt;1),AND(AQ291&gt;4,AW291&gt;2)),"SP","RP")</f>
        <v>SP</v>
      </c>
      <c r="BC291" s="47"/>
      <c r="BD291" s="47"/>
      <c r="BE291" s="47"/>
      <c r="BF291" s="47" t="str">
        <f>IF(AVERAGE($O291:$Q291)&gt;=6,"Likely",IF(AVERAGE($O291:$Q291)&gt;=4,"Possible","Unlikely"))</f>
        <v>Unlikely</v>
      </c>
      <c r="BG291" s="47"/>
      <c r="BH291" s="47" t="str">
        <f>INDEX(Table5[[#All],[Ovr]],MATCH(Table3[[#This Row],[PID]],Table5[[#All],[PID]],0))</f>
        <v/>
      </c>
      <c r="BI291" s="47" t="str">
        <f>INDEX(Table5[[#All],[Rnd]],MATCH(Table3[[#This Row],[PID]],Table5[[#All],[PID]],0))</f>
        <v/>
      </c>
      <c r="BJ291" s="47" t="str">
        <f>INDEX(Table5[[#All],[Pick]],MATCH(Table3[[#This Row],[PID]],Table5[[#All],[PID]],0))</f>
        <v/>
      </c>
      <c r="BK291" s="47" t="str">
        <f>INDEX(Table5[[#All],[Team]],MATCH(Table3[[#This Row],[PID]],Table5[[#All],[PID]],0))</f>
        <v/>
      </c>
      <c r="BL2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2" spans="1:64" ht="15" customHeight="1" x14ac:dyDescent="0.25">
      <c r="A292" s="42">
        <v>7339</v>
      </c>
      <c r="B292" s="42" t="s">
        <v>24</v>
      </c>
      <c r="C292" s="42" t="s">
        <v>666</v>
      </c>
      <c r="D292" s="42" t="s">
        <v>1481</v>
      </c>
      <c r="E292" s="42">
        <v>20</v>
      </c>
      <c r="F292" s="42" t="s">
        <v>42</v>
      </c>
      <c r="G292" s="42" t="s">
        <v>42</v>
      </c>
      <c r="H292" s="43" t="s">
        <v>721</v>
      </c>
      <c r="I292" s="44" t="s">
        <v>43</v>
      </c>
      <c r="J292" s="42" t="s">
        <v>44</v>
      </c>
      <c r="K292" s="43" t="s">
        <v>43</v>
      </c>
      <c r="L292" s="42">
        <v>4</v>
      </c>
      <c r="M292" s="42">
        <v>1</v>
      </c>
      <c r="N292" s="43">
        <v>2</v>
      </c>
      <c r="O292" s="42">
        <v>6</v>
      </c>
      <c r="P292" s="42">
        <v>1</v>
      </c>
      <c r="Q292" s="43">
        <v>2</v>
      </c>
      <c r="R292" s="42">
        <v>7</v>
      </c>
      <c r="S292" s="42">
        <v>8</v>
      </c>
      <c r="T292" s="42">
        <v>1</v>
      </c>
      <c r="U292" s="42">
        <v>3</v>
      </c>
      <c r="V292" s="42" t="s">
        <v>45</v>
      </c>
      <c r="W292" s="42" t="s">
        <v>45</v>
      </c>
      <c r="X292" s="42">
        <v>6</v>
      </c>
      <c r="Y292" s="42">
        <v>9</v>
      </c>
      <c r="Z292" s="42" t="s">
        <v>45</v>
      </c>
      <c r="AA292" s="42" t="s">
        <v>45</v>
      </c>
      <c r="AB292" s="42" t="s">
        <v>45</v>
      </c>
      <c r="AC292" s="42" t="s">
        <v>45</v>
      </c>
      <c r="AD292" s="42" t="s">
        <v>45</v>
      </c>
      <c r="AE292" s="42" t="s">
        <v>45</v>
      </c>
      <c r="AF292" s="42" t="s">
        <v>45</v>
      </c>
      <c r="AG292" s="42" t="s">
        <v>45</v>
      </c>
      <c r="AH292" s="42" t="s">
        <v>45</v>
      </c>
      <c r="AI292" s="42" t="s">
        <v>45</v>
      </c>
      <c r="AJ292" s="42" t="s">
        <v>45</v>
      </c>
      <c r="AK292" s="42" t="s">
        <v>45</v>
      </c>
      <c r="AL292" s="42" t="s">
        <v>45</v>
      </c>
      <c r="AM292" s="42" t="s">
        <v>45</v>
      </c>
      <c r="AN292" s="42" t="s">
        <v>45</v>
      </c>
      <c r="AO292" s="43" t="s">
        <v>45</v>
      </c>
      <c r="AP292" s="42" t="s">
        <v>54</v>
      </c>
      <c r="AQ292" s="42">
        <v>6</v>
      </c>
      <c r="AR292" s="50" t="s">
        <v>14</v>
      </c>
      <c r="AS292" s="45" t="s">
        <v>45</v>
      </c>
      <c r="AT292" s="45" t="s">
        <v>705</v>
      </c>
      <c r="AU292" s="46">
        <f>($O$3*(L292-$O$1)/$O$2+$P$3*(M292-$P$1)/$P$2+$Q$3*(N292-$P$1)/$Q$2)/SUM($O$3:$Q$3)</f>
        <v>-1.8750896983859671</v>
      </c>
      <c r="AV292" s="46">
        <f>($O$3*(O292-$O$1)/$O$2+$P$3*(P292-$P$1)/$P$2+$Q$3*(Q292-$Q$1)/$Q$2)/SUM($O$3:$Q$3)</f>
        <v>-1.0402122986305484</v>
      </c>
      <c r="AW292" s="47">
        <f>COUNT(R292:AO292)/2</f>
        <v>3</v>
      </c>
      <c r="AX292" s="47">
        <f>IF(AND(S292&lt;&gt;"-",S292&gt;5),1,0)+IF(AND(U292&lt;&gt;"-",U292&gt;5),1,0)+IF(AND(W292&lt;&gt;"-",W292&gt;5),1,0)+IF(AND(Y292&lt;&gt;"-",Y292&gt;5),1,0)+IF(AND(AA292&lt;&gt;"-",AA292&gt;5),1,0)+IF(AND(AC292&lt;&gt;"-",AC292&gt;5),1,0)+IF(AND(AE292&lt;&gt;"-",AE292&gt;5),1,0)+IF(AND(AG292&lt;&gt;"-",AG292&gt;5),1,0)+IF(AND(AI292&lt;&gt;"-",AI292&gt;5),1,0)+IF(AND(AK292&lt;&gt;"-",AK292&gt;5),1,0)+IF(AND(AM292&lt;&gt;"-",AM292&gt;5),1,0)+IF(AND(AO292&lt;&gt;"-",AO292&gt;5),1,0)</f>
        <v>2</v>
      </c>
      <c r="AY292" s="48">
        <f>VLOOKUP(AP292,COND!$A$10:$B$32,2,FALSE)</f>
        <v>1.0249999999999999</v>
      </c>
      <c r="AZ292" s="46">
        <f>($AU$3*AU292+$AV$3*AV292+$AW$3*AW292+$AX$3*AX292)*AY292*IF(AQ292&lt;5,0.95,IF(AQ292&lt;7,0.975,1))+$I$3*VLOOKUP(I292,COND!$A$2:$E$7,4,FALSE)+$J$3*VLOOKUP(J292,COND!$A$2:$E$7,2,FALSE)+$K$3*VLOOKUP(K292,COND!$A$2:$E$7,3,FALSE)+IF(BB292="SP",$BB$3,0)+IF($AW292&lt;3,-5,0)+IF(AND($B$2&gt;0,$E292&lt;20),$B$2*25,0)</f>
        <v>29.531473127657019</v>
      </c>
      <c r="BA292" s="49">
        <f>STANDARDIZE(AZ292,AVERAGE($AZ$5:$AZ$570),STDEVP($AZ$5:$AZ$570))</f>
        <v>-0.29260795518189925</v>
      </c>
      <c r="BB292" s="47" t="str">
        <f>IF(OR(AND(AQ292&gt;7,AX292&gt;1),AND(AQ292&gt;4,AW292&gt;2)),"SP","RP")</f>
        <v>SP</v>
      </c>
      <c r="BC292" s="47"/>
      <c r="BD292" s="47"/>
      <c r="BE292" s="47"/>
      <c r="BF292" s="47" t="str">
        <f>IF(AVERAGE($O292:$Q292)&gt;=6,"Likely",IF(AVERAGE($O292:$Q292)&gt;=4,"Possible","Unlikely"))</f>
        <v>Unlikely</v>
      </c>
      <c r="BG292" s="47"/>
      <c r="BH292" s="47" t="str">
        <f>INDEX(Table5[[#All],[Ovr]],MATCH(Table3[[#This Row],[PID]],Table5[[#All],[PID]],0))</f>
        <v/>
      </c>
      <c r="BI292" s="47" t="str">
        <f>INDEX(Table5[[#All],[Rnd]],MATCH(Table3[[#This Row],[PID]],Table5[[#All],[PID]],0))</f>
        <v/>
      </c>
      <c r="BJ292" s="47" t="str">
        <f>INDEX(Table5[[#All],[Pick]],MATCH(Table3[[#This Row],[PID]],Table5[[#All],[PID]],0))</f>
        <v/>
      </c>
      <c r="BK292" s="47" t="str">
        <f>INDEX(Table5[[#All],[Team]],MATCH(Table3[[#This Row],[PID]],Table5[[#All],[PID]],0))</f>
        <v/>
      </c>
      <c r="BL2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3" spans="1:64" ht="15" customHeight="1" x14ac:dyDescent="0.25">
      <c r="A293" s="42">
        <v>12759</v>
      </c>
      <c r="B293" s="42" t="s">
        <v>24</v>
      </c>
      <c r="C293" s="42" t="s">
        <v>640</v>
      </c>
      <c r="D293" s="42" t="s">
        <v>728</v>
      </c>
      <c r="E293" s="42">
        <v>21</v>
      </c>
      <c r="F293" s="42" t="s">
        <v>42</v>
      </c>
      <c r="G293" s="42" t="s">
        <v>42</v>
      </c>
      <c r="H293" s="43" t="s">
        <v>721</v>
      </c>
      <c r="I293" s="44" t="s">
        <v>43</v>
      </c>
      <c r="J293" s="42" t="s">
        <v>43</v>
      </c>
      <c r="K293" s="43" t="s">
        <v>44</v>
      </c>
      <c r="L293" s="42">
        <v>2</v>
      </c>
      <c r="M293" s="42">
        <v>2</v>
      </c>
      <c r="N293" s="43">
        <v>1</v>
      </c>
      <c r="O293" s="42">
        <v>5</v>
      </c>
      <c r="P293" s="42">
        <v>2</v>
      </c>
      <c r="Q293" s="43">
        <v>2</v>
      </c>
      <c r="R293" s="42" t="s">
        <v>45</v>
      </c>
      <c r="S293" s="42" t="s">
        <v>45</v>
      </c>
      <c r="T293" s="42">
        <v>2</v>
      </c>
      <c r="U293" s="42">
        <v>7</v>
      </c>
      <c r="V293" s="42" t="s">
        <v>45</v>
      </c>
      <c r="W293" s="42" t="s">
        <v>45</v>
      </c>
      <c r="X293" s="42">
        <v>3</v>
      </c>
      <c r="Y293" s="42">
        <v>6</v>
      </c>
      <c r="Z293" s="42" t="s">
        <v>45</v>
      </c>
      <c r="AA293" s="42" t="s">
        <v>45</v>
      </c>
      <c r="AB293" s="42" t="s">
        <v>45</v>
      </c>
      <c r="AC293" s="42" t="s">
        <v>45</v>
      </c>
      <c r="AD293" s="42">
        <v>4</v>
      </c>
      <c r="AE293" s="42">
        <v>5</v>
      </c>
      <c r="AF293" s="42">
        <v>4</v>
      </c>
      <c r="AG293" s="42">
        <v>4</v>
      </c>
      <c r="AH293" s="42" t="s">
        <v>45</v>
      </c>
      <c r="AI293" s="42" t="s">
        <v>45</v>
      </c>
      <c r="AJ293" s="42" t="s">
        <v>45</v>
      </c>
      <c r="AK293" s="42" t="s">
        <v>45</v>
      </c>
      <c r="AL293" s="42" t="s">
        <v>45</v>
      </c>
      <c r="AM293" s="42" t="s">
        <v>45</v>
      </c>
      <c r="AN293" s="42" t="s">
        <v>45</v>
      </c>
      <c r="AO293" s="43" t="s">
        <v>45</v>
      </c>
      <c r="AP293" s="42" t="s">
        <v>60</v>
      </c>
      <c r="AQ293" s="42">
        <v>9</v>
      </c>
      <c r="AR293" s="50" t="s">
        <v>353</v>
      </c>
      <c r="AS293" s="45" t="s">
        <v>45</v>
      </c>
      <c r="AT293" s="45" t="s">
        <v>705</v>
      </c>
      <c r="AU293" s="46">
        <f>($O$3*(L293-$O$1)/$O$2+$P$3*(M293-$P$1)/$P$2+$Q$3*(N293-$P$1)/$Q$2)/SUM($O$3:$Q$3)</f>
        <v>-2.311361197028369</v>
      </c>
      <c r="AV293" s="46">
        <f>($O$3*(O293-$O$1)/$O$2+$P$3*(P293-$P$1)/$P$2+$Q$3*(Q293-$Q$1)/$Q$2)/SUM($O$3:$Q$3)</f>
        <v>-1.0394719067096667</v>
      </c>
      <c r="AW293" s="47">
        <f>COUNT(R293:AO293)/2</f>
        <v>4</v>
      </c>
      <c r="AX293" s="47">
        <f>IF(AND(S293&lt;&gt;"-",S293&gt;5),1,0)+IF(AND(U293&lt;&gt;"-",U293&gt;5),1,0)+IF(AND(W293&lt;&gt;"-",W293&gt;5),1,0)+IF(AND(Y293&lt;&gt;"-",Y293&gt;5),1,0)+IF(AND(AA293&lt;&gt;"-",AA293&gt;5),1,0)+IF(AND(AC293&lt;&gt;"-",AC293&gt;5),1,0)+IF(AND(AE293&lt;&gt;"-",AE293&gt;5),1,0)+IF(AND(AG293&lt;&gt;"-",AG293&gt;5),1,0)+IF(AND(AI293&lt;&gt;"-",AI293&gt;5),1,0)+IF(AND(AK293&lt;&gt;"-",AK293&gt;5),1,0)+IF(AND(AM293&lt;&gt;"-",AM293&gt;5),1,0)+IF(AND(AO293&lt;&gt;"-",AO293&gt;5),1,0)</f>
        <v>2</v>
      </c>
      <c r="AY293" s="48">
        <f>VLOOKUP(AP293,COND!$A$10:$B$32,2,FALSE)</f>
        <v>1.0249999999999999</v>
      </c>
      <c r="AZ293" s="46">
        <f>($AU$3*AU293+$AV$3*AV293+$AW$3*AW293+$AX$3*AX293)*AY293*IF(AQ293&lt;5,0.95,IF(AQ293&lt;7,0.975,1))+$I$3*VLOOKUP(I293,COND!$A$2:$E$7,4,FALSE)+$J$3*VLOOKUP(J293,COND!$A$2:$E$7,2,FALSE)+$K$3*VLOOKUP(K293,COND!$A$2:$E$7,3,FALSE)+IF(BB293="SP",$BB$3,0)+IF($AW293&lt;3,-5,0)+IF(AND($B$2&gt;0,$E293&lt;20),$B$2*25,0)</f>
        <v>29.52949686706102</v>
      </c>
      <c r="BA293" s="49">
        <f>STANDARDIZE(AZ293,AVERAGE($AZ$5:$AZ$570),STDEVP($AZ$5:$AZ$570))</f>
        <v>-0.29278918672526766</v>
      </c>
      <c r="BB293" s="47" t="str">
        <f>IF(OR(AND(AQ293&gt;7,AX293&gt;1),AND(AQ293&gt;4,AW293&gt;2)),"SP","RP")</f>
        <v>SP</v>
      </c>
      <c r="BC293" s="47"/>
      <c r="BD293" s="47"/>
      <c r="BE293" s="47"/>
      <c r="BF293" s="47" t="str">
        <f>IF(AVERAGE($O293:$Q293)&gt;=6,"Likely",IF(AVERAGE($O293:$Q293)&gt;=4,"Possible","Unlikely"))</f>
        <v>Unlikely</v>
      </c>
      <c r="BG293" s="47"/>
      <c r="BH293" s="47" t="str">
        <f>INDEX(Table5[[#All],[Ovr]],MATCH(Table3[[#This Row],[PID]],Table5[[#All],[PID]],0))</f>
        <v/>
      </c>
      <c r="BI293" s="47" t="str">
        <f>INDEX(Table5[[#All],[Rnd]],MATCH(Table3[[#This Row],[PID]],Table5[[#All],[PID]],0))</f>
        <v/>
      </c>
      <c r="BJ293" s="47" t="str">
        <f>INDEX(Table5[[#All],[Pick]],MATCH(Table3[[#This Row],[PID]],Table5[[#All],[PID]],0))</f>
        <v/>
      </c>
      <c r="BK293" s="47" t="str">
        <f>INDEX(Table5[[#All],[Team]],MATCH(Table3[[#This Row],[PID]],Table5[[#All],[PID]],0))</f>
        <v/>
      </c>
      <c r="BL2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4" spans="1:64" ht="15" customHeight="1" x14ac:dyDescent="0.25">
      <c r="A294" s="42">
        <v>4996</v>
      </c>
      <c r="B294" s="42" t="s">
        <v>24</v>
      </c>
      <c r="C294" s="42" t="s">
        <v>132</v>
      </c>
      <c r="D294" s="42" t="s">
        <v>940</v>
      </c>
      <c r="E294" s="42">
        <v>22</v>
      </c>
      <c r="F294" s="42" t="s">
        <v>53</v>
      </c>
      <c r="G294" s="42" t="s">
        <v>53</v>
      </c>
      <c r="H294" s="43" t="s">
        <v>721</v>
      </c>
      <c r="I294" s="44" t="s">
        <v>43</v>
      </c>
      <c r="J294" s="42" t="s">
        <v>43</v>
      </c>
      <c r="K294" s="43" t="s">
        <v>43</v>
      </c>
      <c r="L294" s="42">
        <v>3</v>
      </c>
      <c r="M294" s="42">
        <v>2</v>
      </c>
      <c r="N294" s="43">
        <v>2</v>
      </c>
      <c r="O294" s="42">
        <v>4</v>
      </c>
      <c r="P294" s="42">
        <v>3</v>
      </c>
      <c r="Q294" s="43">
        <v>2</v>
      </c>
      <c r="R294" s="42">
        <v>4</v>
      </c>
      <c r="S294" s="42">
        <v>5</v>
      </c>
      <c r="T294" s="42" t="s">
        <v>45</v>
      </c>
      <c r="U294" s="42" t="s">
        <v>45</v>
      </c>
      <c r="V294" s="42" t="s">
        <v>45</v>
      </c>
      <c r="W294" s="42" t="s">
        <v>45</v>
      </c>
      <c r="X294" s="42">
        <v>2</v>
      </c>
      <c r="Y294" s="42">
        <v>5</v>
      </c>
      <c r="Z294" s="42" t="s">
        <v>45</v>
      </c>
      <c r="AA294" s="42" t="s">
        <v>45</v>
      </c>
      <c r="AB294" s="42">
        <v>4</v>
      </c>
      <c r="AC294" s="42">
        <v>5</v>
      </c>
      <c r="AD294" s="42">
        <v>3</v>
      </c>
      <c r="AE294" s="42">
        <v>5</v>
      </c>
      <c r="AF294" s="42" t="s">
        <v>45</v>
      </c>
      <c r="AG294" s="42" t="s">
        <v>45</v>
      </c>
      <c r="AH294" s="42">
        <v>2</v>
      </c>
      <c r="AI294" s="42">
        <v>5</v>
      </c>
      <c r="AJ294" s="42" t="s">
        <v>45</v>
      </c>
      <c r="AK294" s="42" t="s">
        <v>45</v>
      </c>
      <c r="AL294" s="42" t="s">
        <v>45</v>
      </c>
      <c r="AM294" s="42" t="s">
        <v>45</v>
      </c>
      <c r="AN294" s="42" t="s">
        <v>45</v>
      </c>
      <c r="AO294" s="43" t="s">
        <v>45</v>
      </c>
      <c r="AP294" s="42" t="s">
        <v>355</v>
      </c>
      <c r="AQ294" s="42">
        <v>6</v>
      </c>
      <c r="AR294" s="50" t="s">
        <v>352</v>
      </c>
      <c r="AS294" s="45" t="s">
        <v>45</v>
      </c>
      <c r="AT294" s="45" t="s">
        <v>47</v>
      </c>
      <c r="AU294" s="46">
        <f>($O$3*(L294-$O$1)/$O$2+$P$3*(M294-$P$1)/$P$2+$Q$3*(N294-$P$1)/$Q$2)/SUM($O$3:$Q$3)</f>
        <v>-1.8743493064650851</v>
      </c>
      <c r="AV294" s="46">
        <f>($O$3*(O294-$O$1)/$O$2+$P$3*(P294-$P$1)/$P$2+$Q$3*(Q294-$Q$1)/$Q$2)/SUM($O$3:$Q$3)</f>
        <v>-1.0387315147887846</v>
      </c>
      <c r="AW294" s="47">
        <f>COUNT(R294:AO294)/2</f>
        <v>5</v>
      </c>
      <c r="AX294" s="47">
        <f>IF(AND(S294&lt;&gt;"-",S294&gt;5),1,0)+IF(AND(U294&lt;&gt;"-",U294&gt;5),1,0)+IF(AND(W294&lt;&gt;"-",W294&gt;5),1,0)+IF(AND(Y294&lt;&gt;"-",Y294&gt;5),1,0)+IF(AND(AA294&lt;&gt;"-",AA294&gt;5),1,0)+IF(AND(AC294&lt;&gt;"-",AC294&gt;5),1,0)+IF(AND(AE294&lt;&gt;"-",AE294&gt;5),1,0)+IF(AND(AG294&lt;&gt;"-",AG294&gt;5),1,0)+IF(AND(AI294&lt;&gt;"-",AI294&gt;5),1,0)+IF(AND(AK294&lt;&gt;"-",AK294&gt;5),1,0)+IF(AND(AM294&lt;&gt;"-",AM294&gt;5),1,0)+IF(AND(AO294&lt;&gt;"-",AO294&gt;5),1,0)</f>
        <v>0</v>
      </c>
      <c r="AY294" s="48">
        <f>VLOOKUP(AP294,COND!$A$10:$B$32,2,FALSE)</f>
        <v>1</v>
      </c>
      <c r="AZ294" s="46">
        <f>($AU$3*AU294+$AV$3*AV294+$AW$3*AW294+$AX$3*AX294)*AY294*IF(AQ294&lt;5,0.95,IF(AQ294&lt;7,0.975,1))+$I$3*VLOOKUP(I294,COND!$A$2:$E$7,4,FALSE)+$J$3*VLOOKUP(J294,COND!$A$2:$E$7,2,FALSE)+$K$3*VLOOKUP(K294,COND!$A$2:$E$7,3,FALSE)+IF(BB294="SP",$BB$3,0)+IF($AW294&lt;3,-5,0)+IF(AND($B$2&gt;0,$E294&lt;20),$B$2*25,0)</f>
        <v>28.816737346858009</v>
      </c>
      <c r="BA294" s="49">
        <f>STANDARDIZE(AZ294,AVERAGE($AZ$5:$AZ$570),STDEVP($AZ$5:$AZ$570))</f>
        <v>-0.35815228112609954</v>
      </c>
      <c r="BB294" s="47" t="str">
        <f>IF(OR(AND(AQ294&gt;7,AX294&gt;1),AND(AQ294&gt;4,AW294&gt;2)),"SP","RP")</f>
        <v>SP</v>
      </c>
      <c r="BC294" s="47"/>
      <c r="BD294" s="47"/>
      <c r="BE294" s="47"/>
      <c r="BF294" s="47" t="str">
        <f>IF(AVERAGE($O294:$Q294)&gt;=6,"Likely",IF(AVERAGE($O294:$Q294)&gt;=4,"Possible","Unlikely"))</f>
        <v>Unlikely</v>
      </c>
      <c r="BG294" s="47"/>
      <c r="BH294" s="47" t="str">
        <f>INDEX(Table5[[#All],[Ovr]],MATCH(Table3[[#This Row],[PID]],Table5[[#All],[PID]],0))</f>
        <v/>
      </c>
      <c r="BI294" s="47" t="str">
        <f>INDEX(Table5[[#All],[Rnd]],MATCH(Table3[[#This Row],[PID]],Table5[[#All],[PID]],0))</f>
        <v/>
      </c>
      <c r="BJ294" s="47" t="str">
        <f>INDEX(Table5[[#All],[Pick]],MATCH(Table3[[#This Row],[PID]],Table5[[#All],[PID]],0))</f>
        <v/>
      </c>
      <c r="BK294" s="47" t="str">
        <f>INDEX(Table5[[#All],[Team]],MATCH(Table3[[#This Row],[PID]],Table5[[#All],[PID]],0))</f>
        <v/>
      </c>
      <c r="BL2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5" spans="1:64" ht="15" customHeight="1" x14ac:dyDescent="0.25">
      <c r="A295" s="42">
        <v>17911</v>
      </c>
      <c r="B295" s="42" t="s">
        <v>24</v>
      </c>
      <c r="C295" s="42" t="s">
        <v>342</v>
      </c>
      <c r="D295" s="42" t="s">
        <v>1650</v>
      </c>
      <c r="E295" s="42">
        <v>18</v>
      </c>
      <c r="F295" s="42" t="s">
        <v>62</v>
      </c>
      <c r="G295" s="42" t="s">
        <v>42</v>
      </c>
      <c r="H295" s="43" t="s">
        <v>721</v>
      </c>
      <c r="I295" s="44" t="s">
        <v>43</v>
      </c>
      <c r="J295" s="42" t="s">
        <v>43</v>
      </c>
      <c r="K295" s="43" t="s">
        <v>43</v>
      </c>
      <c r="L295" s="42">
        <v>1</v>
      </c>
      <c r="M295" s="42">
        <v>2</v>
      </c>
      <c r="N295" s="43">
        <v>1</v>
      </c>
      <c r="O295" s="42">
        <v>4</v>
      </c>
      <c r="P295" s="42">
        <v>2</v>
      </c>
      <c r="Q295" s="43">
        <v>2</v>
      </c>
      <c r="R295" s="42">
        <v>3</v>
      </c>
      <c r="S295" s="42">
        <v>5</v>
      </c>
      <c r="T295" s="42">
        <v>1</v>
      </c>
      <c r="U295" s="42">
        <v>5</v>
      </c>
      <c r="V295" s="42">
        <v>1</v>
      </c>
      <c r="W295" s="42">
        <v>2</v>
      </c>
      <c r="X295" s="42" t="s">
        <v>45</v>
      </c>
      <c r="Y295" s="42" t="s">
        <v>45</v>
      </c>
      <c r="Z295" s="42" t="s">
        <v>45</v>
      </c>
      <c r="AA295" s="42" t="s">
        <v>45</v>
      </c>
      <c r="AB295" s="42" t="s">
        <v>45</v>
      </c>
      <c r="AC295" s="42" t="s">
        <v>45</v>
      </c>
      <c r="AD295" s="42">
        <v>3</v>
      </c>
      <c r="AE295" s="42">
        <v>4</v>
      </c>
      <c r="AF295" s="42" t="s">
        <v>45</v>
      </c>
      <c r="AG295" s="42" t="s">
        <v>45</v>
      </c>
      <c r="AH295" s="42" t="s">
        <v>45</v>
      </c>
      <c r="AI295" s="42" t="s">
        <v>45</v>
      </c>
      <c r="AJ295" s="42" t="s">
        <v>45</v>
      </c>
      <c r="AK295" s="42" t="s">
        <v>45</v>
      </c>
      <c r="AL295" s="42" t="s">
        <v>45</v>
      </c>
      <c r="AM295" s="42" t="s">
        <v>45</v>
      </c>
      <c r="AN295" s="42" t="s">
        <v>45</v>
      </c>
      <c r="AO295" s="43" t="s">
        <v>45</v>
      </c>
      <c r="AP295" s="42" t="s">
        <v>355</v>
      </c>
      <c r="AQ295" s="42">
        <v>10</v>
      </c>
      <c r="AR295" s="50" t="s">
        <v>353</v>
      </c>
      <c r="AS295" s="45" t="s">
        <v>718</v>
      </c>
      <c r="AT295" s="45" t="s">
        <v>47</v>
      </c>
      <c r="AU295" s="46">
        <f>($O$3*(L295-$O$1)/$O$2+$P$3*(M295-$P$1)/$P$2+$Q$3*(N295-$P$1)/$Q$2)/SUM($O$3:$Q$3)</f>
        <v>-2.5060525215375429</v>
      </c>
      <c r="AV295" s="46">
        <f>($O$3*(O295-$O$1)/$O$2+$P$3*(P295-$P$1)/$P$2+$Q$3*(Q295-$Q$1)/$Q$2)/SUM($O$3:$Q$3)</f>
        <v>-1.23416323121884</v>
      </c>
      <c r="AW295" s="47">
        <f>COUNT(R295:AO295)/2</f>
        <v>4</v>
      </c>
      <c r="AX295" s="47">
        <f>IF(AND(S295&lt;&gt;"-",S295&gt;5),1,0)+IF(AND(U295&lt;&gt;"-",U295&gt;5),1,0)+IF(AND(W295&lt;&gt;"-",W295&gt;5),1,0)+IF(AND(Y295&lt;&gt;"-",Y295&gt;5),1,0)+IF(AND(AA295&lt;&gt;"-",AA295&gt;5),1,0)+IF(AND(AC295&lt;&gt;"-",AC295&gt;5),1,0)+IF(AND(AE295&lt;&gt;"-",AE295&gt;5),1,0)+IF(AND(AG295&lt;&gt;"-",AG295&gt;5),1,0)+IF(AND(AI295&lt;&gt;"-",AI295&gt;5),1,0)+IF(AND(AK295&lt;&gt;"-",AK295&gt;5),1,0)+IF(AND(AM295&lt;&gt;"-",AM295&gt;5),1,0)+IF(AND(AO295&lt;&gt;"-",AO295&gt;5),1,0)</f>
        <v>0</v>
      </c>
      <c r="AY295" s="48">
        <f>VLOOKUP(AP295,COND!$A$10:$B$32,2,FALSE)</f>
        <v>1</v>
      </c>
      <c r="AZ295" s="46">
        <f>($AU$3*AU295+$AV$3*AV295+$AW$3*AW295+$AX$3*AX295)*AY295*IF(AQ295&lt;5,0.95,IF(AQ295&lt;7,0.975,1))+$I$3*VLOOKUP(I295,COND!$A$2:$E$7,4,FALSE)+$J$3*VLOOKUP(J295,COND!$A$2:$E$7,2,FALSE)+$K$3*VLOOKUP(K295,COND!$A$2:$E$7,3,FALSE)+IF(BB295="SP",$BB$3,0)+IF($AW295&lt;3,-5,0)+IF(AND($B$2&gt;0,$E295&lt;20),$B$2*25,0)</f>
        <v>28.815524871315692</v>
      </c>
      <c r="BA295" s="49">
        <f>STANDARDIZE(AZ295,AVERAGE($AZ$5:$AZ$570),STDEVP($AZ$5:$AZ$570))</f>
        <v>-0.35826347031555944</v>
      </c>
      <c r="BB295" s="47" t="str">
        <f>IF(OR(AND(AQ295&gt;7,AX295&gt;1),AND(AQ295&gt;4,AW295&gt;2)),"SP","RP")</f>
        <v>SP</v>
      </c>
      <c r="BC295" s="47"/>
      <c r="BD295" s="47"/>
      <c r="BE295" s="47"/>
      <c r="BF295" s="47" t="str">
        <f>IF(AVERAGE($O295:$Q295)&gt;=6,"Likely",IF(AVERAGE($O295:$Q295)&gt;=4,"Possible","Unlikely"))</f>
        <v>Unlikely</v>
      </c>
      <c r="BG295" s="47"/>
      <c r="BH295" s="47" t="str">
        <f>INDEX(Table5[[#All],[Ovr]],MATCH(Table3[[#This Row],[PID]],Table5[[#All],[PID]],0))</f>
        <v/>
      </c>
      <c r="BI295" s="47" t="str">
        <f>INDEX(Table5[[#All],[Rnd]],MATCH(Table3[[#This Row],[PID]],Table5[[#All],[PID]],0))</f>
        <v/>
      </c>
      <c r="BJ295" s="47" t="str">
        <f>INDEX(Table5[[#All],[Pick]],MATCH(Table3[[#This Row],[PID]],Table5[[#All],[PID]],0))</f>
        <v/>
      </c>
      <c r="BK295" s="47" t="str">
        <f>INDEX(Table5[[#All],[Team]],MATCH(Table3[[#This Row],[PID]],Table5[[#All],[PID]],0))</f>
        <v/>
      </c>
      <c r="BL2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6" spans="1:64" ht="15" customHeight="1" x14ac:dyDescent="0.25">
      <c r="A296" s="42">
        <v>12407</v>
      </c>
      <c r="B296" s="42" t="s">
        <v>430</v>
      </c>
      <c r="C296" s="42" t="s">
        <v>1023</v>
      </c>
      <c r="D296" s="42" t="s">
        <v>667</v>
      </c>
      <c r="E296" s="42">
        <v>22</v>
      </c>
      <c r="F296" s="42" t="s">
        <v>53</v>
      </c>
      <c r="G296" s="42" t="s">
        <v>42</v>
      </c>
      <c r="H296" s="43" t="s">
        <v>721</v>
      </c>
      <c r="I296" s="44" t="s">
        <v>43</v>
      </c>
      <c r="J296" s="42" t="s">
        <v>43</v>
      </c>
      <c r="K296" s="43" t="s">
        <v>43</v>
      </c>
      <c r="L296" s="42">
        <v>3</v>
      </c>
      <c r="M296" s="42">
        <v>2</v>
      </c>
      <c r="N296" s="43">
        <v>2</v>
      </c>
      <c r="O296" s="42">
        <v>4</v>
      </c>
      <c r="P296" s="42">
        <v>2</v>
      </c>
      <c r="Q296" s="43">
        <v>3</v>
      </c>
      <c r="R296" s="42">
        <v>4</v>
      </c>
      <c r="S296" s="42">
        <v>5</v>
      </c>
      <c r="T296" s="42">
        <v>1</v>
      </c>
      <c r="U296" s="42">
        <v>2</v>
      </c>
      <c r="V296" s="42" t="s">
        <v>45</v>
      </c>
      <c r="W296" s="42" t="s">
        <v>45</v>
      </c>
      <c r="X296" s="42" t="s">
        <v>45</v>
      </c>
      <c r="Y296" s="42" t="s">
        <v>45</v>
      </c>
      <c r="Z296" s="42">
        <v>4</v>
      </c>
      <c r="AA296" s="42">
        <v>5</v>
      </c>
      <c r="AB296" s="42" t="s">
        <v>45</v>
      </c>
      <c r="AC296" s="42" t="s">
        <v>45</v>
      </c>
      <c r="AD296" s="42" t="s">
        <v>45</v>
      </c>
      <c r="AE296" s="42" t="s">
        <v>45</v>
      </c>
      <c r="AF296" s="42" t="s">
        <v>45</v>
      </c>
      <c r="AG296" s="42" t="s">
        <v>45</v>
      </c>
      <c r="AH296" s="42" t="s">
        <v>45</v>
      </c>
      <c r="AI296" s="42" t="s">
        <v>45</v>
      </c>
      <c r="AJ296" s="42" t="s">
        <v>45</v>
      </c>
      <c r="AK296" s="42" t="s">
        <v>45</v>
      </c>
      <c r="AL296" s="42" t="s">
        <v>45</v>
      </c>
      <c r="AM296" s="42" t="s">
        <v>45</v>
      </c>
      <c r="AN296" s="42" t="s">
        <v>45</v>
      </c>
      <c r="AO296" s="43" t="s">
        <v>45</v>
      </c>
      <c r="AP296" s="42" t="s">
        <v>64</v>
      </c>
      <c r="AQ296" s="42">
        <v>6</v>
      </c>
      <c r="AR296" s="50" t="s">
        <v>352</v>
      </c>
      <c r="AS296" s="45" t="s">
        <v>45</v>
      </c>
      <c r="AT296" s="45" t="s">
        <v>47</v>
      </c>
      <c r="AU296" s="46">
        <f>($O$3*(L296-$O$1)/$O$2+$P$3*(M296-$P$1)/$P$2+$Q$3*(N296-$P$1)/$Q$2)/SUM($O$3:$Q$3)</f>
        <v>-1.8743493064650851</v>
      </c>
      <c r="AV296" s="46">
        <f>($O$3*(O296-$O$1)/$O$2+$P$3*(P296-$P$1)/$P$2+$Q$3*(Q296-$Q$1)/$Q$2)/SUM($O$3:$Q$3)</f>
        <v>-0.99184266516472974</v>
      </c>
      <c r="AW296" s="47">
        <f>COUNT(R296:AO296)/2</f>
        <v>3</v>
      </c>
      <c r="AX296" s="47">
        <f>IF(AND(S296&lt;&gt;"-",S296&gt;5),1,0)+IF(AND(U296&lt;&gt;"-",U296&gt;5),1,0)+IF(AND(W296&lt;&gt;"-",W296&gt;5),1,0)+IF(AND(Y296&lt;&gt;"-",Y296&gt;5),1,0)+IF(AND(AA296&lt;&gt;"-",AA296&gt;5),1,0)+IF(AND(AC296&lt;&gt;"-",AC296&gt;5),1,0)+IF(AND(AE296&lt;&gt;"-",AE296&gt;5),1,0)+IF(AND(AG296&lt;&gt;"-",AG296&gt;5),1,0)+IF(AND(AI296&lt;&gt;"-",AI296&gt;5),1,0)+IF(AND(AK296&lt;&gt;"-",AK296&gt;5),1,0)+IF(AND(AM296&lt;&gt;"-",AM296&gt;5),1,0)+IF(AND(AO296&lt;&gt;"-",AO296&gt;5),1,0)</f>
        <v>0</v>
      </c>
      <c r="AY296" s="48">
        <f>VLOOKUP(AP296,COND!$A$10:$B$32,2,FALSE)</f>
        <v>1</v>
      </c>
      <c r="AZ296" s="46">
        <f>($AU$3*AU296+$AV$3*AV296+$AW$3*AW296+$AX$3*AX296)*AY296*IF(AQ296&lt;5,0.95,IF(AQ296&lt;7,0.975,1))+$I$3*VLOOKUP(I296,COND!$A$2:$E$7,4,FALSE)+$J$3*VLOOKUP(J296,COND!$A$2:$E$7,2,FALSE)+$K$3*VLOOKUP(K296,COND!$A$2:$E$7,3,FALSE)+IF(BB296="SP",$BB$3,0)+IF($AW296&lt;3,-5,0)+IF(AND($B$2&gt;0,$E296&lt;20),$B$2*25,0)</f>
        <v>28.756069914527078</v>
      </c>
      <c r="BA296" s="49">
        <f>STANDARDIZE(AZ296,AVERAGE($AZ$5:$AZ$570),STDEVP($AZ$5:$AZ$570))</f>
        <v>-0.36371574396890133</v>
      </c>
      <c r="BB296" s="47" t="str">
        <f>IF(OR(AND(AQ296&gt;7,AX296&gt;1),AND(AQ296&gt;4,AW296&gt;2)),"SP","RP")</f>
        <v>SP</v>
      </c>
      <c r="BC296" s="47"/>
      <c r="BD296" s="47"/>
      <c r="BE296" s="47"/>
      <c r="BF296" s="47" t="str">
        <f>IF(AVERAGE($O296:$Q296)&gt;=6,"Likely",IF(AVERAGE($O296:$Q296)&gt;=4,"Possible","Unlikely"))</f>
        <v>Unlikely</v>
      </c>
      <c r="BG296" s="47"/>
      <c r="BH296" s="47" t="str">
        <f>INDEX(Table5[[#All],[Ovr]],MATCH(Table3[[#This Row],[PID]],Table5[[#All],[PID]],0))</f>
        <v/>
      </c>
      <c r="BI296" s="47" t="str">
        <f>INDEX(Table5[[#All],[Rnd]],MATCH(Table3[[#This Row],[PID]],Table5[[#All],[PID]],0))</f>
        <v/>
      </c>
      <c r="BJ296" s="47" t="str">
        <f>INDEX(Table5[[#All],[Pick]],MATCH(Table3[[#This Row],[PID]],Table5[[#All],[PID]],0))</f>
        <v/>
      </c>
      <c r="BK296" s="47" t="str">
        <f>INDEX(Table5[[#All],[Team]],MATCH(Table3[[#This Row],[PID]],Table5[[#All],[PID]],0))</f>
        <v/>
      </c>
      <c r="BL2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7" spans="1:64" ht="15" customHeight="1" x14ac:dyDescent="0.25">
      <c r="A297" s="42">
        <v>8981</v>
      </c>
      <c r="B297" s="42" t="s">
        <v>430</v>
      </c>
      <c r="C297" s="42" t="s">
        <v>346</v>
      </c>
      <c r="D297" s="42" t="s">
        <v>825</v>
      </c>
      <c r="E297" s="42">
        <v>18</v>
      </c>
      <c r="F297" s="42" t="s">
        <v>42</v>
      </c>
      <c r="G297" s="42" t="s">
        <v>42</v>
      </c>
      <c r="H297" s="43" t="s">
        <v>721</v>
      </c>
      <c r="I297" s="44" t="s">
        <v>43</v>
      </c>
      <c r="J297" s="42" t="s">
        <v>44</v>
      </c>
      <c r="K297" s="43" t="s">
        <v>43</v>
      </c>
      <c r="L297" s="42">
        <v>1</v>
      </c>
      <c r="M297" s="42">
        <v>2</v>
      </c>
      <c r="N297" s="43">
        <v>1</v>
      </c>
      <c r="O297" s="42">
        <v>4</v>
      </c>
      <c r="P297" s="42">
        <v>2</v>
      </c>
      <c r="Q297" s="43">
        <v>2</v>
      </c>
      <c r="R297" s="42">
        <v>2</v>
      </c>
      <c r="S297" s="42">
        <v>4</v>
      </c>
      <c r="T297" s="42" t="s">
        <v>45</v>
      </c>
      <c r="U297" s="42" t="s">
        <v>45</v>
      </c>
      <c r="V297" s="42">
        <v>1</v>
      </c>
      <c r="W297" s="42">
        <v>6</v>
      </c>
      <c r="X297" s="42" t="s">
        <v>45</v>
      </c>
      <c r="Y297" s="42" t="s">
        <v>45</v>
      </c>
      <c r="Z297" s="42">
        <v>3</v>
      </c>
      <c r="AA297" s="42">
        <v>4</v>
      </c>
      <c r="AB297" s="42" t="s">
        <v>45</v>
      </c>
      <c r="AC297" s="42" t="s">
        <v>45</v>
      </c>
      <c r="AD297" s="42" t="s">
        <v>45</v>
      </c>
      <c r="AE297" s="42" t="s">
        <v>45</v>
      </c>
      <c r="AF297" s="42" t="s">
        <v>45</v>
      </c>
      <c r="AG297" s="42" t="s">
        <v>45</v>
      </c>
      <c r="AH297" s="42" t="s">
        <v>45</v>
      </c>
      <c r="AI297" s="42" t="s">
        <v>45</v>
      </c>
      <c r="AJ297" s="42" t="s">
        <v>45</v>
      </c>
      <c r="AK297" s="42" t="s">
        <v>45</v>
      </c>
      <c r="AL297" s="42" t="s">
        <v>45</v>
      </c>
      <c r="AM297" s="42" t="s">
        <v>45</v>
      </c>
      <c r="AN297" s="42" t="s">
        <v>45</v>
      </c>
      <c r="AO297" s="43" t="s">
        <v>45</v>
      </c>
      <c r="AP297" s="42" t="s">
        <v>68</v>
      </c>
      <c r="AQ297" s="42">
        <v>4</v>
      </c>
      <c r="AR297" s="50" t="s">
        <v>353</v>
      </c>
      <c r="AS297" s="45" t="s">
        <v>718</v>
      </c>
      <c r="AT297" s="45" t="s">
        <v>47</v>
      </c>
      <c r="AU297" s="46">
        <f>($O$3*(L297-$O$1)/$O$2+$P$3*(M297-$P$1)/$P$2+$Q$3*(N297-$P$1)/$Q$2)/SUM($O$3:$Q$3)</f>
        <v>-2.5060525215375429</v>
      </c>
      <c r="AV297" s="46">
        <f>($O$3*(O297-$O$1)/$O$2+$P$3*(P297-$P$1)/$P$2+$Q$3*(Q297-$Q$1)/$Q$2)/SUM($O$3:$Q$3)</f>
        <v>-1.23416323121884</v>
      </c>
      <c r="AW297" s="47">
        <f>COUNT(R297:AO297)/2</f>
        <v>3</v>
      </c>
      <c r="AX297" s="47">
        <f>IF(AND(S297&lt;&gt;"-",S297&gt;5),1,0)+IF(AND(U297&lt;&gt;"-",U297&gt;5),1,0)+IF(AND(W297&lt;&gt;"-",W297&gt;5),1,0)+IF(AND(Y297&lt;&gt;"-",Y297&gt;5),1,0)+IF(AND(AA297&lt;&gt;"-",AA297&gt;5),1,0)+IF(AND(AC297&lt;&gt;"-",AC297&gt;5),1,0)+IF(AND(AE297&lt;&gt;"-",AE297&gt;5),1,0)+IF(AND(AG297&lt;&gt;"-",AG297&gt;5),1,0)+IF(AND(AI297&lt;&gt;"-",AI297&gt;5),1,0)+IF(AND(AK297&lt;&gt;"-",AK297&gt;5),1,0)+IF(AND(AM297&lt;&gt;"-",AM297&gt;5),1,0)+IF(AND(AO297&lt;&gt;"-",AO297&gt;5),1,0)</f>
        <v>1</v>
      </c>
      <c r="AY297" s="48">
        <f>VLOOKUP(AP297,COND!$A$10:$B$32,2,FALSE)</f>
        <v>0.95</v>
      </c>
      <c r="AZ297" s="46">
        <f>($AU$3*AU297+$AV$3*AV297+$AW$3*AW297+$AX$3*AX297)*AY297*IF(AQ297&lt;5,0.95,IF(AQ297&lt;7,0.975,1))+$I$3*VLOOKUP(I297,COND!$A$2:$E$7,4,FALSE)+$J$3*VLOOKUP(J297,COND!$A$2:$E$7,2,FALSE)+$K$3*VLOOKUP(K297,COND!$A$2:$E$7,3,FALSE)+IF(BB297="SP",$BB$3,0)+IF($AW297&lt;3,-5,0)+IF(AND($B$2&gt;0,$E297&lt;20),$B$2*25,0)</f>
        <v>29.452886196362414</v>
      </c>
      <c r="BA297" s="49">
        <f>STANDARDIZE(AZ297,AVERAGE($AZ$5:$AZ$570),STDEVP($AZ$5:$AZ$570))</f>
        <v>-0.29981471266921828</v>
      </c>
      <c r="BB297" s="47" t="str">
        <f>IF(OR(AND(AQ297&gt;7,AX297&gt;1),AND(AQ297&gt;4,AW297&gt;2)),"SP","RP")</f>
        <v>RP</v>
      </c>
      <c r="BC297" s="47"/>
      <c r="BD297" s="47"/>
      <c r="BE297" s="47"/>
      <c r="BF297" s="47" t="str">
        <f>IF(AVERAGE($O297:$Q297)&gt;=6,"Likely",IF(AVERAGE($O297:$Q297)&gt;=4,"Possible","Unlikely"))</f>
        <v>Unlikely</v>
      </c>
      <c r="BG297" s="47"/>
      <c r="BH297" s="47" t="str">
        <f>INDEX(Table5[[#All],[Ovr]],MATCH(Table3[[#This Row],[PID]],Table5[[#All],[PID]],0))</f>
        <v/>
      </c>
      <c r="BI297" s="47" t="str">
        <f>INDEX(Table5[[#All],[Rnd]],MATCH(Table3[[#This Row],[PID]],Table5[[#All],[PID]],0))</f>
        <v/>
      </c>
      <c r="BJ297" s="47" t="str">
        <f>INDEX(Table5[[#All],[Pick]],MATCH(Table3[[#This Row],[PID]],Table5[[#All],[PID]],0))</f>
        <v/>
      </c>
      <c r="BK297" s="47" t="str">
        <f>INDEX(Table5[[#All],[Team]],MATCH(Table3[[#This Row],[PID]],Table5[[#All],[PID]],0))</f>
        <v/>
      </c>
      <c r="BL2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8" spans="1:64" ht="15" customHeight="1" x14ac:dyDescent="0.25">
      <c r="A298" s="42">
        <v>13926</v>
      </c>
      <c r="B298" s="42" t="s">
        <v>430</v>
      </c>
      <c r="C298" s="42" t="s">
        <v>126</v>
      </c>
      <c r="D298" s="42" t="s">
        <v>1751</v>
      </c>
      <c r="E298" s="42">
        <v>18</v>
      </c>
      <c r="F298" s="42" t="s">
        <v>42</v>
      </c>
      <c r="G298" s="42" t="s">
        <v>42</v>
      </c>
      <c r="H298" s="43" t="s">
        <v>721</v>
      </c>
      <c r="I298" s="44" t="s">
        <v>43</v>
      </c>
      <c r="J298" s="42" t="s">
        <v>43</v>
      </c>
      <c r="K298" s="43" t="s">
        <v>47</v>
      </c>
      <c r="L298" s="42">
        <v>1</v>
      </c>
      <c r="M298" s="42">
        <v>1</v>
      </c>
      <c r="N298" s="43">
        <v>1</v>
      </c>
      <c r="O298" s="42">
        <v>3</v>
      </c>
      <c r="P298" s="42">
        <v>1</v>
      </c>
      <c r="Q298" s="43">
        <v>3</v>
      </c>
      <c r="R298" s="42">
        <v>2</v>
      </c>
      <c r="S298" s="42">
        <v>4</v>
      </c>
      <c r="T298" s="42">
        <v>1</v>
      </c>
      <c r="U298" s="42">
        <v>1</v>
      </c>
      <c r="V298" s="42">
        <v>2</v>
      </c>
      <c r="W298" s="42">
        <v>5</v>
      </c>
      <c r="X298" s="42">
        <v>2</v>
      </c>
      <c r="Y298" s="42">
        <v>4</v>
      </c>
      <c r="Z298" s="42" t="s">
        <v>45</v>
      </c>
      <c r="AA298" s="42" t="s">
        <v>45</v>
      </c>
      <c r="AB298" s="42" t="s">
        <v>45</v>
      </c>
      <c r="AC298" s="42" t="s">
        <v>45</v>
      </c>
      <c r="AD298" s="42" t="s">
        <v>45</v>
      </c>
      <c r="AE298" s="42" t="s">
        <v>45</v>
      </c>
      <c r="AF298" s="42" t="s">
        <v>45</v>
      </c>
      <c r="AG298" s="42" t="s">
        <v>45</v>
      </c>
      <c r="AH298" s="42" t="s">
        <v>45</v>
      </c>
      <c r="AI298" s="42" t="s">
        <v>45</v>
      </c>
      <c r="AJ298" s="42" t="s">
        <v>45</v>
      </c>
      <c r="AK298" s="42" t="s">
        <v>45</v>
      </c>
      <c r="AL298" s="42" t="s">
        <v>45</v>
      </c>
      <c r="AM298" s="42" t="s">
        <v>45</v>
      </c>
      <c r="AN298" s="42" t="s">
        <v>45</v>
      </c>
      <c r="AO298" s="43" t="s">
        <v>45</v>
      </c>
      <c r="AP298" s="42" t="s">
        <v>65</v>
      </c>
      <c r="AQ298" s="42">
        <v>6</v>
      </c>
      <c r="AR298" s="50" t="s">
        <v>14</v>
      </c>
      <c r="AS298" s="45" t="s">
        <v>739</v>
      </c>
      <c r="AT298" s="45" t="s">
        <v>47</v>
      </c>
      <c r="AU298" s="46">
        <f>($O$3*(L298-$O$1)/$O$2+$P$3*(M298-$P$1)/$P$2+$Q$3*(N298-$P$1)/$Q$2)/SUM($O$3:$Q$3)</f>
        <v>-2.7014842379675978</v>
      </c>
      <c r="AV298" s="46">
        <f>($O$3*(O298-$O$1)/$O$2+$P$3*(P298-$P$1)/$P$2+$Q$3*(Q298-$Q$1)/$Q$2)/SUM($O$3:$Q$3)</f>
        <v>-1.3819657061039585</v>
      </c>
      <c r="AW298" s="47">
        <f>COUNT(R298:AO298)/2</f>
        <v>4</v>
      </c>
      <c r="AX298" s="47">
        <f>IF(AND(S298&lt;&gt;"-",S298&gt;5),1,0)+IF(AND(U298&lt;&gt;"-",U298&gt;5),1,0)+IF(AND(W298&lt;&gt;"-",W298&gt;5),1,0)+IF(AND(Y298&lt;&gt;"-",Y298&gt;5),1,0)+IF(AND(AA298&lt;&gt;"-",AA298&gt;5),1,0)+IF(AND(AC298&lt;&gt;"-",AC298&gt;5),1,0)+IF(AND(AE298&lt;&gt;"-",AE298&gt;5),1,0)+IF(AND(AG298&lt;&gt;"-",AG298&gt;5),1,0)+IF(AND(AI298&lt;&gt;"-",AI298&gt;5),1,0)+IF(AND(AK298&lt;&gt;"-",AK298&gt;5),1,0)+IF(AND(AM298&lt;&gt;"-",AM298&gt;5),1,0)+IF(AND(AO298&lt;&gt;"-",AO298&gt;5),1,0)</f>
        <v>0</v>
      </c>
      <c r="AY298" s="48">
        <f>VLOOKUP(AP298,COND!$A$10:$B$32,2,FALSE)</f>
        <v>0.95</v>
      </c>
      <c r="AZ298" s="46">
        <f>($AU$3*AU298+$AV$3*AV298+$AW$3*AW298+$AX$3*AX298)*AY298*IF(AQ298&lt;5,0.95,IF(AQ298&lt;7,0.975,1))+$I$3*VLOOKUP(I298,COND!$A$2:$E$7,4,FALSE)+$J$3*VLOOKUP(J298,COND!$A$2:$E$7,2,FALSE)+$K$3*VLOOKUP(K298,COND!$A$2:$E$7,3,FALSE)+IF(BB298="SP",$BB$3,0)+IF($AW298&lt;3,-5,0)+IF(AND($B$2&gt;0,$E298&lt;20),$B$2*25,0)</f>
        <v>28.051135339340671</v>
      </c>
      <c r="BA298" s="49">
        <f>STANDARDIZE(AZ298,AVERAGE($AZ$5:$AZ$570),STDEVP($AZ$5:$AZ$570))</f>
        <v>-0.42836125746719267</v>
      </c>
      <c r="BB298" s="47" t="str">
        <f>IF(OR(AND(AQ298&gt;7,AX298&gt;1),AND(AQ298&gt;4,AW298&gt;2)),"SP","RP")</f>
        <v>SP</v>
      </c>
      <c r="BC298" s="47"/>
      <c r="BD298" s="47"/>
      <c r="BE298" s="47"/>
      <c r="BF298" s="47" t="str">
        <f>IF(AVERAGE($O298:$Q298)&gt;=6,"Likely",IF(AVERAGE($O298:$Q298)&gt;=4,"Possible","Unlikely"))</f>
        <v>Unlikely</v>
      </c>
      <c r="BG298" s="47"/>
      <c r="BH298" s="47" t="str">
        <f>INDEX(Table5[[#All],[Ovr]],MATCH(Table3[[#This Row],[PID]],Table5[[#All],[PID]],0))</f>
        <v/>
      </c>
      <c r="BI298" s="47" t="str">
        <f>INDEX(Table5[[#All],[Rnd]],MATCH(Table3[[#This Row],[PID]],Table5[[#All],[PID]],0))</f>
        <v/>
      </c>
      <c r="BJ298" s="47" t="str">
        <f>INDEX(Table5[[#All],[Pick]],MATCH(Table3[[#This Row],[PID]],Table5[[#All],[PID]],0))</f>
        <v/>
      </c>
      <c r="BK298" s="47" t="str">
        <f>INDEX(Table5[[#All],[Team]],MATCH(Table3[[#This Row],[PID]],Table5[[#All],[PID]],0))</f>
        <v/>
      </c>
      <c r="BL2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9" spans="1:64" ht="15" customHeight="1" x14ac:dyDescent="0.25">
      <c r="A299" s="42">
        <v>5361</v>
      </c>
      <c r="B299" s="42" t="s">
        <v>430</v>
      </c>
      <c r="C299" s="42" t="s">
        <v>136</v>
      </c>
      <c r="D299" s="42" t="s">
        <v>628</v>
      </c>
      <c r="E299" s="42">
        <v>22</v>
      </c>
      <c r="F299" s="42" t="s">
        <v>53</v>
      </c>
      <c r="G299" s="42" t="s">
        <v>53</v>
      </c>
      <c r="H299" s="43" t="s">
        <v>721</v>
      </c>
      <c r="I299" s="44" t="s">
        <v>43</v>
      </c>
      <c r="J299" s="42" t="s">
        <v>43</v>
      </c>
      <c r="K299" s="43" t="s">
        <v>43</v>
      </c>
      <c r="L299" s="42">
        <v>2</v>
      </c>
      <c r="M299" s="42">
        <v>1</v>
      </c>
      <c r="N299" s="43">
        <v>2</v>
      </c>
      <c r="O299" s="42">
        <v>4</v>
      </c>
      <c r="P299" s="42">
        <v>2</v>
      </c>
      <c r="Q299" s="43">
        <v>3</v>
      </c>
      <c r="R299" s="42">
        <v>4</v>
      </c>
      <c r="S299" s="42">
        <v>5</v>
      </c>
      <c r="T299" s="42">
        <v>1</v>
      </c>
      <c r="U299" s="42">
        <v>4</v>
      </c>
      <c r="V299" s="42">
        <v>3</v>
      </c>
      <c r="W299" s="42">
        <v>5</v>
      </c>
      <c r="X299" s="42">
        <v>2</v>
      </c>
      <c r="Y299" s="42">
        <v>3</v>
      </c>
      <c r="Z299" s="42" t="s">
        <v>45</v>
      </c>
      <c r="AA299" s="42" t="s">
        <v>45</v>
      </c>
      <c r="AB299" s="42" t="s">
        <v>45</v>
      </c>
      <c r="AC299" s="42" t="s">
        <v>45</v>
      </c>
      <c r="AD299" s="42" t="s">
        <v>45</v>
      </c>
      <c r="AE299" s="42" t="s">
        <v>45</v>
      </c>
      <c r="AF299" s="42" t="s">
        <v>45</v>
      </c>
      <c r="AG299" s="42" t="s">
        <v>45</v>
      </c>
      <c r="AH299" s="42" t="s">
        <v>45</v>
      </c>
      <c r="AI299" s="42" t="s">
        <v>45</v>
      </c>
      <c r="AJ299" s="42" t="s">
        <v>45</v>
      </c>
      <c r="AK299" s="42" t="s">
        <v>45</v>
      </c>
      <c r="AL299" s="42" t="s">
        <v>45</v>
      </c>
      <c r="AM299" s="42" t="s">
        <v>45</v>
      </c>
      <c r="AN299" s="42" t="s">
        <v>45</v>
      </c>
      <c r="AO299" s="43" t="s">
        <v>45</v>
      </c>
      <c r="AP299" s="42" t="s">
        <v>57</v>
      </c>
      <c r="AQ299" s="42">
        <v>8</v>
      </c>
      <c r="AR299" s="50" t="s">
        <v>353</v>
      </c>
      <c r="AS299" s="45" t="s">
        <v>45</v>
      </c>
      <c r="AT299" s="45" t="s">
        <v>47</v>
      </c>
      <c r="AU299" s="46">
        <f>($O$3*(L299-$O$1)/$O$2+$P$3*(M299-$P$1)/$P$2+$Q$3*(N299-$P$1)/$Q$2)/SUM($O$3:$Q$3)</f>
        <v>-2.2644723474043147</v>
      </c>
      <c r="AV299" s="46">
        <f>($O$3*(O299-$O$1)/$O$2+$P$3*(P299-$P$1)/$P$2+$Q$3*(Q299-$Q$1)/$Q$2)/SUM($O$3:$Q$3)</f>
        <v>-0.99184266516472974</v>
      </c>
      <c r="AW299" s="47">
        <f>COUNT(R299:AO299)/2</f>
        <v>4</v>
      </c>
      <c r="AX299" s="47">
        <f>IF(AND(S299&lt;&gt;"-",S299&gt;5),1,0)+IF(AND(U299&lt;&gt;"-",U299&gt;5),1,0)+IF(AND(W299&lt;&gt;"-",W299&gt;5),1,0)+IF(AND(Y299&lt;&gt;"-",Y299&gt;5),1,0)+IF(AND(AA299&lt;&gt;"-",AA299&gt;5),1,0)+IF(AND(AC299&lt;&gt;"-",AC299&gt;5),1,0)+IF(AND(AE299&lt;&gt;"-",AE299&gt;5),1,0)+IF(AND(AG299&lt;&gt;"-",AG299&gt;5),1,0)+IF(AND(AI299&lt;&gt;"-",AI299&gt;5),1,0)+IF(AND(AK299&lt;&gt;"-",AK299&gt;5),1,0)+IF(AND(AM299&lt;&gt;"-",AM299&gt;5),1,0)+IF(AND(AO299&lt;&gt;"-",AO299&gt;5),1,0)</f>
        <v>0</v>
      </c>
      <c r="AY299" s="48">
        <f>VLOOKUP(AP299,COND!$A$10:$B$32,2,FALSE)</f>
        <v>1</v>
      </c>
      <c r="AZ299" s="46">
        <f>($AU$3*AU299+$AV$3*AV299+$AW$3*AW299+$AX$3*AX299)*AY299*IF(AQ299&lt;5,0.95,IF(AQ299&lt;7,0.975,1))+$I$3*VLOOKUP(I299,COND!$A$2:$E$7,4,FALSE)+$J$3*VLOOKUP(J299,COND!$A$2:$E$7,2,FALSE)+$K$3*VLOOKUP(K299,COND!$A$2:$E$7,3,FALSE)+IF(BB299="SP",$BB$3,0)+IF($AW299&lt;3,-5,0)+IF(AND($B$2&gt;0,$E299&lt;20),$B$2*25,0)</f>
        <v>28.71025222722454</v>
      </c>
      <c r="BA299" s="49">
        <f>STANDARDIZE(AZ299,AVERAGE($AZ$5:$AZ$570),STDEVP($AZ$5:$AZ$570))</f>
        <v>-0.36791742172345537</v>
      </c>
      <c r="BB299" s="47" t="str">
        <f>IF(OR(AND(AQ299&gt;7,AX299&gt;1),AND(AQ299&gt;4,AW299&gt;2)),"SP","RP")</f>
        <v>SP</v>
      </c>
      <c r="BC299" s="47"/>
      <c r="BD299" s="47"/>
      <c r="BE299" s="47"/>
      <c r="BF299" s="47" t="str">
        <f>IF(AVERAGE($O299:$Q299)&gt;=6,"Likely",IF(AVERAGE($O299:$Q299)&gt;=4,"Possible","Unlikely"))</f>
        <v>Unlikely</v>
      </c>
      <c r="BG299" s="47"/>
      <c r="BH299" s="47" t="str">
        <f>INDEX(Table5[[#All],[Ovr]],MATCH(Table3[[#This Row],[PID]],Table5[[#All],[PID]],0))</f>
        <v/>
      </c>
      <c r="BI299" s="47" t="str">
        <f>INDEX(Table5[[#All],[Rnd]],MATCH(Table3[[#This Row],[PID]],Table5[[#All],[PID]],0))</f>
        <v/>
      </c>
      <c r="BJ299" s="47" t="str">
        <f>INDEX(Table5[[#All],[Pick]],MATCH(Table3[[#This Row],[PID]],Table5[[#All],[PID]],0))</f>
        <v/>
      </c>
      <c r="BK299" s="47" t="str">
        <f>INDEX(Table5[[#All],[Team]],MATCH(Table3[[#This Row],[PID]],Table5[[#All],[PID]],0))</f>
        <v/>
      </c>
      <c r="BL2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0" spans="1:64" ht="15" customHeight="1" x14ac:dyDescent="0.25">
      <c r="A300" s="42">
        <v>8219</v>
      </c>
      <c r="B300" s="42" t="s">
        <v>430</v>
      </c>
      <c r="C300" s="42" t="s">
        <v>326</v>
      </c>
      <c r="D300" s="42" t="s">
        <v>147</v>
      </c>
      <c r="E300" s="42">
        <v>18</v>
      </c>
      <c r="F300" s="42" t="s">
        <v>53</v>
      </c>
      <c r="G300" s="42" t="s">
        <v>42</v>
      </c>
      <c r="H300" s="43" t="s">
        <v>721</v>
      </c>
      <c r="I300" s="44" t="s">
        <v>43</v>
      </c>
      <c r="J300" s="42" t="s">
        <v>44</v>
      </c>
      <c r="K300" s="43" t="s">
        <v>43</v>
      </c>
      <c r="L300" s="42">
        <v>1</v>
      </c>
      <c r="M300" s="42">
        <v>1</v>
      </c>
      <c r="N300" s="43">
        <v>1</v>
      </c>
      <c r="O300" s="42">
        <v>5</v>
      </c>
      <c r="P300" s="42">
        <v>1</v>
      </c>
      <c r="Q300" s="43">
        <v>2</v>
      </c>
      <c r="R300" s="42">
        <v>2</v>
      </c>
      <c r="S300" s="42">
        <v>4</v>
      </c>
      <c r="T300" s="42">
        <v>1</v>
      </c>
      <c r="U300" s="42">
        <v>8</v>
      </c>
      <c r="V300" s="42">
        <v>1</v>
      </c>
      <c r="W300" s="42">
        <v>2</v>
      </c>
      <c r="X300" s="42" t="s">
        <v>45</v>
      </c>
      <c r="Y300" s="42" t="s">
        <v>45</v>
      </c>
      <c r="Z300" s="42" t="s">
        <v>45</v>
      </c>
      <c r="AA300" s="42" t="s">
        <v>45</v>
      </c>
      <c r="AB300" s="42" t="s">
        <v>45</v>
      </c>
      <c r="AC300" s="42" t="s">
        <v>45</v>
      </c>
      <c r="AD300" s="42" t="s">
        <v>45</v>
      </c>
      <c r="AE300" s="42" t="s">
        <v>45</v>
      </c>
      <c r="AF300" s="42" t="s">
        <v>45</v>
      </c>
      <c r="AG300" s="42" t="s">
        <v>45</v>
      </c>
      <c r="AH300" s="42" t="s">
        <v>45</v>
      </c>
      <c r="AI300" s="42" t="s">
        <v>45</v>
      </c>
      <c r="AJ300" s="42" t="s">
        <v>45</v>
      </c>
      <c r="AK300" s="42" t="s">
        <v>45</v>
      </c>
      <c r="AL300" s="42" t="s">
        <v>45</v>
      </c>
      <c r="AM300" s="42" t="s">
        <v>45</v>
      </c>
      <c r="AN300" s="42" t="s">
        <v>45</v>
      </c>
      <c r="AO300" s="43" t="s">
        <v>45</v>
      </c>
      <c r="AP300" s="42" t="s">
        <v>68</v>
      </c>
      <c r="AQ300" s="42">
        <v>2</v>
      </c>
      <c r="AR300" s="50" t="s">
        <v>14</v>
      </c>
      <c r="AS300" s="45" t="s">
        <v>758</v>
      </c>
      <c r="AT300" s="45" t="s">
        <v>705</v>
      </c>
      <c r="AU300" s="46">
        <f>($O$3*(L300-$O$1)/$O$2+$P$3*(M300-$P$1)/$P$2+$Q$3*(N300-$P$1)/$Q$2)/SUM($O$3:$Q$3)</f>
        <v>-2.7014842379675978</v>
      </c>
      <c r="AV300" s="46">
        <f>($O$3*(O300-$O$1)/$O$2+$P$3*(P300-$P$1)/$P$2+$Q$3*(Q300-$Q$1)/$Q$2)/SUM($O$3:$Q$3)</f>
        <v>-1.2349036231397219</v>
      </c>
      <c r="AW300" s="47">
        <f>COUNT(R300:AO300)/2</f>
        <v>3</v>
      </c>
      <c r="AX300" s="47">
        <f>IF(AND(S300&lt;&gt;"-",S300&gt;5),1,0)+IF(AND(U300&lt;&gt;"-",U300&gt;5),1,0)+IF(AND(W300&lt;&gt;"-",W300&gt;5),1,0)+IF(AND(Y300&lt;&gt;"-",Y300&gt;5),1,0)+IF(AND(AA300&lt;&gt;"-",AA300&gt;5),1,0)+IF(AND(AC300&lt;&gt;"-",AC300&gt;5),1,0)+IF(AND(AE300&lt;&gt;"-",AE300&gt;5),1,0)+IF(AND(AG300&lt;&gt;"-",AG300&gt;5),1,0)+IF(AND(AI300&lt;&gt;"-",AI300&gt;5),1,0)+IF(AND(AK300&lt;&gt;"-",AK300&gt;5),1,0)+IF(AND(AM300&lt;&gt;"-",AM300&gt;5),1,0)+IF(AND(AO300&lt;&gt;"-",AO300&gt;5),1,0)</f>
        <v>1</v>
      </c>
      <c r="AY300" s="48">
        <f>VLOOKUP(AP300,COND!$A$10:$B$32,2,FALSE)</f>
        <v>0.95</v>
      </c>
      <c r="AZ300" s="46">
        <f>($AU$3*AU300+$AV$3*AV300+$AW$3*AW300+$AX$3*AX300)*AY300*IF(AQ300&lt;5,0.95,IF(AQ300&lt;7,0.975,1))+$I$3*VLOOKUP(I300,COND!$A$2:$E$7,4,FALSE)+$J$3*VLOOKUP(J300,COND!$A$2:$E$7,2,FALSE)+$K$3*VLOOKUP(K300,COND!$A$2:$E$7,3,FALSE)+IF(BB300="SP",$BB$3,0)+IF($AW300&lt;3,-5,0)+IF(AND($B$2&gt;0,$E300&lt;20),$B$2*25,0)</f>
        <v>29.404246697374866</v>
      </c>
      <c r="BA300" s="49">
        <f>STANDARDIZE(AZ300,AVERAGE($AZ$5:$AZ$570),STDEVP($AZ$5:$AZ$570))</f>
        <v>-0.30427516261596432</v>
      </c>
      <c r="BB300" s="47" t="str">
        <f>IF(OR(AND(AQ300&gt;7,AX300&gt;1),AND(AQ300&gt;4,AW300&gt;2)),"SP","RP")</f>
        <v>RP</v>
      </c>
      <c r="BC300" s="47"/>
      <c r="BD300" s="47"/>
      <c r="BE300" s="47"/>
      <c r="BF300" s="47" t="str">
        <f>IF(AVERAGE($O300:$Q300)&gt;=6,"Likely",IF(AVERAGE($O300:$Q300)&gt;=4,"Possible","Unlikely"))</f>
        <v>Unlikely</v>
      </c>
      <c r="BG300" s="47"/>
      <c r="BH300" s="47" t="str">
        <f>INDEX(Table5[[#All],[Ovr]],MATCH(Table3[[#This Row],[PID]],Table5[[#All],[PID]],0))</f>
        <v/>
      </c>
      <c r="BI300" s="47" t="str">
        <f>INDEX(Table5[[#All],[Rnd]],MATCH(Table3[[#This Row],[PID]],Table5[[#All],[PID]],0))</f>
        <v/>
      </c>
      <c r="BJ300" s="47" t="str">
        <f>INDEX(Table5[[#All],[Pick]],MATCH(Table3[[#This Row],[PID]],Table5[[#All],[PID]],0))</f>
        <v/>
      </c>
      <c r="BK300" s="47" t="str">
        <f>INDEX(Table5[[#All],[Team]],MATCH(Table3[[#This Row],[PID]],Table5[[#All],[PID]],0))</f>
        <v/>
      </c>
      <c r="BL3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1" spans="1:64" ht="15" customHeight="1" x14ac:dyDescent="0.25">
      <c r="A301" s="42">
        <v>11193</v>
      </c>
      <c r="B301" s="42" t="s">
        <v>430</v>
      </c>
      <c r="C301" s="42" t="s">
        <v>1297</v>
      </c>
      <c r="D301" s="42" t="s">
        <v>388</v>
      </c>
      <c r="E301" s="42">
        <v>18</v>
      </c>
      <c r="F301" s="42" t="s">
        <v>42</v>
      </c>
      <c r="G301" s="42" t="s">
        <v>42</v>
      </c>
      <c r="H301" s="43" t="s">
        <v>721</v>
      </c>
      <c r="I301" s="44" t="s">
        <v>43</v>
      </c>
      <c r="J301" s="42" t="s">
        <v>44</v>
      </c>
      <c r="K301" s="43" t="s">
        <v>43</v>
      </c>
      <c r="L301" s="42">
        <v>1</v>
      </c>
      <c r="M301" s="42">
        <v>1</v>
      </c>
      <c r="N301" s="43">
        <v>1</v>
      </c>
      <c r="O301" s="42">
        <v>5</v>
      </c>
      <c r="P301" s="42">
        <v>1</v>
      </c>
      <c r="Q301" s="43">
        <v>2</v>
      </c>
      <c r="R301" s="42">
        <v>3</v>
      </c>
      <c r="S301" s="42">
        <v>5</v>
      </c>
      <c r="T301" s="42">
        <v>1</v>
      </c>
      <c r="U301" s="42">
        <v>1</v>
      </c>
      <c r="V301" s="42">
        <v>2</v>
      </c>
      <c r="W301" s="42">
        <v>8</v>
      </c>
      <c r="X301" s="42" t="s">
        <v>45</v>
      </c>
      <c r="Y301" s="42" t="s">
        <v>45</v>
      </c>
      <c r="Z301" s="42" t="s">
        <v>45</v>
      </c>
      <c r="AA301" s="42" t="s">
        <v>45</v>
      </c>
      <c r="AB301" s="42" t="s">
        <v>45</v>
      </c>
      <c r="AC301" s="42" t="s">
        <v>45</v>
      </c>
      <c r="AD301" s="42" t="s">
        <v>45</v>
      </c>
      <c r="AE301" s="42" t="s">
        <v>45</v>
      </c>
      <c r="AF301" s="42" t="s">
        <v>45</v>
      </c>
      <c r="AG301" s="42" t="s">
        <v>45</v>
      </c>
      <c r="AH301" s="42" t="s">
        <v>45</v>
      </c>
      <c r="AI301" s="42" t="s">
        <v>45</v>
      </c>
      <c r="AJ301" s="42" t="s">
        <v>45</v>
      </c>
      <c r="AK301" s="42" t="s">
        <v>45</v>
      </c>
      <c r="AL301" s="42" t="s">
        <v>45</v>
      </c>
      <c r="AM301" s="42" t="s">
        <v>45</v>
      </c>
      <c r="AN301" s="42" t="s">
        <v>45</v>
      </c>
      <c r="AO301" s="43" t="s">
        <v>45</v>
      </c>
      <c r="AP301" s="42" t="s">
        <v>68</v>
      </c>
      <c r="AQ301" s="42">
        <v>4</v>
      </c>
      <c r="AR301" s="50" t="s">
        <v>14</v>
      </c>
      <c r="AS301" s="45" t="s">
        <v>718</v>
      </c>
      <c r="AT301" s="45" t="s">
        <v>47</v>
      </c>
      <c r="AU301" s="46">
        <f>($O$3*(L301-$O$1)/$O$2+$P$3*(M301-$P$1)/$P$2+$Q$3*(N301-$P$1)/$Q$2)/SUM($O$3:$Q$3)</f>
        <v>-2.7014842379675978</v>
      </c>
      <c r="AV301" s="46">
        <f>($O$3*(O301-$O$1)/$O$2+$P$3*(P301-$P$1)/$P$2+$Q$3*(Q301-$Q$1)/$Q$2)/SUM($O$3:$Q$3)</f>
        <v>-1.2349036231397219</v>
      </c>
      <c r="AW301" s="47">
        <f>COUNT(R301:AO301)/2</f>
        <v>3</v>
      </c>
      <c r="AX301" s="47">
        <f>IF(AND(S301&lt;&gt;"-",S301&gt;5),1,0)+IF(AND(U301&lt;&gt;"-",U301&gt;5),1,0)+IF(AND(W301&lt;&gt;"-",W301&gt;5),1,0)+IF(AND(Y301&lt;&gt;"-",Y301&gt;5),1,0)+IF(AND(AA301&lt;&gt;"-",AA301&gt;5),1,0)+IF(AND(AC301&lt;&gt;"-",AC301&gt;5),1,0)+IF(AND(AE301&lt;&gt;"-",AE301&gt;5),1,0)+IF(AND(AG301&lt;&gt;"-",AG301&gt;5),1,0)+IF(AND(AI301&lt;&gt;"-",AI301&gt;5),1,0)+IF(AND(AK301&lt;&gt;"-",AK301&gt;5),1,0)+IF(AND(AM301&lt;&gt;"-",AM301&gt;5),1,0)+IF(AND(AO301&lt;&gt;"-",AO301&gt;5),1,0)</f>
        <v>1</v>
      </c>
      <c r="AY301" s="48">
        <f>VLOOKUP(AP301,COND!$A$10:$B$32,2,FALSE)</f>
        <v>0.95</v>
      </c>
      <c r="AZ301" s="46">
        <f>($AU$3*AU301+$AV$3*AV301+$AW$3*AW301+$AX$3*AX301)*AY301*IF(AQ301&lt;5,0.95,IF(AQ301&lt;7,0.975,1))+$I$3*VLOOKUP(I301,COND!$A$2:$E$7,4,FALSE)+$J$3*VLOOKUP(J301,COND!$A$2:$E$7,2,FALSE)+$K$3*VLOOKUP(K301,COND!$A$2:$E$7,3,FALSE)+IF(BB301="SP",$BB$3,0)+IF($AW301&lt;3,-5,0)+IF(AND($B$2&gt;0,$E301&lt;20),$B$2*25,0)</f>
        <v>29.404246697374866</v>
      </c>
      <c r="BA301" s="49">
        <f>STANDARDIZE(AZ301,AVERAGE($AZ$5:$AZ$570),STDEVP($AZ$5:$AZ$570))</f>
        <v>-0.30427516261596432</v>
      </c>
      <c r="BB301" s="47" t="str">
        <f>IF(OR(AND(AQ301&gt;7,AX301&gt;1),AND(AQ301&gt;4,AW301&gt;2)),"SP","RP")</f>
        <v>RP</v>
      </c>
      <c r="BC301" s="47"/>
      <c r="BD301" s="47"/>
      <c r="BE301" s="47"/>
      <c r="BF301" s="47" t="str">
        <f>IF(AVERAGE($O301:$Q301)&gt;=6,"Likely",IF(AVERAGE($O301:$Q301)&gt;=4,"Possible","Unlikely"))</f>
        <v>Unlikely</v>
      </c>
      <c r="BG301" s="47"/>
      <c r="BH301" s="47" t="str">
        <f>INDEX(Table5[[#All],[Ovr]],MATCH(Table3[[#This Row],[PID]],Table5[[#All],[PID]],0))</f>
        <v/>
      </c>
      <c r="BI301" s="47" t="str">
        <f>INDEX(Table5[[#All],[Rnd]],MATCH(Table3[[#This Row],[PID]],Table5[[#All],[PID]],0))</f>
        <v/>
      </c>
      <c r="BJ301" s="47" t="str">
        <f>INDEX(Table5[[#All],[Pick]],MATCH(Table3[[#This Row],[PID]],Table5[[#All],[PID]],0))</f>
        <v/>
      </c>
      <c r="BK301" s="47" t="str">
        <f>INDEX(Table5[[#All],[Team]],MATCH(Table3[[#This Row],[PID]],Table5[[#All],[PID]],0))</f>
        <v/>
      </c>
      <c r="BL3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2" spans="1:64" ht="15" customHeight="1" x14ac:dyDescent="0.25">
      <c r="A302" s="42">
        <v>4791</v>
      </c>
      <c r="B302" s="42" t="s">
        <v>430</v>
      </c>
      <c r="C302" s="42" t="s">
        <v>143</v>
      </c>
      <c r="D302" s="42" t="s">
        <v>147</v>
      </c>
      <c r="E302" s="42">
        <v>22</v>
      </c>
      <c r="F302" s="42" t="s">
        <v>53</v>
      </c>
      <c r="G302" s="42" t="s">
        <v>53</v>
      </c>
      <c r="H302" s="43" t="s">
        <v>721</v>
      </c>
      <c r="I302" s="44" t="s">
        <v>47</v>
      </c>
      <c r="J302" s="42" t="s">
        <v>43</v>
      </c>
      <c r="K302" s="43" t="s">
        <v>43</v>
      </c>
      <c r="L302" s="42">
        <v>1</v>
      </c>
      <c r="M302" s="42">
        <v>2</v>
      </c>
      <c r="N302" s="43">
        <v>2</v>
      </c>
      <c r="O302" s="42">
        <v>4</v>
      </c>
      <c r="P302" s="42">
        <v>2</v>
      </c>
      <c r="Q302" s="43">
        <v>2</v>
      </c>
      <c r="R302" s="42">
        <v>2</v>
      </c>
      <c r="S302" s="42">
        <v>4</v>
      </c>
      <c r="T302" s="42" t="s">
        <v>45</v>
      </c>
      <c r="U302" s="42" t="s">
        <v>45</v>
      </c>
      <c r="V302" s="42">
        <v>2</v>
      </c>
      <c r="W302" s="42">
        <v>7</v>
      </c>
      <c r="X302" s="42">
        <v>1</v>
      </c>
      <c r="Y302" s="42">
        <v>6</v>
      </c>
      <c r="Z302" s="42" t="s">
        <v>45</v>
      </c>
      <c r="AA302" s="42" t="s">
        <v>45</v>
      </c>
      <c r="AB302" s="42" t="s">
        <v>45</v>
      </c>
      <c r="AC302" s="42" t="s">
        <v>45</v>
      </c>
      <c r="AD302" s="42" t="s">
        <v>45</v>
      </c>
      <c r="AE302" s="42" t="s">
        <v>45</v>
      </c>
      <c r="AF302" s="42" t="s">
        <v>45</v>
      </c>
      <c r="AG302" s="42" t="s">
        <v>45</v>
      </c>
      <c r="AH302" s="42" t="s">
        <v>45</v>
      </c>
      <c r="AI302" s="42" t="s">
        <v>45</v>
      </c>
      <c r="AJ302" s="42" t="s">
        <v>45</v>
      </c>
      <c r="AK302" s="42" t="s">
        <v>45</v>
      </c>
      <c r="AL302" s="42" t="s">
        <v>45</v>
      </c>
      <c r="AM302" s="42" t="s">
        <v>45</v>
      </c>
      <c r="AN302" s="42" t="s">
        <v>45</v>
      </c>
      <c r="AO302" s="43" t="s">
        <v>45</v>
      </c>
      <c r="AP302" s="42" t="s">
        <v>67</v>
      </c>
      <c r="AQ302" s="42">
        <v>6</v>
      </c>
      <c r="AR302" s="50" t="s">
        <v>353</v>
      </c>
      <c r="AS302" s="45" t="s">
        <v>45</v>
      </c>
      <c r="AT302" s="45" t="s">
        <v>705</v>
      </c>
      <c r="AU302" s="46">
        <f>($O$3*(L302-$O$1)/$O$2+$P$3*(M302-$P$1)/$P$2+$Q$3*(N302-$P$1)/$Q$2)/SUM($O$3:$Q$3)</f>
        <v>-2.2637319554834323</v>
      </c>
      <c r="AV302" s="46">
        <f>($O$3*(O302-$O$1)/$O$2+$P$3*(P302-$P$1)/$P$2+$Q$3*(Q302-$Q$1)/$Q$2)/SUM($O$3:$Q$3)</f>
        <v>-1.23416323121884</v>
      </c>
      <c r="AW302" s="47">
        <f>COUNT(R302:AO302)/2</f>
        <v>3</v>
      </c>
      <c r="AX302" s="47">
        <f>IF(AND(S302&lt;&gt;"-",S302&gt;5),1,0)+IF(AND(U302&lt;&gt;"-",U302&gt;5),1,0)+IF(AND(W302&lt;&gt;"-",W302&gt;5),1,0)+IF(AND(Y302&lt;&gt;"-",Y302&gt;5),1,0)+IF(AND(AA302&lt;&gt;"-",AA302&gt;5),1,0)+IF(AND(AC302&lt;&gt;"-",AC302&gt;5),1,0)+IF(AND(AE302&lt;&gt;"-",AE302&gt;5),1,0)+IF(AND(AG302&lt;&gt;"-",AG302&gt;5),1,0)+IF(AND(AI302&lt;&gt;"-",AI302&gt;5),1,0)+IF(AND(AK302&lt;&gt;"-",AK302&gt;5),1,0)+IF(AND(AM302&lt;&gt;"-",AM302&gt;5),1,0)+IF(AND(AO302&lt;&gt;"-",AO302&gt;5),1,0)</f>
        <v>2</v>
      </c>
      <c r="AY302" s="48">
        <f>VLOOKUP(AP302,COND!$A$10:$B$32,2,FALSE)</f>
        <v>0.9</v>
      </c>
      <c r="AZ302" s="46">
        <f>($AU$3*AU302+$AV$3*AV302+$AW$3*AW302+$AX$3*AX302)*AY302*IF(AQ302&lt;5,0.95,IF(AQ302&lt;7,0.975,1))+$I$3*VLOOKUP(I302,COND!$A$2:$E$7,4,FALSE)+$J$3*VLOOKUP(J302,COND!$A$2:$E$7,2,FALSE)+$K$3*VLOOKUP(K302,COND!$A$2:$E$7,3,FALSE)+IF(BB302="SP",$BB$3,0)+IF($AW302&lt;3,-5,0)+IF(AND($B$2&gt;0,$E302&lt;20),$B$2*25,0)</f>
        <v>28.678150333922016</v>
      </c>
      <c r="BA302" s="49">
        <f>STANDARDIZE(AZ302,AVERAGE($AZ$5:$AZ$570),STDEVP($AZ$5:$AZ$570))</f>
        <v>-0.37086130254567251</v>
      </c>
      <c r="BB302" s="47" t="str">
        <f>IF(OR(AND(AQ302&gt;7,AX302&gt;1),AND(AQ302&gt;4,AW302&gt;2)),"SP","RP")</f>
        <v>SP</v>
      </c>
      <c r="BC302" s="47"/>
      <c r="BD302" s="47"/>
      <c r="BE302" s="47"/>
      <c r="BF302" s="47" t="str">
        <f>IF(AVERAGE($O302:$Q302)&gt;=6,"Likely",IF(AVERAGE($O302:$Q302)&gt;=4,"Possible","Unlikely"))</f>
        <v>Unlikely</v>
      </c>
      <c r="BG302" s="47"/>
      <c r="BH302" s="47" t="str">
        <f>INDEX(Table5[[#All],[Ovr]],MATCH(Table3[[#This Row],[PID]],Table5[[#All],[PID]],0))</f>
        <v/>
      </c>
      <c r="BI302" s="47" t="str">
        <f>INDEX(Table5[[#All],[Rnd]],MATCH(Table3[[#This Row],[PID]],Table5[[#All],[PID]],0))</f>
        <v/>
      </c>
      <c r="BJ302" s="47" t="str">
        <f>INDEX(Table5[[#All],[Pick]],MATCH(Table3[[#This Row],[PID]],Table5[[#All],[PID]],0))</f>
        <v/>
      </c>
      <c r="BK302" s="47" t="str">
        <f>INDEX(Table5[[#All],[Team]],MATCH(Table3[[#This Row],[PID]],Table5[[#All],[PID]],0))</f>
        <v/>
      </c>
      <c r="BL3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3" spans="1:64" ht="15" customHeight="1" x14ac:dyDescent="0.25">
      <c r="A303" s="42">
        <v>5176</v>
      </c>
      <c r="B303" s="42" t="s">
        <v>430</v>
      </c>
      <c r="C303" s="42" t="s">
        <v>460</v>
      </c>
      <c r="D303" s="42" t="s">
        <v>1609</v>
      </c>
      <c r="E303" s="42">
        <v>18</v>
      </c>
      <c r="F303" s="42" t="s">
        <v>42</v>
      </c>
      <c r="G303" s="42" t="s">
        <v>42</v>
      </c>
      <c r="H303" s="43" t="s">
        <v>721</v>
      </c>
      <c r="I303" s="44" t="s">
        <v>43</v>
      </c>
      <c r="J303" s="42" t="s">
        <v>43</v>
      </c>
      <c r="K303" s="43" t="s">
        <v>43</v>
      </c>
      <c r="L303" s="42">
        <v>1</v>
      </c>
      <c r="M303" s="42">
        <v>2</v>
      </c>
      <c r="N303" s="43">
        <v>1</v>
      </c>
      <c r="O303" s="42">
        <v>3</v>
      </c>
      <c r="P303" s="42">
        <v>2</v>
      </c>
      <c r="Q303" s="43">
        <v>3</v>
      </c>
      <c r="R303" s="42">
        <v>3</v>
      </c>
      <c r="S303" s="42">
        <v>4</v>
      </c>
      <c r="T303" s="42">
        <v>1</v>
      </c>
      <c r="U303" s="42">
        <v>5</v>
      </c>
      <c r="V303" s="42">
        <v>1</v>
      </c>
      <c r="W303" s="42">
        <v>2</v>
      </c>
      <c r="X303" s="42">
        <v>2</v>
      </c>
      <c r="Y303" s="42">
        <v>4</v>
      </c>
      <c r="Z303" s="42" t="s">
        <v>45</v>
      </c>
      <c r="AA303" s="42" t="s">
        <v>45</v>
      </c>
      <c r="AB303" s="42" t="s">
        <v>45</v>
      </c>
      <c r="AC303" s="42" t="s">
        <v>45</v>
      </c>
      <c r="AD303" s="42" t="s">
        <v>45</v>
      </c>
      <c r="AE303" s="42" t="s">
        <v>45</v>
      </c>
      <c r="AF303" s="42" t="s">
        <v>45</v>
      </c>
      <c r="AG303" s="42" t="s">
        <v>45</v>
      </c>
      <c r="AH303" s="42" t="s">
        <v>45</v>
      </c>
      <c r="AI303" s="42" t="s">
        <v>45</v>
      </c>
      <c r="AJ303" s="42" t="s">
        <v>45</v>
      </c>
      <c r="AK303" s="42" t="s">
        <v>45</v>
      </c>
      <c r="AL303" s="42" t="s">
        <v>45</v>
      </c>
      <c r="AM303" s="42" t="s">
        <v>45</v>
      </c>
      <c r="AN303" s="42" t="s">
        <v>45</v>
      </c>
      <c r="AO303" s="43" t="s">
        <v>45</v>
      </c>
      <c r="AP303" s="42" t="s">
        <v>64</v>
      </c>
      <c r="AQ303" s="42">
        <v>9</v>
      </c>
      <c r="AR303" s="50" t="s">
        <v>353</v>
      </c>
      <c r="AS303" s="45" t="s">
        <v>758</v>
      </c>
      <c r="AT303" s="45" t="s">
        <v>705</v>
      </c>
      <c r="AU303" s="46">
        <f>($O$3*(L303-$O$1)/$O$2+$P$3*(M303-$P$1)/$P$2+$Q$3*(N303-$P$1)/$Q$2)/SUM($O$3:$Q$3)</f>
        <v>-2.5060525215375429</v>
      </c>
      <c r="AV303" s="46">
        <f>($O$3*(O303-$O$1)/$O$2+$P$3*(P303-$P$1)/$P$2+$Q$3*(Q303-$Q$1)/$Q$2)/SUM($O$3:$Q$3)</f>
        <v>-1.1865339896739031</v>
      </c>
      <c r="AW303" s="47">
        <f>COUNT(R303:AO303)/2</f>
        <v>4</v>
      </c>
      <c r="AX303" s="47">
        <f>IF(AND(S303&lt;&gt;"-",S303&gt;5),1,0)+IF(AND(U303&lt;&gt;"-",U303&gt;5),1,0)+IF(AND(W303&lt;&gt;"-",W303&gt;5),1,0)+IF(AND(Y303&lt;&gt;"-",Y303&gt;5),1,0)+IF(AND(AA303&lt;&gt;"-",AA303&gt;5),1,0)+IF(AND(AC303&lt;&gt;"-",AC303&gt;5),1,0)+IF(AND(AE303&lt;&gt;"-",AE303&gt;5),1,0)+IF(AND(AG303&lt;&gt;"-",AG303&gt;5),1,0)+IF(AND(AI303&lt;&gt;"-",AI303&gt;5),1,0)+IF(AND(AK303&lt;&gt;"-",AK303&gt;5),1,0)+IF(AND(AM303&lt;&gt;"-",AM303&gt;5),1,0)+IF(AND(AO303&lt;&gt;"-",AO303&gt;5),1,0)</f>
        <v>0</v>
      </c>
      <c r="AY303" s="48">
        <f>VLOOKUP(AP303,COND!$A$10:$B$32,2,FALSE)</f>
        <v>1</v>
      </c>
      <c r="AZ303" s="46">
        <f>($AU$3*AU303+$AV$3*AV303+$AW$3*AW303+$AX$3*AX303)*AY303*IF(AQ303&lt;5,0.95,IF(AQ303&lt;7,0.975,1))+$I$3*VLOOKUP(I303,COND!$A$2:$E$7,4,FALSE)+$J$3*VLOOKUP(J303,COND!$A$2:$E$7,2,FALSE)+$K$3*VLOOKUP(K303,COND!$A$2:$E$7,3,FALSE)+IF(BB303="SP",$BB$3,0)+IF($AW303&lt;3,-5,0)+IF(AND($B$2&gt;0,$E303&lt;20),$B$2*25,0)</f>
        <v>29.768109702214431</v>
      </c>
      <c r="BA303" s="49">
        <f>STANDARDIZE(AZ303,AVERAGE($AZ$5:$AZ$676),STDEVP($AZ$5:$AZ$676))</f>
        <v>-5.4963749159199542E-2</v>
      </c>
      <c r="BB303" s="47" t="str">
        <f>IF(OR(AND(AQ303&gt;7,AX303&gt;1),AND(AQ303&gt;4,AW303&gt;2)),"SP","RP")</f>
        <v>SP</v>
      </c>
      <c r="BC303" s="47"/>
      <c r="BD303" s="47"/>
      <c r="BE303" s="47"/>
      <c r="BF303" s="47" t="str">
        <f>IF(AVERAGE($O303:$Q303)&gt;=6,"Likely",IF(AVERAGE($O303:$Q303)&gt;=4,"Possible","Unlikely"))</f>
        <v>Unlikely</v>
      </c>
      <c r="BG303" s="47"/>
      <c r="BH303" s="47" t="str">
        <f>INDEX(Table5[[#All],[Ovr]],MATCH(Table3[[#This Row],[PID]],Table5[[#All],[PID]],0))</f>
        <v/>
      </c>
      <c r="BI303" s="47" t="str">
        <f>INDEX(Table5[[#All],[Rnd]],MATCH(Table3[[#This Row],[PID]],Table5[[#All],[PID]],0))</f>
        <v/>
      </c>
      <c r="BJ303" s="47" t="str">
        <f>INDEX(Table5[[#All],[Pick]],MATCH(Table3[[#This Row],[PID]],Table5[[#All],[PID]],0))</f>
        <v/>
      </c>
      <c r="BK303" s="47" t="str">
        <f>INDEX(Table5[[#All],[Team]],MATCH(Table3[[#This Row],[PID]],Table5[[#All],[PID]],0))</f>
        <v/>
      </c>
      <c r="BL3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4" spans="1:64" ht="15" customHeight="1" x14ac:dyDescent="0.25">
      <c r="A304" s="42">
        <v>8079</v>
      </c>
      <c r="B304" s="42" t="s">
        <v>430</v>
      </c>
      <c r="C304" s="42" t="s">
        <v>1512</v>
      </c>
      <c r="D304" s="42" t="s">
        <v>414</v>
      </c>
      <c r="E304" s="42">
        <v>21</v>
      </c>
      <c r="F304" s="42" t="s">
        <v>42</v>
      </c>
      <c r="G304" s="42" t="s">
        <v>53</v>
      </c>
      <c r="H304" s="43" t="s">
        <v>721</v>
      </c>
      <c r="I304" s="44" t="s">
        <v>43</v>
      </c>
      <c r="J304" s="42" t="s">
        <v>43</v>
      </c>
      <c r="K304" s="43" t="s">
        <v>43</v>
      </c>
      <c r="L304" s="42">
        <v>3</v>
      </c>
      <c r="M304" s="42">
        <v>1</v>
      </c>
      <c r="N304" s="43">
        <v>1</v>
      </c>
      <c r="O304" s="42">
        <v>5</v>
      </c>
      <c r="P304" s="42">
        <v>2</v>
      </c>
      <c r="Q304" s="43">
        <v>2</v>
      </c>
      <c r="R304" s="42">
        <v>4</v>
      </c>
      <c r="S304" s="42">
        <v>6</v>
      </c>
      <c r="T304" s="42">
        <v>1</v>
      </c>
      <c r="U304" s="42">
        <v>1</v>
      </c>
      <c r="V304" s="42">
        <v>4</v>
      </c>
      <c r="W304" s="42">
        <v>7</v>
      </c>
      <c r="X304" s="42" t="s">
        <v>45</v>
      </c>
      <c r="Y304" s="42" t="s">
        <v>45</v>
      </c>
      <c r="Z304" s="42" t="s">
        <v>45</v>
      </c>
      <c r="AA304" s="42" t="s">
        <v>45</v>
      </c>
      <c r="AB304" s="42" t="s">
        <v>45</v>
      </c>
      <c r="AC304" s="42" t="s">
        <v>45</v>
      </c>
      <c r="AD304" s="42" t="s">
        <v>45</v>
      </c>
      <c r="AE304" s="42" t="s">
        <v>45</v>
      </c>
      <c r="AF304" s="42" t="s">
        <v>45</v>
      </c>
      <c r="AG304" s="42" t="s">
        <v>45</v>
      </c>
      <c r="AH304" s="42" t="s">
        <v>45</v>
      </c>
      <c r="AI304" s="42" t="s">
        <v>45</v>
      </c>
      <c r="AJ304" s="42" t="s">
        <v>45</v>
      </c>
      <c r="AK304" s="42" t="s">
        <v>45</v>
      </c>
      <c r="AL304" s="42" t="s">
        <v>45</v>
      </c>
      <c r="AM304" s="42" t="s">
        <v>45</v>
      </c>
      <c r="AN304" s="42" t="s">
        <v>45</v>
      </c>
      <c r="AO304" s="43" t="s">
        <v>45</v>
      </c>
      <c r="AP304" s="42" t="s">
        <v>57</v>
      </c>
      <c r="AQ304" s="42">
        <v>2</v>
      </c>
      <c r="AR304" s="50" t="s">
        <v>14</v>
      </c>
      <c r="AS304" s="45" t="s">
        <v>717</v>
      </c>
      <c r="AT304" s="45" t="s">
        <v>47</v>
      </c>
      <c r="AU304" s="46">
        <f>($O$3*(L304-$O$1)/$O$2+$P$3*(M304-$P$1)/$P$2+$Q$3*(N304-$P$1)/$Q$2)/SUM($O$3:$Q$3)</f>
        <v>-2.3121015889492513</v>
      </c>
      <c r="AV304" s="46">
        <f>($O$3*(O304-$O$1)/$O$2+$P$3*(P304-$P$1)/$P$2+$Q$3*(Q304-$Q$1)/$Q$2)/SUM($O$3:$Q$3)</f>
        <v>-1.0394719067096667</v>
      </c>
      <c r="AW304" s="47">
        <f>COUNT(R304:AO304)/2</f>
        <v>3</v>
      </c>
      <c r="AX304" s="47">
        <f>IF(AND(S304&lt;&gt;"-",S304&gt;5),1,0)+IF(AND(U304&lt;&gt;"-",U304&gt;5),1,0)+IF(AND(W304&lt;&gt;"-",W304&gt;5),1,0)+IF(AND(Y304&lt;&gt;"-",Y304&gt;5),1,0)+IF(AND(AA304&lt;&gt;"-",AA304&gt;5),1,0)+IF(AND(AC304&lt;&gt;"-",AC304&gt;5),1,0)+IF(AND(AE304&lt;&gt;"-",AE304&gt;5),1,0)+IF(AND(AG304&lt;&gt;"-",AG304&gt;5),1,0)+IF(AND(AI304&lt;&gt;"-",AI304&gt;5),1,0)+IF(AND(AK304&lt;&gt;"-",AK304&gt;5),1,0)+IF(AND(AM304&lt;&gt;"-",AM304&gt;5),1,0)+IF(AND(AO304&lt;&gt;"-",AO304&gt;5),1,0)</f>
        <v>2</v>
      </c>
      <c r="AY304" s="48">
        <f>VLOOKUP(AP304,COND!$A$10:$B$32,2,FALSE)</f>
        <v>1</v>
      </c>
      <c r="AZ304" s="46">
        <f>($AU$3*AU304+$AV$3*AV304+$AW$3*AW304+$AX$3*AX304)*AY304*IF(AQ304&lt;5,0.95,IF(AQ304&lt;7,0.975,1))+$I$3*VLOOKUP(I304,COND!$A$2:$E$7,4,FALSE)+$J$3*VLOOKUP(J304,COND!$A$2:$E$7,2,FALSE)+$K$3*VLOOKUP(K304,COND!$A$2:$E$7,3,FALSE)+IF(BB304="SP",$BB$3,0)+IF($AW304&lt;3,-5,0)+IF(AND($B$2&gt;0,$E304&lt;20),$B$2*25,0)</f>
        <v>28.610734470615977</v>
      </c>
      <c r="BA304" s="49">
        <f>STANDARDIZE(AZ304,AVERAGE($AZ$5:$AZ$570),STDEVP($AZ$5:$AZ$570))</f>
        <v>-0.37704362535229191</v>
      </c>
      <c r="BB304" s="47" t="str">
        <f>IF(OR(AND(AQ304&gt;7,AX304&gt;1),AND(AQ304&gt;4,AW304&gt;2)),"SP","RP")</f>
        <v>RP</v>
      </c>
      <c r="BC304" s="47"/>
      <c r="BD304" s="47"/>
      <c r="BE304" s="47"/>
      <c r="BF304" s="47" t="str">
        <f>IF(AVERAGE($O304:$Q304)&gt;=6,"Likely",IF(AVERAGE($O304:$Q304)&gt;=4,"Possible","Unlikely"))</f>
        <v>Unlikely</v>
      </c>
      <c r="BG304" s="47"/>
      <c r="BH304" s="47" t="str">
        <f>INDEX(Table5[[#All],[Ovr]],MATCH(Table3[[#This Row],[PID]],Table5[[#All],[PID]],0))</f>
        <v/>
      </c>
      <c r="BI304" s="47" t="str">
        <f>INDEX(Table5[[#All],[Rnd]],MATCH(Table3[[#This Row],[PID]],Table5[[#All],[PID]],0))</f>
        <v/>
      </c>
      <c r="BJ304" s="47" t="str">
        <f>INDEX(Table5[[#All],[Pick]],MATCH(Table3[[#This Row],[PID]],Table5[[#All],[PID]],0))</f>
        <v/>
      </c>
      <c r="BK304" s="47" t="str">
        <f>INDEX(Table5[[#All],[Team]],MATCH(Table3[[#This Row],[PID]],Table5[[#All],[PID]],0))</f>
        <v/>
      </c>
      <c r="BL3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5" spans="1:64" ht="15" customHeight="1" x14ac:dyDescent="0.25">
      <c r="A305" s="42">
        <v>16354</v>
      </c>
      <c r="B305" s="42" t="s">
        <v>430</v>
      </c>
      <c r="C305" s="42" t="s">
        <v>642</v>
      </c>
      <c r="D305" s="42" t="s">
        <v>1652</v>
      </c>
      <c r="E305" s="42">
        <v>18</v>
      </c>
      <c r="F305" s="42" t="s">
        <v>42</v>
      </c>
      <c r="G305" s="42" t="s">
        <v>42</v>
      </c>
      <c r="H305" s="43" t="s">
        <v>721</v>
      </c>
      <c r="I305" s="44" t="s">
        <v>43</v>
      </c>
      <c r="J305" s="42" t="s">
        <v>44</v>
      </c>
      <c r="K305" s="43" t="s">
        <v>43</v>
      </c>
      <c r="L305" s="42">
        <v>2</v>
      </c>
      <c r="M305" s="42">
        <v>2</v>
      </c>
      <c r="N305" s="43">
        <v>1</v>
      </c>
      <c r="O305" s="42">
        <v>4</v>
      </c>
      <c r="P305" s="42">
        <v>2</v>
      </c>
      <c r="Q305" s="43">
        <v>2</v>
      </c>
      <c r="R305" s="42">
        <v>3</v>
      </c>
      <c r="S305" s="42">
        <v>6</v>
      </c>
      <c r="T305" s="42">
        <v>1</v>
      </c>
      <c r="U305" s="42">
        <v>1</v>
      </c>
      <c r="V305" s="42" t="s">
        <v>45</v>
      </c>
      <c r="W305" s="42" t="s">
        <v>45</v>
      </c>
      <c r="X305" s="42" t="s">
        <v>45</v>
      </c>
      <c r="Y305" s="42" t="s">
        <v>45</v>
      </c>
      <c r="Z305" s="42">
        <v>3</v>
      </c>
      <c r="AA305" s="42">
        <v>5</v>
      </c>
      <c r="AB305" s="42" t="s">
        <v>45</v>
      </c>
      <c r="AC305" s="42" t="s">
        <v>45</v>
      </c>
      <c r="AD305" s="42" t="s">
        <v>45</v>
      </c>
      <c r="AE305" s="42" t="s">
        <v>45</v>
      </c>
      <c r="AF305" s="42" t="s">
        <v>45</v>
      </c>
      <c r="AG305" s="42" t="s">
        <v>45</v>
      </c>
      <c r="AH305" s="42" t="s">
        <v>45</v>
      </c>
      <c r="AI305" s="42" t="s">
        <v>45</v>
      </c>
      <c r="AJ305" s="42" t="s">
        <v>45</v>
      </c>
      <c r="AK305" s="42" t="s">
        <v>45</v>
      </c>
      <c r="AL305" s="42" t="s">
        <v>45</v>
      </c>
      <c r="AM305" s="42" t="s">
        <v>45</v>
      </c>
      <c r="AN305" s="42" t="s">
        <v>45</v>
      </c>
      <c r="AO305" s="43" t="s">
        <v>45</v>
      </c>
      <c r="AP305" s="42" t="s">
        <v>356</v>
      </c>
      <c r="AQ305" s="42">
        <v>8</v>
      </c>
      <c r="AR305" s="50" t="s">
        <v>353</v>
      </c>
      <c r="AS305" s="45" t="s">
        <v>758</v>
      </c>
      <c r="AT305" s="45" t="s">
        <v>47</v>
      </c>
      <c r="AU305" s="46">
        <f>($O$3*(L305-$O$1)/$O$2+$P$3*(M305-$P$1)/$P$2+$Q$3*(N305-$P$1)/$Q$2)/SUM($O$3:$Q$3)</f>
        <v>-2.311361197028369</v>
      </c>
      <c r="AV305" s="46">
        <f>($O$3*(O305-$O$1)/$O$2+$P$3*(P305-$P$1)/$P$2+$Q$3*(Q305-$Q$1)/$Q$2)/SUM($O$3:$Q$3)</f>
        <v>-1.23416323121884</v>
      </c>
      <c r="AW305" s="47">
        <f>COUNT(R305:AO305)/2</f>
        <v>3</v>
      </c>
      <c r="AX305" s="47">
        <f>IF(AND(S305&lt;&gt;"-",S305&gt;5),1,0)+IF(AND(U305&lt;&gt;"-",U305&gt;5),1,0)+IF(AND(W305&lt;&gt;"-",W305&gt;5),1,0)+IF(AND(Y305&lt;&gt;"-",Y305&gt;5),1,0)+IF(AND(AA305&lt;&gt;"-",AA305&gt;5),1,0)+IF(AND(AC305&lt;&gt;"-",AC305&gt;5),1,0)+IF(AND(AE305&lt;&gt;"-",AE305&gt;5),1,0)+IF(AND(AG305&lt;&gt;"-",AG305&gt;5),1,0)+IF(AND(AI305&lt;&gt;"-",AI305&gt;5),1,0)+IF(AND(AK305&lt;&gt;"-",AK305&gt;5),1,0)+IF(AND(AM305&lt;&gt;"-",AM305&gt;5),1,0)+IF(AND(AO305&lt;&gt;"-",AO305&gt;5),1,0)</f>
        <v>1</v>
      </c>
      <c r="AY305" s="48">
        <f>VLOOKUP(AP305,COND!$A$10:$B$32,2,FALSE)</f>
        <v>1</v>
      </c>
      <c r="AZ305" s="46">
        <f>($AU$3*AU305+$AV$3*AV305+$AW$3*AW305+$AX$3*AX305)*AY305*IF(AQ305&lt;5,0.95,IF(AQ305&lt;7,0.975,1))+$I$3*VLOOKUP(I305,COND!$A$2:$E$7,4,FALSE)+$J$3*VLOOKUP(J305,COND!$A$2:$E$7,2,FALSE)+$K$3*VLOOKUP(K305,COND!$A$2:$E$7,3,FALSE)+IF(BB305="SP",$BB$3,0)+IF($AW305&lt;3,-5,0)+IF(AND($B$2&gt;0,$E305&lt;20),$B$2*25,0)</f>
        <v>29.304463136217525</v>
      </c>
      <c r="BA305" s="49">
        <f>STANDARDIZE(AZ305,AVERAGE($AZ$5:$AZ$570),STDEVP($AZ$5:$AZ$570))</f>
        <v>-0.31342574165799636</v>
      </c>
      <c r="BB305" s="47" t="str">
        <f>IF(OR(AND(AQ305&gt;7,AX305&gt;1),AND(AQ305&gt;4,AW305&gt;2)),"SP","RP")</f>
        <v>SP</v>
      </c>
      <c r="BC305" s="47"/>
      <c r="BD305" s="47"/>
      <c r="BE305" s="47"/>
      <c r="BF305" s="47" t="str">
        <f>IF(AVERAGE($O305:$Q305)&gt;=6,"Likely",IF(AVERAGE($O305:$Q305)&gt;=4,"Possible","Unlikely"))</f>
        <v>Unlikely</v>
      </c>
      <c r="BG305" s="47"/>
      <c r="BH305" s="47" t="str">
        <f>INDEX(Table5[[#All],[Ovr]],MATCH(Table3[[#This Row],[PID]],Table5[[#All],[PID]],0))</f>
        <v/>
      </c>
      <c r="BI305" s="47" t="str">
        <f>INDEX(Table5[[#All],[Rnd]],MATCH(Table3[[#This Row],[PID]],Table5[[#All],[PID]],0))</f>
        <v/>
      </c>
      <c r="BJ305" s="47" t="str">
        <f>INDEX(Table5[[#All],[Pick]],MATCH(Table3[[#This Row],[PID]],Table5[[#All],[PID]],0))</f>
        <v/>
      </c>
      <c r="BK305" s="47" t="str">
        <f>INDEX(Table5[[#All],[Team]],MATCH(Table3[[#This Row],[PID]],Table5[[#All],[PID]],0))</f>
        <v/>
      </c>
      <c r="BL3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6" spans="1:64" ht="15" customHeight="1" x14ac:dyDescent="0.25">
      <c r="A306" s="42">
        <v>17598</v>
      </c>
      <c r="B306" s="42" t="s">
        <v>430</v>
      </c>
      <c r="C306" s="42" t="s">
        <v>166</v>
      </c>
      <c r="D306" s="42" t="s">
        <v>1640</v>
      </c>
      <c r="E306" s="42">
        <v>18</v>
      </c>
      <c r="F306" s="42" t="s">
        <v>53</v>
      </c>
      <c r="G306" s="42" t="s">
        <v>53</v>
      </c>
      <c r="H306" s="43" t="s">
        <v>721</v>
      </c>
      <c r="I306" s="44" t="s">
        <v>43</v>
      </c>
      <c r="J306" s="42" t="s">
        <v>44</v>
      </c>
      <c r="K306" s="43" t="s">
        <v>43</v>
      </c>
      <c r="L306" s="42">
        <v>1</v>
      </c>
      <c r="M306" s="42">
        <v>2</v>
      </c>
      <c r="N306" s="43">
        <v>1</v>
      </c>
      <c r="O306" s="42">
        <v>4</v>
      </c>
      <c r="P306" s="42">
        <v>2</v>
      </c>
      <c r="Q306" s="43">
        <v>2</v>
      </c>
      <c r="R306" s="42">
        <v>3</v>
      </c>
      <c r="S306" s="42">
        <v>5</v>
      </c>
      <c r="T306" s="42">
        <v>1</v>
      </c>
      <c r="U306" s="42">
        <v>4</v>
      </c>
      <c r="V306" s="42">
        <v>2</v>
      </c>
      <c r="W306" s="42">
        <v>6</v>
      </c>
      <c r="X306" s="42" t="s">
        <v>45</v>
      </c>
      <c r="Y306" s="42" t="s">
        <v>45</v>
      </c>
      <c r="Z306" s="42" t="s">
        <v>45</v>
      </c>
      <c r="AA306" s="42" t="s">
        <v>45</v>
      </c>
      <c r="AB306" s="42" t="s">
        <v>45</v>
      </c>
      <c r="AC306" s="42" t="s">
        <v>45</v>
      </c>
      <c r="AD306" s="42" t="s">
        <v>45</v>
      </c>
      <c r="AE306" s="42" t="s">
        <v>45</v>
      </c>
      <c r="AF306" s="42" t="s">
        <v>45</v>
      </c>
      <c r="AG306" s="42" t="s">
        <v>45</v>
      </c>
      <c r="AH306" s="42" t="s">
        <v>45</v>
      </c>
      <c r="AI306" s="42" t="s">
        <v>45</v>
      </c>
      <c r="AJ306" s="42" t="s">
        <v>45</v>
      </c>
      <c r="AK306" s="42" t="s">
        <v>45</v>
      </c>
      <c r="AL306" s="42" t="s">
        <v>45</v>
      </c>
      <c r="AM306" s="42" t="s">
        <v>45</v>
      </c>
      <c r="AN306" s="42" t="s">
        <v>45</v>
      </c>
      <c r="AO306" s="43" t="s">
        <v>45</v>
      </c>
      <c r="AP306" s="42" t="s">
        <v>64</v>
      </c>
      <c r="AQ306" s="42">
        <v>10</v>
      </c>
      <c r="AR306" s="50" t="s">
        <v>353</v>
      </c>
      <c r="AS306" s="45" t="s">
        <v>734</v>
      </c>
      <c r="AT306" s="45" t="s">
        <v>47</v>
      </c>
      <c r="AU306" s="46">
        <f>($O$3*(L306-$O$1)/$O$2+$P$3*(M306-$P$1)/$P$2+$Q$3*(N306-$P$1)/$Q$2)/SUM($O$3:$Q$3)</f>
        <v>-2.5060525215375429</v>
      </c>
      <c r="AV306" s="46">
        <f>($O$3*(O306-$O$1)/$O$2+$P$3*(P306-$P$1)/$P$2+$Q$3*(Q306-$Q$1)/$Q$2)/SUM($O$3:$Q$3)</f>
        <v>-1.23416323121884</v>
      </c>
      <c r="AW306" s="47">
        <f>COUNT(R306:AO306)/2</f>
        <v>3</v>
      </c>
      <c r="AX306" s="47">
        <f>IF(AND(S306&lt;&gt;"-",S306&gt;5),1,0)+IF(AND(U306&lt;&gt;"-",U306&gt;5),1,0)+IF(AND(W306&lt;&gt;"-",W306&gt;5),1,0)+IF(AND(Y306&lt;&gt;"-",Y306&gt;5),1,0)+IF(AND(AA306&lt;&gt;"-",AA306&gt;5),1,0)+IF(AND(AC306&lt;&gt;"-",AC306&gt;5),1,0)+IF(AND(AE306&lt;&gt;"-",AE306&gt;5),1,0)+IF(AND(AG306&lt;&gt;"-",AG306&gt;5),1,0)+IF(AND(AI306&lt;&gt;"-",AI306&gt;5),1,0)+IF(AND(AK306&lt;&gt;"-",AK306&gt;5),1,0)+IF(AND(AM306&lt;&gt;"-",AM306&gt;5),1,0)+IF(AND(AO306&lt;&gt;"-",AO306&gt;5),1,0)</f>
        <v>1</v>
      </c>
      <c r="AY306" s="48">
        <f>VLOOKUP(AP306,COND!$A$10:$B$32,2,FALSE)</f>
        <v>1</v>
      </c>
      <c r="AZ306" s="46">
        <f>($AU$3*AU306+$AV$3*AV306+$AW$3*AW306+$AX$3*AX306)*AY306*IF(AQ306&lt;5,0.95,IF(AQ306&lt;7,0.975,1))+$I$3*VLOOKUP(I306,COND!$A$2:$E$7,4,FALSE)+$J$3*VLOOKUP(J306,COND!$A$2:$E$7,2,FALSE)+$K$3*VLOOKUP(K306,COND!$A$2:$E$7,3,FALSE)+IF(BB306="SP",$BB$3,0)+IF($AW306&lt;3,-5,0)+IF(AND($B$2&gt;0,$E306&lt;20),$B$2*25,0)</f>
        <v>29.265524871315691</v>
      </c>
      <c r="BA306" s="49">
        <f>STANDARDIZE(AZ306,AVERAGE($AZ$5:$AZ$570),STDEVP($AZ$5:$AZ$570))</f>
        <v>-0.31699654697513646</v>
      </c>
      <c r="BB306" s="47" t="str">
        <f>IF(OR(AND(AQ306&gt;7,AX306&gt;1),AND(AQ306&gt;4,AW306&gt;2)),"SP","RP")</f>
        <v>SP</v>
      </c>
      <c r="BC306" s="47"/>
      <c r="BD306" s="47"/>
      <c r="BE306" s="47"/>
      <c r="BF306" s="47" t="str">
        <f>IF(AVERAGE($O306:$Q306)&gt;=6,"Likely",IF(AVERAGE($O306:$Q306)&gt;=4,"Possible","Unlikely"))</f>
        <v>Unlikely</v>
      </c>
      <c r="BG306" s="47"/>
      <c r="BH306" s="47" t="str">
        <f>INDEX(Table5[[#All],[Ovr]],MATCH(Table3[[#This Row],[PID]],Table5[[#All],[PID]],0))</f>
        <v/>
      </c>
      <c r="BI306" s="47" t="str">
        <f>INDEX(Table5[[#All],[Rnd]],MATCH(Table3[[#This Row],[PID]],Table5[[#All],[PID]],0))</f>
        <v/>
      </c>
      <c r="BJ306" s="47" t="str">
        <f>INDEX(Table5[[#All],[Pick]],MATCH(Table3[[#This Row],[PID]],Table5[[#All],[PID]],0))</f>
        <v/>
      </c>
      <c r="BK306" s="47" t="str">
        <f>INDEX(Table5[[#All],[Team]],MATCH(Table3[[#This Row],[PID]],Table5[[#All],[PID]],0))</f>
        <v/>
      </c>
      <c r="BL3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7" spans="1:64" ht="15" customHeight="1" x14ac:dyDescent="0.25">
      <c r="A307" s="42">
        <v>17644</v>
      </c>
      <c r="B307" s="42" t="s">
        <v>430</v>
      </c>
      <c r="C307" s="42" t="s">
        <v>125</v>
      </c>
      <c r="D307" s="42" t="s">
        <v>1646</v>
      </c>
      <c r="E307" s="42">
        <v>18</v>
      </c>
      <c r="F307" s="42" t="s">
        <v>62</v>
      </c>
      <c r="G307" s="42" t="s">
        <v>42</v>
      </c>
      <c r="H307" s="43" t="s">
        <v>721</v>
      </c>
      <c r="I307" s="44" t="s">
        <v>43</v>
      </c>
      <c r="J307" s="42" t="s">
        <v>44</v>
      </c>
      <c r="K307" s="43" t="s">
        <v>43</v>
      </c>
      <c r="L307" s="42">
        <v>2</v>
      </c>
      <c r="M307" s="42">
        <v>1</v>
      </c>
      <c r="N307" s="43">
        <v>1</v>
      </c>
      <c r="O307" s="42">
        <v>4</v>
      </c>
      <c r="P307" s="42">
        <v>2</v>
      </c>
      <c r="Q307" s="43">
        <v>2</v>
      </c>
      <c r="R307" s="42">
        <v>3</v>
      </c>
      <c r="S307" s="42">
        <v>5</v>
      </c>
      <c r="T307" s="42">
        <v>1</v>
      </c>
      <c r="U307" s="42">
        <v>6</v>
      </c>
      <c r="V307" s="42" t="s">
        <v>45</v>
      </c>
      <c r="W307" s="42" t="s">
        <v>45</v>
      </c>
      <c r="X307" s="42" t="s">
        <v>45</v>
      </c>
      <c r="Y307" s="42" t="s">
        <v>45</v>
      </c>
      <c r="Z307" s="42" t="s">
        <v>45</v>
      </c>
      <c r="AA307" s="42" t="s">
        <v>45</v>
      </c>
      <c r="AB307" s="42" t="s">
        <v>45</v>
      </c>
      <c r="AC307" s="42" t="s">
        <v>45</v>
      </c>
      <c r="AD307" s="42">
        <v>3</v>
      </c>
      <c r="AE307" s="42">
        <v>5</v>
      </c>
      <c r="AF307" s="42" t="s">
        <v>45</v>
      </c>
      <c r="AG307" s="42" t="s">
        <v>45</v>
      </c>
      <c r="AH307" s="42" t="s">
        <v>45</v>
      </c>
      <c r="AI307" s="42" t="s">
        <v>45</v>
      </c>
      <c r="AJ307" s="42" t="s">
        <v>45</v>
      </c>
      <c r="AK307" s="42" t="s">
        <v>45</v>
      </c>
      <c r="AL307" s="42" t="s">
        <v>45</v>
      </c>
      <c r="AM307" s="42" t="s">
        <v>45</v>
      </c>
      <c r="AN307" s="42" t="s">
        <v>45</v>
      </c>
      <c r="AO307" s="43" t="s">
        <v>45</v>
      </c>
      <c r="AP307" s="42" t="s">
        <v>356</v>
      </c>
      <c r="AQ307" s="42">
        <v>7</v>
      </c>
      <c r="AR307" s="50" t="s">
        <v>353</v>
      </c>
      <c r="AS307" s="45" t="s">
        <v>730</v>
      </c>
      <c r="AT307" s="45" t="s">
        <v>705</v>
      </c>
      <c r="AU307" s="46">
        <f>($O$3*(L307-$O$1)/$O$2+$P$3*(M307-$P$1)/$P$2+$Q$3*(N307-$P$1)/$Q$2)/SUM($O$3:$Q$3)</f>
        <v>-2.5067929134584248</v>
      </c>
      <c r="AV307" s="46">
        <f>($O$3*(O307-$O$1)/$O$2+$P$3*(P307-$P$1)/$P$2+$Q$3*(Q307-$Q$1)/$Q$2)/SUM($O$3:$Q$3)</f>
        <v>-1.23416323121884</v>
      </c>
      <c r="AW307" s="47">
        <f>COUNT(R307:AO307)/2</f>
        <v>3</v>
      </c>
      <c r="AX307" s="47">
        <f>IF(AND(S307&lt;&gt;"-",S307&gt;5),1,0)+IF(AND(U307&lt;&gt;"-",U307&gt;5),1,0)+IF(AND(W307&lt;&gt;"-",W307&gt;5),1,0)+IF(AND(Y307&lt;&gt;"-",Y307&gt;5),1,0)+IF(AND(AA307&lt;&gt;"-",AA307&gt;5),1,0)+IF(AND(AC307&lt;&gt;"-",AC307&gt;5),1,0)+IF(AND(AE307&lt;&gt;"-",AE307&gt;5),1,0)+IF(AND(AG307&lt;&gt;"-",AG307&gt;5),1,0)+IF(AND(AI307&lt;&gt;"-",AI307&gt;5),1,0)+IF(AND(AK307&lt;&gt;"-",AK307&gt;5),1,0)+IF(AND(AM307&lt;&gt;"-",AM307&gt;5),1,0)+IF(AND(AO307&lt;&gt;"-",AO307&gt;5),1,0)</f>
        <v>1</v>
      </c>
      <c r="AY307" s="48">
        <f>VLOOKUP(AP307,COND!$A$10:$B$32,2,FALSE)</f>
        <v>1</v>
      </c>
      <c r="AZ307" s="46">
        <f>($AU$3*AU307+$AV$3*AV307+$AW$3*AW307+$AX$3*AX307)*AY307*IF(AQ307&lt;5,0.95,IF(AQ307&lt;7,0.975,1))+$I$3*VLOOKUP(I307,COND!$A$2:$E$7,4,FALSE)+$J$3*VLOOKUP(J307,COND!$A$2:$E$7,2,FALSE)+$K$3*VLOOKUP(K307,COND!$A$2:$E$7,3,FALSE)+IF(BB307="SP",$BB$3,0)+IF($AW307&lt;3,-5,0)+IF(AND($B$2&gt;0,$E307&lt;20),$B$2*25,0)</f>
        <v>29.265376792931512</v>
      </c>
      <c r="BA307" s="49">
        <f>STANDARDIZE(AZ307,AVERAGE($AZ$5:$AZ$570),STDEVP($AZ$5:$AZ$570))</f>
        <v>-0.31701012639586595</v>
      </c>
      <c r="BB307" s="47" t="str">
        <f>IF(OR(AND(AQ307&gt;7,AX307&gt;1),AND(AQ307&gt;4,AW307&gt;2)),"SP","RP")</f>
        <v>SP</v>
      </c>
      <c r="BC307" s="47"/>
      <c r="BD307" s="47"/>
      <c r="BE307" s="47"/>
      <c r="BF307" s="47" t="str">
        <f>IF(AVERAGE($O307:$Q307)&gt;=6,"Likely",IF(AVERAGE($O307:$Q307)&gt;=4,"Possible","Unlikely"))</f>
        <v>Unlikely</v>
      </c>
      <c r="BG307" s="47"/>
      <c r="BH307" s="47" t="str">
        <f>INDEX(Table5[[#All],[Ovr]],MATCH(Table3[[#This Row],[PID]],Table5[[#All],[PID]],0))</f>
        <v/>
      </c>
      <c r="BI307" s="47" t="str">
        <f>INDEX(Table5[[#All],[Rnd]],MATCH(Table3[[#This Row],[PID]],Table5[[#All],[PID]],0))</f>
        <v/>
      </c>
      <c r="BJ307" s="47" t="str">
        <f>INDEX(Table5[[#All],[Pick]],MATCH(Table3[[#This Row],[PID]],Table5[[#All],[PID]],0))</f>
        <v/>
      </c>
      <c r="BK307" s="47" t="str">
        <f>INDEX(Table5[[#All],[Team]],MATCH(Table3[[#This Row],[PID]],Table5[[#All],[PID]],0))</f>
        <v/>
      </c>
      <c r="BL3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8" spans="1:64" ht="15" customHeight="1" x14ac:dyDescent="0.25">
      <c r="A308" s="42">
        <v>8958</v>
      </c>
      <c r="B308" s="42" t="s">
        <v>430</v>
      </c>
      <c r="C308" s="42" t="s">
        <v>1210</v>
      </c>
      <c r="D308" s="42" t="s">
        <v>932</v>
      </c>
      <c r="E308" s="42">
        <v>18</v>
      </c>
      <c r="F308" s="42" t="s">
        <v>53</v>
      </c>
      <c r="G308" s="42" t="s">
        <v>53</v>
      </c>
      <c r="H308" s="43" t="s">
        <v>721</v>
      </c>
      <c r="I308" s="44" t="s">
        <v>43</v>
      </c>
      <c r="J308" s="42" t="s">
        <v>43</v>
      </c>
      <c r="K308" s="43" t="s">
        <v>44</v>
      </c>
      <c r="L308" s="42">
        <v>3</v>
      </c>
      <c r="M308" s="42">
        <v>1</v>
      </c>
      <c r="N308" s="43">
        <v>1</v>
      </c>
      <c r="O308" s="42">
        <v>4</v>
      </c>
      <c r="P308" s="42">
        <v>2</v>
      </c>
      <c r="Q308" s="43">
        <v>2</v>
      </c>
      <c r="R308" s="42">
        <v>4</v>
      </c>
      <c r="S308" s="42">
        <v>6</v>
      </c>
      <c r="T308" s="42">
        <v>1</v>
      </c>
      <c r="U308" s="42">
        <v>4</v>
      </c>
      <c r="V308" s="42">
        <v>2</v>
      </c>
      <c r="W308" s="42">
        <v>4</v>
      </c>
      <c r="X308" s="42">
        <v>3</v>
      </c>
      <c r="Y308" s="42">
        <v>4</v>
      </c>
      <c r="Z308" s="42" t="s">
        <v>45</v>
      </c>
      <c r="AA308" s="42" t="s">
        <v>45</v>
      </c>
      <c r="AB308" s="42" t="s">
        <v>45</v>
      </c>
      <c r="AC308" s="42" t="s">
        <v>45</v>
      </c>
      <c r="AD308" s="42" t="s">
        <v>45</v>
      </c>
      <c r="AE308" s="42" t="s">
        <v>45</v>
      </c>
      <c r="AF308" s="42" t="s">
        <v>45</v>
      </c>
      <c r="AG308" s="42" t="s">
        <v>45</v>
      </c>
      <c r="AH308" s="42" t="s">
        <v>45</v>
      </c>
      <c r="AI308" s="42" t="s">
        <v>45</v>
      </c>
      <c r="AJ308" s="42" t="s">
        <v>45</v>
      </c>
      <c r="AK308" s="42" t="s">
        <v>45</v>
      </c>
      <c r="AL308" s="42" t="s">
        <v>45</v>
      </c>
      <c r="AM308" s="42" t="s">
        <v>45</v>
      </c>
      <c r="AN308" s="42" t="s">
        <v>45</v>
      </c>
      <c r="AO308" s="43" t="s">
        <v>45</v>
      </c>
      <c r="AP308" s="42" t="s">
        <v>60</v>
      </c>
      <c r="AQ308" s="42">
        <v>7</v>
      </c>
      <c r="AR308" s="50" t="s">
        <v>14</v>
      </c>
      <c r="AS308" s="45" t="s">
        <v>734</v>
      </c>
      <c r="AT308" s="45" t="s">
        <v>705</v>
      </c>
      <c r="AU308" s="46">
        <f>($O$3*(L308-$O$1)/$O$2+$P$3*(M308-$P$1)/$P$2+$Q$3*(N308-$P$1)/$Q$2)/SUM($O$3:$Q$3)</f>
        <v>-2.3121015889492513</v>
      </c>
      <c r="AV308" s="46">
        <f>($O$3*(O308-$O$1)/$O$2+$P$3*(P308-$P$1)/$P$2+$Q$3*(Q308-$Q$1)/$Q$2)/SUM($O$3:$Q$3)</f>
        <v>-1.23416323121884</v>
      </c>
      <c r="AW308" s="47">
        <f>COUNT(R308:AO308)/2</f>
        <v>4</v>
      </c>
      <c r="AX308" s="47">
        <f>IF(AND(S308&lt;&gt;"-",S308&gt;5),1,0)+IF(AND(U308&lt;&gt;"-",U308&gt;5),1,0)+IF(AND(W308&lt;&gt;"-",W308&gt;5),1,0)+IF(AND(Y308&lt;&gt;"-",Y308&gt;5),1,0)+IF(AND(AA308&lt;&gt;"-",AA308&gt;5),1,0)+IF(AND(AC308&lt;&gt;"-",AC308&gt;5),1,0)+IF(AND(AE308&lt;&gt;"-",AE308&gt;5),1,0)+IF(AND(AG308&lt;&gt;"-",AG308&gt;5),1,0)+IF(AND(AI308&lt;&gt;"-",AI308&gt;5),1,0)+IF(AND(AK308&lt;&gt;"-",AK308&gt;5),1,0)+IF(AND(AM308&lt;&gt;"-",AM308&gt;5),1,0)+IF(AND(AO308&lt;&gt;"-",AO308&gt;5),1,0)</f>
        <v>1</v>
      </c>
      <c r="AY308" s="48">
        <f>VLOOKUP(AP308,COND!$A$10:$B$32,2,FALSE)</f>
        <v>1.0249999999999999</v>
      </c>
      <c r="AZ308" s="46">
        <f>($AU$3*AU308+$AV$3*AV308+$AW$3*AW308+$AX$3*AX308)*AY308*IF(AQ308&lt;5,0.95,IF(AQ308&lt;7,0.975,1))+$I$3*VLOOKUP(I308,COND!$A$2:$E$7,4,FALSE)+$J$3*VLOOKUP(J308,COND!$A$2:$E$7,2,FALSE)+$K$3*VLOOKUP(K308,COND!$A$2:$E$7,3,FALSE)+IF(BB308="SP",$BB$3,0)+IF($AW308&lt;3,-5,0)+IF(AND($B$2&gt;0,$E308&lt;20),$B$2*25,0)</f>
        <v>29.256922934279185</v>
      </c>
      <c r="BA308" s="49">
        <f>STANDARDIZE(AZ308,AVERAGE($AZ$5:$AZ$570),STDEVP($AZ$5:$AZ$570))</f>
        <v>-0.31778538136683565</v>
      </c>
      <c r="BB308" s="47" t="str">
        <f>IF(OR(AND(AQ308&gt;7,AX308&gt;1),AND(AQ308&gt;4,AW308&gt;2)),"SP","RP")</f>
        <v>SP</v>
      </c>
      <c r="BC308" s="47"/>
      <c r="BD308" s="47"/>
      <c r="BE308" s="47"/>
      <c r="BF308" s="47" t="str">
        <f>IF(AVERAGE($O308:$Q308)&gt;=6,"Likely",IF(AVERAGE($O308:$Q308)&gt;=4,"Possible","Unlikely"))</f>
        <v>Unlikely</v>
      </c>
      <c r="BG308" s="47"/>
      <c r="BH308" s="47" t="str">
        <f>INDEX(Table5[[#All],[Ovr]],MATCH(Table3[[#This Row],[PID]],Table5[[#All],[PID]],0))</f>
        <v/>
      </c>
      <c r="BI308" s="47" t="str">
        <f>INDEX(Table5[[#All],[Rnd]],MATCH(Table3[[#This Row],[PID]],Table5[[#All],[PID]],0))</f>
        <v/>
      </c>
      <c r="BJ308" s="47" t="str">
        <f>INDEX(Table5[[#All],[Pick]],MATCH(Table3[[#This Row],[PID]],Table5[[#All],[PID]],0))</f>
        <v/>
      </c>
      <c r="BK308" s="47" t="str">
        <f>INDEX(Table5[[#All],[Team]],MATCH(Table3[[#This Row],[PID]],Table5[[#All],[PID]],0))</f>
        <v/>
      </c>
      <c r="BL3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9" spans="1:64" ht="15" customHeight="1" x14ac:dyDescent="0.25">
      <c r="A309" s="42">
        <v>12659</v>
      </c>
      <c r="B309" s="42" t="s">
        <v>430</v>
      </c>
      <c r="C309" s="42" t="s">
        <v>189</v>
      </c>
      <c r="D309" s="42" t="s">
        <v>940</v>
      </c>
      <c r="E309" s="42">
        <v>18</v>
      </c>
      <c r="F309" s="42" t="s">
        <v>42</v>
      </c>
      <c r="G309" s="42" t="s">
        <v>42</v>
      </c>
      <c r="H309" s="43" t="s">
        <v>721</v>
      </c>
      <c r="I309" s="44" t="s">
        <v>43</v>
      </c>
      <c r="J309" s="42" t="s">
        <v>44</v>
      </c>
      <c r="K309" s="43" t="s">
        <v>47</v>
      </c>
      <c r="L309" s="42">
        <v>1</v>
      </c>
      <c r="M309" s="42">
        <v>2</v>
      </c>
      <c r="N309" s="43">
        <v>1</v>
      </c>
      <c r="O309" s="42">
        <v>3</v>
      </c>
      <c r="P309" s="42">
        <v>2</v>
      </c>
      <c r="Q309" s="43">
        <v>2</v>
      </c>
      <c r="R309" s="42">
        <v>2</v>
      </c>
      <c r="S309" s="42">
        <v>3</v>
      </c>
      <c r="T309" s="42">
        <v>1</v>
      </c>
      <c r="U309" s="42">
        <v>4</v>
      </c>
      <c r="V309" s="42">
        <v>1</v>
      </c>
      <c r="W309" s="42">
        <v>4</v>
      </c>
      <c r="X309" s="42">
        <v>1</v>
      </c>
      <c r="Y309" s="42">
        <v>2</v>
      </c>
      <c r="Z309" s="42" t="s">
        <v>45</v>
      </c>
      <c r="AA309" s="42" t="s">
        <v>45</v>
      </c>
      <c r="AB309" s="42">
        <v>2</v>
      </c>
      <c r="AC309" s="42">
        <v>3</v>
      </c>
      <c r="AD309" s="42" t="s">
        <v>45</v>
      </c>
      <c r="AE309" s="42" t="s">
        <v>45</v>
      </c>
      <c r="AF309" s="42">
        <v>2</v>
      </c>
      <c r="AG309" s="42">
        <v>4</v>
      </c>
      <c r="AH309" s="42" t="s">
        <v>45</v>
      </c>
      <c r="AI309" s="42" t="s">
        <v>45</v>
      </c>
      <c r="AJ309" s="42" t="s">
        <v>45</v>
      </c>
      <c r="AK309" s="42" t="s">
        <v>45</v>
      </c>
      <c r="AL309" s="42" t="s">
        <v>45</v>
      </c>
      <c r="AM309" s="42" t="s">
        <v>45</v>
      </c>
      <c r="AN309" s="42" t="s">
        <v>45</v>
      </c>
      <c r="AO309" s="43" t="s">
        <v>45</v>
      </c>
      <c r="AP309" s="42" t="s">
        <v>67</v>
      </c>
      <c r="AQ309" s="42">
        <v>7</v>
      </c>
      <c r="AR309" s="50" t="s">
        <v>353</v>
      </c>
      <c r="AS309" s="45" t="s">
        <v>718</v>
      </c>
      <c r="AT309" s="45" t="s">
        <v>705</v>
      </c>
      <c r="AU309" s="46">
        <f>($O$3*(L309-$O$1)/$O$2+$P$3*(M309-$P$1)/$P$2+$Q$3*(N309-$P$1)/$Q$2)/SUM($O$3:$Q$3)</f>
        <v>-2.5060525215375429</v>
      </c>
      <c r="AV309" s="46">
        <f>($O$3*(O309-$O$1)/$O$2+$P$3*(P309-$P$1)/$P$2+$Q$3*(Q309-$Q$1)/$Q$2)/SUM($O$3:$Q$3)</f>
        <v>-1.4288545557280135</v>
      </c>
      <c r="AW309" s="47">
        <f>COUNT(R309:AO309)/2</f>
        <v>6</v>
      </c>
      <c r="AX309" s="47">
        <f>IF(AND(S309&lt;&gt;"-",S309&gt;5),1,0)+IF(AND(U309&lt;&gt;"-",U309&gt;5),1,0)+IF(AND(W309&lt;&gt;"-",W309&gt;5),1,0)+IF(AND(Y309&lt;&gt;"-",Y309&gt;5),1,0)+IF(AND(AA309&lt;&gt;"-",AA309&gt;5),1,0)+IF(AND(AC309&lt;&gt;"-",AC309&gt;5),1,0)+IF(AND(AE309&lt;&gt;"-",AE309&gt;5),1,0)+IF(AND(AG309&lt;&gt;"-",AG309&gt;5),1,0)+IF(AND(AI309&lt;&gt;"-",AI309&gt;5),1,0)+IF(AND(AK309&lt;&gt;"-",AK309&gt;5),1,0)+IF(AND(AM309&lt;&gt;"-",AM309&gt;5),1,0)+IF(AND(AO309&lt;&gt;"-",AO309&gt;5),1,0)</f>
        <v>0</v>
      </c>
      <c r="AY309" s="48">
        <f>VLOOKUP(AP309,COND!$A$10:$B$32,2,FALSE)</f>
        <v>0.9</v>
      </c>
      <c r="AZ309" s="46">
        <f>($AU$3*AU309+$AV$3*AV309+$AW$3*AW309+$AX$3*AX309)*AY309*IF(AQ309&lt;5,0.95,IF(AQ309&lt;7,0.975,1))+$I$3*VLOOKUP(I309,COND!$A$2:$E$7,4,FALSE)+$J$3*VLOOKUP(J309,COND!$A$2:$E$7,2,FALSE)+$K$3*VLOOKUP(K309,COND!$A$2:$E$7,3,FALSE)+IF(BB309="SP",$BB$3,0)+IF($AW309&lt;3,-5,0)+IF(AND($B$2&gt;0,$E309&lt;20),$B$2*25,0)</f>
        <v>28.529528543019001</v>
      </c>
      <c r="BA309" s="49">
        <f>STANDARDIZE(AZ309,AVERAGE($AZ$5:$AZ$570),STDEVP($AZ$5:$AZ$570))</f>
        <v>-0.38449055599436377</v>
      </c>
      <c r="BB309" s="47" t="str">
        <f>IF(OR(AND(AQ309&gt;7,AX309&gt;1),AND(AQ309&gt;4,AW309&gt;2)),"SP","RP")</f>
        <v>SP</v>
      </c>
      <c r="BC309" s="47"/>
      <c r="BD309" s="47"/>
      <c r="BE309" s="47"/>
      <c r="BF309" s="47" t="str">
        <f>IF(AVERAGE($O309:$Q309)&gt;=6,"Likely",IF(AVERAGE($O309:$Q309)&gt;=4,"Possible","Unlikely"))</f>
        <v>Unlikely</v>
      </c>
      <c r="BG309" s="47"/>
      <c r="BH309" s="47" t="str">
        <f>INDEX(Table5[[#All],[Ovr]],MATCH(Table3[[#This Row],[PID]],Table5[[#All],[PID]],0))</f>
        <v/>
      </c>
      <c r="BI309" s="47" t="str">
        <f>INDEX(Table5[[#All],[Rnd]],MATCH(Table3[[#This Row],[PID]],Table5[[#All],[PID]],0))</f>
        <v/>
      </c>
      <c r="BJ309" s="47" t="str">
        <f>INDEX(Table5[[#All],[Pick]],MATCH(Table3[[#This Row],[PID]],Table5[[#All],[PID]],0))</f>
        <v/>
      </c>
      <c r="BK309" s="47" t="str">
        <f>INDEX(Table5[[#All],[Team]],MATCH(Table3[[#This Row],[PID]],Table5[[#All],[PID]],0))</f>
        <v/>
      </c>
      <c r="BL3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0" spans="1:64" ht="15" customHeight="1" x14ac:dyDescent="0.25">
      <c r="A310" s="42">
        <v>12772</v>
      </c>
      <c r="B310" s="42" t="s">
        <v>24</v>
      </c>
      <c r="C310" s="42" t="s">
        <v>1691</v>
      </c>
      <c r="D310" s="42" t="s">
        <v>1692</v>
      </c>
      <c r="E310" s="42">
        <v>21</v>
      </c>
      <c r="F310" s="42" t="s">
        <v>42</v>
      </c>
      <c r="G310" s="42" t="s">
        <v>42</v>
      </c>
      <c r="H310" s="43" t="s">
        <v>721</v>
      </c>
      <c r="I310" s="44" t="s">
        <v>47</v>
      </c>
      <c r="J310" s="42" t="s">
        <v>47</v>
      </c>
      <c r="K310" s="43" t="s">
        <v>43</v>
      </c>
      <c r="L310" s="42">
        <v>2</v>
      </c>
      <c r="M310" s="42">
        <v>1</v>
      </c>
      <c r="N310" s="43">
        <v>2</v>
      </c>
      <c r="O310" s="42">
        <v>4</v>
      </c>
      <c r="P310" s="42">
        <v>1</v>
      </c>
      <c r="Q310" s="43">
        <v>3</v>
      </c>
      <c r="R310" s="42">
        <v>4</v>
      </c>
      <c r="S310" s="42">
        <v>5</v>
      </c>
      <c r="T310" s="42">
        <v>1</v>
      </c>
      <c r="U310" s="42">
        <v>6</v>
      </c>
      <c r="V310" s="42">
        <v>3</v>
      </c>
      <c r="W310" s="42">
        <v>7</v>
      </c>
      <c r="X310" s="42">
        <v>2</v>
      </c>
      <c r="Y310" s="42">
        <v>3</v>
      </c>
      <c r="Z310" s="42" t="s">
        <v>45</v>
      </c>
      <c r="AA310" s="42" t="s">
        <v>45</v>
      </c>
      <c r="AB310" s="42" t="s">
        <v>45</v>
      </c>
      <c r="AC310" s="42" t="s">
        <v>45</v>
      </c>
      <c r="AD310" s="42" t="s">
        <v>45</v>
      </c>
      <c r="AE310" s="42" t="s">
        <v>45</v>
      </c>
      <c r="AF310" s="42" t="s">
        <v>45</v>
      </c>
      <c r="AG310" s="42" t="s">
        <v>45</v>
      </c>
      <c r="AH310" s="42" t="s">
        <v>45</v>
      </c>
      <c r="AI310" s="42" t="s">
        <v>45</v>
      </c>
      <c r="AJ310" s="42" t="s">
        <v>45</v>
      </c>
      <c r="AK310" s="42" t="s">
        <v>45</v>
      </c>
      <c r="AL310" s="42" t="s">
        <v>45</v>
      </c>
      <c r="AM310" s="42" t="s">
        <v>45</v>
      </c>
      <c r="AN310" s="42" t="s">
        <v>45</v>
      </c>
      <c r="AO310" s="43" t="s">
        <v>45</v>
      </c>
      <c r="AP310" s="42" t="s">
        <v>57</v>
      </c>
      <c r="AQ310" s="42">
        <v>9</v>
      </c>
      <c r="AR310" s="50" t="s">
        <v>14</v>
      </c>
      <c r="AS310" s="45" t="s">
        <v>45</v>
      </c>
      <c r="AT310" s="45" t="s">
        <v>47</v>
      </c>
      <c r="AU310" s="46">
        <f>($O$3*(L310-$O$1)/$O$2+$P$3*(M310-$P$1)/$P$2+$Q$3*(N310-$P$1)/$Q$2)/SUM($O$3:$Q$3)</f>
        <v>-2.2644723474043147</v>
      </c>
      <c r="AV310" s="46">
        <f>($O$3*(O310-$O$1)/$O$2+$P$3*(P310-$P$1)/$P$2+$Q$3*(Q310-$Q$1)/$Q$2)/SUM($O$3:$Q$3)</f>
        <v>-1.1872743815947853</v>
      </c>
      <c r="AW310" s="47">
        <f>COUNT(R310:AO310)/2</f>
        <v>4</v>
      </c>
      <c r="AX310" s="47">
        <f>IF(AND(S310&lt;&gt;"-",S310&gt;5),1,0)+IF(AND(U310&lt;&gt;"-",U310&gt;5),1,0)+IF(AND(W310&lt;&gt;"-",W310&gt;5),1,0)+IF(AND(Y310&lt;&gt;"-",Y310&gt;5),1,0)+IF(AND(AA310&lt;&gt;"-",AA310&gt;5),1,0)+IF(AND(AC310&lt;&gt;"-",AC310&gt;5),1,0)+IF(AND(AE310&lt;&gt;"-",AE310&gt;5),1,0)+IF(AND(AG310&lt;&gt;"-",AG310&gt;5),1,0)+IF(AND(AI310&lt;&gt;"-",AI310&gt;5),1,0)+IF(AND(AK310&lt;&gt;"-",AK310&gt;5),1,0)+IF(AND(AM310&lt;&gt;"-",AM310&gt;5),1,0)+IF(AND(AO310&lt;&gt;"-",AO310&gt;5),1,0)</f>
        <v>2</v>
      </c>
      <c r="AY310" s="48">
        <f>VLOOKUP(AP310,COND!$A$10:$B$32,2,FALSE)</f>
        <v>1</v>
      </c>
      <c r="AZ310" s="46">
        <f>($AU$3*AU310+$AV$3*AV310+$AW$3*AW310+$AX$3*AX310)*AY310*IF(AQ310&lt;5,0.95,IF(AQ310&lt;7,0.975,1))+$I$3*VLOOKUP(I310,COND!$A$2:$E$7,4,FALSE)+$J$3*VLOOKUP(J310,COND!$A$2:$E$7,2,FALSE)+$K$3*VLOOKUP(K310,COND!$A$2:$E$7,3,FALSE)+IF(BB310="SP",$BB$3,0)+IF($AW310&lt;3,-5,0)+IF(AND($B$2&gt;0,$E310&lt;20),$B$2*25,0)</f>
        <v>27.826617898623429</v>
      </c>
      <c r="BA310" s="49">
        <f>STANDARDIZE(AZ310,AVERAGE($AZ$5:$AZ$570),STDEVP($AZ$5:$AZ$570))</f>
        <v>-0.44895046638867359</v>
      </c>
      <c r="BB310" s="47" t="str">
        <f>IF(OR(AND(AQ310&gt;7,AX310&gt;1),AND(AQ310&gt;4,AW310&gt;2)),"SP","RP")</f>
        <v>SP</v>
      </c>
      <c r="BC310" s="47"/>
      <c r="BD310" s="47"/>
      <c r="BE310" s="47"/>
      <c r="BF310" s="47" t="str">
        <f>IF(AVERAGE($O310:$Q310)&gt;=6,"Likely",IF(AVERAGE($O310:$Q310)&gt;=4,"Possible","Unlikely"))</f>
        <v>Unlikely</v>
      </c>
      <c r="BG310" s="47"/>
      <c r="BH310" s="47" t="str">
        <f>INDEX(Table5[[#All],[Ovr]],MATCH(Table3[[#This Row],[PID]],Table5[[#All],[PID]],0))</f>
        <v/>
      </c>
      <c r="BI310" s="47" t="str">
        <f>INDEX(Table5[[#All],[Rnd]],MATCH(Table3[[#This Row],[PID]],Table5[[#All],[PID]],0))</f>
        <v/>
      </c>
      <c r="BJ310" s="47" t="str">
        <f>INDEX(Table5[[#All],[Pick]],MATCH(Table3[[#This Row],[PID]],Table5[[#All],[PID]],0))</f>
        <v/>
      </c>
      <c r="BK310" s="47" t="str">
        <f>INDEX(Table5[[#All],[Team]],MATCH(Table3[[#This Row],[PID]],Table5[[#All],[PID]],0))</f>
        <v/>
      </c>
      <c r="BL3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1" spans="1:64" ht="15" customHeight="1" x14ac:dyDescent="0.25">
      <c r="A311" s="42">
        <v>18059</v>
      </c>
      <c r="B311" s="42" t="s">
        <v>24</v>
      </c>
      <c r="C311" s="42" t="s">
        <v>205</v>
      </c>
      <c r="D311" s="42" t="s">
        <v>922</v>
      </c>
      <c r="E311" s="42">
        <v>22</v>
      </c>
      <c r="F311" s="42" t="s">
        <v>53</v>
      </c>
      <c r="G311" s="42" t="s">
        <v>53</v>
      </c>
      <c r="H311" s="43" t="s">
        <v>721</v>
      </c>
      <c r="I311" s="44" t="s">
        <v>47</v>
      </c>
      <c r="J311" s="42" t="s">
        <v>47</v>
      </c>
      <c r="K311" s="43" t="s">
        <v>47</v>
      </c>
      <c r="L311" s="42">
        <v>2</v>
      </c>
      <c r="M311" s="42">
        <v>1</v>
      </c>
      <c r="N311" s="43">
        <v>1</v>
      </c>
      <c r="O311" s="42">
        <v>5</v>
      </c>
      <c r="P311" s="42">
        <v>1</v>
      </c>
      <c r="Q311" s="43">
        <v>2</v>
      </c>
      <c r="R311" s="42">
        <v>4</v>
      </c>
      <c r="S311" s="42">
        <v>6</v>
      </c>
      <c r="T311" s="42">
        <v>1</v>
      </c>
      <c r="U311" s="42">
        <v>2</v>
      </c>
      <c r="V311" s="42">
        <v>3</v>
      </c>
      <c r="W311" s="42">
        <v>6</v>
      </c>
      <c r="X311" s="42" t="s">
        <v>45</v>
      </c>
      <c r="Y311" s="42" t="s">
        <v>45</v>
      </c>
      <c r="Z311" s="42" t="s">
        <v>45</v>
      </c>
      <c r="AA311" s="42" t="s">
        <v>45</v>
      </c>
      <c r="AB311" s="42" t="s">
        <v>45</v>
      </c>
      <c r="AC311" s="42" t="s">
        <v>45</v>
      </c>
      <c r="AD311" s="42" t="s">
        <v>45</v>
      </c>
      <c r="AE311" s="42" t="s">
        <v>45</v>
      </c>
      <c r="AF311" s="42">
        <v>3</v>
      </c>
      <c r="AG311" s="42">
        <v>5</v>
      </c>
      <c r="AH311" s="42" t="s">
        <v>45</v>
      </c>
      <c r="AI311" s="42" t="s">
        <v>45</v>
      </c>
      <c r="AJ311" s="42" t="s">
        <v>45</v>
      </c>
      <c r="AK311" s="42" t="s">
        <v>45</v>
      </c>
      <c r="AL311" s="42" t="s">
        <v>45</v>
      </c>
      <c r="AM311" s="42" t="s">
        <v>45</v>
      </c>
      <c r="AN311" s="42" t="s">
        <v>45</v>
      </c>
      <c r="AO311" s="43" t="s">
        <v>45</v>
      </c>
      <c r="AP311" s="42" t="s">
        <v>57</v>
      </c>
      <c r="AQ311" s="42">
        <v>8</v>
      </c>
      <c r="AR311" s="50" t="s">
        <v>357</v>
      </c>
      <c r="AS311" s="45" t="s">
        <v>45</v>
      </c>
      <c r="AT311" s="45" t="s">
        <v>47</v>
      </c>
      <c r="AU311" s="46">
        <f>($O$3*(L311-$O$1)/$O$2+$P$3*(M311-$P$1)/$P$2+$Q$3*(N311-$P$1)/$Q$2)/SUM($O$3:$Q$3)</f>
        <v>-2.5067929134584248</v>
      </c>
      <c r="AV311" s="46">
        <f>($O$3*(O311-$O$1)/$O$2+$P$3*(P311-$P$1)/$P$2+$Q$3*(Q311-$Q$1)/$Q$2)/SUM($O$3:$Q$3)</f>
        <v>-1.2349036231397219</v>
      </c>
      <c r="AW311" s="47">
        <f>COUNT(R311:AO311)/2</f>
        <v>4</v>
      </c>
      <c r="AX311" s="47">
        <f>IF(AND(S311&lt;&gt;"-",S311&gt;5),1,0)+IF(AND(U311&lt;&gt;"-",U311&gt;5),1,0)+IF(AND(W311&lt;&gt;"-",W311&gt;5),1,0)+IF(AND(Y311&lt;&gt;"-",Y311&gt;5),1,0)+IF(AND(AA311&lt;&gt;"-",AA311&gt;5),1,0)+IF(AND(AC311&lt;&gt;"-",AC311&gt;5),1,0)+IF(AND(AE311&lt;&gt;"-",AE311&gt;5),1,0)+IF(AND(AG311&lt;&gt;"-",AG311&gt;5),1,0)+IF(AND(AI311&lt;&gt;"-",AI311&gt;5),1,0)+IF(AND(AK311&lt;&gt;"-",AK311&gt;5),1,0)+IF(AND(AM311&lt;&gt;"-",AM311&gt;5),1,0)+IF(AND(AO311&lt;&gt;"-",AO311&gt;5),1,0)</f>
        <v>2</v>
      </c>
      <c r="AY311" s="48">
        <f>VLOOKUP(AP311,COND!$A$10:$B$32,2,FALSE)</f>
        <v>1</v>
      </c>
      <c r="AZ311" s="46">
        <f>($AU$3*AU311+$AV$3*AV311+$AW$3*AW311+$AX$3*AX311)*AY311*IF(AQ311&lt;5,0.95,IF(AQ311&lt;7,0.975,1))+$I$3*VLOOKUP(I311,COND!$A$2:$E$7,4,FALSE)+$J$3*VLOOKUP(J311,COND!$A$2:$E$7,2,FALSE)+$K$3*VLOOKUP(K311,COND!$A$2:$E$7,3,FALSE)+IF(BB311="SP",$BB$3,0)+IF($AW311&lt;3,-5,0)+IF(AND($B$2&gt;0,$E311&lt;20),$B$2*25,0)</f>
        <v>27.125568954513874</v>
      </c>
      <c r="BA311" s="49">
        <f>STANDARDIZE(AZ311,AVERAGE($AZ$5:$AZ$570),STDEVP($AZ$5:$AZ$570))</f>
        <v>-0.51323965090968138</v>
      </c>
      <c r="BB311" s="47" t="str">
        <f>IF(OR(AND(AQ311&gt;7,AX311&gt;1),AND(AQ311&gt;4,AW311&gt;2)),"SP","RP")</f>
        <v>SP</v>
      </c>
      <c r="BC311" s="47"/>
      <c r="BD311" s="47"/>
      <c r="BE311" s="47"/>
      <c r="BF311" s="47" t="str">
        <f>IF(AVERAGE($O311:$Q311)&gt;=6,"Likely",IF(AVERAGE($O311:$Q311)&gt;=4,"Possible","Unlikely"))</f>
        <v>Unlikely</v>
      </c>
      <c r="BG311" s="47"/>
      <c r="BH311" s="47" t="str">
        <f>INDEX(Table5[[#All],[Ovr]],MATCH(Table3[[#This Row],[PID]],Table5[[#All],[PID]],0))</f>
        <v/>
      </c>
      <c r="BI311" s="47" t="str">
        <f>INDEX(Table5[[#All],[Rnd]],MATCH(Table3[[#This Row],[PID]],Table5[[#All],[PID]],0))</f>
        <v/>
      </c>
      <c r="BJ311" s="47" t="str">
        <f>INDEX(Table5[[#All],[Pick]],MATCH(Table3[[#This Row],[PID]],Table5[[#All],[PID]],0))</f>
        <v/>
      </c>
      <c r="BK311" s="47" t="str">
        <f>INDEX(Table5[[#All],[Team]],MATCH(Table3[[#This Row],[PID]],Table5[[#All],[PID]],0))</f>
        <v/>
      </c>
      <c r="BL3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2" spans="1:64" ht="15" customHeight="1" x14ac:dyDescent="0.25">
      <c r="A312" s="42">
        <v>8829</v>
      </c>
      <c r="B312" s="42" t="s">
        <v>430</v>
      </c>
      <c r="C312" s="42" t="s">
        <v>346</v>
      </c>
      <c r="D312" s="42" t="s">
        <v>192</v>
      </c>
      <c r="E312" s="42">
        <v>22</v>
      </c>
      <c r="F312" s="42" t="s">
        <v>62</v>
      </c>
      <c r="G312" s="42" t="s">
        <v>42</v>
      </c>
      <c r="H312" s="43" t="s">
        <v>721</v>
      </c>
      <c r="I312" s="44" t="s">
        <v>43</v>
      </c>
      <c r="J312" s="42" t="s">
        <v>43</v>
      </c>
      <c r="K312" s="43" t="s">
        <v>44</v>
      </c>
      <c r="L312" s="42">
        <v>3</v>
      </c>
      <c r="M312" s="42">
        <v>1</v>
      </c>
      <c r="N312" s="43">
        <v>2</v>
      </c>
      <c r="O312" s="42">
        <v>5</v>
      </c>
      <c r="P312" s="42">
        <v>1</v>
      </c>
      <c r="Q312" s="43">
        <v>3</v>
      </c>
      <c r="R312" s="42">
        <v>3</v>
      </c>
      <c r="S312" s="42">
        <v>5</v>
      </c>
      <c r="T312" s="42">
        <v>1</v>
      </c>
      <c r="U312" s="42">
        <v>2</v>
      </c>
      <c r="V312" s="42">
        <v>5</v>
      </c>
      <c r="W312" s="42">
        <v>7</v>
      </c>
      <c r="X312" s="42" t="s">
        <v>45</v>
      </c>
      <c r="Y312" s="42" t="s">
        <v>45</v>
      </c>
      <c r="Z312" s="42" t="s">
        <v>45</v>
      </c>
      <c r="AA312" s="42" t="s">
        <v>45</v>
      </c>
      <c r="AB312" s="42" t="s">
        <v>45</v>
      </c>
      <c r="AC312" s="42" t="s">
        <v>45</v>
      </c>
      <c r="AD312" s="42" t="s">
        <v>45</v>
      </c>
      <c r="AE312" s="42" t="s">
        <v>45</v>
      </c>
      <c r="AF312" s="42" t="s">
        <v>45</v>
      </c>
      <c r="AG312" s="42" t="s">
        <v>45</v>
      </c>
      <c r="AH312" s="42" t="s">
        <v>45</v>
      </c>
      <c r="AI312" s="42" t="s">
        <v>45</v>
      </c>
      <c r="AJ312" s="42" t="s">
        <v>45</v>
      </c>
      <c r="AK312" s="42" t="s">
        <v>45</v>
      </c>
      <c r="AL312" s="42" t="s">
        <v>45</v>
      </c>
      <c r="AM312" s="42" t="s">
        <v>45</v>
      </c>
      <c r="AN312" s="42" t="s">
        <v>45</v>
      </c>
      <c r="AO312" s="43" t="s">
        <v>45</v>
      </c>
      <c r="AP312" s="42" t="s">
        <v>64</v>
      </c>
      <c r="AQ312" s="42">
        <v>7</v>
      </c>
      <c r="AR312" s="50" t="s">
        <v>14</v>
      </c>
      <c r="AS312" s="45" t="s">
        <v>45</v>
      </c>
      <c r="AT312" s="45" t="s">
        <v>47</v>
      </c>
      <c r="AU312" s="46">
        <f>($O$3*(L312-$O$1)/$O$2+$P$3*(M312-$P$1)/$P$2+$Q$3*(N312-$P$1)/$Q$2)/SUM($O$3:$Q$3)</f>
        <v>-2.0697810228951408</v>
      </c>
      <c r="AV312" s="46">
        <f>($O$3*(O312-$O$1)/$O$2+$P$3*(P312-$P$1)/$P$2+$Q$3*(Q312-$Q$1)/$Q$2)/SUM($O$3:$Q$3)</f>
        <v>-0.99258305708561179</v>
      </c>
      <c r="AW312" s="47">
        <f>COUNT(R312:AO312)/2</f>
        <v>3</v>
      </c>
      <c r="AX312" s="47">
        <f>IF(AND(S312&lt;&gt;"-",S312&gt;5),1,0)+IF(AND(U312&lt;&gt;"-",U312&gt;5),1,0)+IF(AND(W312&lt;&gt;"-",W312&gt;5),1,0)+IF(AND(Y312&lt;&gt;"-",Y312&gt;5),1,0)+IF(AND(AA312&lt;&gt;"-",AA312&gt;5),1,0)+IF(AND(AC312&lt;&gt;"-",AC312&gt;5),1,0)+IF(AND(AE312&lt;&gt;"-",AE312&gt;5),1,0)+IF(AND(AG312&lt;&gt;"-",AG312&gt;5),1,0)+IF(AND(AI312&lt;&gt;"-",AI312&gt;5),1,0)+IF(AND(AK312&lt;&gt;"-",AK312&gt;5),1,0)+IF(AND(AM312&lt;&gt;"-",AM312&gt;5),1,0)+IF(AND(AO312&lt;&gt;"-",AO312&gt;5),1,0)</f>
        <v>1</v>
      </c>
      <c r="AY312" s="48">
        <f>VLOOKUP(AP312,COND!$A$10:$B$32,2,FALSE)</f>
        <v>1</v>
      </c>
      <c r="AZ312" s="46">
        <f>($AU$3*AU312+$AV$3*AV312+$AW$3*AW312+$AX$3*AX312)*AY312*IF(AQ312&lt;5,0.95,IF(AQ312&lt;7,0.975,1))+$I$3*VLOOKUP(I312,COND!$A$2:$E$7,4,FALSE)+$J$3*VLOOKUP(J312,COND!$A$2:$E$7,2,FALSE)+$K$3*VLOOKUP(K312,COND!$A$2:$E$7,3,FALSE)+IF(BB312="SP",$BB$3,0)+IF($AW312&lt;3,-5,0)+IF(AND($B$2&gt;0,$E312&lt;20),$B$2*25,0)</f>
        <v>29.184382653708735</v>
      </c>
      <c r="BA312" s="49">
        <f>STANDARDIZE(AZ312,AVERAGE($AZ$5:$AZ$570),STDEVP($AZ$5:$AZ$570))</f>
        <v>-0.32443763513882135</v>
      </c>
      <c r="BB312" s="47" t="str">
        <f>IF(OR(AND(AQ312&gt;7,AX312&gt;1),AND(AQ312&gt;4,AW312&gt;2)),"SP","RP")</f>
        <v>SP</v>
      </c>
      <c r="BC312" s="47"/>
      <c r="BD312" s="47"/>
      <c r="BE312" s="47"/>
      <c r="BF312" s="47" t="str">
        <f>IF(AVERAGE($O312:$Q312)&gt;=6,"Likely",IF(AVERAGE($O312:$Q312)&gt;=4,"Possible","Unlikely"))</f>
        <v>Unlikely</v>
      </c>
      <c r="BG312" s="47"/>
      <c r="BH312" s="47" t="str">
        <f>INDEX(Table5[[#All],[Ovr]],MATCH(Table3[[#This Row],[PID]],Table5[[#All],[PID]],0))</f>
        <v/>
      </c>
      <c r="BI312" s="47" t="str">
        <f>INDEX(Table5[[#All],[Rnd]],MATCH(Table3[[#This Row],[PID]],Table5[[#All],[PID]],0))</f>
        <v/>
      </c>
      <c r="BJ312" s="47" t="str">
        <f>INDEX(Table5[[#All],[Pick]],MATCH(Table3[[#This Row],[PID]],Table5[[#All],[PID]],0))</f>
        <v/>
      </c>
      <c r="BK312" s="47" t="str">
        <f>INDEX(Table5[[#All],[Team]],MATCH(Table3[[#This Row],[PID]],Table5[[#All],[PID]],0))</f>
        <v/>
      </c>
      <c r="BL3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3" spans="1:64" ht="15" customHeight="1" x14ac:dyDescent="0.25">
      <c r="A313" s="42">
        <v>2954</v>
      </c>
      <c r="B313" s="42" t="s">
        <v>49</v>
      </c>
      <c r="C313" s="42" t="s">
        <v>636</v>
      </c>
      <c r="D313" s="42" t="s">
        <v>1622</v>
      </c>
      <c r="E313" s="42">
        <v>21</v>
      </c>
      <c r="F313" s="42" t="s">
        <v>42</v>
      </c>
      <c r="G313" s="42" t="s">
        <v>42</v>
      </c>
      <c r="H313" s="43" t="s">
        <v>721</v>
      </c>
      <c r="I313" s="44" t="s">
        <v>43</v>
      </c>
      <c r="J313" s="42" t="s">
        <v>44</v>
      </c>
      <c r="K313" s="43" t="s">
        <v>43</v>
      </c>
      <c r="L313" s="42">
        <v>2</v>
      </c>
      <c r="M313" s="42">
        <v>1</v>
      </c>
      <c r="N313" s="43">
        <v>2</v>
      </c>
      <c r="O313" s="42">
        <v>4</v>
      </c>
      <c r="P313" s="42">
        <v>2</v>
      </c>
      <c r="Q313" s="43">
        <v>3</v>
      </c>
      <c r="R313" s="42">
        <v>3</v>
      </c>
      <c r="S313" s="42">
        <v>5</v>
      </c>
      <c r="T313" s="42">
        <v>1</v>
      </c>
      <c r="U313" s="42">
        <v>1</v>
      </c>
      <c r="V313" s="42" t="s">
        <v>45</v>
      </c>
      <c r="W313" s="42" t="s">
        <v>45</v>
      </c>
      <c r="X313" s="42">
        <v>3</v>
      </c>
      <c r="Y313" s="42">
        <v>7</v>
      </c>
      <c r="Z313" s="42" t="s">
        <v>45</v>
      </c>
      <c r="AA313" s="42" t="s">
        <v>45</v>
      </c>
      <c r="AB313" s="42" t="s">
        <v>45</v>
      </c>
      <c r="AC313" s="42" t="s">
        <v>45</v>
      </c>
      <c r="AD313" s="42" t="s">
        <v>45</v>
      </c>
      <c r="AE313" s="42" t="s">
        <v>45</v>
      </c>
      <c r="AF313" s="42" t="s">
        <v>45</v>
      </c>
      <c r="AG313" s="42" t="s">
        <v>45</v>
      </c>
      <c r="AH313" s="42" t="s">
        <v>45</v>
      </c>
      <c r="AI313" s="42" t="s">
        <v>45</v>
      </c>
      <c r="AJ313" s="42" t="s">
        <v>45</v>
      </c>
      <c r="AK313" s="42" t="s">
        <v>45</v>
      </c>
      <c r="AL313" s="42" t="s">
        <v>45</v>
      </c>
      <c r="AM313" s="42" t="s">
        <v>45</v>
      </c>
      <c r="AN313" s="42" t="s">
        <v>45</v>
      </c>
      <c r="AO313" s="43" t="s">
        <v>45</v>
      </c>
      <c r="AP313" s="42" t="s">
        <v>64</v>
      </c>
      <c r="AQ313" s="42">
        <v>9</v>
      </c>
      <c r="AR313" s="50" t="s">
        <v>353</v>
      </c>
      <c r="AS313" s="45" t="s">
        <v>717</v>
      </c>
      <c r="AT313" s="45" t="s">
        <v>705</v>
      </c>
      <c r="AU313" s="46">
        <f>($O$3*(L313-$O$1)/$O$2+$P$3*(M313-$P$1)/$P$2+$Q$3*(N313-$P$1)/$Q$2)/SUM($O$3:$Q$3)</f>
        <v>-2.2644723474043147</v>
      </c>
      <c r="AV313" s="46">
        <f>($O$3*(O313-$O$1)/$O$2+$P$3*(P313-$P$1)/$P$2+$Q$3*(Q313-$Q$1)/$Q$2)/SUM($O$3:$Q$3)</f>
        <v>-0.99184266516472974</v>
      </c>
      <c r="AW313" s="47">
        <f>COUNT(R313:AO313)/2</f>
        <v>3</v>
      </c>
      <c r="AX313" s="47">
        <f>IF(AND(S313&lt;&gt;"-",S313&gt;5),1,0)+IF(AND(U313&lt;&gt;"-",U313&gt;5),1,0)+IF(AND(W313&lt;&gt;"-",W313&gt;5),1,0)+IF(AND(Y313&lt;&gt;"-",Y313&gt;5),1,0)+IF(AND(AA313&lt;&gt;"-",AA313&gt;5),1,0)+IF(AND(AC313&lt;&gt;"-",AC313&gt;5),1,0)+IF(AND(AE313&lt;&gt;"-",AE313&gt;5),1,0)+IF(AND(AG313&lt;&gt;"-",AG313&gt;5),1,0)+IF(AND(AI313&lt;&gt;"-",AI313&gt;5),1,0)+IF(AND(AK313&lt;&gt;"-",AK313&gt;5),1,0)+IF(AND(AM313&lt;&gt;"-",AM313&gt;5),1,0)+IF(AND(AO313&lt;&gt;"-",AO313&gt;5),1,0)</f>
        <v>1</v>
      </c>
      <c r="AY313" s="48">
        <f>VLOOKUP(AP313,COND!$A$10:$B$32,2,FALSE)</f>
        <v>1</v>
      </c>
      <c r="AZ313" s="46">
        <f>($AU$3*AU313+$AV$3*AV313+$AW$3*AW313+$AX$3*AX313)*AY313*IF(AQ313&lt;5,0.95,IF(AQ313&lt;7,0.975,1))+$I$3*VLOOKUP(I313,COND!$A$2:$E$7,4,FALSE)+$J$3*VLOOKUP(J313,COND!$A$2:$E$7,2,FALSE)+$K$3*VLOOKUP(K313,COND!$A$2:$E$7,3,FALSE)+IF(BB313="SP",$BB$3,0)+IF($AW313&lt;3,-5,0)+IF(AND($B$2&gt;0,$E313&lt;20),$B$2*25,0)</f>
        <v>29.160252227224539</v>
      </c>
      <c r="BA313" s="49">
        <f>STANDARDIZE(AZ313,AVERAGE($AZ$5:$AZ$570),STDEVP($AZ$5:$AZ$570))</f>
        <v>-0.32665049838303245</v>
      </c>
      <c r="BB313" s="47" t="str">
        <f>IF(OR(AND(AQ313&gt;7,AX313&gt;1),AND(AQ313&gt;4,AW313&gt;2)),"SP","RP")</f>
        <v>SP</v>
      </c>
      <c r="BC313" s="47"/>
      <c r="BD313" s="47"/>
      <c r="BE313" s="47"/>
      <c r="BF313" s="47" t="str">
        <f>IF(AVERAGE($O313:$Q313)&gt;=6,"Likely",IF(AVERAGE($O313:$Q313)&gt;=4,"Possible","Unlikely"))</f>
        <v>Unlikely</v>
      </c>
      <c r="BG313" s="47"/>
      <c r="BH313" s="47" t="str">
        <f>INDEX(Table5[[#All],[Ovr]],MATCH(Table3[[#This Row],[PID]],Table5[[#All],[PID]],0))</f>
        <v/>
      </c>
      <c r="BI313" s="47" t="str">
        <f>INDEX(Table5[[#All],[Rnd]],MATCH(Table3[[#This Row],[PID]],Table5[[#All],[PID]],0))</f>
        <v/>
      </c>
      <c r="BJ313" s="47" t="str">
        <f>INDEX(Table5[[#All],[Pick]],MATCH(Table3[[#This Row],[PID]],Table5[[#All],[PID]],0))</f>
        <v/>
      </c>
      <c r="BK313" s="47" t="str">
        <f>INDEX(Table5[[#All],[Team]],MATCH(Table3[[#This Row],[PID]],Table5[[#All],[PID]],0))</f>
        <v/>
      </c>
      <c r="BL3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4" spans="1:64" ht="15" customHeight="1" x14ac:dyDescent="0.25">
      <c r="A314" s="42">
        <v>12244</v>
      </c>
      <c r="B314" s="42" t="s">
        <v>24</v>
      </c>
      <c r="C314" s="42" t="s">
        <v>981</v>
      </c>
      <c r="D314" s="42" t="s">
        <v>982</v>
      </c>
      <c r="E314" s="42">
        <v>22</v>
      </c>
      <c r="F314" s="42" t="s">
        <v>62</v>
      </c>
      <c r="G314" s="42" t="s">
        <v>42</v>
      </c>
      <c r="H314" s="43" t="s">
        <v>721</v>
      </c>
      <c r="I314" s="44" t="s">
        <v>44</v>
      </c>
      <c r="J314" s="42" t="s">
        <v>43</v>
      </c>
      <c r="K314" s="43" t="s">
        <v>43</v>
      </c>
      <c r="L314" s="42">
        <v>3</v>
      </c>
      <c r="M314" s="42">
        <v>1</v>
      </c>
      <c r="N314" s="43">
        <v>2</v>
      </c>
      <c r="O314" s="42">
        <v>4</v>
      </c>
      <c r="P314" s="42">
        <v>1</v>
      </c>
      <c r="Q314" s="43">
        <v>3</v>
      </c>
      <c r="R314" s="42">
        <v>5</v>
      </c>
      <c r="S314" s="42">
        <v>6</v>
      </c>
      <c r="T314" s="42">
        <v>3</v>
      </c>
      <c r="U314" s="42">
        <v>6</v>
      </c>
      <c r="V314" s="42">
        <v>5</v>
      </c>
      <c r="W314" s="42">
        <v>6</v>
      </c>
      <c r="X314" s="42" t="s">
        <v>45</v>
      </c>
      <c r="Y314" s="42" t="s">
        <v>45</v>
      </c>
      <c r="Z314" s="42" t="s">
        <v>45</v>
      </c>
      <c r="AA314" s="42" t="s">
        <v>45</v>
      </c>
      <c r="AB314" s="42" t="s">
        <v>45</v>
      </c>
      <c r="AC314" s="42" t="s">
        <v>45</v>
      </c>
      <c r="AD314" s="42" t="s">
        <v>45</v>
      </c>
      <c r="AE314" s="42" t="s">
        <v>45</v>
      </c>
      <c r="AF314" s="42" t="s">
        <v>45</v>
      </c>
      <c r="AG314" s="42" t="s">
        <v>45</v>
      </c>
      <c r="AH314" s="42" t="s">
        <v>45</v>
      </c>
      <c r="AI314" s="42" t="s">
        <v>45</v>
      </c>
      <c r="AJ314" s="42" t="s">
        <v>45</v>
      </c>
      <c r="AK314" s="42" t="s">
        <v>45</v>
      </c>
      <c r="AL314" s="42" t="s">
        <v>45</v>
      </c>
      <c r="AM314" s="42" t="s">
        <v>45</v>
      </c>
      <c r="AN314" s="42" t="s">
        <v>45</v>
      </c>
      <c r="AO314" s="43" t="s">
        <v>45</v>
      </c>
      <c r="AP314" s="42" t="s">
        <v>57</v>
      </c>
      <c r="AQ314" s="42">
        <v>6</v>
      </c>
      <c r="AR314" s="50" t="s">
        <v>14</v>
      </c>
      <c r="AS314" s="45" t="s">
        <v>45</v>
      </c>
      <c r="AT314" s="45" t="s">
        <v>47</v>
      </c>
      <c r="AU314" s="46">
        <f>($O$3*(L314-$O$1)/$O$2+$P$3*(M314-$P$1)/$P$2+$Q$3*(N314-$P$1)/$Q$2)/SUM($O$3:$Q$3)</f>
        <v>-2.0697810228951408</v>
      </c>
      <c r="AV314" s="46">
        <f>($O$3*(O314-$O$1)/$O$2+$P$3*(P314-$P$1)/$P$2+$Q$3*(Q314-$Q$1)/$Q$2)/SUM($O$3:$Q$3)</f>
        <v>-1.1872743815947853</v>
      </c>
      <c r="AW314" s="47">
        <f>COUNT(R314:AO314)/2</f>
        <v>3</v>
      </c>
      <c r="AX314" s="47">
        <f>IF(AND(S314&lt;&gt;"-",S314&gt;5),1,0)+IF(AND(U314&lt;&gt;"-",U314&gt;5),1,0)+IF(AND(W314&lt;&gt;"-",W314&gt;5),1,0)+IF(AND(Y314&lt;&gt;"-",Y314&gt;5),1,0)+IF(AND(AA314&lt;&gt;"-",AA314&gt;5),1,0)+IF(AND(AC314&lt;&gt;"-",AC314&gt;5),1,0)+IF(AND(AE314&lt;&gt;"-",AE314&gt;5),1,0)+IF(AND(AG314&lt;&gt;"-",AG314&gt;5),1,0)+IF(AND(AI314&lt;&gt;"-",AI314&gt;5),1,0)+IF(AND(AK314&lt;&gt;"-",AK314&gt;5),1,0)+IF(AND(AM314&lt;&gt;"-",AM314&gt;5),1,0)+IF(AND(AO314&lt;&gt;"-",AO314&gt;5),1,0)</f>
        <v>3</v>
      </c>
      <c r="AY314" s="48">
        <f>VLOOKUP(AP314,COND!$A$10:$B$32,2,FALSE)</f>
        <v>1</v>
      </c>
      <c r="AZ314" s="46">
        <f>($AU$3*AU314+$AV$3*AV314+$AW$3*AW314+$AX$3*AX314)*AY314*IF(AQ314&lt;5,0.95,IF(AQ314&lt;7,0.975,1))+$I$3*VLOOKUP(I314,COND!$A$2:$E$7,4,FALSE)+$J$3*VLOOKUP(J314,COND!$A$2:$E$7,2,FALSE)+$K$3*VLOOKUP(K314,COND!$A$2:$E$7,3,FALSE)+IF(BB314="SP",$BB$3,0)+IF($AW314&lt;3,-5,0)+IF(AND($B$2&gt;0,$E314&lt;20),$B$2*25,0)</f>
        <v>28.413292259437135</v>
      </c>
      <c r="BA314" s="49">
        <f>STANDARDIZE(AZ314,AVERAGE($AZ$5:$AZ$570),STDEVP($AZ$5:$AZ$570))</f>
        <v>-0.39514992000313831</v>
      </c>
      <c r="BB314" s="47" t="str">
        <f>IF(OR(AND(AQ314&gt;7,AX314&gt;1),AND(AQ314&gt;4,AW314&gt;2)),"SP","RP")</f>
        <v>SP</v>
      </c>
      <c r="BC314" s="47"/>
      <c r="BD314" s="47"/>
      <c r="BE314" s="47"/>
      <c r="BF314" s="47" t="str">
        <f>IF(AVERAGE($O314:$Q314)&gt;=6,"Likely",IF(AVERAGE($O314:$Q314)&gt;=4,"Possible","Unlikely"))</f>
        <v>Unlikely</v>
      </c>
      <c r="BG314" s="47"/>
      <c r="BH314" s="47" t="str">
        <f>INDEX(Table5[[#All],[Ovr]],MATCH(Table3[[#This Row],[PID]],Table5[[#All],[PID]],0))</f>
        <v/>
      </c>
      <c r="BI314" s="47" t="str">
        <f>INDEX(Table5[[#All],[Rnd]],MATCH(Table3[[#This Row],[PID]],Table5[[#All],[PID]],0))</f>
        <v/>
      </c>
      <c r="BJ314" s="47" t="str">
        <f>INDEX(Table5[[#All],[Pick]],MATCH(Table3[[#This Row],[PID]],Table5[[#All],[PID]],0))</f>
        <v/>
      </c>
      <c r="BK314" s="47" t="str">
        <f>INDEX(Table5[[#All],[Team]],MATCH(Table3[[#This Row],[PID]],Table5[[#All],[PID]],0))</f>
        <v/>
      </c>
      <c r="BL3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5" spans="1:64" ht="15" customHeight="1" x14ac:dyDescent="0.25">
      <c r="A315" s="42">
        <v>8233</v>
      </c>
      <c r="B315" s="42" t="s">
        <v>430</v>
      </c>
      <c r="C315" s="42" t="s">
        <v>139</v>
      </c>
      <c r="D315" s="42" t="s">
        <v>671</v>
      </c>
      <c r="E315" s="42">
        <v>18</v>
      </c>
      <c r="F315" s="42" t="s">
        <v>62</v>
      </c>
      <c r="G315" s="42" t="s">
        <v>42</v>
      </c>
      <c r="H315" s="43" t="s">
        <v>721</v>
      </c>
      <c r="I315" s="44" t="s">
        <v>43</v>
      </c>
      <c r="J315" s="42" t="s">
        <v>43</v>
      </c>
      <c r="K315" s="43" t="s">
        <v>43</v>
      </c>
      <c r="L315" s="42">
        <v>3</v>
      </c>
      <c r="M315" s="42">
        <v>2</v>
      </c>
      <c r="N315" s="43">
        <v>1</v>
      </c>
      <c r="O315" s="42">
        <v>4</v>
      </c>
      <c r="P315" s="42">
        <v>2</v>
      </c>
      <c r="Q315" s="43">
        <v>2</v>
      </c>
      <c r="R315" s="42">
        <v>4</v>
      </c>
      <c r="S315" s="42">
        <v>5</v>
      </c>
      <c r="T315" s="42">
        <v>1</v>
      </c>
      <c r="U315" s="42">
        <v>4</v>
      </c>
      <c r="V315" s="42" t="s">
        <v>45</v>
      </c>
      <c r="W315" s="42" t="s">
        <v>45</v>
      </c>
      <c r="X315" s="42" t="s">
        <v>45</v>
      </c>
      <c r="Y315" s="42" t="s">
        <v>45</v>
      </c>
      <c r="Z315" s="42" t="s">
        <v>45</v>
      </c>
      <c r="AA315" s="42" t="s">
        <v>45</v>
      </c>
      <c r="AB315" s="42" t="s">
        <v>45</v>
      </c>
      <c r="AC315" s="42" t="s">
        <v>45</v>
      </c>
      <c r="AD315" s="42">
        <v>3</v>
      </c>
      <c r="AE315" s="42">
        <v>4</v>
      </c>
      <c r="AF315" s="42" t="s">
        <v>45</v>
      </c>
      <c r="AG315" s="42" t="s">
        <v>45</v>
      </c>
      <c r="AH315" s="42" t="s">
        <v>45</v>
      </c>
      <c r="AI315" s="42" t="s">
        <v>45</v>
      </c>
      <c r="AJ315" s="42" t="s">
        <v>45</v>
      </c>
      <c r="AK315" s="42" t="s">
        <v>45</v>
      </c>
      <c r="AL315" s="42" t="s">
        <v>45</v>
      </c>
      <c r="AM315" s="42" t="s">
        <v>45</v>
      </c>
      <c r="AN315" s="42" t="s">
        <v>45</v>
      </c>
      <c r="AO315" s="43" t="s">
        <v>45</v>
      </c>
      <c r="AP315" s="42" t="s">
        <v>56</v>
      </c>
      <c r="AQ315" s="42">
        <v>10</v>
      </c>
      <c r="AR315" s="50" t="s">
        <v>353</v>
      </c>
      <c r="AS315" s="45" t="s">
        <v>606</v>
      </c>
      <c r="AT315" s="45" t="s">
        <v>47</v>
      </c>
      <c r="AU315" s="46">
        <f>($O$3*(L315-$O$1)/$O$2+$P$3*(M315-$P$1)/$P$2+$Q$3*(N315-$P$1)/$Q$2)/SUM($O$3:$Q$3)</f>
        <v>-2.1166698725191955</v>
      </c>
      <c r="AV315" s="46">
        <f>($O$3*(O315-$O$1)/$O$2+$P$3*(P315-$P$1)/$P$2+$Q$3*(Q315-$Q$1)/$Q$2)/SUM($O$3:$Q$3)</f>
        <v>-1.23416323121884</v>
      </c>
      <c r="AW315" s="47">
        <f>COUNT(R315:AO315)/2</f>
        <v>3</v>
      </c>
      <c r="AX315" s="47">
        <f>IF(AND(S315&lt;&gt;"-",S315&gt;5),1,0)+IF(AND(U315&lt;&gt;"-",U315&gt;5),1,0)+IF(AND(W315&lt;&gt;"-",W315&gt;5),1,0)+IF(AND(Y315&lt;&gt;"-",Y315&gt;5),1,0)+IF(AND(AA315&lt;&gt;"-",AA315&gt;5),1,0)+IF(AND(AC315&lt;&gt;"-",AC315&gt;5),1,0)+IF(AND(AE315&lt;&gt;"-",AE315&gt;5),1,0)+IF(AND(AG315&lt;&gt;"-",AG315&gt;5),1,0)+IF(AND(AI315&lt;&gt;"-",AI315&gt;5),1,0)+IF(AND(AK315&lt;&gt;"-",AK315&gt;5),1,0)+IF(AND(AM315&lt;&gt;"-",AM315&gt;5),1,0)+IF(AND(AO315&lt;&gt;"-",AO315&gt;5),1,0)</f>
        <v>0</v>
      </c>
      <c r="AY315" s="48">
        <f>VLOOKUP(AP315,COND!$A$10:$B$32,2,FALSE)</f>
        <v>1</v>
      </c>
      <c r="AZ315" s="46">
        <f>($AU$3*AU315+$AV$3*AV315+$AW$3*AW315+$AX$3*AX315)*AY315*IF(AQ315&lt;5,0.95,IF(AQ315&lt;7,0.975,1))+$I$3*VLOOKUP(I315,COND!$A$2:$E$7,4,FALSE)+$J$3*VLOOKUP(J315,COND!$A$2:$E$7,2,FALSE)+$K$3*VLOOKUP(K315,COND!$A$2:$E$7,3,FALSE)+IF(BB315="SP",$BB$3,0)+IF($AW315&lt;3,-5,0)+IF(AND($B$2&gt;0,$E315&lt;20),$B$2*25,0)</f>
        <v>28.393401401119359</v>
      </c>
      <c r="BA315" s="49">
        <f>STANDARDIZE(AZ315,AVERAGE($AZ$5:$AZ$570),STDEVP($AZ$5:$AZ$570))</f>
        <v>-0.3969739967261936</v>
      </c>
      <c r="BB315" s="47" t="str">
        <f>IF(OR(AND(AQ315&gt;7,AX315&gt;1),AND(AQ315&gt;4,AW315&gt;2)),"SP","RP")</f>
        <v>SP</v>
      </c>
      <c r="BC315" s="47"/>
      <c r="BD315" s="47"/>
      <c r="BE315" s="47"/>
      <c r="BF315" s="47" t="str">
        <f>IF(AVERAGE($O315:$Q315)&gt;=6,"Likely",IF(AVERAGE($O315:$Q315)&gt;=4,"Possible","Unlikely"))</f>
        <v>Unlikely</v>
      </c>
      <c r="BG315" s="47"/>
      <c r="BH315" s="47" t="str">
        <f>INDEX(Table5[[#All],[Ovr]],MATCH(Table3[[#This Row],[PID]],Table5[[#All],[PID]],0))</f>
        <v/>
      </c>
      <c r="BI315" s="47" t="str">
        <f>INDEX(Table5[[#All],[Rnd]],MATCH(Table3[[#This Row],[PID]],Table5[[#All],[PID]],0))</f>
        <v/>
      </c>
      <c r="BJ315" s="47" t="str">
        <f>INDEX(Table5[[#All],[Pick]],MATCH(Table3[[#This Row],[PID]],Table5[[#All],[PID]],0))</f>
        <v/>
      </c>
      <c r="BK315" s="47" t="str">
        <f>INDEX(Table5[[#All],[Team]],MATCH(Table3[[#This Row],[PID]],Table5[[#All],[PID]],0))</f>
        <v/>
      </c>
      <c r="BL3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6" spans="1:64" ht="15" customHeight="1" x14ac:dyDescent="0.25">
      <c r="A316" s="42">
        <v>5884</v>
      </c>
      <c r="B316" s="42" t="s">
        <v>430</v>
      </c>
      <c r="C316" s="42" t="s">
        <v>1747</v>
      </c>
      <c r="D316" s="42" t="s">
        <v>436</v>
      </c>
      <c r="E316" s="42">
        <v>18</v>
      </c>
      <c r="F316" s="42" t="s">
        <v>42</v>
      </c>
      <c r="G316" s="42" t="s">
        <v>42</v>
      </c>
      <c r="H316" s="43" t="s">
        <v>721</v>
      </c>
      <c r="I316" s="44" t="s">
        <v>44</v>
      </c>
      <c r="J316" s="42" t="s">
        <v>43</v>
      </c>
      <c r="K316" s="43" t="s">
        <v>43</v>
      </c>
      <c r="L316" s="42">
        <v>1</v>
      </c>
      <c r="M316" s="42">
        <v>2</v>
      </c>
      <c r="N316" s="43">
        <v>1</v>
      </c>
      <c r="O316" s="42">
        <v>3</v>
      </c>
      <c r="P316" s="42">
        <v>2</v>
      </c>
      <c r="Q316" s="43">
        <v>2</v>
      </c>
      <c r="R316" s="42">
        <v>2</v>
      </c>
      <c r="S316" s="42">
        <v>3</v>
      </c>
      <c r="T316" s="42">
        <v>1</v>
      </c>
      <c r="U316" s="42">
        <v>4</v>
      </c>
      <c r="V316" s="42">
        <v>1</v>
      </c>
      <c r="W316" s="42">
        <v>2</v>
      </c>
      <c r="X316" s="42">
        <v>1</v>
      </c>
      <c r="Y316" s="42">
        <v>4</v>
      </c>
      <c r="Z316" s="42" t="s">
        <v>45</v>
      </c>
      <c r="AA316" s="42" t="s">
        <v>45</v>
      </c>
      <c r="AB316" s="42">
        <v>2</v>
      </c>
      <c r="AC316" s="42">
        <v>4</v>
      </c>
      <c r="AD316" s="42" t="s">
        <v>45</v>
      </c>
      <c r="AE316" s="42" t="s">
        <v>45</v>
      </c>
      <c r="AF316" s="42">
        <v>2</v>
      </c>
      <c r="AG316" s="42">
        <v>3</v>
      </c>
      <c r="AH316" s="42" t="s">
        <v>45</v>
      </c>
      <c r="AI316" s="42" t="s">
        <v>45</v>
      </c>
      <c r="AJ316" s="42" t="s">
        <v>45</v>
      </c>
      <c r="AK316" s="42" t="s">
        <v>45</v>
      </c>
      <c r="AL316" s="42" t="s">
        <v>45</v>
      </c>
      <c r="AM316" s="42" t="s">
        <v>45</v>
      </c>
      <c r="AN316" s="42" t="s">
        <v>45</v>
      </c>
      <c r="AO316" s="43" t="s">
        <v>45</v>
      </c>
      <c r="AP316" s="42" t="s">
        <v>67</v>
      </c>
      <c r="AQ316" s="42">
        <v>9</v>
      </c>
      <c r="AR316" s="50" t="s">
        <v>353</v>
      </c>
      <c r="AS316" s="45" t="s">
        <v>718</v>
      </c>
      <c r="AT316" s="45" t="s">
        <v>705</v>
      </c>
      <c r="AU316" s="46">
        <f>($O$3*(L316-$O$1)/$O$2+$P$3*(M316-$P$1)/$P$2+$Q$3*(N316-$P$1)/$Q$2)/SUM($O$3:$Q$3)</f>
        <v>-2.5060525215375429</v>
      </c>
      <c r="AV316" s="46">
        <f>($O$3*(O316-$O$1)/$O$2+$P$3*(P316-$P$1)/$P$2+$Q$3*(Q316-$Q$1)/$Q$2)/SUM($O$3:$Q$3)</f>
        <v>-1.4288545557280135</v>
      </c>
      <c r="AW316" s="47">
        <f>COUNT(R316:AO316)/2</f>
        <v>6</v>
      </c>
      <c r="AX316" s="47">
        <f>IF(AND(S316&lt;&gt;"-",S316&gt;5),1,0)+IF(AND(U316&lt;&gt;"-",U316&gt;5),1,0)+IF(AND(W316&lt;&gt;"-",W316&gt;5),1,0)+IF(AND(Y316&lt;&gt;"-",Y316&gt;5),1,0)+IF(AND(AA316&lt;&gt;"-",AA316&gt;5),1,0)+IF(AND(AC316&lt;&gt;"-",AC316&gt;5),1,0)+IF(AND(AE316&lt;&gt;"-",AE316&gt;5),1,0)+IF(AND(AG316&lt;&gt;"-",AG316&gt;5),1,0)+IF(AND(AI316&lt;&gt;"-",AI316&gt;5),1,0)+IF(AND(AK316&lt;&gt;"-",AK316&gt;5),1,0)+IF(AND(AM316&lt;&gt;"-",AM316&gt;5),1,0)+IF(AND(AO316&lt;&gt;"-",AO316&gt;5),1,0)</f>
        <v>0</v>
      </c>
      <c r="AY316" s="48">
        <f>VLOOKUP(AP316,COND!$A$10:$B$32,2,FALSE)</f>
        <v>0.9</v>
      </c>
      <c r="AZ316" s="46">
        <f>($AU$3*AU316+$AV$3*AV316+$AW$3*AW316+$AX$3*AX316)*AY316*IF(AQ316&lt;5,0.95,IF(AQ316&lt;7,0.975,1))+$I$3*VLOOKUP(I316,COND!$A$2:$E$7,4,FALSE)+$J$3*VLOOKUP(J316,COND!$A$2:$E$7,2,FALSE)+$K$3*VLOOKUP(K316,COND!$A$2:$E$7,3,FALSE)+IF(BB316="SP",$BB$3,0)+IF($AW316&lt;3,-5,0)+IF(AND($B$2&gt;0,$E316&lt;20),$B$2*25,0)</f>
        <v>28.379528543018999</v>
      </c>
      <c r="BA316" s="49">
        <f>STANDARDIZE(AZ316,AVERAGE($AZ$5:$AZ$570),STDEVP($AZ$5:$AZ$570))</f>
        <v>-0.39824619710783832</v>
      </c>
      <c r="BB316" s="47" t="str">
        <f>IF(OR(AND(AQ316&gt;7,AX316&gt;1),AND(AQ316&gt;4,AW316&gt;2)),"SP","RP")</f>
        <v>SP</v>
      </c>
      <c r="BC316" s="47"/>
      <c r="BD316" s="47"/>
      <c r="BE316" s="47"/>
      <c r="BF316" s="47" t="str">
        <f>IF(AVERAGE($O316:$Q316)&gt;=6,"Likely",IF(AVERAGE($O316:$Q316)&gt;=4,"Possible","Unlikely"))</f>
        <v>Unlikely</v>
      </c>
      <c r="BG316" s="47"/>
      <c r="BH316" s="47" t="str">
        <f>INDEX(Table5[[#All],[Ovr]],MATCH(Table3[[#This Row],[PID]],Table5[[#All],[PID]],0))</f>
        <v/>
      </c>
      <c r="BI316" s="47" t="str">
        <f>INDEX(Table5[[#All],[Rnd]],MATCH(Table3[[#This Row],[PID]],Table5[[#All],[PID]],0))</f>
        <v/>
      </c>
      <c r="BJ316" s="47" t="str">
        <f>INDEX(Table5[[#All],[Pick]],MATCH(Table3[[#This Row],[PID]],Table5[[#All],[PID]],0))</f>
        <v/>
      </c>
      <c r="BK316" s="47" t="str">
        <f>INDEX(Table5[[#All],[Team]],MATCH(Table3[[#This Row],[PID]],Table5[[#All],[PID]],0))</f>
        <v/>
      </c>
      <c r="BL3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7" spans="1:64" ht="15" customHeight="1" x14ac:dyDescent="0.25">
      <c r="A317" s="42">
        <v>17607</v>
      </c>
      <c r="B317" s="42" t="s">
        <v>430</v>
      </c>
      <c r="C317" s="42" t="s">
        <v>1364</v>
      </c>
      <c r="D317" s="42" t="s">
        <v>959</v>
      </c>
      <c r="E317" s="42">
        <v>18</v>
      </c>
      <c r="F317" s="42" t="s">
        <v>53</v>
      </c>
      <c r="G317" s="42" t="s">
        <v>53</v>
      </c>
      <c r="H317" s="43" t="s">
        <v>721</v>
      </c>
      <c r="I317" s="44" t="s">
        <v>43</v>
      </c>
      <c r="J317" s="42" t="s">
        <v>43</v>
      </c>
      <c r="K317" s="43" t="s">
        <v>43</v>
      </c>
      <c r="L317" s="42">
        <v>2</v>
      </c>
      <c r="M317" s="42">
        <v>2</v>
      </c>
      <c r="N317" s="43">
        <v>1</v>
      </c>
      <c r="O317" s="42">
        <v>4</v>
      </c>
      <c r="P317" s="42">
        <v>2</v>
      </c>
      <c r="Q317" s="43">
        <v>2</v>
      </c>
      <c r="R317" s="42">
        <v>3</v>
      </c>
      <c r="S317" s="42">
        <v>5</v>
      </c>
      <c r="T317" s="42">
        <v>1</v>
      </c>
      <c r="U317" s="42">
        <v>5</v>
      </c>
      <c r="V317" s="42" t="s">
        <v>45</v>
      </c>
      <c r="W317" s="42" t="s">
        <v>45</v>
      </c>
      <c r="X317" s="42">
        <v>2</v>
      </c>
      <c r="Y317" s="42">
        <v>4</v>
      </c>
      <c r="Z317" s="42" t="s">
        <v>45</v>
      </c>
      <c r="AA317" s="42" t="s">
        <v>45</v>
      </c>
      <c r="AB317" s="42" t="s">
        <v>45</v>
      </c>
      <c r="AC317" s="42" t="s">
        <v>45</v>
      </c>
      <c r="AD317" s="42" t="s">
        <v>45</v>
      </c>
      <c r="AE317" s="42" t="s">
        <v>45</v>
      </c>
      <c r="AF317" s="42" t="s">
        <v>45</v>
      </c>
      <c r="AG317" s="42" t="s">
        <v>45</v>
      </c>
      <c r="AH317" s="42" t="s">
        <v>45</v>
      </c>
      <c r="AI317" s="42" t="s">
        <v>45</v>
      </c>
      <c r="AJ317" s="42" t="s">
        <v>45</v>
      </c>
      <c r="AK317" s="42" t="s">
        <v>45</v>
      </c>
      <c r="AL317" s="42" t="s">
        <v>45</v>
      </c>
      <c r="AM317" s="42" t="s">
        <v>45</v>
      </c>
      <c r="AN317" s="42" t="s">
        <v>45</v>
      </c>
      <c r="AO317" s="43" t="s">
        <v>45</v>
      </c>
      <c r="AP317" s="42" t="s">
        <v>355</v>
      </c>
      <c r="AQ317" s="42">
        <v>7</v>
      </c>
      <c r="AR317" s="50" t="s">
        <v>353</v>
      </c>
      <c r="AS317" s="45" t="s">
        <v>718</v>
      </c>
      <c r="AT317" s="45" t="s">
        <v>47</v>
      </c>
      <c r="AU317" s="46">
        <f>($O$3*(L317-$O$1)/$O$2+$P$3*(M317-$P$1)/$P$2+$Q$3*(N317-$P$1)/$Q$2)/SUM($O$3:$Q$3)</f>
        <v>-2.311361197028369</v>
      </c>
      <c r="AV317" s="46">
        <f>($O$3*(O317-$O$1)/$O$2+$P$3*(P317-$P$1)/$P$2+$Q$3*(Q317-$Q$1)/$Q$2)/SUM($O$3:$Q$3)</f>
        <v>-1.23416323121884</v>
      </c>
      <c r="AW317" s="47">
        <f>COUNT(R317:AO317)/2</f>
        <v>3</v>
      </c>
      <c r="AX317" s="47">
        <f>IF(AND(S317&lt;&gt;"-",S317&gt;5),1,0)+IF(AND(U317&lt;&gt;"-",U317&gt;5),1,0)+IF(AND(W317&lt;&gt;"-",W317&gt;5),1,0)+IF(AND(Y317&lt;&gt;"-",Y317&gt;5),1,0)+IF(AND(AA317&lt;&gt;"-",AA317&gt;5),1,0)+IF(AND(AC317&lt;&gt;"-",AC317&gt;5),1,0)+IF(AND(AE317&lt;&gt;"-",AE317&gt;5),1,0)+IF(AND(AG317&lt;&gt;"-",AG317&gt;5),1,0)+IF(AND(AI317&lt;&gt;"-",AI317&gt;5),1,0)+IF(AND(AK317&lt;&gt;"-",AK317&gt;5),1,0)+IF(AND(AM317&lt;&gt;"-",AM317&gt;5),1,0)+IF(AND(AO317&lt;&gt;"-",AO317&gt;5),1,0)</f>
        <v>0</v>
      </c>
      <c r="AY317" s="48">
        <f>VLOOKUP(AP317,COND!$A$10:$B$32,2,FALSE)</f>
        <v>1</v>
      </c>
      <c r="AZ317" s="46">
        <f>($AU$3*AU317+$AV$3*AV317+$AW$3*AW317+$AX$3*AX317)*AY317*IF(AQ317&lt;5,0.95,IF(AQ317&lt;7,0.975,1))+$I$3*VLOOKUP(I317,COND!$A$2:$E$7,4,FALSE)+$J$3*VLOOKUP(J317,COND!$A$2:$E$7,2,FALSE)+$K$3*VLOOKUP(K317,COND!$A$2:$E$7,3,FALSE)+IF(BB317="SP",$BB$3,0)+IF($AW317&lt;3,-5,0)+IF(AND($B$2&gt;0,$E317&lt;20),$B$2*25,0)</f>
        <v>28.354463136217525</v>
      </c>
      <c r="BA317" s="49">
        <f>STANDARDIZE(AZ317,AVERAGE($AZ$5:$AZ$570),STDEVP($AZ$5:$AZ$570))</f>
        <v>-0.40054480204333376</v>
      </c>
      <c r="BB317" s="47" t="str">
        <f>IF(OR(AND(AQ317&gt;7,AX317&gt;1),AND(AQ317&gt;4,AW317&gt;2)),"SP","RP")</f>
        <v>SP</v>
      </c>
      <c r="BC317" s="47"/>
      <c r="BD317" s="47"/>
      <c r="BE317" s="47"/>
      <c r="BF317" s="47" t="str">
        <f>IF(AVERAGE($O317:$Q317)&gt;=6,"Likely",IF(AVERAGE($O317:$Q317)&gt;=4,"Possible","Unlikely"))</f>
        <v>Unlikely</v>
      </c>
      <c r="BG317" s="47"/>
      <c r="BH317" s="47" t="str">
        <f>INDEX(Table5[[#All],[Ovr]],MATCH(Table3[[#This Row],[PID]],Table5[[#All],[PID]],0))</f>
        <v/>
      </c>
      <c r="BI317" s="47" t="str">
        <f>INDEX(Table5[[#All],[Rnd]],MATCH(Table3[[#This Row],[PID]],Table5[[#All],[PID]],0))</f>
        <v/>
      </c>
      <c r="BJ317" s="47" t="str">
        <f>INDEX(Table5[[#All],[Pick]],MATCH(Table3[[#This Row],[PID]],Table5[[#All],[PID]],0))</f>
        <v/>
      </c>
      <c r="BK317" s="47" t="str">
        <f>INDEX(Table5[[#All],[Team]],MATCH(Table3[[#This Row],[PID]],Table5[[#All],[PID]],0))</f>
        <v/>
      </c>
      <c r="BL3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8" spans="1:64" ht="15" customHeight="1" x14ac:dyDescent="0.25">
      <c r="A318" s="42">
        <v>6492</v>
      </c>
      <c r="B318" s="42" t="s">
        <v>430</v>
      </c>
      <c r="C318" s="42" t="s">
        <v>779</v>
      </c>
      <c r="D318" s="42" t="s">
        <v>877</v>
      </c>
      <c r="E318" s="42">
        <v>18</v>
      </c>
      <c r="F318" s="42" t="s">
        <v>42</v>
      </c>
      <c r="G318" s="42" t="s">
        <v>42</v>
      </c>
      <c r="H318" s="43" t="s">
        <v>721</v>
      </c>
      <c r="I318" s="44" t="s">
        <v>43</v>
      </c>
      <c r="J318" s="42" t="s">
        <v>47</v>
      </c>
      <c r="K318" s="43" t="s">
        <v>43</v>
      </c>
      <c r="L318" s="42">
        <v>1</v>
      </c>
      <c r="M318" s="42">
        <v>1</v>
      </c>
      <c r="N318" s="43">
        <v>1</v>
      </c>
      <c r="O318" s="42">
        <v>4</v>
      </c>
      <c r="P318" s="42">
        <v>1</v>
      </c>
      <c r="Q318" s="43">
        <v>2</v>
      </c>
      <c r="R318" s="42">
        <v>2</v>
      </c>
      <c r="S318" s="42">
        <v>4</v>
      </c>
      <c r="T318" s="42">
        <v>1</v>
      </c>
      <c r="U318" s="42">
        <v>5</v>
      </c>
      <c r="V318" s="42">
        <v>1</v>
      </c>
      <c r="W318" s="42">
        <v>2</v>
      </c>
      <c r="X318" s="42" t="s">
        <v>45</v>
      </c>
      <c r="Y318" s="42" t="s">
        <v>45</v>
      </c>
      <c r="Z318" s="42" t="s">
        <v>45</v>
      </c>
      <c r="AA318" s="42" t="s">
        <v>45</v>
      </c>
      <c r="AB318" s="42">
        <v>2</v>
      </c>
      <c r="AC318" s="42">
        <v>4</v>
      </c>
      <c r="AD318" s="42" t="s">
        <v>45</v>
      </c>
      <c r="AE318" s="42" t="s">
        <v>45</v>
      </c>
      <c r="AF318" s="42">
        <v>2</v>
      </c>
      <c r="AG318" s="42">
        <v>4</v>
      </c>
      <c r="AH318" s="42" t="s">
        <v>45</v>
      </c>
      <c r="AI318" s="42" t="s">
        <v>45</v>
      </c>
      <c r="AJ318" s="42" t="s">
        <v>45</v>
      </c>
      <c r="AK318" s="42" t="s">
        <v>45</v>
      </c>
      <c r="AL318" s="42" t="s">
        <v>45</v>
      </c>
      <c r="AM318" s="42" t="s">
        <v>45</v>
      </c>
      <c r="AN318" s="42" t="s">
        <v>45</v>
      </c>
      <c r="AO318" s="43" t="s">
        <v>45</v>
      </c>
      <c r="AP318" s="42" t="s">
        <v>68</v>
      </c>
      <c r="AQ318" s="42">
        <v>5</v>
      </c>
      <c r="AR318" s="50" t="s">
        <v>14</v>
      </c>
      <c r="AS318" s="45" t="s">
        <v>718</v>
      </c>
      <c r="AT318" s="45" t="s">
        <v>47</v>
      </c>
      <c r="AU318" s="46">
        <f>($O$3*(L318-$O$1)/$O$2+$P$3*(M318-$P$1)/$P$2+$Q$3*(N318-$P$1)/$Q$2)/SUM($O$3:$Q$3)</f>
        <v>-2.7014842379675978</v>
      </c>
      <c r="AV318" s="46">
        <f>($O$3*(O318-$O$1)/$O$2+$P$3*(P318-$P$1)/$P$2+$Q$3*(Q318-$Q$1)/$Q$2)/SUM($O$3:$Q$3)</f>
        <v>-1.4295949476488956</v>
      </c>
      <c r="AW318" s="47">
        <f>COUNT(R318:AO318)/2</f>
        <v>5</v>
      </c>
      <c r="AX318" s="47">
        <f>IF(AND(S318&lt;&gt;"-",S318&gt;5),1,0)+IF(AND(U318&lt;&gt;"-",U318&gt;5),1,0)+IF(AND(W318&lt;&gt;"-",W318&gt;5),1,0)+IF(AND(Y318&lt;&gt;"-",Y318&gt;5),1,0)+IF(AND(AA318&lt;&gt;"-",AA318&gt;5),1,0)+IF(AND(AC318&lt;&gt;"-",AC318&gt;5),1,0)+IF(AND(AE318&lt;&gt;"-",AE318&gt;5),1,0)+IF(AND(AG318&lt;&gt;"-",AG318&gt;5),1,0)+IF(AND(AI318&lt;&gt;"-",AI318&gt;5),1,0)+IF(AND(AK318&lt;&gt;"-",AK318&gt;5),1,0)+IF(AND(AM318&lt;&gt;"-",AM318&gt;5),1,0)+IF(AND(AO318&lt;&gt;"-",AO318&gt;5),1,0)</f>
        <v>0</v>
      </c>
      <c r="AY318" s="48">
        <f>VLOOKUP(AP318,COND!$A$10:$B$32,2,FALSE)</f>
        <v>0.95</v>
      </c>
      <c r="AZ318" s="46">
        <f>($AU$3*AU318+$AV$3*AV318+$AW$3*AW318+$AX$3*AX318)*AY318*IF(AQ318&lt;5,0.95,IF(AQ318&lt;7,0.975,1))+$I$3*VLOOKUP(I318,COND!$A$2:$E$7,4,FALSE)+$J$3*VLOOKUP(J318,COND!$A$2:$E$7,2,FALSE)+$K$3*VLOOKUP(K318,COND!$A$2:$E$7,3,FALSE)+IF(BB318="SP",$BB$3,0)+IF($AW318&lt;3,-5,0)+IF(AND($B$2&gt;0,$E318&lt;20),$B$2*25,0)</f>
        <v>27.631928639720712</v>
      </c>
      <c r="BA318" s="49">
        <f>STANDARDIZE(AZ318,AVERAGE($AZ$5:$AZ$570),STDEVP($AZ$5:$AZ$570))</f>
        <v>-0.46680430354943397</v>
      </c>
      <c r="BB318" s="47" t="str">
        <f>IF(OR(AND(AQ318&gt;7,AX318&gt;1),AND(AQ318&gt;4,AW318&gt;2)),"SP","RP")</f>
        <v>SP</v>
      </c>
      <c r="BC318" s="47"/>
      <c r="BD318" s="47"/>
      <c r="BE318" s="47"/>
      <c r="BF318" s="47" t="str">
        <f>IF(AVERAGE($O318:$Q318)&gt;=6,"Likely",IF(AVERAGE($O318:$Q318)&gt;=4,"Possible","Unlikely"))</f>
        <v>Unlikely</v>
      </c>
      <c r="BG318" s="47"/>
      <c r="BH318" s="47" t="str">
        <f>INDEX(Table5[[#All],[Ovr]],MATCH(Table3[[#This Row],[PID]],Table5[[#All],[PID]],0))</f>
        <v/>
      </c>
      <c r="BI318" s="47" t="str">
        <f>INDEX(Table5[[#All],[Rnd]],MATCH(Table3[[#This Row],[PID]],Table5[[#All],[PID]],0))</f>
        <v/>
      </c>
      <c r="BJ318" s="47" t="str">
        <f>INDEX(Table5[[#All],[Pick]],MATCH(Table3[[#This Row],[PID]],Table5[[#All],[PID]],0))</f>
        <v/>
      </c>
      <c r="BK318" s="47" t="str">
        <f>INDEX(Table5[[#All],[Team]],MATCH(Table3[[#This Row],[PID]],Table5[[#All],[PID]],0))</f>
        <v/>
      </c>
      <c r="BL3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9" spans="1:64" ht="15" customHeight="1" x14ac:dyDescent="0.25">
      <c r="A319" s="42">
        <v>11717</v>
      </c>
      <c r="B319" s="42" t="s">
        <v>430</v>
      </c>
      <c r="C319" s="42" t="s">
        <v>920</v>
      </c>
      <c r="D319" s="42" t="s">
        <v>1494</v>
      </c>
      <c r="E319" s="42">
        <v>21</v>
      </c>
      <c r="F319" s="42" t="s">
        <v>42</v>
      </c>
      <c r="G319" s="42" t="s">
        <v>42</v>
      </c>
      <c r="H319" s="43" t="s">
        <v>721</v>
      </c>
      <c r="I319" s="44" t="s">
        <v>43</v>
      </c>
      <c r="J319" s="42" t="s">
        <v>44</v>
      </c>
      <c r="K319" s="43" t="s">
        <v>43</v>
      </c>
      <c r="L319" s="42">
        <v>3</v>
      </c>
      <c r="M319" s="42">
        <v>1</v>
      </c>
      <c r="N319" s="43">
        <v>1</v>
      </c>
      <c r="O319" s="42">
        <v>5</v>
      </c>
      <c r="P319" s="42">
        <v>2</v>
      </c>
      <c r="Q319" s="43">
        <v>2</v>
      </c>
      <c r="R319" s="42">
        <v>5</v>
      </c>
      <c r="S319" s="42">
        <v>6</v>
      </c>
      <c r="T319" s="42">
        <v>2</v>
      </c>
      <c r="U319" s="42">
        <v>7</v>
      </c>
      <c r="V319" s="42" t="s">
        <v>45</v>
      </c>
      <c r="W319" s="42" t="s">
        <v>45</v>
      </c>
      <c r="X319" s="42">
        <v>3</v>
      </c>
      <c r="Y319" s="42">
        <v>5</v>
      </c>
      <c r="Z319" s="42" t="s">
        <v>45</v>
      </c>
      <c r="AA319" s="42" t="s">
        <v>45</v>
      </c>
      <c r="AB319" s="42" t="s">
        <v>45</v>
      </c>
      <c r="AC319" s="42" t="s">
        <v>45</v>
      </c>
      <c r="AD319" s="42" t="s">
        <v>45</v>
      </c>
      <c r="AE319" s="42" t="s">
        <v>45</v>
      </c>
      <c r="AF319" s="42" t="s">
        <v>45</v>
      </c>
      <c r="AG319" s="42" t="s">
        <v>45</v>
      </c>
      <c r="AH319" s="42" t="s">
        <v>45</v>
      </c>
      <c r="AI319" s="42" t="s">
        <v>45</v>
      </c>
      <c r="AJ319" s="42" t="s">
        <v>45</v>
      </c>
      <c r="AK319" s="42" t="s">
        <v>45</v>
      </c>
      <c r="AL319" s="42" t="s">
        <v>45</v>
      </c>
      <c r="AM319" s="42" t="s">
        <v>45</v>
      </c>
      <c r="AN319" s="42" t="s">
        <v>45</v>
      </c>
      <c r="AO319" s="43" t="s">
        <v>45</v>
      </c>
      <c r="AP319" s="42" t="s">
        <v>54</v>
      </c>
      <c r="AQ319" s="42">
        <v>7</v>
      </c>
      <c r="AR319" s="50" t="s">
        <v>14</v>
      </c>
      <c r="AS319" s="45" t="s">
        <v>45</v>
      </c>
      <c r="AT319" s="45" t="s">
        <v>47</v>
      </c>
      <c r="AU319" s="46">
        <f>($O$3*(L319-$O$1)/$O$2+$P$3*(M319-$P$1)/$P$2+$Q$3*(N319-$P$1)/$Q$2)/SUM($O$3:$Q$3)</f>
        <v>-2.3121015889492513</v>
      </c>
      <c r="AV319" s="46">
        <f>($O$3*(O319-$O$1)/$O$2+$P$3*(P319-$P$1)/$P$2+$Q$3*(Q319-$Q$1)/$Q$2)/SUM($O$3:$Q$3)</f>
        <v>-1.0394719067096667</v>
      </c>
      <c r="AW319" s="47">
        <f>COUNT(R319:AO319)/2</f>
        <v>3</v>
      </c>
      <c r="AX319" s="47">
        <f>IF(AND(S319&lt;&gt;"-",S319&gt;5),1,0)+IF(AND(U319&lt;&gt;"-",U319&gt;5),1,0)+IF(AND(W319&lt;&gt;"-",W319&gt;5),1,0)+IF(AND(Y319&lt;&gt;"-",Y319&gt;5),1,0)+IF(AND(AA319&lt;&gt;"-",AA319&gt;5),1,0)+IF(AND(AC319&lt;&gt;"-",AC319&gt;5),1,0)+IF(AND(AE319&lt;&gt;"-",AE319&gt;5),1,0)+IF(AND(AG319&lt;&gt;"-",AG319&gt;5),1,0)+IF(AND(AI319&lt;&gt;"-",AI319&gt;5),1,0)+IF(AND(AK319&lt;&gt;"-",AK319&gt;5),1,0)+IF(AND(AM319&lt;&gt;"-",AM319&gt;5),1,0)+IF(AND(AO319&lt;&gt;"-",AO319&gt;5),1,0)</f>
        <v>2</v>
      </c>
      <c r="AY319" s="48">
        <f>VLOOKUP(AP319,COND!$A$10:$B$32,2,FALSE)</f>
        <v>1.0249999999999999</v>
      </c>
      <c r="AZ319" s="46">
        <f>($AU$3*AU319+$AV$3*AV319+$AW$3*AW319+$AX$3*AX319)*AY319*IF(AQ319&lt;5,0.95,IF(AQ319&lt;7,0.975,1))+$I$3*VLOOKUP(I319,COND!$A$2:$E$7,4,FALSE)+$J$3*VLOOKUP(J319,COND!$A$2:$E$7,2,FALSE)+$K$3*VLOOKUP(K319,COND!$A$2:$E$7,3,FALSE)+IF(BB319="SP",$BB$3,0)+IF($AW319&lt;3,-5,0)+IF(AND($B$2&gt;0,$E319&lt;20),$B$2*25,0)</f>
        <v>29.01684508671724</v>
      </c>
      <c r="BA319" s="49">
        <f>STANDARDIZE(AZ319,AVERAGE($AZ$5:$AZ$570),STDEVP($AZ$5:$AZ$570))</f>
        <v>-0.33980154610255248</v>
      </c>
      <c r="BB319" s="47" t="str">
        <f>IF(OR(AND(AQ319&gt;7,AX319&gt;1),AND(AQ319&gt;4,AW319&gt;2)),"SP","RP")</f>
        <v>SP</v>
      </c>
      <c r="BC319" s="47"/>
      <c r="BD319" s="47"/>
      <c r="BE319" s="47"/>
      <c r="BF319" s="47" t="str">
        <f>IF(AVERAGE($O319:$Q319)&gt;=6,"Likely",IF(AVERAGE($O319:$Q319)&gt;=4,"Possible","Unlikely"))</f>
        <v>Unlikely</v>
      </c>
      <c r="BG319" s="47"/>
      <c r="BH319" s="47" t="str">
        <f>INDEX(Table5[[#All],[Ovr]],MATCH(Table3[[#This Row],[PID]],Table5[[#All],[PID]],0))</f>
        <v/>
      </c>
      <c r="BI319" s="47" t="str">
        <f>INDEX(Table5[[#All],[Rnd]],MATCH(Table3[[#This Row],[PID]],Table5[[#All],[PID]],0))</f>
        <v/>
      </c>
      <c r="BJ319" s="47" t="str">
        <f>INDEX(Table5[[#All],[Pick]],MATCH(Table3[[#This Row],[PID]],Table5[[#All],[PID]],0))</f>
        <v/>
      </c>
      <c r="BK319" s="47" t="str">
        <f>INDEX(Table5[[#All],[Team]],MATCH(Table3[[#This Row],[PID]],Table5[[#All],[PID]],0))</f>
        <v/>
      </c>
      <c r="BL3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0" spans="1:64" ht="15" customHeight="1" x14ac:dyDescent="0.25">
      <c r="A320" s="42">
        <v>11825</v>
      </c>
      <c r="B320" s="42" t="s">
        <v>24</v>
      </c>
      <c r="C320" s="42" t="s">
        <v>139</v>
      </c>
      <c r="D320" s="42" t="s">
        <v>878</v>
      </c>
      <c r="E320" s="42">
        <v>21</v>
      </c>
      <c r="F320" s="42" t="s">
        <v>42</v>
      </c>
      <c r="G320" s="42" t="s">
        <v>42</v>
      </c>
      <c r="H320" s="43" t="s">
        <v>721</v>
      </c>
      <c r="I320" s="44" t="s">
        <v>43</v>
      </c>
      <c r="J320" s="42" t="s">
        <v>43</v>
      </c>
      <c r="K320" s="43" t="s">
        <v>43</v>
      </c>
      <c r="L320" s="42">
        <v>1</v>
      </c>
      <c r="M320" s="42">
        <v>2</v>
      </c>
      <c r="N320" s="43">
        <v>2</v>
      </c>
      <c r="O320" s="42">
        <v>4</v>
      </c>
      <c r="P320" s="42">
        <v>2</v>
      </c>
      <c r="Q320" s="43">
        <v>3</v>
      </c>
      <c r="R320" s="42">
        <v>3</v>
      </c>
      <c r="S320" s="42">
        <v>5</v>
      </c>
      <c r="T320" s="42">
        <v>1</v>
      </c>
      <c r="U320" s="42">
        <v>5</v>
      </c>
      <c r="V320" s="42" t="s">
        <v>45</v>
      </c>
      <c r="W320" s="42" t="s">
        <v>45</v>
      </c>
      <c r="X320" s="42" t="s">
        <v>45</v>
      </c>
      <c r="Y320" s="42" t="s">
        <v>45</v>
      </c>
      <c r="Z320" s="42" t="s">
        <v>45</v>
      </c>
      <c r="AA320" s="42" t="s">
        <v>45</v>
      </c>
      <c r="AB320" s="42" t="s">
        <v>45</v>
      </c>
      <c r="AC320" s="42" t="s">
        <v>45</v>
      </c>
      <c r="AD320" s="42">
        <v>3</v>
      </c>
      <c r="AE320" s="42">
        <v>5</v>
      </c>
      <c r="AF320" s="42" t="s">
        <v>45</v>
      </c>
      <c r="AG320" s="42" t="s">
        <v>45</v>
      </c>
      <c r="AH320" s="42" t="s">
        <v>45</v>
      </c>
      <c r="AI320" s="42" t="s">
        <v>45</v>
      </c>
      <c r="AJ320" s="42" t="s">
        <v>45</v>
      </c>
      <c r="AK320" s="42" t="s">
        <v>45</v>
      </c>
      <c r="AL320" s="42" t="s">
        <v>45</v>
      </c>
      <c r="AM320" s="42" t="s">
        <v>45</v>
      </c>
      <c r="AN320" s="42" t="s">
        <v>45</v>
      </c>
      <c r="AO320" s="43" t="s">
        <v>45</v>
      </c>
      <c r="AP320" s="42" t="s">
        <v>355</v>
      </c>
      <c r="AQ320" s="42">
        <v>9</v>
      </c>
      <c r="AR320" s="50" t="s">
        <v>353</v>
      </c>
      <c r="AS320" s="45" t="s">
        <v>45</v>
      </c>
      <c r="AT320" s="45" t="s">
        <v>47</v>
      </c>
      <c r="AU320" s="46">
        <f>($O$3*(L320-$O$1)/$O$2+$P$3*(M320-$P$1)/$P$2+$Q$3*(N320-$P$1)/$Q$2)/SUM($O$3:$Q$3)</f>
        <v>-2.2637319554834323</v>
      </c>
      <c r="AV320" s="46">
        <f>($O$3*(O320-$O$1)/$O$2+$P$3*(P320-$P$1)/$P$2+$Q$3*(Q320-$Q$1)/$Q$2)/SUM($O$3:$Q$3)</f>
        <v>-0.99184266516472974</v>
      </c>
      <c r="AW320" s="47">
        <f>COUNT(R320:AO320)/2</f>
        <v>3</v>
      </c>
      <c r="AX320" s="47">
        <f>IF(AND(S320&lt;&gt;"-",S320&gt;5),1,0)+IF(AND(U320&lt;&gt;"-",U320&gt;5),1,0)+IF(AND(W320&lt;&gt;"-",W320&gt;5),1,0)+IF(AND(Y320&lt;&gt;"-",Y320&gt;5),1,0)+IF(AND(AA320&lt;&gt;"-",AA320&gt;5),1,0)+IF(AND(AC320&lt;&gt;"-",AC320&gt;5),1,0)+IF(AND(AE320&lt;&gt;"-",AE320&gt;5),1,0)+IF(AND(AG320&lt;&gt;"-",AG320&gt;5),1,0)+IF(AND(AI320&lt;&gt;"-",AI320&gt;5),1,0)+IF(AND(AK320&lt;&gt;"-",AK320&gt;5),1,0)+IF(AND(AM320&lt;&gt;"-",AM320&gt;5),1,0)+IF(AND(AO320&lt;&gt;"-",AO320&gt;5),1,0)</f>
        <v>0</v>
      </c>
      <c r="AY320" s="48">
        <f>VLOOKUP(AP320,COND!$A$10:$B$32,2,FALSE)</f>
        <v>1</v>
      </c>
      <c r="AZ320" s="46">
        <f>($AU$3*AU320+$AV$3*AV320+$AW$3*AW320+$AX$3*AX320)*AY320*IF(AQ320&lt;5,0.95,IF(AQ320&lt;7,0.975,1))+$I$3*VLOOKUP(I320,COND!$A$2:$E$7,4,FALSE)+$J$3*VLOOKUP(J320,COND!$A$2:$E$7,2,FALSE)+$K$3*VLOOKUP(K320,COND!$A$2:$E$7,3,FALSE)+IF(BB320="SP",$BB$3,0)+IF($AW320&lt;3,-5,0)+IF(AND($B$2&gt;0,$E320&lt;20),$B$2*25,0)</f>
        <v>28.210400305608719</v>
      </c>
      <c r="BA320" s="49">
        <f>STANDARDIZE(AZ320,AVERAGE($AZ$5:$AZ$570),STDEVP($AZ$5:$AZ$570))</f>
        <v>-0.4137559793476403</v>
      </c>
      <c r="BB320" s="47" t="str">
        <f>IF(OR(AND(AQ320&gt;7,AX320&gt;1),AND(AQ320&gt;4,AW320&gt;2)),"SP","RP")</f>
        <v>SP</v>
      </c>
      <c r="BC320" s="47"/>
      <c r="BD320" s="47"/>
      <c r="BE320" s="47"/>
      <c r="BF320" s="47" t="str">
        <f>IF(AVERAGE($O320:$Q320)&gt;=6,"Likely",IF(AVERAGE($O320:$Q320)&gt;=4,"Possible","Unlikely"))</f>
        <v>Unlikely</v>
      </c>
      <c r="BG320" s="47"/>
      <c r="BH320" s="47" t="str">
        <f>INDEX(Table5[[#All],[Ovr]],MATCH(Table3[[#This Row],[PID]],Table5[[#All],[PID]],0))</f>
        <v/>
      </c>
      <c r="BI320" s="47" t="str">
        <f>INDEX(Table5[[#All],[Rnd]],MATCH(Table3[[#This Row],[PID]],Table5[[#All],[PID]],0))</f>
        <v/>
      </c>
      <c r="BJ320" s="47" t="str">
        <f>INDEX(Table5[[#All],[Pick]],MATCH(Table3[[#This Row],[PID]],Table5[[#All],[PID]],0))</f>
        <v/>
      </c>
      <c r="BK320" s="47" t="str">
        <f>INDEX(Table5[[#All],[Team]],MATCH(Table3[[#This Row],[PID]],Table5[[#All],[PID]],0))</f>
        <v/>
      </c>
      <c r="BL3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1" spans="1:64" ht="15" customHeight="1" x14ac:dyDescent="0.25">
      <c r="A321" s="42">
        <v>11198</v>
      </c>
      <c r="B321" s="42" t="s">
        <v>24</v>
      </c>
      <c r="C321" s="42" t="s">
        <v>838</v>
      </c>
      <c r="D321" s="42" t="s">
        <v>843</v>
      </c>
      <c r="E321" s="42">
        <v>22</v>
      </c>
      <c r="F321" s="42" t="s">
        <v>53</v>
      </c>
      <c r="G321" s="42" t="s">
        <v>42</v>
      </c>
      <c r="H321" s="43" t="s">
        <v>721</v>
      </c>
      <c r="I321" s="44" t="s">
        <v>43</v>
      </c>
      <c r="J321" s="42" t="s">
        <v>43</v>
      </c>
      <c r="K321" s="43" t="s">
        <v>47</v>
      </c>
      <c r="L321" s="42">
        <v>3</v>
      </c>
      <c r="M321" s="42">
        <v>1</v>
      </c>
      <c r="N321" s="43">
        <v>2</v>
      </c>
      <c r="O321" s="42">
        <v>5</v>
      </c>
      <c r="P321" s="42">
        <v>1</v>
      </c>
      <c r="Q321" s="43">
        <v>2</v>
      </c>
      <c r="R321" s="42">
        <v>5</v>
      </c>
      <c r="S321" s="42">
        <v>7</v>
      </c>
      <c r="T321" s="42" t="s">
        <v>45</v>
      </c>
      <c r="U321" s="42" t="s">
        <v>45</v>
      </c>
      <c r="V321" s="42">
        <v>3</v>
      </c>
      <c r="W321" s="42">
        <v>7</v>
      </c>
      <c r="X321" s="42">
        <v>3</v>
      </c>
      <c r="Y321" s="42">
        <v>7</v>
      </c>
      <c r="Z321" s="42" t="s">
        <v>45</v>
      </c>
      <c r="AA321" s="42" t="s">
        <v>45</v>
      </c>
      <c r="AB321" s="42" t="s">
        <v>45</v>
      </c>
      <c r="AC321" s="42" t="s">
        <v>45</v>
      </c>
      <c r="AD321" s="42" t="s">
        <v>45</v>
      </c>
      <c r="AE321" s="42" t="s">
        <v>45</v>
      </c>
      <c r="AF321" s="42" t="s">
        <v>45</v>
      </c>
      <c r="AG321" s="42" t="s">
        <v>45</v>
      </c>
      <c r="AH321" s="42" t="s">
        <v>45</v>
      </c>
      <c r="AI321" s="42" t="s">
        <v>45</v>
      </c>
      <c r="AJ321" s="42" t="s">
        <v>45</v>
      </c>
      <c r="AK321" s="42" t="s">
        <v>45</v>
      </c>
      <c r="AL321" s="42" t="s">
        <v>45</v>
      </c>
      <c r="AM321" s="42" t="s">
        <v>45</v>
      </c>
      <c r="AN321" s="42" t="s">
        <v>45</v>
      </c>
      <c r="AO321" s="43" t="s">
        <v>45</v>
      </c>
      <c r="AP321" s="42" t="s">
        <v>60</v>
      </c>
      <c r="AQ321" s="42">
        <v>6</v>
      </c>
      <c r="AR321" s="50" t="s">
        <v>357</v>
      </c>
      <c r="AS321" s="45" t="s">
        <v>45</v>
      </c>
      <c r="AT321" s="45" t="s">
        <v>47</v>
      </c>
      <c r="AU321" s="46">
        <f>($O$3*(L321-$O$1)/$O$2+$P$3*(M321-$P$1)/$P$2+$Q$3*(N321-$P$1)/$Q$2)/SUM($O$3:$Q$3)</f>
        <v>-2.0697810228951408</v>
      </c>
      <c r="AV321" s="46">
        <f>($O$3*(O321-$O$1)/$O$2+$P$3*(P321-$P$1)/$P$2+$Q$3*(Q321-$Q$1)/$Q$2)/SUM($O$3:$Q$3)</f>
        <v>-1.2349036231397219</v>
      </c>
      <c r="AW321" s="47">
        <f>COUNT(R321:AO321)/2</f>
        <v>3</v>
      </c>
      <c r="AX321" s="47">
        <f>IF(AND(S321&lt;&gt;"-",S321&gt;5),1,0)+IF(AND(U321&lt;&gt;"-",U321&gt;5),1,0)+IF(AND(W321&lt;&gt;"-",W321&gt;5),1,0)+IF(AND(Y321&lt;&gt;"-",Y321&gt;5),1,0)+IF(AND(AA321&lt;&gt;"-",AA321&gt;5),1,0)+IF(AND(AC321&lt;&gt;"-",AC321&gt;5),1,0)+IF(AND(AE321&lt;&gt;"-",AE321&gt;5),1,0)+IF(AND(AG321&lt;&gt;"-",AG321&gt;5),1,0)+IF(AND(AI321&lt;&gt;"-",AI321&gt;5),1,0)+IF(AND(AK321&lt;&gt;"-",AK321&gt;5),1,0)+IF(AND(AM321&lt;&gt;"-",AM321&gt;5),1,0)+IF(AND(AO321&lt;&gt;"-",AO321&gt;5),1,0)</f>
        <v>3</v>
      </c>
      <c r="AY321" s="48">
        <f>VLOOKUP(AP321,COND!$A$10:$B$32,2,FALSE)</f>
        <v>1.0249999999999999</v>
      </c>
      <c r="AZ321" s="46">
        <f>($AU$3*AU321+$AV$3*AV321+$AW$3*AW321+$AX$3*AX321)*AY321*IF(AQ321&lt;5,0.95,IF(AQ321&lt;7,0.975,1))+$I$3*VLOOKUP(I321,COND!$A$2:$E$7,4,FALSE)+$J$3*VLOOKUP(J321,COND!$A$2:$E$7,2,FALSE)+$K$3*VLOOKUP(K321,COND!$A$2:$E$7,3,FALSE)+IF(BB321="SP",$BB$3,0)+IF($AW321&lt;3,-5,0)+IF(AND($B$2&gt;0,$E321&lt;20),$B$2*25,0)</f>
        <v>27.450385100543645</v>
      </c>
      <c r="BA321" s="49">
        <f>STANDARDIZE(AZ321,AVERAGE($AZ$5:$AZ$570),STDEVP($AZ$5:$AZ$570))</f>
        <v>-0.48345262202536532</v>
      </c>
      <c r="BB321" s="47" t="str">
        <f>IF(OR(AND(AQ321&gt;7,AX321&gt;1),AND(AQ321&gt;4,AW321&gt;2)),"SP","RP")</f>
        <v>SP</v>
      </c>
      <c r="BC321" s="47"/>
      <c r="BD321" s="47"/>
      <c r="BE321" s="47"/>
      <c r="BF321" s="47" t="str">
        <f>IF(AVERAGE($O321:$Q321)&gt;=6,"Likely",IF(AVERAGE($O321:$Q321)&gt;=4,"Possible","Unlikely"))</f>
        <v>Unlikely</v>
      </c>
      <c r="BG321" s="47"/>
      <c r="BH321" s="47" t="str">
        <f>INDEX(Table5[[#All],[Ovr]],MATCH(Table3[[#This Row],[PID]],Table5[[#All],[PID]],0))</f>
        <v/>
      </c>
      <c r="BI321" s="47" t="str">
        <f>INDEX(Table5[[#All],[Rnd]],MATCH(Table3[[#This Row],[PID]],Table5[[#All],[PID]],0))</f>
        <v/>
      </c>
      <c r="BJ321" s="47" t="str">
        <f>INDEX(Table5[[#All],[Pick]],MATCH(Table3[[#This Row],[PID]],Table5[[#All],[PID]],0))</f>
        <v/>
      </c>
      <c r="BK321" s="47" t="str">
        <f>INDEX(Table5[[#All],[Team]],MATCH(Table3[[#This Row],[PID]],Table5[[#All],[PID]],0))</f>
        <v/>
      </c>
      <c r="BL3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2" spans="1:64" ht="15" customHeight="1" x14ac:dyDescent="0.25">
      <c r="A322" s="42">
        <v>17616</v>
      </c>
      <c r="B322" s="42" t="s">
        <v>430</v>
      </c>
      <c r="C322" s="42" t="s">
        <v>1608</v>
      </c>
      <c r="D322" s="42" t="s">
        <v>1609</v>
      </c>
      <c r="E322" s="42">
        <v>18</v>
      </c>
      <c r="F322" s="42" t="s">
        <v>42</v>
      </c>
      <c r="G322" s="42" t="s">
        <v>42</v>
      </c>
      <c r="H322" s="43" t="s">
        <v>721</v>
      </c>
      <c r="I322" s="44" t="s">
        <v>43</v>
      </c>
      <c r="J322" s="42" t="s">
        <v>43</v>
      </c>
      <c r="K322" s="43" t="s">
        <v>43</v>
      </c>
      <c r="L322" s="42">
        <v>1</v>
      </c>
      <c r="M322" s="42">
        <v>1</v>
      </c>
      <c r="N322" s="43">
        <v>1</v>
      </c>
      <c r="O322" s="42">
        <v>4</v>
      </c>
      <c r="P322" s="42">
        <v>1</v>
      </c>
      <c r="Q322" s="43">
        <v>2</v>
      </c>
      <c r="R322" s="42">
        <v>3</v>
      </c>
      <c r="S322" s="42">
        <v>5</v>
      </c>
      <c r="T322" s="42" t="s">
        <v>45</v>
      </c>
      <c r="U322" s="42" t="s">
        <v>45</v>
      </c>
      <c r="V322" s="42">
        <v>1</v>
      </c>
      <c r="W322" s="42">
        <v>6</v>
      </c>
      <c r="X322" s="42">
        <v>2</v>
      </c>
      <c r="Y322" s="42">
        <v>6</v>
      </c>
      <c r="Z322" s="42" t="s">
        <v>45</v>
      </c>
      <c r="AA322" s="42" t="s">
        <v>45</v>
      </c>
      <c r="AB322" s="42" t="s">
        <v>45</v>
      </c>
      <c r="AC322" s="42" t="s">
        <v>45</v>
      </c>
      <c r="AD322" s="42" t="s">
        <v>45</v>
      </c>
      <c r="AE322" s="42" t="s">
        <v>45</v>
      </c>
      <c r="AF322" s="42" t="s">
        <v>45</v>
      </c>
      <c r="AG322" s="42" t="s">
        <v>45</v>
      </c>
      <c r="AH322" s="42" t="s">
        <v>45</v>
      </c>
      <c r="AI322" s="42" t="s">
        <v>45</v>
      </c>
      <c r="AJ322" s="42" t="s">
        <v>45</v>
      </c>
      <c r="AK322" s="42" t="s">
        <v>45</v>
      </c>
      <c r="AL322" s="42" t="s">
        <v>45</v>
      </c>
      <c r="AM322" s="42" t="s">
        <v>45</v>
      </c>
      <c r="AN322" s="42" t="s">
        <v>45</v>
      </c>
      <c r="AO322" s="43" t="s">
        <v>45</v>
      </c>
      <c r="AP322" s="42" t="s">
        <v>68</v>
      </c>
      <c r="AQ322" s="42">
        <v>7</v>
      </c>
      <c r="AR322" s="50" t="s">
        <v>14</v>
      </c>
      <c r="AS322" s="45" t="s">
        <v>718</v>
      </c>
      <c r="AT322" s="45" t="s">
        <v>47</v>
      </c>
      <c r="AU322" s="46">
        <f>($O$3*(L322-$O$1)/$O$2+$P$3*(M322-$P$1)/$P$2+$Q$3*(N322-$P$1)/$Q$2)/SUM($O$3:$Q$3)</f>
        <v>-2.7014842379675978</v>
      </c>
      <c r="AV322" s="46">
        <f>($O$3*(O322-$O$1)/$O$2+$P$3*(P322-$P$1)/$P$2+$Q$3*(Q322-$Q$1)/$Q$2)/SUM($O$3:$Q$3)</f>
        <v>-1.4295949476488956</v>
      </c>
      <c r="AW322" s="47">
        <f>COUNT(R322:AO322)/2</f>
        <v>3</v>
      </c>
      <c r="AX322" s="47">
        <f>IF(AND(S322&lt;&gt;"-",S322&gt;5),1,0)+IF(AND(U322&lt;&gt;"-",U322&gt;5),1,0)+IF(AND(W322&lt;&gt;"-",W322&gt;5),1,0)+IF(AND(Y322&lt;&gt;"-",Y322&gt;5),1,0)+IF(AND(AA322&lt;&gt;"-",AA322&gt;5),1,0)+IF(AND(AC322&lt;&gt;"-",AC322&gt;5),1,0)+IF(AND(AE322&lt;&gt;"-",AE322&gt;5),1,0)+IF(AND(AG322&lt;&gt;"-",AG322&gt;5),1,0)+IF(AND(AI322&lt;&gt;"-",AI322&gt;5),1,0)+IF(AND(AK322&lt;&gt;"-",AK322&gt;5),1,0)+IF(AND(AM322&lt;&gt;"-",AM322&gt;5),1,0)+IF(AND(AO322&lt;&gt;"-",AO322&gt;5),1,0)</f>
        <v>2</v>
      </c>
      <c r="AY322" s="48">
        <f>VLOOKUP(AP322,COND!$A$10:$B$32,2,FALSE)</f>
        <v>0.95</v>
      </c>
      <c r="AZ322" s="46">
        <f>($AU$3*AU322+$AV$3*AV322+$AW$3*AW322+$AX$3*AX322)*AY322*IF(AQ322&lt;5,0.95,IF(AQ322&lt;7,0.975,1))+$I$3*VLOOKUP(I322,COND!$A$2:$E$7,4,FALSE)+$J$3*VLOOKUP(J322,COND!$A$2:$E$7,2,FALSE)+$K$3*VLOOKUP(K322,COND!$A$2:$E$7,3,FALSE)+IF(BB322="SP",$BB$3,0)+IF($AW322&lt;3,-5,0)+IF(AND($B$2&gt;0,$E322&lt;20),$B$2*25,0)</f>
        <v>28.124413989457139</v>
      </c>
      <c r="BA322" s="49">
        <f>STANDARDIZE(AZ322,AVERAGE($AZ$5:$AZ$570),STDEVP($AZ$5:$AZ$570))</f>
        <v>-0.42164129205197948</v>
      </c>
      <c r="BB322" s="47" t="str">
        <f>IF(OR(AND(AQ322&gt;7,AX322&gt;1),AND(AQ322&gt;4,AW322&gt;2)),"SP","RP")</f>
        <v>SP</v>
      </c>
      <c r="BC322" s="47"/>
      <c r="BD322" s="47"/>
      <c r="BE322" s="47"/>
      <c r="BF322" s="47" t="str">
        <f>IF(AVERAGE($O322:$Q322)&gt;=6,"Likely",IF(AVERAGE($O322:$Q322)&gt;=4,"Possible","Unlikely"))</f>
        <v>Unlikely</v>
      </c>
      <c r="BG322" s="47"/>
      <c r="BH322" s="47" t="str">
        <f>INDEX(Table5[[#All],[Ovr]],MATCH(Table3[[#This Row],[PID]],Table5[[#All],[PID]],0))</f>
        <v/>
      </c>
      <c r="BI322" s="47" t="str">
        <f>INDEX(Table5[[#All],[Rnd]],MATCH(Table3[[#This Row],[PID]],Table5[[#All],[PID]],0))</f>
        <v/>
      </c>
      <c r="BJ322" s="47" t="str">
        <f>INDEX(Table5[[#All],[Pick]],MATCH(Table3[[#This Row],[PID]],Table5[[#All],[PID]],0))</f>
        <v/>
      </c>
      <c r="BK322" s="47" t="str">
        <f>INDEX(Table5[[#All],[Team]],MATCH(Table3[[#This Row],[PID]],Table5[[#All],[PID]],0))</f>
        <v/>
      </c>
      <c r="BL3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3" spans="1:64" ht="15" customHeight="1" x14ac:dyDescent="0.25">
      <c r="A323" s="42">
        <v>17938</v>
      </c>
      <c r="B323" s="42" t="s">
        <v>430</v>
      </c>
      <c r="C323" s="42" t="s">
        <v>1758</v>
      </c>
      <c r="D323" s="42" t="s">
        <v>1759</v>
      </c>
      <c r="E323" s="42">
        <v>18</v>
      </c>
      <c r="F323" s="42" t="s">
        <v>53</v>
      </c>
      <c r="G323" s="42" t="s">
        <v>53</v>
      </c>
      <c r="H323" s="43" t="s">
        <v>721</v>
      </c>
      <c r="I323" s="44" t="s">
        <v>43</v>
      </c>
      <c r="J323" s="42" t="s">
        <v>44</v>
      </c>
      <c r="K323" s="43" t="s">
        <v>44</v>
      </c>
      <c r="L323" s="42">
        <v>1</v>
      </c>
      <c r="M323" s="42">
        <v>2</v>
      </c>
      <c r="N323" s="43">
        <v>1</v>
      </c>
      <c r="O323" s="42">
        <v>3</v>
      </c>
      <c r="P323" s="42">
        <v>3</v>
      </c>
      <c r="Q323" s="43">
        <v>2</v>
      </c>
      <c r="R323" s="42">
        <v>2</v>
      </c>
      <c r="S323" s="42">
        <v>4</v>
      </c>
      <c r="T323" s="42" t="s">
        <v>45</v>
      </c>
      <c r="U323" s="42" t="s">
        <v>45</v>
      </c>
      <c r="V323" s="42" t="s">
        <v>45</v>
      </c>
      <c r="W323" s="42" t="s">
        <v>45</v>
      </c>
      <c r="X323" s="42">
        <v>1</v>
      </c>
      <c r="Y323" s="42">
        <v>4</v>
      </c>
      <c r="Z323" s="42">
        <v>3</v>
      </c>
      <c r="AA323" s="42">
        <v>4</v>
      </c>
      <c r="AB323" s="42" t="s">
        <v>45</v>
      </c>
      <c r="AC323" s="42" t="s">
        <v>45</v>
      </c>
      <c r="AD323" s="42" t="s">
        <v>45</v>
      </c>
      <c r="AE323" s="42" t="s">
        <v>45</v>
      </c>
      <c r="AF323" s="42" t="s">
        <v>45</v>
      </c>
      <c r="AG323" s="42" t="s">
        <v>45</v>
      </c>
      <c r="AH323" s="42" t="s">
        <v>45</v>
      </c>
      <c r="AI323" s="42" t="s">
        <v>45</v>
      </c>
      <c r="AJ323" s="42" t="s">
        <v>45</v>
      </c>
      <c r="AK323" s="42" t="s">
        <v>45</v>
      </c>
      <c r="AL323" s="42" t="s">
        <v>45</v>
      </c>
      <c r="AM323" s="42" t="s">
        <v>45</v>
      </c>
      <c r="AN323" s="42" t="s">
        <v>45</v>
      </c>
      <c r="AO323" s="43" t="s">
        <v>45</v>
      </c>
      <c r="AP323" s="42" t="s">
        <v>65</v>
      </c>
      <c r="AQ323" s="42">
        <v>5</v>
      </c>
      <c r="AR323" s="50" t="s">
        <v>352</v>
      </c>
      <c r="AS323" s="45" t="s">
        <v>730</v>
      </c>
      <c r="AT323" s="45" t="s">
        <v>47</v>
      </c>
      <c r="AU323" s="46">
        <f>($O$3*(L323-$O$1)/$O$2+$P$3*(M323-$P$1)/$P$2+$Q$3*(N323-$P$1)/$Q$2)/SUM($O$3:$Q$3)</f>
        <v>-2.5060525215375429</v>
      </c>
      <c r="AV323" s="46">
        <f>($O$3*(O323-$O$1)/$O$2+$P$3*(P323-$P$1)/$P$2+$Q$3*(Q323-$Q$1)/$Q$2)/SUM($O$3:$Q$3)</f>
        <v>-1.233422839297958</v>
      </c>
      <c r="AW323" s="47">
        <f>COUNT(R323:AO323)/2</f>
        <v>3</v>
      </c>
      <c r="AX323" s="47">
        <f>IF(AND(S323&lt;&gt;"-",S323&gt;5),1,0)+IF(AND(U323&lt;&gt;"-",U323&gt;5),1,0)+IF(AND(W323&lt;&gt;"-",W323&gt;5),1,0)+IF(AND(Y323&lt;&gt;"-",Y323&gt;5),1,0)+IF(AND(AA323&lt;&gt;"-",AA323&gt;5),1,0)+IF(AND(AC323&lt;&gt;"-",AC323&gt;5),1,0)+IF(AND(AE323&lt;&gt;"-",AE323&gt;5),1,0)+IF(AND(AG323&lt;&gt;"-",AG323&gt;5),1,0)+IF(AND(AI323&lt;&gt;"-",AI323&gt;5),1,0)+IF(AND(AK323&lt;&gt;"-",AK323&gt;5),1,0)+IF(AND(AM323&lt;&gt;"-",AM323&gt;5),1,0)+IF(AND(AO323&lt;&gt;"-",AO323&gt;5),1,0)</f>
        <v>0</v>
      </c>
      <c r="AY323" s="48">
        <f>VLOOKUP(AP323,COND!$A$10:$B$32,2,FALSE)</f>
        <v>0.95</v>
      </c>
      <c r="AZ323" s="46">
        <f>($AU$3*AU323+$AV$3*AV323+$AW$3*AW323+$AX$3*AX323)*AY323*IF(AQ323&lt;5,0.95,IF(AQ323&lt;7,0.975,1))+$I$3*VLOOKUP(I323,COND!$A$2:$E$7,4,FALSE)+$J$3*VLOOKUP(J323,COND!$A$2:$E$7,2,FALSE)+$K$3*VLOOKUP(K323,COND!$A$2:$E$7,3,FALSE)+IF(BB323="SP",$BB$3,0)+IF($AW323&lt;3,-5,0)+IF(AND($B$2&gt;0,$E323&lt;20),$B$2*25,0)</f>
        <v>29.475970672390499</v>
      </c>
      <c r="BA323" s="49">
        <f>STANDARDIZE(AZ323,AVERAGE($AZ$5:$AZ$570),STDEVP($AZ$5:$AZ$570))</f>
        <v>-0.29769776755231869</v>
      </c>
      <c r="BB323" s="47" t="str">
        <f>IF(OR(AND(AQ323&gt;7,AX323&gt;1),AND(AQ323&gt;4,AW323&gt;2)),"SP","RP")</f>
        <v>SP</v>
      </c>
      <c r="BC323" s="47"/>
      <c r="BD323" s="47"/>
      <c r="BE323" s="47"/>
      <c r="BF323" s="47" t="str">
        <f>IF(AVERAGE($O323:$Q323)&gt;=6,"Likely",IF(AVERAGE($O323:$Q323)&gt;=4,"Possible","Unlikely"))</f>
        <v>Unlikely</v>
      </c>
      <c r="BG323" s="47"/>
      <c r="BH323" s="47" t="str">
        <f>INDEX(Table5[[#All],[Ovr]],MATCH(Table3[[#This Row],[PID]],Table5[[#All],[PID]],0))</f>
        <v/>
      </c>
      <c r="BI323" s="47" t="str">
        <f>INDEX(Table5[[#All],[Rnd]],MATCH(Table3[[#This Row],[PID]],Table5[[#All],[PID]],0))</f>
        <v/>
      </c>
      <c r="BJ323" s="47" t="str">
        <f>INDEX(Table5[[#All],[Pick]],MATCH(Table3[[#This Row],[PID]],Table5[[#All],[PID]],0))</f>
        <v/>
      </c>
      <c r="BK323" s="47" t="str">
        <f>INDEX(Table5[[#All],[Team]],MATCH(Table3[[#This Row],[PID]],Table5[[#All],[PID]],0))</f>
        <v/>
      </c>
      <c r="BL3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4" spans="1:64" ht="15" customHeight="1" x14ac:dyDescent="0.25">
      <c r="A324" s="42">
        <v>17872</v>
      </c>
      <c r="B324" s="42" t="s">
        <v>430</v>
      </c>
      <c r="C324" s="42" t="s">
        <v>1637</v>
      </c>
      <c r="D324" s="42" t="s">
        <v>603</v>
      </c>
      <c r="E324" s="42">
        <v>18</v>
      </c>
      <c r="F324" s="42" t="s">
        <v>42</v>
      </c>
      <c r="G324" s="42" t="s">
        <v>42</v>
      </c>
      <c r="H324" s="43" t="s">
        <v>721</v>
      </c>
      <c r="I324" s="44" t="s">
        <v>44</v>
      </c>
      <c r="J324" s="42" t="s">
        <v>44</v>
      </c>
      <c r="K324" s="43" t="s">
        <v>44</v>
      </c>
      <c r="L324" s="42">
        <v>2</v>
      </c>
      <c r="M324" s="42">
        <v>2</v>
      </c>
      <c r="N324" s="43">
        <v>1</v>
      </c>
      <c r="O324" s="42">
        <v>4</v>
      </c>
      <c r="P324" s="42">
        <v>2</v>
      </c>
      <c r="Q324" s="43">
        <v>2</v>
      </c>
      <c r="R324" s="42" t="s">
        <v>45</v>
      </c>
      <c r="S324" s="42" t="s">
        <v>45</v>
      </c>
      <c r="T324" s="42" t="s">
        <v>45</v>
      </c>
      <c r="U324" s="42" t="s">
        <v>45</v>
      </c>
      <c r="V324" s="42">
        <v>2</v>
      </c>
      <c r="W324" s="42">
        <v>5</v>
      </c>
      <c r="X324" s="42">
        <v>3</v>
      </c>
      <c r="Y324" s="42">
        <v>6</v>
      </c>
      <c r="Z324" s="42" t="s">
        <v>45</v>
      </c>
      <c r="AA324" s="42" t="s">
        <v>45</v>
      </c>
      <c r="AB324" s="42" t="s">
        <v>45</v>
      </c>
      <c r="AC324" s="42" t="s">
        <v>45</v>
      </c>
      <c r="AD324" s="42">
        <v>3</v>
      </c>
      <c r="AE324" s="42">
        <v>5</v>
      </c>
      <c r="AF324" s="42" t="s">
        <v>45</v>
      </c>
      <c r="AG324" s="42" t="s">
        <v>45</v>
      </c>
      <c r="AH324" s="42" t="s">
        <v>45</v>
      </c>
      <c r="AI324" s="42" t="s">
        <v>45</v>
      </c>
      <c r="AJ324" s="42" t="s">
        <v>45</v>
      </c>
      <c r="AK324" s="42" t="s">
        <v>45</v>
      </c>
      <c r="AL324" s="42" t="s">
        <v>45</v>
      </c>
      <c r="AM324" s="42" t="s">
        <v>45</v>
      </c>
      <c r="AN324" s="42" t="s">
        <v>45</v>
      </c>
      <c r="AO324" s="43" t="s">
        <v>45</v>
      </c>
      <c r="AP324" s="42" t="s">
        <v>64</v>
      </c>
      <c r="AQ324" s="42">
        <v>6</v>
      </c>
      <c r="AR324" s="50" t="s">
        <v>353</v>
      </c>
      <c r="AS324" s="45" t="s">
        <v>739</v>
      </c>
      <c r="AT324" s="45" t="s">
        <v>47</v>
      </c>
      <c r="AU324" s="46">
        <f>($O$3*(L324-$O$1)/$O$2+$P$3*(M324-$P$1)/$P$2+$Q$3*(N324-$P$1)/$Q$2)/SUM($O$3:$Q$3)</f>
        <v>-2.311361197028369</v>
      </c>
      <c r="AV324" s="46">
        <f>($O$3*(O324-$O$1)/$O$2+$P$3*(P324-$P$1)/$P$2+$Q$3*(Q324-$Q$1)/$Q$2)/SUM($O$3:$Q$3)</f>
        <v>-1.23416323121884</v>
      </c>
      <c r="AW324" s="47">
        <f>COUNT(R324:AO324)/2</f>
        <v>3</v>
      </c>
      <c r="AX324" s="47">
        <f>IF(AND(S324&lt;&gt;"-",S324&gt;5),1,0)+IF(AND(U324&lt;&gt;"-",U324&gt;5),1,0)+IF(AND(W324&lt;&gt;"-",W324&gt;5),1,0)+IF(AND(Y324&lt;&gt;"-",Y324&gt;5),1,0)+IF(AND(AA324&lt;&gt;"-",AA324&gt;5),1,0)+IF(AND(AC324&lt;&gt;"-",AC324&gt;5),1,0)+IF(AND(AE324&lt;&gt;"-",AE324&gt;5),1,0)+IF(AND(AG324&lt;&gt;"-",AG324&gt;5),1,0)+IF(AND(AI324&lt;&gt;"-",AI324&gt;5),1,0)+IF(AND(AK324&lt;&gt;"-",AK324&gt;5),1,0)+IF(AND(AM324&lt;&gt;"-",AM324&gt;5),1,0)+IF(AND(AO324&lt;&gt;"-",AO324&gt;5),1,0)</f>
        <v>1</v>
      </c>
      <c r="AY324" s="48">
        <f>VLOOKUP(AP324,COND!$A$10:$B$32,2,FALSE)</f>
        <v>1</v>
      </c>
      <c r="AZ324" s="46">
        <f>($AU$3*AU324+$AV$3*AV324+$AW$3*AW324+$AX$3*AX324)*AY324*IF(AQ324&lt;5,0.95,IF(AQ324&lt;7,0.975,1))+$I$3*VLOOKUP(I324,COND!$A$2:$E$7,4,FALSE)+$J$3*VLOOKUP(J324,COND!$A$2:$E$7,2,FALSE)+$K$3*VLOOKUP(K324,COND!$A$2:$E$7,3,FALSE)+IF(BB324="SP",$BB$3,0)+IF($AW324&lt;3,-5,0)+IF(AND($B$2&gt;0,$E324&lt;20),$B$2*25,0)</f>
        <v>29.414351557812083</v>
      </c>
      <c r="BA324" s="49">
        <f>STANDARDIZE(AZ324,AVERAGE($AZ$5:$AZ$570),STDEVP($AZ$5:$AZ$570))</f>
        <v>-0.30334850372479033</v>
      </c>
      <c r="BB324" s="47" t="str">
        <f>IF(OR(AND(AQ324&gt;7,AX324&gt;1),AND(AQ324&gt;4,AW324&gt;2)),"SP","RP")</f>
        <v>SP</v>
      </c>
      <c r="BC324" s="47"/>
      <c r="BD324" s="47"/>
      <c r="BE324" s="47"/>
      <c r="BF324" s="47" t="str">
        <f>IF(AVERAGE($O324:$Q324)&gt;=6,"Likely",IF(AVERAGE($O324:$Q324)&gt;=4,"Possible","Unlikely"))</f>
        <v>Unlikely</v>
      </c>
      <c r="BG324" s="47"/>
      <c r="BH324" s="47" t="str">
        <f>INDEX(Table5[[#All],[Ovr]],MATCH(Table3[[#This Row],[PID]],Table5[[#All],[PID]],0))</f>
        <v/>
      </c>
      <c r="BI324" s="47" t="str">
        <f>INDEX(Table5[[#All],[Rnd]],MATCH(Table3[[#This Row],[PID]],Table5[[#All],[PID]],0))</f>
        <v/>
      </c>
      <c r="BJ324" s="47" t="str">
        <f>INDEX(Table5[[#All],[Pick]],MATCH(Table3[[#This Row],[PID]],Table5[[#All],[PID]],0))</f>
        <v/>
      </c>
      <c r="BK324" s="47" t="str">
        <f>INDEX(Table5[[#All],[Team]],MATCH(Table3[[#This Row],[PID]],Table5[[#All],[PID]],0))</f>
        <v/>
      </c>
      <c r="BL3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5" spans="1:64" ht="15" customHeight="1" x14ac:dyDescent="0.25">
      <c r="A325" s="42">
        <v>7588</v>
      </c>
      <c r="B325" s="42" t="s">
        <v>430</v>
      </c>
      <c r="C325" s="42" t="s">
        <v>170</v>
      </c>
      <c r="D325" s="42" t="s">
        <v>1757</v>
      </c>
      <c r="E325" s="42">
        <v>18</v>
      </c>
      <c r="F325" s="42" t="s">
        <v>42</v>
      </c>
      <c r="G325" s="42" t="s">
        <v>42</v>
      </c>
      <c r="H325" s="43" t="s">
        <v>721</v>
      </c>
      <c r="I325" s="44" t="s">
        <v>43</v>
      </c>
      <c r="J325" s="42" t="s">
        <v>43</v>
      </c>
      <c r="K325" s="43" t="s">
        <v>43</v>
      </c>
      <c r="L325" s="42">
        <v>1</v>
      </c>
      <c r="M325" s="42">
        <v>1</v>
      </c>
      <c r="N325" s="43">
        <v>1</v>
      </c>
      <c r="O325" s="42">
        <v>3</v>
      </c>
      <c r="P325" s="42">
        <v>1</v>
      </c>
      <c r="Q325" s="43">
        <v>3</v>
      </c>
      <c r="R325" s="42">
        <v>2</v>
      </c>
      <c r="S325" s="42">
        <v>4</v>
      </c>
      <c r="T325" s="42">
        <v>1</v>
      </c>
      <c r="U325" s="42">
        <v>1</v>
      </c>
      <c r="V325" s="42" t="s">
        <v>45</v>
      </c>
      <c r="W325" s="42" t="s">
        <v>45</v>
      </c>
      <c r="X325" s="42">
        <v>1</v>
      </c>
      <c r="Y325" s="42">
        <v>5</v>
      </c>
      <c r="Z325" s="42" t="s">
        <v>45</v>
      </c>
      <c r="AA325" s="42" t="s">
        <v>45</v>
      </c>
      <c r="AB325" s="42" t="s">
        <v>45</v>
      </c>
      <c r="AC325" s="42" t="s">
        <v>45</v>
      </c>
      <c r="AD325" s="42" t="s">
        <v>45</v>
      </c>
      <c r="AE325" s="42" t="s">
        <v>45</v>
      </c>
      <c r="AF325" s="42" t="s">
        <v>45</v>
      </c>
      <c r="AG325" s="42" t="s">
        <v>45</v>
      </c>
      <c r="AH325" s="42" t="s">
        <v>45</v>
      </c>
      <c r="AI325" s="42" t="s">
        <v>45</v>
      </c>
      <c r="AJ325" s="42" t="s">
        <v>45</v>
      </c>
      <c r="AK325" s="42" t="s">
        <v>45</v>
      </c>
      <c r="AL325" s="42" t="s">
        <v>45</v>
      </c>
      <c r="AM325" s="42" t="s">
        <v>45</v>
      </c>
      <c r="AN325" s="42" t="s">
        <v>45</v>
      </c>
      <c r="AO325" s="43" t="s">
        <v>45</v>
      </c>
      <c r="AP325" s="42" t="s">
        <v>67</v>
      </c>
      <c r="AQ325" s="42">
        <v>10</v>
      </c>
      <c r="AR325" s="50" t="s">
        <v>14</v>
      </c>
      <c r="AS325" s="45" t="s">
        <v>730</v>
      </c>
      <c r="AT325" s="45" t="s">
        <v>47</v>
      </c>
      <c r="AU325" s="46">
        <f>($O$3*(L325-$O$1)/$O$2+$P$3*(M325-$P$1)/$P$2+$Q$3*(N325-$P$1)/$Q$2)/SUM($O$3:$Q$3)</f>
        <v>-2.7014842379675978</v>
      </c>
      <c r="AV325" s="46">
        <f>($O$3*(O325-$O$1)/$O$2+$P$3*(P325-$P$1)/$P$2+$Q$3*(Q325-$Q$1)/$Q$2)/SUM($O$3:$Q$3)</f>
        <v>-1.3819657061039585</v>
      </c>
      <c r="AW325" s="47">
        <f>COUNT(R325:AO325)/2</f>
        <v>3</v>
      </c>
      <c r="AX325" s="47">
        <f>IF(AND(S325&lt;&gt;"-",S325&gt;5),1,0)+IF(AND(U325&lt;&gt;"-",U325&gt;5),1,0)+IF(AND(W325&lt;&gt;"-",W325&gt;5),1,0)+IF(AND(Y325&lt;&gt;"-",Y325&gt;5),1,0)+IF(AND(AA325&lt;&gt;"-",AA325&gt;5),1,0)+IF(AND(AC325&lt;&gt;"-",AC325&gt;5),1,0)+IF(AND(AE325&lt;&gt;"-",AE325&gt;5),1,0)+IF(AND(AG325&lt;&gt;"-",AG325&gt;5),1,0)+IF(AND(AI325&lt;&gt;"-",AI325&gt;5),1,0)+IF(AND(AK325&lt;&gt;"-",AK325&gt;5),1,0)+IF(AND(AM325&lt;&gt;"-",AM325&gt;5),1,0)+IF(AND(AO325&lt;&gt;"-",AO325&gt;5),1,0)</f>
        <v>0</v>
      </c>
      <c r="AY325" s="48">
        <f>VLOOKUP(AP325,COND!$A$10:$B$32,2,FALSE)</f>
        <v>0.9</v>
      </c>
      <c r="AZ325" s="46">
        <f>($AU$3*AU325+$AV$3*AV325+$AW$3*AW325+$AX$3*AX325)*AY325*IF(AQ325&lt;5,0.95,IF(AQ325&lt;7,0.975,1))+$I$3*VLOOKUP(I325,COND!$A$2:$E$7,4,FALSE)+$J$3*VLOOKUP(J325,COND!$A$2:$E$7,2,FALSE)+$K$3*VLOOKUP(K325,COND!$A$2:$E$7,3,FALSE)+IF(BB325="SP",$BB$3,0)+IF($AW325&lt;3,-5,0)+IF(AND($B$2&gt;0,$E325&lt;20),$B$2*25,0)</f>
        <v>27.988350127294577</v>
      </c>
      <c r="BA325" s="49">
        <f>STANDARDIZE(AZ325,AVERAGE($AZ$5:$AZ$570),STDEVP($AZ$5:$AZ$570))</f>
        <v>-0.43411892976145572</v>
      </c>
      <c r="BB325" s="47" t="str">
        <f>IF(OR(AND(AQ325&gt;7,AX325&gt;1),AND(AQ325&gt;4,AW325&gt;2)),"SP","RP")</f>
        <v>SP</v>
      </c>
      <c r="BC325" s="47"/>
      <c r="BD325" s="47"/>
      <c r="BE325" s="47"/>
      <c r="BF325" s="47" t="str">
        <f>IF(AVERAGE($O325:$Q325)&gt;=6,"Likely",IF(AVERAGE($O325:$Q325)&gt;=4,"Possible","Unlikely"))</f>
        <v>Unlikely</v>
      </c>
      <c r="BG325" s="47"/>
      <c r="BH325" s="47" t="str">
        <f>INDEX(Table5[[#All],[Ovr]],MATCH(Table3[[#This Row],[PID]],Table5[[#All],[PID]],0))</f>
        <v/>
      </c>
      <c r="BI325" s="47" t="str">
        <f>INDEX(Table5[[#All],[Rnd]],MATCH(Table3[[#This Row],[PID]],Table5[[#All],[PID]],0))</f>
        <v/>
      </c>
      <c r="BJ325" s="47" t="str">
        <f>INDEX(Table5[[#All],[Pick]],MATCH(Table3[[#This Row],[PID]],Table5[[#All],[PID]],0))</f>
        <v/>
      </c>
      <c r="BK325" s="47" t="str">
        <f>INDEX(Table5[[#All],[Team]],MATCH(Table3[[#This Row],[PID]],Table5[[#All],[PID]],0))</f>
        <v/>
      </c>
      <c r="BL3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6" spans="1:64" ht="15" customHeight="1" x14ac:dyDescent="0.25">
      <c r="A326" s="42">
        <v>17874</v>
      </c>
      <c r="B326" s="42" t="s">
        <v>24</v>
      </c>
      <c r="C326" s="42" t="s">
        <v>1657</v>
      </c>
      <c r="D326" s="42" t="s">
        <v>1234</v>
      </c>
      <c r="E326" s="42">
        <v>18</v>
      </c>
      <c r="F326" s="42" t="s">
        <v>42</v>
      </c>
      <c r="G326" s="42" t="s">
        <v>42</v>
      </c>
      <c r="H326" s="43" t="s">
        <v>721</v>
      </c>
      <c r="I326" s="44" t="s">
        <v>43</v>
      </c>
      <c r="J326" s="42" t="s">
        <v>43</v>
      </c>
      <c r="K326" s="43" t="s">
        <v>43</v>
      </c>
      <c r="L326" s="42">
        <v>2</v>
      </c>
      <c r="M326" s="42">
        <v>1</v>
      </c>
      <c r="N326" s="43">
        <v>1</v>
      </c>
      <c r="O326" s="42">
        <v>4</v>
      </c>
      <c r="P326" s="42">
        <v>2</v>
      </c>
      <c r="Q326" s="43">
        <v>2</v>
      </c>
      <c r="R326" s="42">
        <v>4</v>
      </c>
      <c r="S326" s="42">
        <v>5</v>
      </c>
      <c r="T326" s="42">
        <v>1</v>
      </c>
      <c r="U326" s="42">
        <v>5</v>
      </c>
      <c r="V326" s="42" t="s">
        <v>45</v>
      </c>
      <c r="W326" s="42" t="s">
        <v>45</v>
      </c>
      <c r="X326" s="42">
        <v>2</v>
      </c>
      <c r="Y326" s="42">
        <v>5</v>
      </c>
      <c r="Z326" s="42" t="s">
        <v>45</v>
      </c>
      <c r="AA326" s="42" t="s">
        <v>45</v>
      </c>
      <c r="AB326" s="42">
        <v>3</v>
      </c>
      <c r="AC326" s="42">
        <v>4</v>
      </c>
      <c r="AD326" s="42" t="s">
        <v>45</v>
      </c>
      <c r="AE326" s="42" t="s">
        <v>45</v>
      </c>
      <c r="AF326" s="42" t="s">
        <v>45</v>
      </c>
      <c r="AG326" s="42" t="s">
        <v>45</v>
      </c>
      <c r="AH326" s="42" t="s">
        <v>45</v>
      </c>
      <c r="AI326" s="42" t="s">
        <v>45</v>
      </c>
      <c r="AJ326" s="42" t="s">
        <v>45</v>
      </c>
      <c r="AK326" s="42" t="s">
        <v>45</v>
      </c>
      <c r="AL326" s="42" t="s">
        <v>45</v>
      </c>
      <c r="AM326" s="42" t="s">
        <v>45</v>
      </c>
      <c r="AN326" s="42" t="s">
        <v>45</v>
      </c>
      <c r="AO326" s="43" t="s">
        <v>45</v>
      </c>
      <c r="AP326" s="42" t="s">
        <v>356</v>
      </c>
      <c r="AQ326" s="42">
        <v>4</v>
      </c>
      <c r="AR326" s="50" t="s">
        <v>14</v>
      </c>
      <c r="AS326" s="45" t="s">
        <v>758</v>
      </c>
      <c r="AT326" s="45" t="s">
        <v>47</v>
      </c>
      <c r="AU326" s="46">
        <f>($O$3*(L326-$O$1)/$O$2+$P$3*(M326-$P$1)/$P$2+$Q$3*(N326-$P$1)/$Q$2)/SUM($O$3:$Q$3)</f>
        <v>-2.5067929134584248</v>
      </c>
      <c r="AV326" s="46">
        <f>($O$3*(O326-$O$1)/$O$2+$P$3*(P326-$P$1)/$P$2+$Q$3*(Q326-$Q$1)/$Q$2)/SUM($O$3:$Q$3)</f>
        <v>-1.23416323121884</v>
      </c>
      <c r="AW326" s="47">
        <f>COUNT(R326:AO326)/2</f>
        <v>4</v>
      </c>
      <c r="AX326" s="47">
        <f>IF(AND(S326&lt;&gt;"-",S326&gt;5),1,0)+IF(AND(U326&lt;&gt;"-",U326&gt;5),1,0)+IF(AND(W326&lt;&gt;"-",W326&gt;5),1,0)+IF(AND(Y326&lt;&gt;"-",Y326&gt;5),1,0)+IF(AND(AA326&lt;&gt;"-",AA326&gt;5),1,0)+IF(AND(AC326&lt;&gt;"-",AC326&gt;5),1,0)+IF(AND(AE326&lt;&gt;"-",AE326&gt;5),1,0)+IF(AND(AG326&lt;&gt;"-",AG326&gt;5),1,0)+IF(AND(AI326&lt;&gt;"-",AI326&gt;5),1,0)+IF(AND(AK326&lt;&gt;"-",AK326&gt;5),1,0)+IF(AND(AM326&lt;&gt;"-",AM326&gt;5),1,0)+IF(AND(AO326&lt;&gt;"-",AO326&gt;5),1,0)</f>
        <v>0</v>
      </c>
      <c r="AY326" s="48">
        <f>VLOOKUP(AP326,COND!$A$10:$B$32,2,FALSE)</f>
        <v>1</v>
      </c>
      <c r="AZ326" s="46">
        <f>($AU$3*AU326+$AV$3*AV326+$AW$3*AW326+$AX$3*AX326)*AY326*IF(AQ326&lt;5,0.95,IF(AQ326&lt;7,0.975,1))+$I$3*VLOOKUP(I326,COND!$A$2:$E$7,4,FALSE)+$J$3*VLOOKUP(J326,COND!$A$2:$E$7,2,FALSE)+$K$3*VLOOKUP(K326,COND!$A$2:$E$7,3,FALSE)+IF(BB326="SP",$BB$3,0)+IF($AW326&lt;3,-5,0)+IF(AND($B$2&gt;0,$E326&lt;20),$B$2*25,0)</f>
        <v>27.974607953284938</v>
      </c>
      <c r="BA326" s="49">
        <f>STANDARDIZE(AZ326,AVERAGE($AZ$5:$AZ$570),STDEVP($AZ$5:$AZ$570))</f>
        <v>-0.4353791458534258</v>
      </c>
      <c r="BB326" s="47" t="str">
        <f>IF(OR(AND(AQ326&gt;7,AX326&gt;1),AND(AQ326&gt;4,AW326&gt;2)),"SP","RP")</f>
        <v>RP</v>
      </c>
      <c r="BC326" s="47"/>
      <c r="BD326" s="47"/>
      <c r="BE326" s="47"/>
      <c r="BF326" s="47" t="str">
        <f>IF(AVERAGE($O326:$Q326)&gt;=6,"Likely",IF(AVERAGE($O326:$Q326)&gt;=4,"Possible","Unlikely"))</f>
        <v>Unlikely</v>
      </c>
      <c r="BG326" s="47"/>
      <c r="BH326" s="47" t="str">
        <f>INDEX(Table5[[#All],[Ovr]],MATCH(Table3[[#This Row],[PID]],Table5[[#All],[PID]],0))</f>
        <v/>
      </c>
      <c r="BI326" s="47" t="str">
        <f>INDEX(Table5[[#All],[Rnd]],MATCH(Table3[[#This Row],[PID]],Table5[[#All],[PID]],0))</f>
        <v/>
      </c>
      <c r="BJ326" s="47" t="str">
        <f>INDEX(Table5[[#All],[Pick]],MATCH(Table3[[#This Row],[PID]],Table5[[#All],[PID]],0))</f>
        <v/>
      </c>
      <c r="BK326" s="47" t="str">
        <f>INDEX(Table5[[#All],[Team]],MATCH(Table3[[#This Row],[PID]],Table5[[#All],[PID]],0))</f>
        <v/>
      </c>
      <c r="BL3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7" spans="1:64" ht="15" customHeight="1" x14ac:dyDescent="0.25">
      <c r="A327" s="42">
        <v>6359</v>
      </c>
      <c r="B327" s="42" t="s">
        <v>430</v>
      </c>
      <c r="C327" s="42" t="s">
        <v>1741</v>
      </c>
      <c r="D327" s="42" t="s">
        <v>1433</v>
      </c>
      <c r="E327" s="42">
        <v>18</v>
      </c>
      <c r="F327" s="42" t="s">
        <v>42</v>
      </c>
      <c r="G327" s="42" t="s">
        <v>42</v>
      </c>
      <c r="H327" s="43" t="s">
        <v>721</v>
      </c>
      <c r="I327" s="44" t="s">
        <v>43</v>
      </c>
      <c r="J327" s="42" t="s">
        <v>47</v>
      </c>
      <c r="K327" s="43" t="s">
        <v>43</v>
      </c>
      <c r="L327" s="42">
        <v>1</v>
      </c>
      <c r="M327" s="42">
        <v>1</v>
      </c>
      <c r="N327" s="43">
        <v>1</v>
      </c>
      <c r="O327" s="42">
        <v>4</v>
      </c>
      <c r="P327" s="42">
        <v>1</v>
      </c>
      <c r="Q327" s="43">
        <v>2</v>
      </c>
      <c r="R327" s="42">
        <v>2</v>
      </c>
      <c r="S327" s="42">
        <v>5</v>
      </c>
      <c r="T327" s="42" t="s">
        <v>45</v>
      </c>
      <c r="U327" s="42" t="s">
        <v>45</v>
      </c>
      <c r="V327" s="42">
        <v>2</v>
      </c>
      <c r="W327" s="42">
        <v>6</v>
      </c>
      <c r="X327" s="42">
        <v>1</v>
      </c>
      <c r="Y327" s="42">
        <v>5</v>
      </c>
      <c r="Z327" s="42" t="s">
        <v>45</v>
      </c>
      <c r="AA327" s="42" t="s">
        <v>45</v>
      </c>
      <c r="AB327" s="42" t="s">
        <v>45</v>
      </c>
      <c r="AC327" s="42" t="s">
        <v>45</v>
      </c>
      <c r="AD327" s="42" t="s">
        <v>45</v>
      </c>
      <c r="AE327" s="42" t="s">
        <v>45</v>
      </c>
      <c r="AF327" s="42" t="s">
        <v>45</v>
      </c>
      <c r="AG327" s="42" t="s">
        <v>45</v>
      </c>
      <c r="AH327" s="42" t="s">
        <v>45</v>
      </c>
      <c r="AI327" s="42" t="s">
        <v>45</v>
      </c>
      <c r="AJ327" s="42" t="s">
        <v>45</v>
      </c>
      <c r="AK327" s="42" t="s">
        <v>45</v>
      </c>
      <c r="AL327" s="42" t="s">
        <v>45</v>
      </c>
      <c r="AM327" s="42" t="s">
        <v>45</v>
      </c>
      <c r="AN327" s="42" t="s">
        <v>45</v>
      </c>
      <c r="AO327" s="43" t="s">
        <v>45</v>
      </c>
      <c r="AP327" s="42" t="s">
        <v>65</v>
      </c>
      <c r="AQ327" s="42">
        <v>8</v>
      </c>
      <c r="AR327" s="50" t="s">
        <v>353</v>
      </c>
      <c r="AS327" s="45" t="s">
        <v>730</v>
      </c>
      <c r="AT327" s="45" t="s">
        <v>705</v>
      </c>
      <c r="AU327" s="46">
        <f>($O$3*(L327-$O$1)/$O$2+$P$3*(M327-$P$1)/$P$2+$Q$3*(N327-$P$1)/$Q$2)/SUM($O$3:$Q$3)</f>
        <v>-2.7014842379675978</v>
      </c>
      <c r="AV327" s="46">
        <f>($O$3*(O327-$O$1)/$O$2+$P$3*(P327-$P$1)/$P$2+$Q$3*(Q327-$Q$1)/$Q$2)/SUM($O$3:$Q$3)</f>
        <v>-1.4295949476488956</v>
      </c>
      <c r="AW327" s="47">
        <f>COUNT(R327:AO327)/2</f>
        <v>3</v>
      </c>
      <c r="AX327" s="47">
        <f>IF(AND(S327&lt;&gt;"-",S327&gt;5),1,0)+IF(AND(U327&lt;&gt;"-",U327&gt;5),1,0)+IF(AND(W327&lt;&gt;"-",W327&gt;5),1,0)+IF(AND(Y327&lt;&gt;"-",Y327&gt;5),1,0)+IF(AND(AA327&lt;&gt;"-",AA327&gt;5),1,0)+IF(AND(AC327&lt;&gt;"-",AC327&gt;5),1,0)+IF(AND(AE327&lt;&gt;"-",AE327&gt;5),1,0)+IF(AND(AG327&lt;&gt;"-",AG327&gt;5),1,0)+IF(AND(AI327&lt;&gt;"-",AI327&gt;5),1,0)+IF(AND(AK327&lt;&gt;"-",AK327&gt;5),1,0)+IF(AND(AM327&lt;&gt;"-",AM327&gt;5),1,0)+IF(AND(AO327&lt;&gt;"-",AO327&gt;5),1,0)</f>
        <v>1</v>
      </c>
      <c r="AY327" s="48">
        <f>VLOOKUP(AP327,COND!$A$10:$B$32,2,FALSE)</f>
        <v>0.95</v>
      </c>
      <c r="AZ327" s="46">
        <f>($AU$3*AU327+$AV$3*AV327+$AW$3*AW327+$AX$3*AX327)*AY327*IF(AQ327&lt;5,0.95,IF(AQ327&lt;7,0.975,1))+$I$3*VLOOKUP(I327,COND!$A$2:$E$7,4,FALSE)+$J$3*VLOOKUP(J327,COND!$A$2:$E$7,2,FALSE)+$K$3*VLOOKUP(K327,COND!$A$2:$E$7,3,FALSE)+IF(BB327="SP",$BB$3,0)+IF($AW327&lt;3,-5,0)+IF(AND($B$2&gt;0,$E327&lt;20),$B$2*25,0)</f>
        <v>27.23691398945714</v>
      </c>
      <c r="BA327" s="49">
        <f>STANDARDIZE(AZ327,AVERAGE($AZ$5:$AZ$570),STDEVP($AZ$5:$AZ$570))</f>
        <v>-0.5030288353067025</v>
      </c>
      <c r="BB327" s="47" t="str">
        <f>IF(OR(AND(AQ327&gt;7,AX327&gt;1),AND(AQ327&gt;4,AW327&gt;2)),"SP","RP")</f>
        <v>SP</v>
      </c>
      <c r="BC327" s="47"/>
      <c r="BD327" s="47"/>
      <c r="BE327" s="47"/>
      <c r="BF327" s="47" t="str">
        <f>IF(AVERAGE($O327:$Q327)&gt;=6,"Likely",IF(AVERAGE($O327:$Q327)&gt;=4,"Possible","Unlikely"))</f>
        <v>Unlikely</v>
      </c>
      <c r="BG327" s="47"/>
      <c r="BH327" s="47" t="str">
        <f>INDEX(Table5[[#All],[Ovr]],MATCH(Table3[[#This Row],[PID]],Table5[[#All],[PID]],0))</f>
        <v/>
      </c>
      <c r="BI327" s="47" t="str">
        <f>INDEX(Table5[[#All],[Rnd]],MATCH(Table3[[#This Row],[PID]],Table5[[#All],[PID]],0))</f>
        <v/>
      </c>
      <c r="BJ327" s="47" t="str">
        <f>INDEX(Table5[[#All],[Pick]],MATCH(Table3[[#This Row],[PID]],Table5[[#All],[PID]],0))</f>
        <v/>
      </c>
      <c r="BK327" s="47" t="str">
        <f>INDEX(Table5[[#All],[Team]],MATCH(Table3[[#This Row],[PID]],Table5[[#All],[PID]],0))</f>
        <v/>
      </c>
      <c r="BL3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8" spans="1:64" ht="15" customHeight="1" x14ac:dyDescent="0.25">
      <c r="A328" s="42">
        <v>9649</v>
      </c>
      <c r="B328" s="42" t="s">
        <v>430</v>
      </c>
      <c r="C328" s="42" t="s">
        <v>553</v>
      </c>
      <c r="D328" s="42" t="s">
        <v>869</v>
      </c>
      <c r="E328" s="42">
        <v>21</v>
      </c>
      <c r="F328" s="42" t="s">
        <v>42</v>
      </c>
      <c r="G328" s="42" t="s">
        <v>42</v>
      </c>
      <c r="H328" s="43" t="s">
        <v>721</v>
      </c>
      <c r="I328" s="44" t="s">
        <v>43</v>
      </c>
      <c r="J328" s="42" t="s">
        <v>44</v>
      </c>
      <c r="K328" s="43" t="s">
        <v>43</v>
      </c>
      <c r="L328" s="42">
        <v>3</v>
      </c>
      <c r="M328" s="42">
        <v>2</v>
      </c>
      <c r="N328" s="43">
        <v>1</v>
      </c>
      <c r="O328" s="42">
        <v>6</v>
      </c>
      <c r="P328" s="42">
        <v>2</v>
      </c>
      <c r="Q328" s="43">
        <v>1</v>
      </c>
      <c r="R328" s="42">
        <v>5</v>
      </c>
      <c r="S328" s="42">
        <v>7</v>
      </c>
      <c r="T328" s="42">
        <v>1</v>
      </c>
      <c r="U328" s="42">
        <v>1</v>
      </c>
      <c r="V328" s="42">
        <v>3</v>
      </c>
      <c r="W328" s="42">
        <v>8</v>
      </c>
      <c r="X328" s="42" t="s">
        <v>45</v>
      </c>
      <c r="Y328" s="42" t="s">
        <v>45</v>
      </c>
      <c r="Z328" s="42" t="s">
        <v>45</v>
      </c>
      <c r="AA328" s="42" t="s">
        <v>45</v>
      </c>
      <c r="AB328" s="42" t="s">
        <v>45</v>
      </c>
      <c r="AC328" s="42" t="s">
        <v>45</v>
      </c>
      <c r="AD328" s="42" t="s">
        <v>45</v>
      </c>
      <c r="AE328" s="42" t="s">
        <v>45</v>
      </c>
      <c r="AF328" s="42" t="s">
        <v>45</v>
      </c>
      <c r="AG328" s="42" t="s">
        <v>45</v>
      </c>
      <c r="AH328" s="42" t="s">
        <v>45</v>
      </c>
      <c r="AI328" s="42" t="s">
        <v>45</v>
      </c>
      <c r="AJ328" s="42" t="s">
        <v>45</v>
      </c>
      <c r="AK328" s="42" t="s">
        <v>45</v>
      </c>
      <c r="AL328" s="42" t="s">
        <v>45</v>
      </c>
      <c r="AM328" s="42" t="s">
        <v>45</v>
      </c>
      <c r="AN328" s="42" t="s">
        <v>45</v>
      </c>
      <c r="AO328" s="43" t="s">
        <v>45</v>
      </c>
      <c r="AP328" s="42" t="s">
        <v>56</v>
      </c>
      <c r="AQ328" s="42">
        <v>10</v>
      </c>
      <c r="AR328" s="50" t="s">
        <v>353</v>
      </c>
      <c r="AS328" s="45" t="s">
        <v>45</v>
      </c>
      <c r="AT328" s="45" t="s">
        <v>47</v>
      </c>
      <c r="AU328" s="46">
        <f>($O$3*(L328-$O$1)/$O$2+$P$3*(M328-$P$1)/$P$2+$Q$3*(N328-$P$1)/$Q$2)/SUM($O$3:$Q$3)</f>
        <v>-2.1166698725191955</v>
      </c>
      <c r="AV328" s="46">
        <f>($O$3*(O328-$O$1)/$O$2+$P$3*(P328-$P$1)/$P$2+$Q$3*(Q328-$Q$1)/$Q$2)/SUM($O$3:$Q$3)</f>
        <v>-1.0871011482546034</v>
      </c>
      <c r="AW328" s="47">
        <f>COUNT(R328:AO328)/2</f>
        <v>3</v>
      </c>
      <c r="AX328" s="47">
        <f>IF(AND(S328&lt;&gt;"-",S328&gt;5),1,0)+IF(AND(U328&lt;&gt;"-",U328&gt;5),1,0)+IF(AND(W328&lt;&gt;"-",W328&gt;5),1,0)+IF(AND(Y328&lt;&gt;"-",Y328&gt;5),1,0)+IF(AND(AA328&lt;&gt;"-",AA328&gt;5),1,0)+IF(AND(AC328&lt;&gt;"-",AC328&gt;5),1,0)+IF(AND(AE328&lt;&gt;"-",AE328&gt;5),1,0)+IF(AND(AG328&lt;&gt;"-",AG328&gt;5),1,0)+IF(AND(AI328&lt;&gt;"-",AI328&gt;5),1,0)+IF(AND(AK328&lt;&gt;"-",AK328&gt;5),1,0)+IF(AND(AM328&lt;&gt;"-",AM328&gt;5),1,0)+IF(AND(AO328&lt;&gt;"-",AO328&gt;5),1,0)</f>
        <v>2</v>
      </c>
      <c r="AY328" s="48">
        <f>VLOOKUP(AP328,COND!$A$10:$B$32,2,FALSE)</f>
        <v>1</v>
      </c>
      <c r="AZ328" s="46">
        <f>($AU$3*AU328+$AV$3*AV328+$AW$3*AW328+$AX$3*AX328)*AY328*IF(AQ328&lt;5,0.95,IF(AQ328&lt;7,0.975,1))+$I$3*VLOOKUP(I328,COND!$A$2:$E$7,4,FALSE)+$J$3*VLOOKUP(J328,COND!$A$2:$E$7,2,FALSE)+$K$3*VLOOKUP(K328,COND!$A$2:$E$7,3,FALSE)+IF(BB328="SP",$BB$3,0)+IF($AW328&lt;3,-5,0)+IF(AND($B$2&gt;0,$E328&lt;20),$B$2*25,0)</f>
        <v>28.53464306040409</v>
      </c>
      <c r="BA328" s="49">
        <f>STANDARDIZE(AZ328,AVERAGE($AZ$5:$AZ$570),STDEVP($AZ$5:$AZ$570))</f>
        <v>-0.38402153289024443</v>
      </c>
      <c r="BB328" s="47" t="str">
        <f>IF(OR(AND(AQ328&gt;7,AX328&gt;1),AND(AQ328&gt;4,AW328&gt;2)),"SP","RP")</f>
        <v>SP</v>
      </c>
      <c r="BC328" s="47"/>
      <c r="BD328" s="47"/>
      <c r="BE328" s="47"/>
      <c r="BF328" s="47" t="str">
        <f>IF(AVERAGE($O328:$Q328)&gt;=6,"Likely",IF(AVERAGE($O328:$Q328)&gt;=4,"Possible","Unlikely"))</f>
        <v>Unlikely</v>
      </c>
      <c r="BG328" s="47"/>
      <c r="BH328" s="47" t="str">
        <f>INDEX(Table5[[#All],[Ovr]],MATCH(Table3[[#This Row],[PID]],Table5[[#All],[PID]],0))</f>
        <v/>
      </c>
      <c r="BI328" s="47" t="str">
        <f>INDEX(Table5[[#All],[Rnd]],MATCH(Table3[[#This Row],[PID]],Table5[[#All],[PID]],0))</f>
        <v/>
      </c>
      <c r="BJ328" s="47" t="str">
        <f>INDEX(Table5[[#All],[Pick]],MATCH(Table3[[#This Row],[PID]],Table5[[#All],[PID]],0))</f>
        <v/>
      </c>
      <c r="BK328" s="47" t="str">
        <f>INDEX(Table5[[#All],[Team]],MATCH(Table3[[#This Row],[PID]],Table5[[#All],[PID]],0))</f>
        <v/>
      </c>
      <c r="BL3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9" spans="1:64" ht="15" customHeight="1" x14ac:dyDescent="0.25">
      <c r="A329" s="42">
        <v>9231</v>
      </c>
      <c r="B329" s="42" t="s">
        <v>430</v>
      </c>
      <c r="C329" s="42" t="s">
        <v>137</v>
      </c>
      <c r="D329" s="42" t="s">
        <v>1517</v>
      </c>
      <c r="E329" s="42">
        <v>21</v>
      </c>
      <c r="F329" s="42" t="s">
        <v>53</v>
      </c>
      <c r="G329" s="42" t="s">
        <v>53</v>
      </c>
      <c r="H329" s="43" t="s">
        <v>721</v>
      </c>
      <c r="I329" s="44" t="s">
        <v>43</v>
      </c>
      <c r="J329" s="42" t="s">
        <v>43</v>
      </c>
      <c r="K329" s="43" t="s">
        <v>43</v>
      </c>
      <c r="L329" s="42">
        <v>3</v>
      </c>
      <c r="M329" s="42">
        <v>2</v>
      </c>
      <c r="N329" s="43">
        <v>2</v>
      </c>
      <c r="O329" s="42">
        <v>5</v>
      </c>
      <c r="P329" s="42">
        <v>2</v>
      </c>
      <c r="Q329" s="43">
        <v>3</v>
      </c>
      <c r="R329" s="42">
        <v>4</v>
      </c>
      <c r="S329" s="42">
        <v>6</v>
      </c>
      <c r="T329" s="42" t="s">
        <v>45</v>
      </c>
      <c r="U329" s="42" t="s">
        <v>45</v>
      </c>
      <c r="V329" s="42" t="s">
        <v>45</v>
      </c>
      <c r="W329" s="42" t="s">
        <v>45</v>
      </c>
      <c r="X329" s="42">
        <v>3</v>
      </c>
      <c r="Y329" s="42">
        <v>6</v>
      </c>
      <c r="Z329" s="42" t="s">
        <v>45</v>
      </c>
      <c r="AA329" s="42" t="s">
        <v>45</v>
      </c>
      <c r="AB329" s="42" t="s">
        <v>45</v>
      </c>
      <c r="AC329" s="42" t="s">
        <v>45</v>
      </c>
      <c r="AD329" s="42" t="s">
        <v>45</v>
      </c>
      <c r="AE329" s="42" t="s">
        <v>45</v>
      </c>
      <c r="AF329" s="42" t="s">
        <v>45</v>
      </c>
      <c r="AG329" s="42" t="s">
        <v>45</v>
      </c>
      <c r="AH329" s="42" t="s">
        <v>45</v>
      </c>
      <c r="AI329" s="42" t="s">
        <v>45</v>
      </c>
      <c r="AJ329" s="42" t="s">
        <v>45</v>
      </c>
      <c r="AK329" s="42" t="s">
        <v>45</v>
      </c>
      <c r="AL329" s="42" t="s">
        <v>45</v>
      </c>
      <c r="AM329" s="42" t="s">
        <v>45</v>
      </c>
      <c r="AN329" s="42" t="s">
        <v>45</v>
      </c>
      <c r="AO329" s="43" t="s">
        <v>45</v>
      </c>
      <c r="AP329" s="42" t="s">
        <v>58</v>
      </c>
      <c r="AQ329" s="42">
        <v>3</v>
      </c>
      <c r="AR329" s="50" t="s">
        <v>353</v>
      </c>
      <c r="AS329" s="45" t="s">
        <v>45</v>
      </c>
      <c r="AT329" s="45" t="s">
        <v>47</v>
      </c>
      <c r="AU329" s="46">
        <f>($O$3*(L329-$O$1)/$O$2+$P$3*(M329-$P$1)/$P$2+$Q$3*(N329-$P$1)/$Q$2)/SUM($O$3:$Q$3)</f>
        <v>-1.8743493064650851</v>
      </c>
      <c r="AV329" s="46">
        <f>($O$3*(O329-$O$1)/$O$2+$P$3*(P329-$P$1)/$P$2+$Q$3*(Q329-$Q$1)/$Q$2)/SUM($O$3:$Q$3)</f>
        <v>-0.79715134065555615</v>
      </c>
      <c r="AW329" s="47">
        <f>COUNT(R329:AO329)/2</f>
        <v>2</v>
      </c>
      <c r="AX329" s="47">
        <f>IF(AND(S329&lt;&gt;"-",S329&gt;5),1,0)+IF(AND(U329&lt;&gt;"-",U329&gt;5),1,0)+IF(AND(W329&lt;&gt;"-",W329&gt;5),1,0)+IF(AND(Y329&lt;&gt;"-",Y329&gt;5),1,0)+IF(AND(AA329&lt;&gt;"-",AA329&gt;5),1,0)+IF(AND(AC329&lt;&gt;"-",AC329&gt;5),1,0)+IF(AND(AE329&lt;&gt;"-",AE329&gt;5),1,0)+IF(AND(AG329&lt;&gt;"-",AG329&gt;5),1,0)+IF(AND(AI329&lt;&gt;"-",AI329&gt;5),1,0)+IF(AND(AK329&lt;&gt;"-",AK329&gt;5),1,0)+IF(AND(AM329&lt;&gt;"-",AM329&gt;5),1,0)+IF(AND(AO329&lt;&gt;"-",AO329&gt;5),1,0)</f>
        <v>2</v>
      </c>
      <c r="AY329" s="48">
        <f>VLOOKUP(AP329,COND!$A$10:$B$32,2,FALSE)</f>
        <v>1</v>
      </c>
      <c r="AZ329" s="46">
        <f>($AU$3*AU329+$AV$3*AV329+$AW$3*AW329+$AX$3*AX329)*AY329*IF(AQ329&lt;5,0.95,IF(AQ329&lt;7,0.975,1))+$I$3*VLOOKUP(I329,COND!$A$2:$E$7,4,FALSE)+$J$3*VLOOKUP(J329,COND!$A$2:$E$7,2,FALSE)+$K$3*VLOOKUP(K329,COND!$A$2:$E$7,3,FALSE)+IF(BB329="SP",$BB$3,0)+IF($AW329&lt;3,-5,0)+IF(AND($B$2&gt;0,$E329&lt;20),$B$2*25,0)</f>
        <v>27.822998159316072</v>
      </c>
      <c r="BA329" s="49">
        <f>STANDARDIZE(AZ329,AVERAGE($AZ$5:$AZ$570),STDEVP($AZ$5:$AZ$570))</f>
        <v>-0.44928241195424923</v>
      </c>
      <c r="BB329" s="47" t="str">
        <f>IF(OR(AND(AQ329&gt;7,AX329&gt;1),AND(AQ329&gt;4,AW329&gt;2)),"SP","RP")</f>
        <v>RP</v>
      </c>
      <c r="BC329" s="47"/>
      <c r="BD329" s="47"/>
      <c r="BE329" s="47"/>
      <c r="BF329" s="47" t="str">
        <f>IF(AVERAGE($O329:$Q329)&gt;=6,"Likely",IF(AVERAGE($O329:$Q329)&gt;=4,"Possible","Unlikely"))</f>
        <v>Unlikely</v>
      </c>
      <c r="BG329" s="47"/>
      <c r="BH329" s="47" t="str">
        <f>INDEX(Table5[[#All],[Ovr]],MATCH(Table3[[#This Row],[PID]],Table5[[#All],[PID]],0))</f>
        <v/>
      </c>
      <c r="BI329" s="47" t="str">
        <f>INDEX(Table5[[#All],[Rnd]],MATCH(Table3[[#This Row],[PID]],Table5[[#All],[PID]],0))</f>
        <v/>
      </c>
      <c r="BJ329" s="47" t="str">
        <f>INDEX(Table5[[#All],[Pick]],MATCH(Table3[[#This Row],[PID]],Table5[[#All],[PID]],0))</f>
        <v/>
      </c>
      <c r="BK329" s="47" t="str">
        <f>INDEX(Table5[[#All],[Team]],MATCH(Table3[[#This Row],[PID]],Table5[[#All],[PID]],0))</f>
        <v/>
      </c>
      <c r="BL3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0" spans="1:64" ht="15" customHeight="1" x14ac:dyDescent="0.25">
      <c r="A330" s="42">
        <v>17622</v>
      </c>
      <c r="B330" s="42" t="s">
        <v>430</v>
      </c>
      <c r="C330" s="42" t="s">
        <v>210</v>
      </c>
      <c r="D330" s="42" t="s">
        <v>1762</v>
      </c>
      <c r="E330" s="42">
        <v>18</v>
      </c>
      <c r="F330" s="42" t="s">
        <v>42</v>
      </c>
      <c r="G330" s="42" t="s">
        <v>42</v>
      </c>
      <c r="H330" s="43" t="s">
        <v>721</v>
      </c>
      <c r="I330" s="44" t="s">
        <v>43</v>
      </c>
      <c r="J330" s="42" t="s">
        <v>43</v>
      </c>
      <c r="K330" s="43" t="s">
        <v>43</v>
      </c>
      <c r="L330" s="42">
        <v>1</v>
      </c>
      <c r="M330" s="42">
        <v>1</v>
      </c>
      <c r="N330" s="43">
        <v>1</v>
      </c>
      <c r="O330" s="42">
        <v>3</v>
      </c>
      <c r="P330" s="42">
        <v>2</v>
      </c>
      <c r="Q330" s="43">
        <v>2</v>
      </c>
      <c r="R330" s="42">
        <v>2</v>
      </c>
      <c r="S330" s="42">
        <v>3</v>
      </c>
      <c r="T330" s="42">
        <v>1</v>
      </c>
      <c r="U330" s="42">
        <v>5</v>
      </c>
      <c r="V330" s="42">
        <v>2</v>
      </c>
      <c r="W330" s="42">
        <v>5</v>
      </c>
      <c r="X330" s="42" t="s">
        <v>45</v>
      </c>
      <c r="Y330" s="42" t="s">
        <v>45</v>
      </c>
      <c r="Z330" s="42" t="s">
        <v>45</v>
      </c>
      <c r="AA330" s="42" t="s">
        <v>45</v>
      </c>
      <c r="AB330" s="42" t="s">
        <v>45</v>
      </c>
      <c r="AC330" s="42" t="s">
        <v>45</v>
      </c>
      <c r="AD330" s="42" t="s">
        <v>45</v>
      </c>
      <c r="AE330" s="42" t="s">
        <v>45</v>
      </c>
      <c r="AF330" s="42" t="s">
        <v>45</v>
      </c>
      <c r="AG330" s="42" t="s">
        <v>45</v>
      </c>
      <c r="AH330" s="42" t="s">
        <v>45</v>
      </c>
      <c r="AI330" s="42" t="s">
        <v>45</v>
      </c>
      <c r="AJ330" s="42" t="s">
        <v>45</v>
      </c>
      <c r="AK330" s="42" t="s">
        <v>45</v>
      </c>
      <c r="AL330" s="42" t="s">
        <v>45</v>
      </c>
      <c r="AM330" s="42" t="s">
        <v>45</v>
      </c>
      <c r="AN330" s="42" t="s">
        <v>45</v>
      </c>
      <c r="AO330" s="43" t="s">
        <v>45</v>
      </c>
      <c r="AP330" s="42" t="s">
        <v>70</v>
      </c>
      <c r="AQ330" s="42">
        <v>6</v>
      </c>
      <c r="AR330" s="50" t="s">
        <v>14</v>
      </c>
      <c r="AS330" s="45" t="s">
        <v>730</v>
      </c>
      <c r="AT330" s="45" t="s">
        <v>47</v>
      </c>
      <c r="AU330" s="46">
        <f>($O$3*(L330-$O$1)/$O$2+$P$3*(M330-$P$1)/$P$2+$Q$3*(N330-$P$1)/$Q$2)/SUM($O$3:$Q$3)</f>
        <v>-2.7014842379675978</v>
      </c>
      <c r="AV330" s="46">
        <f>($O$3*(O330-$O$1)/$O$2+$P$3*(P330-$P$1)/$P$2+$Q$3*(Q330-$Q$1)/$Q$2)/SUM($O$3:$Q$3)</f>
        <v>-1.4288545557280135</v>
      </c>
      <c r="AW330" s="47">
        <f>COUNT(R330:AO330)/2</f>
        <v>3</v>
      </c>
      <c r="AX330" s="47">
        <f>IF(AND(S330&lt;&gt;"-",S330&gt;5),1,0)+IF(AND(U330&lt;&gt;"-",U330&gt;5),1,0)+IF(AND(W330&lt;&gt;"-",W330&gt;5),1,0)+IF(AND(Y330&lt;&gt;"-",Y330&gt;5),1,0)+IF(AND(AA330&lt;&gt;"-",AA330&gt;5),1,0)+IF(AND(AC330&lt;&gt;"-",AC330&gt;5),1,0)+IF(AND(AE330&lt;&gt;"-",AE330&gt;5),1,0)+IF(AND(AG330&lt;&gt;"-",AG330&gt;5),1,0)+IF(AND(AI330&lt;&gt;"-",AI330&gt;5),1,0)+IF(AND(AK330&lt;&gt;"-",AK330&gt;5),1,0)+IF(AND(AM330&lt;&gt;"-",AM330&gt;5),1,0)+IF(AND(AO330&lt;&gt;"-",AO330&gt;5),1,0)</f>
        <v>0</v>
      </c>
      <c r="AY330" s="48">
        <f>VLOOKUP(AP330,COND!$A$10:$B$32,2,FALSE)</f>
        <v>0.9</v>
      </c>
      <c r="AZ330" s="46">
        <f>($AU$3*AU330+$AV$3*AV330+$AW$3*AW330+$AX$3*AX330)*AY330*IF(AQ330&lt;5,0.95,IF(AQ330&lt;7,0.975,1))+$I$3*VLOOKUP(I330,COND!$A$2:$E$7,4,FALSE)+$J$3*VLOOKUP(J330,COND!$A$2:$E$7,2,FALSE)+$K$3*VLOOKUP(K330,COND!$A$2:$E$7,3,FALSE)+IF(BB330="SP",$BB$3,0)+IF($AW330&lt;3,-5,0)+IF(AND($B$2&gt;0,$E330&lt;20),$B$2*25,0)</f>
        <v>27.765742063210052</v>
      </c>
      <c r="BA330" s="49">
        <f>STANDARDIZE(AZ330,AVERAGE($AZ$5:$AZ$570),STDEVP($AZ$5:$AZ$570))</f>
        <v>-0.45453304068486922</v>
      </c>
      <c r="BB330" s="47" t="str">
        <f>IF(OR(AND(AQ330&gt;7,AX330&gt;1),AND(AQ330&gt;4,AW330&gt;2)),"SP","RP")</f>
        <v>SP</v>
      </c>
      <c r="BC330" s="47"/>
      <c r="BD330" s="47"/>
      <c r="BE330" s="47"/>
      <c r="BF330" s="47" t="str">
        <f>IF(AVERAGE($O330:$Q330)&gt;=6,"Likely",IF(AVERAGE($O330:$Q330)&gt;=4,"Possible","Unlikely"))</f>
        <v>Unlikely</v>
      </c>
      <c r="BG330" s="47"/>
      <c r="BH330" s="47" t="str">
        <f>INDEX(Table5[[#All],[Ovr]],MATCH(Table3[[#This Row],[PID]],Table5[[#All],[PID]],0))</f>
        <v/>
      </c>
      <c r="BI330" s="47" t="str">
        <f>INDEX(Table5[[#All],[Rnd]],MATCH(Table3[[#This Row],[PID]],Table5[[#All],[PID]],0))</f>
        <v/>
      </c>
      <c r="BJ330" s="47" t="str">
        <f>INDEX(Table5[[#All],[Pick]],MATCH(Table3[[#This Row],[PID]],Table5[[#All],[PID]],0))</f>
        <v/>
      </c>
      <c r="BK330" s="47" t="str">
        <f>INDEX(Table5[[#All],[Team]],MATCH(Table3[[#This Row],[PID]],Table5[[#All],[PID]],0))</f>
        <v/>
      </c>
      <c r="BL3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1" spans="1:64" ht="15" customHeight="1" x14ac:dyDescent="0.25">
      <c r="A331" s="42">
        <v>17614</v>
      </c>
      <c r="B331" s="42" t="s">
        <v>430</v>
      </c>
      <c r="C331" s="42" t="s">
        <v>143</v>
      </c>
      <c r="D331" s="42" t="s">
        <v>184</v>
      </c>
      <c r="E331" s="42">
        <v>18</v>
      </c>
      <c r="F331" s="42" t="s">
        <v>53</v>
      </c>
      <c r="G331" s="42" t="s">
        <v>53</v>
      </c>
      <c r="H331" s="43" t="s">
        <v>721</v>
      </c>
      <c r="I331" s="44" t="s">
        <v>43</v>
      </c>
      <c r="J331" s="42" t="s">
        <v>47</v>
      </c>
      <c r="K331" s="43" t="s">
        <v>43</v>
      </c>
      <c r="L331" s="42">
        <v>1</v>
      </c>
      <c r="M331" s="42">
        <v>2</v>
      </c>
      <c r="N331" s="43">
        <v>1</v>
      </c>
      <c r="O331" s="42">
        <v>3</v>
      </c>
      <c r="P331" s="42">
        <v>2</v>
      </c>
      <c r="Q331" s="43">
        <v>2</v>
      </c>
      <c r="R331" s="42">
        <v>2</v>
      </c>
      <c r="S331" s="42">
        <v>4</v>
      </c>
      <c r="T331" s="42">
        <v>1</v>
      </c>
      <c r="U331" s="42">
        <v>1</v>
      </c>
      <c r="V331" s="42" t="s">
        <v>45</v>
      </c>
      <c r="W331" s="42" t="s">
        <v>45</v>
      </c>
      <c r="X331" s="42" t="s">
        <v>45</v>
      </c>
      <c r="Y331" s="42" t="s">
        <v>45</v>
      </c>
      <c r="Z331" s="42">
        <v>2</v>
      </c>
      <c r="AA331" s="42">
        <v>5</v>
      </c>
      <c r="AB331" s="42" t="s">
        <v>45</v>
      </c>
      <c r="AC331" s="42" t="s">
        <v>45</v>
      </c>
      <c r="AD331" s="42" t="s">
        <v>45</v>
      </c>
      <c r="AE331" s="42" t="s">
        <v>45</v>
      </c>
      <c r="AF331" s="42" t="s">
        <v>45</v>
      </c>
      <c r="AG331" s="42" t="s">
        <v>45</v>
      </c>
      <c r="AH331" s="42" t="s">
        <v>45</v>
      </c>
      <c r="AI331" s="42" t="s">
        <v>45</v>
      </c>
      <c r="AJ331" s="42" t="s">
        <v>45</v>
      </c>
      <c r="AK331" s="42" t="s">
        <v>45</v>
      </c>
      <c r="AL331" s="42" t="s">
        <v>45</v>
      </c>
      <c r="AM331" s="42" t="s">
        <v>45</v>
      </c>
      <c r="AN331" s="42" t="s">
        <v>45</v>
      </c>
      <c r="AO331" s="43" t="s">
        <v>45</v>
      </c>
      <c r="AP331" s="42" t="s">
        <v>67</v>
      </c>
      <c r="AQ331" s="42">
        <v>6</v>
      </c>
      <c r="AR331" s="50" t="s">
        <v>353</v>
      </c>
      <c r="AS331" s="45" t="s">
        <v>758</v>
      </c>
      <c r="AT331" s="45" t="s">
        <v>47</v>
      </c>
      <c r="AU331" s="46">
        <f>($O$3*(L331-$O$1)/$O$2+$P$3*(M331-$P$1)/$P$2+$Q$3*(N331-$P$1)/$Q$2)/SUM($O$3:$Q$3)</f>
        <v>-2.5060525215375429</v>
      </c>
      <c r="AV331" s="46">
        <f>($O$3*(O331-$O$1)/$O$2+$P$3*(P331-$P$1)/$P$2+$Q$3*(Q331-$Q$1)/$Q$2)/SUM($O$3:$Q$3)</f>
        <v>-1.4288545557280135</v>
      </c>
      <c r="AW331" s="47">
        <f>COUNT(R331:AO331)/2</f>
        <v>3</v>
      </c>
      <c r="AX331" s="47">
        <f>IF(AND(S331&lt;&gt;"-",S331&gt;5),1,0)+IF(AND(U331&lt;&gt;"-",U331&gt;5),1,0)+IF(AND(W331&lt;&gt;"-",W331&gt;5),1,0)+IF(AND(Y331&lt;&gt;"-",Y331&gt;5),1,0)+IF(AND(AA331&lt;&gt;"-",AA331&gt;5),1,0)+IF(AND(AC331&lt;&gt;"-",AC331&gt;5),1,0)+IF(AND(AE331&lt;&gt;"-",AE331&gt;5),1,0)+IF(AND(AG331&lt;&gt;"-",AG331&gt;5),1,0)+IF(AND(AI331&lt;&gt;"-",AI331&gt;5),1,0)+IF(AND(AK331&lt;&gt;"-",AK331&gt;5),1,0)+IF(AND(AM331&lt;&gt;"-",AM331&gt;5),1,0)+IF(AND(AO331&lt;&gt;"-",AO331&gt;5),1,0)</f>
        <v>0</v>
      </c>
      <c r="AY331" s="48">
        <f>VLOOKUP(AP331,COND!$A$10:$B$32,2,FALSE)</f>
        <v>0.9</v>
      </c>
      <c r="AZ331" s="46">
        <f>($AU$3*AU331+$AV$3*AV331+$AW$3*AW331+$AX$3*AX331)*AY331*IF(AQ331&lt;5,0.95,IF(AQ331&lt;7,0.975,1))+$I$3*VLOOKUP(I331,COND!$A$2:$E$7,4,FALSE)+$J$3*VLOOKUP(J331,COND!$A$2:$E$7,2,FALSE)+$K$3*VLOOKUP(K331,COND!$A$2:$E$7,3,FALSE)+IF(BB331="SP",$BB$3,0)+IF($AW331&lt;3,-5,0)+IF(AND($B$2&gt;0,$E331&lt;20),$B$2*25,0)</f>
        <v>28.100040329443527</v>
      </c>
      <c r="BA331" s="49">
        <f>STANDARDIZE(AZ331,AVERAGE($AZ$5:$AZ$676),STDEVP($AZ$5:$AZ$676))</f>
        <v>-0.20115768876665771</v>
      </c>
      <c r="BB331" s="47" t="str">
        <f>IF(OR(AND(AQ331&gt;7,AX331&gt;1),AND(AQ331&gt;4,AW331&gt;2)),"SP","RP")</f>
        <v>SP</v>
      </c>
      <c r="BC331" s="47"/>
      <c r="BD331" s="47"/>
      <c r="BE331" s="47"/>
      <c r="BF331" s="47" t="str">
        <f>IF(AVERAGE($O331:$Q331)&gt;=6,"Likely",IF(AVERAGE($O331:$Q331)&gt;=4,"Possible","Unlikely"))</f>
        <v>Unlikely</v>
      </c>
      <c r="BG331" s="47"/>
      <c r="BH331" s="47" t="str">
        <f>INDEX(Table5[[#All],[Ovr]],MATCH(Table3[[#This Row],[PID]],Table5[[#All],[PID]],0))</f>
        <v/>
      </c>
      <c r="BI331" s="47" t="str">
        <f>INDEX(Table5[[#All],[Rnd]],MATCH(Table3[[#This Row],[PID]],Table5[[#All],[PID]],0))</f>
        <v/>
      </c>
      <c r="BJ331" s="47" t="str">
        <f>INDEX(Table5[[#All],[Pick]],MATCH(Table3[[#This Row],[PID]],Table5[[#All],[PID]],0))</f>
        <v/>
      </c>
      <c r="BK331" s="47" t="str">
        <f>INDEX(Table5[[#All],[Team]],MATCH(Table3[[#This Row],[PID]],Table5[[#All],[PID]],0))</f>
        <v/>
      </c>
      <c r="BL3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2" spans="1:64" ht="15" customHeight="1" x14ac:dyDescent="0.25">
      <c r="A332" s="42">
        <v>12326</v>
      </c>
      <c r="B332" s="42" t="s">
        <v>430</v>
      </c>
      <c r="C332" s="42" t="s">
        <v>1011</v>
      </c>
      <c r="D332" s="42" t="s">
        <v>439</v>
      </c>
      <c r="E332" s="42">
        <v>22</v>
      </c>
      <c r="F332" s="42" t="s">
        <v>42</v>
      </c>
      <c r="G332" s="42" t="s">
        <v>42</v>
      </c>
      <c r="H332" s="43" t="s">
        <v>721</v>
      </c>
      <c r="I332" s="44" t="s">
        <v>43</v>
      </c>
      <c r="J332" s="42" t="s">
        <v>44</v>
      </c>
      <c r="K332" s="43" t="s">
        <v>43</v>
      </c>
      <c r="L332" s="42">
        <v>3</v>
      </c>
      <c r="M332" s="42">
        <v>2</v>
      </c>
      <c r="N332" s="43">
        <v>2</v>
      </c>
      <c r="O332" s="42">
        <v>4</v>
      </c>
      <c r="P332" s="42">
        <v>2</v>
      </c>
      <c r="Q332" s="43">
        <v>3</v>
      </c>
      <c r="R332" s="42">
        <v>5</v>
      </c>
      <c r="S332" s="42">
        <v>5</v>
      </c>
      <c r="T332" s="42">
        <v>3</v>
      </c>
      <c r="U332" s="42">
        <v>5</v>
      </c>
      <c r="V332" s="42">
        <v>3</v>
      </c>
      <c r="W332" s="42">
        <v>4</v>
      </c>
      <c r="X332" s="42" t="s">
        <v>45</v>
      </c>
      <c r="Y332" s="42" t="s">
        <v>45</v>
      </c>
      <c r="Z332" s="42" t="s">
        <v>45</v>
      </c>
      <c r="AA332" s="42" t="s">
        <v>45</v>
      </c>
      <c r="AB332" s="42" t="s">
        <v>45</v>
      </c>
      <c r="AC332" s="42" t="s">
        <v>45</v>
      </c>
      <c r="AD332" s="42" t="s">
        <v>45</v>
      </c>
      <c r="AE332" s="42" t="s">
        <v>45</v>
      </c>
      <c r="AF332" s="42" t="s">
        <v>45</v>
      </c>
      <c r="AG332" s="42" t="s">
        <v>45</v>
      </c>
      <c r="AH332" s="42" t="s">
        <v>45</v>
      </c>
      <c r="AI332" s="42" t="s">
        <v>45</v>
      </c>
      <c r="AJ332" s="42" t="s">
        <v>45</v>
      </c>
      <c r="AK332" s="42" t="s">
        <v>45</v>
      </c>
      <c r="AL332" s="42" t="s">
        <v>45</v>
      </c>
      <c r="AM332" s="42" t="s">
        <v>45</v>
      </c>
      <c r="AN332" s="42" t="s">
        <v>45</v>
      </c>
      <c r="AO332" s="43" t="s">
        <v>45</v>
      </c>
      <c r="AP332" s="42" t="s">
        <v>356</v>
      </c>
      <c r="AQ332" s="42">
        <v>6</v>
      </c>
      <c r="AR332" s="50" t="s">
        <v>353</v>
      </c>
      <c r="AS332" s="45" t="s">
        <v>45</v>
      </c>
      <c r="AT332" s="45" t="s">
        <v>705</v>
      </c>
      <c r="AU332" s="46">
        <f>($O$3*(L332-$O$1)/$O$2+$P$3*(M332-$P$1)/$P$2+$Q$3*(N332-$P$1)/$Q$2)/SUM($O$3:$Q$3)</f>
        <v>-1.8743493064650851</v>
      </c>
      <c r="AV332" s="46">
        <f>($O$3*(O332-$O$1)/$O$2+$P$3*(P332-$P$1)/$P$2+$Q$3*(Q332-$Q$1)/$Q$2)/SUM($O$3:$Q$3)</f>
        <v>-0.99184266516472974</v>
      </c>
      <c r="AW332" s="47">
        <f>COUNT(R332:AO332)/2</f>
        <v>3</v>
      </c>
      <c r="AX332" s="47">
        <f>IF(AND(S332&lt;&gt;"-",S332&gt;5),1,0)+IF(AND(U332&lt;&gt;"-",U332&gt;5),1,0)+IF(AND(W332&lt;&gt;"-",W332&gt;5),1,0)+IF(AND(Y332&lt;&gt;"-",Y332&gt;5),1,0)+IF(AND(AA332&lt;&gt;"-",AA332&gt;5),1,0)+IF(AND(AC332&lt;&gt;"-",AC332&gt;5),1,0)+IF(AND(AE332&lt;&gt;"-",AE332&gt;5),1,0)+IF(AND(AG332&lt;&gt;"-",AG332&gt;5),1,0)+IF(AND(AI332&lt;&gt;"-",AI332&gt;5),1,0)+IF(AND(AK332&lt;&gt;"-",AK332&gt;5),1,0)+IF(AND(AM332&lt;&gt;"-",AM332&gt;5),1,0)+IF(AND(AO332&lt;&gt;"-",AO332&gt;5),1,0)</f>
        <v>0</v>
      </c>
      <c r="AY332" s="48">
        <f>VLOOKUP(AP332,COND!$A$10:$B$32,2,FALSE)</f>
        <v>1</v>
      </c>
      <c r="AZ332" s="46">
        <f>($AU$3*AU332+$AV$3*AV332+$AW$3*AW332+$AX$3*AX332)*AY332*IF(AQ332&lt;5,0.95,IF(AQ332&lt;7,0.975,1))+$I$3*VLOOKUP(I332,COND!$A$2:$E$7,4,FALSE)+$J$3*VLOOKUP(J332,COND!$A$2:$E$7,2,FALSE)+$K$3*VLOOKUP(K332,COND!$A$2:$E$7,3,FALSE)+IF(BB332="SP",$BB$3,0)+IF($AW332&lt;3,-5,0)+IF(AND($B$2&gt;0,$E332&lt;20),$B$2*25,0)</f>
        <v>28.456069914527077</v>
      </c>
      <c r="BA332" s="49">
        <f>STANDARDIZE(AZ332,AVERAGE($AZ$5:$AZ$570),STDEVP($AZ$5:$AZ$570))</f>
        <v>-0.39122702619585009</v>
      </c>
      <c r="BB332" s="47" t="str">
        <f>IF(OR(AND(AQ332&gt;7,AX332&gt;1),AND(AQ332&gt;4,AW332&gt;2)),"SP","RP")</f>
        <v>SP</v>
      </c>
      <c r="BC332" s="47"/>
      <c r="BD332" s="47"/>
      <c r="BE332" s="47"/>
      <c r="BF332" s="47" t="str">
        <f>IF(AVERAGE($O332:$Q332)&gt;=6,"Likely",IF(AVERAGE($O332:$Q332)&gt;=4,"Possible","Unlikely"))</f>
        <v>Unlikely</v>
      </c>
      <c r="BG332" s="47"/>
      <c r="BH332" s="47" t="str">
        <f>INDEX(Table5[[#All],[Ovr]],MATCH(Table3[[#This Row],[PID]],Table5[[#All],[PID]],0))</f>
        <v/>
      </c>
      <c r="BI332" s="47" t="str">
        <f>INDEX(Table5[[#All],[Rnd]],MATCH(Table3[[#This Row],[PID]],Table5[[#All],[PID]],0))</f>
        <v/>
      </c>
      <c r="BJ332" s="47" t="str">
        <f>INDEX(Table5[[#All],[Pick]],MATCH(Table3[[#This Row],[PID]],Table5[[#All],[PID]],0))</f>
        <v/>
      </c>
      <c r="BK332" s="47" t="str">
        <f>INDEX(Table5[[#All],[Team]],MATCH(Table3[[#This Row],[PID]],Table5[[#All],[PID]],0))</f>
        <v/>
      </c>
      <c r="BL3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3" spans="1:64" ht="15" customHeight="1" x14ac:dyDescent="0.25">
      <c r="A333" s="42">
        <v>17599</v>
      </c>
      <c r="B333" s="42" t="s">
        <v>430</v>
      </c>
      <c r="C333" s="42" t="s">
        <v>329</v>
      </c>
      <c r="D333" s="42" t="s">
        <v>1787</v>
      </c>
      <c r="E333" s="42">
        <v>18</v>
      </c>
      <c r="F333" s="42" t="s">
        <v>42</v>
      </c>
      <c r="G333" s="42" t="s">
        <v>42</v>
      </c>
      <c r="H333" s="43" t="s">
        <v>721</v>
      </c>
      <c r="I333" s="44" t="s">
        <v>43</v>
      </c>
      <c r="J333" s="42" t="s">
        <v>43</v>
      </c>
      <c r="K333" s="43" t="s">
        <v>44</v>
      </c>
      <c r="L333" s="42">
        <v>1</v>
      </c>
      <c r="M333" s="42">
        <v>1</v>
      </c>
      <c r="N333" s="43">
        <v>1</v>
      </c>
      <c r="O333" s="42">
        <v>3</v>
      </c>
      <c r="P333" s="42">
        <v>1</v>
      </c>
      <c r="Q333" s="43">
        <v>3</v>
      </c>
      <c r="R333" s="42">
        <v>2</v>
      </c>
      <c r="S333" s="42">
        <v>4</v>
      </c>
      <c r="T333" s="42">
        <v>1</v>
      </c>
      <c r="U333" s="42">
        <v>1</v>
      </c>
      <c r="V333" s="42">
        <v>2</v>
      </c>
      <c r="W333" s="42">
        <v>6</v>
      </c>
      <c r="X333" s="42" t="s">
        <v>45</v>
      </c>
      <c r="Y333" s="42" t="s">
        <v>45</v>
      </c>
      <c r="Z333" s="42" t="s">
        <v>45</v>
      </c>
      <c r="AA333" s="42" t="s">
        <v>45</v>
      </c>
      <c r="AB333" s="42" t="s">
        <v>45</v>
      </c>
      <c r="AC333" s="42" t="s">
        <v>45</v>
      </c>
      <c r="AD333" s="42" t="s">
        <v>45</v>
      </c>
      <c r="AE333" s="42" t="s">
        <v>45</v>
      </c>
      <c r="AF333" s="42" t="s">
        <v>45</v>
      </c>
      <c r="AG333" s="42" t="s">
        <v>45</v>
      </c>
      <c r="AH333" s="42" t="s">
        <v>45</v>
      </c>
      <c r="AI333" s="42" t="s">
        <v>45</v>
      </c>
      <c r="AJ333" s="42" t="s">
        <v>45</v>
      </c>
      <c r="AK333" s="42" t="s">
        <v>45</v>
      </c>
      <c r="AL333" s="42" t="s">
        <v>45</v>
      </c>
      <c r="AM333" s="42" t="s">
        <v>45</v>
      </c>
      <c r="AN333" s="42" t="s">
        <v>45</v>
      </c>
      <c r="AO333" s="43" t="s">
        <v>45</v>
      </c>
      <c r="AP333" s="42" t="s">
        <v>67</v>
      </c>
      <c r="AQ333" s="42">
        <v>5</v>
      </c>
      <c r="AR333" s="50" t="s">
        <v>14</v>
      </c>
      <c r="AS333" s="45" t="s">
        <v>745</v>
      </c>
      <c r="AT333" s="45" t="s">
        <v>47</v>
      </c>
      <c r="AU333" s="46">
        <f>($O$3*(L333-$O$1)/$O$2+$P$3*(M333-$P$1)/$P$2+$Q$3*(N333-$P$1)/$Q$2)/SUM($O$3:$Q$3)</f>
        <v>-2.7014842379675978</v>
      </c>
      <c r="AV333" s="46">
        <f>($O$3*(O333-$O$1)/$O$2+$P$3*(P333-$P$1)/$P$2+$Q$3*(Q333-$Q$1)/$Q$2)/SUM($O$3:$Q$3)</f>
        <v>-1.3819657061039585</v>
      </c>
      <c r="AW333" s="47">
        <f>COUNT(R333:AO333)/2</f>
        <v>3</v>
      </c>
      <c r="AX333" s="47">
        <f>IF(AND(S333&lt;&gt;"-",S333&gt;5),1,0)+IF(AND(U333&lt;&gt;"-",U333&gt;5),1,0)+IF(AND(W333&lt;&gt;"-",W333&gt;5),1,0)+IF(AND(Y333&lt;&gt;"-",Y333&gt;5),1,0)+IF(AND(AA333&lt;&gt;"-",AA333&gt;5),1,0)+IF(AND(AC333&lt;&gt;"-",AC333&gt;5),1,0)+IF(AND(AE333&lt;&gt;"-",AE333&gt;5),1,0)+IF(AND(AG333&lt;&gt;"-",AG333&gt;5),1,0)+IF(AND(AI333&lt;&gt;"-",AI333&gt;5),1,0)+IF(AND(AK333&lt;&gt;"-",AK333&gt;5),1,0)+IF(AND(AM333&lt;&gt;"-",AM333&gt;5),1,0)+IF(AND(AO333&lt;&gt;"-",AO333&gt;5),1,0)</f>
        <v>1</v>
      </c>
      <c r="AY333" s="48">
        <f>VLOOKUP(AP333,COND!$A$10:$B$32,2,FALSE)</f>
        <v>0.9</v>
      </c>
      <c r="AZ333" s="46">
        <f>($AU$3*AU333+$AV$3*AV333+$AW$3*AW333+$AX$3*AX333)*AY333*IF(AQ333&lt;5,0.95,IF(AQ333&lt;7,0.975,1))+$I$3*VLOOKUP(I333,COND!$A$2:$E$7,4,FALSE)+$J$3*VLOOKUP(J333,COND!$A$2:$E$7,2,FALSE)+$K$3*VLOOKUP(K333,COND!$A$2:$E$7,3,FALSE)+IF(BB333="SP",$BB$3,0)+IF($AW333&lt;3,-5,0)+IF(AND($B$2&gt;0,$E333&lt;20),$B$2*25,0)</f>
        <v>29.385516374112214</v>
      </c>
      <c r="BA333" s="49">
        <f>STANDARDIZE(AZ333,AVERAGE($AZ$5:$AZ$676),STDEVP($AZ$5:$AZ$676))</f>
        <v>-8.8495223818361626E-2</v>
      </c>
      <c r="BB333" s="47" t="str">
        <f>IF(OR(AND(AQ333&gt;7,AX333&gt;1),AND(AQ333&gt;4,AW333&gt;2)),"SP","RP")</f>
        <v>SP</v>
      </c>
      <c r="BC333" s="47"/>
      <c r="BD333" s="47"/>
      <c r="BE333" s="47"/>
      <c r="BF333" s="47" t="str">
        <f>IF(AVERAGE($O333:$Q333)&gt;=6,"Likely",IF(AVERAGE($O333:$Q333)&gt;=4,"Possible","Unlikely"))</f>
        <v>Unlikely</v>
      </c>
      <c r="BG333" s="47"/>
      <c r="BH333" s="47" t="str">
        <f>INDEX(Table5[[#All],[Ovr]],MATCH(Table3[[#This Row],[PID]],Table5[[#All],[PID]],0))</f>
        <v/>
      </c>
      <c r="BI333" s="47" t="str">
        <f>INDEX(Table5[[#All],[Rnd]],MATCH(Table3[[#This Row],[PID]],Table5[[#All],[PID]],0))</f>
        <v/>
      </c>
      <c r="BJ333" s="47" t="str">
        <f>INDEX(Table5[[#All],[Pick]],MATCH(Table3[[#This Row],[PID]],Table5[[#All],[PID]],0))</f>
        <v/>
      </c>
      <c r="BK333" s="47" t="str">
        <f>INDEX(Table5[[#All],[Team]],MATCH(Table3[[#This Row],[PID]],Table5[[#All],[PID]],0))</f>
        <v/>
      </c>
      <c r="BL3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4" spans="1:64" ht="15" customHeight="1" x14ac:dyDescent="0.25">
      <c r="A334" s="42">
        <v>6437</v>
      </c>
      <c r="B334" s="42" t="s">
        <v>430</v>
      </c>
      <c r="C334" s="42" t="s">
        <v>1492</v>
      </c>
      <c r="D334" s="42" t="s">
        <v>387</v>
      </c>
      <c r="E334" s="42">
        <v>18</v>
      </c>
      <c r="F334" s="42" t="s">
        <v>42</v>
      </c>
      <c r="G334" s="42" t="s">
        <v>42</v>
      </c>
      <c r="H334" s="43" t="s">
        <v>721</v>
      </c>
      <c r="I334" s="44" t="s">
        <v>43</v>
      </c>
      <c r="J334" s="42" t="s">
        <v>43</v>
      </c>
      <c r="K334" s="43" t="s">
        <v>44</v>
      </c>
      <c r="L334" s="42">
        <v>2</v>
      </c>
      <c r="M334" s="42">
        <v>2</v>
      </c>
      <c r="N334" s="43">
        <v>1</v>
      </c>
      <c r="O334" s="42">
        <v>5</v>
      </c>
      <c r="P334" s="42">
        <v>2</v>
      </c>
      <c r="Q334" s="43">
        <v>1</v>
      </c>
      <c r="R334" s="42">
        <v>3</v>
      </c>
      <c r="S334" s="42">
        <v>6</v>
      </c>
      <c r="T334" s="42">
        <v>1</v>
      </c>
      <c r="U334" s="42">
        <v>1</v>
      </c>
      <c r="V334" s="42" t="s">
        <v>45</v>
      </c>
      <c r="W334" s="42" t="s">
        <v>45</v>
      </c>
      <c r="X334" s="42" t="s">
        <v>45</v>
      </c>
      <c r="Y334" s="42" t="s">
        <v>45</v>
      </c>
      <c r="Z334" s="42">
        <v>3</v>
      </c>
      <c r="AA334" s="42">
        <v>5</v>
      </c>
      <c r="AB334" s="42" t="s">
        <v>45</v>
      </c>
      <c r="AC334" s="42" t="s">
        <v>45</v>
      </c>
      <c r="AD334" s="42" t="s">
        <v>45</v>
      </c>
      <c r="AE334" s="42" t="s">
        <v>45</v>
      </c>
      <c r="AF334" s="42" t="s">
        <v>45</v>
      </c>
      <c r="AG334" s="42" t="s">
        <v>45</v>
      </c>
      <c r="AH334" s="42" t="s">
        <v>45</v>
      </c>
      <c r="AI334" s="42" t="s">
        <v>45</v>
      </c>
      <c r="AJ334" s="42" t="s">
        <v>45</v>
      </c>
      <c r="AK334" s="42" t="s">
        <v>45</v>
      </c>
      <c r="AL334" s="42" t="s">
        <v>45</v>
      </c>
      <c r="AM334" s="42" t="s">
        <v>45</v>
      </c>
      <c r="AN334" s="42" t="s">
        <v>45</v>
      </c>
      <c r="AO334" s="43" t="s">
        <v>45</v>
      </c>
      <c r="AP334" s="42" t="s">
        <v>355</v>
      </c>
      <c r="AQ334" s="42">
        <v>8</v>
      </c>
      <c r="AR334" s="50" t="s">
        <v>353</v>
      </c>
      <c r="AS334" s="45" t="s">
        <v>739</v>
      </c>
      <c r="AT334" s="45" t="s">
        <v>47</v>
      </c>
      <c r="AU334" s="46">
        <f>($O$3*(L334-$O$1)/$O$2+$P$3*(M334-$P$1)/$P$2+$Q$3*(N334-$P$1)/$Q$2)/SUM($O$3:$Q$3)</f>
        <v>-2.311361197028369</v>
      </c>
      <c r="AV334" s="46">
        <f>($O$3*(O334-$O$1)/$O$2+$P$3*(P334-$P$1)/$P$2+$Q$3*(Q334-$Q$1)/$Q$2)/SUM($O$3:$Q$3)</f>
        <v>-1.2817924727637771</v>
      </c>
      <c r="AW334" s="47">
        <f>COUNT(R334:AO334)/2</f>
        <v>3</v>
      </c>
      <c r="AX334" s="47">
        <f>IF(AND(S334&lt;&gt;"-",S334&gt;5),1,0)+IF(AND(U334&lt;&gt;"-",U334&gt;5),1,0)+IF(AND(W334&lt;&gt;"-",W334&gt;5),1,0)+IF(AND(Y334&lt;&gt;"-",Y334&gt;5),1,0)+IF(AND(AA334&lt;&gt;"-",AA334&gt;5),1,0)+IF(AND(AC334&lt;&gt;"-",AC334&gt;5),1,0)+IF(AND(AE334&lt;&gt;"-",AE334&gt;5),1,0)+IF(AND(AG334&lt;&gt;"-",AG334&gt;5),1,0)+IF(AND(AI334&lt;&gt;"-",AI334&gt;5),1,0)+IF(AND(AK334&lt;&gt;"-",AK334&gt;5),1,0)+IF(AND(AM334&lt;&gt;"-",AM334&gt;5),1,0)+IF(AND(AO334&lt;&gt;"-",AO334&gt;5),1,0)</f>
        <v>1</v>
      </c>
      <c r="AY334" s="48">
        <f>VLOOKUP(AP334,COND!$A$10:$B$32,2,FALSE)</f>
        <v>1</v>
      </c>
      <c r="AZ334" s="46">
        <f>($AU$3*AU334+$AV$3*AV334+$AW$3*AW334+$AX$3*AX334)*AY334*IF(AQ334&lt;5,0.95,IF(AQ334&lt;7,0.975,1))+$I$3*VLOOKUP(I334,COND!$A$2:$E$7,4,FALSE)+$J$3*VLOOKUP(J334,COND!$A$2:$E$7,2,FALSE)+$K$3*VLOOKUP(K334,COND!$A$2:$E$7,3,FALSE)+IF(BB334="SP",$BB$3,0)+IF($AW334&lt;3,-5,0)+IF(AND($B$2&gt;0,$E334&lt;20),$B$2*25,0)</f>
        <v>28.351878305318785</v>
      </c>
      <c r="BA334" s="49">
        <f>STANDARDIZE(AZ334,AVERAGE($AZ$5:$AZ$570),STDEVP($AZ$5:$AZ$570))</f>
        <v>-0.4007818420845477</v>
      </c>
      <c r="BB334" s="47" t="str">
        <f>IF(OR(AND(AQ334&gt;7,AX334&gt;1),AND(AQ334&gt;4,AW334&gt;2)),"SP","RP")</f>
        <v>SP</v>
      </c>
      <c r="BC334" s="47"/>
      <c r="BD334" s="47"/>
      <c r="BE334" s="47"/>
      <c r="BF334" s="47" t="str">
        <f>IF(AVERAGE($O334:$Q334)&gt;=6,"Likely",IF(AVERAGE($O334:$Q334)&gt;=4,"Possible","Unlikely"))</f>
        <v>Unlikely</v>
      </c>
      <c r="BG334" s="47"/>
      <c r="BH334" s="47" t="str">
        <f>INDEX(Table5[[#All],[Ovr]],MATCH(Table3[[#This Row],[PID]],Table5[[#All],[PID]],0))</f>
        <v/>
      </c>
      <c r="BI334" s="47" t="str">
        <f>INDEX(Table5[[#All],[Rnd]],MATCH(Table3[[#This Row],[PID]],Table5[[#All],[PID]],0))</f>
        <v/>
      </c>
      <c r="BJ334" s="47" t="str">
        <f>INDEX(Table5[[#All],[Pick]],MATCH(Table3[[#This Row],[PID]],Table5[[#All],[PID]],0))</f>
        <v/>
      </c>
      <c r="BK334" s="47" t="str">
        <f>INDEX(Table5[[#All],[Team]],MATCH(Table3[[#This Row],[PID]],Table5[[#All],[PID]],0))</f>
        <v/>
      </c>
      <c r="BL3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5" spans="1:64" ht="15" customHeight="1" x14ac:dyDescent="0.25">
      <c r="A335" s="42">
        <v>2332</v>
      </c>
      <c r="B335" s="42" t="s">
        <v>24</v>
      </c>
      <c r="C335" s="42" t="s">
        <v>476</v>
      </c>
      <c r="D335" s="42" t="s">
        <v>1507</v>
      </c>
      <c r="E335" s="42">
        <v>21</v>
      </c>
      <c r="F335" s="42" t="s">
        <v>62</v>
      </c>
      <c r="G335" s="42" t="s">
        <v>42</v>
      </c>
      <c r="H335" s="43" t="s">
        <v>721</v>
      </c>
      <c r="I335" s="44" t="s">
        <v>43</v>
      </c>
      <c r="J335" s="42" t="s">
        <v>47</v>
      </c>
      <c r="K335" s="43" t="s">
        <v>43</v>
      </c>
      <c r="L335" s="42">
        <v>3</v>
      </c>
      <c r="M335" s="42">
        <v>1</v>
      </c>
      <c r="N335" s="43">
        <v>1</v>
      </c>
      <c r="O335" s="42">
        <v>5</v>
      </c>
      <c r="P335" s="42">
        <v>1</v>
      </c>
      <c r="Q335" s="43">
        <v>2</v>
      </c>
      <c r="R335" s="42">
        <v>5</v>
      </c>
      <c r="S335" s="42">
        <v>7</v>
      </c>
      <c r="T335" s="42" t="s">
        <v>45</v>
      </c>
      <c r="U335" s="42" t="s">
        <v>45</v>
      </c>
      <c r="V335" s="42">
        <v>3</v>
      </c>
      <c r="W335" s="42">
        <v>6</v>
      </c>
      <c r="X335" s="42">
        <v>4</v>
      </c>
      <c r="Y335" s="42">
        <v>7</v>
      </c>
      <c r="Z335" s="42" t="s">
        <v>45</v>
      </c>
      <c r="AA335" s="42" t="s">
        <v>45</v>
      </c>
      <c r="AB335" s="42" t="s">
        <v>45</v>
      </c>
      <c r="AC335" s="42" t="s">
        <v>45</v>
      </c>
      <c r="AD335" s="42" t="s">
        <v>45</v>
      </c>
      <c r="AE335" s="42" t="s">
        <v>45</v>
      </c>
      <c r="AF335" s="42" t="s">
        <v>45</v>
      </c>
      <c r="AG335" s="42" t="s">
        <v>45</v>
      </c>
      <c r="AH335" s="42" t="s">
        <v>45</v>
      </c>
      <c r="AI335" s="42" t="s">
        <v>45</v>
      </c>
      <c r="AJ335" s="42" t="s">
        <v>45</v>
      </c>
      <c r="AK335" s="42" t="s">
        <v>45</v>
      </c>
      <c r="AL335" s="42" t="s">
        <v>45</v>
      </c>
      <c r="AM335" s="42" t="s">
        <v>45</v>
      </c>
      <c r="AN335" s="42" t="s">
        <v>45</v>
      </c>
      <c r="AO335" s="43" t="s">
        <v>45</v>
      </c>
      <c r="AP335" s="42" t="s">
        <v>54</v>
      </c>
      <c r="AQ335" s="42">
        <v>8</v>
      </c>
      <c r="AR335" s="50" t="s">
        <v>353</v>
      </c>
      <c r="AS335" s="45" t="s">
        <v>45</v>
      </c>
      <c r="AT335" s="45" t="s">
        <v>705</v>
      </c>
      <c r="AU335" s="46">
        <f>($O$3*(L335-$O$1)/$O$2+$P$3*(M335-$P$1)/$P$2+$Q$3*(N335-$P$1)/$Q$2)/SUM($O$3:$Q$3)</f>
        <v>-2.3121015889492513</v>
      </c>
      <c r="AV335" s="46">
        <f>($O$3*(O335-$O$1)/$O$2+$P$3*(P335-$P$1)/$P$2+$Q$3*(Q335-$Q$1)/$Q$2)/SUM($O$3:$Q$3)</f>
        <v>-1.2349036231397219</v>
      </c>
      <c r="AW335" s="47">
        <f>COUNT(R335:AO335)/2</f>
        <v>3</v>
      </c>
      <c r="AX335" s="47">
        <f>IF(AND(S335&lt;&gt;"-",S335&gt;5),1,0)+IF(AND(U335&lt;&gt;"-",U335&gt;5),1,0)+IF(AND(W335&lt;&gt;"-",W335&gt;5),1,0)+IF(AND(Y335&lt;&gt;"-",Y335&gt;5),1,0)+IF(AND(AA335&lt;&gt;"-",AA335&gt;5),1,0)+IF(AND(AC335&lt;&gt;"-",AC335&gt;5),1,0)+IF(AND(AE335&lt;&gt;"-",AE335&gt;5),1,0)+IF(AND(AG335&lt;&gt;"-",AG335&gt;5),1,0)+IF(AND(AI335&lt;&gt;"-",AI335&gt;5),1,0)+IF(AND(AK335&lt;&gt;"-",AK335&gt;5),1,0)+IF(AND(AM335&lt;&gt;"-",AM335&gt;5),1,0)+IF(AND(AO335&lt;&gt;"-",AO335&gt;5),1,0)</f>
        <v>3</v>
      </c>
      <c r="AY335" s="48">
        <f>VLOOKUP(AP335,COND!$A$10:$B$32,2,FALSE)</f>
        <v>1.0249999999999999</v>
      </c>
      <c r="AZ335" s="46">
        <f>($AU$3*AU335+$AV$3*AV335+$AW$3*AW335+$AX$3*AX335)*AY335*IF(AQ335&lt;5,0.95,IF(AQ335&lt;7,0.975,1))+$I$3*VLOOKUP(I335,COND!$A$2:$E$7,4,FALSE)+$J$3*VLOOKUP(J335,COND!$A$2:$E$7,2,FALSE)+$K$3*VLOOKUP(K335,COND!$A$2:$E$7,3,FALSE)+IF(BB335="SP",$BB$3,0)+IF($AW335&lt;3,-5,0)+IF(AND($B$2&gt;0,$E335&lt;20),$B$2*25,0)</f>
        <v>26.891744899901106</v>
      </c>
      <c r="BA335" s="49">
        <f>STANDARDIZE(AZ335,AVERAGE($AZ$5:$AZ$570),STDEVP($AZ$5:$AZ$570))</f>
        <v>-0.5346823161026858</v>
      </c>
      <c r="BB335" s="47" t="str">
        <f>IF(OR(AND(AQ335&gt;7,AX335&gt;1),AND(AQ335&gt;4,AW335&gt;2)),"SP","RP")</f>
        <v>SP</v>
      </c>
      <c r="BC335" s="47"/>
      <c r="BD335" s="47"/>
      <c r="BE335" s="47"/>
      <c r="BF335" s="47" t="str">
        <f>IF(AVERAGE($O335:$Q335)&gt;=6,"Likely",IF(AVERAGE($O335:$Q335)&gt;=4,"Possible","Unlikely"))</f>
        <v>Unlikely</v>
      </c>
      <c r="BG335" s="47"/>
      <c r="BH335" s="47" t="str">
        <f>INDEX(Table5[[#All],[Ovr]],MATCH(Table3[[#This Row],[PID]],Table5[[#All],[PID]],0))</f>
        <v/>
      </c>
      <c r="BI335" s="47" t="str">
        <f>INDEX(Table5[[#All],[Rnd]],MATCH(Table3[[#This Row],[PID]],Table5[[#All],[PID]],0))</f>
        <v/>
      </c>
      <c r="BJ335" s="47" t="str">
        <f>INDEX(Table5[[#All],[Pick]],MATCH(Table3[[#This Row],[PID]],Table5[[#All],[PID]],0))</f>
        <v/>
      </c>
      <c r="BK335" s="47" t="str">
        <f>INDEX(Table5[[#All],[Team]],MATCH(Table3[[#This Row],[PID]],Table5[[#All],[PID]],0))</f>
        <v/>
      </c>
      <c r="BL3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6" spans="1:64" ht="15" customHeight="1" x14ac:dyDescent="0.25">
      <c r="A336" s="42">
        <v>13145</v>
      </c>
      <c r="B336" s="42" t="s">
        <v>430</v>
      </c>
      <c r="C336" s="42" t="s">
        <v>1619</v>
      </c>
      <c r="D336" s="42" t="s">
        <v>1620</v>
      </c>
      <c r="E336" s="42">
        <v>21</v>
      </c>
      <c r="F336" s="42" t="s">
        <v>62</v>
      </c>
      <c r="G336" s="42" t="s">
        <v>42</v>
      </c>
      <c r="H336" s="43" t="s">
        <v>721</v>
      </c>
      <c r="I336" s="44" t="s">
        <v>43</v>
      </c>
      <c r="J336" s="42" t="s">
        <v>43</v>
      </c>
      <c r="K336" s="43" t="s">
        <v>47</v>
      </c>
      <c r="L336" s="42">
        <v>2</v>
      </c>
      <c r="M336" s="42">
        <v>1</v>
      </c>
      <c r="N336" s="43">
        <v>1</v>
      </c>
      <c r="O336" s="42">
        <v>4</v>
      </c>
      <c r="P336" s="42">
        <v>1</v>
      </c>
      <c r="Q336" s="43">
        <v>3</v>
      </c>
      <c r="R336" s="42">
        <v>3</v>
      </c>
      <c r="S336" s="42">
        <v>4</v>
      </c>
      <c r="T336" s="42">
        <v>1</v>
      </c>
      <c r="U336" s="42">
        <v>1</v>
      </c>
      <c r="V336" s="42">
        <v>3</v>
      </c>
      <c r="W336" s="42">
        <v>6</v>
      </c>
      <c r="X336" s="42" t="s">
        <v>45</v>
      </c>
      <c r="Y336" s="42" t="s">
        <v>45</v>
      </c>
      <c r="Z336" s="42" t="s">
        <v>45</v>
      </c>
      <c r="AA336" s="42" t="s">
        <v>45</v>
      </c>
      <c r="AB336" s="42" t="s">
        <v>45</v>
      </c>
      <c r="AC336" s="42" t="s">
        <v>45</v>
      </c>
      <c r="AD336" s="42" t="s">
        <v>45</v>
      </c>
      <c r="AE336" s="42" t="s">
        <v>45</v>
      </c>
      <c r="AF336" s="42" t="s">
        <v>45</v>
      </c>
      <c r="AG336" s="42" t="s">
        <v>45</v>
      </c>
      <c r="AH336" s="42" t="s">
        <v>45</v>
      </c>
      <c r="AI336" s="42" t="s">
        <v>45</v>
      </c>
      <c r="AJ336" s="42" t="s">
        <v>45</v>
      </c>
      <c r="AK336" s="42" t="s">
        <v>45</v>
      </c>
      <c r="AL336" s="42" t="s">
        <v>45</v>
      </c>
      <c r="AM336" s="42" t="s">
        <v>45</v>
      </c>
      <c r="AN336" s="42" t="s">
        <v>45</v>
      </c>
      <c r="AO336" s="43" t="s">
        <v>45</v>
      </c>
      <c r="AP336" s="42" t="s">
        <v>65</v>
      </c>
      <c r="AQ336" s="42">
        <v>9</v>
      </c>
      <c r="AR336" s="50" t="s">
        <v>14</v>
      </c>
      <c r="AS336" s="45" t="s">
        <v>717</v>
      </c>
      <c r="AT336" s="45" t="s">
        <v>47</v>
      </c>
      <c r="AU336" s="46">
        <f>($O$3*(L336-$O$1)/$O$2+$P$3*(M336-$P$1)/$P$2+$Q$3*(N336-$P$1)/$Q$2)/SUM($O$3:$Q$3)</f>
        <v>-2.5067929134584248</v>
      </c>
      <c r="AV336" s="46">
        <f>($O$3*(O336-$O$1)/$O$2+$P$3*(P336-$P$1)/$P$2+$Q$3*(Q336-$Q$1)/$Q$2)/SUM($O$3:$Q$3)</f>
        <v>-1.1872743815947853</v>
      </c>
      <c r="AW336" s="47">
        <f>COUNT(R336:AO336)/2</f>
        <v>3</v>
      </c>
      <c r="AX336" s="47">
        <f>IF(AND(S336&lt;&gt;"-",S336&gt;5),1,0)+IF(AND(U336&lt;&gt;"-",U336&gt;5),1,0)+IF(AND(W336&lt;&gt;"-",W336&gt;5),1,0)+IF(AND(Y336&lt;&gt;"-",Y336&gt;5),1,0)+IF(AND(AA336&lt;&gt;"-",AA336&gt;5),1,0)+IF(AND(AC336&lt;&gt;"-",AC336&gt;5),1,0)+IF(AND(AE336&lt;&gt;"-",AE336&gt;5),1,0)+IF(AND(AG336&lt;&gt;"-",AG336&gt;5),1,0)+IF(AND(AI336&lt;&gt;"-",AI336&gt;5),1,0)+IF(AND(AK336&lt;&gt;"-",AK336&gt;5),1,0)+IF(AND(AM336&lt;&gt;"-",AM336&gt;5),1,0)+IF(AND(AO336&lt;&gt;"-",AO336&gt;5),1,0)</f>
        <v>1</v>
      </c>
      <c r="AY336" s="48">
        <f>VLOOKUP(AP336,COND!$A$10:$B$32,2,FALSE)</f>
        <v>0.95</v>
      </c>
      <c r="AZ336" s="46">
        <f>($AU$3*AU336+$AV$3*AV336+$AW$3*AW336+$AX$3*AX336)*AY336*IF(AQ336&lt;5,0.95,IF(AQ336&lt;7,0.975,1))+$I$3*VLOOKUP(I336,COND!$A$2:$E$7,4,FALSE)+$J$3*VLOOKUP(J336,COND!$A$2:$E$7,2,FALSE)+$K$3*VLOOKUP(K336,COND!$A$2:$E$7,3,FALSE)+IF(BB336="SP",$BB$3,0)+IF($AW336&lt;3,-5,0)+IF(AND($B$2&gt;0,$E336&lt;20),$B$2*25,0)</f>
        <v>26.877996096141977</v>
      </c>
      <c r="BA336" s="49">
        <f>STANDARDIZE(AZ336,AVERAGE($AZ$5:$AZ$570),STDEVP($AZ$5:$AZ$570))</f>
        <v>-0.53594314017102007</v>
      </c>
      <c r="BB336" s="47" t="str">
        <f>IF(OR(AND(AQ336&gt;7,AX336&gt;1),AND(AQ336&gt;4,AW336&gt;2)),"SP","RP")</f>
        <v>SP</v>
      </c>
      <c r="BC336" s="47"/>
      <c r="BD336" s="47"/>
      <c r="BE336" s="47"/>
      <c r="BF336" s="47" t="str">
        <f>IF(AVERAGE($O336:$Q336)&gt;=6,"Likely",IF(AVERAGE($O336:$Q336)&gt;=4,"Possible","Unlikely"))</f>
        <v>Unlikely</v>
      </c>
      <c r="BG336" s="47"/>
      <c r="BH336" s="47" t="str">
        <f>INDEX(Table5[[#All],[Ovr]],MATCH(Table3[[#This Row],[PID]],Table5[[#All],[PID]],0))</f>
        <v/>
      </c>
      <c r="BI336" s="47" t="str">
        <f>INDEX(Table5[[#All],[Rnd]],MATCH(Table3[[#This Row],[PID]],Table5[[#All],[PID]],0))</f>
        <v/>
      </c>
      <c r="BJ336" s="47" t="str">
        <f>INDEX(Table5[[#All],[Pick]],MATCH(Table3[[#This Row],[PID]],Table5[[#All],[PID]],0))</f>
        <v/>
      </c>
      <c r="BK336" s="47" t="str">
        <f>INDEX(Table5[[#All],[Team]],MATCH(Table3[[#This Row],[PID]],Table5[[#All],[PID]],0))</f>
        <v/>
      </c>
      <c r="BL3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7" spans="1:64" ht="15" customHeight="1" x14ac:dyDescent="0.25">
      <c r="A337" s="42">
        <v>9331</v>
      </c>
      <c r="B337" s="42" t="s">
        <v>430</v>
      </c>
      <c r="C337" s="42" t="s">
        <v>206</v>
      </c>
      <c r="D337" s="42" t="s">
        <v>332</v>
      </c>
      <c r="E337" s="42">
        <v>18</v>
      </c>
      <c r="F337" s="42" t="s">
        <v>53</v>
      </c>
      <c r="G337" s="42" t="s">
        <v>53</v>
      </c>
      <c r="H337" s="43" t="s">
        <v>721</v>
      </c>
      <c r="I337" s="44" t="s">
        <v>43</v>
      </c>
      <c r="J337" s="42" t="s">
        <v>43</v>
      </c>
      <c r="K337" s="43" t="s">
        <v>43</v>
      </c>
      <c r="L337" s="42">
        <v>1</v>
      </c>
      <c r="M337" s="42">
        <v>1</v>
      </c>
      <c r="N337" s="43">
        <v>1</v>
      </c>
      <c r="O337" s="42">
        <v>4</v>
      </c>
      <c r="P337" s="42">
        <v>1</v>
      </c>
      <c r="Q337" s="43">
        <v>2</v>
      </c>
      <c r="R337" s="42" t="s">
        <v>45</v>
      </c>
      <c r="S337" s="42" t="s">
        <v>45</v>
      </c>
      <c r="T337" s="42">
        <v>1</v>
      </c>
      <c r="U337" s="42">
        <v>5</v>
      </c>
      <c r="V337" s="42">
        <v>1</v>
      </c>
      <c r="W337" s="42">
        <v>6</v>
      </c>
      <c r="X337" s="42" t="s">
        <v>45</v>
      </c>
      <c r="Y337" s="42" t="s">
        <v>45</v>
      </c>
      <c r="Z337" s="42" t="s">
        <v>45</v>
      </c>
      <c r="AA337" s="42" t="s">
        <v>45</v>
      </c>
      <c r="AB337" s="42" t="s">
        <v>45</v>
      </c>
      <c r="AC337" s="42" t="s">
        <v>45</v>
      </c>
      <c r="AD337" s="42">
        <v>2</v>
      </c>
      <c r="AE337" s="42">
        <v>4</v>
      </c>
      <c r="AF337" s="42" t="s">
        <v>45</v>
      </c>
      <c r="AG337" s="42" t="s">
        <v>45</v>
      </c>
      <c r="AH337" s="42" t="s">
        <v>45</v>
      </c>
      <c r="AI337" s="42" t="s">
        <v>45</v>
      </c>
      <c r="AJ337" s="42" t="s">
        <v>45</v>
      </c>
      <c r="AK337" s="42" t="s">
        <v>45</v>
      </c>
      <c r="AL337" s="42" t="s">
        <v>45</v>
      </c>
      <c r="AM337" s="42" t="s">
        <v>45</v>
      </c>
      <c r="AN337" s="42" t="s">
        <v>45</v>
      </c>
      <c r="AO337" s="43" t="s">
        <v>45</v>
      </c>
      <c r="AP337" s="42" t="s">
        <v>65</v>
      </c>
      <c r="AQ337" s="42">
        <v>6</v>
      </c>
      <c r="AR337" s="50" t="s">
        <v>353</v>
      </c>
      <c r="AS337" s="45" t="s">
        <v>739</v>
      </c>
      <c r="AT337" s="45" t="s">
        <v>705</v>
      </c>
      <c r="AU337" s="46">
        <f>($O$3*(L337-$O$1)/$O$2+$P$3*(M337-$P$1)/$P$2+$Q$3*(N337-$P$1)/$Q$2)/SUM($O$3:$Q$3)</f>
        <v>-2.7014842379675978</v>
      </c>
      <c r="AV337" s="46">
        <f>($O$3*(O337-$O$1)/$O$2+$P$3*(P337-$P$1)/$P$2+$Q$3*(Q337-$Q$1)/$Q$2)/SUM($O$3:$Q$3)</f>
        <v>-1.4295949476488956</v>
      </c>
      <c r="AW337" s="47">
        <f>COUNT(R337:AO337)/2</f>
        <v>3</v>
      </c>
      <c r="AX337" s="47">
        <f>IF(AND(S337&lt;&gt;"-",S337&gt;5),1,0)+IF(AND(U337&lt;&gt;"-",U337&gt;5),1,0)+IF(AND(W337&lt;&gt;"-",W337&gt;5),1,0)+IF(AND(Y337&lt;&gt;"-",Y337&gt;5),1,0)+IF(AND(AA337&lt;&gt;"-",AA337&gt;5),1,0)+IF(AND(AC337&lt;&gt;"-",AC337&gt;5),1,0)+IF(AND(AE337&lt;&gt;"-",AE337&gt;5),1,0)+IF(AND(AG337&lt;&gt;"-",AG337&gt;5),1,0)+IF(AND(AI337&lt;&gt;"-",AI337&gt;5),1,0)+IF(AND(AK337&lt;&gt;"-",AK337&gt;5),1,0)+IF(AND(AM337&lt;&gt;"-",AM337&gt;5),1,0)+IF(AND(AO337&lt;&gt;"-",AO337&gt;5),1,0)</f>
        <v>1</v>
      </c>
      <c r="AY337" s="48">
        <f>VLOOKUP(AP337,COND!$A$10:$B$32,2,FALSE)</f>
        <v>0.95</v>
      </c>
      <c r="AZ337" s="46">
        <f>($AU$3*AU337+$AV$3*AV337+$AW$3*AW337+$AX$3*AX337)*AY337*IF(AQ337&lt;5,0.95,IF(AQ337&lt;7,0.975,1))+$I$3*VLOOKUP(I337,COND!$A$2:$E$7,4,FALSE)+$J$3*VLOOKUP(J337,COND!$A$2:$E$7,2,FALSE)+$K$3*VLOOKUP(K337,COND!$A$2:$E$7,3,FALSE)+IF(BB337="SP",$BB$3,0)+IF($AW337&lt;3,-5,0)+IF(AND($B$2&gt;0,$E337&lt;20),$B$2*25,0)</f>
        <v>27.563491139720711</v>
      </c>
      <c r="BA337" s="49">
        <f>STANDARDIZE(AZ337,AVERAGE($AZ$5:$AZ$570),STDEVP($AZ$5:$AZ$570))</f>
        <v>-0.47308031480745677</v>
      </c>
      <c r="BB337" s="47" t="str">
        <f>IF(OR(AND(AQ337&gt;7,AX337&gt;1),AND(AQ337&gt;4,AW337&gt;2)),"SP","RP")</f>
        <v>SP</v>
      </c>
      <c r="BC337" s="47"/>
      <c r="BD337" s="47"/>
      <c r="BE337" s="47"/>
      <c r="BF337" s="47" t="str">
        <f>IF(AVERAGE($O337:$Q337)&gt;=6,"Likely",IF(AVERAGE($O337:$Q337)&gt;=4,"Possible","Unlikely"))</f>
        <v>Unlikely</v>
      </c>
      <c r="BG337" s="47"/>
      <c r="BH337" s="47" t="str">
        <f>INDEX(Table5[[#All],[Ovr]],MATCH(Table3[[#This Row],[PID]],Table5[[#All],[PID]],0))</f>
        <v/>
      </c>
      <c r="BI337" s="47" t="str">
        <f>INDEX(Table5[[#All],[Rnd]],MATCH(Table3[[#This Row],[PID]],Table5[[#All],[PID]],0))</f>
        <v/>
      </c>
      <c r="BJ337" s="47" t="str">
        <f>INDEX(Table5[[#All],[Pick]],MATCH(Table3[[#This Row],[PID]],Table5[[#All],[PID]],0))</f>
        <v/>
      </c>
      <c r="BK337" s="47" t="str">
        <f>INDEX(Table5[[#All],[Team]],MATCH(Table3[[#This Row],[PID]],Table5[[#All],[PID]],0))</f>
        <v/>
      </c>
      <c r="BL3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8" spans="1:64" ht="15" customHeight="1" x14ac:dyDescent="0.25">
      <c r="A338" s="42">
        <v>6336</v>
      </c>
      <c r="B338" s="42" t="s">
        <v>24</v>
      </c>
      <c r="C338" s="42" t="s">
        <v>1617</v>
      </c>
      <c r="D338" s="42" t="s">
        <v>1618</v>
      </c>
      <c r="E338" s="42">
        <v>17</v>
      </c>
      <c r="F338" s="42" t="s">
        <v>42</v>
      </c>
      <c r="G338" s="42" t="s">
        <v>42</v>
      </c>
      <c r="H338" s="43" t="s">
        <v>721</v>
      </c>
      <c r="I338" s="44" t="s">
        <v>43</v>
      </c>
      <c r="J338" s="42" t="s">
        <v>47</v>
      </c>
      <c r="K338" s="43" t="s">
        <v>43</v>
      </c>
      <c r="L338" s="42">
        <v>2</v>
      </c>
      <c r="M338" s="42">
        <v>2</v>
      </c>
      <c r="N338" s="43">
        <v>1</v>
      </c>
      <c r="O338" s="42">
        <v>4</v>
      </c>
      <c r="P338" s="42">
        <v>2</v>
      </c>
      <c r="Q338" s="43">
        <v>1</v>
      </c>
      <c r="R338" s="42">
        <v>4</v>
      </c>
      <c r="S338" s="42">
        <v>6</v>
      </c>
      <c r="T338" s="42">
        <v>1</v>
      </c>
      <c r="U338" s="42">
        <v>5</v>
      </c>
      <c r="V338" s="42">
        <v>2</v>
      </c>
      <c r="W338" s="42">
        <v>6</v>
      </c>
      <c r="X338" s="42" t="s">
        <v>45</v>
      </c>
      <c r="Y338" s="42" t="s">
        <v>45</v>
      </c>
      <c r="Z338" s="42" t="s">
        <v>45</v>
      </c>
      <c r="AA338" s="42" t="s">
        <v>45</v>
      </c>
      <c r="AB338" s="42" t="s">
        <v>45</v>
      </c>
      <c r="AC338" s="42" t="s">
        <v>45</v>
      </c>
      <c r="AD338" s="42" t="s">
        <v>45</v>
      </c>
      <c r="AE338" s="42" t="s">
        <v>45</v>
      </c>
      <c r="AF338" s="42">
        <v>3</v>
      </c>
      <c r="AG338" s="42">
        <v>3</v>
      </c>
      <c r="AH338" s="42" t="s">
        <v>45</v>
      </c>
      <c r="AI338" s="42" t="s">
        <v>45</v>
      </c>
      <c r="AJ338" s="42" t="s">
        <v>45</v>
      </c>
      <c r="AK338" s="42" t="s">
        <v>45</v>
      </c>
      <c r="AL338" s="42" t="s">
        <v>45</v>
      </c>
      <c r="AM338" s="42" t="s">
        <v>45</v>
      </c>
      <c r="AN338" s="42" t="s">
        <v>45</v>
      </c>
      <c r="AO338" s="43" t="s">
        <v>45</v>
      </c>
      <c r="AP338" s="42" t="s">
        <v>58</v>
      </c>
      <c r="AQ338" s="42">
        <v>10</v>
      </c>
      <c r="AR338" s="50" t="s">
        <v>353</v>
      </c>
      <c r="AS338" s="45" t="s">
        <v>718</v>
      </c>
      <c r="AT338" s="45" t="s">
        <v>705</v>
      </c>
      <c r="AU338" s="46">
        <f>($O$3*(L338-$O$1)/$O$2+$P$3*(M338-$P$1)/$P$2+$Q$3*(N338-$P$1)/$Q$2)/SUM($O$3:$Q$3)</f>
        <v>-2.311361197028369</v>
      </c>
      <c r="AV338" s="46">
        <f>($O$3*(O338-$O$1)/$O$2+$P$3*(P338-$P$1)/$P$2+$Q$3*(Q338-$Q$1)/$Q$2)/SUM($O$3:$Q$3)</f>
        <v>-1.4764837972729503</v>
      </c>
      <c r="AW338" s="47">
        <f>COUNT(R338:AO338)/2</f>
        <v>4</v>
      </c>
      <c r="AX338" s="47">
        <f>IF(AND(S338&lt;&gt;"-",S338&gt;5),1,0)+IF(AND(U338&lt;&gt;"-",U338&gt;5),1,0)+IF(AND(W338&lt;&gt;"-",W338&gt;5),1,0)+IF(AND(Y338&lt;&gt;"-",Y338&gt;5),1,0)+IF(AND(AA338&lt;&gt;"-",AA338&gt;5),1,0)+IF(AND(AC338&lt;&gt;"-",AC338&gt;5),1,0)+IF(AND(AE338&lt;&gt;"-",AE338&gt;5),1,0)+IF(AND(AG338&lt;&gt;"-",AG338&gt;5),1,0)+IF(AND(AI338&lt;&gt;"-",AI338&gt;5),1,0)+IF(AND(AK338&lt;&gt;"-",AK338&gt;5),1,0)+IF(AND(AM338&lt;&gt;"-",AM338&gt;5),1,0)+IF(AND(AO338&lt;&gt;"-",AO338&gt;5),1,0)</f>
        <v>2</v>
      </c>
      <c r="AY338" s="48">
        <f>VLOOKUP(AP338,COND!$A$10:$B$32,2,FALSE)</f>
        <v>1</v>
      </c>
      <c r="AZ338" s="46">
        <f>($AU$3*AU338+$AV$3*AV338+$AW$3*AW338+$AX$3*AX338)*AY338*IF(AQ338&lt;5,0.95,IF(AQ338&lt;7,0.975,1))+$I$3*VLOOKUP(I338,COND!$A$2:$E$7,4,FALSE)+$J$3*VLOOKUP(J338,COND!$A$2:$E$7,2,FALSE)+$K$3*VLOOKUP(K338,COND!$A$2:$E$7,3,FALSE)+IF(BB338="SP",$BB$3,0)+IF($AW338&lt;3,-5,0)+IF(AND($B$2&gt;0,$E338&lt;20),$B$2*25,0)</f>
        <v>26.808051815135322</v>
      </c>
      <c r="BA338" s="49">
        <f>STANDARDIZE(AZ338,AVERAGE($AZ$5:$AZ$570),STDEVP($AZ$5:$AZ$570))</f>
        <v>-0.54235732968747052</v>
      </c>
      <c r="BB338" s="47" t="str">
        <f>IF(OR(AND(AQ338&gt;7,AX338&gt;1),AND(AQ338&gt;4,AW338&gt;2)),"SP","RP")</f>
        <v>SP</v>
      </c>
      <c r="BC338" s="47"/>
      <c r="BD338" s="47"/>
      <c r="BE338" s="47"/>
      <c r="BF338" s="47" t="str">
        <f>IF(AVERAGE($O338:$Q338)&gt;=6,"Likely",IF(AVERAGE($O338:$Q338)&gt;=4,"Possible","Unlikely"))</f>
        <v>Unlikely</v>
      </c>
      <c r="BG338" s="47"/>
      <c r="BH338" s="47" t="str">
        <f>INDEX(Table5[[#All],[Ovr]],MATCH(Table3[[#This Row],[PID]],Table5[[#All],[PID]],0))</f>
        <v/>
      </c>
      <c r="BI338" s="47" t="str">
        <f>INDEX(Table5[[#All],[Rnd]],MATCH(Table3[[#This Row],[PID]],Table5[[#All],[PID]],0))</f>
        <v/>
      </c>
      <c r="BJ338" s="47" t="str">
        <f>INDEX(Table5[[#All],[Pick]],MATCH(Table3[[#This Row],[PID]],Table5[[#All],[PID]],0))</f>
        <v/>
      </c>
      <c r="BK338" s="47" t="str">
        <f>INDEX(Table5[[#All],[Team]],MATCH(Table3[[#This Row],[PID]],Table5[[#All],[PID]],0))</f>
        <v/>
      </c>
      <c r="BL3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9" spans="1:64" ht="15" customHeight="1" x14ac:dyDescent="0.25">
      <c r="A339" s="42">
        <v>11543</v>
      </c>
      <c r="B339" s="42" t="s">
        <v>430</v>
      </c>
      <c r="C339" s="42" t="s">
        <v>557</v>
      </c>
      <c r="D339" s="42" t="s">
        <v>195</v>
      </c>
      <c r="E339" s="42">
        <v>22</v>
      </c>
      <c r="F339" s="42" t="s">
        <v>42</v>
      </c>
      <c r="G339" s="42" t="s">
        <v>42</v>
      </c>
      <c r="H339" s="43" t="s">
        <v>721</v>
      </c>
      <c r="I339" s="44" t="s">
        <v>43</v>
      </c>
      <c r="J339" s="42" t="s">
        <v>43</v>
      </c>
      <c r="K339" s="43" t="s">
        <v>43</v>
      </c>
      <c r="L339" s="42">
        <v>3</v>
      </c>
      <c r="M339" s="42">
        <v>2</v>
      </c>
      <c r="N339" s="43">
        <v>1</v>
      </c>
      <c r="O339" s="42">
        <v>4</v>
      </c>
      <c r="P339" s="42">
        <v>3</v>
      </c>
      <c r="Q339" s="43">
        <v>2</v>
      </c>
      <c r="R339" s="42">
        <v>5</v>
      </c>
      <c r="S339" s="42">
        <v>6</v>
      </c>
      <c r="T339" s="42">
        <v>2</v>
      </c>
      <c r="U339" s="42">
        <v>4</v>
      </c>
      <c r="V339" s="42" t="s">
        <v>45</v>
      </c>
      <c r="W339" s="42" t="s">
        <v>45</v>
      </c>
      <c r="X339" s="42">
        <v>4</v>
      </c>
      <c r="Y339" s="42">
        <v>5</v>
      </c>
      <c r="Z339" s="42" t="s">
        <v>45</v>
      </c>
      <c r="AA339" s="42" t="s">
        <v>45</v>
      </c>
      <c r="AB339" s="42" t="s">
        <v>45</v>
      </c>
      <c r="AC339" s="42" t="s">
        <v>45</v>
      </c>
      <c r="AD339" s="42" t="s">
        <v>45</v>
      </c>
      <c r="AE339" s="42" t="s">
        <v>45</v>
      </c>
      <c r="AF339" s="42" t="s">
        <v>45</v>
      </c>
      <c r="AG339" s="42" t="s">
        <v>45</v>
      </c>
      <c r="AH339" s="42" t="s">
        <v>45</v>
      </c>
      <c r="AI339" s="42" t="s">
        <v>45</v>
      </c>
      <c r="AJ339" s="42" t="s">
        <v>45</v>
      </c>
      <c r="AK339" s="42" t="s">
        <v>45</v>
      </c>
      <c r="AL339" s="42" t="s">
        <v>45</v>
      </c>
      <c r="AM339" s="42" t="s">
        <v>45</v>
      </c>
      <c r="AN339" s="42" t="s">
        <v>45</v>
      </c>
      <c r="AO339" s="43" t="s">
        <v>45</v>
      </c>
      <c r="AP339" s="42" t="s">
        <v>56</v>
      </c>
      <c r="AQ339" s="42">
        <v>4</v>
      </c>
      <c r="AR339" s="50" t="s">
        <v>353</v>
      </c>
      <c r="AS339" s="45" t="s">
        <v>45</v>
      </c>
      <c r="AT339" s="45" t="s">
        <v>705</v>
      </c>
      <c r="AU339" s="46">
        <f>($O$3*(L339-$O$1)/$O$2+$P$3*(M339-$P$1)/$P$2+$Q$3*(N339-$P$1)/$Q$2)/SUM($O$3:$Q$3)</f>
        <v>-2.1166698725191955</v>
      </c>
      <c r="AV339" s="46">
        <f>($O$3*(O339-$O$1)/$O$2+$P$3*(P339-$P$1)/$P$2+$Q$3*(Q339-$Q$1)/$Q$2)/SUM($O$3:$Q$3)</f>
        <v>-1.0387315147887846</v>
      </c>
      <c r="AW339" s="47">
        <f>COUNT(R339:AO339)/2</f>
        <v>3</v>
      </c>
      <c r="AX339" s="47">
        <f>IF(AND(S339&lt;&gt;"-",S339&gt;5),1,0)+IF(AND(U339&lt;&gt;"-",U339&gt;5),1,0)+IF(AND(W339&lt;&gt;"-",W339&gt;5),1,0)+IF(AND(Y339&lt;&gt;"-",Y339&gt;5),1,0)+IF(AND(AA339&lt;&gt;"-",AA339&gt;5),1,0)+IF(AND(AC339&lt;&gt;"-",AC339&gt;5),1,0)+IF(AND(AE339&lt;&gt;"-",AE339&gt;5),1,0)+IF(AND(AG339&lt;&gt;"-",AG339&gt;5),1,0)+IF(AND(AI339&lt;&gt;"-",AI339&gt;5),1,0)+IF(AND(AK339&lt;&gt;"-",AK339&gt;5),1,0)+IF(AND(AM339&lt;&gt;"-",AM339&gt;5),1,0)+IF(AND(AO339&lt;&gt;"-",AO339&gt;5),1,0)</f>
        <v>1</v>
      </c>
      <c r="AY339" s="48">
        <f>VLOOKUP(AP339,COND!$A$10:$B$32,2,FALSE)</f>
        <v>1</v>
      </c>
      <c r="AZ339" s="46">
        <f>($AU$3*AU339+$AV$3*AV339+$AW$3*AW339+$AX$3*AX339)*AY339*IF(AQ339&lt;5,0.95,IF(AQ339&lt;7,0.975,1))+$I$3*VLOOKUP(I339,COND!$A$2:$E$7,4,FALSE)+$J$3*VLOOKUP(J339,COND!$A$2:$E$7,2,FALSE)+$K$3*VLOOKUP(K339,COND!$A$2:$E$7,3,FALSE)+IF(BB339="SP",$BB$3,0)+IF($AW339&lt;3,-5,0)+IF(AND($B$2&gt;0,$E339&lt;20),$B$2*25,0)</f>
        <v>27.474433943234445</v>
      </c>
      <c r="BA339" s="49">
        <f>STANDARDIZE(AZ339,AVERAGE($AZ$5:$AZ$570),STDEVP($AZ$5:$AZ$570))</f>
        <v>-0.48124724036370509</v>
      </c>
      <c r="BB339" s="47" t="str">
        <f>IF(OR(AND(AQ339&gt;7,AX339&gt;1),AND(AQ339&gt;4,AW339&gt;2)),"SP","RP")</f>
        <v>RP</v>
      </c>
      <c r="BC339" s="47"/>
      <c r="BD339" s="47"/>
      <c r="BE339" s="47"/>
      <c r="BF339" s="47" t="str">
        <f>IF(AVERAGE($O339:$Q339)&gt;=6,"Likely",IF(AVERAGE($O339:$Q339)&gt;=4,"Possible","Unlikely"))</f>
        <v>Unlikely</v>
      </c>
      <c r="BG339" s="47"/>
      <c r="BH339" s="47" t="str">
        <f>INDEX(Table5[[#All],[Ovr]],MATCH(Table3[[#This Row],[PID]],Table5[[#All],[PID]],0))</f>
        <v/>
      </c>
      <c r="BI339" s="47" t="str">
        <f>INDEX(Table5[[#All],[Rnd]],MATCH(Table3[[#This Row],[PID]],Table5[[#All],[PID]],0))</f>
        <v/>
      </c>
      <c r="BJ339" s="47" t="str">
        <f>INDEX(Table5[[#All],[Pick]],MATCH(Table3[[#This Row],[PID]],Table5[[#All],[PID]],0))</f>
        <v/>
      </c>
      <c r="BK339" s="47" t="str">
        <f>INDEX(Table5[[#All],[Team]],MATCH(Table3[[#This Row],[PID]],Table5[[#All],[PID]],0))</f>
        <v/>
      </c>
      <c r="BL3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0" spans="1:64" ht="15" customHeight="1" x14ac:dyDescent="0.25">
      <c r="A340" s="42">
        <v>8340</v>
      </c>
      <c r="B340" s="42" t="s">
        <v>430</v>
      </c>
      <c r="C340" s="42" t="s">
        <v>324</v>
      </c>
      <c r="D340" s="42" t="s">
        <v>926</v>
      </c>
      <c r="E340" s="42">
        <v>18</v>
      </c>
      <c r="F340" s="42" t="s">
        <v>62</v>
      </c>
      <c r="G340" s="42" t="s">
        <v>42</v>
      </c>
      <c r="H340" s="43" t="s">
        <v>721</v>
      </c>
      <c r="I340" s="44" t="s">
        <v>43</v>
      </c>
      <c r="J340" s="42" t="s">
        <v>47</v>
      </c>
      <c r="K340" s="43" t="s">
        <v>43</v>
      </c>
      <c r="L340" s="42">
        <v>1</v>
      </c>
      <c r="M340" s="42">
        <v>2</v>
      </c>
      <c r="N340" s="43">
        <v>1</v>
      </c>
      <c r="O340" s="42">
        <v>3</v>
      </c>
      <c r="P340" s="42">
        <v>2</v>
      </c>
      <c r="Q340" s="43">
        <v>2</v>
      </c>
      <c r="R340" s="42">
        <v>2</v>
      </c>
      <c r="S340" s="42">
        <v>3</v>
      </c>
      <c r="T340" s="42" t="s">
        <v>45</v>
      </c>
      <c r="U340" s="42" t="s">
        <v>45</v>
      </c>
      <c r="V340" s="42" t="s">
        <v>45</v>
      </c>
      <c r="W340" s="42" t="s">
        <v>45</v>
      </c>
      <c r="X340" s="42" t="s">
        <v>45</v>
      </c>
      <c r="Y340" s="42" t="s">
        <v>45</v>
      </c>
      <c r="Z340" s="42" t="s">
        <v>45</v>
      </c>
      <c r="AA340" s="42" t="s">
        <v>45</v>
      </c>
      <c r="AB340" s="42" t="s">
        <v>45</v>
      </c>
      <c r="AC340" s="42" t="s">
        <v>45</v>
      </c>
      <c r="AD340" s="42" t="s">
        <v>45</v>
      </c>
      <c r="AE340" s="42" t="s">
        <v>45</v>
      </c>
      <c r="AF340" s="42" t="s">
        <v>45</v>
      </c>
      <c r="AG340" s="42" t="s">
        <v>45</v>
      </c>
      <c r="AH340" s="42">
        <v>1</v>
      </c>
      <c r="AI340" s="42">
        <v>4</v>
      </c>
      <c r="AJ340" s="42">
        <v>1</v>
      </c>
      <c r="AK340" s="42">
        <v>5</v>
      </c>
      <c r="AL340" s="42" t="s">
        <v>45</v>
      </c>
      <c r="AM340" s="42" t="s">
        <v>45</v>
      </c>
      <c r="AN340" s="42" t="s">
        <v>45</v>
      </c>
      <c r="AO340" s="43" t="s">
        <v>45</v>
      </c>
      <c r="AP340" s="42" t="s">
        <v>67</v>
      </c>
      <c r="AQ340" s="42">
        <v>3</v>
      </c>
      <c r="AR340" s="50" t="s">
        <v>353</v>
      </c>
      <c r="AS340" s="45" t="s">
        <v>739</v>
      </c>
      <c r="AT340" s="45" t="s">
        <v>47</v>
      </c>
      <c r="AU340" s="46">
        <f>($O$3*(L340-$O$1)/$O$2+$P$3*(M340-$P$1)/$P$2+$Q$3*(N340-$P$1)/$Q$2)/SUM($O$3:$Q$3)</f>
        <v>-2.5060525215375429</v>
      </c>
      <c r="AV340" s="46">
        <f>($O$3*(O340-$O$1)/$O$2+$P$3*(P340-$P$1)/$P$2+$Q$3*(Q340-$Q$1)/$Q$2)/SUM($O$3:$Q$3)</f>
        <v>-1.4288545557280135</v>
      </c>
      <c r="AW340" s="47">
        <f>COUNT(R340:AO340)/2</f>
        <v>3</v>
      </c>
      <c r="AX340" s="47">
        <f>IF(AND(S340&lt;&gt;"-",S340&gt;5),1,0)+IF(AND(U340&lt;&gt;"-",U340&gt;5),1,0)+IF(AND(W340&lt;&gt;"-",W340&gt;5),1,0)+IF(AND(Y340&lt;&gt;"-",Y340&gt;5),1,0)+IF(AND(AA340&lt;&gt;"-",AA340&gt;5),1,0)+IF(AND(AC340&lt;&gt;"-",AC340&gt;5),1,0)+IF(AND(AE340&lt;&gt;"-",AE340&gt;5),1,0)+IF(AND(AG340&lt;&gt;"-",AG340&gt;5),1,0)+IF(AND(AI340&lt;&gt;"-",AI340&gt;5),1,0)+IF(AND(AK340&lt;&gt;"-",AK340&gt;5),1,0)+IF(AND(AM340&lt;&gt;"-",AM340&gt;5),1,0)+IF(AND(AO340&lt;&gt;"-",AO340&gt;5),1,0)</f>
        <v>0</v>
      </c>
      <c r="AY340" s="48">
        <f>VLOOKUP(AP340,COND!$A$10:$B$32,2,FALSE)</f>
        <v>0.9</v>
      </c>
      <c r="AZ340" s="46">
        <f>($AU$3*AU340+$AV$3*AV340+$AW$3*AW340+$AX$3*AX340)*AY340*IF(AQ340&lt;5,0.95,IF(AQ340&lt;7,0.975,1))+$I$3*VLOOKUP(I340,COND!$A$2:$E$7,4,FALSE)+$J$3*VLOOKUP(J340,COND!$A$2:$E$7,2,FALSE)+$K$3*VLOOKUP(K340,COND!$A$2:$E$7,3,FALSE)+IF(BB340="SP",$BB$3,0)+IF($AW340&lt;3,-5,0)+IF(AND($B$2&gt;0,$E340&lt;20),$B$2*25,0)</f>
        <v>26.720552115868053</v>
      </c>
      <c r="BA340" s="49">
        <f>STANDARDIZE(AZ340,AVERAGE($AZ$5:$AZ$570),STDEVP($AZ$5:$AZ$570))</f>
        <v>-0.5503814260918537</v>
      </c>
      <c r="BB340" s="47" t="str">
        <f>IF(OR(AND(AQ340&gt;7,AX340&gt;1),AND(AQ340&gt;4,AW340&gt;2)),"SP","RP")</f>
        <v>RP</v>
      </c>
      <c r="BC340" s="47"/>
      <c r="BD340" s="47"/>
      <c r="BE340" s="47"/>
      <c r="BF340" s="47" t="str">
        <f>IF(AVERAGE($O340:$Q340)&gt;=6,"Likely",IF(AVERAGE($O340:$Q340)&gt;=4,"Possible","Unlikely"))</f>
        <v>Unlikely</v>
      </c>
      <c r="BG340" s="47"/>
      <c r="BH340" s="47" t="str">
        <f>INDEX(Table5[[#All],[Ovr]],MATCH(Table3[[#This Row],[PID]],Table5[[#All],[PID]],0))</f>
        <v/>
      </c>
      <c r="BI340" s="47" t="str">
        <f>INDEX(Table5[[#All],[Rnd]],MATCH(Table3[[#This Row],[PID]],Table5[[#All],[PID]],0))</f>
        <v/>
      </c>
      <c r="BJ340" s="47" t="str">
        <f>INDEX(Table5[[#All],[Pick]],MATCH(Table3[[#This Row],[PID]],Table5[[#All],[PID]],0))</f>
        <v/>
      </c>
      <c r="BK340" s="47" t="str">
        <f>INDEX(Table5[[#All],[Team]],MATCH(Table3[[#This Row],[PID]],Table5[[#All],[PID]],0))</f>
        <v/>
      </c>
      <c r="BL3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1" spans="1:64" ht="15" customHeight="1" x14ac:dyDescent="0.25">
      <c r="A341" s="42">
        <v>7615</v>
      </c>
      <c r="B341" s="42" t="s">
        <v>430</v>
      </c>
      <c r="C341" s="42" t="s">
        <v>1647</v>
      </c>
      <c r="D341" s="42" t="s">
        <v>1648</v>
      </c>
      <c r="E341" s="42">
        <v>18</v>
      </c>
      <c r="F341" s="42" t="s">
        <v>42</v>
      </c>
      <c r="G341" s="42" t="s">
        <v>42</v>
      </c>
      <c r="H341" s="43" t="s">
        <v>721</v>
      </c>
      <c r="I341" s="44" t="s">
        <v>43</v>
      </c>
      <c r="J341" s="42" t="s">
        <v>44</v>
      </c>
      <c r="K341" s="43" t="s">
        <v>43</v>
      </c>
      <c r="L341" s="42">
        <v>2</v>
      </c>
      <c r="M341" s="42">
        <v>1</v>
      </c>
      <c r="N341" s="43">
        <v>1</v>
      </c>
      <c r="O341" s="42">
        <v>4</v>
      </c>
      <c r="P341" s="42">
        <v>1</v>
      </c>
      <c r="Q341" s="43">
        <v>3</v>
      </c>
      <c r="R341" s="42">
        <v>4</v>
      </c>
      <c r="S341" s="42">
        <v>5</v>
      </c>
      <c r="T341" s="42">
        <v>1</v>
      </c>
      <c r="U341" s="42">
        <v>2</v>
      </c>
      <c r="V341" s="42">
        <v>2</v>
      </c>
      <c r="W341" s="42">
        <v>5</v>
      </c>
      <c r="X341" s="42" t="s">
        <v>45</v>
      </c>
      <c r="Y341" s="42" t="s">
        <v>45</v>
      </c>
      <c r="Z341" s="42" t="s">
        <v>45</v>
      </c>
      <c r="AA341" s="42" t="s">
        <v>45</v>
      </c>
      <c r="AB341" s="42" t="s">
        <v>45</v>
      </c>
      <c r="AC341" s="42" t="s">
        <v>45</v>
      </c>
      <c r="AD341" s="42" t="s">
        <v>45</v>
      </c>
      <c r="AE341" s="42" t="s">
        <v>45</v>
      </c>
      <c r="AF341" s="42" t="s">
        <v>45</v>
      </c>
      <c r="AG341" s="42" t="s">
        <v>45</v>
      </c>
      <c r="AH341" s="42" t="s">
        <v>45</v>
      </c>
      <c r="AI341" s="42" t="s">
        <v>45</v>
      </c>
      <c r="AJ341" s="42" t="s">
        <v>45</v>
      </c>
      <c r="AK341" s="42" t="s">
        <v>45</v>
      </c>
      <c r="AL341" s="42" t="s">
        <v>45</v>
      </c>
      <c r="AM341" s="42" t="s">
        <v>45</v>
      </c>
      <c r="AN341" s="42" t="s">
        <v>45</v>
      </c>
      <c r="AO341" s="43" t="s">
        <v>45</v>
      </c>
      <c r="AP341" s="42" t="s">
        <v>57</v>
      </c>
      <c r="AQ341" s="42">
        <v>4</v>
      </c>
      <c r="AR341" s="50" t="s">
        <v>14</v>
      </c>
      <c r="AS341" s="45" t="s">
        <v>730</v>
      </c>
      <c r="AT341" s="45" t="s">
        <v>47</v>
      </c>
      <c r="AU341" s="46">
        <f>($O$3*(L341-$O$1)/$O$2+$P$3*(M341-$P$1)/$P$2+$Q$3*(N341-$P$1)/$Q$2)/SUM($O$3:$Q$3)</f>
        <v>-2.5067929134584248</v>
      </c>
      <c r="AV341" s="46">
        <f>($O$3*(O341-$O$1)/$O$2+$P$3*(P341-$P$1)/$P$2+$Q$3*(Q341-$Q$1)/$Q$2)/SUM($O$3:$Q$3)</f>
        <v>-1.1872743815947853</v>
      </c>
      <c r="AW341" s="47">
        <f>COUNT(R341:AO341)/2</f>
        <v>3</v>
      </c>
      <c r="AX341" s="47">
        <f>IF(AND(S341&lt;&gt;"-",S341&gt;5),1,0)+IF(AND(U341&lt;&gt;"-",U341&gt;5),1,0)+IF(AND(W341&lt;&gt;"-",W341&gt;5),1,0)+IF(AND(Y341&lt;&gt;"-",Y341&gt;5),1,0)+IF(AND(AA341&lt;&gt;"-",AA341&gt;5),1,0)+IF(AND(AC341&lt;&gt;"-",AC341&gt;5),1,0)+IF(AND(AE341&lt;&gt;"-",AE341&gt;5),1,0)+IF(AND(AG341&lt;&gt;"-",AG341&gt;5),1,0)+IF(AND(AI341&lt;&gt;"-",AI341&gt;5),1,0)+IF(AND(AK341&lt;&gt;"-",AK341&gt;5),1,0)+IF(AND(AM341&lt;&gt;"-",AM341&gt;5),1,0)+IF(AND(AO341&lt;&gt;"-",AO341&gt;5),1,0)</f>
        <v>0</v>
      </c>
      <c r="AY341" s="48">
        <f>VLOOKUP(AP341,COND!$A$10:$B$32,2,FALSE)</f>
        <v>1</v>
      </c>
      <c r="AZ341" s="46">
        <f>($AU$3*AU341+$AV$3*AV341+$AW$3*AW341+$AX$3*AX341)*AY341*IF(AQ341&lt;5,0.95,IF(AQ341&lt;7,0.975,1))+$I$3*VLOOKUP(I341,COND!$A$2:$E$7,4,FALSE)+$J$3*VLOOKUP(J341,COND!$A$2:$E$7,2,FALSE)+$K$3*VLOOKUP(K341,COND!$A$2:$E$7,3,FALSE)+IF(BB341="SP",$BB$3,0)+IF($AW341&lt;3,-5,0)+IF(AND($B$2&gt;0,$E341&lt;20),$B$2*25,0)</f>
        <v>28.090496096141976</v>
      </c>
      <c r="BA341" s="49">
        <f>STANDARDIZE(AZ341,AVERAGE($AZ$5:$AZ$570),STDEVP($AZ$5:$AZ$570))</f>
        <v>-0.42475170783710275</v>
      </c>
      <c r="BB341" s="47" t="str">
        <f>IF(OR(AND(AQ341&gt;7,AX341&gt;1),AND(AQ341&gt;4,AW341&gt;2)),"SP","RP")</f>
        <v>RP</v>
      </c>
      <c r="BC341" s="47"/>
      <c r="BD341" s="47"/>
      <c r="BE341" s="47"/>
      <c r="BF341" s="47" t="str">
        <f>IF(AVERAGE($O341:$Q341)&gt;=6,"Likely",IF(AVERAGE($O341:$Q341)&gt;=4,"Possible","Unlikely"))</f>
        <v>Unlikely</v>
      </c>
      <c r="BG341" s="47"/>
      <c r="BH341" s="47" t="str">
        <f>INDEX(Table5[[#All],[Ovr]],MATCH(Table3[[#This Row],[PID]],Table5[[#All],[PID]],0))</f>
        <v/>
      </c>
      <c r="BI341" s="47" t="str">
        <f>INDEX(Table5[[#All],[Rnd]],MATCH(Table3[[#This Row],[PID]],Table5[[#All],[PID]],0))</f>
        <v/>
      </c>
      <c r="BJ341" s="47" t="str">
        <f>INDEX(Table5[[#All],[Pick]],MATCH(Table3[[#This Row],[PID]],Table5[[#All],[PID]],0))</f>
        <v/>
      </c>
      <c r="BK341" s="47" t="str">
        <f>INDEX(Table5[[#All],[Team]],MATCH(Table3[[#This Row],[PID]],Table5[[#All],[PID]],0))</f>
        <v/>
      </c>
      <c r="BL3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2" spans="1:64" ht="15" customHeight="1" x14ac:dyDescent="0.25">
      <c r="A342" s="42">
        <v>17604</v>
      </c>
      <c r="B342" s="42" t="s">
        <v>430</v>
      </c>
      <c r="C342" s="42" t="s">
        <v>724</v>
      </c>
      <c r="D342" s="42" t="s">
        <v>722</v>
      </c>
      <c r="E342" s="42">
        <v>18</v>
      </c>
      <c r="F342" s="42" t="s">
        <v>42</v>
      </c>
      <c r="G342" s="42" t="s">
        <v>53</v>
      </c>
      <c r="H342" s="43" t="s">
        <v>721</v>
      </c>
      <c r="I342" s="44" t="s">
        <v>43</v>
      </c>
      <c r="J342" s="42" t="s">
        <v>44</v>
      </c>
      <c r="K342" s="43" t="s">
        <v>44</v>
      </c>
      <c r="L342" s="42">
        <v>1</v>
      </c>
      <c r="M342" s="42">
        <v>1</v>
      </c>
      <c r="N342" s="43">
        <v>1</v>
      </c>
      <c r="O342" s="42">
        <v>4</v>
      </c>
      <c r="P342" s="42">
        <v>1</v>
      </c>
      <c r="Q342" s="43">
        <v>2</v>
      </c>
      <c r="R342" s="42">
        <v>2</v>
      </c>
      <c r="S342" s="42">
        <v>4</v>
      </c>
      <c r="T342" s="42" t="s">
        <v>45</v>
      </c>
      <c r="U342" s="42" t="s">
        <v>45</v>
      </c>
      <c r="V342" s="42">
        <v>1</v>
      </c>
      <c r="W342" s="42">
        <v>7</v>
      </c>
      <c r="X342" s="42">
        <v>1</v>
      </c>
      <c r="Y342" s="42">
        <v>6</v>
      </c>
      <c r="Z342" s="42" t="s">
        <v>45</v>
      </c>
      <c r="AA342" s="42" t="s">
        <v>45</v>
      </c>
      <c r="AB342" s="42" t="s">
        <v>45</v>
      </c>
      <c r="AC342" s="42" t="s">
        <v>45</v>
      </c>
      <c r="AD342" s="42" t="s">
        <v>45</v>
      </c>
      <c r="AE342" s="42" t="s">
        <v>45</v>
      </c>
      <c r="AF342" s="42" t="s">
        <v>45</v>
      </c>
      <c r="AG342" s="42" t="s">
        <v>45</v>
      </c>
      <c r="AH342" s="42" t="s">
        <v>45</v>
      </c>
      <c r="AI342" s="42" t="s">
        <v>45</v>
      </c>
      <c r="AJ342" s="42" t="s">
        <v>45</v>
      </c>
      <c r="AK342" s="42" t="s">
        <v>45</v>
      </c>
      <c r="AL342" s="42" t="s">
        <v>45</v>
      </c>
      <c r="AM342" s="42" t="s">
        <v>45</v>
      </c>
      <c r="AN342" s="42" t="s">
        <v>45</v>
      </c>
      <c r="AO342" s="43" t="s">
        <v>45</v>
      </c>
      <c r="AP342" s="42" t="s">
        <v>67</v>
      </c>
      <c r="AQ342" s="42">
        <v>8</v>
      </c>
      <c r="AR342" s="50" t="s">
        <v>14</v>
      </c>
      <c r="AS342" s="45" t="s">
        <v>718</v>
      </c>
      <c r="AT342" s="45" t="s">
        <v>47</v>
      </c>
      <c r="AU342" s="46">
        <f>($O$3*(L342-$O$1)/$O$2+$P$3*(M342-$P$1)/$P$2+$Q$3*(N342-$P$1)/$Q$2)/SUM($O$3:$Q$3)</f>
        <v>-2.7014842379675978</v>
      </c>
      <c r="AV342" s="46">
        <f>($O$3*(O342-$O$1)/$O$2+$P$3*(P342-$P$1)/$P$2+$Q$3*(Q342-$Q$1)/$Q$2)/SUM($O$3:$Q$3)</f>
        <v>-1.4295949476488956</v>
      </c>
      <c r="AW342" s="47">
        <f>COUNT(R342:AO342)/2</f>
        <v>3</v>
      </c>
      <c r="AX342" s="47">
        <f>IF(AND(S342&lt;&gt;"-",S342&gt;5),1,0)+IF(AND(U342&lt;&gt;"-",U342&gt;5),1,0)+IF(AND(W342&lt;&gt;"-",W342&gt;5),1,0)+IF(AND(Y342&lt;&gt;"-",Y342&gt;5),1,0)+IF(AND(AA342&lt;&gt;"-",AA342&gt;5),1,0)+IF(AND(AC342&lt;&gt;"-",AC342&gt;5),1,0)+IF(AND(AE342&lt;&gt;"-",AE342&gt;5),1,0)+IF(AND(AG342&lt;&gt;"-",AG342&gt;5),1,0)+IF(AND(AI342&lt;&gt;"-",AI342&gt;5),1,0)+IF(AND(AK342&lt;&gt;"-",AK342&gt;5),1,0)+IF(AND(AM342&lt;&gt;"-",AM342&gt;5),1,0)+IF(AND(AO342&lt;&gt;"-",AO342&gt;5),1,0)</f>
        <v>2</v>
      </c>
      <c r="AY342" s="48">
        <f>VLOOKUP(AP342,COND!$A$10:$B$32,2,FALSE)</f>
        <v>0.9</v>
      </c>
      <c r="AZ342" s="46">
        <f>($AU$3*AU342+$AV$3*AV342+$AW$3*AW342+$AX$3*AX342)*AY342*IF(AQ342&lt;5,0.95,IF(AQ342&lt;7,0.975,1))+$I$3*VLOOKUP(I342,COND!$A$2:$E$7,4,FALSE)+$J$3*VLOOKUP(J342,COND!$A$2:$E$7,2,FALSE)+$K$3*VLOOKUP(K342,COND!$A$2:$E$7,3,FALSE)+IF(BB342="SP",$BB$3,0)+IF($AW342&lt;3,-5,0)+IF(AND($B$2&gt;0,$E342&lt;20),$B$2*25,0)</f>
        <v>28.781023779485707</v>
      </c>
      <c r="BA342" s="49">
        <f>STANDARDIZE(AZ342,AVERAGE($AZ$5:$AZ$570),STDEVP($AZ$5:$AZ$570))</f>
        <v>-0.36142736789713464</v>
      </c>
      <c r="BB342" s="47" t="str">
        <f>IF(OR(AND(AQ342&gt;7,AX342&gt;1),AND(AQ342&gt;4,AW342&gt;2)),"SP","RP")</f>
        <v>SP</v>
      </c>
      <c r="BC342" s="47"/>
      <c r="BD342" s="47"/>
      <c r="BE342" s="47"/>
      <c r="BF342" s="47" t="str">
        <f>IF(AVERAGE($O342:$Q342)&gt;=6,"Likely",IF(AVERAGE($O342:$Q342)&gt;=4,"Possible","Unlikely"))</f>
        <v>Unlikely</v>
      </c>
      <c r="BG342" s="47"/>
      <c r="BH342" s="47" t="str">
        <f>INDEX(Table5[[#All],[Ovr]],MATCH(Table3[[#This Row],[PID]],Table5[[#All],[PID]],0))</f>
        <v/>
      </c>
      <c r="BI342" s="47" t="str">
        <f>INDEX(Table5[[#All],[Rnd]],MATCH(Table3[[#This Row],[PID]],Table5[[#All],[PID]],0))</f>
        <v/>
      </c>
      <c r="BJ342" s="47" t="str">
        <f>INDEX(Table5[[#All],[Pick]],MATCH(Table3[[#This Row],[PID]],Table5[[#All],[PID]],0))</f>
        <v/>
      </c>
      <c r="BK342" s="47" t="str">
        <f>INDEX(Table5[[#All],[Team]],MATCH(Table3[[#This Row],[PID]],Table5[[#All],[PID]],0))</f>
        <v/>
      </c>
      <c r="BL3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3" spans="1:64" ht="15" customHeight="1" x14ac:dyDescent="0.25">
      <c r="A343" s="42">
        <v>12193</v>
      </c>
      <c r="B343" s="42" t="s">
        <v>24</v>
      </c>
      <c r="C343" s="42" t="s">
        <v>132</v>
      </c>
      <c r="D343" s="42" t="s">
        <v>446</v>
      </c>
      <c r="E343" s="42">
        <v>21</v>
      </c>
      <c r="F343" s="42" t="s">
        <v>42</v>
      </c>
      <c r="G343" s="42" t="s">
        <v>42</v>
      </c>
      <c r="H343" s="43" t="s">
        <v>721</v>
      </c>
      <c r="I343" s="44" t="s">
        <v>43</v>
      </c>
      <c r="J343" s="42" t="s">
        <v>47</v>
      </c>
      <c r="K343" s="43" t="s">
        <v>43</v>
      </c>
      <c r="L343" s="42">
        <v>3</v>
      </c>
      <c r="M343" s="42">
        <v>1</v>
      </c>
      <c r="N343" s="43">
        <v>1</v>
      </c>
      <c r="O343" s="42">
        <v>4</v>
      </c>
      <c r="P343" s="42">
        <v>2</v>
      </c>
      <c r="Q343" s="43">
        <v>2</v>
      </c>
      <c r="R343" s="42">
        <v>5</v>
      </c>
      <c r="S343" s="42">
        <v>6</v>
      </c>
      <c r="T343" s="42">
        <v>1</v>
      </c>
      <c r="U343" s="42">
        <v>4</v>
      </c>
      <c r="V343" s="42" t="s">
        <v>45</v>
      </c>
      <c r="W343" s="42" t="s">
        <v>45</v>
      </c>
      <c r="X343" s="42">
        <v>3</v>
      </c>
      <c r="Y343" s="42">
        <v>3</v>
      </c>
      <c r="Z343" s="42" t="s">
        <v>45</v>
      </c>
      <c r="AA343" s="42" t="s">
        <v>45</v>
      </c>
      <c r="AB343" s="42" t="s">
        <v>45</v>
      </c>
      <c r="AC343" s="42" t="s">
        <v>45</v>
      </c>
      <c r="AD343" s="42">
        <v>4</v>
      </c>
      <c r="AE343" s="42">
        <v>6</v>
      </c>
      <c r="AF343" s="42" t="s">
        <v>45</v>
      </c>
      <c r="AG343" s="42" t="s">
        <v>45</v>
      </c>
      <c r="AH343" s="42" t="s">
        <v>45</v>
      </c>
      <c r="AI343" s="42" t="s">
        <v>45</v>
      </c>
      <c r="AJ343" s="42" t="s">
        <v>45</v>
      </c>
      <c r="AK343" s="42" t="s">
        <v>45</v>
      </c>
      <c r="AL343" s="42" t="s">
        <v>45</v>
      </c>
      <c r="AM343" s="42" t="s">
        <v>45</v>
      </c>
      <c r="AN343" s="42" t="s">
        <v>45</v>
      </c>
      <c r="AO343" s="43" t="s">
        <v>45</v>
      </c>
      <c r="AP343" s="42" t="s">
        <v>60</v>
      </c>
      <c r="AQ343" s="42">
        <v>5</v>
      </c>
      <c r="AR343" s="50" t="s">
        <v>353</v>
      </c>
      <c r="AS343" s="45" t="s">
        <v>45</v>
      </c>
      <c r="AT343" s="45" t="s">
        <v>47</v>
      </c>
      <c r="AU343" s="46">
        <f>($O$3*(L343-$O$1)/$O$2+$P$3*(M343-$P$1)/$P$2+$Q$3*(N343-$P$1)/$Q$2)/SUM($O$3:$Q$3)</f>
        <v>-2.3121015889492513</v>
      </c>
      <c r="AV343" s="46">
        <f>($O$3*(O343-$O$1)/$O$2+$P$3*(P343-$P$1)/$P$2+$Q$3*(Q343-$Q$1)/$Q$2)/SUM($O$3:$Q$3)</f>
        <v>-1.23416323121884</v>
      </c>
      <c r="AW343" s="47">
        <f>COUNT(R343:AO343)/2</f>
        <v>4</v>
      </c>
      <c r="AX343" s="47">
        <f>IF(AND(S343&lt;&gt;"-",S343&gt;5),1,0)+IF(AND(U343&lt;&gt;"-",U343&gt;5),1,0)+IF(AND(W343&lt;&gt;"-",W343&gt;5),1,0)+IF(AND(Y343&lt;&gt;"-",Y343&gt;5),1,0)+IF(AND(AA343&lt;&gt;"-",AA343&gt;5),1,0)+IF(AND(AC343&lt;&gt;"-",AC343&gt;5),1,0)+IF(AND(AE343&lt;&gt;"-",AE343&gt;5),1,0)+IF(AND(AG343&lt;&gt;"-",AG343&gt;5),1,0)+IF(AND(AI343&lt;&gt;"-",AI343&gt;5),1,0)+IF(AND(AK343&lt;&gt;"-",AK343&gt;5),1,0)+IF(AND(AM343&lt;&gt;"-",AM343&gt;5),1,0)+IF(AND(AO343&lt;&gt;"-",AO343&gt;5),1,0)</f>
        <v>2</v>
      </c>
      <c r="AY343" s="48">
        <f>VLOOKUP(AP343,COND!$A$10:$B$32,2,FALSE)</f>
        <v>1.0249999999999999</v>
      </c>
      <c r="AZ343" s="46">
        <f>($AU$3*AU343+$AV$3*AV343+$AW$3*AW343+$AX$3*AX343)*AY343*IF(AQ343&lt;5,0.95,IF(AQ343&lt;7,0.975,1))+$I$3*VLOOKUP(I343,COND!$A$2:$E$7,4,FALSE)+$J$3*VLOOKUP(J343,COND!$A$2:$E$7,2,FALSE)+$K$3*VLOOKUP(K343,COND!$A$2:$E$7,3,FALSE)+IF(BB343="SP",$BB$3,0)+IF($AW343&lt;3,-5,0)+IF(AND($B$2&gt;0,$E343&lt;20),$B$2*25,0)</f>
        <v>26.667218610922209</v>
      </c>
      <c r="BA343" s="49">
        <f>STANDARDIZE(AZ343,AVERAGE($AZ$5:$AZ$570),STDEVP($AZ$5:$AZ$570))</f>
        <v>-0.55527233644757867</v>
      </c>
      <c r="BB343" s="47" t="str">
        <f>IF(OR(AND(AQ343&gt;7,AX343&gt;1),AND(AQ343&gt;4,AW343&gt;2)),"SP","RP")</f>
        <v>SP</v>
      </c>
      <c r="BC343" s="47"/>
      <c r="BD343" s="47"/>
      <c r="BE343" s="47"/>
      <c r="BF343" s="47" t="str">
        <f>IF(AVERAGE($O343:$Q343)&gt;=6,"Likely",IF(AVERAGE($O343:$Q343)&gt;=4,"Possible","Unlikely"))</f>
        <v>Unlikely</v>
      </c>
      <c r="BG343" s="47"/>
      <c r="BH343" s="47" t="str">
        <f>INDEX(Table5[[#All],[Ovr]],MATCH(Table3[[#This Row],[PID]],Table5[[#All],[PID]],0))</f>
        <v/>
      </c>
      <c r="BI343" s="47" t="str">
        <f>INDEX(Table5[[#All],[Rnd]],MATCH(Table3[[#This Row],[PID]],Table5[[#All],[PID]],0))</f>
        <v/>
      </c>
      <c r="BJ343" s="47" t="str">
        <f>INDEX(Table5[[#All],[Pick]],MATCH(Table3[[#This Row],[PID]],Table5[[#All],[PID]],0))</f>
        <v/>
      </c>
      <c r="BK343" s="47" t="str">
        <f>INDEX(Table5[[#All],[Team]],MATCH(Table3[[#This Row],[PID]],Table5[[#All],[PID]],0))</f>
        <v/>
      </c>
      <c r="BL3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4" spans="1:64" ht="15" customHeight="1" x14ac:dyDescent="0.25">
      <c r="A344" s="42">
        <v>15274</v>
      </c>
      <c r="B344" s="42" t="s">
        <v>430</v>
      </c>
      <c r="C344" s="42" t="s">
        <v>1275</v>
      </c>
      <c r="D344" s="42" t="s">
        <v>1276</v>
      </c>
      <c r="E344" s="42">
        <v>18</v>
      </c>
      <c r="F344" s="42" t="s">
        <v>42</v>
      </c>
      <c r="G344" s="42" t="s">
        <v>42</v>
      </c>
      <c r="H344" s="43" t="s">
        <v>721</v>
      </c>
      <c r="I344" s="44" t="s">
        <v>43</v>
      </c>
      <c r="J344" s="42" t="s">
        <v>44</v>
      </c>
      <c r="K344" s="43" t="s">
        <v>43</v>
      </c>
      <c r="L344" s="42">
        <v>2</v>
      </c>
      <c r="M344" s="42">
        <v>2</v>
      </c>
      <c r="N344" s="43">
        <v>1</v>
      </c>
      <c r="O344" s="42">
        <v>4</v>
      </c>
      <c r="P344" s="42">
        <v>2</v>
      </c>
      <c r="Q344" s="43">
        <v>2</v>
      </c>
      <c r="R344" s="42">
        <v>3</v>
      </c>
      <c r="S344" s="42">
        <v>4</v>
      </c>
      <c r="T344" s="42">
        <v>1</v>
      </c>
      <c r="U344" s="42">
        <v>5</v>
      </c>
      <c r="V344" s="42" t="s">
        <v>45</v>
      </c>
      <c r="W344" s="42" t="s">
        <v>45</v>
      </c>
      <c r="X344" s="42">
        <v>2</v>
      </c>
      <c r="Y344" s="42">
        <v>5</v>
      </c>
      <c r="Z344" s="42" t="s">
        <v>45</v>
      </c>
      <c r="AA344" s="42" t="s">
        <v>45</v>
      </c>
      <c r="AB344" s="42" t="s">
        <v>45</v>
      </c>
      <c r="AC344" s="42" t="s">
        <v>45</v>
      </c>
      <c r="AD344" s="42" t="s">
        <v>45</v>
      </c>
      <c r="AE344" s="42" t="s">
        <v>45</v>
      </c>
      <c r="AF344" s="42" t="s">
        <v>45</v>
      </c>
      <c r="AG344" s="42" t="s">
        <v>45</v>
      </c>
      <c r="AH344" s="42" t="s">
        <v>45</v>
      </c>
      <c r="AI344" s="42" t="s">
        <v>45</v>
      </c>
      <c r="AJ344" s="42" t="s">
        <v>45</v>
      </c>
      <c r="AK344" s="42" t="s">
        <v>45</v>
      </c>
      <c r="AL344" s="42" t="s">
        <v>45</v>
      </c>
      <c r="AM344" s="42" t="s">
        <v>45</v>
      </c>
      <c r="AN344" s="42" t="s">
        <v>45</v>
      </c>
      <c r="AO344" s="43" t="s">
        <v>45</v>
      </c>
      <c r="AP344" s="42" t="s">
        <v>64</v>
      </c>
      <c r="AQ344" s="42">
        <v>8</v>
      </c>
      <c r="AR344" s="50" t="s">
        <v>353</v>
      </c>
      <c r="AS344" s="45" t="s">
        <v>718</v>
      </c>
      <c r="AT344" s="45" t="s">
        <v>47</v>
      </c>
      <c r="AU344" s="46">
        <f>($O$3*(L344-$O$1)/$O$2+$P$3*(M344-$P$1)/$P$2+$Q$3*(N344-$P$1)/$Q$2)/SUM($O$3:$Q$3)</f>
        <v>-2.311361197028369</v>
      </c>
      <c r="AV344" s="46">
        <f>($O$3*(O344-$O$1)/$O$2+$P$3*(P344-$P$1)/$P$2+$Q$3*(Q344-$Q$1)/$Q$2)/SUM($O$3:$Q$3)</f>
        <v>-1.23416323121884</v>
      </c>
      <c r="AW344" s="47">
        <f>COUNT(R344:AO344)/2</f>
        <v>3</v>
      </c>
      <c r="AX344" s="47">
        <f>IF(AND(S344&lt;&gt;"-",S344&gt;5),1,0)+IF(AND(U344&lt;&gt;"-",U344&gt;5),1,0)+IF(AND(W344&lt;&gt;"-",W344&gt;5),1,0)+IF(AND(Y344&lt;&gt;"-",Y344&gt;5),1,0)+IF(AND(AA344&lt;&gt;"-",AA344&gt;5),1,0)+IF(AND(AC344&lt;&gt;"-",AC344&gt;5),1,0)+IF(AND(AE344&lt;&gt;"-",AE344&gt;5),1,0)+IF(AND(AG344&lt;&gt;"-",AG344&gt;5),1,0)+IF(AND(AI344&lt;&gt;"-",AI344&gt;5),1,0)+IF(AND(AK344&lt;&gt;"-",AK344&gt;5),1,0)+IF(AND(AM344&lt;&gt;"-",AM344&gt;5),1,0)+IF(AND(AO344&lt;&gt;"-",AO344&gt;5),1,0)</f>
        <v>0</v>
      </c>
      <c r="AY344" s="48">
        <f>VLOOKUP(AP344,COND!$A$10:$B$32,2,FALSE)</f>
        <v>1</v>
      </c>
      <c r="AZ344" s="46">
        <f>($AU$3*AU344+$AV$3*AV344+$AW$3*AW344+$AX$3*AX344)*AY344*IF(AQ344&lt;5,0.95,IF(AQ344&lt;7,0.975,1))+$I$3*VLOOKUP(I344,COND!$A$2:$E$7,4,FALSE)+$J$3*VLOOKUP(J344,COND!$A$2:$E$7,2,FALSE)+$K$3*VLOOKUP(K344,COND!$A$2:$E$7,3,FALSE)+IF(BB344="SP",$BB$3,0)+IF($AW344&lt;3,-5,0)+IF(AND($B$2&gt;0,$E344&lt;20),$B$2*25,0)</f>
        <v>28.054463136217525</v>
      </c>
      <c r="BA344" s="49">
        <f>STANDARDIZE(AZ344,AVERAGE($AZ$5:$AZ$570),STDEVP($AZ$5:$AZ$570))</f>
        <v>-0.42805608427028247</v>
      </c>
      <c r="BB344" s="47" t="str">
        <f>IF(OR(AND(AQ344&gt;7,AX344&gt;1),AND(AQ344&gt;4,AW344&gt;2)),"SP","RP")</f>
        <v>SP</v>
      </c>
      <c r="BC344" s="47"/>
      <c r="BD344" s="47"/>
      <c r="BE344" s="47"/>
      <c r="BF344" s="47" t="str">
        <f>IF(AVERAGE($O344:$Q344)&gt;=6,"Likely",IF(AVERAGE($O344:$Q344)&gt;=4,"Possible","Unlikely"))</f>
        <v>Unlikely</v>
      </c>
      <c r="BG344" s="47"/>
      <c r="BH344" s="47" t="str">
        <f>INDEX(Table5[[#All],[Ovr]],MATCH(Table3[[#This Row],[PID]],Table5[[#All],[PID]],0))</f>
        <v/>
      </c>
      <c r="BI344" s="47" t="str">
        <f>INDEX(Table5[[#All],[Rnd]],MATCH(Table3[[#This Row],[PID]],Table5[[#All],[PID]],0))</f>
        <v/>
      </c>
      <c r="BJ344" s="47" t="str">
        <f>INDEX(Table5[[#All],[Pick]],MATCH(Table3[[#This Row],[PID]],Table5[[#All],[PID]],0))</f>
        <v/>
      </c>
      <c r="BK344" s="47" t="str">
        <f>INDEX(Table5[[#All],[Team]],MATCH(Table3[[#This Row],[PID]],Table5[[#All],[PID]],0))</f>
        <v/>
      </c>
      <c r="BL3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5" spans="1:64" ht="15" customHeight="1" x14ac:dyDescent="0.25">
      <c r="A345" s="42">
        <v>17593</v>
      </c>
      <c r="B345" s="42" t="s">
        <v>430</v>
      </c>
      <c r="C345" s="42" t="s">
        <v>179</v>
      </c>
      <c r="D345" s="42" t="s">
        <v>1705</v>
      </c>
      <c r="E345" s="42">
        <v>18</v>
      </c>
      <c r="F345" s="42" t="s">
        <v>42</v>
      </c>
      <c r="G345" s="42" t="s">
        <v>42</v>
      </c>
      <c r="H345" s="43" t="s">
        <v>721</v>
      </c>
      <c r="I345" s="44" t="s">
        <v>43</v>
      </c>
      <c r="J345" s="42" t="s">
        <v>44</v>
      </c>
      <c r="K345" s="43" t="s">
        <v>43</v>
      </c>
      <c r="L345" s="42">
        <v>2</v>
      </c>
      <c r="M345" s="42">
        <v>2</v>
      </c>
      <c r="N345" s="43">
        <v>1</v>
      </c>
      <c r="O345" s="42">
        <v>4</v>
      </c>
      <c r="P345" s="42">
        <v>2</v>
      </c>
      <c r="Q345" s="43">
        <v>2</v>
      </c>
      <c r="R345" s="42" t="s">
        <v>45</v>
      </c>
      <c r="S345" s="42" t="s">
        <v>45</v>
      </c>
      <c r="T345" s="42" t="s">
        <v>45</v>
      </c>
      <c r="U345" s="42" t="s">
        <v>45</v>
      </c>
      <c r="V345" s="42">
        <v>2</v>
      </c>
      <c r="W345" s="42">
        <v>5</v>
      </c>
      <c r="X345" s="42">
        <v>2</v>
      </c>
      <c r="Y345" s="42">
        <v>5</v>
      </c>
      <c r="Z345" s="42" t="s">
        <v>45</v>
      </c>
      <c r="AA345" s="42" t="s">
        <v>45</v>
      </c>
      <c r="AB345" s="42" t="s">
        <v>45</v>
      </c>
      <c r="AC345" s="42" t="s">
        <v>45</v>
      </c>
      <c r="AD345" s="42">
        <v>3</v>
      </c>
      <c r="AE345" s="42">
        <v>5</v>
      </c>
      <c r="AF345" s="42" t="s">
        <v>45</v>
      </c>
      <c r="AG345" s="42" t="s">
        <v>45</v>
      </c>
      <c r="AH345" s="42" t="s">
        <v>45</v>
      </c>
      <c r="AI345" s="42" t="s">
        <v>45</v>
      </c>
      <c r="AJ345" s="42" t="s">
        <v>45</v>
      </c>
      <c r="AK345" s="42" t="s">
        <v>45</v>
      </c>
      <c r="AL345" s="42" t="s">
        <v>45</v>
      </c>
      <c r="AM345" s="42" t="s">
        <v>45</v>
      </c>
      <c r="AN345" s="42" t="s">
        <v>45</v>
      </c>
      <c r="AO345" s="43" t="s">
        <v>45</v>
      </c>
      <c r="AP345" s="42" t="s">
        <v>355</v>
      </c>
      <c r="AQ345" s="42">
        <v>8</v>
      </c>
      <c r="AR345" s="50" t="s">
        <v>353</v>
      </c>
      <c r="AS345" s="45" t="s">
        <v>758</v>
      </c>
      <c r="AT345" s="45" t="s">
        <v>47</v>
      </c>
      <c r="AU345" s="46">
        <f>($O$3*(L345-$O$1)/$O$2+$P$3*(M345-$P$1)/$P$2+$Q$3*(N345-$P$1)/$Q$2)/SUM($O$3:$Q$3)</f>
        <v>-2.311361197028369</v>
      </c>
      <c r="AV345" s="46">
        <f>($O$3*(O345-$O$1)/$O$2+$P$3*(P345-$P$1)/$P$2+$Q$3*(Q345-$Q$1)/$Q$2)/SUM($O$3:$Q$3)</f>
        <v>-1.23416323121884</v>
      </c>
      <c r="AW345" s="47">
        <f>COUNT(R345:AO345)/2</f>
        <v>3</v>
      </c>
      <c r="AX345" s="47">
        <f>IF(AND(S345&lt;&gt;"-",S345&gt;5),1,0)+IF(AND(U345&lt;&gt;"-",U345&gt;5),1,0)+IF(AND(W345&lt;&gt;"-",W345&gt;5),1,0)+IF(AND(Y345&lt;&gt;"-",Y345&gt;5),1,0)+IF(AND(AA345&lt;&gt;"-",AA345&gt;5),1,0)+IF(AND(AC345&lt;&gt;"-",AC345&gt;5),1,0)+IF(AND(AE345&lt;&gt;"-",AE345&gt;5),1,0)+IF(AND(AG345&lt;&gt;"-",AG345&gt;5),1,0)+IF(AND(AI345&lt;&gt;"-",AI345&gt;5),1,0)+IF(AND(AK345&lt;&gt;"-",AK345&gt;5),1,0)+IF(AND(AM345&lt;&gt;"-",AM345&gt;5),1,0)+IF(AND(AO345&lt;&gt;"-",AO345&gt;5),1,0)</f>
        <v>0</v>
      </c>
      <c r="AY345" s="48">
        <f>VLOOKUP(AP345,COND!$A$10:$B$32,2,FALSE)</f>
        <v>1</v>
      </c>
      <c r="AZ345" s="46">
        <f>($AU$3*AU345+$AV$3*AV345+$AW$3*AW345+$AX$3*AX345)*AY345*IF(AQ345&lt;5,0.95,IF(AQ345&lt;7,0.975,1))+$I$3*VLOOKUP(I345,COND!$A$2:$E$7,4,FALSE)+$J$3*VLOOKUP(J345,COND!$A$2:$E$7,2,FALSE)+$K$3*VLOOKUP(K345,COND!$A$2:$E$7,3,FALSE)+IF(BB345="SP",$BB$3,0)+IF($AW345&lt;3,-5,0)+IF(AND($B$2&gt;0,$E345&lt;20),$B$2*25,0)</f>
        <v>28.054463136217525</v>
      </c>
      <c r="BA345" s="49">
        <f>STANDARDIZE(AZ345,AVERAGE($AZ$5:$AZ$570),STDEVP($AZ$5:$AZ$570))</f>
        <v>-0.42805608427028247</v>
      </c>
      <c r="BB345" s="47" t="str">
        <f>IF(OR(AND(AQ345&gt;7,AX345&gt;1),AND(AQ345&gt;4,AW345&gt;2)),"SP","RP")</f>
        <v>SP</v>
      </c>
      <c r="BC345" s="47"/>
      <c r="BD345" s="47"/>
      <c r="BE345" s="47"/>
      <c r="BF345" s="47" t="str">
        <f>IF(AVERAGE($O345:$Q345)&gt;=6,"Likely",IF(AVERAGE($O345:$Q345)&gt;=4,"Possible","Unlikely"))</f>
        <v>Unlikely</v>
      </c>
      <c r="BG345" s="47"/>
      <c r="BH345" s="47" t="str">
        <f>INDEX(Table5[[#All],[Ovr]],MATCH(Table3[[#This Row],[PID]],Table5[[#All],[PID]],0))</f>
        <v/>
      </c>
      <c r="BI345" s="47" t="str">
        <f>INDEX(Table5[[#All],[Rnd]],MATCH(Table3[[#This Row],[PID]],Table5[[#All],[PID]],0))</f>
        <v/>
      </c>
      <c r="BJ345" s="47" t="str">
        <f>INDEX(Table5[[#All],[Pick]],MATCH(Table3[[#This Row],[PID]],Table5[[#All],[PID]],0))</f>
        <v/>
      </c>
      <c r="BK345" s="47" t="str">
        <f>INDEX(Table5[[#All],[Team]],MATCH(Table3[[#This Row],[PID]],Table5[[#All],[PID]],0))</f>
        <v/>
      </c>
      <c r="BL3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6" spans="1:64" ht="15" customHeight="1" x14ac:dyDescent="0.25">
      <c r="A346" s="42">
        <v>9833</v>
      </c>
      <c r="B346" s="42" t="s">
        <v>430</v>
      </c>
      <c r="C346" s="42" t="s">
        <v>720</v>
      </c>
      <c r="D346" s="42" t="s">
        <v>1017</v>
      </c>
      <c r="E346" s="42">
        <v>22</v>
      </c>
      <c r="F346" s="42" t="s">
        <v>42</v>
      </c>
      <c r="G346" s="42" t="s">
        <v>42</v>
      </c>
      <c r="H346" s="43" t="s">
        <v>721</v>
      </c>
      <c r="I346" s="44" t="s">
        <v>43</v>
      </c>
      <c r="J346" s="42" t="s">
        <v>43</v>
      </c>
      <c r="K346" s="43" t="s">
        <v>43</v>
      </c>
      <c r="L346" s="42">
        <v>3</v>
      </c>
      <c r="M346" s="42">
        <v>2</v>
      </c>
      <c r="N346" s="43">
        <v>2</v>
      </c>
      <c r="O346" s="42">
        <v>4</v>
      </c>
      <c r="P346" s="42">
        <v>3</v>
      </c>
      <c r="Q346" s="43">
        <v>2</v>
      </c>
      <c r="R346" s="42">
        <v>4</v>
      </c>
      <c r="S346" s="42">
        <v>5</v>
      </c>
      <c r="T346" s="42" t="s">
        <v>45</v>
      </c>
      <c r="U346" s="42" t="s">
        <v>45</v>
      </c>
      <c r="V346" s="42" t="s">
        <v>45</v>
      </c>
      <c r="W346" s="42" t="s">
        <v>45</v>
      </c>
      <c r="X346" s="42" t="s">
        <v>45</v>
      </c>
      <c r="Y346" s="42" t="s">
        <v>45</v>
      </c>
      <c r="Z346" s="42" t="s">
        <v>45</v>
      </c>
      <c r="AA346" s="42" t="s">
        <v>45</v>
      </c>
      <c r="AB346" s="42" t="s">
        <v>45</v>
      </c>
      <c r="AC346" s="42" t="s">
        <v>45</v>
      </c>
      <c r="AD346" s="42">
        <v>4</v>
      </c>
      <c r="AE346" s="42">
        <v>5</v>
      </c>
      <c r="AF346" s="42">
        <v>3</v>
      </c>
      <c r="AG346" s="42">
        <v>4</v>
      </c>
      <c r="AH346" s="42" t="s">
        <v>45</v>
      </c>
      <c r="AI346" s="42" t="s">
        <v>45</v>
      </c>
      <c r="AJ346" s="42" t="s">
        <v>45</v>
      </c>
      <c r="AK346" s="42" t="s">
        <v>45</v>
      </c>
      <c r="AL346" s="42" t="s">
        <v>45</v>
      </c>
      <c r="AM346" s="42" t="s">
        <v>45</v>
      </c>
      <c r="AN346" s="42" t="s">
        <v>45</v>
      </c>
      <c r="AO346" s="43" t="s">
        <v>45</v>
      </c>
      <c r="AP346" s="42" t="s">
        <v>57</v>
      </c>
      <c r="AQ346" s="42">
        <v>7</v>
      </c>
      <c r="AR346" s="50" t="s">
        <v>352</v>
      </c>
      <c r="AS346" s="45" t="s">
        <v>45</v>
      </c>
      <c r="AT346" s="45" t="s">
        <v>705</v>
      </c>
      <c r="AU346" s="46">
        <f>($O$3*(L346-$O$1)/$O$2+$P$3*(M346-$P$1)/$P$2+$Q$3*(N346-$P$1)/$Q$2)/SUM($O$3:$Q$3)</f>
        <v>-1.8743493064650851</v>
      </c>
      <c r="AV346" s="46">
        <f>($O$3*(O346-$O$1)/$O$2+$P$3*(P346-$P$1)/$P$2+$Q$3*(Q346-$Q$1)/$Q$2)/SUM($O$3:$Q$3)</f>
        <v>-1.0387315147887846</v>
      </c>
      <c r="AW346" s="47">
        <f>COUNT(R346:AO346)/2</f>
        <v>3</v>
      </c>
      <c r="AX346" s="47">
        <f>IF(AND(S346&lt;&gt;"-",S346&gt;5),1,0)+IF(AND(U346&lt;&gt;"-",U346&gt;5),1,0)+IF(AND(W346&lt;&gt;"-",W346&gt;5),1,0)+IF(AND(Y346&lt;&gt;"-",Y346&gt;5),1,0)+IF(AND(AA346&lt;&gt;"-",AA346&gt;5),1,0)+IF(AND(AC346&lt;&gt;"-",AC346&gt;5),1,0)+IF(AND(AE346&lt;&gt;"-",AE346&gt;5),1,0)+IF(AND(AG346&lt;&gt;"-",AG346&gt;5),1,0)+IF(AND(AI346&lt;&gt;"-",AI346&gt;5),1,0)+IF(AND(AK346&lt;&gt;"-",AK346&gt;5),1,0)+IF(AND(AM346&lt;&gt;"-",AM346&gt;5),1,0)+IF(AND(AO346&lt;&gt;"-",AO346&gt;5),1,0)</f>
        <v>0</v>
      </c>
      <c r="AY346" s="48">
        <f>VLOOKUP(AP346,COND!$A$10:$B$32,2,FALSE)</f>
        <v>1</v>
      </c>
      <c r="AZ346" s="46">
        <f>($AU$3*AU346+$AV$3*AV346+$AW$3*AW346+$AX$3*AX346)*AY346*IF(AQ346&lt;5,0.95,IF(AQ346&lt;7,0.975,1))+$I$3*VLOOKUP(I346,COND!$A$2:$E$7,4,FALSE)+$J$3*VLOOKUP(J346,COND!$A$2:$E$7,2,FALSE)+$K$3*VLOOKUP(K346,COND!$A$2:$E$7,3,FALSE)+IF(BB346="SP",$BB$3,0)+IF($AW346&lt;3,-5,0)+IF(AND($B$2&gt;0,$E346&lt;20),$B$2*25,0)</f>
        <v>27.350499842931292</v>
      </c>
      <c r="BA346" s="49">
        <f>STANDARDIZE(AZ346,AVERAGE($AZ$5:$AZ$570),STDEVP($AZ$5:$AZ$570))</f>
        <v>-0.49261252706698172</v>
      </c>
      <c r="BB346" s="47" t="str">
        <f>IF(OR(AND(AQ346&gt;7,AX346&gt;1),AND(AQ346&gt;4,AW346&gt;2)),"SP","RP")</f>
        <v>SP</v>
      </c>
      <c r="BC346" s="47"/>
      <c r="BD346" s="47"/>
      <c r="BE346" s="47"/>
      <c r="BF346" s="47" t="str">
        <f>IF(AVERAGE($O346:$Q346)&gt;=6,"Likely",IF(AVERAGE($O346:$Q346)&gt;=4,"Possible","Unlikely"))</f>
        <v>Unlikely</v>
      </c>
      <c r="BG346" s="47"/>
      <c r="BH346" s="47" t="str">
        <f>INDEX(Table5[[#All],[Ovr]],MATCH(Table3[[#This Row],[PID]],Table5[[#All],[PID]],0))</f>
        <v/>
      </c>
      <c r="BI346" s="47" t="str">
        <f>INDEX(Table5[[#All],[Rnd]],MATCH(Table3[[#This Row],[PID]],Table5[[#All],[PID]],0))</f>
        <v/>
      </c>
      <c r="BJ346" s="47" t="str">
        <f>INDEX(Table5[[#All],[Pick]],MATCH(Table3[[#This Row],[PID]],Table5[[#All],[PID]],0))</f>
        <v/>
      </c>
      <c r="BK346" s="47" t="str">
        <f>INDEX(Table5[[#All],[Team]],MATCH(Table3[[#This Row],[PID]],Table5[[#All],[PID]],0))</f>
        <v/>
      </c>
      <c r="BL3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7" spans="1:64" ht="15" customHeight="1" x14ac:dyDescent="0.25">
      <c r="A347" s="42">
        <v>17877</v>
      </c>
      <c r="B347" s="42" t="s">
        <v>24</v>
      </c>
      <c r="C347" s="42" t="s">
        <v>1294</v>
      </c>
      <c r="D347" s="42" t="s">
        <v>925</v>
      </c>
      <c r="E347" s="42">
        <v>18</v>
      </c>
      <c r="F347" s="42" t="s">
        <v>42</v>
      </c>
      <c r="G347" s="42" t="s">
        <v>42</v>
      </c>
      <c r="H347" s="43" t="s">
        <v>721</v>
      </c>
      <c r="I347" s="44" t="s">
        <v>43</v>
      </c>
      <c r="J347" s="42" t="s">
        <v>44</v>
      </c>
      <c r="K347" s="43" t="s">
        <v>44</v>
      </c>
      <c r="L347" s="42">
        <v>1</v>
      </c>
      <c r="M347" s="42">
        <v>2</v>
      </c>
      <c r="N347" s="43">
        <v>1</v>
      </c>
      <c r="O347" s="42">
        <v>4</v>
      </c>
      <c r="P347" s="42">
        <v>2</v>
      </c>
      <c r="Q347" s="43">
        <v>2</v>
      </c>
      <c r="R347" s="42">
        <v>3</v>
      </c>
      <c r="S347" s="42">
        <v>4</v>
      </c>
      <c r="T347" s="42">
        <v>1</v>
      </c>
      <c r="U347" s="42">
        <v>4</v>
      </c>
      <c r="V347" s="42">
        <v>2</v>
      </c>
      <c r="W347" s="42">
        <v>5</v>
      </c>
      <c r="X347" s="42" t="s">
        <v>45</v>
      </c>
      <c r="Y347" s="42" t="s">
        <v>45</v>
      </c>
      <c r="Z347" s="42" t="s">
        <v>45</v>
      </c>
      <c r="AA347" s="42" t="s">
        <v>45</v>
      </c>
      <c r="AB347" s="42" t="s">
        <v>45</v>
      </c>
      <c r="AC347" s="42" t="s">
        <v>45</v>
      </c>
      <c r="AD347" s="42">
        <v>3</v>
      </c>
      <c r="AE347" s="42">
        <v>4</v>
      </c>
      <c r="AF347" s="42">
        <v>3</v>
      </c>
      <c r="AG347" s="42">
        <v>4</v>
      </c>
      <c r="AH347" s="42" t="s">
        <v>45</v>
      </c>
      <c r="AI347" s="42" t="s">
        <v>45</v>
      </c>
      <c r="AJ347" s="42" t="s">
        <v>45</v>
      </c>
      <c r="AK347" s="42" t="s">
        <v>45</v>
      </c>
      <c r="AL347" s="42" t="s">
        <v>45</v>
      </c>
      <c r="AM347" s="42" t="s">
        <v>45</v>
      </c>
      <c r="AN347" s="42" t="s">
        <v>45</v>
      </c>
      <c r="AO347" s="43" t="s">
        <v>45</v>
      </c>
      <c r="AP347" s="42" t="s">
        <v>355</v>
      </c>
      <c r="AQ347" s="42">
        <v>8</v>
      </c>
      <c r="AR347" s="50" t="s">
        <v>353</v>
      </c>
      <c r="AS347" s="45" t="s">
        <v>718</v>
      </c>
      <c r="AT347" s="45" t="s">
        <v>47</v>
      </c>
      <c r="AU347" s="46">
        <f>($O$3*(L347-$O$1)/$O$2+$P$3*(M347-$P$1)/$P$2+$Q$3*(N347-$P$1)/$Q$2)/SUM($O$3:$Q$3)</f>
        <v>-2.5060525215375429</v>
      </c>
      <c r="AV347" s="46">
        <f>($O$3*(O347-$O$1)/$O$2+$P$3*(P347-$P$1)/$P$2+$Q$3*(Q347-$Q$1)/$Q$2)/SUM($O$3:$Q$3)</f>
        <v>-1.23416323121884</v>
      </c>
      <c r="AW347" s="47">
        <f>COUNT(R347:AO347)/2</f>
        <v>5</v>
      </c>
      <c r="AX347" s="47">
        <f>IF(AND(S347&lt;&gt;"-",S347&gt;5),1,0)+IF(AND(U347&lt;&gt;"-",U347&gt;5),1,0)+IF(AND(W347&lt;&gt;"-",W347&gt;5),1,0)+IF(AND(Y347&lt;&gt;"-",Y347&gt;5),1,0)+IF(AND(AA347&lt;&gt;"-",AA347&gt;5),1,0)+IF(AND(AC347&lt;&gt;"-",AC347&gt;5),1,0)+IF(AND(AE347&lt;&gt;"-",AE347&gt;5),1,0)+IF(AND(AG347&lt;&gt;"-",AG347&gt;5),1,0)+IF(AND(AI347&lt;&gt;"-",AI347&gt;5),1,0)+IF(AND(AK347&lt;&gt;"-",AK347&gt;5),1,0)+IF(AND(AM347&lt;&gt;"-",AM347&gt;5),1,0)+IF(AND(AO347&lt;&gt;"-",AO347&gt;5),1,0)</f>
        <v>0</v>
      </c>
      <c r="AY347" s="48">
        <f>VLOOKUP(AP347,COND!$A$10:$B$32,2,FALSE)</f>
        <v>1</v>
      </c>
      <c r="AZ347" s="46">
        <f>($AU$3*AU347+$AV$3*AV347+$AW$3*AW347+$AX$3*AX347)*AY347*IF(AQ347&lt;5,0.95,IF(AQ347&lt;7,0.975,1))+$I$3*VLOOKUP(I347,COND!$A$2:$E$7,4,FALSE)+$J$3*VLOOKUP(J347,COND!$A$2:$E$7,2,FALSE)+$K$3*VLOOKUP(K347,COND!$A$2:$E$7,3,FALSE)+IF(BB347="SP",$BB$3,0)+IF($AW347&lt;3,-5,0)+IF(AND($B$2&gt;0,$E347&lt;20),$B$2*25,0)</f>
        <v>28.71552487131569</v>
      </c>
      <c r="BA347" s="49">
        <f>STANDARDIZE(AZ347,AVERAGE($AZ$5:$AZ$570),STDEVP($AZ$5:$AZ$570))</f>
        <v>-0.36743389772454244</v>
      </c>
      <c r="BB347" s="47" t="str">
        <f>IF(OR(AND(AQ347&gt;7,AX347&gt;1),AND(AQ347&gt;4,AW347&gt;2)),"SP","RP")</f>
        <v>SP</v>
      </c>
      <c r="BC347" s="47"/>
      <c r="BD347" s="47"/>
      <c r="BE347" s="47"/>
      <c r="BF347" s="47" t="str">
        <f>IF(AVERAGE($O347:$Q347)&gt;=6,"Likely",IF(AVERAGE($O347:$Q347)&gt;=4,"Possible","Unlikely"))</f>
        <v>Unlikely</v>
      </c>
      <c r="BG347" s="47"/>
      <c r="BH347" s="47" t="str">
        <f>INDEX(Table5[[#All],[Ovr]],MATCH(Table3[[#This Row],[PID]],Table5[[#All],[PID]],0))</f>
        <v/>
      </c>
      <c r="BI347" s="47" t="str">
        <f>INDEX(Table5[[#All],[Rnd]],MATCH(Table3[[#This Row],[PID]],Table5[[#All],[PID]],0))</f>
        <v/>
      </c>
      <c r="BJ347" s="47" t="str">
        <f>INDEX(Table5[[#All],[Pick]],MATCH(Table3[[#This Row],[PID]],Table5[[#All],[PID]],0))</f>
        <v/>
      </c>
      <c r="BK347" s="47" t="str">
        <f>INDEX(Table5[[#All],[Team]],MATCH(Table3[[#This Row],[PID]],Table5[[#All],[PID]],0))</f>
        <v/>
      </c>
      <c r="BL3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8" spans="1:64" ht="15" customHeight="1" x14ac:dyDescent="0.25">
      <c r="A348" s="42">
        <v>7940</v>
      </c>
      <c r="B348" s="42" t="s">
        <v>24</v>
      </c>
      <c r="C348" s="42" t="s">
        <v>1635</v>
      </c>
      <c r="D348" s="42" t="s">
        <v>1636</v>
      </c>
      <c r="E348" s="42">
        <v>21</v>
      </c>
      <c r="F348" s="42" t="s">
        <v>42</v>
      </c>
      <c r="G348" s="42" t="s">
        <v>42</v>
      </c>
      <c r="H348" s="43" t="s">
        <v>721</v>
      </c>
      <c r="I348" s="44" t="s">
        <v>43</v>
      </c>
      <c r="J348" s="42" t="s">
        <v>43</v>
      </c>
      <c r="K348" s="43" t="s">
        <v>43</v>
      </c>
      <c r="L348" s="42">
        <v>2</v>
      </c>
      <c r="M348" s="42">
        <v>1</v>
      </c>
      <c r="N348" s="43">
        <v>2</v>
      </c>
      <c r="O348" s="42">
        <v>4</v>
      </c>
      <c r="P348" s="42">
        <v>1</v>
      </c>
      <c r="Q348" s="43">
        <v>3</v>
      </c>
      <c r="R348" s="42">
        <v>3</v>
      </c>
      <c r="S348" s="42">
        <v>4</v>
      </c>
      <c r="T348" s="42">
        <v>2</v>
      </c>
      <c r="U348" s="42">
        <v>6</v>
      </c>
      <c r="V348" s="42">
        <v>3</v>
      </c>
      <c r="W348" s="42">
        <v>6</v>
      </c>
      <c r="X348" s="42" t="s">
        <v>45</v>
      </c>
      <c r="Y348" s="42" t="s">
        <v>45</v>
      </c>
      <c r="Z348" s="42" t="s">
        <v>45</v>
      </c>
      <c r="AA348" s="42" t="s">
        <v>45</v>
      </c>
      <c r="AB348" s="42" t="s">
        <v>45</v>
      </c>
      <c r="AC348" s="42" t="s">
        <v>45</v>
      </c>
      <c r="AD348" s="42" t="s">
        <v>45</v>
      </c>
      <c r="AE348" s="42" t="s">
        <v>45</v>
      </c>
      <c r="AF348" s="42" t="s">
        <v>45</v>
      </c>
      <c r="AG348" s="42" t="s">
        <v>45</v>
      </c>
      <c r="AH348" s="42" t="s">
        <v>45</v>
      </c>
      <c r="AI348" s="42" t="s">
        <v>45</v>
      </c>
      <c r="AJ348" s="42" t="s">
        <v>45</v>
      </c>
      <c r="AK348" s="42" t="s">
        <v>45</v>
      </c>
      <c r="AL348" s="42" t="s">
        <v>45</v>
      </c>
      <c r="AM348" s="42" t="s">
        <v>45</v>
      </c>
      <c r="AN348" s="42" t="s">
        <v>45</v>
      </c>
      <c r="AO348" s="43" t="s">
        <v>45</v>
      </c>
      <c r="AP348" s="42" t="s">
        <v>355</v>
      </c>
      <c r="AQ348" s="42">
        <v>5</v>
      </c>
      <c r="AR348" s="50" t="s">
        <v>357</v>
      </c>
      <c r="AS348" s="45" t="s">
        <v>45</v>
      </c>
      <c r="AT348" s="45" t="s">
        <v>47</v>
      </c>
      <c r="AU348" s="46">
        <f>($O$3*(L348-$O$1)/$O$2+$P$3*(M348-$P$1)/$P$2+$Q$3*(N348-$P$1)/$Q$2)/SUM($O$3:$Q$3)</f>
        <v>-2.2644723474043147</v>
      </c>
      <c r="AV348" s="46">
        <f>($O$3*(O348-$O$1)/$O$2+$P$3*(P348-$P$1)/$P$2+$Q$3*(Q348-$Q$1)/$Q$2)/SUM($O$3:$Q$3)</f>
        <v>-1.1872743815947853</v>
      </c>
      <c r="AW348" s="47">
        <f>COUNT(R348:AO348)/2</f>
        <v>3</v>
      </c>
      <c r="AX348" s="47">
        <f>IF(AND(S348&lt;&gt;"-",S348&gt;5),1,0)+IF(AND(U348&lt;&gt;"-",U348&gt;5),1,0)+IF(AND(W348&lt;&gt;"-",W348&gt;5),1,0)+IF(AND(Y348&lt;&gt;"-",Y348&gt;5),1,0)+IF(AND(AA348&lt;&gt;"-",AA348&gt;5),1,0)+IF(AND(AC348&lt;&gt;"-",AC348&gt;5),1,0)+IF(AND(AE348&lt;&gt;"-",AE348&gt;5),1,0)+IF(AND(AG348&lt;&gt;"-",AG348&gt;5),1,0)+IF(AND(AI348&lt;&gt;"-",AI348&gt;5),1,0)+IF(AND(AK348&lt;&gt;"-",AK348&gt;5),1,0)+IF(AND(AM348&lt;&gt;"-",AM348&gt;5),1,0)+IF(AND(AO348&lt;&gt;"-",AO348&gt;5),1,0)</f>
        <v>2</v>
      </c>
      <c r="AY348" s="48">
        <f>VLOOKUP(AP348,COND!$A$10:$B$32,2,FALSE)</f>
        <v>1</v>
      </c>
      <c r="AZ348" s="46">
        <f>($AU$3*AU348+$AV$3*AV348+$AW$3*AW348+$AX$3*AX348)*AY348*IF(AQ348&lt;5,0.95,IF(AQ348&lt;7,0.975,1))+$I$3*VLOOKUP(I348,COND!$A$2:$E$7,4,FALSE)+$J$3*VLOOKUP(J348,COND!$A$2:$E$7,2,FALSE)+$K$3*VLOOKUP(K348,COND!$A$2:$E$7,3,FALSE)+IF(BB348="SP",$BB$3,0)+IF($AW348&lt;3,-5,0)+IF(AND($B$2&gt;0,$E348&lt;20),$B$2*25,0)</f>
        <v>27.306577451157846</v>
      </c>
      <c r="BA348" s="49">
        <f>STANDARDIZE(AZ348,AVERAGE($AZ$5:$AZ$570),STDEVP($AZ$5:$AZ$570))</f>
        <v>-0.49664039812085464</v>
      </c>
      <c r="BB348" s="47" t="str">
        <f>IF(OR(AND(AQ348&gt;7,AX348&gt;1),AND(AQ348&gt;4,AW348&gt;2)),"SP","RP")</f>
        <v>SP</v>
      </c>
      <c r="BC348" s="47"/>
      <c r="BD348" s="47"/>
      <c r="BE348" s="47"/>
      <c r="BF348" s="47" t="str">
        <f>IF(AVERAGE($O348:$Q348)&gt;=6,"Likely",IF(AVERAGE($O348:$Q348)&gt;=4,"Possible","Unlikely"))</f>
        <v>Unlikely</v>
      </c>
      <c r="BG348" s="47"/>
      <c r="BH348" s="47" t="str">
        <f>INDEX(Table5[[#All],[Ovr]],MATCH(Table3[[#This Row],[PID]],Table5[[#All],[PID]],0))</f>
        <v/>
      </c>
      <c r="BI348" s="47" t="str">
        <f>INDEX(Table5[[#All],[Rnd]],MATCH(Table3[[#This Row],[PID]],Table5[[#All],[PID]],0))</f>
        <v/>
      </c>
      <c r="BJ348" s="47" t="str">
        <f>INDEX(Table5[[#All],[Pick]],MATCH(Table3[[#This Row],[PID]],Table5[[#All],[PID]],0))</f>
        <v/>
      </c>
      <c r="BK348" s="47" t="str">
        <f>INDEX(Table5[[#All],[Team]],MATCH(Table3[[#This Row],[PID]],Table5[[#All],[PID]],0))</f>
        <v/>
      </c>
      <c r="BL3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9" spans="1:64" ht="15" customHeight="1" x14ac:dyDescent="0.25">
      <c r="A349" s="42">
        <v>7241</v>
      </c>
      <c r="B349" s="42" t="s">
        <v>430</v>
      </c>
      <c r="C349" s="42" t="s">
        <v>580</v>
      </c>
      <c r="D349" s="42" t="s">
        <v>1019</v>
      </c>
      <c r="E349" s="42">
        <v>21</v>
      </c>
      <c r="F349" s="42" t="s">
        <v>42</v>
      </c>
      <c r="G349" s="42" t="s">
        <v>42</v>
      </c>
      <c r="H349" s="43" t="s">
        <v>721</v>
      </c>
      <c r="I349" s="44" t="s">
        <v>43</v>
      </c>
      <c r="J349" s="42" t="s">
        <v>44</v>
      </c>
      <c r="K349" s="43" t="s">
        <v>44</v>
      </c>
      <c r="L349" s="42">
        <v>3</v>
      </c>
      <c r="M349" s="42">
        <v>2</v>
      </c>
      <c r="N349" s="43">
        <v>2</v>
      </c>
      <c r="O349" s="42">
        <v>4</v>
      </c>
      <c r="P349" s="42">
        <v>2</v>
      </c>
      <c r="Q349" s="43">
        <v>3</v>
      </c>
      <c r="R349" s="42">
        <v>4</v>
      </c>
      <c r="S349" s="42">
        <v>5</v>
      </c>
      <c r="T349" s="42">
        <v>3</v>
      </c>
      <c r="U349" s="42">
        <v>5</v>
      </c>
      <c r="V349" s="42" t="s">
        <v>45</v>
      </c>
      <c r="W349" s="42" t="s">
        <v>45</v>
      </c>
      <c r="X349" s="42">
        <v>2</v>
      </c>
      <c r="Y349" s="42">
        <v>4</v>
      </c>
      <c r="Z349" s="42" t="s">
        <v>45</v>
      </c>
      <c r="AA349" s="42" t="s">
        <v>45</v>
      </c>
      <c r="AB349" s="42" t="s">
        <v>45</v>
      </c>
      <c r="AC349" s="42" t="s">
        <v>45</v>
      </c>
      <c r="AD349" s="42">
        <v>4</v>
      </c>
      <c r="AE349" s="42">
        <v>4</v>
      </c>
      <c r="AF349" s="42" t="s">
        <v>45</v>
      </c>
      <c r="AG349" s="42" t="s">
        <v>45</v>
      </c>
      <c r="AH349" s="42" t="s">
        <v>45</v>
      </c>
      <c r="AI349" s="42" t="s">
        <v>45</v>
      </c>
      <c r="AJ349" s="42" t="s">
        <v>45</v>
      </c>
      <c r="AK349" s="42" t="s">
        <v>45</v>
      </c>
      <c r="AL349" s="42" t="s">
        <v>45</v>
      </c>
      <c r="AM349" s="42" t="s">
        <v>45</v>
      </c>
      <c r="AN349" s="42" t="s">
        <v>45</v>
      </c>
      <c r="AO349" s="43" t="s">
        <v>45</v>
      </c>
      <c r="AP349" s="42" t="s">
        <v>355</v>
      </c>
      <c r="AQ349" s="42">
        <v>6</v>
      </c>
      <c r="AR349" s="50" t="s">
        <v>353</v>
      </c>
      <c r="AS349" s="45" t="s">
        <v>45</v>
      </c>
      <c r="AT349" s="45" t="s">
        <v>705</v>
      </c>
      <c r="AU349" s="46">
        <f>($O$3*(L349-$O$1)/$O$2+$P$3*(M349-$P$1)/$P$2+$Q$3*(N349-$P$1)/$Q$2)/SUM($O$3:$Q$3)</f>
        <v>-1.8743493064650851</v>
      </c>
      <c r="AV349" s="46">
        <f>($O$3*(O349-$O$1)/$O$2+$P$3*(P349-$P$1)/$P$2+$Q$3*(Q349-$Q$1)/$Q$2)/SUM($O$3:$Q$3)</f>
        <v>-0.99184266516472974</v>
      </c>
      <c r="AW349" s="47">
        <f>COUNT(R349:AO349)/2</f>
        <v>4</v>
      </c>
      <c r="AX349" s="47">
        <f>IF(AND(S349&lt;&gt;"-",S349&gt;5),1,0)+IF(AND(U349&lt;&gt;"-",U349&gt;5),1,0)+IF(AND(W349&lt;&gt;"-",W349&gt;5),1,0)+IF(AND(Y349&lt;&gt;"-",Y349&gt;5),1,0)+IF(AND(AA349&lt;&gt;"-",AA349&gt;5),1,0)+IF(AND(AC349&lt;&gt;"-",AC349&gt;5),1,0)+IF(AND(AE349&lt;&gt;"-",AE349&gt;5),1,0)+IF(AND(AG349&lt;&gt;"-",AG349&gt;5),1,0)+IF(AND(AI349&lt;&gt;"-",AI349&gt;5),1,0)+IF(AND(AK349&lt;&gt;"-",AK349&gt;5),1,0)+IF(AND(AM349&lt;&gt;"-",AM349&gt;5),1,0)+IF(AND(AO349&lt;&gt;"-",AO349&gt;5),1,0)</f>
        <v>0</v>
      </c>
      <c r="AY349" s="48">
        <f>VLOOKUP(AP349,COND!$A$10:$B$32,2,FALSE)</f>
        <v>1</v>
      </c>
      <c r="AZ349" s="46">
        <f>($AU$3*AU349+$AV$3*AV349+$AW$3*AW349+$AX$3*AX349)*AY349*IF(AQ349&lt;5,0.95,IF(AQ349&lt;7,0.975,1))+$I$3*VLOOKUP(I349,COND!$A$2:$E$7,4,FALSE)+$J$3*VLOOKUP(J349,COND!$A$2:$E$7,2,FALSE)+$K$3*VLOOKUP(K349,COND!$A$2:$E$7,3,FALSE)+IF(BB349="SP",$BB$3,0)+IF($AW349&lt;3,-5,0)+IF(AND($B$2&gt;0,$E349&lt;20),$B$2*25,0)</f>
        <v>28.643569914527074</v>
      </c>
      <c r="BA349" s="49">
        <f>STANDARDIZE(AZ349,AVERAGE($AZ$5:$AZ$570),STDEVP($AZ$5:$AZ$570))</f>
        <v>-0.37403247480400748</v>
      </c>
      <c r="BB349" s="47" t="str">
        <f>IF(OR(AND(AQ349&gt;7,AX349&gt;1),AND(AQ349&gt;4,AW349&gt;2)),"SP","RP")</f>
        <v>SP</v>
      </c>
      <c r="BC349" s="47"/>
      <c r="BD349" s="47"/>
      <c r="BE349" s="47"/>
      <c r="BF349" s="47" t="str">
        <f>IF(AVERAGE($O349:$Q349)&gt;=6,"Likely",IF(AVERAGE($O349:$Q349)&gt;=4,"Possible","Unlikely"))</f>
        <v>Unlikely</v>
      </c>
      <c r="BG349" s="47"/>
      <c r="BH349" s="47" t="str">
        <f>INDEX(Table5[[#All],[Ovr]],MATCH(Table3[[#This Row],[PID]],Table5[[#All],[PID]],0))</f>
        <v/>
      </c>
      <c r="BI349" s="47" t="str">
        <f>INDEX(Table5[[#All],[Rnd]],MATCH(Table3[[#This Row],[PID]],Table5[[#All],[PID]],0))</f>
        <v/>
      </c>
      <c r="BJ349" s="47" t="str">
        <f>INDEX(Table5[[#All],[Pick]],MATCH(Table3[[#This Row],[PID]],Table5[[#All],[PID]],0))</f>
        <v/>
      </c>
      <c r="BK349" s="47" t="str">
        <f>INDEX(Table5[[#All],[Team]],MATCH(Table3[[#This Row],[PID]],Table5[[#All],[PID]],0))</f>
        <v/>
      </c>
      <c r="BL3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0" spans="1:64" ht="15" customHeight="1" x14ac:dyDescent="0.25">
      <c r="A350" s="42">
        <v>8370</v>
      </c>
      <c r="B350" s="42" t="s">
        <v>430</v>
      </c>
      <c r="C350" s="42" t="s">
        <v>292</v>
      </c>
      <c r="D350" s="42" t="s">
        <v>1649</v>
      </c>
      <c r="E350" s="42">
        <v>18</v>
      </c>
      <c r="F350" s="42" t="s">
        <v>42</v>
      </c>
      <c r="G350" s="42" t="s">
        <v>42</v>
      </c>
      <c r="H350" s="43" t="s">
        <v>721</v>
      </c>
      <c r="I350" s="44" t="s">
        <v>44</v>
      </c>
      <c r="J350" s="42" t="s">
        <v>47</v>
      </c>
      <c r="K350" s="43" t="s">
        <v>47</v>
      </c>
      <c r="L350" s="42">
        <v>1</v>
      </c>
      <c r="M350" s="42">
        <v>2</v>
      </c>
      <c r="N350" s="43">
        <v>1</v>
      </c>
      <c r="O350" s="42">
        <v>4</v>
      </c>
      <c r="P350" s="42">
        <v>2</v>
      </c>
      <c r="Q350" s="43">
        <v>2</v>
      </c>
      <c r="R350" s="42">
        <v>3</v>
      </c>
      <c r="S350" s="42">
        <v>5</v>
      </c>
      <c r="T350" s="42">
        <v>2</v>
      </c>
      <c r="U350" s="42">
        <v>6</v>
      </c>
      <c r="V350" s="42" t="s">
        <v>45</v>
      </c>
      <c r="W350" s="42" t="s">
        <v>45</v>
      </c>
      <c r="X350" s="42" t="s">
        <v>45</v>
      </c>
      <c r="Y350" s="42" t="s">
        <v>45</v>
      </c>
      <c r="Z350" s="42" t="s">
        <v>45</v>
      </c>
      <c r="AA350" s="42" t="s">
        <v>45</v>
      </c>
      <c r="AB350" s="42" t="s">
        <v>45</v>
      </c>
      <c r="AC350" s="42" t="s">
        <v>45</v>
      </c>
      <c r="AD350" s="42" t="s">
        <v>45</v>
      </c>
      <c r="AE350" s="42" t="s">
        <v>45</v>
      </c>
      <c r="AF350" s="42" t="s">
        <v>45</v>
      </c>
      <c r="AG350" s="42" t="s">
        <v>45</v>
      </c>
      <c r="AH350" s="42" t="s">
        <v>45</v>
      </c>
      <c r="AI350" s="42" t="s">
        <v>45</v>
      </c>
      <c r="AJ350" s="42" t="s">
        <v>45</v>
      </c>
      <c r="AK350" s="42" t="s">
        <v>45</v>
      </c>
      <c r="AL350" s="42" t="s">
        <v>45</v>
      </c>
      <c r="AM350" s="42" t="s">
        <v>45</v>
      </c>
      <c r="AN350" s="42" t="s">
        <v>45</v>
      </c>
      <c r="AO350" s="43" t="s">
        <v>45</v>
      </c>
      <c r="AP350" s="42" t="s">
        <v>67</v>
      </c>
      <c r="AQ350" s="42">
        <v>2</v>
      </c>
      <c r="AR350" s="50" t="s">
        <v>353</v>
      </c>
      <c r="AS350" s="45" t="s">
        <v>739</v>
      </c>
      <c r="AT350" s="45" t="s">
        <v>705</v>
      </c>
      <c r="AU350" s="46">
        <f>($O$3*(L350-$O$1)/$O$2+$P$3*(M350-$P$1)/$P$2+$Q$3*(N350-$P$1)/$Q$2)/SUM($O$3:$Q$3)</f>
        <v>-2.5060525215375429</v>
      </c>
      <c r="AV350" s="46">
        <f>($O$3*(O350-$O$1)/$O$2+$P$3*(P350-$P$1)/$P$2+$Q$3*(Q350-$Q$1)/$Q$2)/SUM($O$3:$Q$3)</f>
        <v>-1.23416323121884</v>
      </c>
      <c r="AW350" s="47">
        <f>COUNT(R350:AO350)/2</f>
        <v>2</v>
      </c>
      <c r="AX350" s="47">
        <f>IF(AND(S350&lt;&gt;"-",S350&gt;5),1,0)+IF(AND(U350&lt;&gt;"-",U350&gt;5),1,0)+IF(AND(W350&lt;&gt;"-",W350&gt;5),1,0)+IF(AND(Y350&lt;&gt;"-",Y350&gt;5),1,0)+IF(AND(AA350&lt;&gt;"-",AA350&gt;5),1,0)+IF(AND(AC350&lt;&gt;"-",AC350&gt;5),1,0)+IF(AND(AE350&lt;&gt;"-",AE350&gt;5),1,0)+IF(AND(AG350&lt;&gt;"-",AG350&gt;5),1,0)+IF(AND(AI350&lt;&gt;"-",AI350&gt;5),1,0)+IF(AND(AK350&lt;&gt;"-",AK350&gt;5),1,0)+IF(AND(AM350&lt;&gt;"-",AM350&gt;5),1,0)+IF(AND(AO350&lt;&gt;"-",AO350&gt;5),1,0)</f>
        <v>1</v>
      </c>
      <c r="AY350" s="48">
        <f>VLOOKUP(AP350,COND!$A$10:$B$32,2,FALSE)</f>
        <v>0.9</v>
      </c>
      <c r="AZ350" s="46">
        <f>($AU$3*AU350+$AV$3*AV350+$AW$3*AW350+$AX$3*AX350)*AY350*IF(AQ350&lt;5,0.95,IF(AQ350&lt;7,0.975,1))+$I$3*VLOOKUP(I350,COND!$A$2:$E$7,4,FALSE)+$J$3*VLOOKUP(J350,COND!$A$2:$E$7,2,FALSE)+$K$3*VLOOKUP(K350,COND!$A$2:$E$7,3,FALSE)+IF(BB350="SP",$BB$3,0)+IF($AW350&lt;3,-5,0)+IF(AND($B$2&gt;0,$E350&lt;20),$B$2*25,0)</f>
        <v>25.841023764974913</v>
      </c>
      <c r="BA350" s="49">
        <f>STANDARDIZE(AZ350,AVERAGE($AZ$5:$AZ$570),STDEVP($AZ$5:$AZ$570))</f>
        <v>-0.6310379350519334</v>
      </c>
      <c r="BB350" s="47" t="str">
        <f>IF(OR(AND(AQ350&gt;7,AX350&gt;1),AND(AQ350&gt;4,AW350&gt;2)),"SP","RP")</f>
        <v>RP</v>
      </c>
      <c r="BC350" s="47"/>
      <c r="BD350" s="47"/>
      <c r="BE350" s="47"/>
      <c r="BF350" s="47" t="str">
        <f>IF(AVERAGE($O350:$Q350)&gt;=6,"Likely",IF(AVERAGE($O350:$Q350)&gt;=4,"Possible","Unlikely"))</f>
        <v>Unlikely</v>
      </c>
      <c r="BG350" s="47"/>
      <c r="BH350" s="47" t="str">
        <f>INDEX(Table5[[#All],[Ovr]],MATCH(Table3[[#This Row],[PID]],Table5[[#All],[PID]],0))</f>
        <v/>
      </c>
      <c r="BI350" s="47" t="str">
        <f>INDEX(Table5[[#All],[Rnd]],MATCH(Table3[[#This Row],[PID]],Table5[[#All],[PID]],0))</f>
        <v/>
      </c>
      <c r="BJ350" s="47" t="str">
        <f>INDEX(Table5[[#All],[Pick]],MATCH(Table3[[#This Row],[PID]],Table5[[#All],[PID]],0))</f>
        <v/>
      </c>
      <c r="BK350" s="47" t="str">
        <f>INDEX(Table5[[#All],[Team]],MATCH(Table3[[#This Row],[PID]],Table5[[#All],[PID]],0))</f>
        <v/>
      </c>
      <c r="BL3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1" spans="1:64" ht="15" customHeight="1" x14ac:dyDescent="0.25">
      <c r="A351" s="42">
        <v>12382</v>
      </c>
      <c r="B351" s="42" t="s">
        <v>430</v>
      </c>
      <c r="C351" s="42" t="s">
        <v>566</v>
      </c>
      <c r="D351" s="42" t="s">
        <v>975</v>
      </c>
      <c r="E351" s="42">
        <v>22</v>
      </c>
      <c r="F351" s="42" t="s">
        <v>42</v>
      </c>
      <c r="G351" s="42" t="s">
        <v>42</v>
      </c>
      <c r="H351" s="43" t="s">
        <v>721</v>
      </c>
      <c r="I351" s="44" t="s">
        <v>44</v>
      </c>
      <c r="J351" s="42" t="s">
        <v>44</v>
      </c>
      <c r="K351" s="43" t="s">
        <v>47</v>
      </c>
      <c r="L351" s="42">
        <v>3</v>
      </c>
      <c r="M351" s="42">
        <v>2</v>
      </c>
      <c r="N351" s="43">
        <v>3</v>
      </c>
      <c r="O351" s="42">
        <v>4</v>
      </c>
      <c r="P351" s="42">
        <v>2</v>
      </c>
      <c r="Q351" s="43">
        <v>3</v>
      </c>
      <c r="R351" s="42" t="s">
        <v>45</v>
      </c>
      <c r="S351" s="42" t="s">
        <v>45</v>
      </c>
      <c r="T351" s="42">
        <v>3</v>
      </c>
      <c r="U351" s="42">
        <v>5</v>
      </c>
      <c r="V351" s="42" t="s">
        <v>45</v>
      </c>
      <c r="W351" s="42" t="s">
        <v>45</v>
      </c>
      <c r="X351" s="42">
        <v>4</v>
      </c>
      <c r="Y351" s="42">
        <v>5</v>
      </c>
      <c r="Z351" s="42" t="s">
        <v>45</v>
      </c>
      <c r="AA351" s="42" t="s">
        <v>45</v>
      </c>
      <c r="AB351" s="42" t="s">
        <v>45</v>
      </c>
      <c r="AC351" s="42" t="s">
        <v>45</v>
      </c>
      <c r="AD351" s="42">
        <v>4</v>
      </c>
      <c r="AE351" s="42">
        <v>5</v>
      </c>
      <c r="AF351" s="42" t="s">
        <v>45</v>
      </c>
      <c r="AG351" s="42" t="s">
        <v>45</v>
      </c>
      <c r="AH351" s="42" t="s">
        <v>45</v>
      </c>
      <c r="AI351" s="42" t="s">
        <v>45</v>
      </c>
      <c r="AJ351" s="42" t="s">
        <v>45</v>
      </c>
      <c r="AK351" s="42" t="s">
        <v>45</v>
      </c>
      <c r="AL351" s="42" t="s">
        <v>45</v>
      </c>
      <c r="AM351" s="42" t="s">
        <v>45</v>
      </c>
      <c r="AN351" s="42" t="s">
        <v>45</v>
      </c>
      <c r="AO351" s="43" t="s">
        <v>45</v>
      </c>
      <c r="AP351" s="42" t="s">
        <v>356</v>
      </c>
      <c r="AQ351" s="42">
        <v>3</v>
      </c>
      <c r="AR351" s="50" t="s">
        <v>353</v>
      </c>
      <c r="AS351" s="45" t="s">
        <v>45</v>
      </c>
      <c r="AT351" s="45" t="s">
        <v>705</v>
      </c>
      <c r="AU351" s="46">
        <f>($O$3*(L351-$O$1)/$O$2+$P$3*(M351-$P$1)/$P$2+$Q$3*(N351-$P$1)/$Q$2)/SUM($O$3:$Q$3)</f>
        <v>-1.6320287404109748</v>
      </c>
      <c r="AV351" s="46">
        <f>($O$3*(O351-$O$1)/$O$2+$P$3*(P351-$P$1)/$P$2+$Q$3*(Q351-$Q$1)/$Q$2)/SUM($O$3:$Q$3)</f>
        <v>-0.99184266516472974</v>
      </c>
      <c r="AW351" s="47">
        <f>COUNT(R351:AO351)/2</f>
        <v>3</v>
      </c>
      <c r="AX351" s="47">
        <f>IF(AND(S351&lt;&gt;"-",S351&gt;5),1,0)+IF(AND(U351&lt;&gt;"-",U351&gt;5),1,0)+IF(AND(W351&lt;&gt;"-",W351&gt;5),1,0)+IF(AND(Y351&lt;&gt;"-",Y351&gt;5),1,0)+IF(AND(AA351&lt;&gt;"-",AA351&gt;5),1,0)+IF(AND(AC351&lt;&gt;"-",AC351&gt;5),1,0)+IF(AND(AE351&lt;&gt;"-",AE351&gt;5),1,0)+IF(AND(AG351&lt;&gt;"-",AG351&gt;5),1,0)+IF(AND(AI351&lt;&gt;"-",AI351&gt;5),1,0)+IF(AND(AK351&lt;&gt;"-",AK351&gt;5),1,0)+IF(AND(AM351&lt;&gt;"-",AM351&gt;5),1,0)+IF(AND(AO351&lt;&gt;"-",AO351&gt;5),1,0)</f>
        <v>0</v>
      </c>
      <c r="AY351" s="48">
        <f>VLOOKUP(AP351,COND!$A$10:$B$32,2,FALSE)</f>
        <v>1</v>
      </c>
      <c r="AZ351" s="46">
        <f>($AU$3*AU351+$AV$3*AV351+$AW$3*AW351+$AX$3*AX351)*AY351*IF(AQ351&lt;5,0.95,IF(AQ351&lt;7,0.975,1))+$I$3*VLOOKUP(I351,COND!$A$2:$E$7,4,FALSE)+$J$3*VLOOKUP(J351,COND!$A$2:$E$7,2,FALSE)+$K$3*VLOOKUP(K351,COND!$A$2:$E$7,3,FALSE)+IF(BB351="SP",$BB$3,0)+IF($AW351&lt;3,-5,0)+IF(AND($B$2&gt;0,$E351&lt;20),$B$2*25,0)</f>
        <v>27.119903901192046</v>
      </c>
      <c r="BA351" s="49">
        <f>STANDARDIZE(AZ351,AVERAGE($AZ$5:$AZ$570),STDEVP($AZ$5:$AZ$570))</f>
        <v>-0.51375916051223969</v>
      </c>
      <c r="BB351" s="47" t="str">
        <f>IF(OR(AND(AQ351&gt;7,AX351&gt;1),AND(AQ351&gt;4,AW351&gt;2)),"SP","RP")</f>
        <v>RP</v>
      </c>
      <c r="BC351" s="47"/>
      <c r="BD351" s="47"/>
      <c r="BE351" s="47"/>
      <c r="BF351" s="47" t="str">
        <f>IF(AVERAGE($O351:$Q351)&gt;=6,"Likely",IF(AVERAGE($O351:$Q351)&gt;=4,"Possible","Unlikely"))</f>
        <v>Unlikely</v>
      </c>
      <c r="BG351" s="47"/>
      <c r="BH351" s="47" t="str">
        <f>INDEX(Table5[[#All],[Ovr]],MATCH(Table3[[#This Row],[PID]],Table5[[#All],[PID]],0))</f>
        <v/>
      </c>
      <c r="BI351" s="47" t="str">
        <f>INDEX(Table5[[#All],[Rnd]],MATCH(Table3[[#This Row],[PID]],Table5[[#All],[PID]],0))</f>
        <v/>
      </c>
      <c r="BJ351" s="47" t="str">
        <f>INDEX(Table5[[#All],[Pick]],MATCH(Table3[[#This Row],[PID]],Table5[[#All],[PID]],0))</f>
        <v/>
      </c>
      <c r="BK351" s="47" t="str">
        <f>INDEX(Table5[[#All],[Team]],MATCH(Table3[[#This Row],[PID]],Table5[[#All],[PID]],0))</f>
        <v/>
      </c>
      <c r="BL3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2" spans="1:64" ht="15" customHeight="1" x14ac:dyDescent="0.25">
      <c r="A352" s="42">
        <v>7683</v>
      </c>
      <c r="B352" s="42" t="s">
        <v>24</v>
      </c>
      <c r="C352" s="42" t="s">
        <v>325</v>
      </c>
      <c r="D352" s="42" t="s">
        <v>447</v>
      </c>
      <c r="E352" s="42">
        <v>18</v>
      </c>
      <c r="F352" s="42" t="s">
        <v>42</v>
      </c>
      <c r="G352" s="42" t="s">
        <v>42</v>
      </c>
      <c r="H352" s="43" t="s">
        <v>721</v>
      </c>
      <c r="I352" s="44" t="s">
        <v>43</v>
      </c>
      <c r="J352" s="42" t="s">
        <v>44</v>
      </c>
      <c r="K352" s="43" t="s">
        <v>43</v>
      </c>
      <c r="L352" s="42">
        <v>1</v>
      </c>
      <c r="M352" s="42">
        <v>1</v>
      </c>
      <c r="N352" s="43">
        <v>1</v>
      </c>
      <c r="O352" s="42">
        <v>4</v>
      </c>
      <c r="P352" s="42">
        <v>1</v>
      </c>
      <c r="Q352" s="43">
        <v>2</v>
      </c>
      <c r="R352" s="42">
        <v>4</v>
      </c>
      <c r="S352" s="42">
        <v>6</v>
      </c>
      <c r="T352" s="42">
        <v>1</v>
      </c>
      <c r="U352" s="42">
        <v>6</v>
      </c>
      <c r="V352" s="42">
        <v>2</v>
      </c>
      <c r="W352" s="42">
        <v>6</v>
      </c>
      <c r="X352" s="42" t="s">
        <v>45</v>
      </c>
      <c r="Y352" s="42" t="s">
        <v>45</v>
      </c>
      <c r="Z352" s="42" t="s">
        <v>45</v>
      </c>
      <c r="AA352" s="42" t="s">
        <v>45</v>
      </c>
      <c r="AB352" s="42" t="s">
        <v>45</v>
      </c>
      <c r="AC352" s="42" t="s">
        <v>45</v>
      </c>
      <c r="AD352" s="42" t="s">
        <v>45</v>
      </c>
      <c r="AE352" s="42" t="s">
        <v>45</v>
      </c>
      <c r="AF352" s="42" t="s">
        <v>45</v>
      </c>
      <c r="AG352" s="42" t="s">
        <v>45</v>
      </c>
      <c r="AH352" s="42" t="s">
        <v>45</v>
      </c>
      <c r="AI352" s="42" t="s">
        <v>45</v>
      </c>
      <c r="AJ352" s="42" t="s">
        <v>45</v>
      </c>
      <c r="AK352" s="42" t="s">
        <v>45</v>
      </c>
      <c r="AL352" s="42" t="s">
        <v>45</v>
      </c>
      <c r="AM352" s="42" t="s">
        <v>45</v>
      </c>
      <c r="AN352" s="42" t="s">
        <v>45</v>
      </c>
      <c r="AO352" s="43" t="s">
        <v>45</v>
      </c>
      <c r="AP352" s="42" t="s">
        <v>56</v>
      </c>
      <c r="AQ352" s="42">
        <v>10</v>
      </c>
      <c r="AR352" s="50" t="s">
        <v>357</v>
      </c>
      <c r="AS352" s="45" t="s">
        <v>718</v>
      </c>
      <c r="AT352" s="45" t="s">
        <v>47</v>
      </c>
      <c r="AU352" s="46">
        <f>($O$3*(L352-$O$1)/$O$2+$P$3*(M352-$P$1)/$P$2+$Q$3*(N352-$P$1)/$Q$2)/SUM($O$3:$Q$3)</f>
        <v>-2.7014842379675978</v>
      </c>
      <c r="AV352" s="46">
        <f>($O$3*(O352-$O$1)/$O$2+$P$3*(P352-$P$1)/$P$2+$Q$3*(Q352-$Q$1)/$Q$2)/SUM($O$3:$Q$3)</f>
        <v>-1.4295949476488956</v>
      </c>
      <c r="AW352" s="47">
        <f>COUNT(R352:AO352)/2</f>
        <v>3</v>
      </c>
      <c r="AX352" s="47">
        <f>IF(AND(S352&lt;&gt;"-",S352&gt;5),1,0)+IF(AND(U352&lt;&gt;"-",U352&gt;5),1,0)+IF(AND(W352&lt;&gt;"-",W352&gt;5),1,0)+IF(AND(Y352&lt;&gt;"-",Y352&gt;5),1,0)+IF(AND(AA352&lt;&gt;"-",AA352&gt;5),1,0)+IF(AND(AC352&lt;&gt;"-",AC352&gt;5),1,0)+IF(AND(AE352&lt;&gt;"-",AE352&gt;5),1,0)+IF(AND(AG352&lt;&gt;"-",AG352&gt;5),1,0)+IF(AND(AI352&lt;&gt;"-",AI352&gt;5),1,0)+IF(AND(AK352&lt;&gt;"-",AK352&gt;5),1,0)+IF(AND(AM352&lt;&gt;"-",AM352&gt;5),1,0)+IF(AND(AO352&lt;&gt;"-",AO352&gt;5),1,0)</f>
        <v>3</v>
      </c>
      <c r="AY352" s="48">
        <f>VLOOKUP(AP352,COND!$A$10:$B$32,2,FALSE)</f>
        <v>1</v>
      </c>
      <c r="AZ352" s="46">
        <f>($AU$3*AU352+$AV$3*AV352+$AW$3*AW352+$AX$3*AX352)*AY352*IF(AQ352&lt;5,0.95,IF(AQ352&lt;7,0.975,1))+$I$3*VLOOKUP(I352,COND!$A$2:$E$7,4,FALSE)+$J$3*VLOOKUP(J352,COND!$A$2:$E$7,2,FALSE)+$K$3*VLOOKUP(K352,COND!$A$2:$E$7,3,FALSE)+IF(BB352="SP",$BB$3,0)+IF($AW352&lt;3,-5,0)+IF(AND($B$2&gt;0,$E352&lt;20),$B$2*25,0)</f>
        <v>27.817804199428565</v>
      </c>
      <c r="BA352" s="49">
        <f>STANDARDIZE(AZ352,AVERAGE($AZ$5:$AZ$570),STDEVP($AZ$5:$AZ$570))</f>
        <v>-0.44975872027538472</v>
      </c>
      <c r="BB352" s="47" t="str">
        <f>IF(OR(AND(AQ352&gt;7,AX352&gt;1),AND(AQ352&gt;4,AW352&gt;2)),"SP","RP")</f>
        <v>SP</v>
      </c>
      <c r="BC352" s="47"/>
      <c r="BD352" s="47"/>
      <c r="BE352" s="47"/>
      <c r="BF352" s="47" t="str">
        <f>IF(AVERAGE($O352:$Q352)&gt;=6,"Likely",IF(AVERAGE($O352:$Q352)&gt;=4,"Possible","Unlikely"))</f>
        <v>Unlikely</v>
      </c>
      <c r="BG352" s="47"/>
      <c r="BH352" s="47" t="str">
        <f>INDEX(Table5[[#All],[Ovr]],MATCH(Table3[[#This Row],[PID]],Table5[[#All],[PID]],0))</f>
        <v/>
      </c>
      <c r="BI352" s="47" t="str">
        <f>INDEX(Table5[[#All],[Rnd]],MATCH(Table3[[#This Row],[PID]],Table5[[#All],[PID]],0))</f>
        <v/>
      </c>
      <c r="BJ352" s="47" t="str">
        <f>INDEX(Table5[[#All],[Pick]],MATCH(Table3[[#This Row],[PID]],Table5[[#All],[PID]],0))</f>
        <v/>
      </c>
      <c r="BK352" s="47" t="str">
        <f>INDEX(Table5[[#All],[Team]],MATCH(Table3[[#This Row],[PID]],Table5[[#All],[PID]],0))</f>
        <v/>
      </c>
      <c r="BL3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3" spans="1:64" ht="15" customHeight="1" x14ac:dyDescent="0.25">
      <c r="A353" s="42">
        <v>7936</v>
      </c>
      <c r="B353" s="42" t="s">
        <v>430</v>
      </c>
      <c r="C353" s="42" t="s">
        <v>766</v>
      </c>
      <c r="D353" s="42" t="s">
        <v>396</v>
      </c>
      <c r="E353" s="42">
        <v>18</v>
      </c>
      <c r="F353" s="42" t="s">
        <v>42</v>
      </c>
      <c r="G353" s="42" t="s">
        <v>42</v>
      </c>
      <c r="H353" s="43" t="s">
        <v>721</v>
      </c>
      <c r="I353" s="44" t="s">
        <v>43</v>
      </c>
      <c r="J353" s="42" t="s">
        <v>44</v>
      </c>
      <c r="K353" s="43" t="s">
        <v>43</v>
      </c>
      <c r="L353" s="42">
        <v>1</v>
      </c>
      <c r="M353" s="42">
        <v>1</v>
      </c>
      <c r="N353" s="43">
        <v>1</v>
      </c>
      <c r="O353" s="42">
        <v>3</v>
      </c>
      <c r="P353" s="42">
        <v>1</v>
      </c>
      <c r="Q353" s="43">
        <v>3</v>
      </c>
      <c r="R353" s="42" t="s">
        <v>45</v>
      </c>
      <c r="S353" s="42" t="s">
        <v>45</v>
      </c>
      <c r="T353" s="42">
        <v>1</v>
      </c>
      <c r="U353" s="42">
        <v>1</v>
      </c>
      <c r="V353" s="42" t="s">
        <v>45</v>
      </c>
      <c r="W353" s="42" t="s">
        <v>45</v>
      </c>
      <c r="X353" s="42">
        <v>1</v>
      </c>
      <c r="Y353" s="42">
        <v>6</v>
      </c>
      <c r="Z353" s="42" t="s">
        <v>45</v>
      </c>
      <c r="AA353" s="42" t="s">
        <v>45</v>
      </c>
      <c r="AB353" s="42" t="s">
        <v>45</v>
      </c>
      <c r="AC353" s="42" t="s">
        <v>45</v>
      </c>
      <c r="AD353" s="42">
        <v>2</v>
      </c>
      <c r="AE353" s="42">
        <v>5</v>
      </c>
      <c r="AF353" s="42" t="s">
        <v>45</v>
      </c>
      <c r="AG353" s="42" t="s">
        <v>45</v>
      </c>
      <c r="AH353" s="42" t="s">
        <v>45</v>
      </c>
      <c r="AI353" s="42" t="s">
        <v>45</v>
      </c>
      <c r="AJ353" s="42" t="s">
        <v>45</v>
      </c>
      <c r="AK353" s="42" t="s">
        <v>45</v>
      </c>
      <c r="AL353" s="42" t="s">
        <v>45</v>
      </c>
      <c r="AM353" s="42" t="s">
        <v>45</v>
      </c>
      <c r="AN353" s="42" t="s">
        <v>45</v>
      </c>
      <c r="AO353" s="43" t="s">
        <v>45</v>
      </c>
      <c r="AP353" s="42" t="s">
        <v>70</v>
      </c>
      <c r="AQ353" s="42">
        <v>7</v>
      </c>
      <c r="AR353" s="50" t="s">
        <v>353</v>
      </c>
      <c r="AS353" s="45" t="s">
        <v>758</v>
      </c>
      <c r="AT353" s="45" t="s">
        <v>705</v>
      </c>
      <c r="AU353" s="46">
        <f>($O$3*(L353-$O$1)/$O$2+$P$3*(M353-$P$1)/$P$2+$Q$3*(N353-$P$1)/$Q$2)/SUM($O$3:$Q$3)</f>
        <v>-2.7014842379675978</v>
      </c>
      <c r="AV353" s="46">
        <f>($O$3*(O353-$O$1)/$O$2+$P$3*(P353-$P$1)/$P$2+$Q$3*(Q353-$Q$1)/$Q$2)/SUM($O$3:$Q$3)</f>
        <v>-1.3819657061039585</v>
      </c>
      <c r="AW353" s="47">
        <f>COUNT(R353:AO353)/2</f>
        <v>3</v>
      </c>
      <c r="AX353" s="47">
        <f>IF(AND(S353&lt;&gt;"-",S353&gt;5),1,0)+IF(AND(U353&lt;&gt;"-",U353&gt;5),1,0)+IF(AND(W353&lt;&gt;"-",W353&gt;5),1,0)+IF(AND(Y353&lt;&gt;"-",Y353&gt;5),1,0)+IF(AND(AA353&lt;&gt;"-",AA353&gt;5),1,0)+IF(AND(AC353&lt;&gt;"-",AC353&gt;5),1,0)+IF(AND(AE353&lt;&gt;"-",AE353&gt;5),1,0)+IF(AND(AG353&lt;&gt;"-",AG353&gt;5),1,0)+IF(AND(AI353&lt;&gt;"-",AI353&gt;5),1,0)+IF(AND(AK353&lt;&gt;"-",AK353&gt;5),1,0)+IF(AND(AM353&lt;&gt;"-",AM353&gt;5),1,0)+IF(AND(AO353&lt;&gt;"-",AO353&gt;5),1,0)</f>
        <v>1</v>
      </c>
      <c r="AY353" s="48">
        <f>VLOOKUP(AP353,COND!$A$10:$B$32,2,FALSE)</f>
        <v>0.9</v>
      </c>
      <c r="AZ353" s="46">
        <f>($AU$3*AU353+$AV$3*AV353+$AW$3*AW353+$AX$3*AX353)*AY353*IF(AQ353&lt;5,0.95,IF(AQ353&lt;7,0.975,1))+$I$3*VLOOKUP(I353,COND!$A$2:$E$7,4,FALSE)+$J$3*VLOOKUP(J353,COND!$A$2:$E$7,2,FALSE)+$K$3*VLOOKUP(K353,COND!$A$2:$E$7,3,FALSE)+IF(BB353="SP",$BB$3,0)+IF($AW353&lt;3,-5,0)+IF(AND($B$2&gt;0,$E353&lt;20),$B$2*25,0)</f>
        <v>28.813350127294576</v>
      </c>
      <c r="BA353" s="49">
        <f>STANDARDIZE(AZ353,AVERAGE($AZ$5:$AZ$676),STDEVP($AZ$5:$AZ$676))</f>
        <v>-0.13864136228125634</v>
      </c>
      <c r="BB353" s="47" t="str">
        <f>IF(OR(AND(AQ353&gt;7,AX353&gt;1),AND(AQ353&gt;4,AW353&gt;2)),"SP","RP")</f>
        <v>SP</v>
      </c>
      <c r="BC353" s="47"/>
      <c r="BD353" s="47"/>
      <c r="BE353" s="47"/>
      <c r="BF353" s="47" t="str">
        <f>IF(AVERAGE($O353:$Q353)&gt;=6,"Likely",IF(AVERAGE($O353:$Q353)&gt;=4,"Possible","Unlikely"))</f>
        <v>Unlikely</v>
      </c>
      <c r="BG353" s="47"/>
      <c r="BH353" s="47" t="str">
        <f>INDEX(Table5[[#All],[Ovr]],MATCH(Table3[[#This Row],[PID]],Table5[[#All],[PID]],0))</f>
        <v/>
      </c>
      <c r="BI353" s="47" t="str">
        <f>INDEX(Table5[[#All],[Rnd]],MATCH(Table3[[#This Row],[PID]],Table5[[#All],[PID]],0))</f>
        <v/>
      </c>
      <c r="BJ353" s="47" t="str">
        <f>INDEX(Table5[[#All],[Pick]],MATCH(Table3[[#This Row],[PID]],Table5[[#All],[PID]],0))</f>
        <v/>
      </c>
      <c r="BK353" s="47" t="str">
        <f>INDEX(Table5[[#All],[Team]],MATCH(Table3[[#This Row],[PID]],Table5[[#All],[PID]],0))</f>
        <v/>
      </c>
      <c r="BL3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4" spans="1:64" ht="15" customHeight="1" x14ac:dyDescent="0.25">
      <c r="A354" s="42">
        <v>5118</v>
      </c>
      <c r="B354" s="42" t="s">
        <v>430</v>
      </c>
      <c r="C354" s="42" t="s">
        <v>797</v>
      </c>
      <c r="D354" s="42" t="s">
        <v>773</v>
      </c>
      <c r="E354" s="42">
        <v>18</v>
      </c>
      <c r="F354" s="42" t="s">
        <v>42</v>
      </c>
      <c r="G354" s="42" t="s">
        <v>42</v>
      </c>
      <c r="H354" s="43" t="s">
        <v>721</v>
      </c>
      <c r="I354" s="44" t="s">
        <v>43</v>
      </c>
      <c r="J354" s="42" t="s">
        <v>44</v>
      </c>
      <c r="K354" s="43" t="s">
        <v>43</v>
      </c>
      <c r="L354" s="42">
        <v>2</v>
      </c>
      <c r="M354" s="42">
        <v>2</v>
      </c>
      <c r="N354" s="43">
        <v>1</v>
      </c>
      <c r="O354" s="42">
        <v>4</v>
      </c>
      <c r="P354" s="42">
        <v>2</v>
      </c>
      <c r="Q354" s="43">
        <v>2</v>
      </c>
      <c r="R354" s="42">
        <v>3</v>
      </c>
      <c r="S354" s="42">
        <v>5</v>
      </c>
      <c r="T354" s="42">
        <v>1</v>
      </c>
      <c r="U354" s="42">
        <v>5</v>
      </c>
      <c r="V354" s="42" t="s">
        <v>45</v>
      </c>
      <c r="W354" s="42" t="s">
        <v>45</v>
      </c>
      <c r="X354" s="42" t="s">
        <v>45</v>
      </c>
      <c r="Y354" s="42" t="s">
        <v>45</v>
      </c>
      <c r="Z354" s="42" t="s">
        <v>45</v>
      </c>
      <c r="AA354" s="42" t="s">
        <v>45</v>
      </c>
      <c r="AB354" s="42" t="s">
        <v>45</v>
      </c>
      <c r="AC354" s="42" t="s">
        <v>45</v>
      </c>
      <c r="AD354" s="42">
        <v>3</v>
      </c>
      <c r="AE354" s="42">
        <v>4</v>
      </c>
      <c r="AF354" s="42">
        <v>3</v>
      </c>
      <c r="AG354" s="42">
        <v>3</v>
      </c>
      <c r="AH354" s="42" t="s">
        <v>45</v>
      </c>
      <c r="AI354" s="42" t="s">
        <v>45</v>
      </c>
      <c r="AJ354" s="42" t="s">
        <v>45</v>
      </c>
      <c r="AK354" s="42" t="s">
        <v>45</v>
      </c>
      <c r="AL354" s="42" t="s">
        <v>45</v>
      </c>
      <c r="AM354" s="42" t="s">
        <v>45</v>
      </c>
      <c r="AN354" s="42" t="s">
        <v>45</v>
      </c>
      <c r="AO354" s="43" t="s">
        <v>45</v>
      </c>
      <c r="AP354" s="42" t="s">
        <v>355</v>
      </c>
      <c r="AQ354" s="42">
        <v>3</v>
      </c>
      <c r="AR354" s="50" t="s">
        <v>353</v>
      </c>
      <c r="AS354" s="45" t="s">
        <v>730</v>
      </c>
      <c r="AT354" s="45" t="s">
        <v>705</v>
      </c>
      <c r="AU354" s="46">
        <f>($O$3*(L354-$O$1)/$O$2+$P$3*(M354-$P$1)/$P$2+$Q$3*(N354-$P$1)/$Q$2)/SUM($O$3:$Q$3)</f>
        <v>-2.311361197028369</v>
      </c>
      <c r="AV354" s="46">
        <f>($O$3*(O354-$O$1)/$O$2+$P$3*(P354-$P$1)/$P$2+$Q$3*(Q354-$Q$1)/$Q$2)/SUM($O$3:$Q$3)</f>
        <v>-1.23416323121884</v>
      </c>
      <c r="AW354" s="47">
        <f>COUNT(R354:AO354)/2</f>
        <v>4</v>
      </c>
      <c r="AX354" s="47">
        <f>IF(AND(S354&lt;&gt;"-",S354&gt;5),1,0)+IF(AND(U354&lt;&gt;"-",U354&gt;5),1,0)+IF(AND(W354&lt;&gt;"-",W354&gt;5),1,0)+IF(AND(Y354&lt;&gt;"-",Y354&gt;5),1,0)+IF(AND(AA354&lt;&gt;"-",AA354&gt;5),1,0)+IF(AND(AC354&lt;&gt;"-",AC354&gt;5),1,0)+IF(AND(AE354&lt;&gt;"-",AE354&gt;5),1,0)+IF(AND(AG354&lt;&gt;"-",AG354&gt;5),1,0)+IF(AND(AI354&lt;&gt;"-",AI354&gt;5),1,0)+IF(AND(AK354&lt;&gt;"-",AK354&gt;5),1,0)+IF(AND(AM354&lt;&gt;"-",AM354&gt;5),1,0)+IF(AND(AO354&lt;&gt;"-",AO354&gt;5),1,0)</f>
        <v>0</v>
      </c>
      <c r="AY354" s="48">
        <f>VLOOKUP(AP354,COND!$A$10:$B$32,2,FALSE)</f>
        <v>1</v>
      </c>
      <c r="AZ354" s="46">
        <f>($AU$3*AU354+$AV$3*AV354+$AW$3*AW354+$AX$3*AX354)*AY354*IF(AQ354&lt;5,0.95,IF(AQ354&lt;7,0.975,1))+$I$3*VLOOKUP(I354,COND!$A$2:$E$7,4,FALSE)+$J$3*VLOOKUP(J354,COND!$A$2:$E$7,2,FALSE)+$K$3*VLOOKUP(K354,COND!$A$2:$E$7,3,FALSE)+IF(BB354="SP",$BB$3,0)+IF($AW354&lt;3,-5,0)+IF(AND($B$2&gt;0,$E354&lt;20),$B$2*25,0)</f>
        <v>27.711739979406648</v>
      </c>
      <c r="BA354" s="49">
        <f>STANDARDIZE(AZ354,AVERAGE($AZ$5:$AZ$570),STDEVP($AZ$5:$AZ$570))</f>
        <v>-0.45948526257939848</v>
      </c>
      <c r="BB354" s="47" t="str">
        <f>IF(OR(AND(AQ354&gt;7,AX354&gt;1),AND(AQ354&gt;4,AW354&gt;2)),"SP","RP")</f>
        <v>RP</v>
      </c>
      <c r="BC354" s="47"/>
      <c r="BD354" s="47"/>
      <c r="BE354" s="47"/>
      <c r="BF354" s="47" t="str">
        <f>IF(AVERAGE($O354:$Q354)&gt;=6,"Likely",IF(AVERAGE($O354:$Q354)&gt;=4,"Possible","Unlikely"))</f>
        <v>Unlikely</v>
      </c>
      <c r="BG354" s="47"/>
      <c r="BH354" s="47" t="str">
        <f>INDEX(Table5[[#All],[Ovr]],MATCH(Table3[[#This Row],[PID]],Table5[[#All],[PID]],0))</f>
        <v/>
      </c>
      <c r="BI354" s="47" t="str">
        <f>INDEX(Table5[[#All],[Rnd]],MATCH(Table3[[#This Row],[PID]],Table5[[#All],[PID]],0))</f>
        <v/>
      </c>
      <c r="BJ354" s="47" t="str">
        <f>INDEX(Table5[[#All],[Pick]],MATCH(Table3[[#This Row],[PID]],Table5[[#All],[PID]],0))</f>
        <v/>
      </c>
      <c r="BK354" s="47" t="str">
        <f>INDEX(Table5[[#All],[Team]],MATCH(Table3[[#This Row],[PID]],Table5[[#All],[PID]],0))</f>
        <v/>
      </c>
      <c r="BL3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5" spans="1:64" ht="15" customHeight="1" x14ac:dyDescent="0.25">
      <c r="A355" s="42">
        <v>8080</v>
      </c>
      <c r="B355" s="42" t="s">
        <v>430</v>
      </c>
      <c r="C355" s="42" t="s">
        <v>137</v>
      </c>
      <c r="D355" s="42" t="s">
        <v>157</v>
      </c>
      <c r="E355" s="42">
        <v>18</v>
      </c>
      <c r="F355" s="42" t="s">
        <v>62</v>
      </c>
      <c r="G355" s="42" t="s">
        <v>42</v>
      </c>
      <c r="H355" s="43" t="s">
        <v>721</v>
      </c>
      <c r="I355" s="44" t="s">
        <v>43</v>
      </c>
      <c r="J355" s="42" t="s">
        <v>43</v>
      </c>
      <c r="K355" s="43" t="s">
        <v>43</v>
      </c>
      <c r="L355" s="42">
        <v>1</v>
      </c>
      <c r="M355" s="42">
        <v>1</v>
      </c>
      <c r="N355" s="43">
        <v>1</v>
      </c>
      <c r="O355" s="42">
        <v>4</v>
      </c>
      <c r="P355" s="42">
        <v>1</v>
      </c>
      <c r="Q355" s="43">
        <v>2</v>
      </c>
      <c r="R355" s="42">
        <v>2</v>
      </c>
      <c r="S355" s="42">
        <v>5</v>
      </c>
      <c r="T355" s="42">
        <v>1</v>
      </c>
      <c r="U355" s="42">
        <v>1</v>
      </c>
      <c r="V355" s="42">
        <v>1</v>
      </c>
      <c r="W355" s="42">
        <v>6</v>
      </c>
      <c r="X355" s="42" t="s">
        <v>45</v>
      </c>
      <c r="Y355" s="42" t="s">
        <v>45</v>
      </c>
      <c r="Z355" s="42" t="s">
        <v>45</v>
      </c>
      <c r="AA355" s="42" t="s">
        <v>45</v>
      </c>
      <c r="AB355" s="42" t="s">
        <v>45</v>
      </c>
      <c r="AC355" s="42" t="s">
        <v>45</v>
      </c>
      <c r="AD355" s="42" t="s">
        <v>45</v>
      </c>
      <c r="AE355" s="42" t="s">
        <v>45</v>
      </c>
      <c r="AF355" s="42" t="s">
        <v>45</v>
      </c>
      <c r="AG355" s="42" t="s">
        <v>45</v>
      </c>
      <c r="AH355" s="42" t="s">
        <v>45</v>
      </c>
      <c r="AI355" s="42" t="s">
        <v>45</v>
      </c>
      <c r="AJ355" s="42" t="s">
        <v>45</v>
      </c>
      <c r="AK355" s="42" t="s">
        <v>45</v>
      </c>
      <c r="AL355" s="42" t="s">
        <v>45</v>
      </c>
      <c r="AM355" s="42" t="s">
        <v>45</v>
      </c>
      <c r="AN355" s="42" t="s">
        <v>45</v>
      </c>
      <c r="AO355" s="43" t="s">
        <v>45</v>
      </c>
      <c r="AP355" s="42" t="s">
        <v>65</v>
      </c>
      <c r="AQ355" s="42">
        <v>8</v>
      </c>
      <c r="AR355" s="50" t="s">
        <v>14</v>
      </c>
      <c r="AS355" s="45" t="s">
        <v>45</v>
      </c>
      <c r="AT355" s="45" t="s">
        <v>705</v>
      </c>
      <c r="AU355" s="46">
        <f>($O$3*(L355-$O$1)/$O$2+$P$3*(M355-$P$1)/$P$2+$Q$3*(N355-$P$1)/$Q$2)/SUM($O$3:$Q$3)</f>
        <v>-2.7014842379675978</v>
      </c>
      <c r="AV355" s="46">
        <f>($O$3*(O355-$O$1)/$O$2+$P$3*(P355-$P$1)/$P$2+$Q$3*(Q355-$Q$1)/$Q$2)/SUM($O$3:$Q$3)</f>
        <v>-1.4295949476488956</v>
      </c>
      <c r="AW355" s="47">
        <f>COUNT(R355:AO355)/2</f>
        <v>3</v>
      </c>
      <c r="AX355" s="47">
        <f>IF(AND(S355&lt;&gt;"-",S355&gt;5),1,0)+IF(AND(U355&lt;&gt;"-",U355&gt;5),1,0)+IF(AND(W355&lt;&gt;"-",W355&gt;5),1,0)+IF(AND(Y355&lt;&gt;"-",Y355&gt;5),1,0)+IF(AND(AA355&lt;&gt;"-",AA355&gt;5),1,0)+IF(AND(AC355&lt;&gt;"-",AC355&gt;5),1,0)+IF(AND(AE355&lt;&gt;"-",AE355&gt;5),1,0)+IF(AND(AG355&lt;&gt;"-",AG355&gt;5),1,0)+IF(AND(AI355&lt;&gt;"-",AI355&gt;5),1,0)+IF(AND(AK355&lt;&gt;"-",AK355&gt;5),1,0)+IF(AND(AM355&lt;&gt;"-",AM355&gt;5),1,0)+IF(AND(AO355&lt;&gt;"-",AO355&gt;5),1,0)</f>
        <v>1</v>
      </c>
      <c r="AY355" s="48">
        <f>VLOOKUP(AP355,COND!$A$10:$B$32,2,FALSE)</f>
        <v>0.95</v>
      </c>
      <c r="AZ355" s="46">
        <f>($AU$3*AU355+$AV$3*AV355+$AW$3*AW355+$AX$3*AX355)*AY355*IF(AQ355&lt;5,0.95,IF(AQ355&lt;7,0.975,1))+$I$3*VLOOKUP(I355,COND!$A$2:$E$7,4,FALSE)+$J$3*VLOOKUP(J355,COND!$A$2:$E$7,2,FALSE)+$K$3*VLOOKUP(K355,COND!$A$2:$E$7,3,FALSE)+IF(BB355="SP",$BB$3,0)+IF($AW355&lt;3,-5,0)+IF(AND($B$2&gt;0,$E355&lt;20),$B$2*25,0)</f>
        <v>26.936913989457139</v>
      </c>
      <c r="BA355" s="49">
        <f>STANDARDIZE(AZ355,AVERAGE($AZ$5:$AZ$570),STDEVP($AZ$5:$AZ$570))</f>
        <v>-0.53054011753365127</v>
      </c>
      <c r="BB355" s="47" t="str">
        <f>IF(OR(AND(AQ355&gt;7,AX355&gt;1),AND(AQ355&gt;4,AW355&gt;2)),"SP","RP")</f>
        <v>SP</v>
      </c>
      <c r="BC355" s="47"/>
      <c r="BD355" s="47"/>
      <c r="BE355" s="47"/>
      <c r="BF355" s="47" t="str">
        <f>IF(AVERAGE($O355:$Q355)&gt;=6,"Likely",IF(AVERAGE($O355:$Q355)&gt;=4,"Possible","Unlikely"))</f>
        <v>Unlikely</v>
      </c>
      <c r="BG355" s="47"/>
      <c r="BH355" s="47" t="str">
        <f>INDEX(Table5[[#All],[Ovr]],MATCH(Table3[[#This Row],[PID]],Table5[[#All],[PID]],0))</f>
        <v/>
      </c>
      <c r="BI355" s="47" t="str">
        <f>INDEX(Table5[[#All],[Rnd]],MATCH(Table3[[#This Row],[PID]],Table5[[#All],[PID]],0))</f>
        <v/>
      </c>
      <c r="BJ355" s="47" t="str">
        <f>INDEX(Table5[[#All],[Pick]],MATCH(Table3[[#This Row],[PID]],Table5[[#All],[PID]],0))</f>
        <v/>
      </c>
      <c r="BK355" s="47" t="str">
        <f>INDEX(Table5[[#All],[Team]],MATCH(Table3[[#This Row],[PID]],Table5[[#All],[PID]],0))</f>
        <v/>
      </c>
      <c r="BL3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6" spans="1:64" ht="15" customHeight="1" x14ac:dyDescent="0.25">
      <c r="A356" s="42">
        <v>17641</v>
      </c>
      <c r="B356" s="42" t="s">
        <v>24</v>
      </c>
      <c r="C356" s="42" t="s">
        <v>342</v>
      </c>
      <c r="D356" s="42" t="s">
        <v>1721</v>
      </c>
      <c r="E356" s="42">
        <v>18</v>
      </c>
      <c r="F356" s="42" t="s">
        <v>42</v>
      </c>
      <c r="G356" s="42" t="s">
        <v>42</v>
      </c>
      <c r="H356" s="43" t="s">
        <v>721</v>
      </c>
      <c r="I356" s="44" t="s">
        <v>43</v>
      </c>
      <c r="J356" s="42" t="s">
        <v>47</v>
      </c>
      <c r="K356" s="43" t="s">
        <v>44</v>
      </c>
      <c r="L356" s="42">
        <v>1</v>
      </c>
      <c r="M356" s="42">
        <v>1</v>
      </c>
      <c r="N356" s="43">
        <v>1</v>
      </c>
      <c r="O356" s="42">
        <v>4</v>
      </c>
      <c r="P356" s="42">
        <v>1</v>
      </c>
      <c r="Q356" s="43">
        <v>2</v>
      </c>
      <c r="R356" s="42">
        <v>2</v>
      </c>
      <c r="S356" s="42">
        <v>5</v>
      </c>
      <c r="T356" s="42">
        <v>1</v>
      </c>
      <c r="U356" s="42">
        <v>7</v>
      </c>
      <c r="V356" s="42" t="s">
        <v>45</v>
      </c>
      <c r="W356" s="42" t="s">
        <v>45</v>
      </c>
      <c r="X356" s="42" t="s">
        <v>45</v>
      </c>
      <c r="Y356" s="42" t="s">
        <v>45</v>
      </c>
      <c r="Z356" s="42" t="s">
        <v>45</v>
      </c>
      <c r="AA356" s="42" t="s">
        <v>45</v>
      </c>
      <c r="AB356" s="42">
        <v>2</v>
      </c>
      <c r="AC356" s="42">
        <v>4</v>
      </c>
      <c r="AD356" s="42" t="s">
        <v>45</v>
      </c>
      <c r="AE356" s="42" t="s">
        <v>45</v>
      </c>
      <c r="AF356" s="42" t="s">
        <v>45</v>
      </c>
      <c r="AG356" s="42" t="s">
        <v>45</v>
      </c>
      <c r="AH356" s="42" t="s">
        <v>45</v>
      </c>
      <c r="AI356" s="42" t="s">
        <v>45</v>
      </c>
      <c r="AJ356" s="42" t="s">
        <v>45</v>
      </c>
      <c r="AK356" s="42" t="s">
        <v>45</v>
      </c>
      <c r="AL356" s="42" t="s">
        <v>45</v>
      </c>
      <c r="AM356" s="42" t="s">
        <v>45</v>
      </c>
      <c r="AN356" s="42" t="s">
        <v>45</v>
      </c>
      <c r="AO356" s="43" t="s">
        <v>45</v>
      </c>
      <c r="AP356" s="42" t="s">
        <v>68</v>
      </c>
      <c r="AQ356" s="42">
        <v>8</v>
      </c>
      <c r="AR356" s="50" t="s">
        <v>14</v>
      </c>
      <c r="AS356" s="45" t="s">
        <v>745</v>
      </c>
      <c r="AT356" s="45" t="s">
        <v>47</v>
      </c>
      <c r="AU356" s="46">
        <f>($O$3*(L356-$O$1)/$O$2+$P$3*(M356-$P$1)/$P$2+$Q$3*(N356-$P$1)/$Q$2)/SUM($O$3:$Q$3)</f>
        <v>-2.7014842379675978</v>
      </c>
      <c r="AV356" s="46">
        <f>($O$3*(O356-$O$1)/$O$2+$P$3*(P356-$P$1)/$P$2+$Q$3*(Q356-$Q$1)/$Q$2)/SUM($O$3:$Q$3)</f>
        <v>-1.4295949476488956</v>
      </c>
      <c r="AW356" s="47">
        <f>COUNT(R356:AO356)/2</f>
        <v>3</v>
      </c>
      <c r="AX356" s="47">
        <f>IF(AND(S356&lt;&gt;"-",S356&gt;5),1,0)+IF(AND(U356&lt;&gt;"-",U356&gt;5),1,0)+IF(AND(W356&lt;&gt;"-",W356&gt;5),1,0)+IF(AND(Y356&lt;&gt;"-",Y356&gt;5),1,0)+IF(AND(AA356&lt;&gt;"-",AA356&gt;5),1,0)+IF(AND(AC356&lt;&gt;"-",AC356&gt;5),1,0)+IF(AND(AE356&lt;&gt;"-",AE356&gt;5),1,0)+IF(AND(AG356&lt;&gt;"-",AG356&gt;5),1,0)+IF(AND(AI356&lt;&gt;"-",AI356&gt;5),1,0)+IF(AND(AK356&lt;&gt;"-",AK356&gt;5),1,0)+IF(AND(AM356&lt;&gt;"-",AM356&gt;5),1,0)+IF(AND(AO356&lt;&gt;"-",AO356&gt;5),1,0)</f>
        <v>1</v>
      </c>
      <c r="AY356" s="48">
        <f>VLOOKUP(AP356,COND!$A$10:$B$32,2,FALSE)</f>
        <v>0.95</v>
      </c>
      <c r="AZ356" s="46">
        <f>($AU$3*AU356+$AV$3*AV356+$AW$3*AW356+$AX$3*AX356)*AY356*IF(AQ356&lt;5,0.95,IF(AQ356&lt;7,0.975,1))+$I$3*VLOOKUP(I356,COND!$A$2:$E$7,4,FALSE)+$J$3*VLOOKUP(J356,COND!$A$2:$E$7,2,FALSE)+$K$3*VLOOKUP(K356,COND!$A$2:$E$7,3,FALSE)+IF(BB356="SP",$BB$3,0)+IF($AW356&lt;3,-5,0)+IF(AND($B$2&gt;0,$E356&lt;20),$B$2*25,0)</f>
        <v>26.936913989457139</v>
      </c>
      <c r="BA356" s="49">
        <f>STANDARDIZE(AZ356,AVERAGE($AZ$5:$AZ$570),STDEVP($AZ$5:$AZ$570))</f>
        <v>-0.53054011753365127</v>
      </c>
      <c r="BB356" s="47" t="str">
        <f>IF(OR(AND(AQ356&gt;7,AX356&gt;1),AND(AQ356&gt;4,AW356&gt;2)),"SP","RP")</f>
        <v>SP</v>
      </c>
      <c r="BC356" s="47"/>
      <c r="BD356" s="47"/>
      <c r="BE356" s="47"/>
      <c r="BF356" s="47" t="str">
        <f>IF(AVERAGE($O356:$Q356)&gt;=6,"Likely",IF(AVERAGE($O356:$Q356)&gt;=4,"Possible","Unlikely"))</f>
        <v>Unlikely</v>
      </c>
      <c r="BG356" s="47"/>
      <c r="BH356" s="47" t="str">
        <f>INDEX(Table5[[#All],[Ovr]],MATCH(Table3[[#This Row],[PID]],Table5[[#All],[PID]],0))</f>
        <v/>
      </c>
      <c r="BI356" s="47" t="str">
        <f>INDEX(Table5[[#All],[Rnd]],MATCH(Table3[[#This Row],[PID]],Table5[[#All],[PID]],0))</f>
        <v/>
      </c>
      <c r="BJ356" s="47" t="str">
        <f>INDEX(Table5[[#All],[Pick]],MATCH(Table3[[#This Row],[PID]],Table5[[#All],[PID]],0))</f>
        <v/>
      </c>
      <c r="BK356" s="47" t="str">
        <f>INDEX(Table5[[#All],[Team]],MATCH(Table3[[#This Row],[PID]],Table5[[#All],[PID]],0))</f>
        <v/>
      </c>
      <c r="BL3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7" spans="1:64" ht="15" customHeight="1" x14ac:dyDescent="0.25">
      <c r="A357" s="42">
        <v>6539</v>
      </c>
      <c r="B357" s="42" t="s">
        <v>430</v>
      </c>
      <c r="C357" s="42" t="s">
        <v>1332</v>
      </c>
      <c r="D357" s="42" t="s">
        <v>1733</v>
      </c>
      <c r="E357" s="42">
        <v>18</v>
      </c>
      <c r="F357" s="42" t="s">
        <v>62</v>
      </c>
      <c r="G357" s="42" t="s">
        <v>42</v>
      </c>
      <c r="H357" s="43" t="s">
        <v>721</v>
      </c>
      <c r="I357" s="44" t="s">
        <v>43</v>
      </c>
      <c r="J357" s="42" t="s">
        <v>43</v>
      </c>
      <c r="K357" s="43" t="s">
        <v>43</v>
      </c>
      <c r="L357" s="42">
        <v>1</v>
      </c>
      <c r="M357" s="42">
        <v>1</v>
      </c>
      <c r="N357" s="43">
        <v>1</v>
      </c>
      <c r="O357" s="42">
        <v>4</v>
      </c>
      <c r="P357" s="42">
        <v>1</v>
      </c>
      <c r="Q357" s="43">
        <v>2</v>
      </c>
      <c r="R357" s="42">
        <v>2</v>
      </c>
      <c r="S357" s="42">
        <v>4</v>
      </c>
      <c r="T357" s="42" t="s">
        <v>45</v>
      </c>
      <c r="U357" s="42" t="s">
        <v>45</v>
      </c>
      <c r="V357" s="42">
        <v>1</v>
      </c>
      <c r="W357" s="42">
        <v>6</v>
      </c>
      <c r="X357" s="42">
        <v>1</v>
      </c>
      <c r="Y357" s="42">
        <v>5</v>
      </c>
      <c r="Z357" s="42" t="s">
        <v>45</v>
      </c>
      <c r="AA357" s="42" t="s">
        <v>45</v>
      </c>
      <c r="AB357" s="42" t="s">
        <v>45</v>
      </c>
      <c r="AC357" s="42" t="s">
        <v>45</v>
      </c>
      <c r="AD357" s="42" t="s">
        <v>45</v>
      </c>
      <c r="AE357" s="42" t="s">
        <v>45</v>
      </c>
      <c r="AF357" s="42" t="s">
        <v>45</v>
      </c>
      <c r="AG357" s="42" t="s">
        <v>45</v>
      </c>
      <c r="AH357" s="42" t="s">
        <v>45</v>
      </c>
      <c r="AI357" s="42" t="s">
        <v>45</v>
      </c>
      <c r="AJ357" s="42" t="s">
        <v>45</v>
      </c>
      <c r="AK357" s="42" t="s">
        <v>45</v>
      </c>
      <c r="AL357" s="42" t="s">
        <v>45</v>
      </c>
      <c r="AM357" s="42" t="s">
        <v>45</v>
      </c>
      <c r="AN357" s="42" t="s">
        <v>45</v>
      </c>
      <c r="AO357" s="43" t="s">
        <v>45</v>
      </c>
      <c r="AP357" s="42" t="s">
        <v>65</v>
      </c>
      <c r="AQ357" s="42">
        <v>7</v>
      </c>
      <c r="AR357" s="50" t="s">
        <v>14</v>
      </c>
      <c r="AS357" s="45" t="s">
        <v>627</v>
      </c>
      <c r="AT357" s="45" t="s">
        <v>47</v>
      </c>
      <c r="AU357" s="46">
        <f>($O$3*(L357-$O$1)/$O$2+$P$3*(M357-$P$1)/$P$2+$Q$3*(N357-$P$1)/$Q$2)/SUM($O$3:$Q$3)</f>
        <v>-2.7014842379675978</v>
      </c>
      <c r="AV357" s="46">
        <f>($O$3*(O357-$O$1)/$O$2+$P$3*(P357-$P$1)/$P$2+$Q$3*(Q357-$Q$1)/$Q$2)/SUM($O$3:$Q$3)</f>
        <v>-1.4295949476488956</v>
      </c>
      <c r="AW357" s="47">
        <f>COUNT(R357:AO357)/2</f>
        <v>3</v>
      </c>
      <c r="AX357" s="47">
        <f>IF(AND(S357&lt;&gt;"-",S357&gt;5),1,0)+IF(AND(U357&lt;&gt;"-",U357&gt;5),1,0)+IF(AND(W357&lt;&gt;"-",W357&gt;5),1,0)+IF(AND(Y357&lt;&gt;"-",Y357&gt;5),1,0)+IF(AND(AA357&lt;&gt;"-",AA357&gt;5),1,0)+IF(AND(AC357&lt;&gt;"-",AC357&gt;5),1,0)+IF(AND(AE357&lt;&gt;"-",AE357&gt;5),1,0)+IF(AND(AG357&lt;&gt;"-",AG357&gt;5),1,0)+IF(AND(AI357&lt;&gt;"-",AI357&gt;5),1,0)+IF(AND(AK357&lt;&gt;"-",AK357&gt;5),1,0)+IF(AND(AM357&lt;&gt;"-",AM357&gt;5),1,0)+IF(AND(AO357&lt;&gt;"-",AO357&gt;5),1,0)</f>
        <v>1</v>
      </c>
      <c r="AY357" s="48">
        <f>VLOOKUP(AP357,COND!$A$10:$B$32,2,FALSE)</f>
        <v>0.95</v>
      </c>
      <c r="AZ357" s="46">
        <f>($AU$3*AU357+$AV$3*AV357+$AW$3*AW357+$AX$3*AX357)*AY357*IF(AQ357&lt;5,0.95,IF(AQ357&lt;7,0.975,1))+$I$3*VLOOKUP(I357,COND!$A$2:$E$7,4,FALSE)+$J$3*VLOOKUP(J357,COND!$A$2:$E$7,2,FALSE)+$K$3*VLOOKUP(K357,COND!$A$2:$E$7,3,FALSE)+IF(BB357="SP",$BB$3,0)+IF($AW357&lt;3,-5,0)+IF(AND($B$2&gt;0,$E357&lt;20),$B$2*25,0)</f>
        <v>26.936913989457139</v>
      </c>
      <c r="BA357" s="49">
        <f>STANDARDIZE(AZ357,AVERAGE($AZ$5:$AZ$570),STDEVP($AZ$5:$AZ$570))</f>
        <v>-0.53054011753365127</v>
      </c>
      <c r="BB357" s="47" t="str">
        <f>IF(OR(AND(AQ357&gt;7,AX357&gt;1),AND(AQ357&gt;4,AW357&gt;2)),"SP","RP")</f>
        <v>SP</v>
      </c>
      <c r="BC357" s="47"/>
      <c r="BD357" s="47"/>
      <c r="BE357" s="47"/>
      <c r="BF357" s="47" t="str">
        <f>IF(AVERAGE($O357:$Q357)&gt;=6,"Likely",IF(AVERAGE($O357:$Q357)&gt;=4,"Possible","Unlikely"))</f>
        <v>Unlikely</v>
      </c>
      <c r="BG357" s="47"/>
      <c r="BH357" s="47" t="str">
        <f>INDEX(Table5[[#All],[Ovr]],MATCH(Table3[[#This Row],[PID]],Table5[[#All],[PID]],0))</f>
        <v/>
      </c>
      <c r="BI357" s="47" t="str">
        <f>INDEX(Table5[[#All],[Rnd]],MATCH(Table3[[#This Row],[PID]],Table5[[#All],[PID]],0))</f>
        <v/>
      </c>
      <c r="BJ357" s="47" t="str">
        <f>INDEX(Table5[[#All],[Pick]],MATCH(Table3[[#This Row],[PID]],Table5[[#All],[PID]],0))</f>
        <v/>
      </c>
      <c r="BK357" s="47" t="str">
        <f>INDEX(Table5[[#All],[Team]],MATCH(Table3[[#This Row],[PID]],Table5[[#All],[PID]],0))</f>
        <v/>
      </c>
      <c r="BL3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8" spans="1:64" ht="15" customHeight="1" x14ac:dyDescent="0.25">
      <c r="A358" s="42">
        <v>14643</v>
      </c>
      <c r="B358" s="42" t="s">
        <v>430</v>
      </c>
      <c r="C358" s="42" t="s">
        <v>1714</v>
      </c>
      <c r="D358" s="42" t="s">
        <v>388</v>
      </c>
      <c r="E358" s="42">
        <v>21</v>
      </c>
      <c r="F358" s="42" t="s">
        <v>42</v>
      </c>
      <c r="G358" s="42" t="s">
        <v>53</v>
      </c>
      <c r="H358" s="43" t="s">
        <v>721</v>
      </c>
      <c r="I358" s="44" t="s">
        <v>43</v>
      </c>
      <c r="J358" s="42" t="s">
        <v>44</v>
      </c>
      <c r="K358" s="43" t="s">
        <v>43</v>
      </c>
      <c r="L358" s="42">
        <v>2</v>
      </c>
      <c r="M358" s="42">
        <v>1</v>
      </c>
      <c r="N358" s="43">
        <v>1</v>
      </c>
      <c r="O358" s="42">
        <v>4</v>
      </c>
      <c r="P358" s="42">
        <v>2</v>
      </c>
      <c r="Q358" s="43">
        <v>2</v>
      </c>
      <c r="R358" s="42">
        <v>2</v>
      </c>
      <c r="S358" s="42">
        <v>4</v>
      </c>
      <c r="T358" s="42">
        <v>4</v>
      </c>
      <c r="U358" s="42">
        <v>6</v>
      </c>
      <c r="V358" s="42">
        <v>3</v>
      </c>
      <c r="W358" s="42">
        <v>7</v>
      </c>
      <c r="X358" s="42" t="s">
        <v>45</v>
      </c>
      <c r="Y358" s="42" t="s">
        <v>45</v>
      </c>
      <c r="Z358" s="42" t="s">
        <v>45</v>
      </c>
      <c r="AA358" s="42" t="s">
        <v>45</v>
      </c>
      <c r="AB358" s="42" t="s">
        <v>45</v>
      </c>
      <c r="AC358" s="42" t="s">
        <v>45</v>
      </c>
      <c r="AD358" s="42" t="s">
        <v>45</v>
      </c>
      <c r="AE358" s="42" t="s">
        <v>45</v>
      </c>
      <c r="AF358" s="42" t="s">
        <v>45</v>
      </c>
      <c r="AG358" s="42" t="s">
        <v>45</v>
      </c>
      <c r="AH358" s="42" t="s">
        <v>45</v>
      </c>
      <c r="AI358" s="42" t="s">
        <v>45</v>
      </c>
      <c r="AJ358" s="42" t="s">
        <v>45</v>
      </c>
      <c r="AK358" s="42" t="s">
        <v>45</v>
      </c>
      <c r="AL358" s="42" t="s">
        <v>45</v>
      </c>
      <c r="AM358" s="42" t="s">
        <v>45</v>
      </c>
      <c r="AN358" s="42" t="s">
        <v>45</v>
      </c>
      <c r="AO358" s="43" t="s">
        <v>45</v>
      </c>
      <c r="AP358" s="42" t="s">
        <v>70</v>
      </c>
      <c r="AQ358" s="42">
        <v>9</v>
      </c>
      <c r="AR358" s="50" t="s">
        <v>357</v>
      </c>
      <c r="AS358" s="45" t="s">
        <v>717</v>
      </c>
      <c r="AT358" s="45" t="s">
        <v>705</v>
      </c>
      <c r="AU358" s="46">
        <f>($O$3*(L358-$O$1)/$O$2+$P$3*(M358-$P$1)/$P$2+$Q$3*(N358-$P$1)/$Q$2)/SUM($O$3:$Q$3)</f>
        <v>-2.5067929134584248</v>
      </c>
      <c r="AV358" s="46">
        <f>($O$3*(O358-$O$1)/$O$2+$P$3*(P358-$P$1)/$P$2+$Q$3*(Q358-$Q$1)/$Q$2)/SUM($O$3:$Q$3)</f>
        <v>-1.23416323121884</v>
      </c>
      <c r="AW358" s="47">
        <f>COUNT(R358:AO358)/2</f>
        <v>3</v>
      </c>
      <c r="AX358" s="47">
        <f>IF(AND(S358&lt;&gt;"-",S358&gt;5),1,0)+IF(AND(U358&lt;&gt;"-",U358&gt;5),1,0)+IF(AND(W358&lt;&gt;"-",W358&gt;5),1,0)+IF(AND(Y358&lt;&gt;"-",Y358&gt;5),1,0)+IF(AND(AA358&lt;&gt;"-",AA358&gt;5),1,0)+IF(AND(AC358&lt;&gt;"-",AC358&gt;5),1,0)+IF(AND(AE358&lt;&gt;"-",AE358&gt;5),1,0)+IF(AND(AG358&lt;&gt;"-",AG358&gt;5),1,0)+IF(AND(AI358&lt;&gt;"-",AI358&gt;5),1,0)+IF(AND(AK358&lt;&gt;"-",AK358&gt;5),1,0)+IF(AND(AM358&lt;&gt;"-",AM358&gt;5),1,0)+IF(AND(AO358&lt;&gt;"-",AO358&gt;5),1,0)</f>
        <v>2</v>
      </c>
      <c r="AY358" s="48">
        <f>VLOOKUP(AP358,COND!$A$10:$B$32,2,FALSE)</f>
        <v>0.9</v>
      </c>
      <c r="AZ358" s="46">
        <f>($AU$3*AU358+$AV$3*AV358+$AW$3*AW358+$AX$3*AX358)*AY358*IF(AQ358&lt;5,0.95,IF(AQ358&lt;7,0.975,1))+$I$3*VLOOKUP(I358,COND!$A$2:$E$7,4,FALSE)+$J$3*VLOOKUP(J358,COND!$A$2:$E$7,2,FALSE)+$K$3*VLOOKUP(K358,COND!$A$2:$E$7,3,FALSE)+IF(BB358="SP",$BB$3,0)+IF($AW358&lt;3,-5,0)+IF(AND($B$2&gt;0,$E358&lt;20),$B$2*25,0)</f>
        <v>27.633839113638359</v>
      </c>
      <c r="BA358" s="49">
        <f>STANDARDIZE(AZ358,AVERAGE($AZ$5:$AZ$570),STDEVP($AZ$5:$AZ$570))</f>
        <v>-0.46662910492564863</v>
      </c>
      <c r="BB358" s="47" t="str">
        <f>IF(OR(AND(AQ358&gt;7,AX358&gt;1),AND(AQ358&gt;4,AW358&gt;2)),"SP","RP")</f>
        <v>SP</v>
      </c>
      <c r="BC358" s="47"/>
      <c r="BD358" s="47"/>
      <c r="BE358" s="47"/>
      <c r="BF358" s="47" t="str">
        <f>IF(AVERAGE($O358:$Q358)&gt;=6,"Likely",IF(AVERAGE($O358:$Q358)&gt;=4,"Possible","Unlikely"))</f>
        <v>Unlikely</v>
      </c>
      <c r="BG358" s="47"/>
      <c r="BH358" s="47" t="str">
        <f>INDEX(Table5[[#All],[Ovr]],MATCH(Table3[[#This Row],[PID]],Table5[[#All],[PID]],0))</f>
        <v/>
      </c>
      <c r="BI358" s="47" t="str">
        <f>INDEX(Table5[[#All],[Rnd]],MATCH(Table3[[#This Row],[PID]],Table5[[#All],[PID]],0))</f>
        <v/>
      </c>
      <c r="BJ358" s="47" t="str">
        <f>INDEX(Table5[[#All],[Pick]],MATCH(Table3[[#This Row],[PID]],Table5[[#All],[PID]],0))</f>
        <v/>
      </c>
      <c r="BK358" s="47" t="str">
        <f>INDEX(Table5[[#All],[Team]],MATCH(Table3[[#This Row],[PID]],Table5[[#All],[PID]],0))</f>
        <v/>
      </c>
      <c r="BL3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9" spans="1:64" ht="15" customHeight="1" x14ac:dyDescent="0.25">
      <c r="A359" s="42">
        <v>7699</v>
      </c>
      <c r="B359" s="42" t="s">
        <v>430</v>
      </c>
      <c r="C359" s="42" t="s">
        <v>151</v>
      </c>
      <c r="D359" s="42" t="s">
        <v>1781</v>
      </c>
      <c r="E359" s="42">
        <v>18</v>
      </c>
      <c r="F359" s="42" t="s">
        <v>42</v>
      </c>
      <c r="G359" s="42" t="s">
        <v>42</v>
      </c>
      <c r="H359" s="43" t="s">
        <v>721</v>
      </c>
      <c r="I359" s="44" t="s">
        <v>43</v>
      </c>
      <c r="J359" s="42" t="s">
        <v>47</v>
      </c>
      <c r="K359" s="43" t="s">
        <v>43</v>
      </c>
      <c r="L359" s="42">
        <v>1</v>
      </c>
      <c r="M359" s="42">
        <v>2</v>
      </c>
      <c r="N359" s="43">
        <v>1</v>
      </c>
      <c r="O359" s="42">
        <v>3</v>
      </c>
      <c r="P359" s="42">
        <v>2</v>
      </c>
      <c r="Q359" s="43">
        <v>2</v>
      </c>
      <c r="R359" s="42">
        <v>2</v>
      </c>
      <c r="S359" s="42">
        <v>4</v>
      </c>
      <c r="T359" s="42">
        <v>1</v>
      </c>
      <c r="U359" s="42">
        <v>3</v>
      </c>
      <c r="V359" s="42" t="s">
        <v>45</v>
      </c>
      <c r="W359" s="42" t="s">
        <v>45</v>
      </c>
      <c r="X359" s="42">
        <v>1</v>
      </c>
      <c r="Y359" s="42">
        <v>2</v>
      </c>
      <c r="Z359" s="42" t="s">
        <v>45</v>
      </c>
      <c r="AA359" s="42" t="s">
        <v>45</v>
      </c>
      <c r="AB359" s="42">
        <v>2</v>
      </c>
      <c r="AC359" s="42">
        <v>4</v>
      </c>
      <c r="AD359" s="42" t="s">
        <v>45</v>
      </c>
      <c r="AE359" s="42" t="s">
        <v>45</v>
      </c>
      <c r="AF359" s="42" t="s">
        <v>45</v>
      </c>
      <c r="AG359" s="42" t="s">
        <v>45</v>
      </c>
      <c r="AH359" s="42" t="s">
        <v>45</v>
      </c>
      <c r="AI359" s="42" t="s">
        <v>45</v>
      </c>
      <c r="AJ359" s="42" t="s">
        <v>45</v>
      </c>
      <c r="AK359" s="42" t="s">
        <v>45</v>
      </c>
      <c r="AL359" s="42" t="s">
        <v>45</v>
      </c>
      <c r="AM359" s="42" t="s">
        <v>45</v>
      </c>
      <c r="AN359" s="42" t="s">
        <v>45</v>
      </c>
      <c r="AO359" s="43" t="s">
        <v>45</v>
      </c>
      <c r="AP359" s="42" t="s">
        <v>68</v>
      </c>
      <c r="AQ359" s="42">
        <v>6</v>
      </c>
      <c r="AR359" s="50" t="s">
        <v>353</v>
      </c>
      <c r="AS359" s="45" t="s">
        <v>730</v>
      </c>
      <c r="AT359" s="45" t="s">
        <v>705</v>
      </c>
      <c r="AU359" s="46">
        <f>($O$3*(L359-$O$1)/$O$2+$P$3*(M359-$P$1)/$P$2+$Q$3*(N359-$P$1)/$Q$2)/SUM($O$3:$Q$3)</f>
        <v>-2.5060525215375429</v>
      </c>
      <c r="AV359" s="46">
        <f>($O$3*(O359-$O$1)/$O$2+$P$3*(P359-$P$1)/$P$2+$Q$3*(Q359-$Q$1)/$Q$2)/SUM($O$3:$Q$3)</f>
        <v>-1.4288545557280135</v>
      </c>
      <c r="AW359" s="47">
        <f>COUNT(R359:AO359)/2</f>
        <v>4</v>
      </c>
      <c r="AX359" s="47">
        <f>IF(AND(S359&lt;&gt;"-",S359&gt;5),1,0)+IF(AND(U359&lt;&gt;"-",U359&gt;5),1,0)+IF(AND(W359&lt;&gt;"-",W359&gt;5),1,0)+IF(AND(Y359&lt;&gt;"-",Y359&gt;5),1,0)+IF(AND(AA359&lt;&gt;"-",AA359&gt;5),1,0)+IF(AND(AC359&lt;&gt;"-",AC359&gt;5),1,0)+IF(AND(AE359&lt;&gt;"-",AE359&gt;5),1,0)+IF(AND(AG359&lt;&gt;"-",AG359&gt;5),1,0)+IF(AND(AI359&lt;&gt;"-",AI359&gt;5),1,0)+IF(AND(AK359&lt;&gt;"-",AK359&gt;5),1,0)+IF(AND(AM359&lt;&gt;"-",AM359&gt;5),1,0)+IF(AND(AO359&lt;&gt;"-",AO359&gt;5),1,0)</f>
        <v>0</v>
      </c>
      <c r="AY359" s="48">
        <f>VLOOKUP(AP359,COND!$A$10:$B$32,2,FALSE)</f>
        <v>0.95</v>
      </c>
      <c r="AZ359" s="46">
        <f>($AU$3*AU359+$AV$3*AV359+$AW$3*AW359+$AX$3*AX359)*AY359*IF(AQ359&lt;5,0.95,IF(AQ359&lt;7,0.975,1))+$I$3*VLOOKUP(I359,COND!$A$2:$E$7,4,FALSE)+$J$3*VLOOKUP(J359,COND!$A$2:$E$7,2,FALSE)+$K$3*VLOOKUP(K359,COND!$A$2:$E$7,3,FALSE)+IF(BB359="SP",$BB$3,0)+IF($AW359&lt;3,-5,0)+IF(AND($B$2&gt;0,$E359&lt;20),$B$2*25,0)</f>
        <v>27.218723125523727</v>
      </c>
      <c r="BA359" s="49">
        <f>STANDARDIZE(AZ359,AVERAGE($AZ$5:$AZ$676),STDEVP($AZ$5:$AZ$676))</f>
        <v>-0.27839862142093802</v>
      </c>
      <c r="BB359" s="47" t="str">
        <f>IF(OR(AND(AQ359&gt;7,AX359&gt;1),AND(AQ359&gt;4,AW359&gt;2)),"SP","RP")</f>
        <v>SP</v>
      </c>
      <c r="BC359" s="47"/>
      <c r="BD359" s="47"/>
      <c r="BE359" s="47"/>
      <c r="BF359" s="47" t="str">
        <f>IF(AVERAGE($O359:$Q359)&gt;=6,"Likely",IF(AVERAGE($O359:$Q359)&gt;=4,"Possible","Unlikely"))</f>
        <v>Unlikely</v>
      </c>
      <c r="BG359" s="47"/>
      <c r="BH359" s="47" t="str">
        <f>INDEX(Table5[[#All],[Ovr]],MATCH(Table3[[#This Row],[PID]],Table5[[#All],[PID]],0))</f>
        <v/>
      </c>
      <c r="BI359" s="47" t="str">
        <f>INDEX(Table5[[#All],[Rnd]],MATCH(Table3[[#This Row],[PID]],Table5[[#All],[PID]],0))</f>
        <v/>
      </c>
      <c r="BJ359" s="47" t="str">
        <f>INDEX(Table5[[#All],[Pick]],MATCH(Table3[[#This Row],[PID]],Table5[[#All],[PID]],0))</f>
        <v/>
      </c>
      <c r="BK359" s="47" t="str">
        <f>INDEX(Table5[[#All],[Team]],MATCH(Table3[[#This Row],[PID]],Table5[[#All],[PID]],0))</f>
        <v/>
      </c>
      <c r="BL3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0" spans="1:64" ht="15" customHeight="1" x14ac:dyDescent="0.25">
      <c r="A360" s="42">
        <v>6263</v>
      </c>
      <c r="B360" s="42" t="s">
        <v>430</v>
      </c>
      <c r="C360" s="42" t="s">
        <v>1602</v>
      </c>
      <c r="D360" s="42" t="s">
        <v>1603</v>
      </c>
      <c r="E360" s="42">
        <v>18</v>
      </c>
      <c r="F360" s="42" t="s">
        <v>62</v>
      </c>
      <c r="G360" s="42" t="s">
        <v>42</v>
      </c>
      <c r="H360" s="43" t="s">
        <v>721</v>
      </c>
      <c r="I360" s="44" t="s">
        <v>47</v>
      </c>
      <c r="J360" s="42" t="s">
        <v>47</v>
      </c>
      <c r="K360" s="43" t="s">
        <v>43</v>
      </c>
      <c r="L360" s="42">
        <v>2</v>
      </c>
      <c r="M360" s="42">
        <v>1</v>
      </c>
      <c r="N360" s="43">
        <v>1</v>
      </c>
      <c r="O360" s="42">
        <v>4</v>
      </c>
      <c r="P360" s="42">
        <v>1</v>
      </c>
      <c r="Q360" s="43">
        <v>2</v>
      </c>
      <c r="R360" s="42">
        <v>3</v>
      </c>
      <c r="S360" s="42">
        <v>5</v>
      </c>
      <c r="T360" s="42">
        <v>1</v>
      </c>
      <c r="U360" s="42">
        <v>1</v>
      </c>
      <c r="V360" s="42" t="s">
        <v>45</v>
      </c>
      <c r="W360" s="42" t="s">
        <v>45</v>
      </c>
      <c r="X360" s="42">
        <v>2</v>
      </c>
      <c r="Y360" s="42">
        <v>6</v>
      </c>
      <c r="Z360" s="42" t="s">
        <v>45</v>
      </c>
      <c r="AA360" s="42" t="s">
        <v>45</v>
      </c>
      <c r="AB360" s="42" t="s">
        <v>45</v>
      </c>
      <c r="AC360" s="42" t="s">
        <v>45</v>
      </c>
      <c r="AD360" s="42" t="s">
        <v>45</v>
      </c>
      <c r="AE360" s="42" t="s">
        <v>45</v>
      </c>
      <c r="AF360" s="42" t="s">
        <v>45</v>
      </c>
      <c r="AG360" s="42" t="s">
        <v>45</v>
      </c>
      <c r="AH360" s="42" t="s">
        <v>45</v>
      </c>
      <c r="AI360" s="42" t="s">
        <v>45</v>
      </c>
      <c r="AJ360" s="42" t="s">
        <v>45</v>
      </c>
      <c r="AK360" s="42" t="s">
        <v>45</v>
      </c>
      <c r="AL360" s="42" t="s">
        <v>45</v>
      </c>
      <c r="AM360" s="42" t="s">
        <v>45</v>
      </c>
      <c r="AN360" s="42" t="s">
        <v>45</v>
      </c>
      <c r="AO360" s="43" t="s">
        <v>45</v>
      </c>
      <c r="AP360" s="42" t="s">
        <v>355</v>
      </c>
      <c r="AQ360" s="42">
        <v>7</v>
      </c>
      <c r="AR360" s="50" t="s">
        <v>14</v>
      </c>
      <c r="AS360" s="45" t="s">
        <v>730</v>
      </c>
      <c r="AT360" s="45" t="s">
        <v>47</v>
      </c>
      <c r="AU360" s="46">
        <f>($O$3*(L360-$O$1)/$O$2+$P$3*(M360-$P$1)/$P$2+$Q$3*(N360-$P$1)/$Q$2)/SUM($O$3:$Q$3)</f>
        <v>-2.5067929134584248</v>
      </c>
      <c r="AV360" s="46">
        <f>($O$3*(O360-$O$1)/$O$2+$P$3*(P360-$P$1)/$P$2+$Q$3*(Q360-$Q$1)/$Q$2)/SUM($O$3:$Q$3)</f>
        <v>-1.4295949476488956</v>
      </c>
      <c r="AW360" s="47">
        <f>COUNT(R360:AO360)/2</f>
        <v>3</v>
      </c>
      <c r="AX360" s="47">
        <f>IF(AND(S360&lt;&gt;"-",S360&gt;5),1,0)+IF(AND(U360&lt;&gt;"-",U360&gt;5),1,0)+IF(AND(W360&lt;&gt;"-",W360&gt;5),1,0)+IF(AND(Y360&lt;&gt;"-",Y360&gt;5),1,0)+IF(AND(AA360&lt;&gt;"-",AA360&gt;5),1,0)+IF(AND(AC360&lt;&gt;"-",AC360&gt;5),1,0)+IF(AND(AE360&lt;&gt;"-",AE360&gt;5),1,0)+IF(AND(AG360&lt;&gt;"-",AG360&gt;5),1,0)+IF(AND(AI360&lt;&gt;"-",AI360&gt;5),1,0)+IF(AND(AK360&lt;&gt;"-",AK360&gt;5),1,0)+IF(AND(AM360&lt;&gt;"-",AM360&gt;5),1,0)+IF(AND(AO360&lt;&gt;"-",AO360&gt;5),1,0)</f>
        <v>1</v>
      </c>
      <c r="AY360" s="48">
        <f>VLOOKUP(AP360,COND!$A$10:$B$32,2,FALSE)</f>
        <v>1</v>
      </c>
      <c r="AZ360" s="46">
        <f>($AU$3*AU360+$AV$3*AV360+$AW$3*AW360+$AX$3*AX360)*AY360*IF(AQ360&lt;5,0.95,IF(AQ360&lt;7,0.975,1))+$I$3*VLOOKUP(I360,COND!$A$2:$E$7,4,FALSE)+$J$3*VLOOKUP(J360,COND!$A$2:$E$7,2,FALSE)+$K$3*VLOOKUP(K360,COND!$A$2:$E$7,3,FALSE)+IF(BB360="SP",$BB$3,0)+IF($AW360&lt;3,-5,0)+IF(AND($B$2&gt;0,$E360&lt;20),$B$2*25,0)</f>
        <v>26.181742464330398</v>
      </c>
      <c r="BA360" s="49">
        <f>STANDARDIZE(AZ360,AVERAGE($AZ$5:$AZ$570),STDEVP($AZ$5:$AZ$570))</f>
        <v>-0.59979257405870801</v>
      </c>
      <c r="BB360" s="47" t="str">
        <f>IF(OR(AND(AQ360&gt;7,AX360&gt;1),AND(AQ360&gt;4,AW360&gt;2)),"SP","RP")</f>
        <v>SP</v>
      </c>
      <c r="BC360" s="47"/>
      <c r="BD360" s="47"/>
      <c r="BE360" s="47"/>
      <c r="BF360" s="47" t="str">
        <f>IF(AVERAGE($O360:$Q360)&gt;=6,"Likely",IF(AVERAGE($O360:$Q360)&gt;=4,"Possible","Unlikely"))</f>
        <v>Unlikely</v>
      </c>
      <c r="BG360" s="47"/>
      <c r="BH360" s="47" t="str">
        <f>INDEX(Table5[[#All],[Ovr]],MATCH(Table3[[#This Row],[PID]],Table5[[#All],[PID]],0))</f>
        <v/>
      </c>
      <c r="BI360" s="47" t="str">
        <f>INDEX(Table5[[#All],[Rnd]],MATCH(Table3[[#This Row],[PID]],Table5[[#All],[PID]],0))</f>
        <v/>
      </c>
      <c r="BJ360" s="47" t="str">
        <f>INDEX(Table5[[#All],[Pick]],MATCH(Table3[[#This Row],[PID]],Table5[[#All],[PID]],0))</f>
        <v/>
      </c>
      <c r="BK360" s="47" t="str">
        <f>INDEX(Table5[[#All],[Team]],MATCH(Table3[[#This Row],[PID]],Table5[[#All],[PID]],0))</f>
        <v/>
      </c>
      <c r="BL3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1" spans="1:64" ht="15" customHeight="1" x14ac:dyDescent="0.25">
      <c r="A361" s="42">
        <v>12124</v>
      </c>
      <c r="B361" s="42" t="s">
        <v>24</v>
      </c>
      <c r="C361" s="42" t="s">
        <v>639</v>
      </c>
      <c r="D361" s="42" t="s">
        <v>624</v>
      </c>
      <c r="E361" s="42">
        <v>21</v>
      </c>
      <c r="F361" s="42" t="s">
        <v>42</v>
      </c>
      <c r="G361" s="42" t="s">
        <v>42</v>
      </c>
      <c r="H361" s="43" t="s">
        <v>721</v>
      </c>
      <c r="I361" s="44" t="s">
        <v>43</v>
      </c>
      <c r="J361" s="42" t="s">
        <v>43</v>
      </c>
      <c r="K361" s="43" t="s">
        <v>43</v>
      </c>
      <c r="L361" s="42">
        <v>1</v>
      </c>
      <c r="M361" s="42">
        <v>1</v>
      </c>
      <c r="N361" s="43">
        <v>2</v>
      </c>
      <c r="O361" s="42">
        <v>4</v>
      </c>
      <c r="P361" s="42">
        <v>1</v>
      </c>
      <c r="Q361" s="43">
        <v>3</v>
      </c>
      <c r="R361" s="42">
        <v>4</v>
      </c>
      <c r="S361" s="42">
        <v>5</v>
      </c>
      <c r="T361" s="42">
        <v>2</v>
      </c>
      <c r="U361" s="42">
        <v>7</v>
      </c>
      <c r="V361" s="42">
        <v>2</v>
      </c>
      <c r="W361" s="42">
        <v>6</v>
      </c>
      <c r="X361" s="42" t="s">
        <v>45</v>
      </c>
      <c r="Y361" s="42" t="s">
        <v>45</v>
      </c>
      <c r="Z361" s="42" t="s">
        <v>45</v>
      </c>
      <c r="AA361" s="42" t="s">
        <v>45</v>
      </c>
      <c r="AB361" s="42" t="s">
        <v>45</v>
      </c>
      <c r="AC361" s="42" t="s">
        <v>45</v>
      </c>
      <c r="AD361" s="42" t="s">
        <v>45</v>
      </c>
      <c r="AE361" s="42" t="s">
        <v>45</v>
      </c>
      <c r="AF361" s="42" t="s">
        <v>45</v>
      </c>
      <c r="AG361" s="42" t="s">
        <v>45</v>
      </c>
      <c r="AH361" s="42" t="s">
        <v>45</v>
      </c>
      <c r="AI361" s="42" t="s">
        <v>45</v>
      </c>
      <c r="AJ361" s="42" t="s">
        <v>45</v>
      </c>
      <c r="AK361" s="42" t="s">
        <v>45</v>
      </c>
      <c r="AL361" s="42" t="s">
        <v>45</v>
      </c>
      <c r="AM361" s="42" t="s">
        <v>45</v>
      </c>
      <c r="AN361" s="42" t="s">
        <v>45</v>
      </c>
      <c r="AO361" s="43" t="s">
        <v>45</v>
      </c>
      <c r="AP361" s="42" t="s">
        <v>57</v>
      </c>
      <c r="AQ361" s="42">
        <v>9</v>
      </c>
      <c r="AR361" s="50" t="s">
        <v>357</v>
      </c>
      <c r="AS361" s="45" t="s">
        <v>45</v>
      </c>
      <c r="AT361" s="45" t="s">
        <v>47</v>
      </c>
      <c r="AU361" s="46">
        <f>($O$3*(L361-$O$1)/$O$2+$P$3*(M361-$P$1)/$P$2+$Q$3*(N361-$P$1)/$Q$2)/SUM($O$3:$Q$3)</f>
        <v>-2.4591636719134877</v>
      </c>
      <c r="AV361" s="46">
        <f>($O$3*(O361-$O$1)/$O$2+$P$3*(P361-$P$1)/$P$2+$Q$3*(Q361-$Q$1)/$Q$2)/SUM($O$3:$Q$3)</f>
        <v>-1.1872743815947853</v>
      </c>
      <c r="AW361" s="47">
        <f>COUNT(R361:AO361)/2</f>
        <v>3</v>
      </c>
      <c r="AX361" s="47">
        <f>IF(AND(S361&lt;&gt;"-",S361&gt;5),1,0)+IF(AND(U361&lt;&gt;"-",U361&gt;5),1,0)+IF(AND(W361&lt;&gt;"-",W361&gt;5),1,0)+IF(AND(Y361&lt;&gt;"-",Y361&gt;5),1,0)+IF(AND(AA361&lt;&gt;"-",AA361&gt;5),1,0)+IF(AND(AC361&lt;&gt;"-",AC361&gt;5),1,0)+IF(AND(AE361&lt;&gt;"-",AE361&gt;5),1,0)+IF(AND(AG361&lt;&gt;"-",AG361&gt;5),1,0)+IF(AND(AI361&lt;&gt;"-",AI361&gt;5),1,0)+IF(AND(AK361&lt;&gt;"-",AK361&gt;5),1,0)+IF(AND(AM361&lt;&gt;"-",AM361&gt;5),1,0)+IF(AND(AO361&lt;&gt;"-",AO361&gt;5),1,0)</f>
        <v>2</v>
      </c>
      <c r="AY361" s="48">
        <f>VLOOKUP(AP361,COND!$A$10:$B$32,2,FALSE)</f>
        <v>1</v>
      </c>
      <c r="AZ361" s="46">
        <f>($AU$3*AU361+$AV$3*AV361+$AW$3*AW361+$AX$3*AX361)*AY361*IF(AQ361&lt;5,0.95,IF(AQ361&lt;7,0.975,1))+$I$3*VLOOKUP(I361,COND!$A$2:$E$7,4,FALSE)+$J$3*VLOOKUP(J361,COND!$A$2:$E$7,2,FALSE)+$K$3*VLOOKUP(K361,COND!$A$2:$E$7,3,FALSE)+IF(BB361="SP",$BB$3,0)+IF($AW361&lt;3,-5,0)+IF(AND($B$2&gt;0,$E361&lt;20),$B$2*25,0)</f>
        <v>26.762679633721596</v>
      </c>
      <c r="BA361" s="49">
        <f>STANDARDIZE(AZ361,AVERAGE($AZ$5:$AZ$570),STDEVP($AZ$5:$AZ$570))</f>
        <v>-0.54651815264788817</v>
      </c>
      <c r="BB361" s="47" t="str">
        <f>IF(OR(AND(AQ361&gt;7,AX361&gt;1),AND(AQ361&gt;4,AW361&gt;2)),"SP","RP")</f>
        <v>SP</v>
      </c>
      <c r="BC361" s="47"/>
      <c r="BD361" s="47"/>
      <c r="BE361" s="47"/>
      <c r="BF361" s="47" t="str">
        <f>IF(AVERAGE($O361:$Q361)&gt;=6,"Likely",IF(AVERAGE($O361:$Q361)&gt;=4,"Possible","Unlikely"))</f>
        <v>Unlikely</v>
      </c>
      <c r="BG361" s="47"/>
      <c r="BH361" s="47" t="str">
        <f>INDEX(Table5[[#All],[Ovr]],MATCH(Table3[[#This Row],[PID]],Table5[[#All],[PID]],0))</f>
        <v/>
      </c>
      <c r="BI361" s="47" t="str">
        <f>INDEX(Table5[[#All],[Rnd]],MATCH(Table3[[#This Row],[PID]],Table5[[#All],[PID]],0))</f>
        <v/>
      </c>
      <c r="BJ361" s="47" t="str">
        <f>INDEX(Table5[[#All],[Pick]],MATCH(Table3[[#This Row],[PID]],Table5[[#All],[PID]],0))</f>
        <v/>
      </c>
      <c r="BK361" s="47" t="str">
        <f>INDEX(Table5[[#All],[Team]],MATCH(Table3[[#This Row],[PID]],Table5[[#All],[PID]],0))</f>
        <v/>
      </c>
      <c r="BL3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2" spans="1:64" ht="15" customHeight="1" x14ac:dyDescent="0.25">
      <c r="A362" s="42">
        <v>9706</v>
      </c>
      <c r="B362" s="42" t="s">
        <v>24</v>
      </c>
      <c r="C362" s="42" t="s">
        <v>1616</v>
      </c>
      <c r="D362" s="42" t="s">
        <v>459</v>
      </c>
      <c r="E362" s="42">
        <v>21</v>
      </c>
      <c r="F362" s="42" t="s">
        <v>42</v>
      </c>
      <c r="G362" s="42" t="s">
        <v>42</v>
      </c>
      <c r="H362" s="43" t="s">
        <v>721</v>
      </c>
      <c r="I362" s="44" t="s">
        <v>43</v>
      </c>
      <c r="J362" s="42" t="s">
        <v>47</v>
      </c>
      <c r="K362" s="43" t="s">
        <v>43</v>
      </c>
      <c r="L362" s="42">
        <v>2</v>
      </c>
      <c r="M362" s="42">
        <v>2</v>
      </c>
      <c r="N362" s="43">
        <v>2</v>
      </c>
      <c r="O362" s="42">
        <v>4</v>
      </c>
      <c r="P362" s="42">
        <v>2</v>
      </c>
      <c r="Q362" s="43">
        <v>2</v>
      </c>
      <c r="R362" s="42">
        <v>4</v>
      </c>
      <c r="S362" s="42">
        <v>6</v>
      </c>
      <c r="T362" s="42">
        <v>1</v>
      </c>
      <c r="U362" s="42">
        <v>5</v>
      </c>
      <c r="V362" s="42" t="s">
        <v>45</v>
      </c>
      <c r="W362" s="42" t="s">
        <v>45</v>
      </c>
      <c r="X362" s="42">
        <v>3</v>
      </c>
      <c r="Y362" s="42">
        <v>3</v>
      </c>
      <c r="Z362" s="42" t="s">
        <v>45</v>
      </c>
      <c r="AA362" s="42" t="s">
        <v>45</v>
      </c>
      <c r="AB362" s="42" t="s">
        <v>45</v>
      </c>
      <c r="AC362" s="42" t="s">
        <v>45</v>
      </c>
      <c r="AD362" s="42" t="s">
        <v>45</v>
      </c>
      <c r="AE362" s="42" t="s">
        <v>45</v>
      </c>
      <c r="AF362" s="42">
        <v>4</v>
      </c>
      <c r="AG362" s="42">
        <v>5</v>
      </c>
      <c r="AH362" s="42" t="s">
        <v>45</v>
      </c>
      <c r="AI362" s="42" t="s">
        <v>45</v>
      </c>
      <c r="AJ362" s="42" t="s">
        <v>45</v>
      </c>
      <c r="AK362" s="42" t="s">
        <v>45</v>
      </c>
      <c r="AL362" s="42" t="s">
        <v>45</v>
      </c>
      <c r="AM362" s="42" t="s">
        <v>45</v>
      </c>
      <c r="AN362" s="42" t="s">
        <v>45</v>
      </c>
      <c r="AO362" s="43" t="s">
        <v>45</v>
      </c>
      <c r="AP362" s="42" t="s">
        <v>58</v>
      </c>
      <c r="AQ362" s="42">
        <v>6</v>
      </c>
      <c r="AR362" s="50" t="s">
        <v>353</v>
      </c>
      <c r="AS362" s="45" t="s">
        <v>45</v>
      </c>
      <c r="AT362" s="45" t="s">
        <v>47</v>
      </c>
      <c r="AU362" s="46">
        <f>($O$3*(L362-$O$1)/$O$2+$P$3*(M362-$P$1)/$P$2+$Q$3*(N362-$P$1)/$Q$2)/SUM($O$3:$Q$3)</f>
        <v>-2.0690406309742588</v>
      </c>
      <c r="AV362" s="46">
        <f>($O$3*(O362-$O$1)/$O$2+$P$3*(P362-$P$1)/$P$2+$Q$3*(Q362-$Q$1)/$Q$2)/SUM($O$3:$Q$3)</f>
        <v>-1.23416323121884</v>
      </c>
      <c r="AW362" s="47">
        <f>COUNT(R362:AO362)/2</f>
        <v>4</v>
      </c>
      <c r="AX362" s="47">
        <f>IF(AND(S362&lt;&gt;"-",S362&gt;5),1,0)+IF(AND(U362&lt;&gt;"-",U362&gt;5),1,0)+IF(AND(W362&lt;&gt;"-",W362&gt;5),1,0)+IF(AND(Y362&lt;&gt;"-",Y362&gt;5),1,0)+IF(AND(AA362&lt;&gt;"-",AA362&gt;5),1,0)+IF(AND(AC362&lt;&gt;"-",AC362&gt;5),1,0)+IF(AND(AE362&lt;&gt;"-",AE362&gt;5),1,0)+IF(AND(AG362&lt;&gt;"-",AG362&gt;5),1,0)+IF(AND(AI362&lt;&gt;"-",AI362&gt;5),1,0)+IF(AND(AK362&lt;&gt;"-",AK362&gt;5),1,0)+IF(AND(AM362&lt;&gt;"-",AM362&gt;5),1,0)+IF(AND(AO362&lt;&gt;"-",AO362&gt;5),1,0)</f>
        <v>1</v>
      </c>
      <c r="AY362" s="48">
        <f>VLOOKUP(AP362,COND!$A$10:$B$32,2,FALSE)</f>
        <v>1</v>
      </c>
      <c r="AZ362" s="46">
        <f>($AU$3*AU362+$AV$3*AV362+$AW$3*AW362+$AX$3*AX362)*AY362*IF(AQ362&lt;5,0.95,IF(AQ362&lt;7,0.975,1))+$I$3*VLOOKUP(I362,COND!$A$2:$E$7,4,FALSE)+$J$3*VLOOKUP(J362,COND!$A$2:$E$7,2,FALSE)+$K$3*VLOOKUP(K362,COND!$A$2:$E$7,3,FALSE)+IF(BB362="SP",$BB$3,0)+IF($AW362&lt;3,-5,0)+IF(AND($B$2&gt;0,$E362&lt;20),$B$2*25,0)</f>
        <v>25.99910406819264</v>
      </c>
      <c r="BA362" s="49">
        <f>STANDARDIZE(AZ362,AVERAGE($AZ$5:$AZ$570),STDEVP($AZ$5:$AZ$570))</f>
        <v>-0.61654129559745174</v>
      </c>
      <c r="BB362" s="47" t="str">
        <f>IF(OR(AND(AQ362&gt;7,AX362&gt;1),AND(AQ362&gt;4,AW362&gt;2)),"SP","RP")</f>
        <v>SP</v>
      </c>
      <c r="BC362" s="47"/>
      <c r="BD362" s="47"/>
      <c r="BE362" s="47"/>
      <c r="BF362" s="47" t="str">
        <f>IF(AVERAGE($O362:$Q362)&gt;=6,"Likely",IF(AVERAGE($O362:$Q362)&gt;=4,"Possible","Unlikely"))</f>
        <v>Unlikely</v>
      </c>
      <c r="BG362" s="47"/>
      <c r="BH362" s="47" t="str">
        <f>INDEX(Table5[[#All],[Ovr]],MATCH(Table3[[#This Row],[PID]],Table5[[#All],[PID]],0))</f>
        <v/>
      </c>
      <c r="BI362" s="47" t="str">
        <f>INDEX(Table5[[#All],[Rnd]],MATCH(Table3[[#This Row],[PID]],Table5[[#All],[PID]],0))</f>
        <v/>
      </c>
      <c r="BJ362" s="47" t="str">
        <f>INDEX(Table5[[#All],[Pick]],MATCH(Table3[[#This Row],[PID]],Table5[[#All],[PID]],0))</f>
        <v/>
      </c>
      <c r="BK362" s="47" t="str">
        <f>INDEX(Table5[[#All],[Team]],MATCH(Table3[[#This Row],[PID]],Table5[[#All],[PID]],0))</f>
        <v/>
      </c>
      <c r="BL3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3" spans="1:64" ht="15" customHeight="1" x14ac:dyDescent="0.25">
      <c r="A363" s="42">
        <v>17941</v>
      </c>
      <c r="B363" s="42" t="s">
        <v>430</v>
      </c>
      <c r="C363" s="42" t="s">
        <v>755</v>
      </c>
      <c r="D363" s="42" t="s">
        <v>1383</v>
      </c>
      <c r="E363" s="42">
        <v>18</v>
      </c>
      <c r="F363" s="42" t="s">
        <v>42</v>
      </c>
      <c r="G363" s="42" t="s">
        <v>42</v>
      </c>
      <c r="H363" s="43" t="s">
        <v>721</v>
      </c>
      <c r="I363" s="44" t="s">
        <v>43</v>
      </c>
      <c r="J363" s="42" t="s">
        <v>47</v>
      </c>
      <c r="K363" s="43" t="s">
        <v>43</v>
      </c>
      <c r="L363" s="42">
        <v>2</v>
      </c>
      <c r="M363" s="42">
        <v>1</v>
      </c>
      <c r="N363" s="43">
        <v>1</v>
      </c>
      <c r="O363" s="42">
        <v>4</v>
      </c>
      <c r="P363" s="42">
        <v>1</v>
      </c>
      <c r="Q363" s="43">
        <v>2</v>
      </c>
      <c r="R363" s="42">
        <v>3</v>
      </c>
      <c r="S363" s="42">
        <v>5</v>
      </c>
      <c r="T363" s="42">
        <v>1</v>
      </c>
      <c r="U363" s="42">
        <v>6</v>
      </c>
      <c r="V363" s="42" t="s">
        <v>45</v>
      </c>
      <c r="W363" s="42" t="s">
        <v>45</v>
      </c>
      <c r="X363" s="42">
        <v>2</v>
      </c>
      <c r="Y363" s="42">
        <v>5</v>
      </c>
      <c r="Z363" s="42" t="s">
        <v>45</v>
      </c>
      <c r="AA363" s="42" t="s">
        <v>45</v>
      </c>
      <c r="AB363" s="42" t="s">
        <v>45</v>
      </c>
      <c r="AC363" s="42" t="s">
        <v>45</v>
      </c>
      <c r="AD363" s="42" t="s">
        <v>45</v>
      </c>
      <c r="AE363" s="42" t="s">
        <v>45</v>
      </c>
      <c r="AF363" s="42" t="s">
        <v>45</v>
      </c>
      <c r="AG363" s="42" t="s">
        <v>45</v>
      </c>
      <c r="AH363" s="42" t="s">
        <v>45</v>
      </c>
      <c r="AI363" s="42" t="s">
        <v>45</v>
      </c>
      <c r="AJ363" s="42" t="s">
        <v>45</v>
      </c>
      <c r="AK363" s="42" t="s">
        <v>45</v>
      </c>
      <c r="AL363" s="42" t="s">
        <v>45</v>
      </c>
      <c r="AM363" s="42" t="s">
        <v>45</v>
      </c>
      <c r="AN363" s="42" t="s">
        <v>45</v>
      </c>
      <c r="AO363" s="43" t="s">
        <v>45</v>
      </c>
      <c r="AP363" s="42" t="s">
        <v>355</v>
      </c>
      <c r="AQ363" s="42">
        <v>8</v>
      </c>
      <c r="AR363" s="50" t="s">
        <v>14</v>
      </c>
      <c r="AS363" s="45" t="s">
        <v>718</v>
      </c>
      <c r="AT363" s="45" t="s">
        <v>705</v>
      </c>
      <c r="AU363" s="46">
        <f>($O$3*(L363-$O$1)/$O$2+$P$3*(M363-$P$1)/$P$2+$Q$3*(N363-$P$1)/$Q$2)/SUM($O$3:$Q$3)</f>
        <v>-2.5067929134584248</v>
      </c>
      <c r="AV363" s="46">
        <f>($O$3*(O363-$O$1)/$O$2+$P$3*(P363-$P$1)/$P$2+$Q$3*(Q363-$Q$1)/$Q$2)/SUM($O$3:$Q$3)</f>
        <v>-1.4295949476488956</v>
      </c>
      <c r="AW363" s="47">
        <f>COUNT(R363:AO363)/2</f>
        <v>3</v>
      </c>
      <c r="AX363" s="47">
        <f>IF(AND(S363&lt;&gt;"-",S363&gt;5),1,0)+IF(AND(U363&lt;&gt;"-",U363&gt;5),1,0)+IF(AND(W363&lt;&gt;"-",W363&gt;5),1,0)+IF(AND(Y363&lt;&gt;"-",Y363&gt;5),1,0)+IF(AND(AA363&lt;&gt;"-",AA363&gt;5),1,0)+IF(AND(AC363&lt;&gt;"-",AC363&gt;5),1,0)+IF(AND(AE363&lt;&gt;"-",AE363&gt;5),1,0)+IF(AND(AG363&lt;&gt;"-",AG363&gt;5),1,0)+IF(AND(AI363&lt;&gt;"-",AI363&gt;5),1,0)+IF(AND(AK363&lt;&gt;"-",AK363&gt;5),1,0)+IF(AND(AM363&lt;&gt;"-",AM363&gt;5),1,0)+IF(AND(AO363&lt;&gt;"-",AO363&gt;5),1,0)</f>
        <v>1</v>
      </c>
      <c r="AY363" s="48">
        <f>VLOOKUP(AP363,COND!$A$10:$B$32,2,FALSE)</f>
        <v>1</v>
      </c>
      <c r="AZ363" s="46">
        <f>($AU$3*AU363+$AV$3*AV363+$AW$3*AW363+$AX$3*AX363)*AY363*IF(AQ363&lt;5,0.95,IF(AQ363&lt;7,0.975,1))+$I$3*VLOOKUP(I363,COND!$A$2:$E$7,4,FALSE)+$J$3*VLOOKUP(J363,COND!$A$2:$E$7,2,FALSE)+$K$3*VLOOKUP(K363,COND!$A$2:$E$7,3,FALSE)+IF(BB363="SP",$BB$3,0)+IF($AW363&lt;3,-5,0)+IF(AND($B$2&gt;0,$E363&lt;20),$B$2*25,0)</f>
        <v>25.9567424643304</v>
      </c>
      <c r="BA363" s="49">
        <f>STANDARDIZE(AZ363,AVERAGE($AZ$5:$AZ$570),STDEVP($AZ$5:$AZ$570))</f>
        <v>-0.6204260357289193</v>
      </c>
      <c r="BB363" s="47" t="str">
        <f>IF(OR(AND(AQ363&gt;7,AX363&gt;1),AND(AQ363&gt;4,AW363&gt;2)),"SP","RP")</f>
        <v>SP</v>
      </c>
      <c r="BC363" s="47"/>
      <c r="BD363" s="47"/>
      <c r="BE363" s="47"/>
      <c r="BF363" s="47" t="str">
        <f>IF(AVERAGE($O363:$Q363)&gt;=6,"Likely",IF(AVERAGE($O363:$Q363)&gt;=4,"Possible","Unlikely"))</f>
        <v>Unlikely</v>
      </c>
      <c r="BG363" s="47"/>
      <c r="BH363" s="47" t="str">
        <f>INDEX(Table5[[#All],[Ovr]],MATCH(Table3[[#This Row],[PID]],Table5[[#All],[PID]],0))</f>
        <v/>
      </c>
      <c r="BI363" s="47" t="str">
        <f>INDEX(Table5[[#All],[Rnd]],MATCH(Table3[[#This Row],[PID]],Table5[[#All],[PID]],0))</f>
        <v/>
      </c>
      <c r="BJ363" s="47" t="str">
        <f>INDEX(Table5[[#All],[Pick]],MATCH(Table3[[#This Row],[PID]],Table5[[#All],[PID]],0))</f>
        <v/>
      </c>
      <c r="BK363" s="47" t="str">
        <f>INDEX(Table5[[#All],[Team]],MATCH(Table3[[#This Row],[PID]],Table5[[#All],[PID]],0))</f>
        <v/>
      </c>
      <c r="BL3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4" spans="1:64" ht="15" customHeight="1" x14ac:dyDescent="0.25">
      <c r="A364" s="42">
        <v>4669</v>
      </c>
      <c r="B364" s="42" t="s">
        <v>24</v>
      </c>
      <c r="C364" s="42" t="s">
        <v>198</v>
      </c>
      <c r="D364" s="42" t="s">
        <v>812</v>
      </c>
      <c r="E364" s="42">
        <v>22</v>
      </c>
      <c r="F364" s="42" t="s">
        <v>42</v>
      </c>
      <c r="G364" s="42" t="s">
        <v>42</v>
      </c>
      <c r="H364" s="43" t="s">
        <v>721</v>
      </c>
      <c r="I364" s="44" t="s">
        <v>44</v>
      </c>
      <c r="J364" s="42" t="s">
        <v>43</v>
      </c>
      <c r="K364" s="43" t="s">
        <v>43</v>
      </c>
      <c r="L364" s="42">
        <v>2</v>
      </c>
      <c r="M364" s="42">
        <v>1</v>
      </c>
      <c r="N364" s="43">
        <v>2</v>
      </c>
      <c r="O364" s="42">
        <v>4</v>
      </c>
      <c r="P364" s="42">
        <v>1</v>
      </c>
      <c r="Q364" s="43">
        <v>3</v>
      </c>
      <c r="R364" s="42">
        <v>5</v>
      </c>
      <c r="S364" s="42">
        <v>6</v>
      </c>
      <c r="T364" s="42">
        <v>1</v>
      </c>
      <c r="U364" s="42">
        <v>4</v>
      </c>
      <c r="V364" s="42">
        <v>3</v>
      </c>
      <c r="W364" s="42">
        <v>6</v>
      </c>
      <c r="X364" s="42" t="s">
        <v>45</v>
      </c>
      <c r="Y364" s="42" t="s">
        <v>45</v>
      </c>
      <c r="Z364" s="42" t="s">
        <v>45</v>
      </c>
      <c r="AA364" s="42" t="s">
        <v>45</v>
      </c>
      <c r="AB364" s="42" t="s">
        <v>45</v>
      </c>
      <c r="AC364" s="42" t="s">
        <v>45</v>
      </c>
      <c r="AD364" s="42" t="s">
        <v>45</v>
      </c>
      <c r="AE364" s="42" t="s">
        <v>45</v>
      </c>
      <c r="AF364" s="42" t="s">
        <v>45</v>
      </c>
      <c r="AG364" s="42" t="s">
        <v>45</v>
      </c>
      <c r="AH364" s="42" t="s">
        <v>45</v>
      </c>
      <c r="AI364" s="42" t="s">
        <v>45</v>
      </c>
      <c r="AJ364" s="42" t="s">
        <v>45</v>
      </c>
      <c r="AK364" s="42" t="s">
        <v>45</v>
      </c>
      <c r="AL364" s="42" t="s">
        <v>45</v>
      </c>
      <c r="AM364" s="42" t="s">
        <v>45</v>
      </c>
      <c r="AN364" s="42" t="s">
        <v>45</v>
      </c>
      <c r="AO364" s="43" t="s">
        <v>45</v>
      </c>
      <c r="AP364" s="42" t="s">
        <v>56</v>
      </c>
      <c r="AQ364" s="42">
        <v>9</v>
      </c>
      <c r="AR364" s="50" t="s">
        <v>357</v>
      </c>
      <c r="AS364" s="45" t="s">
        <v>45</v>
      </c>
      <c r="AT364" s="45" t="s">
        <v>47</v>
      </c>
      <c r="AU364" s="46">
        <f>($O$3*(L364-$O$1)/$O$2+$P$3*(M364-$P$1)/$P$2+$Q$3*(N364-$P$1)/$Q$2)/SUM($O$3:$Q$3)</f>
        <v>-2.2644723474043147</v>
      </c>
      <c r="AV364" s="46">
        <f>($O$3*(O364-$O$1)/$O$2+$P$3*(P364-$P$1)/$P$2+$Q$3*(Q364-$Q$1)/$Q$2)/SUM($O$3:$Q$3)</f>
        <v>-1.1872743815947853</v>
      </c>
      <c r="AW364" s="47">
        <f>COUNT(R364:AO364)/2</f>
        <v>3</v>
      </c>
      <c r="AX364" s="47">
        <f>IF(AND(S364&lt;&gt;"-",S364&gt;5),1,0)+IF(AND(U364&lt;&gt;"-",U364&gt;5),1,0)+IF(AND(W364&lt;&gt;"-",W364&gt;5),1,0)+IF(AND(Y364&lt;&gt;"-",Y364&gt;5),1,0)+IF(AND(AA364&lt;&gt;"-",AA364&gt;5),1,0)+IF(AND(AC364&lt;&gt;"-",AC364&gt;5),1,0)+IF(AND(AE364&lt;&gt;"-",AE364&gt;5),1,0)+IF(AND(AG364&lt;&gt;"-",AG364&gt;5),1,0)+IF(AND(AI364&lt;&gt;"-",AI364&gt;5),1,0)+IF(AND(AK364&lt;&gt;"-",AK364&gt;5),1,0)+IF(AND(AM364&lt;&gt;"-",AM364&gt;5),1,0)+IF(AND(AO364&lt;&gt;"-",AO364&gt;5),1,0)</f>
        <v>2</v>
      </c>
      <c r="AY364" s="48">
        <f>VLOOKUP(AP364,COND!$A$10:$B$32,2,FALSE)</f>
        <v>1</v>
      </c>
      <c r="AZ364" s="46">
        <f>($AU$3*AU364+$AV$3*AV364+$AW$3*AW364+$AX$3*AX364)*AY364*IF(AQ364&lt;5,0.95,IF(AQ364&lt;7,0.975,1))+$I$3*VLOOKUP(I364,COND!$A$2:$E$7,4,FALSE)+$J$3*VLOOKUP(J364,COND!$A$2:$E$7,2,FALSE)+$K$3*VLOOKUP(K364,COND!$A$2:$E$7,3,FALSE)+IF(BB364="SP",$BB$3,0)+IF($AW364&lt;3,-5,0)+IF(AND($B$2&gt;0,$E364&lt;20),$B$2*25,0)</f>
        <v>26.651617898623428</v>
      </c>
      <c r="BA364" s="49">
        <f>STANDARDIZE(AZ364,AVERAGE($AZ$5:$AZ$570),STDEVP($AZ$5:$AZ$570))</f>
        <v>-0.55670298844422261</v>
      </c>
      <c r="BB364" s="47" t="str">
        <f>IF(OR(AND(AQ364&gt;7,AX364&gt;1),AND(AQ364&gt;4,AW364&gt;2)),"SP","RP")</f>
        <v>SP</v>
      </c>
      <c r="BC364" s="47"/>
      <c r="BD364" s="47"/>
      <c r="BE364" s="47"/>
      <c r="BF364" s="47" t="str">
        <f>IF(AVERAGE($O364:$Q364)&gt;=6,"Likely",IF(AVERAGE($O364:$Q364)&gt;=4,"Possible","Unlikely"))</f>
        <v>Unlikely</v>
      </c>
      <c r="BG364" s="47"/>
      <c r="BH364" s="47" t="str">
        <f>INDEX(Table5[[#All],[Ovr]],MATCH(Table3[[#This Row],[PID]],Table5[[#All],[PID]],0))</f>
        <v/>
      </c>
      <c r="BI364" s="47" t="str">
        <f>INDEX(Table5[[#All],[Rnd]],MATCH(Table3[[#This Row],[PID]],Table5[[#All],[PID]],0))</f>
        <v/>
      </c>
      <c r="BJ364" s="47" t="str">
        <f>INDEX(Table5[[#All],[Pick]],MATCH(Table3[[#This Row],[PID]],Table5[[#All],[PID]],0))</f>
        <v/>
      </c>
      <c r="BK364" s="47" t="str">
        <f>INDEX(Table5[[#All],[Team]],MATCH(Table3[[#This Row],[PID]],Table5[[#All],[PID]],0))</f>
        <v/>
      </c>
      <c r="BL3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5" spans="1:64" ht="15" customHeight="1" x14ac:dyDescent="0.25">
      <c r="A365" s="42">
        <v>6695</v>
      </c>
      <c r="B365" s="42" t="s">
        <v>430</v>
      </c>
      <c r="C365" s="42" t="s">
        <v>1748</v>
      </c>
      <c r="D365" s="42" t="s">
        <v>921</v>
      </c>
      <c r="E365" s="42">
        <v>18</v>
      </c>
      <c r="F365" s="42" t="s">
        <v>42</v>
      </c>
      <c r="G365" s="42" t="s">
        <v>42</v>
      </c>
      <c r="H365" s="43" t="s">
        <v>721</v>
      </c>
      <c r="I365" s="44" t="s">
        <v>43</v>
      </c>
      <c r="J365" s="42" t="s">
        <v>44</v>
      </c>
      <c r="K365" s="43" t="s">
        <v>43</v>
      </c>
      <c r="L365" s="42">
        <v>1</v>
      </c>
      <c r="M365" s="42">
        <v>2</v>
      </c>
      <c r="N365" s="43">
        <v>1</v>
      </c>
      <c r="O365" s="42">
        <v>3</v>
      </c>
      <c r="P365" s="42">
        <v>2</v>
      </c>
      <c r="Q365" s="43">
        <v>2</v>
      </c>
      <c r="R365" s="42">
        <v>2</v>
      </c>
      <c r="S365" s="42">
        <v>3</v>
      </c>
      <c r="T365" s="42">
        <v>1</v>
      </c>
      <c r="U365" s="42">
        <v>1</v>
      </c>
      <c r="V365" s="42" t="s">
        <v>45</v>
      </c>
      <c r="W365" s="42" t="s">
        <v>45</v>
      </c>
      <c r="X365" s="42">
        <v>1</v>
      </c>
      <c r="Y365" s="42">
        <v>4</v>
      </c>
      <c r="Z365" s="42" t="s">
        <v>45</v>
      </c>
      <c r="AA365" s="42" t="s">
        <v>45</v>
      </c>
      <c r="AB365" s="42">
        <v>2</v>
      </c>
      <c r="AC365" s="42">
        <v>3</v>
      </c>
      <c r="AD365" s="42" t="s">
        <v>45</v>
      </c>
      <c r="AE365" s="42" t="s">
        <v>45</v>
      </c>
      <c r="AF365" s="42" t="s">
        <v>45</v>
      </c>
      <c r="AG365" s="42" t="s">
        <v>45</v>
      </c>
      <c r="AH365" s="42" t="s">
        <v>45</v>
      </c>
      <c r="AI365" s="42" t="s">
        <v>45</v>
      </c>
      <c r="AJ365" s="42" t="s">
        <v>45</v>
      </c>
      <c r="AK365" s="42" t="s">
        <v>45</v>
      </c>
      <c r="AL365" s="42" t="s">
        <v>45</v>
      </c>
      <c r="AM365" s="42" t="s">
        <v>45</v>
      </c>
      <c r="AN365" s="42" t="s">
        <v>45</v>
      </c>
      <c r="AO365" s="43" t="s">
        <v>45</v>
      </c>
      <c r="AP365" s="42" t="s">
        <v>67</v>
      </c>
      <c r="AQ365" s="42">
        <v>10</v>
      </c>
      <c r="AR365" s="50" t="s">
        <v>353</v>
      </c>
      <c r="AS365" s="45" t="s">
        <v>739</v>
      </c>
      <c r="AT365" s="45" t="s">
        <v>47</v>
      </c>
      <c r="AU365" s="46">
        <f>($O$3*(L365-$O$1)/$O$2+$P$3*(M365-$P$1)/$P$2+$Q$3*(N365-$P$1)/$Q$2)/SUM($O$3:$Q$3)</f>
        <v>-2.5060525215375429</v>
      </c>
      <c r="AV365" s="46">
        <f>($O$3*(O365-$O$1)/$O$2+$P$3*(P365-$P$1)/$P$2+$Q$3*(Q365-$Q$1)/$Q$2)/SUM($O$3:$Q$3)</f>
        <v>-1.4288545557280135</v>
      </c>
      <c r="AW365" s="47">
        <f>COUNT(R365:AO365)/2</f>
        <v>4</v>
      </c>
      <c r="AX365" s="47">
        <f>IF(AND(S365&lt;&gt;"-",S365&gt;5),1,0)+IF(AND(U365&lt;&gt;"-",U365&gt;5),1,0)+IF(AND(W365&lt;&gt;"-",W365&gt;5),1,0)+IF(AND(Y365&lt;&gt;"-",Y365&gt;5),1,0)+IF(AND(AA365&lt;&gt;"-",AA365&gt;5),1,0)+IF(AND(AC365&lt;&gt;"-",AC365&gt;5),1,0)+IF(AND(AE365&lt;&gt;"-",AE365&gt;5),1,0)+IF(AND(AG365&lt;&gt;"-",AG365&gt;5),1,0)+IF(AND(AI365&lt;&gt;"-",AI365&gt;5),1,0)+IF(AND(AK365&lt;&gt;"-",AK365&gt;5),1,0)+IF(AND(AM365&lt;&gt;"-",AM365&gt;5),1,0)+IF(AND(AO365&lt;&gt;"-",AO365&gt;5),1,0)</f>
        <v>0</v>
      </c>
      <c r="AY365" s="48">
        <f>VLOOKUP(AP365,COND!$A$10:$B$32,2,FALSE)</f>
        <v>0.9</v>
      </c>
      <c r="AZ365" s="46">
        <f>($AU$3*AU365+$AV$3*AV365+$AW$3*AW365+$AX$3*AX365)*AY365*IF(AQ365&lt;5,0.95,IF(AQ365&lt;7,0.975,1))+$I$3*VLOOKUP(I365,COND!$A$2:$E$7,4,FALSE)+$J$3*VLOOKUP(J365,COND!$A$2:$E$7,2,FALSE)+$K$3*VLOOKUP(K365,COND!$A$2:$E$7,3,FALSE)+IF(BB365="SP",$BB$3,0)+IF($AW365&lt;3,-5,0)+IF(AND($B$2&gt;0,$E365&lt;20),$B$2*25,0)</f>
        <v>27.329528543018998</v>
      </c>
      <c r="BA365" s="49">
        <f>STANDARDIZE(AZ365,AVERAGE($AZ$5:$AZ$570),STDEVP($AZ$5:$AZ$570))</f>
        <v>-0.49453568490215871</v>
      </c>
      <c r="BB365" s="47" t="str">
        <f>IF(OR(AND(AQ365&gt;7,AX365&gt;1),AND(AQ365&gt;4,AW365&gt;2)),"SP","RP")</f>
        <v>SP</v>
      </c>
      <c r="BC365" s="47"/>
      <c r="BD365" s="47"/>
      <c r="BE365" s="47"/>
      <c r="BF365" s="47" t="str">
        <f>IF(AVERAGE($O365:$Q365)&gt;=6,"Likely",IF(AVERAGE($O365:$Q365)&gt;=4,"Possible","Unlikely"))</f>
        <v>Unlikely</v>
      </c>
      <c r="BG365" s="47"/>
      <c r="BH365" s="47" t="str">
        <f>INDEX(Table5[[#All],[Ovr]],MATCH(Table3[[#This Row],[PID]],Table5[[#All],[PID]],0))</f>
        <v/>
      </c>
      <c r="BI365" s="47" t="str">
        <f>INDEX(Table5[[#All],[Rnd]],MATCH(Table3[[#This Row],[PID]],Table5[[#All],[PID]],0))</f>
        <v/>
      </c>
      <c r="BJ365" s="47" t="str">
        <f>INDEX(Table5[[#All],[Pick]],MATCH(Table3[[#This Row],[PID]],Table5[[#All],[PID]],0))</f>
        <v/>
      </c>
      <c r="BK365" s="47" t="str">
        <f>INDEX(Table5[[#All],[Team]],MATCH(Table3[[#This Row],[PID]],Table5[[#All],[PID]],0))</f>
        <v/>
      </c>
      <c r="BL3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6" spans="1:64" ht="15" customHeight="1" x14ac:dyDescent="0.25">
      <c r="A366" s="42">
        <v>8500</v>
      </c>
      <c r="B366" s="42" t="s">
        <v>430</v>
      </c>
      <c r="C366" s="42" t="s">
        <v>463</v>
      </c>
      <c r="D366" s="42" t="s">
        <v>1612</v>
      </c>
      <c r="E366" s="42">
        <v>18</v>
      </c>
      <c r="F366" s="42" t="s">
        <v>42</v>
      </c>
      <c r="G366" s="42" t="s">
        <v>42</v>
      </c>
      <c r="H366" s="43" t="s">
        <v>721</v>
      </c>
      <c r="I366" s="44" t="s">
        <v>43</v>
      </c>
      <c r="J366" s="42" t="s">
        <v>47</v>
      </c>
      <c r="K366" s="43" t="s">
        <v>43</v>
      </c>
      <c r="L366" s="42">
        <v>1</v>
      </c>
      <c r="M366" s="42">
        <v>1</v>
      </c>
      <c r="N366" s="43">
        <v>1</v>
      </c>
      <c r="O366" s="42">
        <v>4</v>
      </c>
      <c r="P366" s="42">
        <v>1</v>
      </c>
      <c r="Q366" s="43">
        <v>2</v>
      </c>
      <c r="R366" s="42">
        <v>3</v>
      </c>
      <c r="S366" s="42">
        <v>6</v>
      </c>
      <c r="T366" s="42">
        <v>1</v>
      </c>
      <c r="U366" s="42">
        <v>3</v>
      </c>
      <c r="V366" s="42">
        <v>2</v>
      </c>
      <c r="W366" s="42">
        <v>5</v>
      </c>
      <c r="X366" s="42" t="s">
        <v>45</v>
      </c>
      <c r="Y366" s="42" t="s">
        <v>45</v>
      </c>
      <c r="Z366" s="42" t="s">
        <v>45</v>
      </c>
      <c r="AA366" s="42" t="s">
        <v>45</v>
      </c>
      <c r="AB366" s="42" t="s">
        <v>45</v>
      </c>
      <c r="AC366" s="42" t="s">
        <v>45</v>
      </c>
      <c r="AD366" s="42" t="s">
        <v>45</v>
      </c>
      <c r="AE366" s="42" t="s">
        <v>45</v>
      </c>
      <c r="AF366" s="42" t="s">
        <v>45</v>
      </c>
      <c r="AG366" s="42" t="s">
        <v>45</v>
      </c>
      <c r="AH366" s="42" t="s">
        <v>45</v>
      </c>
      <c r="AI366" s="42" t="s">
        <v>45</v>
      </c>
      <c r="AJ366" s="42" t="s">
        <v>45</v>
      </c>
      <c r="AK366" s="42" t="s">
        <v>45</v>
      </c>
      <c r="AL366" s="42" t="s">
        <v>45</v>
      </c>
      <c r="AM366" s="42" t="s">
        <v>45</v>
      </c>
      <c r="AN366" s="42" t="s">
        <v>45</v>
      </c>
      <c r="AO366" s="43" t="s">
        <v>45</v>
      </c>
      <c r="AP366" s="42" t="s">
        <v>356</v>
      </c>
      <c r="AQ366" s="42">
        <v>7</v>
      </c>
      <c r="AR366" s="50" t="s">
        <v>14</v>
      </c>
      <c r="AS366" s="45" t="s">
        <v>718</v>
      </c>
      <c r="AT366" s="45" t="s">
        <v>47</v>
      </c>
      <c r="AU366" s="46">
        <f>($O$3*(L366-$O$1)/$O$2+$P$3*(M366-$P$1)/$P$2+$Q$3*(N366-$P$1)/$Q$2)/SUM($O$3:$Q$3)</f>
        <v>-2.7014842379675978</v>
      </c>
      <c r="AV366" s="46">
        <f>($O$3*(O366-$O$1)/$O$2+$P$3*(P366-$P$1)/$P$2+$Q$3*(Q366-$Q$1)/$Q$2)/SUM($O$3:$Q$3)</f>
        <v>-1.4295949476488956</v>
      </c>
      <c r="AW366" s="47">
        <f>COUNT(R366:AO366)/2</f>
        <v>3</v>
      </c>
      <c r="AX366" s="47">
        <f>IF(AND(S366&lt;&gt;"-",S366&gt;5),1,0)+IF(AND(U366&lt;&gt;"-",U366&gt;5),1,0)+IF(AND(W366&lt;&gt;"-",W366&gt;5),1,0)+IF(AND(Y366&lt;&gt;"-",Y366&gt;5),1,0)+IF(AND(AA366&lt;&gt;"-",AA366&gt;5),1,0)+IF(AND(AC366&lt;&gt;"-",AC366&gt;5),1,0)+IF(AND(AE366&lt;&gt;"-",AE366&gt;5),1,0)+IF(AND(AG366&lt;&gt;"-",AG366&gt;5),1,0)+IF(AND(AI366&lt;&gt;"-",AI366&gt;5),1,0)+IF(AND(AK366&lt;&gt;"-",AK366&gt;5),1,0)+IF(AND(AM366&lt;&gt;"-",AM366&gt;5),1,0)+IF(AND(AO366&lt;&gt;"-",AO366&gt;5),1,0)</f>
        <v>1</v>
      </c>
      <c r="AY366" s="48">
        <f>VLOOKUP(AP366,COND!$A$10:$B$32,2,FALSE)</f>
        <v>1</v>
      </c>
      <c r="AZ366" s="46">
        <f>($AU$3*AU366+$AV$3*AV366+$AW$3*AW366+$AX$3*AX366)*AY366*IF(AQ366&lt;5,0.95,IF(AQ366&lt;7,0.975,1))+$I$3*VLOOKUP(I366,COND!$A$2:$E$7,4,FALSE)+$J$3*VLOOKUP(J366,COND!$A$2:$E$7,2,FALSE)+$K$3*VLOOKUP(K366,COND!$A$2:$E$7,3,FALSE)+IF(BB366="SP",$BB$3,0)+IF($AW366&lt;3,-5,0)+IF(AND($B$2&gt;0,$E366&lt;20),$B$2*25,0)</f>
        <v>25.917804199428566</v>
      </c>
      <c r="BA366" s="49">
        <f>STANDARDIZE(AZ366,AVERAGE($AZ$5:$AZ$570),STDEVP($AZ$5:$AZ$570))</f>
        <v>-0.62399684104605946</v>
      </c>
      <c r="BB366" s="47" t="str">
        <f>IF(OR(AND(AQ366&gt;7,AX366&gt;1),AND(AQ366&gt;4,AW366&gt;2)),"SP","RP")</f>
        <v>SP</v>
      </c>
      <c r="BC366" s="47"/>
      <c r="BD366" s="47"/>
      <c r="BE366" s="47"/>
      <c r="BF366" s="47" t="str">
        <f>IF(AVERAGE($O366:$Q366)&gt;=6,"Likely",IF(AVERAGE($O366:$Q366)&gt;=4,"Possible","Unlikely"))</f>
        <v>Unlikely</v>
      </c>
      <c r="BG366" s="47"/>
      <c r="BH366" s="47" t="str">
        <f>INDEX(Table5[[#All],[Ovr]],MATCH(Table3[[#This Row],[PID]],Table5[[#All],[PID]],0))</f>
        <v/>
      </c>
      <c r="BI366" s="47" t="str">
        <f>INDEX(Table5[[#All],[Rnd]],MATCH(Table3[[#This Row],[PID]],Table5[[#All],[PID]],0))</f>
        <v/>
      </c>
      <c r="BJ366" s="47" t="str">
        <f>INDEX(Table5[[#All],[Pick]],MATCH(Table3[[#This Row],[PID]],Table5[[#All],[PID]],0))</f>
        <v/>
      </c>
      <c r="BK366" s="47" t="str">
        <f>INDEX(Table5[[#All],[Team]],MATCH(Table3[[#This Row],[PID]],Table5[[#All],[PID]],0))</f>
        <v/>
      </c>
      <c r="BL3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7" spans="1:64" ht="15" customHeight="1" x14ac:dyDescent="0.25">
      <c r="A367" s="42">
        <v>8496</v>
      </c>
      <c r="B367" s="42" t="s">
        <v>430</v>
      </c>
      <c r="C367" s="42" t="s">
        <v>626</v>
      </c>
      <c r="D367" s="42" t="s">
        <v>977</v>
      </c>
      <c r="E367" s="42">
        <v>18</v>
      </c>
      <c r="F367" s="42" t="s">
        <v>42</v>
      </c>
      <c r="G367" s="42" t="s">
        <v>42</v>
      </c>
      <c r="H367" s="43" t="s">
        <v>721</v>
      </c>
      <c r="I367" s="44" t="s">
        <v>43</v>
      </c>
      <c r="J367" s="42" t="s">
        <v>44</v>
      </c>
      <c r="K367" s="43" t="s">
        <v>43</v>
      </c>
      <c r="L367" s="42">
        <v>1</v>
      </c>
      <c r="M367" s="42">
        <v>1</v>
      </c>
      <c r="N367" s="43">
        <v>1</v>
      </c>
      <c r="O367" s="42">
        <v>4</v>
      </c>
      <c r="P367" s="42">
        <v>1</v>
      </c>
      <c r="Q367" s="43">
        <v>2</v>
      </c>
      <c r="R367" s="42">
        <v>2</v>
      </c>
      <c r="S367" s="42">
        <v>5</v>
      </c>
      <c r="T367" s="42">
        <v>1</v>
      </c>
      <c r="U367" s="42">
        <v>1</v>
      </c>
      <c r="V367" s="42" t="s">
        <v>45</v>
      </c>
      <c r="W367" s="42" t="s">
        <v>45</v>
      </c>
      <c r="X367" s="42">
        <v>1</v>
      </c>
      <c r="Y367" s="42">
        <v>6</v>
      </c>
      <c r="Z367" s="42" t="s">
        <v>45</v>
      </c>
      <c r="AA367" s="42" t="s">
        <v>45</v>
      </c>
      <c r="AB367" s="42" t="s">
        <v>45</v>
      </c>
      <c r="AC367" s="42" t="s">
        <v>45</v>
      </c>
      <c r="AD367" s="42" t="s">
        <v>45</v>
      </c>
      <c r="AE367" s="42" t="s">
        <v>45</v>
      </c>
      <c r="AF367" s="42" t="s">
        <v>45</v>
      </c>
      <c r="AG367" s="42" t="s">
        <v>45</v>
      </c>
      <c r="AH367" s="42" t="s">
        <v>45</v>
      </c>
      <c r="AI367" s="42" t="s">
        <v>45</v>
      </c>
      <c r="AJ367" s="42" t="s">
        <v>45</v>
      </c>
      <c r="AK367" s="42" t="s">
        <v>45</v>
      </c>
      <c r="AL367" s="42" t="s">
        <v>45</v>
      </c>
      <c r="AM367" s="42" t="s">
        <v>45</v>
      </c>
      <c r="AN367" s="42" t="s">
        <v>45</v>
      </c>
      <c r="AO367" s="43" t="s">
        <v>45</v>
      </c>
      <c r="AP367" s="42" t="s">
        <v>68</v>
      </c>
      <c r="AQ367" s="42">
        <v>6</v>
      </c>
      <c r="AR367" s="50" t="s">
        <v>14</v>
      </c>
      <c r="AS367" s="45" t="s">
        <v>718</v>
      </c>
      <c r="AT367" s="45" t="s">
        <v>705</v>
      </c>
      <c r="AU367" s="46">
        <f>($O$3*(L367-$O$1)/$O$2+$P$3*(M367-$P$1)/$P$2+$Q$3*(N367-$P$1)/$Q$2)/SUM($O$3:$Q$3)</f>
        <v>-2.7014842379675978</v>
      </c>
      <c r="AV367" s="46">
        <f>($O$3*(O367-$O$1)/$O$2+$P$3*(P367-$P$1)/$P$2+$Q$3*(Q367-$Q$1)/$Q$2)/SUM($O$3:$Q$3)</f>
        <v>-1.4295949476488956</v>
      </c>
      <c r="AW367" s="47">
        <f>COUNT(R367:AO367)/2</f>
        <v>3</v>
      </c>
      <c r="AX367" s="47">
        <f>IF(AND(S367&lt;&gt;"-",S367&gt;5),1,0)+IF(AND(U367&lt;&gt;"-",U367&gt;5),1,0)+IF(AND(W367&lt;&gt;"-",W367&gt;5),1,0)+IF(AND(Y367&lt;&gt;"-",Y367&gt;5),1,0)+IF(AND(AA367&lt;&gt;"-",AA367&gt;5),1,0)+IF(AND(AC367&lt;&gt;"-",AC367&gt;5),1,0)+IF(AND(AE367&lt;&gt;"-",AE367&gt;5),1,0)+IF(AND(AG367&lt;&gt;"-",AG367&gt;5),1,0)+IF(AND(AI367&lt;&gt;"-",AI367&gt;5),1,0)+IF(AND(AK367&lt;&gt;"-",AK367&gt;5),1,0)+IF(AND(AM367&lt;&gt;"-",AM367&gt;5),1,0)+IF(AND(AO367&lt;&gt;"-",AO367&gt;5),1,0)</f>
        <v>1</v>
      </c>
      <c r="AY367" s="48">
        <f>VLOOKUP(AP367,COND!$A$10:$B$32,2,FALSE)</f>
        <v>0.95</v>
      </c>
      <c r="AZ367" s="46">
        <f>($AU$3*AU367+$AV$3*AV367+$AW$3*AW367+$AX$3*AX367)*AY367*IF(AQ367&lt;5,0.95,IF(AQ367&lt;7,0.975,1))+$I$3*VLOOKUP(I367,COND!$A$2:$E$7,4,FALSE)+$J$3*VLOOKUP(J367,COND!$A$2:$E$7,2,FALSE)+$K$3*VLOOKUP(K367,COND!$A$2:$E$7,3,FALSE)+IF(BB367="SP",$BB$3,0)+IF($AW367&lt;3,-5,0)+IF(AND($B$2&gt;0,$E367&lt;20),$B$2*25,0)</f>
        <v>27.26349113972071</v>
      </c>
      <c r="BA367" s="49">
        <f>STANDARDIZE(AZ367,AVERAGE($AZ$5:$AZ$570),STDEVP($AZ$5:$AZ$570))</f>
        <v>-0.50059159703440548</v>
      </c>
      <c r="BB367" s="47" t="str">
        <f>IF(OR(AND(AQ367&gt;7,AX367&gt;1),AND(AQ367&gt;4,AW367&gt;2)),"SP","RP")</f>
        <v>SP</v>
      </c>
      <c r="BC367" s="47"/>
      <c r="BD367" s="47"/>
      <c r="BE367" s="47"/>
      <c r="BF367" s="47" t="str">
        <f>IF(AVERAGE($O367:$Q367)&gt;=6,"Likely",IF(AVERAGE($O367:$Q367)&gt;=4,"Possible","Unlikely"))</f>
        <v>Unlikely</v>
      </c>
      <c r="BG367" s="47"/>
      <c r="BH367" s="47" t="str">
        <f>INDEX(Table5[[#All],[Ovr]],MATCH(Table3[[#This Row],[PID]],Table5[[#All],[PID]],0))</f>
        <v/>
      </c>
      <c r="BI367" s="47" t="str">
        <f>INDEX(Table5[[#All],[Rnd]],MATCH(Table3[[#This Row],[PID]],Table5[[#All],[PID]],0))</f>
        <v/>
      </c>
      <c r="BJ367" s="47" t="str">
        <f>INDEX(Table5[[#All],[Pick]],MATCH(Table3[[#This Row],[PID]],Table5[[#All],[PID]],0))</f>
        <v/>
      </c>
      <c r="BK367" s="47" t="str">
        <f>INDEX(Table5[[#All],[Team]],MATCH(Table3[[#This Row],[PID]],Table5[[#All],[PID]],0))</f>
        <v/>
      </c>
      <c r="BL3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8" spans="1:64" ht="15" customHeight="1" x14ac:dyDescent="0.25">
      <c r="A368" s="42">
        <v>5168</v>
      </c>
      <c r="B368" s="42" t="s">
        <v>430</v>
      </c>
      <c r="C368" s="42" t="s">
        <v>180</v>
      </c>
      <c r="D368" s="42" t="s">
        <v>403</v>
      </c>
      <c r="E368" s="42">
        <v>18</v>
      </c>
      <c r="F368" s="42" t="s">
        <v>42</v>
      </c>
      <c r="G368" s="42" t="s">
        <v>42</v>
      </c>
      <c r="H368" s="43" t="s">
        <v>721</v>
      </c>
      <c r="I368" s="44" t="s">
        <v>43</v>
      </c>
      <c r="J368" s="42" t="s">
        <v>43</v>
      </c>
      <c r="K368" s="43" t="s">
        <v>47</v>
      </c>
      <c r="L368" s="42">
        <v>1</v>
      </c>
      <c r="M368" s="42">
        <v>1</v>
      </c>
      <c r="N368" s="43">
        <v>1</v>
      </c>
      <c r="O368" s="42">
        <v>4</v>
      </c>
      <c r="P368" s="42">
        <v>1</v>
      </c>
      <c r="Q368" s="43">
        <v>2</v>
      </c>
      <c r="R368" s="42">
        <v>3</v>
      </c>
      <c r="S368" s="42">
        <v>4</v>
      </c>
      <c r="T368" s="42">
        <v>1</v>
      </c>
      <c r="U368" s="42">
        <v>5</v>
      </c>
      <c r="V368" s="42" t="s">
        <v>45</v>
      </c>
      <c r="W368" s="42" t="s">
        <v>45</v>
      </c>
      <c r="X368" s="42">
        <v>2</v>
      </c>
      <c r="Y368" s="42">
        <v>4</v>
      </c>
      <c r="Z368" s="42" t="s">
        <v>45</v>
      </c>
      <c r="AA368" s="42" t="s">
        <v>45</v>
      </c>
      <c r="AB368" s="42" t="s">
        <v>45</v>
      </c>
      <c r="AC368" s="42" t="s">
        <v>45</v>
      </c>
      <c r="AD368" s="42" t="s">
        <v>45</v>
      </c>
      <c r="AE368" s="42" t="s">
        <v>45</v>
      </c>
      <c r="AF368" s="42">
        <v>2</v>
      </c>
      <c r="AG368" s="42">
        <v>4</v>
      </c>
      <c r="AH368" s="42" t="s">
        <v>45</v>
      </c>
      <c r="AI368" s="42" t="s">
        <v>45</v>
      </c>
      <c r="AJ368" s="42" t="s">
        <v>45</v>
      </c>
      <c r="AK368" s="42" t="s">
        <v>45</v>
      </c>
      <c r="AL368" s="42" t="s">
        <v>45</v>
      </c>
      <c r="AM368" s="42" t="s">
        <v>45</v>
      </c>
      <c r="AN368" s="42" t="s">
        <v>45</v>
      </c>
      <c r="AO368" s="43" t="s">
        <v>45</v>
      </c>
      <c r="AP368" s="42" t="s">
        <v>64</v>
      </c>
      <c r="AQ368" s="42">
        <v>6</v>
      </c>
      <c r="AR368" s="50" t="s">
        <v>14</v>
      </c>
      <c r="AS368" s="45" t="s">
        <v>718</v>
      </c>
      <c r="AT368" s="45" t="s">
        <v>47</v>
      </c>
      <c r="AU368" s="46">
        <f>($O$3*(L368-$O$1)/$O$2+$P$3*(M368-$P$1)/$P$2+$Q$3*(N368-$P$1)/$Q$2)/SUM($O$3:$Q$3)</f>
        <v>-2.7014842379675978</v>
      </c>
      <c r="AV368" s="46">
        <f>($O$3*(O368-$O$1)/$O$2+$P$3*(P368-$P$1)/$P$2+$Q$3*(Q368-$Q$1)/$Q$2)/SUM($O$3:$Q$3)</f>
        <v>-1.4295949476488956</v>
      </c>
      <c r="AW368" s="47">
        <f>COUNT(R368:AO368)/2</f>
        <v>4</v>
      </c>
      <c r="AX368" s="47">
        <f>IF(AND(S368&lt;&gt;"-",S368&gt;5),1,0)+IF(AND(U368&lt;&gt;"-",U368&gt;5),1,0)+IF(AND(W368&lt;&gt;"-",W368&gt;5),1,0)+IF(AND(Y368&lt;&gt;"-",Y368&gt;5),1,0)+IF(AND(AA368&lt;&gt;"-",AA368&gt;5),1,0)+IF(AND(AC368&lt;&gt;"-",AC368&gt;5),1,0)+IF(AND(AE368&lt;&gt;"-",AE368&gt;5),1,0)+IF(AND(AG368&lt;&gt;"-",AG368&gt;5),1,0)+IF(AND(AI368&lt;&gt;"-",AI368&gt;5),1,0)+IF(AND(AK368&lt;&gt;"-",AK368&gt;5),1,0)+IF(AND(AM368&lt;&gt;"-",AM368&gt;5),1,0)+IF(AND(AO368&lt;&gt;"-",AO368&gt;5),1,0)</f>
        <v>0</v>
      </c>
      <c r="AY368" s="48">
        <f>VLOOKUP(AP368,COND!$A$10:$B$32,2,FALSE)</f>
        <v>1</v>
      </c>
      <c r="AZ368" s="46">
        <f>($AU$3*AU368+$AV$3*AV368+$AW$3*AW368+$AX$3*AX368)*AY368*IF(AQ368&lt;5,0.95,IF(AQ368&lt;7,0.975,1))+$I$3*VLOOKUP(I368,COND!$A$2:$E$7,4,FALSE)+$J$3*VLOOKUP(J368,COND!$A$2:$E$7,2,FALSE)+$K$3*VLOOKUP(K368,COND!$A$2:$E$7,3,FALSE)+IF(BB368="SP",$BB$3,0)+IF($AW368&lt;3,-5,0)+IF(AND($B$2&gt;0,$E368&lt;20),$B$2*25,0)</f>
        <v>25.846109094442852</v>
      </c>
      <c r="BA368" s="49">
        <f>STANDARDIZE(AZ368,AVERAGE($AZ$5:$AZ$570),STDEVP($AZ$5:$AZ$570))</f>
        <v>-0.63057158860456841</v>
      </c>
      <c r="BB368" s="47" t="str">
        <f>IF(OR(AND(AQ368&gt;7,AX368&gt;1),AND(AQ368&gt;4,AW368&gt;2)),"SP","RP")</f>
        <v>SP</v>
      </c>
      <c r="BC368" s="47"/>
      <c r="BD368" s="47"/>
      <c r="BE368" s="47"/>
      <c r="BF368" s="47" t="str">
        <f>IF(AVERAGE($O368:$Q368)&gt;=6,"Likely",IF(AVERAGE($O368:$Q368)&gt;=4,"Possible","Unlikely"))</f>
        <v>Unlikely</v>
      </c>
      <c r="BG368" s="47"/>
      <c r="BH368" s="47" t="str">
        <f>INDEX(Table5[[#All],[Ovr]],MATCH(Table3[[#This Row],[PID]],Table5[[#All],[PID]],0))</f>
        <v/>
      </c>
      <c r="BI368" s="47" t="str">
        <f>INDEX(Table5[[#All],[Rnd]],MATCH(Table3[[#This Row],[PID]],Table5[[#All],[PID]],0))</f>
        <v/>
      </c>
      <c r="BJ368" s="47" t="str">
        <f>INDEX(Table5[[#All],[Pick]],MATCH(Table3[[#This Row],[PID]],Table5[[#All],[PID]],0))</f>
        <v/>
      </c>
      <c r="BK368" s="47" t="str">
        <f>INDEX(Table5[[#All],[Team]],MATCH(Table3[[#This Row],[PID]],Table5[[#All],[PID]],0))</f>
        <v/>
      </c>
      <c r="BL3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9" spans="1:64" ht="15" customHeight="1" x14ac:dyDescent="0.25">
      <c r="A369" s="42">
        <v>6314</v>
      </c>
      <c r="B369" s="42" t="s">
        <v>430</v>
      </c>
      <c r="C369" s="42" t="s">
        <v>183</v>
      </c>
      <c r="D369" s="42" t="s">
        <v>1643</v>
      </c>
      <c r="E369" s="42">
        <v>18</v>
      </c>
      <c r="F369" s="42" t="s">
        <v>53</v>
      </c>
      <c r="G369" s="42" t="s">
        <v>53</v>
      </c>
      <c r="H369" s="43" t="s">
        <v>721</v>
      </c>
      <c r="I369" s="44" t="s">
        <v>43</v>
      </c>
      <c r="J369" s="42" t="s">
        <v>44</v>
      </c>
      <c r="K369" s="43" t="s">
        <v>43</v>
      </c>
      <c r="L369" s="42">
        <v>1</v>
      </c>
      <c r="M369" s="42">
        <v>2</v>
      </c>
      <c r="N369" s="43">
        <v>1</v>
      </c>
      <c r="O369" s="42">
        <v>4</v>
      </c>
      <c r="P369" s="42">
        <v>2</v>
      </c>
      <c r="Q369" s="43">
        <v>1</v>
      </c>
      <c r="R369" s="42">
        <v>2</v>
      </c>
      <c r="S369" s="42">
        <v>4</v>
      </c>
      <c r="T369" s="42">
        <v>2</v>
      </c>
      <c r="U369" s="42">
        <v>6</v>
      </c>
      <c r="V369" s="42" t="s">
        <v>45</v>
      </c>
      <c r="W369" s="42" t="s">
        <v>45</v>
      </c>
      <c r="X369" s="42">
        <v>2</v>
      </c>
      <c r="Y369" s="42">
        <v>5</v>
      </c>
      <c r="Z369" s="42" t="s">
        <v>45</v>
      </c>
      <c r="AA369" s="42" t="s">
        <v>45</v>
      </c>
      <c r="AB369" s="42" t="s">
        <v>45</v>
      </c>
      <c r="AC369" s="42" t="s">
        <v>45</v>
      </c>
      <c r="AD369" s="42" t="s">
        <v>45</v>
      </c>
      <c r="AE369" s="42" t="s">
        <v>45</v>
      </c>
      <c r="AF369" s="42" t="s">
        <v>45</v>
      </c>
      <c r="AG369" s="42" t="s">
        <v>45</v>
      </c>
      <c r="AH369" s="42" t="s">
        <v>45</v>
      </c>
      <c r="AI369" s="42" t="s">
        <v>45</v>
      </c>
      <c r="AJ369" s="42" t="s">
        <v>45</v>
      </c>
      <c r="AK369" s="42" t="s">
        <v>45</v>
      </c>
      <c r="AL369" s="42" t="s">
        <v>45</v>
      </c>
      <c r="AM369" s="42" t="s">
        <v>45</v>
      </c>
      <c r="AN369" s="42" t="s">
        <v>45</v>
      </c>
      <c r="AO369" s="43" t="s">
        <v>45</v>
      </c>
      <c r="AP369" s="42" t="s">
        <v>67</v>
      </c>
      <c r="AQ369" s="42">
        <v>8</v>
      </c>
      <c r="AR369" s="50" t="s">
        <v>353</v>
      </c>
      <c r="AS369" s="45" t="s">
        <v>718</v>
      </c>
      <c r="AT369" s="45" t="s">
        <v>705</v>
      </c>
      <c r="AU369" s="46">
        <f>($O$3*(L369-$O$1)/$O$2+$P$3*(M369-$P$1)/$P$2+$Q$3*(N369-$P$1)/$Q$2)/SUM($O$3:$Q$3)</f>
        <v>-2.5060525215375429</v>
      </c>
      <c r="AV369" s="46">
        <f>($O$3*(O369-$O$1)/$O$2+$P$3*(P369-$P$1)/$P$2+$Q$3*(Q369-$Q$1)/$Q$2)/SUM($O$3:$Q$3)</f>
        <v>-1.4764837972729503</v>
      </c>
      <c r="AW369" s="47">
        <f>COUNT(R369:AO369)/2</f>
        <v>3</v>
      </c>
      <c r="AX369" s="47">
        <f>IF(AND(S369&lt;&gt;"-",S369&gt;5),1,0)+IF(AND(U369&lt;&gt;"-",U369&gt;5),1,0)+IF(AND(W369&lt;&gt;"-",W369&gt;5),1,0)+IF(AND(Y369&lt;&gt;"-",Y369&gt;5),1,0)+IF(AND(AA369&lt;&gt;"-",AA369&gt;5),1,0)+IF(AND(AC369&lt;&gt;"-",AC369&gt;5),1,0)+IF(AND(AE369&lt;&gt;"-",AE369&gt;5),1,0)+IF(AND(AG369&lt;&gt;"-",AG369&gt;5),1,0)+IF(AND(AI369&lt;&gt;"-",AI369&gt;5),1,0)+IF(AND(AK369&lt;&gt;"-",AK369&gt;5),1,0)+IF(AND(AM369&lt;&gt;"-",AM369&gt;5),1,0)+IF(AND(AO369&lt;&gt;"-",AO369&gt;5),1,0)</f>
        <v>1</v>
      </c>
      <c r="AY369" s="48">
        <f>VLOOKUP(AP369,COND!$A$10:$B$32,2,FALSE)</f>
        <v>0.9</v>
      </c>
      <c r="AZ369" s="46">
        <f>($AU$3*AU369+$AV$3*AV369+$AW$3*AW369+$AX$3*AX369)*AY369*IF(AQ369&lt;5,0.95,IF(AQ369&lt;7,0.975,1))+$I$3*VLOOKUP(I369,COND!$A$2:$E$7,4,FALSE)+$J$3*VLOOKUP(J369,COND!$A$2:$E$7,2,FALSE)+$K$3*VLOOKUP(K369,COND!$A$2:$E$7,3,FALSE)+IF(BB369="SP",$BB$3,0)+IF($AW369&lt;3,-5,0)+IF(AND($B$2&gt;0,$E369&lt;20),$B$2*25,0)</f>
        <v>27.147202195210138</v>
      </c>
      <c r="BA369" s="49">
        <f>STANDARDIZE(AZ369,AVERAGE($AZ$5:$AZ$570),STDEVP($AZ$5:$AZ$570))</f>
        <v>-0.5112557902754199</v>
      </c>
      <c r="BB369" s="47" t="str">
        <f>IF(OR(AND(AQ369&gt;7,AX369&gt;1),AND(AQ369&gt;4,AW369&gt;2)),"SP","RP")</f>
        <v>SP</v>
      </c>
      <c r="BC369" s="47"/>
      <c r="BD369" s="47"/>
      <c r="BE369" s="47"/>
      <c r="BF369" s="47" t="str">
        <f>IF(AVERAGE($O369:$Q369)&gt;=6,"Likely",IF(AVERAGE($O369:$Q369)&gt;=4,"Possible","Unlikely"))</f>
        <v>Unlikely</v>
      </c>
      <c r="BG369" s="47"/>
      <c r="BH369" s="47" t="str">
        <f>INDEX(Table5[[#All],[Ovr]],MATCH(Table3[[#This Row],[PID]],Table5[[#All],[PID]],0))</f>
        <v/>
      </c>
      <c r="BI369" s="47" t="str">
        <f>INDEX(Table5[[#All],[Rnd]],MATCH(Table3[[#This Row],[PID]],Table5[[#All],[PID]],0))</f>
        <v/>
      </c>
      <c r="BJ369" s="47" t="str">
        <f>INDEX(Table5[[#All],[Pick]],MATCH(Table3[[#This Row],[PID]],Table5[[#All],[PID]],0))</f>
        <v/>
      </c>
      <c r="BK369" s="47" t="str">
        <f>INDEX(Table5[[#All],[Team]],MATCH(Table3[[#This Row],[PID]],Table5[[#All],[PID]],0))</f>
        <v/>
      </c>
      <c r="BL3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0" spans="1:64" ht="15" customHeight="1" x14ac:dyDescent="0.25">
      <c r="A370" s="42">
        <v>17928</v>
      </c>
      <c r="B370" s="42" t="s">
        <v>430</v>
      </c>
      <c r="C370" s="42" t="s">
        <v>1790</v>
      </c>
      <c r="D370" s="42" t="s">
        <v>393</v>
      </c>
      <c r="E370" s="42">
        <v>18</v>
      </c>
      <c r="F370" s="42" t="s">
        <v>42</v>
      </c>
      <c r="G370" s="42" t="s">
        <v>42</v>
      </c>
      <c r="H370" s="43" t="s">
        <v>721</v>
      </c>
      <c r="I370" s="44" t="s">
        <v>47</v>
      </c>
      <c r="J370" s="42" t="s">
        <v>43</v>
      </c>
      <c r="K370" s="43" t="s">
        <v>43</v>
      </c>
      <c r="L370" s="42">
        <v>1</v>
      </c>
      <c r="M370" s="42">
        <v>1</v>
      </c>
      <c r="N370" s="43">
        <v>1</v>
      </c>
      <c r="O370" s="42">
        <v>3</v>
      </c>
      <c r="P370" s="42">
        <v>2</v>
      </c>
      <c r="Q370" s="43">
        <v>2</v>
      </c>
      <c r="R370" s="42">
        <v>2</v>
      </c>
      <c r="S370" s="42">
        <v>4</v>
      </c>
      <c r="T370" s="42">
        <v>1</v>
      </c>
      <c r="U370" s="42">
        <v>2</v>
      </c>
      <c r="V370" s="42">
        <v>2</v>
      </c>
      <c r="W370" s="42">
        <v>5</v>
      </c>
      <c r="X370" s="42" t="s">
        <v>45</v>
      </c>
      <c r="Y370" s="42" t="s">
        <v>45</v>
      </c>
      <c r="Z370" s="42" t="s">
        <v>45</v>
      </c>
      <c r="AA370" s="42" t="s">
        <v>45</v>
      </c>
      <c r="AB370" s="42" t="s">
        <v>45</v>
      </c>
      <c r="AC370" s="42" t="s">
        <v>45</v>
      </c>
      <c r="AD370" s="42" t="s">
        <v>45</v>
      </c>
      <c r="AE370" s="42" t="s">
        <v>45</v>
      </c>
      <c r="AF370" s="42" t="s">
        <v>45</v>
      </c>
      <c r="AG370" s="42" t="s">
        <v>45</v>
      </c>
      <c r="AH370" s="42" t="s">
        <v>45</v>
      </c>
      <c r="AI370" s="42" t="s">
        <v>45</v>
      </c>
      <c r="AJ370" s="42" t="s">
        <v>45</v>
      </c>
      <c r="AK370" s="42" t="s">
        <v>45</v>
      </c>
      <c r="AL370" s="42" t="s">
        <v>45</v>
      </c>
      <c r="AM370" s="42" t="s">
        <v>45</v>
      </c>
      <c r="AN370" s="42" t="s">
        <v>45</v>
      </c>
      <c r="AO370" s="43" t="s">
        <v>45</v>
      </c>
      <c r="AP370" s="42" t="s">
        <v>67</v>
      </c>
      <c r="AQ370" s="42">
        <v>10</v>
      </c>
      <c r="AR370" s="50" t="s">
        <v>14</v>
      </c>
      <c r="AS370" s="45" t="s">
        <v>758</v>
      </c>
      <c r="AT370" s="45" t="s">
        <v>47</v>
      </c>
      <c r="AU370" s="46">
        <f>($O$3*(L370-$O$1)/$O$2+$P$3*(M370-$P$1)/$P$2+$Q$3*(N370-$P$1)/$Q$2)/SUM($O$3:$Q$3)</f>
        <v>-2.7014842379675978</v>
      </c>
      <c r="AV370" s="46">
        <f>($O$3*(O370-$O$1)/$O$2+$P$3*(P370-$P$1)/$P$2+$Q$3*(Q370-$Q$1)/$Q$2)/SUM($O$3:$Q$3)</f>
        <v>-1.4288545557280135</v>
      </c>
      <c r="AW370" s="47">
        <f>COUNT(R370:AO370)/2</f>
        <v>3</v>
      </c>
      <c r="AX370" s="47">
        <f>IF(AND(S370&lt;&gt;"-",S370&gt;5),1,0)+IF(AND(U370&lt;&gt;"-",U370&gt;5),1,0)+IF(AND(W370&lt;&gt;"-",W370&gt;5),1,0)+IF(AND(Y370&lt;&gt;"-",Y370&gt;5),1,0)+IF(AND(AA370&lt;&gt;"-",AA370&gt;5),1,0)+IF(AND(AC370&lt;&gt;"-",AC370&gt;5),1,0)+IF(AND(AE370&lt;&gt;"-",AE370&gt;5),1,0)+IF(AND(AG370&lt;&gt;"-",AG370&gt;5),1,0)+IF(AND(AI370&lt;&gt;"-",AI370&gt;5),1,0)+IF(AND(AK370&lt;&gt;"-",AK370&gt;5),1,0)+IF(AND(AM370&lt;&gt;"-",AM370&gt;5),1,0)+IF(AND(AO370&lt;&gt;"-",AO370&gt;5),1,0)</f>
        <v>0</v>
      </c>
      <c r="AY370" s="48">
        <f>VLOOKUP(AP370,COND!$A$10:$B$32,2,FALSE)</f>
        <v>0.9</v>
      </c>
      <c r="AZ370" s="46">
        <f>($AU$3*AU370+$AV$3*AV370+$AW$3*AW370+$AX$3*AX370)*AY370*IF(AQ370&lt;5,0.95,IF(AQ370&lt;7,0.975,1))+$I$3*VLOOKUP(I370,COND!$A$2:$E$7,4,FALSE)+$J$3*VLOOKUP(J370,COND!$A$2:$E$7,2,FALSE)+$K$3*VLOOKUP(K370,COND!$A$2:$E$7,3,FALSE)+IF(BB370="SP",$BB$3,0)+IF($AW370&lt;3,-5,0)+IF(AND($B$2&gt;0,$E370&lt;20),$B$2*25,0)</f>
        <v>27.369350834061589</v>
      </c>
      <c r="BA370" s="49">
        <f>STANDARDIZE(AZ370,AVERAGE($AZ$5:$AZ$676),STDEVP($AZ$5:$AZ$676))</f>
        <v>-0.26519721716002648</v>
      </c>
      <c r="BB370" s="47" t="str">
        <f>IF(OR(AND(AQ370&gt;7,AX370&gt;1),AND(AQ370&gt;4,AW370&gt;2)),"SP","RP")</f>
        <v>SP</v>
      </c>
      <c r="BC370" s="47"/>
      <c r="BD370" s="47"/>
      <c r="BE370" s="47"/>
      <c r="BF370" s="47" t="str">
        <f>IF(AVERAGE($O370:$Q370)&gt;=6,"Likely",IF(AVERAGE($O370:$Q370)&gt;=4,"Possible","Unlikely"))</f>
        <v>Unlikely</v>
      </c>
      <c r="BG370" s="47"/>
      <c r="BH370" s="47" t="str">
        <f>INDEX(Table5[[#All],[Ovr]],MATCH(Table3[[#This Row],[PID]],Table5[[#All],[PID]],0))</f>
        <v/>
      </c>
      <c r="BI370" s="47" t="str">
        <f>INDEX(Table5[[#All],[Rnd]],MATCH(Table3[[#This Row],[PID]],Table5[[#All],[PID]],0))</f>
        <v/>
      </c>
      <c r="BJ370" s="47" t="str">
        <f>INDEX(Table5[[#All],[Pick]],MATCH(Table3[[#This Row],[PID]],Table5[[#All],[PID]],0))</f>
        <v/>
      </c>
      <c r="BK370" s="47" t="str">
        <f>INDEX(Table5[[#All],[Team]],MATCH(Table3[[#This Row],[PID]],Table5[[#All],[PID]],0))</f>
        <v/>
      </c>
      <c r="BL3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1" spans="1:64" ht="15" customHeight="1" x14ac:dyDescent="0.25">
      <c r="A371" s="42">
        <v>17620</v>
      </c>
      <c r="B371" s="42" t="s">
        <v>430</v>
      </c>
      <c r="C371" s="42" t="s">
        <v>386</v>
      </c>
      <c r="D371" s="42" t="s">
        <v>369</v>
      </c>
      <c r="E371" s="42">
        <v>18</v>
      </c>
      <c r="F371" s="42" t="s">
        <v>53</v>
      </c>
      <c r="G371" s="42" t="s">
        <v>53</v>
      </c>
      <c r="H371" s="43" t="s">
        <v>721</v>
      </c>
      <c r="I371" s="44" t="s">
        <v>43</v>
      </c>
      <c r="J371" s="42" t="s">
        <v>44</v>
      </c>
      <c r="K371" s="43" t="s">
        <v>47</v>
      </c>
      <c r="L371" s="42">
        <v>1</v>
      </c>
      <c r="M371" s="42">
        <v>1</v>
      </c>
      <c r="N371" s="43">
        <v>1</v>
      </c>
      <c r="O371" s="42">
        <v>4</v>
      </c>
      <c r="P371" s="42">
        <v>1</v>
      </c>
      <c r="Q371" s="43">
        <v>2</v>
      </c>
      <c r="R371" s="42">
        <v>3</v>
      </c>
      <c r="S371" s="42">
        <v>5</v>
      </c>
      <c r="T371" s="42" t="s">
        <v>45</v>
      </c>
      <c r="U371" s="42" t="s">
        <v>45</v>
      </c>
      <c r="V371" s="42">
        <v>1</v>
      </c>
      <c r="W371" s="42">
        <v>5</v>
      </c>
      <c r="X371" s="42">
        <v>2</v>
      </c>
      <c r="Y371" s="42">
        <v>5</v>
      </c>
      <c r="Z371" s="42" t="s">
        <v>45</v>
      </c>
      <c r="AA371" s="42" t="s">
        <v>45</v>
      </c>
      <c r="AB371" s="42" t="s">
        <v>45</v>
      </c>
      <c r="AC371" s="42" t="s">
        <v>45</v>
      </c>
      <c r="AD371" s="42" t="s">
        <v>45</v>
      </c>
      <c r="AE371" s="42" t="s">
        <v>45</v>
      </c>
      <c r="AF371" s="42" t="s">
        <v>45</v>
      </c>
      <c r="AG371" s="42" t="s">
        <v>45</v>
      </c>
      <c r="AH371" s="42" t="s">
        <v>45</v>
      </c>
      <c r="AI371" s="42" t="s">
        <v>45</v>
      </c>
      <c r="AJ371" s="42" t="s">
        <v>45</v>
      </c>
      <c r="AK371" s="42" t="s">
        <v>45</v>
      </c>
      <c r="AL371" s="42" t="s">
        <v>45</v>
      </c>
      <c r="AM371" s="42" t="s">
        <v>45</v>
      </c>
      <c r="AN371" s="42" t="s">
        <v>45</v>
      </c>
      <c r="AO371" s="43" t="s">
        <v>45</v>
      </c>
      <c r="AP371" s="42" t="s">
        <v>68</v>
      </c>
      <c r="AQ371" s="42">
        <v>6</v>
      </c>
      <c r="AR371" s="50" t="s">
        <v>14</v>
      </c>
      <c r="AS371" s="45" t="s">
        <v>606</v>
      </c>
      <c r="AT371" s="45" t="s">
        <v>705</v>
      </c>
      <c r="AU371" s="46">
        <f>($O$3*(L371-$O$1)/$O$2+$P$3*(M371-$P$1)/$P$2+$Q$3*(N371-$P$1)/$Q$2)/SUM($O$3:$Q$3)</f>
        <v>-2.7014842379675978</v>
      </c>
      <c r="AV371" s="46">
        <f>($O$3*(O371-$O$1)/$O$2+$P$3*(P371-$P$1)/$P$2+$Q$3*(Q371-$Q$1)/$Q$2)/SUM($O$3:$Q$3)</f>
        <v>-1.4295949476488956</v>
      </c>
      <c r="AW371" s="47">
        <f>COUNT(R371:AO371)/2</f>
        <v>3</v>
      </c>
      <c r="AX371" s="47">
        <f>IF(AND(S371&lt;&gt;"-",S371&gt;5),1,0)+IF(AND(U371&lt;&gt;"-",U371&gt;5),1,0)+IF(AND(W371&lt;&gt;"-",W371&gt;5),1,0)+IF(AND(Y371&lt;&gt;"-",Y371&gt;5),1,0)+IF(AND(AA371&lt;&gt;"-",AA371&gt;5),1,0)+IF(AND(AC371&lt;&gt;"-",AC371&gt;5),1,0)+IF(AND(AE371&lt;&gt;"-",AE371&gt;5),1,0)+IF(AND(AG371&lt;&gt;"-",AG371&gt;5),1,0)+IF(AND(AI371&lt;&gt;"-",AI371&gt;5),1,0)+IF(AND(AK371&lt;&gt;"-",AK371&gt;5),1,0)+IF(AND(AM371&lt;&gt;"-",AM371&gt;5),1,0)+IF(AND(AO371&lt;&gt;"-",AO371&gt;5),1,0)</f>
        <v>0</v>
      </c>
      <c r="AY371" s="48">
        <f>VLOOKUP(AP371,COND!$A$10:$B$32,2,FALSE)</f>
        <v>0.95</v>
      </c>
      <c r="AZ371" s="46">
        <f>($AU$3*AU371+$AV$3*AV371+$AW$3*AW371+$AX$3*AX371)*AY371*IF(AQ371&lt;5,0.95,IF(AQ371&lt;7,0.975,1))+$I$3*VLOOKUP(I371,COND!$A$2:$E$7,4,FALSE)+$J$3*VLOOKUP(J371,COND!$A$2:$E$7,2,FALSE)+$K$3*VLOOKUP(K371,COND!$A$2:$E$7,3,FALSE)+IF(BB371="SP",$BB$3,0)+IF($AW371&lt;3,-5,0)+IF(AND($B$2&gt;0,$E371&lt;20),$B$2*25,0)</f>
        <v>26.405678639720712</v>
      </c>
      <c r="BA371" s="49">
        <f>STANDARDIZE(AZ371,AVERAGE($AZ$5:$AZ$570),STDEVP($AZ$5:$AZ$570))</f>
        <v>-0.57925666965208666</v>
      </c>
      <c r="BB371" s="47" t="str">
        <f>IF(OR(AND(AQ371&gt;7,AX371&gt;1),AND(AQ371&gt;4,AW371&gt;2)),"SP","RP")</f>
        <v>SP</v>
      </c>
      <c r="BC371" s="47"/>
      <c r="BD371" s="47"/>
      <c r="BE371" s="47"/>
      <c r="BF371" s="47" t="str">
        <f>IF(AVERAGE($O371:$Q371)&gt;=6,"Likely",IF(AVERAGE($O371:$Q371)&gt;=4,"Possible","Unlikely"))</f>
        <v>Unlikely</v>
      </c>
      <c r="BG371" s="47"/>
      <c r="BH371" s="47" t="str">
        <f>INDEX(Table5[[#All],[Ovr]],MATCH(Table3[[#This Row],[PID]],Table5[[#All],[PID]],0))</f>
        <v/>
      </c>
      <c r="BI371" s="47" t="str">
        <f>INDEX(Table5[[#All],[Rnd]],MATCH(Table3[[#This Row],[PID]],Table5[[#All],[PID]],0))</f>
        <v/>
      </c>
      <c r="BJ371" s="47" t="str">
        <f>INDEX(Table5[[#All],[Pick]],MATCH(Table3[[#This Row],[PID]],Table5[[#All],[PID]],0))</f>
        <v/>
      </c>
      <c r="BK371" s="47" t="str">
        <f>INDEX(Table5[[#All],[Team]],MATCH(Table3[[#This Row],[PID]],Table5[[#All],[PID]],0))</f>
        <v/>
      </c>
      <c r="BL3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2" spans="1:64" ht="15" customHeight="1" x14ac:dyDescent="0.25">
      <c r="A372" s="42">
        <v>8422</v>
      </c>
      <c r="B372" s="42" t="s">
        <v>430</v>
      </c>
      <c r="C372" s="42" t="s">
        <v>798</v>
      </c>
      <c r="D372" s="42" t="s">
        <v>710</v>
      </c>
      <c r="E372" s="42">
        <v>18</v>
      </c>
      <c r="F372" s="42" t="s">
        <v>42</v>
      </c>
      <c r="G372" s="42" t="s">
        <v>42</v>
      </c>
      <c r="H372" s="43" t="s">
        <v>721</v>
      </c>
      <c r="I372" s="44" t="s">
        <v>43</v>
      </c>
      <c r="J372" s="42" t="s">
        <v>47</v>
      </c>
      <c r="K372" s="43" t="s">
        <v>43</v>
      </c>
      <c r="L372" s="42">
        <v>1</v>
      </c>
      <c r="M372" s="42">
        <v>2</v>
      </c>
      <c r="N372" s="43">
        <v>1</v>
      </c>
      <c r="O372" s="42">
        <v>4</v>
      </c>
      <c r="P372" s="42">
        <v>2</v>
      </c>
      <c r="Q372" s="43">
        <v>1</v>
      </c>
      <c r="R372" s="42">
        <v>3</v>
      </c>
      <c r="S372" s="42">
        <v>5</v>
      </c>
      <c r="T372" s="42">
        <v>1</v>
      </c>
      <c r="U372" s="42">
        <v>1</v>
      </c>
      <c r="V372" s="42">
        <v>1</v>
      </c>
      <c r="W372" s="42">
        <v>6</v>
      </c>
      <c r="X372" s="42" t="s">
        <v>45</v>
      </c>
      <c r="Y372" s="42" t="s">
        <v>45</v>
      </c>
      <c r="Z372" s="42" t="s">
        <v>45</v>
      </c>
      <c r="AA372" s="42" t="s">
        <v>45</v>
      </c>
      <c r="AB372" s="42" t="s">
        <v>45</v>
      </c>
      <c r="AC372" s="42" t="s">
        <v>45</v>
      </c>
      <c r="AD372" s="42" t="s">
        <v>45</v>
      </c>
      <c r="AE372" s="42" t="s">
        <v>45</v>
      </c>
      <c r="AF372" s="42" t="s">
        <v>45</v>
      </c>
      <c r="AG372" s="42" t="s">
        <v>45</v>
      </c>
      <c r="AH372" s="42" t="s">
        <v>45</v>
      </c>
      <c r="AI372" s="42" t="s">
        <v>45</v>
      </c>
      <c r="AJ372" s="42" t="s">
        <v>45</v>
      </c>
      <c r="AK372" s="42" t="s">
        <v>45</v>
      </c>
      <c r="AL372" s="42" t="s">
        <v>45</v>
      </c>
      <c r="AM372" s="42" t="s">
        <v>45</v>
      </c>
      <c r="AN372" s="42" t="s">
        <v>45</v>
      </c>
      <c r="AO372" s="43" t="s">
        <v>45</v>
      </c>
      <c r="AP372" s="42" t="s">
        <v>68</v>
      </c>
      <c r="AQ372" s="42">
        <v>3</v>
      </c>
      <c r="AR372" s="50" t="s">
        <v>353</v>
      </c>
      <c r="AS372" s="45" t="s">
        <v>718</v>
      </c>
      <c r="AT372" s="45" t="s">
        <v>47</v>
      </c>
      <c r="AU372" s="46">
        <f>($O$3*(L372-$O$1)/$O$2+$P$3*(M372-$P$1)/$P$2+$Q$3*(N372-$P$1)/$Q$2)/SUM($O$3:$Q$3)</f>
        <v>-2.5060525215375429</v>
      </c>
      <c r="AV372" s="46">
        <f>($O$3*(O372-$O$1)/$O$2+$P$3*(P372-$P$1)/$P$2+$Q$3*(Q372-$Q$1)/$Q$2)/SUM($O$3:$Q$3)</f>
        <v>-1.4764837972729503</v>
      </c>
      <c r="AW372" s="47">
        <f>COUNT(R372:AO372)/2</f>
        <v>3</v>
      </c>
      <c r="AX372" s="47">
        <f>IF(AND(S372&lt;&gt;"-",S372&gt;5),1,0)+IF(AND(U372&lt;&gt;"-",U372&gt;5),1,0)+IF(AND(W372&lt;&gt;"-",W372&gt;5),1,0)+IF(AND(Y372&lt;&gt;"-",Y372&gt;5),1,0)+IF(AND(AA372&lt;&gt;"-",AA372&gt;5),1,0)+IF(AND(AC372&lt;&gt;"-",AC372&gt;5),1,0)+IF(AND(AE372&lt;&gt;"-",AE372&gt;5),1,0)+IF(AND(AG372&lt;&gt;"-",AG372&gt;5),1,0)+IF(AND(AI372&lt;&gt;"-",AI372&gt;5),1,0)+IF(AND(AK372&lt;&gt;"-",AK372&gt;5),1,0)+IF(AND(AM372&lt;&gt;"-",AM372&gt;5),1,0)+IF(AND(AO372&lt;&gt;"-",AO372&gt;5),1,0)</f>
        <v>1</v>
      </c>
      <c r="AY372" s="48">
        <f>VLOOKUP(AP372,COND!$A$10:$B$32,2,FALSE)</f>
        <v>0.95</v>
      </c>
      <c r="AZ372" s="46">
        <f>($AU$3*AU372+$AV$3*AV372+$AW$3*AW372+$AX$3*AX372)*AY372*IF(AQ372&lt;5,0.95,IF(AQ372&lt;7,0.975,1))+$I$3*VLOOKUP(I372,COND!$A$2:$E$7,4,FALSE)+$J$3*VLOOKUP(J372,COND!$A$2:$E$7,2,FALSE)+$K$3*VLOOKUP(K372,COND!$A$2:$E$7,3,FALSE)+IF(BB372="SP",$BB$3,0)+IF($AW372&lt;3,-5,0)+IF(AND($B$2&gt;0,$E372&lt;20),$B$2*25,0)</f>
        <v>25.678999979085724</v>
      </c>
      <c r="BA372" s="49">
        <f>STANDARDIZE(AZ372,AVERAGE($AZ$5:$AZ$570),STDEVP($AZ$5:$AZ$570))</f>
        <v>-0.64589620872218734</v>
      </c>
      <c r="BB372" s="47" t="str">
        <f>IF(OR(AND(AQ372&gt;7,AX372&gt;1),AND(AQ372&gt;4,AW372&gt;2)),"SP","RP")</f>
        <v>RP</v>
      </c>
      <c r="BC372" s="47"/>
      <c r="BD372" s="47"/>
      <c r="BE372" s="47"/>
      <c r="BF372" s="47" t="str">
        <f>IF(AVERAGE($O372:$Q372)&gt;=6,"Likely",IF(AVERAGE($O372:$Q372)&gt;=4,"Possible","Unlikely"))</f>
        <v>Unlikely</v>
      </c>
      <c r="BG372" s="47"/>
      <c r="BH372" s="47" t="str">
        <f>INDEX(Table5[[#All],[Ovr]],MATCH(Table3[[#This Row],[PID]],Table5[[#All],[PID]],0))</f>
        <v/>
      </c>
      <c r="BI372" s="47" t="str">
        <f>INDEX(Table5[[#All],[Rnd]],MATCH(Table3[[#This Row],[PID]],Table5[[#All],[PID]],0))</f>
        <v/>
      </c>
      <c r="BJ372" s="47" t="str">
        <f>INDEX(Table5[[#All],[Pick]],MATCH(Table3[[#This Row],[PID]],Table5[[#All],[PID]],0))</f>
        <v/>
      </c>
      <c r="BK372" s="47" t="str">
        <f>INDEX(Table5[[#All],[Team]],MATCH(Table3[[#This Row],[PID]],Table5[[#All],[PID]],0))</f>
        <v/>
      </c>
      <c r="BL3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3" spans="1:64" ht="15" customHeight="1" x14ac:dyDescent="0.25">
      <c r="A373" s="42">
        <v>7215</v>
      </c>
      <c r="B373" s="42" t="s">
        <v>430</v>
      </c>
      <c r="C373" s="42" t="s">
        <v>141</v>
      </c>
      <c r="D373" s="42" t="s">
        <v>1009</v>
      </c>
      <c r="E373" s="42">
        <v>22</v>
      </c>
      <c r="F373" s="42" t="s">
        <v>53</v>
      </c>
      <c r="G373" s="42" t="s">
        <v>42</v>
      </c>
      <c r="H373" s="43" t="s">
        <v>721</v>
      </c>
      <c r="I373" s="44" t="s">
        <v>43</v>
      </c>
      <c r="J373" s="42" t="s">
        <v>43</v>
      </c>
      <c r="K373" s="43" t="s">
        <v>47</v>
      </c>
      <c r="L373" s="42">
        <v>3</v>
      </c>
      <c r="M373" s="42">
        <v>1</v>
      </c>
      <c r="N373" s="43">
        <v>2</v>
      </c>
      <c r="O373" s="42">
        <v>5</v>
      </c>
      <c r="P373" s="42">
        <v>1</v>
      </c>
      <c r="Q373" s="43">
        <v>2</v>
      </c>
      <c r="R373" s="42">
        <v>5</v>
      </c>
      <c r="S373" s="42">
        <v>6</v>
      </c>
      <c r="T373" s="42">
        <v>2</v>
      </c>
      <c r="U373" s="42">
        <v>6</v>
      </c>
      <c r="V373" s="42" t="s">
        <v>45</v>
      </c>
      <c r="W373" s="42" t="s">
        <v>45</v>
      </c>
      <c r="X373" s="42">
        <v>3</v>
      </c>
      <c r="Y373" s="42">
        <v>3</v>
      </c>
      <c r="Z373" s="42" t="s">
        <v>45</v>
      </c>
      <c r="AA373" s="42" t="s">
        <v>45</v>
      </c>
      <c r="AB373" s="42" t="s">
        <v>45</v>
      </c>
      <c r="AC373" s="42" t="s">
        <v>45</v>
      </c>
      <c r="AD373" s="42" t="s">
        <v>45</v>
      </c>
      <c r="AE373" s="42" t="s">
        <v>45</v>
      </c>
      <c r="AF373" s="42" t="s">
        <v>45</v>
      </c>
      <c r="AG373" s="42" t="s">
        <v>45</v>
      </c>
      <c r="AH373" s="42" t="s">
        <v>45</v>
      </c>
      <c r="AI373" s="42" t="s">
        <v>45</v>
      </c>
      <c r="AJ373" s="42" t="s">
        <v>45</v>
      </c>
      <c r="AK373" s="42" t="s">
        <v>45</v>
      </c>
      <c r="AL373" s="42" t="s">
        <v>45</v>
      </c>
      <c r="AM373" s="42" t="s">
        <v>45</v>
      </c>
      <c r="AN373" s="42" t="s">
        <v>45</v>
      </c>
      <c r="AO373" s="43" t="s">
        <v>45</v>
      </c>
      <c r="AP373" s="42" t="s">
        <v>60</v>
      </c>
      <c r="AQ373" s="42">
        <v>7</v>
      </c>
      <c r="AR373" s="50" t="s">
        <v>357</v>
      </c>
      <c r="AS373" s="45" t="s">
        <v>45</v>
      </c>
      <c r="AT373" s="45" t="s">
        <v>705</v>
      </c>
      <c r="AU373" s="46">
        <f>($O$3*(L373-$O$1)/$O$2+$P$3*(M373-$P$1)/$P$2+$Q$3*(N373-$P$1)/$Q$2)/SUM($O$3:$Q$3)</f>
        <v>-2.0697810228951408</v>
      </c>
      <c r="AV373" s="46">
        <f>($O$3*(O373-$O$1)/$O$2+$P$3*(P373-$P$1)/$P$2+$Q$3*(Q373-$Q$1)/$Q$2)/SUM($O$3:$Q$3)</f>
        <v>-1.2349036231397219</v>
      </c>
      <c r="AW373" s="47">
        <f>COUNT(R373:AO373)/2</f>
        <v>3</v>
      </c>
      <c r="AX373" s="47">
        <f>IF(AND(S373&lt;&gt;"-",S373&gt;5),1,0)+IF(AND(U373&lt;&gt;"-",U373&gt;5),1,0)+IF(AND(W373&lt;&gt;"-",W373&gt;5),1,0)+IF(AND(Y373&lt;&gt;"-",Y373&gt;5),1,0)+IF(AND(AA373&lt;&gt;"-",AA373&gt;5),1,0)+IF(AND(AC373&lt;&gt;"-",AC373&gt;5),1,0)+IF(AND(AE373&lt;&gt;"-",AE373&gt;5),1,0)+IF(AND(AG373&lt;&gt;"-",AG373&gt;5),1,0)+IF(AND(AI373&lt;&gt;"-",AI373&gt;5),1,0)+IF(AND(AK373&lt;&gt;"-",AK373&gt;5),1,0)+IF(AND(AM373&lt;&gt;"-",AM373&gt;5),1,0)+IF(AND(AO373&lt;&gt;"-",AO373&gt;5),1,0)</f>
        <v>2</v>
      </c>
      <c r="AY373" s="48">
        <f>VLOOKUP(AP373,COND!$A$10:$B$32,2,FALSE)</f>
        <v>1.0249999999999999</v>
      </c>
      <c r="AZ373" s="46">
        <f>($AU$3*AU373+$AV$3*AV373+$AW$3*AW373+$AX$3*AX373)*AY373*IF(AQ373&lt;5,0.95,IF(AQ373&lt;7,0.975,1))+$I$3*VLOOKUP(I373,COND!$A$2:$E$7,4,FALSE)+$J$3*VLOOKUP(J373,COND!$A$2:$E$7,2,FALSE)+$K$3*VLOOKUP(K373,COND!$A$2:$E$7,3,FALSE)+IF(BB373="SP",$BB$3,0)+IF($AW373&lt;3,-5,0)+IF(AND($B$2&gt;0,$E373&lt;20),$B$2*25,0)</f>
        <v>25.660170615942199</v>
      </c>
      <c r="BA373" s="49">
        <f>STANDARDIZE(AZ373,AVERAGE($AZ$5:$AZ$570),STDEVP($AZ$5:$AZ$570))</f>
        <v>-0.64762294180083801</v>
      </c>
      <c r="BB373" s="47" t="str">
        <f>IF(OR(AND(AQ373&gt;7,AX373&gt;1),AND(AQ373&gt;4,AW373&gt;2)),"SP","RP")</f>
        <v>SP</v>
      </c>
      <c r="BC373" s="47"/>
      <c r="BD373" s="47"/>
      <c r="BE373" s="47"/>
      <c r="BF373" s="47" t="str">
        <f>IF(AVERAGE($O373:$Q373)&gt;=6,"Likely",IF(AVERAGE($O373:$Q373)&gt;=4,"Possible","Unlikely"))</f>
        <v>Unlikely</v>
      </c>
      <c r="BG373" s="47"/>
      <c r="BH373" s="47" t="str">
        <f>INDEX(Table5[[#All],[Ovr]],MATCH(Table3[[#This Row],[PID]],Table5[[#All],[PID]],0))</f>
        <v/>
      </c>
      <c r="BI373" s="47" t="str">
        <f>INDEX(Table5[[#All],[Rnd]],MATCH(Table3[[#This Row],[PID]],Table5[[#All],[PID]],0))</f>
        <v/>
      </c>
      <c r="BJ373" s="47" t="str">
        <f>INDEX(Table5[[#All],[Pick]],MATCH(Table3[[#This Row],[PID]],Table5[[#All],[PID]],0))</f>
        <v/>
      </c>
      <c r="BK373" s="47" t="str">
        <f>INDEX(Table5[[#All],[Team]],MATCH(Table3[[#This Row],[PID]],Table5[[#All],[PID]],0))</f>
        <v/>
      </c>
      <c r="BL3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4" spans="1:64" ht="15" customHeight="1" x14ac:dyDescent="0.25">
      <c r="A374" s="42">
        <v>9196</v>
      </c>
      <c r="B374" s="42" t="s">
        <v>24</v>
      </c>
      <c r="C374" s="42" t="s">
        <v>370</v>
      </c>
      <c r="D374" s="42" t="s">
        <v>1061</v>
      </c>
      <c r="E374" s="42">
        <v>21</v>
      </c>
      <c r="F374" s="42" t="s">
        <v>42</v>
      </c>
      <c r="G374" s="42" t="s">
        <v>42</v>
      </c>
      <c r="H374" s="43" t="s">
        <v>721</v>
      </c>
      <c r="I374" s="44" t="s">
        <v>43</v>
      </c>
      <c r="J374" s="42" t="s">
        <v>43</v>
      </c>
      <c r="K374" s="43" t="s">
        <v>44</v>
      </c>
      <c r="L374" s="42">
        <v>2</v>
      </c>
      <c r="M374" s="42">
        <v>2</v>
      </c>
      <c r="N374" s="43">
        <v>1</v>
      </c>
      <c r="O374" s="42">
        <v>4</v>
      </c>
      <c r="P374" s="42">
        <v>2</v>
      </c>
      <c r="Q374" s="43">
        <v>2</v>
      </c>
      <c r="R374" s="42">
        <v>4</v>
      </c>
      <c r="S374" s="42">
        <v>6</v>
      </c>
      <c r="T374" s="42">
        <v>1</v>
      </c>
      <c r="U374" s="42">
        <v>6</v>
      </c>
      <c r="V374" s="42">
        <v>2</v>
      </c>
      <c r="W374" s="42">
        <v>2</v>
      </c>
      <c r="X374" s="42">
        <v>3</v>
      </c>
      <c r="Y374" s="42">
        <v>5</v>
      </c>
      <c r="Z374" s="42" t="s">
        <v>45</v>
      </c>
      <c r="AA374" s="42" t="s">
        <v>45</v>
      </c>
      <c r="AB374" s="42">
        <v>3</v>
      </c>
      <c r="AC374" s="42">
        <v>4</v>
      </c>
      <c r="AD374" s="42" t="s">
        <v>45</v>
      </c>
      <c r="AE374" s="42" t="s">
        <v>45</v>
      </c>
      <c r="AF374" s="42" t="s">
        <v>45</v>
      </c>
      <c r="AG374" s="42" t="s">
        <v>45</v>
      </c>
      <c r="AH374" s="42" t="s">
        <v>45</v>
      </c>
      <c r="AI374" s="42" t="s">
        <v>45</v>
      </c>
      <c r="AJ374" s="42" t="s">
        <v>45</v>
      </c>
      <c r="AK374" s="42" t="s">
        <v>45</v>
      </c>
      <c r="AL374" s="42" t="s">
        <v>45</v>
      </c>
      <c r="AM374" s="42" t="s">
        <v>45</v>
      </c>
      <c r="AN374" s="42" t="s">
        <v>45</v>
      </c>
      <c r="AO374" s="43" t="s">
        <v>45</v>
      </c>
      <c r="AP374" s="42" t="s">
        <v>57</v>
      </c>
      <c r="AQ374" s="42">
        <v>6</v>
      </c>
      <c r="AR374" s="50" t="s">
        <v>353</v>
      </c>
      <c r="AS374" s="45" t="s">
        <v>45</v>
      </c>
      <c r="AT374" s="45" t="s">
        <v>47</v>
      </c>
      <c r="AU374" s="46">
        <f>($O$3*(L374-$O$1)/$O$2+$P$3*(M374-$P$1)/$P$2+$Q$3*(N374-$P$1)/$Q$2)/SUM($O$3:$Q$3)</f>
        <v>-2.311361197028369</v>
      </c>
      <c r="AV374" s="46">
        <f>($O$3*(O374-$O$1)/$O$2+$P$3*(P374-$P$1)/$P$2+$Q$3*(Q374-$Q$1)/$Q$2)/SUM($O$3:$Q$3)</f>
        <v>-1.23416323121884</v>
      </c>
      <c r="AW374" s="47">
        <f>COUNT(R374:AO374)/2</f>
        <v>5</v>
      </c>
      <c r="AX374" s="47">
        <f>IF(AND(S374&lt;&gt;"-",S374&gt;5),1,0)+IF(AND(U374&lt;&gt;"-",U374&gt;5),1,0)+IF(AND(W374&lt;&gt;"-",W374&gt;5),1,0)+IF(AND(Y374&lt;&gt;"-",Y374&gt;5),1,0)+IF(AND(AA374&lt;&gt;"-",AA374&gt;5),1,0)+IF(AND(AC374&lt;&gt;"-",AC374&gt;5),1,0)+IF(AND(AE374&lt;&gt;"-",AE374&gt;5),1,0)+IF(AND(AG374&lt;&gt;"-",AG374&gt;5),1,0)+IF(AND(AI374&lt;&gt;"-",AI374&gt;5),1,0)+IF(AND(AK374&lt;&gt;"-",AK374&gt;5),1,0)+IF(AND(AM374&lt;&gt;"-",AM374&gt;5),1,0)+IF(AND(AO374&lt;&gt;"-",AO374&gt;5),1,0)</f>
        <v>2</v>
      </c>
      <c r="AY374" s="48">
        <f>VLOOKUP(AP374,COND!$A$10:$B$32,2,FALSE)</f>
        <v>1</v>
      </c>
      <c r="AZ374" s="46">
        <f>($AU$3*AU374+$AV$3*AV374+$AW$3*AW374+$AX$3*AX374)*AY374*IF(AQ374&lt;5,0.95,IF(AQ374&lt;7,0.975,1))+$I$3*VLOOKUP(I374,COND!$A$2:$E$7,4,FALSE)+$J$3*VLOOKUP(J374,COND!$A$2:$E$7,2,FALSE)+$K$3*VLOOKUP(K374,COND!$A$2:$E$7,3,FALSE)+IF(BB374="SP",$BB$3,0)+IF($AW374&lt;3,-5,0)+IF(AND($B$2&gt;0,$E374&lt;20),$B$2*25,0)</f>
        <v>27.058101557812087</v>
      </c>
      <c r="BA374" s="49">
        <f>STANDARDIZE(AZ374,AVERAGE($AZ$5:$AZ$570),STDEVP($AZ$5:$AZ$570))</f>
        <v>-0.51942669954894927</v>
      </c>
      <c r="BB374" s="47" t="str">
        <f>IF(OR(AND(AQ374&gt;7,AX374&gt;1),AND(AQ374&gt;4,AW374&gt;2)),"SP","RP")</f>
        <v>SP</v>
      </c>
      <c r="BC374" s="47"/>
      <c r="BD374" s="47"/>
      <c r="BE374" s="47"/>
      <c r="BF374" s="47" t="str">
        <f>IF(AVERAGE($O374:$Q374)&gt;=6,"Likely",IF(AVERAGE($O374:$Q374)&gt;=4,"Possible","Unlikely"))</f>
        <v>Unlikely</v>
      </c>
      <c r="BG374" s="47"/>
      <c r="BH374" s="47" t="str">
        <f>INDEX(Table5[[#All],[Ovr]],MATCH(Table3[[#This Row],[PID]],Table5[[#All],[PID]],0))</f>
        <v/>
      </c>
      <c r="BI374" s="47" t="str">
        <f>INDEX(Table5[[#All],[Rnd]],MATCH(Table3[[#This Row],[PID]],Table5[[#All],[PID]],0))</f>
        <v/>
      </c>
      <c r="BJ374" s="47" t="str">
        <f>INDEX(Table5[[#All],[Pick]],MATCH(Table3[[#This Row],[PID]],Table5[[#All],[PID]],0))</f>
        <v/>
      </c>
      <c r="BK374" s="47" t="str">
        <f>INDEX(Table5[[#All],[Team]],MATCH(Table3[[#This Row],[PID]],Table5[[#All],[PID]],0))</f>
        <v/>
      </c>
      <c r="BL3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5" spans="1:64" ht="15" customHeight="1" x14ac:dyDescent="0.25">
      <c r="A375" s="42">
        <v>8383</v>
      </c>
      <c r="B375" s="42" t="s">
        <v>430</v>
      </c>
      <c r="C375" s="42" t="s">
        <v>1540</v>
      </c>
      <c r="D375" s="42" t="s">
        <v>1541</v>
      </c>
      <c r="E375" s="42">
        <v>21</v>
      </c>
      <c r="F375" s="42" t="s">
        <v>42</v>
      </c>
      <c r="G375" s="42" t="s">
        <v>42</v>
      </c>
      <c r="H375" s="43" t="s">
        <v>721</v>
      </c>
      <c r="I375" s="44" t="s">
        <v>44</v>
      </c>
      <c r="J375" s="42" t="s">
        <v>44</v>
      </c>
      <c r="K375" s="43" t="s">
        <v>44</v>
      </c>
      <c r="L375" s="42">
        <v>2</v>
      </c>
      <c r="M375" s="42">
        <v>2</v>
      </c>
      <c r="N375" s="43">
        <v>1</v>
      </c>
      <c r="O375" s="42">
        <v>5</v>
      </c>
      <c r="P375" s="42">
        <v>2</v>
      </c>
      <c r="Q375" s="43">
        <v>2</v>
      </c>
      <c r="R375" s="42">
        <v>4</v>
      </c>
      <c r="S375" s="42">
        <v>6</v>
      </c>
      <c r="T375" s="42">
        <v>1</v>
      </c>
      <c r="U375" s="42">
        <v>1</v>
      </c>
      <c r="V375" s="42" t="s">
        <v>45</v>
      </c>
      <c r="W375" s="42" t="s">
        <v>45</v>
      </c>
      <c r="X375" s="42" t="s">
        <v>45</v>
      </c>
      <c r="Y375" s="42" t="s">
        <v>45</v>
      </c>
      <c r="Z375" s="42">
        <v>3</v>
      </c>
      <c r="AA375" s="42">
        <v>5</v>
      </c>
      <c r="AB375" s="42" t="s">
        <v>45</v>
      </c>
      <c r="AC375" s="42" t="s">
        <v>45</v>
      </c>
      <c r="AD375" s="42" t="s">
        <v>45</v>
      </c>
      <c r="AE375" s="42" t="s">
        <v>45</v>
      </c>
      <c r="AF375" s="42" t="s">
        <v>45</v>
      </c>
      <c r="AG375" s="42" t="s">
        <v>45</v>
      </c>
      <c r="AH375" s="42" t="s">
        <v>45</v>
      </c>
      <c r="AI375" s="42" t="s">
        <v>45</v>
      </c>
      <c r="AJ375" s="42" t="s">
        <v>45</v>
      </c>
      <c r="AK375" s="42" t="s">
        <v>45</v>
      </c>
      <c r="AL375" s="42" t="s">
        <v>45</v>
      </c>
      <c r="AM375" s="42" t="s">
        <v>45</v>
      </c>
      <c r="AN375" s="42" t="s">
        <v>45</v>
      </c>
      <c r="AO375" s="43" t="s">
        <v>45</v>
      </c>
      <c r="AP375" s="42" t="s">
        <v>356</v>
      </c>
      <c r="AQ375" s="42">
        <v>8</v>
      </c>
      <c r="AR375" s="50" t="s">
        <v>353</v>
      </c>
      <c r="AS375" s="45" t="s">
        <v>45</v>
      </c>
      <c r="AT375" s="45" t="s">
        <v>705</v>
      </c>
      <c r="AU375" s="46">
        <f>($O$3*(L375-$O$1)/$O$2+$P$3*(M375-$P$1)/$P$2+$Q$3*(N375-$P$1)/$Q$2)/SUM($O$3:$Q$3)</f>
        <v>-2.311361197028369</v>
      </c>
      <c r="AV375" s="46">
        <f>($O$3*(O375-$O$1)/$O$2+$P$3*(P375-$P$1)/$P$2+$Q$3*(Q375-$Q$1)/$Q$2)/SUM($O$3:$Q$3)</f>
        <v>-1.0394719067096667</v>
      </c>
      <c r="AW375" s="47">
        <f>COUNT(R375:AO375)/2</f>
        <v>3</v>
      </c>
      <c r="AX375" s="47">
        <f>IF(AND(S375&lt;&gt;"-",S375&gt;5),1,0)+IF(AND(U375&lt;&gt;"-",U375&gt;5),1,0)+IF(AND(W375&lt;&gt;"-",W375&gt;5),1,0)+IF(AND(Y375&lt;&gt;"-",Y375&gt;5),1,0)+IF(AND(AA375&lt;&gt;"-",AA375&gt;5),1,0)+IF(AND(AC375&lt;&gt;"-",AC375&gt;5),1,0)+IF(AND(AE375&lt;&gt;"-",AE375&gt;5),1,0)+IF(AND(AG375&lt;&gt;"-",AG375&gt;5),1,0)+IF(AND(AI375&lt;&gt;"-",AI375&gt;5),1,0)+IF(AND(AK375&lt;&gt;"-",AK375&gt;5),1,0)+IF(AND(AM375&lt;&gt;"-",AM375&gt;5),1,0)+IF(AND(AO375&lt;&gt;"-",AO375&gt;5),1,0)</f>
        <v>1</v>
      </c>
      <c r="AY375" s="48">
        <f>VLOOKUP(AP375,COND!$A$10:$B$32,2,FALSE)</f>
        <v>1</v>
      </c>
      <c r="AZ375" s="46">
        <f>($AU$3*AU375+$AV$3*AV375+$AW$3*AW375+$AX$3*AX375)*AY375*IF(AQ375&lt;5,0.95,IF(AQ375&lt;7,0.975,1))+$I$3*VLOOKUP(I375,COND!$A$2:$E$7,4,FALSE)+$J$3*VLOOKUP(J375,COND!$A$2:$E$7,2,FALSE)+$K$3*VLOOKUP(K375,COND!$A$2:$E$7,3,FALSE)+IF(BB375="SP",$BB$3,0)+IF($AW375&lt;3,-5,0)+IF(AND($B$2&gt;0,$E375&lt;20),$B$2*25,0)</f>
        <v>27.74828962640099</v>
      </c>
      <c r="BA375" s="49">
        <f>STANDARDIZE(AZ375,AVERAGE($AZ$5:$AZ$570),STDEVP($AZ$5:$AZ$570))</f>
        <v>-0.45613350373354289</v>
      </c>
      <c r="BB375" s="47" t="str">
        <f>IF(OR(AND(AQ375&gt;7,AX375&gt;1),AND(AQ375&gt;4,AW375&gt;2)),"SP","RP")</f>
        <v>SP</v>
      </c>
      <c r="BC375" s="47"/>
      <c r="BD375" s="47"/>
      <c r="BE375" s="47"/>
      <c r="BF375" s="47" t="str">
        <f>IF(AVERAGE($O375:$Q375)&gt;=6,"Likely",IF(AVERAGE($O375:$Q375)&gt;=4,"Possible","Unlikely"))</f>
        <v>Unlikely</v>
      </c>
      <c r="BG375" s="47"/>
      <c r="BH375" s="47" t="str">
        <f>INDEX(Table5[[#All],[Ovr]],MATCH(Table3[[#This Row],[PID]],Table5[[#All],[PID]],0))</f>
        <v/>
      </c>
      <c r="BI375" s="47" t="str">
        <f>INDEX(Table5[[#All],[Rnd]],MATCH(Table3[[#This Row],[PID]],Table5[[#All],[PID]],0))</f>
        <v/>
      </c>
      <c r="BJ375" s="47" t="str">
        <f>INDEX(Table5[[#All],[Pick]],MATCH(Table3[[#This Row],[PID]],Table5[[#All],[PID]],0))</f>
        <v/>
      </c>
      <c r="BK375" s="47" t="str">
        <f>INDEX(Table5[[#All],[Team]],MATCH(Table3[[#This Row],[PID]],Table5[[#All],[PID]],0))</f>
        <v/>
      </c>
      <c r="BL3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6" spans="1:64" ht="15" customHeight="1" x14ac:dyDescent="0.25">
      <c r="A376" s="42">
        <v>17841</v>
      </c>
      <c r="B376" s="42" t="s">
        <v>24</v>
      </c>
      <c r="C376" s="42" t="s">
        <v>1486</v>
      </c>
      <c r="D376" s="42" t="s">
        <v>1656</v>
      </c>
      <c r="E376" s="42">
        <v>17</v>
      </c>
      <c r="F376" s="42" t="s">
        <v>53</v>
      </c>
      <c r="G376" s="42" t="s">
        <v>53</v>
      </c>
      <c r="H376" s="43" t="s">
        <v>721</v>
      </c>
      <c r="I376" s="44" t="s">
        <v>43</v>
      </c>
      <c r="J376" s="42" t="s">
        <v>43</v>
      </c>
      <c r="K376" s="43" t="s">
        <v>43</v>
      </c>
      <c r="L376" s="42">
        <v>2</v>
      </c>
      <c r="M376" s="42">
        <v>1</v>
      </c>
      <c r="N376" s="43">
        <v>1</v>
      </c>
      <c r="O376" s="42">
        <v>4</v>
      </c>
      <c r="P376" s="42">
        <v>1</v>
      </c>
      <c r="Q376" s="43">
        <v>2</v>
      </c>
      <c r="R376" s="42">
        <v>4</v>
      </c>
      <c r="S376" s="42">
        <v>5</v>
      </c>
      <c r="T376" s="42">
        <v>1</v>
      </c>
      <c r="U376" s="42">
        <v>5</v>
      </c>
      <c r="V376" s="42">
        <v>3</v>
      </c>
      <c r="W376" s="42">
        <v>6</v>
      </c>
      <c r="X376" s="42" t="s">
        <v>45</v>
      </c>
      <c r="Y376" s="42" t="s">
        <v>45</v>
      </c>
      <c r="Z376" s="42" t="s">
        <v>45</v>
      </c>
      <c r="AA376" s="42" t="s">
        <v>45</v>
      </c>
      <c r="AB376" s="42" t="s">
        <v>45</v>
      </c>
      <c r="AC376" s="42" t="s">
        <v>45</v>
      </c>
      <c r="AD376" s="42" t="s">
        <v>45</v>
      </c>
      <c r="AE376" s="42" t="s">
        <v>45</v>
      </c>
      <c r="AF376" s="42" t="s">
        <v>45</v>
      </c>
      <c r="AG376" s="42" t="s">
        <v>45</v>
      </c>
      <c r="AH376" s="42" t="s">
        <v>45</v>
      </c>
      <c r="AI376" s="42" t="s">
        <v>45</v>
      </c>
      <c r="AJ376" s="42" t="s">
        <v>45</v>
      </c>
      <c r="AK376" s="42" t="s">
        <v>45</v>
      </c>
      <c r="AL376" s="42" t="s">
        <v>45</v>
      </c>
      <c r="AM376" s="42" t="s">
        <v>45</v>
      </c>
      <c r="AN376" s="42" t="s">
        <v>45</v>
      </c>
      <c r="AO376" s="43" t="s">
        <v>45</v>
      </c>
      <c r="AP376" s="42" t="s">
        <v>58</v>
      </c>
      <c r="AQ376" s="42">
        <v>5</v>
      </c>
      <c r="AR376" s="50" t="s">
        <v>14</v>
      </c>
      <c r="AS376" s="45" t="s">
        <v>739</v>
      </c>
      <c r="AT376" s="45" t="s">
        <v>705</v>
      </c>
      <c r="AU376" s="46">
        <f>($O$3*(L376-$O$1)/$O$2+$P$3*(M376-$P$1)/$P$2+$Q$3*(N376-$P$1)/$Q$2)/SUM($O$3:$Q$3)</f>
        <v>-2.5067929134584248</v>
      </c>
      <c r="AV376" s="46">
        <f>($O$3*(O376-$O$1)/$O$2+$P$3*(P376-$P$1)/$P$2+$Q$3*(Q376-$Q$1)/$Q$2)/SUM($O$3:$Q$3)</f>
        <v>-1.4295949476488956</v>
      </c>
      <c r="AW376" s="47">
        <f>COUNT(R376:AO376)/2</f>
        <v>3</v>
      </c>
      <c r="AX376" s="47">
        <f>IF(AND(S376&lt;&gt;"-",S376&gt;5),1,0)+IF(AND(U376&lt;&gt;"-",U376&gt;5),1,0)+IF(AND(W376&lt;&gt;"-",W376&gt;5),1,0)+IF(AND(Y376&lt;&gt;"-",Y376&gt;5),1,0)+IF(AND(AA376&lt;&gt;"-",AA376&gt;5),1,0)+IF(AND(AC376&lt;&gt;"-",AC376&gt;5),1,0)+IF(AND(AE376&lt;&gt;"-",AE376&gt;5),1,0)+IF(AND(AG376&lt;&gt;"-",AG376&gt;5),1,0)+IF(AND(AI376&lt;&gt;"-",AI376&gt;5),1,0)+IF(AND(AK376&lt;&gt;"-",AK376&gt;5),1,0)+IF(AND(AM376&lt;&gt;"-",AM376&gt;5),1,0)+IF(AND(AO376&lt;&gt;"-",AO376&gt;5),1,0)</f>
        <v>1</v>
      </c>
      <c r="AY376" s="48">
        <f>VLOOKUP(AP376,COND!$A$10:$B$32,2,FALSE)</f>
        <v>1</v>
      </c>
      <c r="AZ376" s="46">
        <f>($AU$3*AU376+$AV$3*AV376+$AW$3*AW376+$AX$3*AX376)*AY376*IF(AQ376&lt;5,0.95,IF(AQ376&lt;7,0.975,1))+$I$3*VLOOKUP(I376,COND!$A$2:$E$7,4,FALSE)+$J$3*VLOOKUP(J376,COND!$A$2:$E$7,2,FALSE)+$K$3*VLOOKUP(K376,COND!$A$2:$E$7,3,FALSE)+IF(BB376="SP",$BB$3,0)+IF($AW376&lt;3,-5,0)+IF(AND($B$2&gt;0,$E376&lt;20),$B$2*25,0)</f>
        <v>26.315323902722142</v>
      </c>
      <c r="BA376" s="49">
        <f>STANDARDIZE(AZ376,AVERAGE($AZ$5:$AZ$570),STDEVP($AZ$5:$AZ$570))</f>
        <v>-0.58754258521911795</v>
      </c>
      <c r="BB376" s="47" t="str">
        <f>IF(OR(AND(AQ376&gt;7,AX376&gt;1),AND(AQ376&gt;4,AW376&gt;2)),"SP","RP")</f>
        <v>SP</v>
      </c>
      <c r="BC376" s="47"/>
      <c r="BD376" s="47"/>
      <c r="BE376" s="47"/>
      <c r="BF376" s="47" t="str">
        <f>IF(AVERAGE($O376:$Q376)&gt;=6,"Likely",IF(AVERAGE($O376:$Q376)&gt;=4,"Possible","Unlikely"))</f>
        <v>Unlikely</v>
      </c>
      <c r="BG376" s="47"/>
      <c r="BH376" s="47" t="str">
        <f>INDEX(Table5[[#All],[Ovr]],MATCH(Table3[[#This Row],[PID]],Table5[[#All],[PID]],0))</f>
        <v/>
      </c>
      <c r="BI376" s="47" t="str">
        <f>INDEX(Table5[[#All],[Rnd]],MATCH(Table3[[#This Row],[PID]],Table5[[#All],[PID]],0))</f>
        <v/>
      </c>
      <c r="BJ376" s="47" t="str">
        <f>INDEX(Table5[[#All],[Pick]],MATCH(Table3[[#This Row],[PID]],Table5[[#All],[PID]],0))</f>
        <v/>
      </c>
      <c r="BK376" s="47" t="str">
        <f>INDEX(Table5[[#All],[Team]],MATCH(Table3[[#This Row],[PID]],Table5[[#All],[PID]],0))</f>
        <v/>
      </c>
      <c r="BL3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7" spans="1:64" ht="15" customHeight="1" x14ac:dyDescent="0.25">
      <c r="A377" s="42">
        <v>7507</v>
      </c>
      <c r="B377" s="42" t="s">
        <v>430</v>
      </c>
      <c r="C377" s="42" t="s">
        <v>338</v>
      </c>
      <c r="D377" s="42" t="s">
        <v>1599</v>
      </c>
      <c r="E377" s="42">
        <v>21</v>
      </c>
      <c r="F377" s="42" t="s">
        <v>42</v>
      </c>
      <c r="G377" s="42" t="s">
        <v>42</v>
      </c>
      <c r="H377" s="43" t="s">
        <v>721</v>
      </c>
      <c r="I377" s="44" t="s">
        <v>43</v>
      </c>
      <c r="J377" s="42" t="s">
        <v>44</v>
      </c>
      <c r="K377" s="43" t="s">
        <v>43</v>
      </c>
      <c r="L377" s="42">
        <v>1</v>
      </c>
      <c r="M377" s="42">
        <v>2</v>
      </c>
      <c r="N377" s="43">
        <v>1</v>
      </c>
      <c r="O377" s="42">
        <v>4</v>
      </c>
      <c r="P377" s="42">
        <v>2</v>
      </c>
      <c r="Q377" s="43">
        <v>2</v>
      </c>
      <c r="R377" s="42">
        <v>2</v>
      </c>
      <c r="S377" s="42">
        <v>3</v>
      </c>
      <c r="T377" s="42">
        <v>2</v>
      </c>
      <c r="U377" s="42">
        <v>6</v>
      </c>
      <c r="V377" s="42" t="s">
        <v>45</v>
      </c>
      <c r="W377" s="42" t="s">
        <v>45</v>
      </c>
      <c r="X377" s="42">
        <v>2</v>
      </c>
      <c r="Y377" s="42">
        <v>5</v>
      </c>
      <c r="Z377" s="42" t="s">
        <v>45</v>
      </c>
      <c r="AA377" s="42" t="s">
        <v>45</v>
      </c>
      <c r="AB377" s="42" t="s">
        <v>45</v>
      </c>
      <c r="AC377" s="42" t="s">
        <v>45</v>
      </c>
      <c r="AD377" s="42" t="s">
        <v>45</v>
      </c>
      <c r="AE377" s="42" t="s">
        <v>45</v>
      </c>
      <c r="AF377" s="42" t="s">
        <v>45</v>
      </c>
      <c r="AG377" s="42" t="s">
        <v>45</v>
      </c>
      <c r="AH377" s="42" t="s">
        <v>45</v>
      </c>
      <c r="AI377" s="42" t="s">
        <v>45</v>
      </c>
      <c r="AJ377" s="42" t="s">
        <v>45</v>
      </c>
      <c r="AK377" s="42" t="s">
        <v>45</v>
      </c>
      <c r="AL377" s="42" t="s">
        <v>45</v>
      </c>
      <c r="AM377" s="42" t="s">
        <v>45</v>
      </c>
      <c r="AN377" s="42" t="s">
        <v>45</v>
      </c>
      <c r="AO377" s="43" t="s">
        <v>45</v>
      </c>
      <c r="AP377" s="42" t="s">
        <v>67</v>
      </c>
      <c r="AQ377" s="42">
        <v>5</v>
      </c>
      <c r="AR377" s="50" t="s">
        <v>353</v>
      </c>
      <c r="AS377" s="45" t="s">
        <v>45</v>
      </c>
      <c r="AT377" s="45" t="s">
        <v>47</v>
      </c>
      <c r="AU377" s="46">
        <f>($O$3*(L377-$O$1)/$O$2+$P$3*(M377-$P$1)/$P$2+$Q$3*(N377-$P$1)/$Q$2)/SUM($O$3:$Q$3)</f>
        <v>-2.5060525215375429</v>
      </c>
      <c r="AV377" s="46">
        <f>($O$3*(O377-$O$1)/$O$2+$P$3*(P377-$P$1)/$P$2+$Q$3*(Q377-$Q$1)/$Q$2)/SUM($O$3:$Q$3)</f>
        <v>-1.23416323121884</v>
      </c>
      <c r="AW377" s="47">
        <f>COUNT(R377:AO377)/2</f>
        <v>3</v>
      </c>
      <c r="AX377" s="47">
        <f>IF(AND(S377&lt;&gt;"-",S377&gt;5),1,0)+IF(AND(U377&lt;&gt;"-",U377&gt;5),1,0)+IF(AND(W377&lt;&gt;"-",W377&gt;5),1,0)+IF(AND(Y377&lt;&gt;"-",Y377&gt;5),1,0)+IF(AND(AA377&lt;&gt;"-",AA377&gt;5),1,0)+IF(AND(AC377&lt;&gt;"-",AC377&gt;5),1,0)+IF(AND(AE377&lt;&gt;"-",AE377&gt;5),1,0)+IF(AND(AG377&lt;&gt;"-",AG377&gt;5),1,0)+IF(AND(AI377&lt;&gt;"-",AI377&gt;5),1,0)+IF(AND(AK377&lt;&gt;"-",AK377&gt;5),1,0)+IF(AND(AM377&lt;&gt;"-",AM377&gt;5),1,0)+IF(AND(AO377&lt;&gt;"-",AO377&gt;5),1,0)</f>
        <v>1</v>
      </c>
      <c r="AY377" s="48">
        <f>VLOOKUP(AP377,COND!$A$10:$B$32,2,FALSE)</f>
        <v>0.9</v>
      </c>
      <c r="AZ377" s="46">
        <f>($AU$3*AU377+$AV$3*AV377+$AW$3*AW377+$AX$3*AX377)*AY377*IF(AQ377&lt;5,0.95,IF(AQ377&lt;7,0.975,1))+$I$3*VLOOKUP(I377,COND!$A$2:$E$7,4,FALSE)+$J$3*VLOOKUP(J377,COND!$A$2:$E$7,2,FALSE)+$K$3*VLOOKUP(K377,COND!$A$2:$E$7,3,FALSE)+IF(BB377="SP",$BB$3,0)+IF($AW377&lt;3,-5,0)+IF(AND($B$2&gt;0,$E377&lt;20),$B$2*25,0)</f>
        <v>27.013748074579521</v>
      </c>
      <c r="BA377" s="49">
        <f>STANDARDIZE(AZ377,AVERAGE($AZ$5:$AZ$570),STDEVP($AZ$5:$AZ$570))</f>
        <v>-0.52349410353214709</v>
      </c>
      <c r="BB377" s="47" t="str">
        <f>IF(OR(AND(AQ377&gt;7,AX377&gt;1),AND(AQ377&gt;4,AW377&gt;2)),"SP","RP")</f>
        <v>SP</v>
      </c>
      <c r="BC377" s="47"/>
      <c r="BD377" s="47"/>
      <c r="BE377" s="47"/>
      <c r="BF377" s="47" t="str">
        <f>IF(AVERAGE($O377:$Q377)&gt;=6,"Likely",IF(AVERAGE($O377:$Q377)&gt;=4,"Possible","Unlikely"))</f>
        <v>Unlikely</v>
      </c>
      <c r="BG377" s="47"/>
      <c r="BH377" s="47" t="str">
        <f>INDEX(Table5[[#All],[Ovr]],MATCH(Table3[[#This Row],[PID]],Table5[[#All],[PID]],0))</f>
        <v/>
      </c>
      <c r="BI377" s="47" t="str">
        <f>INDEX(Table5[[#All],[Rnd]],MATCH(Table3[[#This Row],[PID]],Table5[[#All],[PID]],0))</f>
        <v/>
      </c>
      <c r="BJ377" s="47" t="str">
        <f>INDEX(Table5[[#All],[Pick]],MATCH(Table3[[#This Row],[PID]],Table5[[#All],[PID]],0))</f>
        <v/>
      </c>
      <c r="BK377" s="47" t="str">
        <f>INDEX(Table5[[#All],[Team]],MATCH(Table3[[#This Row],[PID]],Table5[[#All],[PID]],0))</f>
        <v/>
      </c>
      <c r="BL3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8" spans="1:64" ht="15" customHeight="1" x14ac:dyDescent="0.25">
      <c r="A378" s="42">
        <v>16353</v>
      </c>
      <c r="B378" s="42" t="s">
        <v>430</v>
      </c>
      <c r="C378" s="42" t="s">
        <v>1715</v>
      </c>
      <c r="D378" s="42" t="s">
        <v>393</v>
      </c>
      <c r="E378" s="42">
        <v>21</v>
      </c>
      <c r="F378" s="42" t="s">
        <v>42</v>
      </c>
      <c r="G378" s="42" t="s">
        <v>42</v>
      </c>
      <c r="H378" s="43" t="s">
        <v>721</v>
      </c>
      <c r="I378" s="44" t="s">
        <v>43</v>
      </c>
      <c r="J378" s="42" t="s">
        <v>44</v>
      </c>
      <c r="K378" s="43" t="s">
        <v>43</v>
      </c>
      <c r="L378" s="42">
        <v>1</v>
      </c>
      <c r="M378" s="42">
        <v>2</v>
      </c>
      <c r="N378" s="43">
        <v>1</v>
      </c>
      <c r="O378" s="42">
        <v>4</v>
      </c>
      <c r="P378" s="42">
        <v>2</v>
      </c>
      <c r="Q378" s="43">
        <v>2</v>
      </c>
      <c r="R378" s="42">
        <v>3</v>
      </c>
      <c r="S378" s="42">
        <v>5</v>
      </c>
      <c r="T378" s="42">
        <v>1</v>
      </c>
      <c r="U378" s="42">
        <v>1</v>
      </c>
      <c r="V378" s="42">
        <v>2</v>
      </c>
      <c r="W378" s="42">
        <v>6</v>
      </c>
      <c r="X378" s="42" t="s">
        <v>45</v>
      </c>
      <c r="Y378" s="42" t="s">
        <v>45</v>
      </c>
      <c r="Z378" s="42" t="s">
        <v>45</v>
      </c>
      <c r="AA378" s="42" t="s">
        <v>45</v>
      </c>
      <c r="AB378" s="42" t="s">
        <v>45</v>
      </c>
      <c r="AC378" s="42" t="s">
        <v>45</v>
      </c>
      <c r="AD378" s="42" t="s">
        <v>45</v>
      </c>
      <c r="AE378" s="42" t="s">
        <v>45</v>
      </c>
      <c r="AF378" s="42" t="s">
        <v>45</v>
      </c>
      <c r="AG378" s="42" t="s">
        <v>45</v>
      </c>
      <c r="AH378" s="42" t="s">
        <v>45</v>
      </c>
      <c r="AI378" s="42" t="s">
        <v>45</v>
      </c>
      <c r="AJ378" s="42" t="s">
        <v>45</v>
      </c>
      <c r="AK378" s="42" t="s">
        <v>45</v>
      </c>
      <c r="AL378" s="42" t="s">
        <v>45</v>
      </c>
      <c r="AM378" s="42" t="s">
        <v>45</v>
      </c>
      <c r="AN378" s="42" t="s">
        <v>45</v>
      </c>
      <c r="AO378" s="43" t="s">
        <v>45</v>
      </c>
      <c r="AP378" s="42" t="s">
        <v>67</v>
      </c>
      <c r="AQ378" s="42">
        <v>6</v>
      </c>
      <c r="AR378" s="50" t="s">
        <v>353</v>
      </c>
      <c r="AS378" s="45" t="s">
        <v>45</v>
      </c>
      <c r="AT378" s="45" t="s">
        <v>47</v>
      </c>
      <c r="AU378" s="46">
        <f>($O$3*(L378-$O$1)/$O$2+$P$3*(M378-$P$1)/$P$2+$Q$3*(N378-$P$1)/$Q$2)/SUM($O$3:$Q$3)</f>
        <v>-2.5060525215375429</v>
      </c>
      <c r="AV378" s="46">
        <f>($O$3*(O378-$O$1)/$O$2+$P$3*(P378-$P$1)/$P$2+$Q$3*(Q378-$Q$1)/$Q$2)/SUM($O$3:$Q$3)</f>
        <v>-1.23416323121884</v>
      </c>
      <c r="AW378" s="47">
        <f>COUNT(R378:AO378)/2</f>
        <v>3</v>
      </c>
      <c r="AX378" s="47">
        <f>IF(AND(S378&lt;&gt;"-",S378&gt;5),1,0)+IF(AND(U378&lt;&gt;"-",U378&gt;5),1,0)+IF(AND(W378&lt;&gt;"-",W378&gt;5),1,0)+IF(AND(Y378&lt;&gt;"-",Y378&gt;5),1,0)+IF(AND(AA378&lt;&gt;"-",AA378&gt;5),1,0)+IF(AND(AC378&lt;&gt;"-",AC378&gt;5),1,0)+IF(AND(AE378&lt;&gt;"-",AE378&gt;5),1,0)+IF(AND(AG378&lt;&gt;"-",AG378&gt;5),1,0)+IF(AND(AI378&lt;&gt;"-",AI378&gt;5),1,0)+IF(AND(AK378&lt;&gt;"-",AK378&gt;5),1,0)+IF(AND(AM378&lt;&gt;"-",AM378&gt;5),1,0)+IF(AND(AO378&lt;&gt;"-",AO378&gt;5),1,0)</f>
        <v>1</v>
      </c>
      <c r="AY378" s="48">
        <f>VLOOKUP(AP378,COND!$A$10:$B$32,2,FALSE)</f>
        <v>0.9</v>
      </c>
      <c r="AZ378" s="46">
        <f>($AU$3*AU378+$AV$3*AV378+$AW$3*AW378+$AX$3*AX378)*AY378*IF(AQ378&lt;5,0.95,IF(AQ378&lt;7,0.975,1))+$I$3*VLOOKUP(I378,COND!$A$2:$E$7,4,FALSE)+$J$3*VLOOKUP(J378,COND!$A$2:$E$7,2,FALSE)+$K$3*VLOOKUP(K378,COND!$A$2:$E$7,3,FALSE)+IF(BB378="SP",$BB$3,0)+IF($AW378&lt;3,-5,0)+IF(AND($B$2&gt;0,$E378&lt;20),$B$2*25,0)</f>
        <v>27.013748074579521</v>
      </c>
      <c r="BA378" s="49">
        <f>STANDARDIZE(AZ378,AVERAGE($AZ$5:$AZ$570),STDEVP($AZ$5:$AZ$570))</f>
        <v>-0.52349410353214709</v>
      </c>
      <c r="BB378" s="47" t="str">
        <f>IF(OR(AND(AQ378&gt;7,AX378&gt;1),AND(AQ378&gt;4,AW378&gt;2)),"SP","RP")</f>
        <v>SP</v>
      </c>
      <c r="BC378" s="47"/>
      <c r="BD378" s="47"/>
      <c r="BE378" s="47"/>
      <c r="BF378" s="47" t="str">
        <f>IF(AVERAGE($O378:$Q378)&gt;=6,"Likely",IF(AVERAGE($O378:$Q378)&gt;=4,"Possible","Unlikely"))</f>
        <v>Unlikely</v>
      </c>
      <c r="BG378" s="47"/>
      <c r="BH378" s="47" t="str">
        <f>INDEX(Table5[[#All],[Ovr]],MATCH(Table3[[#This Row],[PID]],Table5[[#All],[PID]],0))</f>
        <v/>
      </c>
      <c r="BI378" s="47" t="str">
        <f>INDEX(Table5[[#All],[Rnd]],MATCH(Table3[[#This Row],[PID]],Table5[[#All],[PID]],0))</f>
        <v/>
      </c>
      <c r="BJ378" s="47" t="str">
        <f>INDEX(Table5[[#All],[Pick]],MATCH(Table3[[#This Row],[PID]],Table5[[#All],[PID]],0))</f>
        <v/>
      </c>
      <c r="BK378" s="47" t="str">
        <f>INDEX(Table5[[#All],[Team]],MATCH(Table3[[#This Row],[PID]],Table5[[#All],[PID]],0))</f>
        <v/>
      </c>
      <c r="BL3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9" spans="1:64" ht="15" customHeight="1" x14ac:dyDescent="0.25">
      <c r="A379" s="42">
        <v>15282</v>
      </c>
      <c r="B379" s="42" t="s">
        <v>430</v>
      </c>
      <c r="C379" s="42" t="s">
        <v>128</v>
      </c>
      <c r="D379" s="42" t="s">
        <v>722</v>
      </c>
      <c r="E379" s="42">
        <v>18</v>
      </c>
      <c r="F379" s="42" t="s">
        <v>42</v>
      </c>
      <c r="G379" s="42" t="s">
        <v>42</v>
      </c>
      <c r="H379" s="43" t="s">
        <v>721</v>
      </c>
      <c r="I379" s="44" t="s">
        <v>43</v>
      </c>
      <c r="J379" s="42" t="s">
        <v>43</v>
      </c>
      <c r="K379" s="43" t="s">
        <v>43</v>
      </c>
      <c r="L379" s="42">
        <v>1</v>
      </c>
      <c r="M379" s="42">
        <v>2</v>
      </c>
      <c r="N379" s="43">
        <v>1</v>
      </c>
      <c r="O379" s="42">
        <v>3</v>
      </c>
      <c r="P379" s="42">
        <v>2</v>
      </c>
      <c r="Q379" s="43">
        <v>2</v>
      </c>
      <c r="R379" s="42">
        <v>2</v>
      </c>
      <c r="S379" s="42">
        <v>4</v>
      </c>
      <c r="T379" s="42" t="s">
        <v>45</v>
      </c>
      <c r="U379" s="42" t="s">
        <v>45</v>
      </c>
      <c r="V379" s="42">
        <v>1</v>
      </c>
      <c r="W379" s="42">
        <v>5</v>
      </c>
      <c r="X379" s="42">
        <v>1</v>
      </c>
      <c r="Y379" s="42">
        <v>4</v>
      </c>
      <c r="Z379" s="42" t="s">
        <v>45</v>
      </c>
      <c r="AA379" s="42" t="s">
        <v>45</v>
      </c>
      <c r="AB379" s="42" t="s">
        <v>45</v>
      </c>
      <c r="AC379" s="42" t="s">
        <v>45</v>
      </c>
      <c r="AD379" s="42" t="s">
        <v>45</v>
      </c>
      <c r="AE379" s="42" t="s">
        <v>45</v>
      </c>
      <c r="AF379" s="42" t="s">
        <v>45</v>
      </c>
      <c r="AG379" s="42" t="s">
        <v>45</v>
      </c>
      <c r="AH379" s="42" t="s">
        <v>45</v>
      </c>
      <c r="AI379" s="42" t="s">
        <v>45</v>
      </c>
      <c r="AJ379" s="42" t="s">
        <v>45</v>
      </c>
      <c r="AK379" s="42" t="s">
        <v>45</v>
      </c>
      <c r="AL379" s="42" t="s">
        <v>45</v>
      </c>
      <c r="AM379" s="42" t="s">
        <v>45</v>
      </c>
      <c r="AN379" s="42" t="s">
        <v>45</v>
      </c>
      <c r="AO379" s="43" t="s">
        <v>45</v>
      </c>
      <c r="AP379" s="42" t="s">
        <v>67</v>
      </c>
      <c r="AQ379" s="42">
        <v>7</v>
      </c>
      <c r="AR379" s="50" t="s">
        <v>353</v>
      </c>
      <c r="AS379" s="45" t="s">
        <v>718</v>
      </c>
      <c r="AT379" s="45" t="s">
        <v>47</v>
      </c>
      <c r="AU379" s="46">
        <f>($O$3*(L379-$O$1)/$O$2+$P$3*(M379-$P$1)/$P$2+$Q$3*(N379-$P$1)/$Q$2)/SUM($O$3:$Q$3)</f>
        <v>-2.5060525215375429</v>
      </c>
      <c r="AV379" s="46">
        <f>($O$3*(O379-$O$1)/$O$2+$P$3*(P379-$P$1)/$P$2+$Q$3*(Q379-$Q$1)/$Q$2)/SUM($O$3:$Q$3)</f>
        <v>-1.4288545557280135</v>
      </c>
      <c r="AW379" s="47">
        <f>COUNT(R379:AO379)/2</f>
        <v>3</v>
      </c>
      <c r="AX379" s="47">
        <f>IF(AND(S379&lt;&gt;"-",S379&gt;5),1,0)+IF(AND(U379&lt;&gt;"-",U379&gt;5),1,0)+IF(AND(W379&lt;&gt;"-",W379&gt;5),1,0)+IF(AND(Y379&lt;&gt;"-",Y379&gt;5),1,0)+IF(AND(AA379&lt;&gt;"-",AA379&gt;5),1,0)+IF(AND(AC379&lt;&gt;"-",AC379&gt;5),1,0)+IF(AND(AE379&lt;&gt;"-",AE379&gt;5),1,0)+IF(AND(AG379&lt;&gt;"-",AG379&gt;5),1,0)+IF(AND(AI379&lt;&gt;"-",AI379&gt;5),1,0)+IF(AND(AK379&lt;&gt;"-",AK379&gt;5),1,0)+IF(AND(AM379&lt;&gt;"-",AM379&gt;5),1,0)+IF(AND(AO379&lt;&gt;"-",AO379&gt;5),1,0)</f>
        <v>0</v>
      </c>
      <c r="AY379" s="48">
        <f>VLOOKUP(AP379,COND!$A$10:$B$32,2,FALSE)</f>
        <v>0.9</v>
      </c>
      <c r="AZ379" s="46">
        <f>($AU$3*AU379+$AV$3*AV379+$AW$3*AW379+$AX$3*AX379)*AY379*IF(AQ379&lt;5,0.95,IF(AQ379&lt;7,0.975,1))+$I$3*VLOOKUP(I379,COND!$A$2:$E$7,4,FALSE)+$J$3*VLOOKUP(J379,COND!$A$2:$E$7,2,FALSE)+$K$3*VLOOKUP(K379,COND!$A$2:$E$7,3,FALSE)+IF(BB379="SP",$BB$3,0)+IF($AW379&lt;3,-5,0)+IF(AND($B$2&gt;0,$E379&lt;20),$B$2*25,0)</f>
        <v>27.179528543019</v>
      </c>
      <c r="BA379" s="49">
        <f>STANDARDIZE(AZ379,AVERAGE($AZ$5:$AZ$676),STDEVP($AZ$5:$AZ$676))</f>
        <v>-0.28183373660329836</v>
      </c>
      <c r="BB379" s="47" t="str">
        <f>IF(OR(AND(AQ379&gt;7,AX379&gt;1),AND(AQ379&gt;4,AW379&gt;2)),"SP","RP")</f>
        <v>SP</v>
      </c>
      <c r="BC379" s="47"/>
      <c r="BD379" s="47"/>
      <c r="BE379" s="47"/>
      <c r="BF379" s="47" t="str">
        <f>IF(AVERAGE($O379:$Q379)&gt;=6,"Likely",IF(AVERAGE($O379:$Q379)&gt;=4,"Possible","Unlikely"))</f>
        <v>Unlikely</v>
      </c>
      <c r="BG379" s="47"/>
      <c r="BH379" s="47" t="str">
        <f>INDEX(Table5[[#All],[Ovr]],MATCH(Table3[[#This Row],[PID]],Table5[[#All],[PID]],0))</f>
        <v/>
      </c>
      <c r="BI379" s="47" t="str">
        <f>INDEX(Table5[[#All],[Rnd]],MATCH(Table3[[#This Row],[PID]],Table5[[#All],[PID]],0))</f>
        <v/>
      </c>
      <c r="BJ379" s="47" t="str">
        <f>INDEX(Table5[[#All],[Pick]],MATCH(Table3[[#This Row],[PID]],Table5[[#All],[PID]],0))</f>
        <v/>
      </c>
      <c r="BK379" s="47" t="str">
        <f>INDEX(Table5[[#All],[Team]],MATCH(Table3[[#This Row],[PID]],Table5[[#All],[PID]],0))</f>
        <v/>
      </c>
      <c r="BL3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0" spans="1:64" ht="15" customHeight="1" x14ac:dyDescent="0.25">
      <c r="A380" s="42">
        <v>13566</v>
      </c>
      <c r="B380" s="42" t="s">
        <v>430</v>
      </c>
      <c r="C380" s="42" t="s">
        <v>1615</v>
      </c>
      <c r="D380" s="42" t="s">
        <v>796</v>
      </c>
      <c r="E380" s="42">
        <v>18</v>
      </c>
      <c r="F380" s="42" t="s">
        <v>42</v>
      </c>
      <c r="G380" s="42" t="s">
        <v>42</v>
      </c>
      <c r="H380" s="43" t="s">
        <v>721</v>
      </c>
      <c r="I380" s="44" t="s">
        <v>43</v>
      </c>
      <c r="J380" s="42" t="s">
        <v>43</v>
      </c>
      <c r="K380" s="43" t="s">
        <v>43</v>
      </c>
      <c r="L380" s="42">
        <v>1</v>
      </c>
      <c r="M380" s="42">
        <v>1</v>
      </c>
      <c r="N380" s="43">
        <v>1</v>
      </c>
      <c r="O380" s="42">
        <v>4</v>
      </c>
      <c r="P380" s="42">
        <v>1</v>
      </c>
      <c r="Q380" s="43">
        <v>2</v>
      </c>
      <c r="R380" s="42">
        <v>2</v>
      </c>
      <c r="S380" s="42">
        <v>4</v>
      </c>
      <c r="T380" s="42">
        <v>1</v>
      </c>
      <c r="U380" s="42">
        <v>5</v>
      </c>
      <c r="V380" s="42" t="s">
        <v>45</v>
      </c>
      <c r="W380" s="42" t="s">
        <v>45</v>
      </c>
      <c r="X380" s="42" t="s">
        <v>45</v>
      </c>
      <c r="Y380" s="42" t="s">
        <v>45</v>
      </c>
      <c r="Z380" s="42" t="s">
        <v>45</v>
      </c>
      <c r="AA380" s="42" t="s">
        <v>45</v>
      </c>
      <c r="AB380" s="42" t="s">
        <v>45</v>
      </c>
      <c r="AC380" s="42" t="s">
        <v>45</v>
      </c>
      <c r="AD380" s="42">
        <v>2</v>
      </c>
      <c r="AE380" s="42">
        <v>3</v>
      </c>
      <c r="AF380" s="42">
        <v>2</v>
      </c>
      <c r="AG380" s="42">
        <v>2</v>
      </c>
      <c r="AH380" s="42" t="s">
        <v>45</v>
      </c>
      <c r="AI380" s="42" t="s">
        <v>45</v>
      </c>
      <c r="AJ380" s="42" t="s">
        <v>45</v>
      </c>
      <c r="AK380" s="42" t="s">
        <v>45</v>
      </c>
      <c r="AL380" s="42" t="s">
        <v>45</v>
      </c>
      <c r="AM380" s="42" t="s">
        <v>45</v>
      </c>
      <c r="AN380" s="42" t="s">
        <v>45</v>
      </c>
      <c r="AO380" s="43" t="s">
        <v>45</v>
      </c>
      <c r="AP380" s="42" t="s">
        <v>68</v>
      </c>
      <c r="AQ380" s="42">
        <v>10</v>
      </c>
      <c r="AR380" s="50" t="s">
        <v>14</v>
      </c>
      <c r="AS380" s="45" t="s">
        <v>718</v>
      </c>
      <c r="AT380" s="45" t="s">
        <v>705</v>
      </c>
      <c r="AU380" s="46">
        <f>($O$3*(L380-$O$1)/$O$2+$P$3*(M380-$P$1)/$P$2+$Q$3*(N380-$P$1)/$Q$2)/SUM($O$3:$Q$3)</f>
        <v>-2.7014842379675978</v>
      </c>
      <c r="AV380" s="46">
        <f>($O$3*(O380-$O$1)/$O$2+$P$3*(P380-$P$1)/$P$2+$Q$3*(Q380-$Q$1)/$Q$2)/SUM($O$3:$Q$3)</f>
        <v>-1.4295949476488956</v>
      </c>
      <c r="AW380" s="47">
        <f>COUNT(R380:AO380)/2</f>
        <v>4</v>
      </c>
      <c r="AX380" s="47">
        <f>IF(AND(S380&lt;&gt;"-",S380&gt;5),1,0)+IF(AND(U380&lt;&gt;"-",U380&gt;5),1,0)+IF(AND(W380&lt;&gt;"-",W380&gt;5),1,0)+IF(AND(Y380&lt;&gt;"-",Y380&gt;5),1,0)+IF(AND(AA380&lt;&gt;"-",AA380&gt;5),1,0)+IF(AND(AC380&lt;&gt;"-",AC380&gt;5),1,0)+IF(AND(AE380&lt;&gt;"-",AE380&gt;5),1,0)+IF(AND(AG380&lt;&gt;"-",AG380&gt;5),1,0)+IF(AND(AI380&lt;&gt;"-",AI380&gt;5),1,0)+IF(AND(AK380&lt;&gt;"-",AK380&gt;5),1,0)+IF(AND(AM380&lt;&gt;"-",AM380&gt;5),1,0)+IF(AND(AO380&lt;&gt;"-",AO380&gt;5),1,0)</f>
        <v>0</v>
      </c>
      <c r="AY380" s="48">
        <f>VLOOKUP(AP380,COND!$A$10:$B$32,2,FALSE)</f>
        <v>0.95</v>
      </c>
      <c r="AZ380" s="46">
        <f>($AU$3*AU380+$AV$3*AV380+$AW$3*AW380+$AX$3*AX380)*AY380*IF(AQ380&lt;5,0.95,IF(AQ380&lt;7,0.975,1))+$I$3*VLOOKUP(I380,COND!$A$2:$E$7,4,FALSE)+$J$3*VLOOKUP(J380,COND!$A$2:$E$7,2,FALSE)+$K$3*VLOOKUP(K380,COND!$A$2:$E$7,3,FALSE)+IF(BB380="SP",$BB$3,0)+IF($AW380&lt;3,-5,0)+IF(AND($B$2&gt;0,$E380&lt;20),$B$2*25,0)</f>
        <v>26.224413989457137</v>
      </c>
      <c r="BA380" s="49">
        <f>STANDARDIZE(AZ380,AVERAGE($AZ$5:$AZ$570),STDEVP($AZ$5:$AZ$570))</f>
        <v>-0.59587941282265455</v>
      </c>
      <c r="BB380" s="47" t="str">
        <f>IF(OR(AND(AQ380&gt;7,AX380&gt;1),AND(AQ380&gt;4,AW380&gt;2)),"SP","RP")</f>
        <v>SP</v>
      </c>
      <c r="BC380" s="47"/>
      <c r="BD380" s="47"/>
      <c r="BE380" s="47"/>
      <c r="BF380" s="47" t="str">
        <f>IF(AVERAGE($O380:$Q380)&gt;=6,"Likely",IF(AVERAGE($O380:$Q380)&gt;=4,"Possible","Unlikely"))</f>
        <v>Unlikely</v>
      </c>
      <c r="BG380" s="47"/>
      <c r="BH380" s="47" t="str">
        <f>INDEX(Table5[[#All],[Ovr]],MATCH(Table3[[#This Row],[PID]],Table5[[#All],[PID]],0))</f>
        <v/>
      </c>
      <c r="BI380" s="47" t="str">
        <f>INDEX(Table5[[#All],[Rnd]],MATCH(Table3[[#This Row],[PID]],Table5[[#All],[PID]],0))</f>
        <v/>
      </c>
      <c r="BJ380" s="47" t="str">
        <f>INDEX(Table5[[#All],[Pick]],MATCH(Table3[[#This Row],[PID]],Table5[[#All],[PID]],0))</f>
        <v/>
      </c>
      <c r="BK380" s="47" t="str">
        <f>INDEX(Table5[[#All],[Team]],MATCH(Table3[[#This Row],[PID]],Table5[[#All],[PID]],0))</f>
        <v/>
      </c>
      <c r="BL3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1" spans="1:64" ht="15" customHeight="1" x14ac:dyDescent="0.25">
      <c r="A381" s="42">
        <v>12196</v>
      </c>
      <c r="B381" s="42" t="s">
        <v>430</v>
      </c>
      <c r="C381" s="42" t="s">
        <v>1669</v>
      </c>
      <c r="D381" s="42" t="s">
        <v>296</v>
      </c>
      <c r="E381" s="42">
        <v>21</v>
      </c>
      <c r="F381" s="42" t="s">
        <v>62</v>
      </c>
      <c r="G381" s="42" t="s">
        <v>42</v>
      </c>
      <c r="H381" s="43" t="s">
        <v>721</v>
      </c>
      <c r="I381" s="44" t="s">
        <v>43</v>
      </c>
      <c r="J381" s="42" t="s">
        <v>43</v>
      </c>
      <c r="K381" s="43" t="s">
        <v>43</v>
      </c>
      <c r="L381" s="42">
        <v>2</v>
      </c>
      <c r="M381" s="42">
        <v>1</v>
      </c>
      <c r="N381" s="43">
        <v>1</v>
      </c>
      <c r="O381" s="42">
        <v>4</v>
      </c>
      <c r="P381" s="42">
        <v>2</v>
      </c>
      <c r="Q381" s="43">
        <v>2</v>
      </c>
      <c r="R381" s="42">
        <v>3</v>
      </c>
      <c r="S381" s="42">
        <v>4</v>
      </c>
      <c r="T381" s="42">
        <v>1</v>
      </c>
      <c r="U381" s="42">
        <v>1</v>
      </c>
      <c r="V381" s="42">
        <v>3</v>
      </c>
      <c r="W381" s="42">
        <v>6</v>
      </c>
      <c r="X381" s="42" t="s">
        <v>45</v>
      </c>
      <c r="Y381" s="42" t="s">
        <v>45</v>
      </c>
      <c r="Z381" s="42" t="s">
        <v>45</v>
      </c>
      <c r="AA381" s="42" t="s">
        <v>45</v>
      </c>
      <c r="AB381" s="42" t="s">
        <v>45</v>
      </c>
      <c r="AC381" s="42" t="s">
        <v>45</v>
      </c>
      <c r="AD381" s="42" t="s">
        <v>45</v>
      </c>
      <c r="AE381" s="42" t="s">
        <v>45</v>
      </c>
      <c r="AF381" s="42" t="s">
        <v>45</v>
      </c>
      <c r="AG381" s="42" t="s">
        <v>45</v>
      </c>
      <c r="AH381" s="42" t="s">
        <v>45</v>
      </c>
      <c r="AI381" s="42" t="s">
        <v>45</v>
      </c>
      <c r="AJ381" s="42" t="s">
        <v>45</v>
      </c>
      <c r="AK381" s="42" t="s">
        <v>45</v>
      </c>
      <c r="AL381" s="42" t="s">
        <v>45</v>
      </c>
      <c r="AM381" s="42" t="s">
        <v>45</v>
      </c>
      <c r="AN381" s="42" t="s">
        <v>45</v>
      </c>
      <c r="AO381" s="43" t="s">
        <v>45</v>
      </c>
      <c r="AP381" s="42" t="s">
        <v>65</v>
      </c>
      <c r="AQ381" s="42">
        <v>6</v>
      </c>
      <c r="AR381" s="50" t="s">
        <v>14</v>
      </c>
      <c r="AS381" s="45" t="s">
        <v>717</v>
      </c>
      <c r="AT381" s="45" t="s">
        <v>47</v>
      </c>
      <c r="AU381" s="46">
        <f>($O$3*(L381-$O$1)/$O$2+$P$3*(M381-$P$1)/$P$2+$Q$3*(N381-$P$1)/$Q$2)/SUM($O$3:$Q$3)</f>
        <v>-2.5067929134584248</v>
      </c>
      <c r="AV381" s="46">
        <f>($O$3*(O381-$O$1)/$O$2+$P$3*(P381-$P$1)/$P$2+$Q$3*(Q381-$Q$1)/$Q$2)/SUM($O$3:$Q$3)</f>
        <v>-1.23416323121884</v>
      </c>
      <c r="AW381" s="47">
        <f>COUNT(R381:AO381)/2</f>
        <v>3</v>
      </c>
      <c r="AX381" s="47">
        <f>IF(AND(S381&lt;&gt;"-",S381&gt;5),1,0)+IF(AND(U381&lt;&gt;"-",U381&gt;5),1,0)+IF(AND(W381&lt;&gt;"-",W381&gt;5),1,0)+IF(AND(Y381&lt;&gt;"-",Y381&gt;5),1,0)+IF(AND(AA381&lt;&gt;"-",AA381&gt;5),1,0)+IF(AND(AC381&lt;&gt;"-",AC381&gt;5),1,0)+IF(AND(AE381&lt;&gt;"-",AE381&gt;5),1,0)+IF(AND(AG381&lt;&gt;"-",AG381&gt;5),1,0)+IF(AND(AI381&lt;&gt;"-",AI381&gt;5),1,0)+IF(AND(AK381&lt;&gt;"-",AK381&gt;5),1,0)+IF(AND(AM381&lt;&gt;"-",AM381&gt;5),1,0)+IF(AND(AO381&lt;&gt;"-",AO381&gt;5),1,0)</f>
        <v>1</v>
      </c>
      <c r="AY381" s="48">
        <f>VLOOKUP(AP381,COND!$A$10:$B$32,2,FALSE)</f>
        <v>0.95</v>
      </c>
      <c r="AZ381" s="46">
        <f>($AU$3*AU381+$AV$3*AV381+$AW$3*AW381+$AX$3*AX381)*AY381*IF(AQ381&lt;5,0.95,IF(AQ381&lt;7,0.975,1))+$I$3*VLOOKUP(I381,COND!$A$2:$E$7,4,FALSE)+$J$3*VLOOKUP(J381,COND!$A$2:$E$7,2,FALSE)+$K$3*VLOOKUP(K381,COND!$A$2:$E$7,3,FALSE)+IF(BB381="SP",$BB$3,0)+IF($AW381&lt;3,-5,0)+IF(AND($B$2&gt;0,$E381&lt;20),$B$2*25,0)</f>
        <v>26.219930254452816</v>
      </c>
      <c r="BA381" s="49">
        <f>STANDARDIZE(AZ381,AVERAGE($AZ$5:$AZ$570),STDEVP($AZ$5:$AZ$570))</f>
        <v>-0.59629059048643696</v>
      </c>
      <c r="BB381" s="47" t="str">
        <f>IF(OR(AND(AQ381&gt;7,AX381&gt;1),AND(AQ381&gt;4,AW381&gt;2)),"SP","RP")</f>
        <v>SP</v>
      </c>
      <c r="BC381" s="47"/>
      <c r="BD381" s="47"/>
      <c r="BE381" s="47"/>
      <c r="BF381" s="47" t="str">
        <f>IF(AVERAGE($O381:$Q381)&gt;=6,"Likely",IF(AVERAGE($O381:$Q381)&gt;=4,"Possible","Unlikely"))</f>
        <v>Unlikely</v>
      </c>
      <c r="BG381" s="47"/>
      <c r="BH381" s="47" t="str">
        <f>INDEX(Table5[[#All],[Ovr]],MATCH(Table3[[#This Row],[PID]],Table5[[#All],[PID]],0))</f>
        <v/>
      </c>
      <c r="BI381" s="47" t="str">
        <f>INDEX(Table5[[#All],[Rnd]],MATCH(Table3[[#This Row],[PID]],Table5[[#All],[PID]],0))</f>
        <v/>
      </c>
      <c r="BJ381" s="47" t="str">
        <f>INDEX(Table5[[#All],[Pick]],MATCH(Table3[[#This Row],[PID]],Table5[[#All],[PID]],0))</f>
        <v/>
      </c>
      <c r="BK381" s="47" t="str">
        <f>INDEX(Table5[[#All],[Team]],MATCH(Table3[[#This Row],[PID]],Table5[[#All],[PID]],0))</f>
        <v/>
      </c>
      <c r="BL3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2" spans="1:64" ht="15" customHeight="1" x14ac:dyDescent="0.25">
      <c r="A382" s="42">
        <v>5890</v>
      </c>
      <c r="B382" s="42" t="s">
        <v>430</v>
      </c>
      <c r="C382" s="42" t="s">
        <v>553</v>
      </c>
      <c r="D382" s="42" t="s">
        <v>1761</v>
      </c>
      <c r="E382" s="42">
        <v>18</v>
      </c>
      <c r="F382" s="42" t="s">
        <v>62</v>
      </c>
      <c r="G382" s="42" t="s">
        <v>42</v>
      </c>
      <c r="H382" s="43" t="s">
        <v>721</v>
      </c>
      <c r="I382" s="44" t="s">
        <v>43</v>
      </c>
      <c r="J382" s="42" t="s">
        <v>47</v>
      </c>
      <c r="K382" s="43" t="s">
        <v>43</v>
      </c>
      <c r="L382" s="42">
        <v>1</v>
      </c>
      <c r="M382" s="42">
        <v>1</v>
      </c>
      <c r="N382" s="43">
        <v>1</v>
      </c>
      <c r="O382" s="42">
        <v>3</v>
      </c>
      <c r="P382" s="42">
        <v>1</v>
      </c>
      <c r="Q382" s="43">
        <v>2</v>
      </c>
      <c r="R382" s="42">
        <v>2</v>
      </c>
      <c r="S382" s="42">
        <v>4</v>
      </c>
      <c r="T382" s="42">
        <v>1</v>
      </c>
      <c r="U382" s="42">
        <v>6</v>
      </c>
      <c r="V382" s="42">
        <v>1</v>
      </c>
      <c r="W382" s="42">
        <v>1</v>
      </c>
      <c r="X382" s="42">
        <v>1</v>
      </c>
      <c r="Y382" s="42">
        <v>4</v>
      </c>
      <c r="Z382" s="42" t="s">
        <v>45</v>
      </c>
      <c r="AA382" s="42" t="s">
        <v>45</v>
      </c>
      <c r="AB382" s="42" t="s">
        <v>45</v>
      </c>
      <c r="AC382" s="42" t="s">
        <v>45</v>
      </c>
      <c r="AD382" s="42" t="s">
        <v>45</v>
      </c>
      <c r="AE382" s="42" t="s">
        <v>45</v>
      </c>
      <c r="AF382" s="42" t="s">
        <v>45</v>
      </c>
      <c r="AG382" s="42" t="s">
        <v>45</v>
      </c>
      <c r="AH382" s="42" t="s">
        <v>45</v>
      </c>
      <c r="AI382" s="42" t="s">
        <v>45</v>
      </c>
      <c r="AJ382" s="42" t="s">
        <v>45</v>
      </c>
      <c r="AK382" s="42" t="s">
        <v>45</v>
      </c>
      <c r="AL382" s="42" t="s">
        <v>45</v>
      </c>
      <c r="AM382" s="42" t="s">
        <v>45</v>
      </c>
      <c r="AN382" s="42" t="s">
        <v>45</v>
      </c>
      <c r="AO382" s="43" t="s">
        <v>45</v>
      </c>
      <c r="AP382" s="42" t="s">
        <v>67</v>
      </c>
      <c r="AQ382" s="42">
        <v>9</v>
      </c>
      <c r="AR382" s="50" t="s">
        <v>14</v>
      </c>
      <c r="AS382" s="45" t="s">
        <v>718</v>
      </c>
      <c r="AT382" s="45" t="s">
        <v>47</v>
      </c>
      <c r="AU382" s="46">
        <f>($O$3*(L382-$O$1)/$O$2+$P$3*(M382-$P$1)/$P$2+$Q$3*(N382-$P$1)/$Q$2)/SUM($O$3:$Q$3)</f>
        <v>-2.7014842379675978</v>
      </c>
      <c r="AV382" s="46">
        <f>($O$3*(O382-$O$1)/$O$2+$P$3*(P382-$P$1)/$P$2+$Q$3*(Q382-$Q$1)/$Q$2)/SUM($O$3:$Q$3)</f>
        <v>-1.6242862721580691</v>
      </c>
      <c r="AW382" s="47">
        <f>COUNT(R382:AO382)/2</f>
        <v>4</v>
      </c>
      <c r="AX382" s="47">
        <f>IF(AND(S382&lt;&gt;"-",S382&gt;5),1,0)+IF(AND(U382&lt;&gt;"-",U382&gt;5),1,0)+IF(AND(W382&lt;&gt;"-",W382&gt;5),1,0)+IF(AND(Y382&lt;&gt;"-",Y382&gt;5),1,0)+IF(AND(AA382&lt;&gt;"-",AA382&gt;5),1,0)+IF(AND(AC382&lt;&gt;"-",AC382&gt;5),1,0)+IF(AND(AE382&lt;&gt;"-",AE382&gt;5),1,0)+IF(AND(AG382&lt;&gt;"-",AG382&gt;5),1,0)+IF(AND(AI382&lt;&gt;"-",AI382&gt;5),1,0)+IF(AND(AK382&lt;&gt;"-",AK382&gt;5),1,0)+IF(AND(AM382&lt;&gt;"-",AM382&gt;5),1,0)+IF(AND(AO382&lt;&gt;"-",AO382&gt;5),1,0)</f>
        <v>1</v>
      </c>
      <c r="AY382" s="48">
        <f>VLOOKUP(AP382,COND!$A$10:$B$32,2,FALSE)</f>
        <v>0.9</v>
      </c>
      <c r="AZ382" s="46">
        <f>($AU$3*AU382+$AV$3*AV382+$AW$3*AW382+$AX$3*AX382)*AY382*IF(AQ382&lt;5,0.95,IF(AQ382&lt;7,0.975,1))+$I$3*VLOOKUP(I382,COND!$A$2:$E$7,4,FALSE)+$J$3*VLOOKUP(J382,COND!$A$2:$E$7,2,FALSE)+$K$3*VLOOKUP(K382,COND!$A$2:$E$7,3,FALSE)+IF(BB382="SP",$BB$3,0)+IF($AW382&lt;3,-5,0)+IF(AND($B$2&gt;0,$E382&lt;20),$B$2*25,0)</f>
        <v>25.501579938320589</v>
      </c>
      <c r="BA382" s="49">
        <f>STANDARDIZE(AZ382,AVERAGE($AZ$5:$AZ$570),STDEVP($AZ$5:$AZ$570))</f>
        <v>-0.66216638476954193</v>
      </c>
      <c r="BB382" s="47" t="str">
        <f>IF(OR(AND(AQ382&gt;7,AX382&gt;1),AND(AQ382&gt;4,AW382&gt;2)),"SP","RP")</f>
        <v>SP</v>
      </c>
      <c r="BC382" s="47"/>
      <c r="BD382" s="47"/>
      <c r="BE382" s="47"/>
      <c r="BF382" s="47" t="str">
        <f>IF(AVERAGE($O382:$Q382)&gt;=6,"Likely",IF(AVERAGE($O382:$Q382)&gt;=4,"Possible","Unlikely"))</f>
        <v>Unlikely</v>
      </c>
      <c r="BG382" s="47"/>
      <c r="BH382" s="47" t="str">
        <f>INDEX(Table5[[#All],[Ovr]],MATCH(Table3[[#This Row],[PID]],Table5[[#All],[PID]],0))</f>
        <v/>
      </c>
      <c r="BI382" s="47" t="str">
        <f>INDEX(Table5[[#All],[Rnd]],MATCH(Table3[[#This Row],[PID]],Table5[[#All],[PID]],0))</f>
        <v/>
      </c>
      <c r="BJ382" s="47" t="str">
        <f>INDEX(Table5[[#All],[Pick]],MATCH(Table3[[#This Row],[PID]],Table5[[#All],[PID]],0))</f>
        <v/>
      </c>
      <c r="BK382" s="47" t="str">
        <f>INDEX(Table5[[#All],[Team]],MATCH(Table3[[#This Row],[PID]],Table5[[#All],[PID]],0))</f>
        <v/>
      </c>
      <c r="BL3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3" spans="1:64" ht="15" customHeight="1" x14ac:dyDescent="0.25">
      <c r="A383" s="42">
        <v>17910</v>
      </c>
      <c r="B383" s="42" t="s">
        <v>430</v>
      </c>
      <c r="C383" s="42" t="s">
        <v>1701</v>
      </c>
      <c r="D383" s="42" t="s">
        <v>748</v>
      </c>
      <c r="E383" s="42">
        <v>18</v>
      </c>
      <c r="F383" s="42" t="s">
        <v>53</v>
      </c>
      <c r="G383" s="42" t="s">
        <v>53</v>
      </c>
      <c r="H383" s="43" t="s">
        <v>721</v>
      </c>
      <c r="I383" s="44" t="s">
        <v>43</v>
      </c>
      <c r="J383" s="42" t="s">
        <v>43</v>
      </c>
      <c r="K383" s="43" t="s">
        <v>43</v>
      </c>
      <c r="L383" s="42">
        <v>1</v>
      </c>
      <c r="M383" s="42">
        <v>1</v>
      </c>
      <c r="N383" s="43">
        <v>1</v>
      </c>
      <c r="O383" s="42">
        <v>4</v>
      </c>
      <c r="P383" s="42">
        <v>1</v>
      </c>
      <c r="Q383" s="43">
        <v>2</v>
      </c>
      <c r="R383" s="42">
        <v>2</v>
      </c>
      <c r="S383" s="42">
        <v>4</v>
      </c>
      <c r="T383" s="42">
        <v>1</v>
      </c>
      <c r="U383" s="42">
        <v>6</v>
      </c>
      <c r="V383" s="42" t="s">
        <v>45</v>
      </c>
      <c r="W383" s="42" t="s">
        <v>45</v>
      </c>
      <c r="X383" s="42" t="s">
        <v>45</v>
      </c>
      <c r="Y383" s="42" t="s">
        <v>45</v>
      </c>
      <c r="Z383" s="42" t="s">
        <v>45</v>
      </c>
      <c r="AA383" s="42" t="s">
        <v>45</v>
      </c>
      <c r="AB383" s="42" t="s">
        <v>45</v>
      </c>
      <c r="AC383" s="42" t="s">
        <v>45</v>
      </c>
      <c r="AD383" s="42">
        <v>2</v>
      </c>
      <c r="AE383" s="42">
        <v>4</v>
      </c>
      <c r="AF383" s="42" t="s">
        <v>45</v>
      </c>
      <c r="AG383" s="42" t="s">
        <v>45</v>
      </c>
      <c r="AH383" s="42" t="s">
        <v>45</v>
      </c>
      <c r="AI383" s="42" t="s">
        <v>45</v>
      </c>
      <c r="AJ383" s="42" t="s">
        <v>45</v>
      </c>
      <c r="AK383" s="42" t="s">
        <v>45</v>
      </c>
      <c r="AL383" s="42" t="s">
        <v>45</v>
      </c>
      <c r="AM383" s="42" t="s">
        <v>45</v>
      </c>
      <c r="AN383" s="42" t="s">
        <v>45</v>
      </c>
      <c r="AO383" s="43" t="s">
        <v>45</v>
      </c>
      <c r="AP383" s="42" t="s">
        <v>65</v>
      </c>
      <c r="AQ383" s="42">
        <v>3</v>
      </c>
      <c r="AR383" s="50" t="s">
        <v>14</v>
      </c>
      <c r="AS383" s="45" t="s">
        <v>718</v>
      </c>
      <c r="AT383" s="45" t="s">
        <v>705</v>
      </c>
      <c r="AU383" s="46">
        <f>($O$3*(L383-$O$1)/$O$2+$P$3*(M383-$P$1)/$P$2+$Q$3*(N383-$P$1)/$Q$2)/SUM($O$3:$Q$3)</f>
        <v>-2.7014842379675978</v>
      </c>
      <c r="AV383" s="46">
        <f>($O$3*(O383-$O$1)/$O$2+$P$3*(P383-$P$1)/$P$2+$Q$3*(Q383-$Q$1)/$Q$2)/SUM($O$3:$Q$3)</f>
        <v>-1.4295949476488956</v>
      </c>
      <c r="AW383" s="47">
        <f>COUNT(R383:AO383)/2</f>
        <v>3</v>
      </c>
      <c r="AX383" s="47">
        <f>IF(AND(S383&lt;&gt;"-",S383&gt;5),1,0)+IF(AND(U383&lt;&gt;"-",U383&gt;5),1,0)+IF(AND(W383&lt;&gt;"-",W383&gt;5),1,0)+IF(AND(Y383&lt;&gt;"-",Y383&gt;5),1,0)+IF(AND(AA383&lt;&gt;"-",AA383&gt;5),1,0)+IF(AND(AC383&lt;&gt;"-",AC383&gt;5),1,0)+IF(AND(AE383&lt;&gt;"-",AE383&gt;5),1,0)+IF(AND(AG383&lt;&gt;"-",AG383&gt;5),1,0)+IF(AND(AI383&lt;&gt;"-",AI383&gt;5),1,0)+IF(AND(AK383&lt;&gt;"-",AK383&gt;5),1,0)+IF(AND(AM383&lt;&gt;"-",AM383&gt;5),1,0)+IF(AND(AO383&lt;&gt;"-",AO383&gt;5),1,0)</f>
        <v>1</v>
      </c>
      <c r="AY383" s="48">
        <f>VLOOKUP(AP383,COND!$A$10:$B$32,2,FALSE)</f>
        <v>0.95</v>
      </c>
      <c r="AZ383" s="46">
        <f>($AU$3*AU383+$AV$3*AV383+$AW$3*AW383+$AX$3*AX383)*AY383*IF(AQ383&lt;5,0.95,IF(AQ383&lt;7,0.975,1))+$I$3*VLOOKUP(I383,COND!$A$2:$E$7,4,FALSE)+$J$3*VLOOKUP(J383,COND!$A$2:$E$7,2,FALSE)+$K$3*VLOOKUP(K383,COND!$A$2:$E$7,3,FALSE)+IF(BB383="SP",$BB$3,0)+IF($AW383&lt;3,-5,0)+IF(AND($B$2&gt;0,$E383&lt;20),$B$2*25,0)</f>
        <v>26.190068289984282</v>
      </c>
      <c r="BA383" s="49">
        <f>STANDARDIZE(AZ383,AVERAGE($AZ$5:$AZ$570),STDEVP($AZ$5:$AZ$570))</f>
        <v>-0.59902906026092007</v>
      </c>
      <c r="BB383" s="47" t="str">
        <f>IF(OR(AND(AQ383&gt;7,AX383&gt;1),AND(AQ383&gt;4,AW383&gt;2)),"SP","RP")</f>
        <v>RP</v>
      </c>
      <c r="BC383" s="47"/>
      <c r="BD383" s="47"/>
      <c r="BE383" s="47"/>
      <c r="BF383" s="47" t="str">
        <f>IF(AVERAGE($O383:$Q383)&gt;=6,"Likely",IF(AVERAGE($O383:$Q383)&gt;=4,"Possible","Unlikely"))</f>
        <v>Unlikely</v>
      </c>
      <c r="BG383" s="47"/>
      <c r="BH383" s="47" t="str">
        <f>INDEX(Table5[[#All],[Ovr]],MATCH(Table3[[#This Row],[PID]],Table5[[#All],[PID]],0))</f>
        <v/>
      </c>
      <c r="BI383" s="47" t="str">
        <f>INDEX(Table5[[#All],[Rnd]],MATCH(Table3[[#This Row],[PID]],Table5[[#All],[PID]],0))</f>
        <v/>
      </c>
      <c r="BJ383" s="47" t="str">
        <f>INDEX(Table5[[#All],[Pick]],MATCH(Table3[[#This Row],[PID]],Table5[[#All],[PID]],0))</f>
        <v/>
      </c>
      <c r="BK383" s="47" t="str">
        <f>INDEX(Table5[[#All],[Team]],MATCH(Table3[[#This Row],[PID]],Table5[[#All],[PID]],0))</f>
        <v/>
      </c>
      <c r="BL3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4" spans="1:64" ht="15" customHeight="1" x14ac:dyDescent="0.25">
      <c r="A384" s="42">
        <v>5170</v>
      </c>
      <c r="B384" s="42" t="s">
        <v>430</v>
      </c>
      <c r="C384" s="42" t="s">
        <v>170</v>
      </c>
      <c r="D384" s="42" t="s">
        <v>1027</v>
      </c>
      <c r="E384" s="42">
        <v>18</v>
      </c>
      <c r="F384" s="42" t="s">
        <v>42</v>
      </c>
      <c r="G384" s="42" t="s">
        <v>42</v>
      </c>
      <c r="H384" s="43" t="s">
        <v>721</v>
      </c>
      <c r="I384" s="44" t="s">
        <v>43</v>
      </c>
      <c r="J384" s="42" t="s">
        <v>43</v>
      </c>
      <c r="K384" s="43" t="s">
        <v>44</v>
      </c>
      <c r="L384" s="42">
        <v>1</v>
      </c>
      <c r="M384" s="42">
        <v>1</v>
      </c>
      <c r="N384" s="43">
        <v>1</v>
      </c>
      <c r="O384" s="42">
        <v>4</v>
      </c>
      <c r="P384" s="42">
        <v>1</v>
      </c>
      <c r="Q384" s="43">
        <v>2</v>
      </c>
      <c r="R384" s="42">
        <v>2</v>
      </c>
      <c r="S384" s="42">
        <v>3</v>
      </c>
      <c r="T384" s="42">
        <v>1</v>
      </c>
      <c r="U384" s="42">
        <v>5</v>
      </c>
      <c r="V384" s="42">
        <v>1</v>
      </c>
      <c r="W384" s="42">
        <v>4</v>
      </c>
      <c r="X384" s="42">
        <v>1</v>
      </c>
      <c r="Y384" s="42">
        <v>4</v>
      </c>
      <c r="Z384" s="42" t="s">
        <v>45</v>
      </c>
      <c r="AA384" s="42" t="s">
        <v>45</v>
      </c>
      <c r="AB384" s="42">
        <v>2</v>
      </c>
      <c r="AC384" s="42">
        <v>3</v>
      </c>
      <c r="AD384" s="42" t="s">
        <v>45</v>
      </c>
      <c r="AE384" s="42" t="s">
        <v>45</v>
      </c>
      <c r="AF384" s="42">
        <v>2</v>
      </c>
      <c r="AG384" s="42">
        <v>4</v>
      </c>
      <c r="AH384" s="42" t="s">
        <v>45</v>
      </c>
      <c r="AI384" s="42" t="s">
        <v>45</v>
      </c>
      <c r="AJ384" s="42" t="s">
        <v>45</v>
      </c>
      <c r="AK384" s="42" t="s">
        <v>45</v>
      </c>
      <c r="AL384" s="42" t="s">
        <v>45</v>
      </c>
      <c r="AM384" s="42" t="s">
        <v>45</v>
      </c>
      <c r="AN384" s="42" t="s">
        <v>45</v>
      </c>
      <c r="AO384" s="43" t="s">
        <v>45</v>
      </c>
      <c r="AP384" s="42" t="s">
        <v>65</v>
      </c>
      <c r="AQ384" s="42">
        <v>8</v>
      </c>
      <c r="AR384" s="50" t="s">
        <v>14</v>
      </c>
      <c r="AS384" s="45" t="s">
        <v>730</v>
      </c>
      <c r="AT384" s="45" t="s">
        <v>47</v>
      </c>
      <c r="AU384" s="46">
        <f>($O$3*(L384-$O$1)/$O$2+$P$3*(M384-$P$1)/$P$2+$Q$3*(N384-$P$1)/$Q$2)/SUM($O$3:$Q$3)</f>
        <v>-2.7014842379675978</v>
      </c>
      <c r="AV384" s="46">
        <f>($O$3*(O384-$O$1)/$O$2+$P$3*(P384-$P$1)/$P$2+$Q$3*(Q384-$Q$1)/$Q$2)/SUM($O$3:$Q$3)</f>
        <v>-1.4295949476488956</v>
      </c>
      <c r="AW384" s="47">
        <f>COUNT(R384:AO384)/2</f>
        <v>6</v>
      </c>
      <c r="AX384" s="47">
        <f>IF(AND(S384&lt;&gt;"-",S384&gt;5),1,0)+IF(AND(U384&lt;&gt;"-",U384&gt;5),1,0)+IF(AND(W384&lt;&gt;"-",W384&gt;5),1,0)+IF(AND(Y384&lt;&gt;"-",Y384&gt;5),1,0)+IF(AND(AA384&lt;&gt;"-",AA384&gt;5),1,0)+IF(AND(AC384&lt;&gt;"-",AC384&gt;5),1,0)+IF(AND(AE384&lt;&gt;"-",AE384&gt;5),1,0)+IF(AND(AG384&lt;&gt;"-",AG384&gt;5),1,0)+IF(AND(AI384&lt;&gt;"-",AI384&gt;5),1,0)+IF(AND(AK384&lt;&gt;"-",AK384&gt;5),1,0)+IF(AND(AM384&lt;&gt;"-",AM384&gt;5),1,0)+IF(AND(AO384&lt;&gt;"-",AO384&gt;5),1,0)</f>
        <v>0</v>
      </c>
      <c r="AY384" s="48">
        <f>VLOOKUP(AP384,COND!$A$10:$B$32,2,FALSE)</f>
        <v>0.95</v>
      </c>
      <c r="AZ384" s="46">
        <f>($AU$3*AU384+$AV$3*AV384+$AW$3*AW384+$AX$3*AX384)*AY384*IF(AQ384&lt;5,0.95,IF(AQ384&lt;7,0.975,1))+$I$3*VLOOKUP(I384,COND!$A$2:$E$7,4,FALSE)+$J$3*VLOOKUP(J384,COND!$A$2:$E$7,2,FALSE)+$K$3*VLOOKUP(K384,COND!$A$2:$E$7,3,FALSE)+IF(BB384="SP",$BB$3,0)+IF($AW384&lt;3,-5,0)+IF(AND($B$2&gt;0,$E384&lt;20),$B$2*25,0)</f>
        <v>26.874413989457139</v>
      </c>
      <c r="BA384" s="49">
        <f>STANDARDIZE(AZ384,AVERAGE($AZ$5:$AZ$570),STDEVP($AZ$5:$AZ$570))</f>
        <v>-0.53627163466426553</v>
      </c>
      <c r="BB384" s="47" t="str">
        <f>IF(OR(AND(AQ384&gt;7,AX384&gt;1),AND(AQ384&gt;4,AW384&gt;2)),"SP","RP")</f>
        <v>SP</v>
      </c>
      <c r="BC384" s="47"/>
      <c r="BD384" s="47"/>
      <c r="BE384" s="47"/>
      <c r="BF384" s="47" t="str">
        <f>IF(AVERAGE($O384:$Q384)&gt;=6,"Likely",IF(AVERAGE($O384:$Q384)&gt;=4,"Possible","Unlikely"))</f>
        <v>Unlikely</v>
      </c>
      <c r="BG384" s="47"/>
      <c r="BH384" s="47" t="str">
        <f>INDEX(Table5[[#All],[Ovr]],MATCH(Table3[[#This Row],[PID]],Table5[[#All],[PID]],0))</f>
        <v/>
      </c>
      <c r="BI384" s="47" t="str">
        <f>INDEX(Table5[[#All],[Rnd]],MATCH(Table3[[#This Row],[PID]],Table5[[#All],[PID]],0))</f>
        <v/>
      </c>
      <c r="BJ384" s="47" t="str">
        <f>INDEX(Table5[[#All],[Pick]],MATCH(Table3[[#This Row],[PID]],Table5[[#All],[PID]],0))</f>
        <v/>
      </c>
      <c r="BK384" s="47" t="str">
        <f>INDEX(Table5[[#All],[Team]],MATCH(Table3[[#This Row],[PID]],Table5[[#All],[PID]],0))</f>
        <v/>
      </c>
      <c r="BL3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5" spans="1:64" ht="15" customHeight="1" x14ac:dyDescent="0.25">
      <c r="A385" s="42">
        <v>9713</v>
      </c>
      <c r="B385" s="42" t="s">
        <v>49</v>
      </c>
      <c r="C385" s="42" t="s">
        <v>1125</v>
      </c>
      <c r="D385" s="42" t="s">
        <v>765</v>
      </c>
      <c r="E385" s="42">
        <v>21</v>
      </c>
      <c r="F385" s="42" t="s">
        <v>42</v>
      </c>
      <c r="G385" s="42" t="s">
        <v>42</v>
      </c>
      <c r="H385" s="43" t="s">
        <v>721</v>
      </c>
      <c r="I385" s="44" t="s">
        <v>47</v>
      </c>
      <c r="J385" s="42" t="s">
        <v>43</v>
      </c>
      <c r="K385" s="43" t="s">
        <v>43</v>
      </c>
      <c r="L385" s="42">
        <v>3</v>
      </c>
      <c r="M385" s="42">
        <v>1</v>
      </c>
      <c r="N385" s="43">
        <v>2</v>
      </c>
      <c r="O385" s="42">
        <v>5</v>
      </c>
      <c r="P385" s="42">
        <v>1</v>
      </c>
      <c r="Q385" s="43">
        <v>2</v>
      </c>
      <c r="R385" s="42">
        <v>5</v>
      </c>
      <c r="S385" s="42">
        <v>6</v>
      </c>
      <c r="T385" s="42">
        <v>2</v>
      </c>
      <c r="U385" s="42">
        <v>4</v>
      </c>
      <c r="V385" s="42" t="s">
        <v>45</v>
      </c>
      <c r="W385" s="42" t="s">
        <v>45</v>
      </c>
      <c r="X385" s="42">
        <v>3</v>
      </c>
      <c r="Y385" s="42">
        <v>7</v>
      </c>
      <c r="Z385" s="42" t="s">
        <v>45</v>
      </c>
      <c r="AA385" s="42" t="s">
        <v>45</v>
      </c>
      <c r="AB385" s="42" t="s">
        <v>45</v>
      </c>
      <c r="AC385" s="42" t="s">
        <v>45</v>
      </c>
      <c r="AD385" s="42" t="s">
        <v>45</v>
      </c>
      <c r="AE385" s="42" t="s">
        <v>45</v>
      </c>
      <c r="AF385" s="42" t="s">
        <v>45</v>
      </c>
      <c r="AG385" s="42" t="s">
        <v>45</v>
      </c>
      <c r="AH385" s="42" t="s">
        <v>45</v>
      </c>
      <c r="AI385" s="42" t="s">
        <v>45</v>
      </c>
      <c r="AJ385" s="42" t="s">
        <v>45</v>
      </c>
      <c r="AK385" s="42" t="s">
        <v>45</v>
      </c>
      <c r="AL385" s="42" t="s">
        <v>45</v>
      </c>
      <c r="AM385" s="42" t="s">
        <v>45</v>
      </c>
      <c r="AN385" s="42" t="s">
        <v>45</v>
      </c>
      <c r="AO385" s="43" t="s">
        <v>45</v>
      </c>
      <c r="AP385" s="42" t="s">
        <v>60</v>
      </c>
      <c r="AQ385" s="42">
        <v>6</v>
      </c>
      <c r="AR385" s="50" t="s">
        <v>357</v>
      </c>
      <c r="AS385" s="45" t="s">
        <v>45</v>
      </c>
      <c r="AT385" s="45" t="s">
        <v>47</v>
      </c>
      <c r="AU385" s="46">
        <f>($O$3*(L385-$O$1)/$O$2+$P$3*(M385-$P$1)/$P$2+$Q$3*(N385-$P$1)/$Q$2)/SUM($O$3:$Q$3)</f>
        <v>-2.0697810228951408</v>
      </c>
      <c r="AV385" s="46">
        <f>($O$3*(O385-$O$1)/$O$2+$P$3*(P385-$P$1)/$P$2+$Q$3*(Q385-$Q$1)/$Q$2)/SUM($O$3:$Q$3)</f>
        <v>-1.2349036231397219</v>
      </c>
      <c r="AW385" s="47">
        <f>COUNT(R385:AO385)/2</f>
        <v>3</v>
      </c>
      <c r="AX385" s="47">
        <f>IF(AND(S385&lt;&gt;"-",S385&gt;5),1,0)+IF(AND(U385&lt;&gt;"-",U385&gt;5),1,0)+IF(AND(W385&lt;&gt;"-",W385&gt;5),1,0)+IF(AND(Y385&lt;&gt;"-",Y385&gt;5),1,0)+IF(AND(AA385&lt;&gt;"-",AA385&gt;5),1,0)+IF(AND(AC385&lt;&gt;"-",AC385&gt;5),1,0)+IF(AND(AE385&lt;&gt;"-",AE385&gt;5),1,0)+IF(AND(AG385&lt;&gt;"-",AG385&gt;5),1,0)+IF(AND(AI385&lt;&gt;"-",AI385&gt;5),1,0)+IF(AND(AK385&lt;&gt;"-",AK385&gt;5),1,0)+IF(AND(AM385&lt;&gt;"-",AM385&gt;5),1,0)+IF(AND(AO385&lt;&gt;"-",AO385&gt;5),1,0)</f>
        <v>2</v>
      </c>
      <c r="AY385" s="48">
        <f>VLOOKUP(AP385,COND!$A$10:$B$32,2,FALSE)</f>
        <v>1.0249999999999999</v>
      </c>
      <c r="AZ385" s="46">
        <f>($AU$3*AU385+$AV$3*AV385+$AW$3*AW385+$AX$3*AX385)*AY385*IF(AQ385&lt;5,0.95,IF(AQ385&lt;7,0.975,1))+$I$3*VLOOKUP(I385,COND!$A$2:$E$7,4,FALSE)+$J$3*VLOOKUP(J385,COND!$A$2:$E$7,2,FALSE)+$K$3*VLOOKUP(K385,COND!$A$2:$E$7,3,FALSE)+IF(BB385="SP",$BB$3,0)+IF($AW385&lt;3,-5,0)+IF(AND($B$2&gt;0,$E385&lt;20),$B$2*25,0)</f>
        <v>26.126166350543642</v>
      </c>
      <c r="BA385" s="49">
        <f>STANDARDIZE(AZ385,AVERAGE($AZ$5:$AZ$570),STDEVP($AZ$5:$AZ$570))</f>
        <v>-0.60488914123025617</v>
      </c>
      <c r="BB385" s="47" t="str">
        <f>IF(OR(AND(AQ385&gt;7,AX385&gt;1),AND(AQ385&gt;4,AW385&gt;2)),"SP","RP")</f>
        <v>SP</v>
      </c>
      <c r="BC385" s="47"/>
      <c r="BD385" s="47"/>
      <c r="BE385" s="47"/>
      <c r="BF385" s="47" t="str">
        <f>IF(AVERAGE($O385:$Q385)&gt;=6,"Likely",IF(AVERAGE($O385:$Q385)&gt;=4,"Possible","Unlikely"))</f>
        <v>Unlikely</v>
      </c>
      <c r="BG385" s="47"/>
      <c r="BH385" s="47" t="str">
        <f>INDEX(Table5[[#All],[Ovr]],MATCH(Table3[[#This Row],[PID]],Table5[[#All],[PID]],0))</f>
        <v/>
      </c>
      <c r="BI385" s="47" t="str">
        <f>INDEX(Table5[[#All],[Rnd]],MATCH(Table3[[#This Row],[PID]],Table5[[#All],[PID]],0))</f>
        <v/>
      </c>
      <c r="BJ385" s="47" t="str">
        <f>INDEX(Table5[[#All],[Pick]],MATCH(Table3[[#This Row],[PID]],Table5[[#All],[PID]],0))</f>
        <v/>
      </c>
      <c r="BK385" s="47" t="str">
        <f>INDEX(Table5[[#All],[Team]],MATCH(Table3[[#This Row],[PID]],Table5[[#All],[PID]],0))</f>
        <v/>
      </c>
      <c r="BL3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6" spans="1:64" ht="15" customHeight="1" x14ac:dyDescent="0.25">
      <c r="A386" s="42">
        <v>9489</v>
      </c>
      <c r="B386" s="42" t="s">
        <v>430</v>
      </c>
      <c r="C386" s="42" t="s">
        <v>156</v>
      </c>
      <c r="D386" s="42" t="s">
        <v>298</v>
      </c>
      <c r="E386" s="42">
        <v>21</v>
      </c>
      <c r="F386" s="42" t="s">
        <v>53</v>
      </c>
      <c r="G386" s="42" t="s">
        <v>53</v>
      </c>
      <c r="H386" s="43" t="s">
        <v>721</v>
      </c>
      <c r="I386" s="44" t="s">
        <v>47</v>
      </c>
      <c r="J386" s="42" t="s">
        <v>47</v>
      </c>
      <c r="K386" s="43" t="s">
        <v>43</v>
      </c>
      <c r="L386" s="42">
        <v>2</v>
      </c>
      <c r="M386" s="42">
        <v>1</v>
      </c>
      <c r="N386" s="43">
        <v>2</v>
      </c>
      <c r="O386" s="42">
        <v>4</v>
      </c>
      <c r="P386" s="42">
        <v>1</v>
      </c>
      <c r="Q386" s="43">
        <v>3</v>
      </c>
      <c r="R386" s="42">
        <v>4</v>
      </c>
      <c r="S386" s="42">
        <v>5</v>
      </c>
      <c r="T386" s="42">
        <v>1</v>
      </c>
      <c r="U386" s="42">
        <v>1</v>
      </c>
      <c r="V386" s="42">
        <v>2</v>
      </c>
      <c r="W386" s="42">
        <v>5</v>
      </c>
      <c r="X386" s="42" t="s">
        <v>45</v>
      </c>
      <c r="Y386" s="42" t="s">
        <v>45</v>
      </c>
      <c r="Z386" s="42" t="s">
        <v>45</v>
      </c>
      <c r="AA386" s="42" t="s">
        <v>45</v>
      </c>
      <c r="AB386" s="42" t="s">
        <v>45</v>
      </c>
      <c r="AC386" s="42" t="s">
        <v>45</v>
      </c>
      <c r="AD386" s="42" t="s">
        <v>45</v>
      </c>
      <c r="AE386" s="42" t="s">
        <v>45</v>
      </c>
      <c r="AF386" s="42">
        <v>3</v>
      </c>
      <c r="AG386" s="42">
        <v>4</v>
      </c>
      <c r="AH386" s="42" t="s">
        <v>45</v>
      </c>
      <c r="AI386" s="42" t="s">
        <v>45</v>
      </c>
      <c r="AJ386" s="42" t="s">
        <v>45</v>
      </c>
      <c r="AK386" s="42" t="s">
        <v>45</v>
      </c>
      <c r="AL386" s="42" t="s">
        <v>45</v>
      </c>
      <c r="AM386" s="42" t="s">
        <v>45</v>
      </c>
      <c r="AN386" s="42" t="s">
        <v>45</v>
      </c>
      <c r="AO386" s="43" t="s">
        <v>45</v>
      </c>
      <c r="AP386" s="42" t="s">
        <v>355</v>
      </c>
      <c r="AQ386" s="42">
        <v>10</v>
      </c>
      <c r="AR386" s="50" t="s">
        <v>357</v>
      </c>
      <c r="AS386" s="45" t="s">
        <v>45</v>
      </c>
      <c r="AT386" s="45" t="s">
        <v>47</v>
      </c>
      <c r="AU386" s="46">
        <f>($O$3*(L386-$O$1)/$O$2+$P$3*(M386-$P$1)/$P$2+$Q$3*(N386-$P$1)/$Q$2)/SUM($O$3:$Q$3)</f>
        <v>-2.2644723474043147</v>
      </c>
      <c r="AV386" s="46">
        <f>($O$3*(O386-$O$1)/$O$2+$P$3*(P386-$P$1)/$P$2+$Q$3*(Q386-$Q$1)/$Q$2)/SUM($O$3:$Q$3)</f>
        <v>-1.1872743815947853</v>
      </c>
      <c r="AW386" s="47">
        <f>COUNT(R386:AO386)/2</f>
        <v>4</v>
      </c>
      <c r="AX386" s="47">
        <f>IF(AND(S386&lt;&gt;"-",S386&gt;5),1,0)+IF(AND(U386&lt;&gt;"-",U386&gt;5),1,0)+IF(AND(W386&lt;&gt;"-",W386&gt;5),1,0)+IF(AND(Y386&lt;&gt;"-",Y386&gt;5),1,0)+IF(AND(AA386&lt;&gt;"-",AA386&gt;5),1,0)+IF(AND(AC386&lt;&gt;"-",AC386&gt;5),1,0)+IF(AND(AE386&lt;&gt;"-",AE386&gt;5),1,0)+IF(AND(AG386&lt;&gt;"-",AG386&gt;5),1,0)+IF(AND(AI386&lt;&gt;"-",AI386&gt;5),1,0)+IF(AND(AK386&lt;&gt;"-",AK386&gt;5),1,0)+IF(AND(AM386&lt;&gt;"-",AM386&gt;5),1,0)+IF(AND(AO386&lt;&gt;"-",AO386&gt;5),1,0)</f>
        <v>0</v>
      </c>
      <c r="AY386" s="48">
        <f>VLOOKUP(AP386,COND!$A$10:$B$32,2,FALSE)</f>
        <v>1</v>
      </c>
      <c r="AZ386" s="46">
        <f>($AU$3*AU386+$AV$3*AV386+$AW$3*AW386+$AX$3*AX386)*AY386*IF(AQ386&lt;5,0.95,IF(AQ386&lt;7,0.975,1))+$I$3*VLOOKUP(I386,COND!$A$2:$E$7,4,FALSE)+$J$3*VLOOKUP(J386,COND!$A$2:$E$7,2,FALSE)+$K$3*VLOOKUP(K386,COND!$A$2:$E$7,3,FALSE)+IF(BB386="SP",$BB$3,0)+IF($AW386&lt;3,-5,0)+IF(AND($B$2&gt;0,$E386&lt;20),$B$2*25,0)</f>
        <v>25.326617898623429</v>
      </c>
      <c r="BA386" s="49">
        <f>STANDARDIZE(AZ386,AVERAGE($AZ$5:$AZ$570),STDEVP($AZ$5:$AZ$570))</f>
        <v>-0.67821115161324574</v>
      </c>
      <c r="BB386" s="47" t="str">
        <f>IF(OR(AND(AQ386&gt;7,AX386&gt;1),AND(AQ386&gt;4,AW386&gt;2)),"SP","RP")</f>
        <v>SP</v>
      </c>
      <c r="BC386" s="47"/>
      <c r="BD386" s="47"/>
      <c r="BE386" s="47"/>
      <c r="BF386" s="47" t="str">
        <f>IF(AVERAGE($O386:$Q386)&gt;=6,"Likely",IF(AVERAGE($O386:$Q386)&gt;=4,"Possible","Unlikely"))</f>
        <v>Unlikely</v>
      </c>
      <c r="BG386" s="47"/>
      <c r="BH386" s="47" t="str">
        <f>INDEX(Table5[[#All],[Ovr]],MATCH(Table3[[#This Row],[PID]],Table5[[#All],[PID]],0))</f>
        <v/>
      </c>
      <c r="BI386" s="47" t="str">
        <f>INDEX(Table5[[#All],[Rnd]],MATCH(Table3[[#This Row],[PID]],Table5[[#All],[PID]],0))</f>
        <v/>
      </c>
      <c r="BJ386" s="47" t="str">
        <f>INDEX(Table5[[#All],[Pick]],MATCH(Table3[[#This Row],[PID]],Table5[[#All],[PID]],0))</f>
        <v/>
      </c>
      <c r="BK386" s="47" t="str">
        <f>INDEX(Table5[[#All],[Team]],MATCH(Table3[[#This Row],[PID]],Table5[[#All],[PID]],0))</f>
        <v/>
      </c>
      <c r="BL3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7" spans="1:64" ht="15" customHeight="1" x14ac:dyDescent="0.25">
      <c r="A387" s="42">
        <v>8681</v>
      </c>
      <c r="B387" s="42" t="s">
        <v>430</v>
      </c>
      <c r="C387" s="42" t="s">
        <v>567</v>
      </c>
      <c r="D387" s="42" t="s">
        <v>569</v>
      </c>
      <c r="E387" s="42">
        <v>18</v>
      </c>
      <c r="F387" s="42" t="s">
        <v>53</v>
      </c>
      <c r="G387" s="42" t="s">
        <v>53</v>
      </c>
      <c r="H387" s="43" t="s">
        <v>721</v>
      </c>
      <c r="I387" s="44" t="s">
        <v>43</v>
      </c>
      <c r="J387" s="42" t="s">
        <v>44</v>
      </c>
      <c r="K387" s="43" t="s">
        <v>44</v>
      </c>
      <c r="L387" s="42">
        <v>1</v>
      </c>
      <c r="M387" s="42">
        <v>2</v>
      </c>
      <c r="N387" s="43">
        <v>1</v>
      </c>
      <c r="O387" s="42">
        <v>3</v>
      </c>
      <c r="P387" s="42">
        <v>2</v>
      </c>
      <c r="Q387" s="43">
        <v>2</v>
      </c>
      <c r="R387" s="42">
        <v>2</v>
      </c>
      <c r="S387" s="42">
        <v>4</v>
      </c>
      <c r="T387" s="42">
        <v>1</v>
      </c>
      <c r="U387" s="42">
        <v>1</v>
      </c>
      <c r="V387" s="42">
        <v>1</v>
      </c>
      <c r="W387" s="42">
        <v>6</v>
      </c>
      <c r="X387" s="42" t="s">
        <v>45</v>
      </c>
      <c r="Y387" s="42" t="s">
        <v>45</v>
      </c>
      <c r="Z387" s="42" t="s">
        <v>45</v>
      </c>
      <c r="AA387" s="42" t="s">
        <v>45</v>
      </c>
      <c r="AB387" s="42" t="s">
        <v>45</v>
      </c>
      <c r="AC387" s="42" t="s">
        <v>45</v>
      </c>
      <c r="AD387" s="42" t="s">
        <v>45</v>
      </c>
      <c r="AE387" s="42" t="s">
        <v>45</v>
      </c>
      <c r="AF387" s="42" t="s">
        <v>45</v>
      </c>
      <c r="AG387" s="42" t="s">
        <v>45</v>
      </c>
      <c r="AH387" s="42" t="s">
        <v>45</v>
      </c>
      <c r="AI387" s="42" t="s">
        <v>45</v>
      </c>
      <c r="AJ387" s="42" t="s">
        <v>45</v>
      </c>
      <c r="AK387" s="42" t="s">
        <v>45</v>
      </c>
      <c r="AL387" s="42" t="s">
        <v>45</v>
      </c>
      <c r="AM387" s="42" t="s">
        <v>45</v>
      </c>
      <c r="AN387" s="42" t="s">
        <v>45</v>
      </c>
      <c r="AO387" s="43" t="s">
        <v>45</v>
      </c>
      <c r="AP387" s="42" t="s">
        <v>67</v>
      </c>
      <c r="AQ387" s="42">
        <v>6</v>
      </c>
      <c r="AR387" s="50" t="s">
        <v>353</v>
      </c>
      <c r="AS387" s="45" t="s">
        <v>718</v>
      </c>
      <c r="AT387" s="45" t="s">
        <v>705</v>
      </c>
      <c r="AU387" s="46">
        <f>($O$3*(L387-$O$1)/$O$2+$P$3*(M387-$P$1)/$P$2+$Q$3*(N387-$P$1)/$Q$2)/SUM($O$3:$Q$3)</f>
        <v>-2.5060525215375429</v>
      </c>
      <c r="AV387" s="46">
        <f>($O$3*(O387-$O$1)/$O$2+$P$3*(P387-$P$1)/$P$2+$Q$3*(Q387-$Q$1)/$Q$2)/SUM($O$3:$Q$3)</f>
        <v>-1.4288545557280135</v>
      </c>
      <c r="AW387" s="47">
        <f>COUNT(R387:AO387)/2</f>
        <v>3</v>
      </c>
      <c r="AX387" s="47">
        <f>IF(AND(S387&lt;&gt;"-",S387&gt;5),1,0)+IF(AND(U387&lt;&gt;"-",U387&gt;5),1,0)+IF(AND(W387&lt;&gt;"-",W387&gt;5),1,0)+IF(AND(Y387&lt;&gt;"-",Y387&gt;5),1,0)+IF(AND(AA387&lt;&gt;"-",AA387&gt;5),1,0)+IF(AND(AC387&lt;&gt;"-",AC387&gt;5),1,0)+IF(AND(AE387&lt;&gt;"-",AE387&gt;5),1,0)+IF(AND(AG387&lt;&gt;"-",AG387&gt;5),1,0)+IF(AND(AI387&lt;&gt;"-",AI387&gt;5),1,0)+IF(AND(AK387&lt;&gt;"-",AK387&gt;5),1,0)+IF(AND(AM387&lt;&gt;"-",AM387&gt;5),1,0)+IF(AND(AO387&lt;&gt;"-",AO387&gt;5),1,0)</f>
        <v>1</v>
      </c>
      <c r="AY387" s="48">
        <f>VLOOKUP(AP387,COND!$A$10:$B$32,2,FALSE)</f>
        <v>0.9</v>
      </c>
      <c r="AZ387" s="46">
        <f>($AU$3*AU387+$AV$3*AV387+$AW$3*AW387+$AX$3*AX387)*AY387*IF(AQ387&lt;5,0.95,IF(AQ387&lt;7,0.975,1))+$I$3*VLOOKUP(I387,COND!$A$2:$E$7,4,FALSE)+$J$3*VLOOKUP(J387,COND!$A$2:$E$7,2,FALSE)+$K$3*VLOOKUP(K387,COND!$A$2:$E$7,3,FALSE)+IF(BB387="SP",$BB$3,0)+IF($AW387&lt;3,-5,0)+IF(AND($B$2&gt;0,$E387&lt;20),$B$2*25,0)</f>
        <v>28.296915329443525</v>
      </c>
      <c r="BA387" s="49">
        <f>STANDARDIZE(AZ387,AVERAGE($AZ$5:$AZ$676),STDEVP($AZ$5:$AZ$676))</f>
        <v>-0.18390305156148731</v>
      </c>
      <c r="BB387" s="47" t="str">
        <f>IF(OR(AND(AQ387&gt;7,AX387&gt;1),AND(AQ387&gt;4,AW387&gt;2)),"SP","RP")</f>
        <v>SP</v>
      </c>
      <c r="BC387" s="47"/>
      <c r="BD387" s="47"/>
      <c r="BE387" s="47"/>
      <c r="BF387" s="47" t="str">
        <f>IF(AVERAGE($O387:$Q387)&gt;=6,"Likely",IF(AVERAGE($O387:$Q387)&gt;=4,"Possible","Unlikely"))</f>
        <v>Unlikely</v>
      </c>
      <c r="BG387" s="47"/>
      <c r="BH387" s="47" t="str">
        <f>INDEX(Table5[[#All],[Ovr]],MATCH(Table3[[#This Row],[PID]],Table5[[#All],[PID]],0))</f>
        <v/>
      </c>
      <c r="BI387" s="47" t="str">
        <f>INDEX(Table5[[#All],[Rnd]],MATCH(Table3[[#This Row],[PID]],Table5[[#All],[PID]],0))</f>
        <v/>
      </c>
      <c r="BJ387" s="47" t="str">
        <f>INDEX(Table5[[#All],[Pick]],MATCH(Table3[[#This Row],[PID]],Table5[[#All],[PID]],0))</f>
        <v/>
      </c>
      <c r="BK387" s="47" t="str">
        <f>INDEX(Table5[[#All],[Team]],MATCH(Table3[[#This Row],[PID]],Table5[[#All],[PID]],0))</f>
        <v/>
      </c>
      <c r="BL3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8" spans="1:64" ht="15" customHeight="1" x14ac:dyDescent="0.25">
      <c r="A388" s="42">
        <v>17640</v>
      </c>
      <c r="B388" s="42" t="s">
        <v>430</v>
      </c>
      <c r="C388" s="42" t="s">
        <v>191</v>
      </c>
      <c r="D388" s="42" t="s">
        <v>171</v>
      </c>
      <c r="E388" s="42">
        <v>18</v>
      </c>
      <c r="F388" s="42" t="s">
        <v>62</v>
      </c>
      <c r="G388" s="42" t="s">
        <v>53</v>
      </c>
      <c r="H388" s="43" t="s">
        <v>721</v>
      </c>
      <c r="I388" s="44" t="s">
        <v>43</v>
      </c>
      <c r="J388" s="42" t="s">
        <v>44</v>
      </c>
      <c r="K388" s="43" t="s">
        <v>43</v>
      </c>
      <c r="L388" s="42">
        <v>1</v>
      </c>
      <c r="M388" s="42">
        <v>1</v>
      </c>
      <c r="N388" s="43">
        <v>1</v>
      </c>
      <c r="O388" s="42">
        <v>4</v>
      </c>
      <c r="P388" s="42">
        <v>1</v>
      </c>
      <c r="Q388" s="43">
        <v>2</v>
      </c>
      <c r="R388" s="42">
        <v>2</v>
      </c>
      <c r="S388" s="42">
        <v>4</v>
      </c>
      <c r="T388" s="42">
        <v>1</v>
      </c>
      <c r="U388" s="42">
        <v>2</v>
      </c>
      <c r="V388" s="42">
        <v>1</v>
      </c>
      <c r="W388" s="42">
        <v>6</v>
      </c>
      <c r="X388" s="42" t="s">
        <v>45</v>
      </c>
      <c r="Y388" s="42" t="s">
        <v>45</v>
      </c>
      <c r="Z388" s="42" t="s">
        <v>45</v>
      </c>
      <c r="AA388" s="42" t="s">
        <v>45</v>
      </c>
      <c r="AB388" s="42" t="s">
        <v>45</v>
      </c>
      <c r="AC388" s="42" t="s">
        <v>45</v>
      </c>
      <c r="AD388" s="42" t="s">
        <v>45</v>
      </c>
      <c r="AE388" s="42" t="s">
        <v>45</v>
      </c>
      <c r="AF388" s="42" t="s">
        <v>45</v>
      </c>
      <c r="AG388" s="42" t="s">
        <v>45</v>
      </c>
      <c r="AH388" s="42" t="s">
        <v>45</v>
      </c>
      <c r="AI388" s="42" t="s">
        <v>45</v>
      </c>
      <c r="AJ388" s="42" t="s">
        <v>45</v>
      </c>
      <c r="AK388" s="42" t="s">
        <v>45</v>
      </c>
      <c r="AL388" s="42" t="s">
        <v>45</v>
      </c>
      <c r="AM388" s="42" t="s">
        <v>45</v>
      </c>
      <c r="AN388" s="42" t="s">
        <v>45</v>
      </c>
      <c r="AO388" s="43" t="s">
        <v>45</v>
      </c>
      <c r="AP388" s="42" t="s">
        <v>65</v>
      </c>
      <c r="AQ388" s="42">
        <v>9</v>
      </c>
      <c r="AR388" s="50" t="s">
        <v>14</v>
      </c>
      <c r="AS388" s="45" t="s">
        <v>730</v>
      </c>
      <c r="AT388" s="45" t="s">
        <v>705</v>
      </c>
      <c r="AU388" s="46">
        <f>($O$3*(L388-$O$1)/$O$2+$P$3*(M388-$P$1)/$P$2+$Q$3*(N388-$P$1)/$Q$2)/SUM($O$3:$Q$3)</f>
        <v>-2.7014842379675978</v>
      </c>
      <c r="AV388" s="46">
        <f>($O$3*(O388-$O$1)/$O$2+$P$3*(P388-$P$1)/$P$2+$Q$3*(Q388-$Q$1)/$Q$2)/SUM($O$3:$Q$3)</f>
        <v>-1.4295949476488956</v>
      </c>
      <c r="AW388" s="47">
        <f>COUNT(R388:AO388)/2</f>
        <v>3</v>
      </c>
      <c r="AX388" s="47">
        <f>IF(AND(S388&lt;&gt;"-",S388&gt;5),1,0)+IF(AND(U388&lt;&gt;"-",U388&gt;5),1,0)+IF(AND(W388&lt;&gt;"-",W388&gt;5),1,0)+IF(AND(Y388&lt;&gt;"-",Y388&gt;5),1,0)+IF(AND(AA388&lt;&gt;"-",AA388&gt;5),1,0)+IF(AND(AC388&lt;&gt;"-",AC388&gt;5),1,0)+IF(AND(AE388&lt;&gt;"-",AE388&gt;5),1,0)+IF(AND(AG388&lt;&gt;"-",AG388&gt;5),1,0)+IF(AND(AI388&lt;&gt;"-",AI388&gt;5),1,0)+IF(AND(AK388&lt;&gt;"-",AK388&gt;5),1,0)+IF(AND(AM388&lt;&gt;"-",AM388&gt;5),1,0)+IF(AND(AO388&lt;&gt;"-",AO388&gt;5),1,0)</f>
        <v>1</v>
      </c>
      <c r="AY388" s="48">
        <f>VLOOKUP(AP388,COND!$A$10:$B$32,2,FALSE)</f>
        <v>0.95</v>
      </c>
      <c r="AZ388" s="46">
        <f>($AU$3*AU388+$AV$3*AV388+$AW$3*AW388+$AX$3*AX388)*AY388*IF(AQ388&lt;5,0.95,IF(AQ388&lt;7,0.975,1))+$I$3*VLOOKUP(I388,COND!$A$2:$E$7,4,FALSE)+$J$3*VLOOKUP(J388,COND!$A$2:$E$7,2,FALSE)+$K$3*VLOOKUP(K388,COND!$A$2:$E$7,3,FALSE)+IF(BB388="SP",$BB$3,0)+IF($AW388&lt;3,-5,0)+IF(AND($B$2&gt;0,$E388&lt;20),$B$2*25,0)</f>
        <v>26.636913989457138</v>
      </c>
      <c r="BA388" s="49">
        <f>STANDARDIZE(AZ388,AVERAGE($AZ$5:$AZ$570),STDEVP($AZ$5:$AZ$570))</f>
        <v>-0.55805139976060003</v>
      </c>
      <c r="BB388" s="47" t="str">
        <f>IF(OR(AND(AQ388&gt;7,AX388&gt;1),AND(AQ388&gt;4,AW388&gt;2)),"SP","RP")</f>
        <v>SP</v>
      </c>
      <c r="BC388" s="47"/>
      <c r="BD388" s="47"/>
      <c r="BE388" s="47"/>
      <c r="BF388" s="47" t="str">
        <f>IF(AVERAGE($O388:$Q388)&gt;=6,"Likely",IF(AVERAGE($O388:$Q388)&gt;=4,"Possible","Unlikely"))</f>
        <v>Unlikely</v>
      </c>
      <c r="BG388" s="47"/>
      <c r="BH388" s="47" t="str">
        <f>INDEX(Table5[[#All],[Ovr]],MATCH(Table3[[#This Row],[PID]],Table5[[#All],[PID]],0))</f>
        <v/>
      </c>
      <c r="BI388" s="47" t="str">
        <f>INDEX(Table5[[#All],[Rnd]],MATCH(Table3[[#This Row],[PID]],Table5[[#All],[PID]],0))</f>
        <v/>
      </c>
      <c r="BJ388" s="47" t="str">
        <f>INDEX(Table5[[#All],[Pick]],MATCH(Table3[[#This Row],[PID]],Table5[[#All],[PID]],0))</f>
        <v/>
      </c>
      <c r="BK388" s="47" t="str">
        <f>INDEX(Table5[[#All],[Team]],MATCH(Table3[[#This Row],[PID]],Table5[[#All],[PID]],0))</f>
        <v/>
      </c>
      <c r="BL3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9" spans="1:64" ht="15" customHeight="1" x14ac:dyDescent="0.25">
      <c r="A389" s="42">
        <v>14682</v>
      </c>
      <c r="B389" s="42" t="s">
        <v>430</v>
      </c>
      <c r="C389" s="42" t="s">
        <v>1525</v>
      </c>
      <c r="D389" s="42" t="s">
        <v>394</v>
      </c>
      <c r="E389" s="42">
        <v>21</v>
      </c>
      <c r="F389" s="42" t="s">
        <v>53</v>
      </c>
      <c r="G389" s="42" t="s">
        <v>53</v>
      </c>
      <c r="H389" s="43" t="s">
        <v>721</v>
      </c>
      <c r="I389" s="44" t="s">
        <v>43</v>
      </c>
      <c r="J389" s="42" t="s">
        <v>43</v>
      </c>
      <c r="K389" s="43" t="s">
        <v>44</v>
      </c>
      <c r="L389" s="42">
        <v>2</v>
      </c>
      <c r="M389" s="42">
        <v>1</v>
      </c>
      <c r="N389" s="43">
        <v>1</v>
      </c>
      <c r="O389" s="42">
        <v>5</v>
      </c>
      <c r="P389" s="42">
        <v>1</v>
      </c>
      <c r="Q389" s="43">
        <v>2</v>
      </c>
      <c r="R389" s="42">
        <v>3</v>
      </c>
      <c r="S389" s="42">
        <v>4</v>
      </c>
      <c r="T389" s="42" t="s">
        <v>45</v>
      </c>
      <c r="U389" s="42" t="s">
        <v>45</v>
      </c>
      <c r="V389" s="42">
        <v>2</v>
      </c>
      <c r="W389" s="42">
        <v>6</v>
      </c>
      <c r="X389" s="42" t="s">
        <v>45</v>
      </c>
      <c r="Y389" s="42" t="s">
        <v>45</v>
      </c>
      <c r="Z389" s="42" t="s">
        <v>45</v>
      </c>
      <c r="AA389" s="42" t="s">
        <v>45</v>
      </c>
      <c r="AB389" s="42" t="s">
        <v>45</v>
      </c>
      <c r="AC389" s="42" t="s">
        <v>45</v>
      </c>
      <c r="AD389" s="42" t="s">
        <v>45</v>
      </c>
      <c r="AE389" s="42" t="s">
        <v>45</v>
      </c>
      <c r="AF389" s="42" t="s">
        <v>45</v>
      </c>
      <c r="AG389" s="42" t="s">
        <v>45</v>
      </c>
      <c r="AH389" s="42">
        <v>3</v>
      </c>
      <c r="AI389" s="42">
        <v>6</v>
      </c>
      <c r="AJ389" s="42" t="s">
        <v>45</v>
      </c>
      <c r="AK389" s="42" t="s">
        <v>45</v>
      </c>
      <c r="AL389" s="42" t="s">
        <v>45</v>
      </c>
      <c r="AM389" s="42" t="s">
        <v>45</v>
      </c>
      <c r="AN389" s="42" t="s">
        <v>45</v>
      </c>
      <c r="AO389" s="43" t="s">
        <v>45</v>
      </c>
      <c r="AP389" s="42" t="s">
        <v>68</v>
      </c>
      <c r="AQ389" s="42">
        <v>8</v>
      </c>
      <c r="AR389" s="50" t="s">
        <v>14</v>
      </c>
      <c r="AS389" s="45" t="s">
        <v>45</v>
      </c>
      <c r="AT389" s="45" t="s">
        <v>47</v>
      </c>
      <c r="AU389" s="46">
        <f>($O$3*(L389-$O$1)/$O$2+$P$3*(M389-$P$1)/$P$2+$Q$3*(N389-$P$1)/$Q$2)/SUM($O$3:$Q$3)</f>
        <v>-2.5067929134584248</v>
      </c>
      <c r="AV389" s="46">
        <f>($O$3*(O389-$O$1)/$O$2+$P$3*(P389-$P$1)/$P$2+$Q$3*(Q389-$Q$1)/$Q$2)/SUM($O$3:$Q$3)</f>
        <v>-1.2349036231397219</v>
      </c>
      <c r="AW389" s="47">
        <f>COUNT(R389:AO389)/2</f>
        <v>3</v>
      </c>
      <c r="AX389" s="47">
        <f>IF(AND(S389&lt;&gt;"-",S389&gt;5),1,0)+IF(AND(U389&lt;&gt;"-",U389&gt;5),1,0)+IF(AND(W389&lt;&gt;"-",W389&gt;5),1,0)+IF(AND(Y389&lt;&gt;"-",Y389&gt;5),1,0)+IF(AND(AA389&lt;&gt;"-",AA389&gt;5),1,0)+IF(AND(AC389&lt;&gt;"-",AC389&gt;5),1,0)+IF(AND(AE389&lt;&gt;"-",AE389&gt;5),1,0)+IF(AND(AG389&lt;&gt;"-",AG389&gt;5),1,0)+IF(AND(AI389&lt;&gt;"-",AI389&gt;5),1,0)+IF(AND(AK389&lt;&gt;"-",AK389&gt;5),1,0)+IF(AND(AM389&lt;&gt;"-",AM389&gt;5),1,0)+IF(AND(AO389&lt;&gt;"-",AO389&gt;5),1,0)</f>
        <v>2</v>
      </c>
      <c r="AY389" s="48">
        <f>VLOOKUP(AP389,COND!$A$10:$B$32,2,FALSE)</f>
        <v>0.95</v>
      </c>
      <c r="AZ389" s="46">
        <f>($AU$3*AU389+$AV$3*AV389+$AW$3*AW389+$AX$3*AX389)*AY389*IF(AQ389&lt;5,0.95,IF(AQ389&lt;7,0.975,1))+$I$3*VLOOKUP(I389,COND!$A$2:$E$7,4,FALSE)+$J$3*VLOOKUP(J389,COND!$A$2:$E$7,2,FALSE)+$K$3*VLOOKUP(K389,COND!$A$2:$E$7,3,FALSE)+IF(BB389="SP",$BB$3,0)+IF($AW389&lt;3,-5,0)+IF(AND($B$2&gt;0,$E389&lt;20),$B$2*25,0)</f>
        <v>26.560540506788183</v>
      </c>
      <c r="BA389" s="49">
        <f>STANDARDIZE(AZ389,AVERAGE($AZ$5:$AZ$570),STDEVP($AZ$5:$AZ$570))</f>
        <v>-0.56505517454846865</v>
      </c>
      <c r="BB389" s="47" t="str">
        <f>IF(OR(AND(AQ389&gt;7,AX389&gt;1),AND(AQ389&gt;4,AW389&gt;2)),"SP","RP")</f>
        <v>SP</v>
      </c>
      <c r="BC389" s="47"/>
      <c r="BD389" s="47"/>
      <c r="BE389" s="47"/>
      <c r="BF389" s="47" t="str">
        <f>IF(AVERAGE($O389:$Q389)&gt;=6,"Likely",IF(AVERAGE($O389:$Q389)&gt;=4,"Possible","Unlikely"))</f>
        <v>Unlikely</v>
      </c>
      <c r="BG389" s="47"/>
      <c r="BH389" s="47" t="str">
        <f>INDEX(Table5[[#All],[Ovr]],MATCH(Table3[[#This Row],[PID]],Table5[[#All],[PID]],0))</f>
        <v/>
      </c>
      <c r="BI389" s="47" t="str">
        <f>INDEX(Table5[[#All],[Rnd]],MATCH(Table3[[#This Row],[PID]],Table5[[#All],[PID]],0))</f>
        <v/>
      </c>
      <c r="BJ389" s="47" t="str">
        <f>INDEX(Table5[[#All],[Pick]],MATCH(Table3[[#This Row],[PID]],Table5[[#All],[PID]],0))</f>
        <v/>
      </c>
      <c r="BK389" s="47" t="str">
        <f>INDEX(Table5[[#All],[Team]],MATCH(Table3[[#This Row],[PID]],Table5[[#All],[PID]],0))</f>
        <v/>
      </c>
      <c r="BL3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0" spans="1:64" ht="15" customHeight="1" x14ac:dyDescent="0.25">
      <c r="A390" s="42">
        <v>5120</v>
      </c>
      <c r="B390" s="42" t="s">
        <v>430</v>
      </c>
      <c r="C390" s="42" t="s">
        <v>741</v>
      </c>
      <c r="D390" s="42" t="s">
        <v>810</v>
      </c>
      <c r="E390" s="42">
        <v>22</v>
      </c>
      <c r="F390" s="42" t="s">
        <v>62</v>
      </c>
      <c r="G390" s="42" t="s">
        <v>42</v>
      </c>
      <c r="H390" s="43" t="s">
        <v>721</v>
      </c>
      <c r="I390" s="44" t="s">
        <v>43</v>
      </c>
      <c r="J390" s="42" t="s">
        <v>47</v>
      </c>
      <c r="K390" s="43" t="s">
        <v>43</v>
      </c>
      <c r="L390" s="42">
        <v>2</v>
      </c>
      <c r="M390" s="42">
        <v>2</v>
      </c>
      <c r="N390" s="43">
        <v>1</v>
      </c>
      <c r="O390" s="42">
        <v>4</v>
      </c>
      <c r="P390" s="42">
        <v>2</v>
      </c>
      <c r="Q390" s="43">
        <v>2</v>
      </c>
      <c r="R390" s="42">
        <v>4</v>
      </c>
      <c r="S390" s="42">
        <v>4</v>
      </c>
      <c r="T390" s="42">
        <v>1</v>
      </c>
      <c r="U390" s="42">
        <v>1</v>
      </c>
      <c r="V390" s="42">
        <v>3</v>
      </c>
      <c r="W390" s="42">
        <v>4</v>
      </c>
      <c r="X390" s="42">
        <v>2</v>
      </c>
      <c r="Y390" s="42">
        <v>3</v>
      </c>
      <c r="Z390" s="42" t="s">
        <v>45</v>
      </c>
      <c r="AA390" s="42" t="s">
        <v>45</v>
      </c>
      <c r="AB390" s="42">
        <v>3</v>
      </c>
      <c r="AC390" s="42">
        <v>5</v>
      </c>
      <c r="AD390" s="42" t="s">
        <v>45</v>
      </c>
      <c r="AE390" s="42" t="s">
        <v>45</v>
      </c>
      <c r="AF390" s="42">
        <v>3</v>
      </c>
      <c r="AG390" s="42">
        <v>4</v>
      </c>
      <c r="AH390" s="42" t="s">
        <v>45</v>
      </c>
      <c r="AI390" s="42" t="s">
        <v>45</v>
      </c>
      <c r="AJ390" s="42" t="s">
        <v>45</v>
      </c>
      <c r="AK390" s="42" t="s">
        <v>45</v>
      </c>
      <c r="AL390" s="42" t="s">
        <v>45</v>
      </c>
      <c r="AM390" s="42" t="s">
        <v>45</v>
      </c>
      <c r="AN390" s="42" t="s">
        <v>45</v>
      </c>
      <c r="AO390" s="43" t="s">
        <v>45</v>
      </c>
      <c r="AP390" s="42" t="s">
        <v>355</v>
      </c>
      <c r="AQ390" s="42">
        <v>9</v>
      </c>
      <c r="AR390" s="50" t="s">
        <v>353</v>
      </c>
      <c r="AS390" s="45" t="s">
        <v>45</v>
      </c>
      <c r="AT390" s="45" t="s">
        <v>705</v>
      </c>
      <c r="AU390" s="46">
        <f>($O$3*(L390-$O$1)/$O$2+$P$3*(M390-$P$1)/$P$2+$Q$3*(N390-$P$1)/$Q$2)/SUM($O$3:$Q$3)</f>
        <v>-2.311361197028369</v>
      </c>
      <c r="AV390" s="46">
        <f>($O$3*(O390-$O$1)/$O$2+$P$3*(P390-$P$1)/$P$2+$Q$3*(Q390-$Q$1)/$Q$2)/SUM($O$3:$Q$3)</f>
        <v>-1.23416323121884</v>
      </c>
      <c r="AW390" s="47">
        <f>COUNT(R390:AO390)/2</f>
        <v>6</v>
      </c>
      <c r="AX390" s="47">
        <f>IF(AND(S390&lt;&gt;"-",S390&gt;5),1,0)+IF(AND(U390&lt;&gt;"-",U390&gt;5),1,0)+IF(AND(W390&lt;&gt;"-",W390&gt;5),1,0)+IF(AND(Y390&lt;&gt;"-",Y390&gt;5),1,0)+IF(AND(AA390&lt;&gt;"-",AA390&gt;5),1,0)+IF(AND(AC390&lt;&gt;"-",AC390&gt;5),1,0)+IF(AND(AE390&lt;&gt;"-",AE390&gt;5),1,0)+IF(AND(AG390&lt;&gt;"-",AG390&gt;5),1,0)+IF(AND(AI390&lt;&gt;"-",AI390&gt;5),1,0)+IF(AND(AK390&lt;&gt;"-",AK390&gt;5),1,0)+IF(AND(AM390&lt;&gt;"-",AM390&gt;5),1,0)+IF(AND(AO390&lt;&gt;"-",AO390&gt;5),1,0)</f>
        <v>0</v>
      </c>
      <c r="AY390" s="48">
        <f>VLOOKUP(AP390,COND!$A$10:$B$32,2,FALSE)</f>
        <v>1</v>
      </c>
      <c r="AZ390" s="46">
        <f>($AU$3*AU390+$AV$3*AV390+$AW$3*AW390+$AX$3*AX390)*AY390*IF(AQ390&lt;5,0.95,IF(AQ390&lt;7,0.975,1))+$I$3*VLOOKUP(I390,COND!$A$2:$E$7,4,FALSE)+$J$3*VLOOKUP(J390,COND!$A$2:$E$7,2,FALSE)+$K$3*VLOOKUP(K390,COND!$A$2:$E$7,3,FALSE)+IF(BB390="SP",$BB$3,0)+IF($AW390&lt;3,-5,0)+IF(AND($B$2&gt;0,$E390&lt;20),$B$2*25,0)</f>
        <v>25.154463136217526</v>
      </c>
      <c r="BA390" s="49">
        <f>STANDARDIZE(AZ390,AVERAGE($AZ$5:$AZ$570),STDEVP($AZ$5:$AZ$570))</f>
        <v>-0.69399847913078605</v>
      </c>
      <c r="BB390" s="47" t="str">
        <f>IF(OR(AND(AQ390&gt;7,AX390&gt;1),AND(AQ390&gt;4,AW390&gt;2)),"SP","RP")</f>
        <v>SP</v>
      </c>
      <c r="BC390" s="47"/>
      <c r="BD390" s="47"/>
      <c r="BE390" s="47"/>
      <c r="BF390" s="47" t="str">
        <f>IF(AVERAGE($O390:$Q390)&gt;=6,"Likely",IF(AVERAGE($O390:$Q390)&gt;=4,"Possible","Unlikely"))</f>
        <v>Unlikely</v>
      </c>
      <c r="BG390" s="47"/>
      <c r="BH390" s="47" t="str">
        <f>INDEX(Table5[[#All],[Ovr]],MATCH(Table3[[#This Row],[PID]],Table5[[#All],[PID]],0))</f>
        <v/>
      </c>
      <c r="BI390" s="47" t="str">
        <f>INDEX(Table5[[#All],[Rnd]],MATCH(Table3[[#This Row],[PID]],Table5[[#All],[PID]],0))</f>
        <v/>
      </c>
      <c r="BJ390" s="47" t="str">
        <f>INDEX(Table5[[#All],[Pick]],MATCH(Table3[[#This Row],[PID]],Table5[[#All],[PID]],0))</f>
        <v/>
      </c>
      <c r="BK390" s="47" t="str">
        <f>INDEX(Table5[[#All],[Team]],MATCH(Table3[[#This Row],[PID]],Table5[[#All],[PID]],0))</f>
        <v/>
      </c>
      <c r="BL3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1" spans="1:64" ht="15" customHeight="1" x14ac:dyDescent="0.25">
      <c r="A391" s="42">
        <v>2732</v>
      </c>
      <c r="B391" s="42" t="s">
        <v>430</v>
      </c>
      <c r="C391" s="42" t="s">
        <v>1526</v>
      </c>
      <c r="D391" s="42" t="s">
        <v>1527</v>
      </c>
      <c r="E391" s="42">
        <v>20</v>
      </c>
      <c r="F391" s="42" t="s">
        <v>53</v>
      </c>
      <c r="G391" s="42" t="s">
        <v>53</v>
      </c>
      <c r="H391" s="43" t="s">
        <v>721</v>
      </c>
      <c r="I391" s="44" t="s">
        <v>43</v>
      </c>
      <c r="J391" s="42" t="s">
        <v>43</v>
      </c>
      <c r="K391" s="43" t="s">
        <v>43</v>
      </c>
      <c r="L391" s="42">
        <v>1</v>
      </c>
      <c r="M391" s="42">
        <v>1</v>
      </c>
      <c r="N391" s="43">
        <v>1</v>
      </c>
      <c r="O391" s="42">
        <v>5</v>
      </c>
      <c r="P391" s="42">
        <v>1</v>
      </c>
      <c r="Q391" s="43">
        <v>2</v>
      </c>
      <c r="R391" s="42">
        <v>3</v>
      </c>
      <c r="S391" s="42">
        <v>5</v>
      </c>
      <c r="T391" s="42" t="s">
        <v>45</v>
      </c>
      <c r="U391" s="42" t="s">
        <v>45</v>
      </c>
      <c r="V391" s="42">
        <v>2</v>
      </c>
      <c r="W391" s="42">
        <v>6</v>
      </c>
      <c r="X391" s="42" t="s">
        <v>45</v>
      </c>
      <c r="Y391" s="42" t="s">
        <v>45</v>
      </c>
      <c r="Z391" s="42" t="s">
        <v>45</v>
      </c>
      <c r="AA391" s="42" t="s">
        <v>45</v>
      </c>
      <c r="AB391" s="42" t="s">
        <v>45</v>
      </c>
      <c r="AC391" s="42" t="s">
        <v>45</v>
      </c>
      <c r="AD391" s="42" t="s">
        <v>45</v>
      </c>
      <c r="AE391" s="42" t="s">
        <v>45</v>
      </c>
      <c r="AF391" s="42" t="s">
        <v>45</v>
      </c>
      <c r="AG391" s="42" t="s">
        <v>45</v>
      </c>
      <c r="AH391" s="42">
        <v>1</v>
      </c>
      <c r="AI391" s="42">
        <v>7</v>
      </c>
      <c r="AJ391" s="42" t="s">
        <v>45</v>
      </c>
      <c r="AK391" s="42" t="s">
        <v>45</v>
      </c>
      <c r="AL391" s="42" t="s">
        <v>45</v>
      </c>
      <c r="AM391" s="42" t="s">
        <v>45</v>
      </c>
      <c r="AN391" s="42" t="s">
        <v>45</v>
      </c>
      <c r="AO391" s="43" t="s">
        <v>45</v>
      </c>
      <c r="AP391" s="42" t="s">
        <v>355</v>
      </c>
      <c r="AQ391" s="42">
        <v>7</v>
      </c>
      <c r="AR391" s="50" t="s">
        <v>14</v>
      </c>
      <c r="AS391" s="45" t="s">
        <v>45</v>
      </c>
      <c r="AT391" s="45" t="s">
        <v>47</v>
      </c>
      <c r="AU391" s="46">
        <f>($O$3*(L391-$O$1)/$O$2+$P$3*(M391-$P$1)/$P$2+$Q$3*(N391-$P$1)/$Q$2)/SUM($O$3:$Q$3)</f>
        <v>-2.7014842379675978</v>
      </c>
      <c r="AV391" s="46">
        <f>($O$3*(O391-$O$1)/$O$2+$P$3*(P391-$P$1)/$P$2+$Q$3*(Q391-$Q$1)/$Q$2)/SUM($O$3:$Q$3)</f>
        <v>-1.2349036231397219</v>
      </c>
      <c r="AW391" s="47">
        <f>COUNT(R391:AO391)/2</f>
        <v>3</v>
      </c>
      <c r="AX391" s="47">
        <f>IF(AND(S391&lt;&gt;"-",S391&gt;5),1,0)+IF(AND(U391&lt;&gt;"-",U391&gt;5),1,0)+IF(AND(W391&lt;&gt;"-",W391&gt;5),1,0)+IF(AND(Y391&lt;&gt;"-",Y391&gt;5),1,0)+IF(AND(AA391&lt;&gt;"-",AA391&gt;5),1,0)+IF(AND(AC391&lt;&gt;"-",AC391&gt;5),1,0)+IF(AND(AE391&lt;&gt;"-",AE391&gt;5),1,0)+IF(AND(AG391&lt;&gt;"-",AG391&gt;5),1,0)+IF(AND(AI391&lt;&gt;"-",AI391&gt;5),1,0)+IF(AND(AK391&lt;&gt;"-",AK391&gt;5),1,0)+IF(AND(AM391&lt;&gt;"-",AM391&gt;5),1,0)+IF(AND(AO391&lt;&gt;"-",AO391&gt;5),1,0)</f>
        <v>2</v>
      </c>
      <c r="AY391" s="48">
        <f>VLOOKUP(AP391,COND!$A$10:$B$32,2,FALSE)</f>
        <v>1</v>
      </c>
      <c r="AZ391" s="46">
        <f>($AU$3*AU391+$AV$3*AV391+$AW$3*AW391+$AX$3*AX391)*AY391*IF(AQ391&lt;5,0.95,IF(AQ391&lt;7,0.975,1))+$I$3*VLOOKUP(I391,COND!$A$2:$E$7,4,FALSE)+$J$3*VLOOKUP(J391,COND!$A$2:$E$7,2,FALSE)+$K$3*VLOOKUP(K391,COND!$A$2:$E$7,3,FALSE)+IF(BB391="SP",$BB$3,0)+IF($AW391&lt;3,-5,0)+IF(AND($B$2&gt;0,$E391&lt;20),$B$2*25,0)</f>
        <v>25.761630689612041</v>
      </c>
      <c r="BA391" s="49">
        <f>STANDARDIZE(AZ391,AVERAGE($AZ$5:$AZ$570),STDEVP($AZ$5:$AZ$570))</f>
        <v>-0.63831861939584467</v>
      </c>
      <c r="BB391" s="47" t="str">
        <f>IF(OR(AND(AQ391&gt;7,AX391&gt;1),AND(AQ391&gt;4,AW391&gt;2)),"SP","RP")</f>
        <v>SP</v>
      </c>
      <c r="BC391" s="47"/>
      <c r="BD391" s="47"/>
      <c r="BE391" s="47"/>
      <c r="BF391" s="47" t="str">
        <f>IF(AVERAGE($O391:$Q391)&gt;=6,"Likely",IF(AVERAGE($O391:$Q391)&gt;=4,"Possible","Unlikely"))</f>
        <v>Unlikely</v>
      </c>
      <c r="BG391" s="47"/>
      <c r="BH391" s="47" t="str">
        <f>INDEX(Table5[[#All],[Ovr]],MATCH(Table3[[#This Row],[PID]],Table5[[#All],[PID]],0))</f>
        <v/>
      </c>
      <c r="BI391" s="47" t="str">
        <f>INDEX(Table5[[#All],[Rnd]],MATCH(Table3[[#This Row],[PID]],Table5[[#All],[PID]],0))</f>
        <v/>
      </c>
      <c r="BJ391" s="47" t="str">
        <f>INDEX(Table5[[#All],[Pick]],MATCH(Table3[[#This Row],[PID]],Table5[[#All],[PID]],0))</f>
        <v/>
      </c>
      <c r="BK391" s="47" t="str">
        <f>INDEX(Table5[[#All],[Team]],MATCH(Table3[[#This Row],[PID]],Table5[[#All],[PID]],0))</f>
        <v/>
      </c>
      <c r="BL3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2" spans="1:64" ht="15" customHeight="1" x14ac:dyDescent="0.25">
      <c r="A392" s="42">
        <v>13307</v>
      </c>
      <c r="B392" s="42" t="s">
        <v>24</v>
      </c>
      <c r="C392" s="42" t="s">
        <v>840</v>
      </c>
      <c r="D392" s="42" t="s">
        <v>1015</v>
      </c>
      <c r="E392" s="42">
        <v>22</v>
      </c>
      <c r="F392" s="42" t="s">
        <v>42</v>
      </c>
      <c r="G392" s="42" t="s">
        <v>42</v>
      </c>
      <c r="H392" s="43" t="s">
        <v>721</v>
      </c>
      <c r="I392" s="44" t="s">
        <v>44</v>
      </c>
      <c r="J392" s="42" t="s">
        <v>44</v>
      </c>
      <c r="K392" s="43" t="s">
        <v>44</v>
      </c>
      <c r="L392" s="42">
        <v>3</v>
      </c>
      <c r="M392" s="42">
        <v>2</v>
      </c>
      <c r="N392" s="43">
        <v>2</v>
      </c>
      <c r="O392" s="42">
        <v>5</v>
      </c>
      <c r="P392" s="42">
        <v>2</v>
      </c>
      <c r="Q392" s="43">
        <v>2</v>
      </c>
      <c r="R392" s="42">
        <v>5</v>
      </c>
      <c r="S392" s="42">
        <v>7</v>
      </c>
      <c r="T392" s="42" t="s">
        <v>45</v>
      </c>
      <c r="U392" s="42" t="s">
        <v>45</v>
      </c>
      <c r="V392" s="42">
        <v>3</v>
      </c>
      <c r="W392" s="42">
        <v>6</v>
      </c>
      <c r="X392" s="42" t="s">
        <v>45</v>
      </c>
      <c r="Y392" s="42" t="s">
        <v>45</v>
      </c>
      <c r="Z392" s="42">
        <v>4</v>
      </c>
      <c r="AA392" s="42">
        <v>5</v>
      </c>
      <c r="AB392" s="42" t="s">
        <v>45</v>
      </c>
      <c r="AC392" s="42" t="s">
        <v>45</v>
      </c>
      <c r="AD392" s="42" t="s">
        <v>45</v>
      </c>
      <c r="AE392" s="42" t="s">
        <v>45</v>
      </c>
      <c r="AF392" s="42" t="s">
        <v>45</v>
      </c>
      <c r="AG392" s="42" t="s">
        <v>45</v>
      </c>
      <c r="AH392" s="42" t="s">
        <v>45</v>
      </c>
      <c r="AI392" s="42" t="s">
        <v>45</v>
      </c>
      <c r="AJ392" s="42" t="s">
        <v>45</v>
      </c>
      <c r="AK392" s="42" t="s">
        <v>45</v>
      </c>
      <c r="AL392" s="42" t="s">
        <v>45</v>
      </c>
      <c r="AM392" s="42" t="s">
        <v>45</v>
      </c>
      <c r="AN392" s="42" t="s">
        <v>45</v>
      </c>
      <c r="AO392" s="43" t="s">
        <v>45</v>
      </c>
      <c r="AP392" s="42" t="s">
        <v>48</v>
      </c>
      <c r="AQ392" s="42">
        <v>4</v>
      </c>
      <c r="AR392" s="50" t="s">
        <v>353</v>
      </c>
      <c r="AS392" s="45" t="s">
        <v>45</v>
      </c>
      <c r="AT392" s="45" t="s">
        <v>705</v>
      </c>
      <c r="AU392" s="46">
        <f>($O$3*(L392-$O$1)/$O$2+$P$3*(M392-$P$1)/$P$2+$Q$3*(N392-$P$1)/$Q$2)/SUM($O$3:$Q$3)</f>
        <v>-1.8743493064650851</v>
      </c>
      <c r="AV392" s="46">
        <f>($O$3*(O392-$O$1)/$O$2+$P$3*(P392-$P$1)/$P$2+$Q$3*(Q392-$Q$1)/$Q$2)/SUM($O$3:$Q$3)</f>
        <v>-1.0394719067096667</v>
      </c>
      <c r="AW392" s="47">
        <f>COUNT(R392:AO392)/2</f>
        <v>3</v>
      </c>
      <c r="AX392" s="47">
        <f>IF(AND(S392&lt;&gt;"-",S392&gt;5),1,0)+IF(AND(U392&lt;&gt;"-",U392&gt;5),1,0)+IF(AND(W392&lt;&gt;"-",W392&gt;5),1,0)+IF(AND(Y392&lt;&gt;"-",Y392&gt;5),1,0)+IF(AND(AA392&lt;&gt;"-",AA392&gt;5),1,0)+IF(AND(AC392&lt;&gt;"-",AC392&gt;5),1,0)+IF(AND(AE392&lt;&gt;"-",AE392&gt;5),1,0)+IF(AND(AG392&lt;&gt;"-",AG392&gt;5),1,0)+IF(AND(AI392&lt;&gt;"-",AI392&gt;5),1,0)+IF(AND(AK392&lt;&gt;"-",AK392&gt;5),1,0)+IF(AND(AM392&lt;&gt;"-",AM392&gt;5),1,0)+IF(AND(AO392&lt;&gt;"-",AO392&gt;5),1,0)</f>
        <v>2</v>
      </c>
      <c r="AY392" s="48">
        <f>VLOOKUP(AP392,COND!$A$10:$B$32,2,FALSE)</f>
        <v>1.05</v>
      </c>
      <c r="AZ392" s="46">
        <f>($AU$3*AU392+$AV$3*AV392+$AW$3*AW392+$AX$3*AX392)*AY392*IF(AQ392&lt;5,0.95,IF(AQ392&lt;7,0.975,1))+$I$3*VLOOKUP(I392,COND!$A$2:$E$7,4,FALSE)+$J$3*VLOOKUP(J392,COND!$A$2:$E$7,2,FALSE)+$K$3*VLOOKUP(K392,COND!$A$2:$E$7,3,FALSE)+IF(BB392="SP",$BB$3,0)+IF($AW392&lt;3,-5,0)+IF(AND($B$2&gt;0,$E392&lt;20),$B$2*25,0)</f>
        <v>27.128602774502362</v>
      </c>
      <c r="BA392" s="49">
        <f>STANDARDIZE(AZ392,AVERAGE($AZ$5:$AZ$570),STDEVP($AZ$5:$AZ$570))</f>
        <v>-0.51296143664991789</v>
      </c>
      <c r="BB392" s="47" t="str">
        <f>IF(OR(AND(AQ392&gt;7,AX392&gt;1),AND(AQ392&gt;4,AW392&gt;2)),"SP","RP")</f>
        <v>RP</v>
      </c>
      <c r="BC392" s="47"/>
      <c r="BD392" s="47"/>
      <c r="BE392" s="47"/>
      <c r="BF392" s="47" t="str">
        <f>IF(AVERAGE($O392:$Q392)&gt;=6,"Likely",IF(AVERAGE($O392:$Q392)&gt;=4,"Possible","Unlikely"))</f>
        <v>Unlikely</v>
      </c>
      <c r="BG392" s="47"/>
      <c r="BH392" s="47" t="str">
        <f>INDEX(Table5[[#All],[Ovr]],MATCH(Table3[[#This Row],[PID]],Table5[[#All],[PID]],0))</f>
        <v/>
      </c>
      <c r="BI392" s="47" t="str">
        <f>INDEX(Table5[[#All],[Rnd]],MATCH(Table3[[#This Row],[PID]],Table5[[#All],[PID]],0))</f>
        <v/>
      </c>
      <c r="BJ392" s="47" t="str">
        <f>INDEX(Table5[[#All],[Pick]],MATCH(Table3[[#This Row],[PID]],Table5[[#All],[PID]],0))</f>
        <v/>
      </c>
      <c r="BK392" s="47" t="str">
        <f>INDEX(Table5[[#All],[Team]],MATCH(Table3[[#This Row],[PID]],Table5[[#All],[PID]],0))</f>
        <v/>
      </c>
      <c r="BL3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3" spans="1:64" ht="15" customHeight="1" x14ac:dyDescent="0.25">
      <c r="A393" s="42">
        <v>5329</v>
      </c>
      <c r="B393" s="42" t="s">
        <v>430</v>
      </c>
      <c r="C393" s="42" t="s">
        <v>211</v>
      </c>
      <c r="D393" s="42" t="s">
        <v>150</v>
      </c>
      <c r="E393" s="42">
        <v>18</v>
      </c>
      <c r="F393" s="42" t="s">
        <v>53</v>
      </c>
      <c r="G393" s="42" t="s">
        <v>42</v>
      </c>
      <c r="H393" s="43" t="s">
        <v>721</v>
      </c>
      <c r="I393" s="44" t="s">
        <v>43</v>
      </c>
      <c r="J393" s="42" t="s">
        <v>43</v>
      </c>
      <c r="K393" s="43" t="s">
        <v>43</v>
      </c>
      <c r="L393" s="42">
        <v>1</v>
      </c>
      <c r="M393" s="42">
        <v>1</v>
      </c>
      <c r="N393" s="43">
        <v>1</v>
      </c>
      <c r="O393" s="42">
        <v>4</v>
      </c>
      <c r="P393" s="42">
        <v>1</v>
      </c>
      <c r="Q393" s="43">
        <v>2</v>
      </c>
      <c r="R393" s="42">
        <v>3</v>
      </c>
      <c r="S393" s="42">
        <v>5</v>
      </c>
      <c r="T393" s="42">
        <v>1</v>
      </c>
      <c r="U393" s="42">
        <v>1</v>
      </c>
      <c r="V393" s="42" t="s">
        <v>45</v>
      </c>
      <c r="W393" s="42" t="s">
        <v>45</v>
      </c>
      <c r="X393" s="42">
        <v>2</v>
      </c>
      <c r="Y393" s="42">
        <v>6</v>
      </c>
      <c r="Z393" s="42" t="s">
        <v>45</v>
      </c>
      <c r="AA393" s="42" t="s">
        <v>45</v>
      </c>
      <c r="AB393" s="42" t="s">
        <v>45</v>
      </c>
      <c r="AC393" s="42" t="s">
        <v>45</v>
      </c>
      <c r="AD393" s="42" t="s">
        <v>45</v>
      </c>
      <c r="AE393" s="42" t="s">
        <v>45</v>
      </c>
      <c r="AF393" s="42" t="s">
        <v>45</v>
      </c>
      <c r="AG393" s="42" t="s">
        <v>45</v>
      </c>
      <c r="AH393" s="42" t="s">
        <v>45</v>
      </c>
      <c r="AI393" s="42" t="s">
        <v>45</v>
      </c>
      <c r="AJ393" s="42" t="s">
        <v>45</v>
      </c>
      <c r="AK393" s="42" t="s">
        <v>45</v>
      </c>
      <c r="AL393" s="42" t="s">
        <v>45</v>
      </c>
      <c r="AM393" s="42" t="s">
        <v>45</v>
      </c>
      <c r="AN393" s="42" t="s">
        <v>45</v>
      </c>
      <c r="AO393" s="43" t="s">
        <v>45</v>
      </c>
      <c r="AP393" s="42" t="s">
        <v>64</v>
      </c>
      <c r="AQ393" s="42">
        <v>8</v>
      </c>
      <c r="AR393" s="50" t="s">
        <v>353</v>
      </c>
      <c r="AS393" s="45" t="s">
        <v>718</v>
      </c>
      <c r="AT393" s="45" t="s">
        <v>705</v>
      </c>
      <c r="AU393" s="46">
        <f>($O$3*(L393-$O$1)/$O$2+$P$3*(M393-$P$1)/$P$2+$Q$3*(N393-$P$1)/$Q$2)/SUM($O$3:$Q$3)</f>
        <v>-2.7014842379675978</v>
      </c>
      <c r="AV393" s="46">
        <f>($O$3*(O393-$O$1)/$O$2+$P$3*(P393-$P$1)/$P$2+$Q$3*(Q393-$Q$1)/$Q$2)/SUM($O$3:$Q$3)</f>
        <v>-1.4295949476488956</v>
      </c>
      <c r="AW393" s="47">
        <f>COUNT(R393:AO393)/2</f>
        <v>3</v>
      </c>
      <c r="AX393" s="47">
        <f>IF(AND(S393&lt;&gt;"-",S393&gt;5),1,0)+IF(AND(U393&lt;&gt;"-",U393&gt;5),1,0)+IF(AND(W393&lt;&gt;"-",W393&gt;5),1,0)+IF(AND(Y393&lt;&gt;"-",Y393&gt;5),1,0)+IF(AND(AA393&lt;&gt;"-",AA393&gt;5),1,0)+IF(AND(AC393&lt;&gt;"-",AC393&gt;5),1,0)+IF(AND(AE393&lt;&gt;"-",AE393&gt;5),1,0)+IF(AND(AG393&lt;&gt;"-",AG393&gt;5),1,0)+IF(AND(AI393&lt;&gt;"-",AI393&gt;5),1,0)+IF(AND(AK393&lt;&gt;"-",AK393&gt;5),1,0)+IF(AND(AM393&lt;&gt;"-",AM393&gt;5),1,0)+IF(AND(AO393&lt;&gt;"-",AO393&gt;5),1,0)</f>
        <v>1</v>
      </c>
      <c r="AY393" s="48">
        <f>VLOOKUP(AP393,COND!$A$10:$B$32,2,FALSE)</f>
        <v>1</v>
      </c>
      <c r="AZ393" s="46">
        <f>($AU$3*AU393+$AV$3*AV393+$AW$3*AW393+$AX$3*AX393)*AY393*IF(AQ393&lt;5,0.95,IF(AQ393&lt;7,0.975,1))+$I$3*VLOOKUP(I393,COND!$A$2:$E$7,4,FALSE)+$J$3*VLOOKUP(J393,COND!$A$2:$E$7,2,FALSE)+$K$3*VLOOKUP(K393,COND!$A$2:$E$7,3,FALSE)+IF(BB393="SP",$BB$3,0)+IF($AW393&lt;3,-5,0)+IF(AND($B$2&gt;0,$E393&lt;20),$B$2*25,0)</f>
        <v>25.617804199428566</v>
      </c>
      <c r="BA393" s="49">
        <f>STANDARDIZE(AZ393,AVERAGE($AZ$5:$AZ$570),STDEVP($AZ$5:$AZ$570))</f>
        <v>-0.65150812327300811</v>
      </c>
      <c r="BB393" s="47" t="str">
        <f>IF(OR(AND(AQ393&gt;7,AX393&gt;1),AND(AQ393&gt;4,AW393&gt;2)),"SP","RP")</f>
        <v>SP</v>
      </c>
      <c r="BC393" s="47"/>
      <c r="BD393" s="47"/>
      <c r="BE393" s="47"/>
      <c r="BF393" s="47" t="str">
        <f>IF(AVERAGE($O393:$Q393)&gt;=6,"Likely",IF(AVERAGE($O393:$Q393)&gt;=4,"Possible","Unlikely"))</f>
        <v>Unlikely</v>
      </c>
      <c r="BG393" s="47"/>
      <c r="BH393" s="47" t="str">
        <f>INDEX(Table5[[#All],[Ovr]],MATCH(Table3[[#This Row],[PID]],Table5[[#All],[PID]],0))</f>
        <v/>
      </c>
      <c r="BI393" s="47" t="str">
        <f>INDEX(Table5[[#All],[Rnd]],MATCH(Table3[[#This Row],[PID]],Table5[[#All],[PID]],0))</f>
        <v/>
      </c>
      <c r="BJ393" s="47" t="str">
        <f>INDEX(Table5[[#All],[Pick]],MATCH(Table3[[#This Row],[PID]],Table5[[#All],[PID]],0))</f>
        <v/>
      </c>
      <c r="BK393" s="47" t="str">
        <f>INDEX(Table5[[#All],[Team]],MATCH(Table3[[#This Row],[PID]],Table5[[#All],[PID]],0))</f>
        <v/>
      </c>
      <c r="BL3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4" spans="1:64" ht="15" customHeight="1" x14ac:dyDescent="0.25">
      <c r="A394" s="42">
        <v>17849</v>
      </c>
      <c r="B394" s="42" t="s">
        <v>430</v>
      </c>
      <c r="C394" s="42" t="s">
        <v>1187</v>
      </c>
      <c r="D394" s="42" t="s">
        <v>385</v>
      </c>
      <c r="E394" s="42">
        <v>18</v>
      </c>
      <c r="F394" s="42" t="s">
        <v>53</v>
      </c>
      <c r="G394" s="42" t="s">
        <v>42</v>
      </c>
      <c r="H394" s="43" t="s">
        <v>721</v>
      </c>
      <c r="I394" s="44" t="s">
        <v>43</v>
      </c>
      <c r="J394" s="42" t="s">
        <v>44</v>
      </c>
      <c r="K394" s="43" t="s">
        <v>44</v>
      </c>
      <c r="L394" s="42">
        <v>1</v>
      </c>
      <c r="M394" s="42">
        <v>1</v>
      </c>
      <c r="N394" s="43">
        <v>1</v>
      </c>
      <c r="O394" s="42">
        <v>4</v>
      </c>
      <c r="P394" s="42">
        <v>1</v>
      </c>
      <c r="Q394" s="43">
        <v>2</v>
      </c>
      <c r="R394" s="42">
        <v>3</v>
      </c>
      <c r="S394" s="42">
        <v>5</v>
      </c>
      <c r="T394" s="42">
        <v>1</v>
      </c>
      <c r="U394" s="42">
        <v>2</v>
      </c>
      <c r="V394" s="42">
        <v>1</v>
      </c>
      <c r="W394" s="42">
        <v>6</v>
      </c>
      <c r="X394" s="42" t="s">
        <v>45</v>
      </c>
      <c r="Y394" s="42" t="s">
        <v>45</v>
      </c>
      <c r="Z394" s="42" t="s">
        <v>45</v>
      </c>
      <c r="AA394" s="42" t="s">
        <v>45</v>
      </c>
      <c r="AB394" s="42" t="s">
        <v>45</v>
      </c>
      <c r="AC394" s="42" t="s">
        <v>45</v>
      </c>
      <c r="AD394" s="42" t="s">
        <v>45</v>
      </c>
      <c r="AE394" s="42" t="s">
        <v>45</v>
      </c>
      <c r="AF394" s="42" t="s">
        <v>45</v>
      </c>
      <c r="AG394" s="42" t="s">
        <v>45</v>
      </c>
      <c r="AH394" s="42" t="s">
        <v>45</v>
      </c>
      <c r="AI394" s="42" t="s">
        <v>45</v>
      </c>
      <c r="AJ394" s="42" t="s">
        <v>45</v>
      </c>
      <c r="AK394" s="42" t="s">
        <v>45</v>
      </c>
      <c r="AL394" s="42" t="s">
        <v>45</v>
      </c>
      <c r="AM394" s="42" t="s">
        <v>45</v>
      </c>
      <c r="AN394" s="42" t="s">
        <v>45</v>
      </c>
      <c r="AO394" s="43" t="s">
        <v>45</v>
      </c>
      <c r="AP394" s="42" t="s">
        <v>68</v>
      </c>
      <c r="AQ394" s="42">
        <v>6</v>
      </c>
      <c r="AR394" s="50" t="s">
        <v>14</v>
      </c>
      <c r="AS394" s="45" t="s">
        <v>745</v>
      </c>
      <c r="AT394" s="45" t="s">
        <v>47</v>
      </c>
      <c r="AU394" s="46">
        <f>($O$3*(L394-$O$1)/$O$2+$P$3*(M394-$P$1)/$P$2+$Q$3*(N394-$P$1)/$Q$2)/SUM($O$3:$Q$3)</f>
        <v>-2.7014842379675978</v>
      </c>
      <c r="AV394" s="46">
        <f>($O$3*(O394-$O$1)/$O$2+$P$3*(P394-$P$1)/$P$2+$Q$3*(Q394-$Q$1)/$Q$2)/SUM($O$3:$Q$3)</f>
        <v>-1.4295949476488956</v>
      </c>
      <c r="AW394" s="47">
        <f>COUNT(R394:AO394)/2</f>
        <v>3</v>
      </c>
      <c r="AX394" s="47">
        <f>IF(AND(S394&lt;&gt;"-",S394&gt;5),1,0)+IF(AND(U394&lt;&gt;"-",U394&gt;5),1,0)+IF(AND(W394&lt;&gt;"-",W394&gt;5),1,0)+IF(AND(Y394&lt;&gt;"-",Y394&gt;5),1,0)+IF(AND(AA394&lt;&gt;"-",AA394&gt;5),1,0)+IF(AND(AC394&lt;&gt;"-",AC394&gt;5),1,0)+IF(AND(AE394&lt;&gt;"-",AE394&gt;5),1,0)+IF(AND(AG394&lt;&gt;"-",AG394&gt;5),1,0)+IF(AND(AI394&lt;&gt;"-",AI394&gt;5),1,0)+IF(AND(AK394&lt;&gt;"-",AK394&gt;5),1,0)+IF(AND(AM394&lt;&gt;"-",AM394&gt;5),1,0)+IF(AND(AO394&lt;&gt;"-",AO394&gt;5),1,0)</f>
        <v>1</v>
      </c>
      <c r="AY394" s="48">
        <f>VLOOKUP(AP394,COND!$A$10:$B$32,2,FALSE)</f>
        <v>0.95</v>
      </c>
      <c r="AZ394" s="46">
        <f>($AU$3*AU394+$AV$3*AV394+$AW$3*AW394+$AX$3*AX394)*AY394*IF(AQ394&lt;5,0.95,IF(AQ394&lt;7,0.975,1))+$I$3*VLOOKUP(I394,COND!$A$2:$E$7,4,FALSE)+$J$3*VLOOKUP(J394,COND!$A$2:$E$7,2,FALSE)+$K$3*VLOOKUP(K394,COND!$A$2:$E$7,3,FALSE)+IF(BB394="SP",$BB$3,0)+IF($AW394&lt;3,-5,0)+IF(AND($B$2&gt;0,$E394&lt;20),$B$2*25,0)</f>
        <v>26.963491139720709</v>
      </c>
      <c r="BA394" s="49">
        <f>STANDARDIZE(AZ394,AVERAGE($AZ$5:$AZ$570),STDEVP($AZ$5:$AZ$570))</f>
        <v>-0.52810287926135424</v>
      </c>
      <c r="BB394" s="47" t="str">
        <f>IF(OR(AND(AQ394&gt;7,AX394&gt;1),AND(AQ394&gt;4,AW394&gt;2)),"SP","RP")</f>
        <v>SP</v>
      </c>
      <c r="BC394" s="47"/>
      <c r="BD394" s="47"/>
      <c r="BE394" s="47"/>
      <c r="BF394" s="47" t="str">
        <f>IF(AVERAGE($O394:$Q394)&gt;=6,"Likely",IF(AVERAGE($O394:$Q394)&gt;=4,"Possible","Unlikely"))</f>
        <v>Unlikely</v>
      </c>
      <c r="BG394" s="47"/>
      <c r="BH394" s="47" t="str">
        <f>INDEX(Table5[[#All],[Ovr]],MATCH(Table3[[#This Row],[PID]],Table5[[#All],[PID]],0))</f>
        <v/>
      </c>
      <c r="BI394" s="47" t="str">
        <f>INDEX(Table5[[#All],[Rnd]],MATCH(Table3[[#This Row],[PID]],Table5[[#All],[PID]],0))</f>
        <v/>
      </c>
      <c r="BJ394" s="47" t="str">
        <f>INDEX(Table5[[#All],[Pick]],MATCH(Table3[[#This Row],[PID]],Table5[[#All],[PID]],0))</f>
        <v/>
      </c>
      <c r="BK394" s="47" t="str">
        <f>INDEX(Table5[[#All],[Team]],MATCH(Table3[[#This Row],[PID]],Table5[[#All],[PID]],0))</f>
        <v/>
      </c>
      <c r="BL3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5" spans="1:64" ht="15" customHeight="1" x14ac:dyDescent="0.25">
      <c r="A395" s="42">
        <v>7681</v>
      </c>
      <c r="B395" s="42" t="s">
        <v>430</v>
      </c>
      <c r="C395" s="42" t="s">
        <v>433</v>
      </c>
      <c r="D395" s="42" t="s">
        <v>201</v>
      </c>
      <c r="E395" s="42">
        <v>18</v>
      </c>
      <c r="F395" s="42" t="s">
        <v>42</v>
      </c>
      <c r="G395" s="42" t="s">
        <v>42</v>
      </c>
      <c r="H395" s="43" t="s">
        <v>721</v>
      </c>
      <c r="I395" s="44" t="s">
        <v>43</v>
      </c>
      <c r="J395" s="42" t="s">
        <v>43</v>
      </c>
      <c r="K395" s="43" t="s">
        <v>43</v>
      </c>
      <c r="L395" s="42">
        <v>1</v>
      </c>
      <c r="M395" s="42">
        <v>2</v>
      </c>
      <c r="N395" s="43">
        <v>1</v>
      </c>
      <c r="O395" s="42">
        <v>3</v>
      </c>
      <c r="P395" s="42">
        <v>2</v>
      </c>
      <c r="Q395" s="43">
        <v>2</v>
      </c>
      <c r="R395" s="42">
        <v>2</v>
      </c>
      <c r="S395" s="42">
        <v>4</v>
      </c>
      <c r="T395" s="42" t="s">
        <v>45</v>
      </c>
      <c r="U395" s="42" t="s">
        <v>45</v>
      </c>
      <c r="V395" s="42">
        <v>1</v>
      </c>
      <c r="W395" s="42">
        <v>4</v>
      </c>
      <c r="X395" s="42" t="s">
        <v>45</v>
      </c>
      <c r="Y395" s="42" t="s">
        <v>45</v>
      </c>
      <c r="Z395" s="42" t="s">
        <v>45</v>
      </c>
      <c r="AA395" s="42" t="s">
        <v>45</v>
      </c>
      <c r="AB395" s="42">
        <v>2</v>
      </c>
      <c r="AC395" s="42">
        <v>3</v>
      </c>
      <c r="AD395" s="42" t="s">
        <v>45</v>
      </c>
      <c r="AE395" s="42" t="s">
        <v>45</v>
      </c>
      <c r="AF395" s="42" t="s">
        <v>45</v>
      </c>
      <c r="AG395" s="42" t="s">
        <v>45</v>
      </c>
      <c r="AH395" s="42" t="s">
        <v>45</v>
      </c>
      <c r="AI395" s="42" t="s">
        <v>45</v>
      </c>
      <c r="AJ395" s="42" t="s">
        <v>45</v>
      </c>
      <c r="AK395" s="42" t="s">
        <v>45</v>
      </c>
      <c r="AL395" s="42" t="s">
        <v>45</v>
      </c>
      <c r="AM395" s="42" t="s">
        <v>45</v>
      </c>
      <c r="AN395" s="42" t="s">
        <v>45</v>
      </c>
      <c r="AO395" s="43" t="s">
        <v>45</v>
      </c>
      <c r="AP395" s="42" t="s">
        <v>68</v>
      </c>
      <c r="AQ395" s="42">
        <v>6</v>
      </c>
      <c r="AR395" s="50" t="s">
        <v>353</v>
      </c>
      <c r="AS395" s="45" t="s">
        <v>733</v>
      </c>
      <c r="AT395" s="45" t="s">
        <v>705</v>
      </c>
      <c r="AU395" s="46">
        <f>($O$3*(L395-$O$1)/$O$2+$P$3*(M395-$P$1)/$P$2+$Q$3*(N395-$P$1)/$Q$2)/SUM($O$3:$Q$3)</f>
        <v>-2.5060525215375429</v>
      </c>
      <c r="AV395" s="46">
        <f>($O$3*(O395-$O$1)/$O$2+$P$3*(P395-$P$1)/$P$2+$Q$3*(Q395-$Q$1)/$Q$2)/SUM($O$3:$Q$3)</f>
        <v>-1.4288545557280135</v>
      </c>
      <c r="AW395" s="47">
        <f>COUNT(R395:AO395)/2</f>
        <v>3</v>
      </c>
      <c r="AX395" s="47">
        <f>IF(AND(S395&lt;&gt;"-",S395&gt;5),1,0)+IF(AND(U395&lt;&gt;"-",U395&gt;5),1,0)+IF(AND(W395&lt;&gt;"-",W395&gt;5),1,0)+IF(AND(Y395&lt;&gt;"-",Y395&gt;5),1,0)+IF(AND(AA395&lt;&gt;"-",AA395&gt;5),1,0)+IF(AND(AC395&lt;&gt;"-",AC395&gt;5),1,0)+IF(AND(AE395&lt;&gt;"-",AE395&gt;5),1,0)+IF(AND(AG395&lt;&gt;"-",AG395&gt;5),1,0)+IF(AND(AI395&lt;&gt;"-",AI395&gt;5),1,0)+IF(AND(AK395&lt;&gt;"-",AK395&gt;5),1,0)+IF(AND(AM395&lt;&gt;"-",AM395&gt;5),1,0)+IF(AND(AO395&lt;&gt;"-",AO395&gt;5),1,0)</f>
        <v>0</v>
      </c>
      <c r="AY395" s="48">
        <f>VLOOKUP(AP395,COND!$A$10:$B$32,2,FALSE)</f>
        <v>0.95</v>
      </c>
      <c r="AZ395" s="46">
        <f>($AU$3*AU395+$AV$3*AV395+$AW$3*AW395+$AX$3*AX395)*AY395*IF(AQ395&lt;5,0.95,IF(AQ395&lt;7,0.975,1))+$I$3*VLOOKUP(I395,COND!$A$2:$E$7,4,FALSE)+$J$3*VLOOKUP(J395,COND!$A$2:$E$7,2,FALSE)+$K$3*VLOOKUP(K395,COND!$A$2:$E$7,3,FALSE)+IF(BB395="SP",$BB$3,0)+IF($AW395&lt;3,-5,0)+IF(AND($B$2&gt;0,$E395&lt;20),$B$2*25,0)</f>
        <v>26.455598125523725</v>
      </c>
      <c r="BA395" s="49">
        <f>STANDARDIZE(AZ395,AVERAGE($AZ$5:$AZ$676),STDEVP($AZ$5:$AZ$676))</f>
        <v>-0.34528088182574213</v>
      </c>
      <c r="BB395" s="47" t="str">
        <f>IF(OR(AND(AQ395&gt;7,AX395&gt;1),AND(AQ395&gt;4,AW395&gt;2)),"SP","RP")</f>
        <v>SP</v>
      </c>
      <c r="BC395" s="47"/>
      <c r="BD395" s="47"/>
      <c r="BE395" s="47"/>
      <c r="BF395" s="47" t="str">
        <f>IF(AVERAGE($O395:$Q395)&gt;=6,"Likely",IF(AVERAGE($O395:$Q395)&gt;=4,"Possible","Unlikely"))</f>
        <v>Unlikely</v>
      </c>
      <c r="BG395" s="47"/>
      <c r="BH395" s="47" t="str">
        <f>INDEX(Table5[[#All],[Ovr]],MATCH(Table3[[#This Row],[PID]],Table5[[#All],[PID]],0))</f>
        <v/>
      </c>
      <c r="BI395" s="47" t="str">
        <f>INDEX(Table5[[#All],[Rnd]],MATCH(Table3[[#This Row],[PID]],Table5[[#All],[PID]],0))</f>
        <v/>
      </c>
      <c r="BJ395" s="47" t="str">
        <f>INDEX(Table5[[#All],[Pick]],MATCH(Table3[[#This Row],[PID]],Table5[[#All],[PID]],0))</f>
        <v/>
      </c>
      <c r="BK395" s="47" t="str">
        <f>INDEX(Table5[[#All],[Team]],MATCH(Table3[[#This Row],[PID]],Table5[[#All],[PID]],0))</f>
        <v/>
      </c>
      <c r="BL3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6" spans="1:64" ht="15" customHeight="1" x14ac:dyDescent="0.25">
      <c r="A396" s="42">
        <v>17606</v>
      </c>
      <c r="B396" s="42" t="s">
        <v>430</v>
      </c>
      <c r="C396" s="42" t="s">
        <v>156</v>
      </c>
      <c r="D396" s="42" t="s">
        <v>794</v>
      </c>
      <c r="E396" s="42">
        <v>18</v>
      </c>
      <c r="F396" s="42" t="s">
        <v>42</v>
      </c>
      <c r="G396" s="42" t="s">
        <v>42</v>
      </c>
      <c r="H396" s="43" t="s">
        <v>721</v>
      </c>
      <c r="I396" s="44" t="s">
        <v>43</v>
      </c>
      <c r="J396" s="42" t="s">
        <v>43</v>
      </c>
      <c r="K396" s="43" t="s">
        <v>43</v>
      </c>
      <c r="L396" s="42">
        <v>1</v>
      </c>
      <c r="M396" s="42">
        <v>2</v>
      </c>
      <c r="N396" s="43">
        <v>1</v>
      </c>
      <c r="O396" s="42">
        <v>3</v>
      </c>
      <c r="P396" s="42">
        <v>2</v>
      </c>
      <c r="Q396" s="43">
        <v>2</v>
      </c>
      <c r="R396" s="42">
        <v>2</v>
      </c>
      <c r="S396" s="42">
        <v>3</v>
      </c>
      <c r="T396" s="42">
        <v>1</v>
      </c>
      <c r="U396" s="42">
        <v>3</v>
      </c>
      <c r="V396" s="42" t="s">
        <v>45</v>
      </c>
      <c r="W396" s="42" t="s">
        <v>45</v>
      </c>
      <c r="X396" s="42" t="s">
        <v>45</v>
      </c>
      <c r="Y396" s="42" t="s">
        <v>45</v>
      </c>
      <c r="Z396" s="42" t="s">
        <v>45</v>
      </c>
      <c r="AA396" s="42" t="s">
        <v>45</v>
      </c>
      <c r="AB396" s="42">
        <v>2</v>
      </c>
      <c r="AC396" s="42">
        <v>4</v>
      </c>
      <c r="AD396" s="42" t="s">
        <v>45</v>
      </c>
      <c r="AE396" s="42" t="s">
        <v>45</v>
      </c>
      <c r="AF396" s="42" t="s">
        <v>45</v>
      </c>
      <c r="AG396" s="42" t="s">
        <v>45</v>
      </c>
      <c r="AH396" s="42" t="s">
        <v>45</v>
      </c>
      <c r="AI396" s="42" t="s">
        <v>45</v>
      </c>
      <c r="AJ396" s="42" t="s">
        <v>45</v>
      </c>
      <c r="AK396" s="42" t="s">
        <v>45</v>
      </c>
      <c r="AL396" s="42" t="s">
        <v>45</v>
      </c>
      <c r="AM396" s="42" t="s">
        <v>45</v>
      </c>
      <c r="AN396" s="42" t="s">
        <v>45</v>
      </c>
      <c r="AO396" s="43" t="s">
        <v>45</v>
      </c>
      <c r="AP396" s="42" t="s">
        <v>65</v>
      </c>
      <c r="AQ396" s="42">
        <v>5</v>
      </c>
      <c r="AR396" s="50" t="s">
        <v>353</v>
      </c>
      <c r="AS396" s="45" t="s">
        <v>718</v>
      </c>
      <c r="AT396" s="45" t="s">
        <v>47</v>
      </c>
      <c r="AU396" s="46">
        <f>($O$3*(L396-$O$1)/$O$2+$P$3*(M396-$P$1)/$P$2+$Q$3*(N396-$P$1)/$Q$2)/SUM($O$3:$Q$3)</f>
        <v>-2.5060525215375429</v>
      </c>
      <c r="AV396" s="46">
        <f>($O$3*(O396-$O$1)/$O$2+$P$3*(P396-$P$1)/$P$2+$Q$3*(Q396-$Q$1)/$Q$2)/SUM($O$3:$Q$3)</f>
        <v>-1.4288545557280135</v>
      </c>
      <c r="AW396" s="47">
        <f>COUNT(R396:AO396)/2</f>
        <v>3</v>
      </c>
      <c r="AX396" s="47">
        <f>IF(AND(S396&lt;&gt;"-",S396&gt;5),1,0)+IF(AND(U396&lt;&gt;"-",U396&gt;5),1,0)+IF(AND(W396&lt;&gt;"-",W396&gt;5),1,0)+IF(AND(Y396&lt;&gt;"-",Y396&gt;5),1,0)+IF(AND(AA396&lt;&gt;"-",AA396&gt;5),1,0)+IF(AND(AC396&lt;&gt;"-",AC396&gt;5),1,0)+IF(AND(AE396&lt;&gt;"-",AE396&gt;5),1,0)+IF(AND(AG396&lt;&gt;"-",AG396&gt;5),1,0)+IF(AND(AI396&lt;&gt;"-",AI396&gt;5),1,0)+IF(AND(AK396&lt;&gt;"-",AK396&gt;5),1,0)+IF(AND(AM396&lt;&gt;"-",AM396&gt;5),1,0)+IF(AND(AO396&lt;&gt;"-",AO396&gt;5),1,0)</f>
        <v>0</v>
      </c>
      <c r="AY396" s="48">
        <f>VLOOKUP(AP396,COND!$A$10:$B$32,2,FALSE)</f>
        <v>0.95</v>
      </c>
      <c r="AZ396" s="46">
        <f>($AU$3*AU396+$AV$3*AV396+$AW$3*AW396+$AX$3*AX396)*AY396*IF(AQ396&lt;5,0.95,IF(AQ396&lt;7,0.975,1))+$I$3*VLOOKUP(I396,COND!$A$2:$E$7,4,FALSE)+$J$3*VLOOKUP(J396,COND!$A$2:$E$7,2,FALSE)+$K$3*VLOOKUP(K396,COND!$A$2:$E$7,3,FALSE)+IF(BB396="SP",$BB$3,0)+IF($AW396&lt;3,-5,0)+IF(AND($B$2&gt;0,$E396&lt;20),$B$2*25,0)</f>
        <v>26.455598125523725</v>
      </c>
      <c r="BA396" s="49">
        <f>STANDARDIZE(AZ396,AVERAGE($AZ$5:$AZ$676),STDEVP($AZ$5:$AZ$676))</f>
        <v>-0.34528088182574213</v>
      </c>
      <c r="BB396" s="47" t="str">
        <f>IF(OR(AND(AQ396&gt;7,AX396&gt;1),AND(AQ396&gt;4,AW396&gt;2)),"SP","RP")</f>
        <v>SP</v>
      </c>
      <c r="BC396" s="47"/>
      <c r="BD396" s="47"/>
      <c r="BE396" s="47"/>
      <c r="BF396" s="47" t="str">
        <f>IF(AVERAGE($O396:$Q396)&gt;=6,"Likely",IF(AVERAGE($O396:$Q396)&gt;=4,"Possible","Unlikely"))</f>
        <v>Unlikely</v>
      </c>
      <c r="BG396" s="47"/>
      <c r="BH396" s="47" t="str">
        <f>INDEX(Table5[[#All],[Ovr]],MATCH(Table3[[#This Row],[PID]],Table5[[#All],[PID]],0))</f>
        <v/>
      </c>
      <c r="BI396" s="47" t="str">
        <f>INDEX(Table5[[#All],[Rnd]],MATCH(Table3[[#This Row],[PID]],Table5[[#All],[PID]],0))</f>
        <v/>
      </c>
      <c r="BJ396" s="47" t="str">
        <f>INDEX(Table5[[#All],[Pick]],MATCH(Table3[[#This Row],[PID]],Table5[[#All],[PID]],0))</f>
        <v/>
      </c>
      <c r="BK396" s="47" t="str">
        <f>INDEX(Table5[[#All],[Team]],MATCH(Table3[[#This Row],[PID]],Table5[[#All],[PID]],0))</f>
        <v/>
      </c>
      <c r="BL3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7" spans="1:64" ht="15" customHeight="1" x14ac:dyDescent="0.25">
      <c r="A397" s="42">
        <v>6214</v>
      </c>
      <c r="B397" s="42" t="s">
        <v>430</v>
      </c>
      <c r="C397" s="42" t="s">
        <v>1769</v>
      </c>
      <c r="D397" s="42" t="s">
        <v>1770</v>
      </c>
      <c r="E397" s="42">
        <v>18</v>
      </c>
      <c r="F397" s="42" t="s">
        <v>42</v>
      </c>
      <c r="G397" s="42" t="s">
        <v>42</v>
      </c>
      <c r="H397" s="43" t="s">
        <v>721</v>
      </c>
      <c r="I397" s="44" t="s">
        <v>43</v>
      </c>
      <c r="J397" s="42" t="s">
        <v>43</v>
      </c>
      <c r="K397" s="43" t="s">
        <v>43</v>
      </c>
      <c r="L397" s="42">
        <v>1</v>
      </c>
      <c r="M397" s="42">
        <v>2</v>
      </c>
      <c r="N397" s="43">
        <v>1</v>
      </c>
      <c r="O397" s="42">
        <v>3</v>
      </c>
      <c r="P397" s="42">
        <v>2</v>
      </c>
      <c r="Q397" s="43">
        <v>2</v>
      </c>
      <c r="R397" s="42">
        <v>2</v>
      </c>
      <c r="S397" s="42">
        <v>4</v>
      </c>
      <c r="T397" s="42">
        <v>1</v>
      </c>
      <c r="U397" s="42">
        <v>1</v>
      </c>
      <c r="V397" s="42">
        <v>1</v>
      </c>
      <c r="W397" s="42">
        <v>5</v>
      </c>
      <c r="X397" s="42" t="s">
        <v>45</v>
      </c>
      <c r="Y397" s="42" t="s">
        <v>45</v>
      </c>
      <c r="Z397" s="42" t="s">
        <v>45</v>
      </c>
      <c r="AA397" s="42" t="s">
        <v>45</v>
      </c>
      <c r="AB397" s="42" t="s">
        <v>45</v>
      </c>
      <c r="AC397" s="42" t="s">
        <v>45</v>
      </c>
      <c r="AD397" s="42" t="s">
        <v>45</v>
      </c>
      <c r="AE397" s="42" t="s">
        <v>45</v>
      </c>
      <c r="AF397" s="42" t="s">
        <v>45</v>
      </c>
      <c r="AG397" s="42" t="s">
        <v>45</v>
      </c>
      <c r="AH397" s="42" t="s">
        <v>45</v>
      </c>
      <c r="AI397" s="42" t="s">
        <v>45</v>
      </c>
      <c r="AJ397" s="42" t="s">
        <v>45</v>
      </c>
      <c r="AK397" s="42" t="s">
        <v>45</v>
      </c>
      <c r="AL397" s="42" t="s">
        <v>45</v>
      </c>
      <c r="AM397" s="42" t="s">
        <v>45</v>
      </c>
      <c r="AN397" s="42" t="s">
        <v>45</v>
      </c>
      <c r="AO397" s="43" t="s">
        <v>45</v>
      </c>
      <c r="AP397" s="42" t="s">
        <v>65</v>
      </c>
      <c r="AQ397" s="42">
        <v>6</v>
      </c>
      <c r="AR397" s="50" t="s">
        <v>353</v>
      </c>
      <c r="AS397" s="45" t="s">
        <v>718</v>
      </c>
      <c r="AT397" s="45" t="s">
        <v>47</v>
      </c>
      <c r="AU397" s="46">
        <f>($O$3*(L397-$O$1)/$O$2+$P$3*(M397-$P$1)/$P$2+$Q$3*(N397-$P$1)/$Q$2)/SUM($O$3:$Q$3)</f>
        <v>-2.5060525215375429</v>
      </c>
      <c r="AV397" s="46">
        <f>($O$3*(O397-$O$1)/$O$2+$P$3*(P397-$P$1)/$P$2+$Q$3*(Q397-$Q$1)/$Q$2)/SUM($O$3:$Q$3)</f>
        <v>-1.4288545557280135</v>
      </c>
      <c r="AW397" s="47">
        <f>COUNT(R397:AO397)/2</f>
        <v>3</v>
      </c>
      <c r="AX397" s="47">
        <f>IF(AND(S397&lt;&gt;"-",S397&gt;5),1,0)+IF(AND(U397&lt;&gt;"-",U397&gt;5),1,0)+IF(AND(W397&lt;&gt;"-",W397&gt;5),1,0)+IF(AND(Y397&lt;&gt;"-",Y397&gt;5),1,0)+IF(AND(AA397&lt;&gt;"-",AA397&gt;5),1,0)+IF(AND(AC397&lt;&gt;"-",AC397&gt;5),1,0)+IF(AND(AE397&lt;&gt;"-",AE397&gt;5),1,0)+IF(AND(AG397&lt;&gt;"-",AG397&gt;5),1,0)+IF(AND(AI397&lt;&gt;"-",AI397&gt;5),1,0)+IF(AND(AK397&lt;&gt;"-",AK397&gt;5),1,0)+IF(AND(AM397&lt;&gt;"-",AM397&gt;5),1,0)+IF(AND(AO397&lt;&gt;"-",AO397&gt;5),1,0)</f>
        <v>0</v>
      </c>
      <c r="AY397" s="48">
        <f>VLOOKUP(AP397,COND!$A$10:$B$32,2,FALSE)</f>
        <v>0.95</v>
      </c>
      <c r="AZ397" s="46">
        <f>($AU$3*AU397+$AV$3*AV397+$AW$3*AW397+$AX$3*AX397)*AY397*IF(AQ397&lt;5,0.95,IF(AQ397&lt;7,0.975,1))+$I$3*VLOOKUP(I397,COND!$A$2:$E$7,4,FALSE)+$J$3*VLOOKUP(J397,COND!$A$2:$E$7,2,FALSE)+$K$3*VLOOKUP(K397,COND!$A$2:$E$7,3,FALSE)+IF(BB397="SP",$BB$3,0)+IF($AW397&lt;3,-5,0)+IF(AND($B$2&gt;0,$E397&lt;20),$B$2*25,0)</f>
        <v>26.455598125523725</v>
      </c>
      <c r="BA397" s="49">
        <f>STANDARDIZE(AZ397,AVERAGE($AZ$5:$AZ$676),STDEVP($AZ$5:$AZ$676))</f>
        <v>-0.34528088182574213</v>
      </c>
      <c r="BB397" s="47" t="str">
        <f>IF(OR(AND(AQ397&gt;7,AX397&gt;1),AND(AQ397&gt;4,AW397&gt;2)),"SP","RP")</f>
        <v>SP</v>
      </c>
      <c r="BC397" s="47"/>
      <c r="BD397" s="47"/>
      <c r="BE397" s="47"/>
      <c r="BF397" s="47" t="str">
        <f>IF(AVERAGE($O397:$Q397)&gt;=6,"Likely",IF(AVERAGE($O397:$Q397)&gt;=4,"Possible","Unlikely"))</f>
        <v>Unlikely</v>
      </c>
      <c r="BG397" s="47"/>
      <c r="BH397" s="47" t="str">
        <f>INDEX(Table5[[#All],[Ovr]],MATCH(Table3[[#This Row],[PID]],Table5[[#All],[PID]],0))</f>
        <v/>
      </c>
      <c r="BI397" s="47" t="str">
        <f>INDEX(Table5[[#All],[Rnd]],MATCH(Table3[[#This Row],[PID]],Table5[[#All],[PID]],0))</f>
        <v/>
      </c>
      <c r="BJ397" s="47" t="str">
        <f>INDEX(Table5[[#All],[Pick]],MATCH(Table3[[#This Row],[PID]],Table5[[#All],[PID]],0))</f>
        <v/>
      </c>
      <c r="BK397" s="47" t="str">
        <f>INDEX(Table5[[#All],[Team]],MATCH(Table3[[#This Row],[PID]],Table5[[#All],[PID]],0))</f>
        <v/>
      </c>
      <c r="BL3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8" spans="1:64" ht="15" customHeight="1" x14ac:dyDescent="0.25">
      <c r="A398" s="42">
        <v>7616</v>
      </c>
      <c r="B398" s="42" t="s">
        <v>430</v>
      </c>
      <c r="C398" s="42" t="s">
        <v>418</v>
      </c>
      <c r="D398" s="42" t="s">
        <v>1739</v>
      </c>
      <c r="E398" s="42">
        <v>18</v>
      </c>
      <c r="F398" s="42" t="s">
        <v>42</v>
      </c>
      <c r="G398" s="42" t="s">
        <v>42</v>
      </c>
      <c r="H398" s="43" t="s">
        <v>721</v>
      </c>
      <c r="I398" s="44" t="s">
        <v>43</v>
      </c>
      <c r="J398" s="42" t="s">
        <v>44</v>
      </c>
      <c r="K398" s="43" t="s">
        <v>44</v>
      </c>
      <c r="L398" s="42">
        <v>2</v>
      </c>
      <c r="M398" s="42">
        <v>2</v>
      </c>
      <c r="N398" s="43">
        <v>1</v>
      </c>
      <c r="O398" s="42">
        <v>4</v>
      </c>
      <c r="P398" s="42">
        <v>2</v>
      </c>
      <c r="Q398" s="43">
        <v>2</v>
      </c>
      <c r="R398" s="42">
        <v>3</v>
      </c>
      <c r="S398" s="42">
        <v>5</v>
      </c>
      <c r="T398" s="42">
        <v>1</v>
      </c>
      <c r="U398" s="42">
        <v>3</v>
      </c>
      <c r="V398" s="42" t="s">
        <v>45</v>
      </c>
      <c r="W398" s="42" t="s">
        <v>45</v>
      </c>
      <c r="X398" s="42" t="s">
        <v>45</v>
      </c>
      <c r="Y398" s="42" t="s">
        <v>45</v>
      </c>
      <c r="Z398" s="42" t="s">
        <v>45</v>
      </c>
      <c r="AA398" s="42" t="s">
        <v>45</v>
      </c>
      <c r="AB398" s="42" t="s">
        <v>45</v>
      </c>
      <c r="AC398" s="42" t="s">
        <v>45</v>
      </c>
      <c r="AD398" s="42" t="s">
        <v>45</v>
      </c>
      <c r="AE398" s="42" t="s">
        <v>45</v>
      </c>
      <c r="AF398" s="42">
        <v>3</v>
      </c>
      <c r="AG398" s="42">
        <v>5</v>
      </c>
      <c r="AH398" s="42" t="s">
        <v>45</v>
      </c>
      <c r="AI398" s="42" t="s">
        <v>45</v>
      </c>
      <c r="AJ398" s="42" t="s">
        <v>45</v>
      </c>
      <c r="AK398" s="42" t="s">
        <v>45</v>
      </c>
      <c r="AL398" s="42" t="s">
        <v>45</v>
      </c>
      <c r="AM398" s="42" t="s">
        <v>45</v>
      </c>
      <c r="AN398" s="42" t="s">
        <v>45</v>
      </c>
      <c r="AO398" s="43" t="s">
        <v>45</v>
      </c>
      <c r="AP398" s="42" t="s">
        <v>356</v>
      </c>
      <c r="AQ398" s="42">
        <v>4</v>
      </c>
      <c r="AR398" s="50" t="s">
        <v>353</v>
      </c>
      <c r="AS398" s="45" t="s">
        <v>718</v>
      </c>
      <c r="AT398" s="45" t="s">
        <v>47</v>
      </c>
      <c r="AU398" s="46">
        <f>($O$3*(L398-$O$1)/$O$2+$P$3*(M398-$P$1)/$P$2+$Q$3*(N398-$P$1)/$Q$2)/SUM($O$3:$Q$3)</f>
        <v>-2.311361197028369</v>
      </c>
      <c r="AV398" s="46">
        <f>($O$3*(O398-$O$1)/$O$2+$P$3*(P398-$P$1)/$P$2+$Q$3*(Q398-$Q$1)/$Q$2)/SUM($O$3:$Q$3)</f>
        <v>-1.23416323121884</v>
      </c>
      <c r="AW398" s="47">
        <f>COUNT(R398:AO398)/2</f>
        <v>3</v>
      </c>
      <c r="AX398" s="47">
        <f>IF(AND(S398&lt;&gt;"-",S398&gt;5),1,0)+IF(AND(U398&lt;&gt;"-",U398&gt;5),1,0)+IF(AND(W398&lt;&gt;"-",W398&gt;5),1,0)+IF(AND(Y398&lt;&gt;"-",Y398&gt;5),1,0)+IF(AND(AA398&lt;&gt;"-",AA398&gt;5),1,0)+IF(AND(AC398&lt;&gt;"-",AC398&gt;5),1,0)+IF(AND(AE398&lt;&gt;"-",AE398&gt;5),1,0)+IF(AND(AG398&lt;&gt;"-",AG398&gt;5),1,0)+IF(AND(AI398&lt;&gt;"-",AI398&gt;5),1,0)+IF(AND(AK398&lt;&gt;"-",AK398&gt;5),1,0)+IF(AND(AM398&lt;&gt;"-",AM398&gt;5),1,0)+IF(AND(AO398&lt;&gt;"-",AO398&gt;5),1,0)</f>
        <v>0</v>
      </c>
      <c r="AY398" s="48">
        <f>VLOOKUP(AP398,COND!$A$10:$B$32,2,FALSE)</f>
        <v>1</v>
      </c>
      <c r="AZ398" s="46">
        <f>($AU$3*AU398+$AV$3*AV398+$AW$3*AW398+$AX$3*AX398)*AY398*IF(AQ398&lt;5,0.95,IF(AQ398&lt;7,0.975,1))+$I$3*VLOOKUP(I398,COND!$A$2:$E$7,4,FALSE)+$J$3*VLOOKUP(J398,COND!$A$2:$E$7,2,FALSE)+$K$3*VLOOKUP(K398,COND!$A$2:$E$7,3,FALSE)+IF(BB398="SP",$BB$3,0)+IF($AW398&lt;3,-5,0)+IF(AND($B$2&gt;0,$E398&lt;20),$B$2*25,0)</f>
        <v>26.936739979406649</v>
      </c>
      <c r="BA398" s="49">
        <f>STANDARDIZE(AZ398,AVERAGE($AZ$5:$AZ$570),STDEVP($AZ$5:$AZ$570))</f>
        <v>-0.53055607499901569</v>
      </c>
      <c r="BB398" s="47" t="str">
        <f>IF(OR(AND(AQ398&gt;7,AX398&gt;1),AND(AQ398&gt;4,AW398&gt;2)),"SP","RP")</f>
        <v>RP</v>
      </c>
      <c r="BC398" s="47"/>
      <c r="BD398" s="47"/>
      <c r="BE398" s="47"/>
      <c r="BF398" s="47" t="str">
        <f>IF(AVERAGE($O398:$Q398)&gt;=6,"Likely",IF(AVERAGE($O398:$Q398)&gt;=4,"Possible","Unlikely"))</f>
        <v>Unlikely</v>
      </c>
      <c r="BG398" s="47"/>
      <c r="BH398" s="47" t="str">
        <f>INDEX(Table5[[#All],[Ovr]],MATCH(Table3[[#This Row],[PID]],Table5[[#All],[PID]],0))</f>
        <v/>
      </c>
      <c r="BI398" s="47" t="str">
        <f>INDEX(Table5[[#All],[Rnd]],MATCH(Table3[[#This Row],[PID]],Table5[[#All],[PID]],0))</f>
        <v/>
      </c>
      <c r="BJ398" s="47" t="str">
        <f>INDEX(Table5[[#All],[Pick]],MATCH(Table3[[#This Row],[PID]],Table5[[#All],[PID]],0))</f>
        <v/>
      </c>
      <c r="BK398" s="47" t="str">
        <f>INDEX(Table5[[#All],[Team]],MATCH(Table3[[#This Row],[PID]],Table5[[#All],[PID]],0))</f>
        <v/>
      </c>
      <c r="BL3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9" spans="1:64" ht="15" customHeight="1" x14ac:dyDescent="0.25">
      <c r="A399" s="42">
        <v>6107</v>
      </c>
      <c r="B399" s="42" t="s">
        <v>430</v>
      </c>
      <c r="C399" s="42" t="s">
        <v>343</v>
      </c>
      <c r="D399" s="42" t="s">
        <v>1063</v>
      </c>
      <c r="E399" s="42">
        <v>18</v>
      </c>
      <c r="F399" s="42" t="s">
        <v>42</v>
      </c>
      <c r="G399" s="42" t="s">
        <v>42</v>
      </c>
      <c r="H399" s="43" t="s">
        <v>721</v>
      </c>
      <c r="I399" s="44" t="s">
        <v>47</v>
      </c>
      <c r="J399" s="42" t="s">
        <v>47</v>
      </c>
      <c r="K399" s="43" t="s">
        <v>43</v>
      </c>
      <c r="L399" s="42">
        <v>1</v>
      </c>
      <c r="M399" s="42">
        <v>2</v>
      </c>
      <c r="N399" s="43">
        <v>1</v>
      </c>
      <c r="O399" s="42">
        <v>4</v>
      </c>
      <c r="P399" s="42">
        <v>2</v>
      </c>
      <c r="Q399" s="43">
        <v>2</v>
      </c>
      <c r="R399" s="42" t="s">
        <v>45</v>
      </c>
      <c r="S399" s="42" t="s">
        <v>45</v>
      </c>
      <c r="T399" s="42" t="s">
        <v>45</v>
      </c>
      <c r="U399" s="42" t="s">
        <v>45</v>
      </c>
      <c r="V399" s="42">
        <v>1</v>
      </c>
      <c r="W399" s="42">
        <v>6</v>
      </c>
      <c r="X399" s="42" t="s">
        <v>45</v>
      </c>
      <c r="Y399" s="42" t="s">
        <v>45</v>
      </c>
      <c r="Z399" s="42" t="s">
        <v>45</v>
      </c>
      <c r="AA399" s="42" t="s">
        <v>45</v>
      </c>
      <c r="AB399" s="42" t="s">
        <v>45</v>
      </c>
      <c r="AC399" s="42" t="s">
        <v>45</v>
      </c>
      <c r="AD399" s="42">
        <v>2</v>
      </c>
      <c r="AE399" s="42">
        <v>4</v>
      </c>
      <c r="AF399" s="42" t="s">
        <v>45</v>
      </c>
      <c r="AG399" s="42" t="s">
        <v>45</v>
      </c>
      <c r="AH399" s="42" t="s">
        <v>45</v>
      </c>
      <c r="AI399" s="42" t="s">
        <v>45</v>
      </c>
      <c r="AJ399" s="42" t="s">
        <v>45</v>
      </c>
      <c r="AK399" s="42" t="s">
        <v>45</v>
      </c>
      <c r="AL399" s="42" t="s">
        <v>45</v>
      </c>
      <c r="AM399" s="42" t="s">
        <v>45</v>
      </c>
      <c r="AN399" s="42" t="s">
        <v>45</v>
      </c>
      <c r="AO399" s="43" t="s">
        <v>45</v>
      </c>
      <c r="AP399" s="42" t="s">
        <v>68</v>
      </c>
      <c r="AQ399" s="42">
        <v>3</v>
      </c>
      <c r="AR399" s="50" t="s">
        <v>353</v>
      </c>
      <c r="AS399" s="45" t="s">
        <v>718</v>
      </c>
      <c r="AT399" s="45" t="s">
        <v>47</v>
      </c>
      <c r="AU399" s="46">
        <f>($O$3*(L399-$O$1)/$O$2+$P$3*(M399-$P$1)/$P$2+$Q$3*(N399-$P$1)/$Q$2)/SUM($O$3:$Q$3)</f>
        <v>-2.5060525215375429</v>
      </c>
      <c r="AV399" s="46">
        <f>($O$3*(O399-$O$1)/$O$2+$P$3*(P399-$P$1)/$P$2+$Q$3*(Q399-$Q$1)/$Q$2)/SUM($O$3:$Q$3)</f>
        <v>-1.23416323121884</v>
      </c>
      <c r="AW399" s="47">
        <f>COUNT(R399:AO399)/2</f>
        <v>2</v>
      </c>
      <c r="AX399" s="47">
        <f>IF(AND(S399&lt;&gt;"-",S399&gt;5),1,0)+IF(AND(U399&lt;&gt;"-",U399&gt;5),1,0)+IF(AND(W399&lt;&gt;"-",W399&gt;5),1,0)+IF(AND(Y399&lt;&gt;"-",Y399&gt;5),1,0)+IF(AND(AA399&lt;&gt;"-",AA399&gt;5),1,0)+IF(AND(AC399&lt;&gt;"-",AC399&gt;5),1,0)+IF(AND(AE399&lt;&gt;"-",AE399&gt;5),1,0)+IF(AND(AG399&lt;&gt;"-",AG399&gt;5),1,0)+IF(AND(AI399&lt;&gt;"-",AI399&gt;5),1,0)+IF(AND(AK399&lt;&gt;"-",AK399&gt;5),1,0)+IF(AND(AM399&lt;&gt;"-",AM399&gt;5),1,0)+IF(AND(AO399&lt;&gt;"-",AO399&gt;5),1,0)</f>
        <v>1</v>
      </c>
      <c r="AY399" s="48">
        <f>VLOOKUP(AP399,COND!$A$10:$B$32,2,FALSE)</f>
        <v>0.95</v>
      </c>
      <c r="AZ399" s="46">
        <f>($AU$3*AU399+$AV$3*AV399+$AW$3*AW399+$AX$3*AX399)*AY399*IF(AQ399&lt;5,0.95,IF(AQ399&lt;7,0.975,1))+$I$3*VLOOKUP(I399,COND!$A$2:$E$7,4,FALSE)+$J$3*VLOOKUP(J399,COND!$A$2:$E$7,2,FALSE)+$K$3*VLOOKUP(K399,COND!$A$2:$E$7,3,FALSE)+IF(BB399="SP",$BB$3,0)+IF($AW399&lt;3,-5,0)+IF(AND($B$2&gt;0,$E399&lt;20),$B$2*25,0)</f>
        <v>24.826636196362411</v>
      </c>
      <c r="BA399" s="49">
        <f>STANDARDIZE(AZ399,AVERAGE($AZ$5:$AZ$570),STDEVP($AZ$5:$AZ$570))</f>
        <v>-0.72406161067728936</v>
      </c>
      <c r="BB399" s="47" t="str">
        <f>IF(OR(AND(AQ399&gt;7,AX399&gt;1),AND(AQ399&gt;4,AW399&gt;2)),"SP","RP")</f>
        <v>RP</v>
      </c>
      <c r="BC399" s="47"/>
      <c r="BD399" s="47"/>
      <c r="BE399" s="47"/>
      <c r="BF399" s="47" t="str">
        <f>IF(AVERAGE($O399:$Q399)&gt;=6,"Likely",IF(AVERAGE($O399:$Q399)&gt;=4,"Possible","Unlikely"))</f>
        <v>Unlikely</v>
      </c>
      <c r="BG399" s="47"/>
      <c r="BH399" s="47" t="str">
        <f>INDEX(Table5[[#All],[Ovr]],MATCH(Table3[[#This Row],[PID]],Table5[[#All],[PID]],0))</f>
        <v/>
      </c>
      <c r="BI399" s="47" t="str">
        <f>INDEX(Table5[[#All],[Rnd]],MATCH(Table3[[#This Row],[PID]],Table5[[#All],[PID]],0))</f>
        <v/>
      </c>
      <c r="BJ399" s="47" t="str">
        <f>INDEX(Table5[[#All],[Pick]],MATCH(Table3[[#This Row],[PID]],Table5[[#All],[PID]],0))</f>
        <v/>
      </c>
      <c r="BK399" s="47" t="str">
        <f>INDEX(Table5[[#All],[Team]],MATCH(Table3[[#This Row],[PID]],Table5[[#All],[PID]],0))</f>
        <v/>
      </c>
      <c r="BL3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0" spans="1:64" ht="15" customHeight="1" x14ac:dyDescent="0.25">
      <c r="A400" s="42">
        <v>6358</v>
      </c>
      <c r="B400" s="42" t="s">
        <v>430</v>
      </c>
      <c r="C400" s="42" t="s">
        <v>707</v>
      </c>
      <c r="D400" s="42" t="s">
        <v>976</v>
      </c>
      <c r="E400" s="42">
        <v>18</v>
      </c>
      <c r="F400" s="42" t="s">
        <v>42</v>
      </c>
      <c r="G400" s="42" t="s">
        <v>42</v>
      </c>
      <c r="H400" s="43" t="s">
        <v>721</v>
      </c>
      <c r="I400" s="44" t="s">
        <v>43</v>
      </c>
      <c r="J400" s="42" t="s">
        <v>47</v>
      </c>
      <c r="K400" s="43" t="s">
        <v>43</v>
      </c>
      <c r="L400" s="42">
        <v>1</v>
      </c>
      <c r="M400" s="42">
        <v>2</v>
      </c>
      <c r="N400" s="43">
        <v>1</v>
      </c>
      <c r="O400" s="42">
        <v>3</v>
      </c>
      <c r="P400" s="42">
        <v>2</v>
      </c>
      <c r="Q400" s="43">
        <v>2</v>
      </c>
      <c r="R400" s="42">
        <v>3</v>
      </c>
      <c r="S400" s="42">
        <v>4</v>
      </c>
      <c r="T400" s="42">
        <v>1</v>
      </c>
      <c r="U400" s="42">
        <v>3</v>
      </c>
      <c r="V400" s="42">
        <v>1</v>
      </c>
      <c r="W400" s="42">
        <v>4</v>
      </c>
      <c r="X400" s="42">
        <v>2</v>
      </c>
      <c r="Y400" s="42">
        <v>2</v>
      </c>
      <c r="Z400" s="42" t="s">
        <v>45</v>
      </c>
      <c r="AA400" s="42" t="s">
        <v>45</v>
      </c>
      <c r="AB400" s="42" t="s">
        <v>45</v>
      </c>
      <c r="AC400" s="42" t="s">
        <v>45</v>
      </c>
      <c r="AD400" s="42" t="s">
        <v>45</v>
      </c>
      <c r="AE400" s="42" t="s">
        <v>45</v>
      </c>
      <c r="AF400" s="42">
        <v>2</v>
      </c>
      <c r="AG400" s="42">
        <v>4</v>
      </c>
      <c r="AH400" s="42" t="s">
        <v>45</v>
      </c>
      <c r="AI400" s="42" t="s">
        <v>45</v>
      </c>
      <c r="AJ400" s="42" t="s">
        <v>45</v>
      </c>
      <c r="AK400" s="42" t="s">
        <v>45</v>
      </c>
      <c r="AL400" s="42" t="s">
        <v>45</v>
      </c>
      <c r="AM400" s="42" t="s">
        <v>45</v>
      </c>
      <c r="AN400" s="42" t="s">
        <v>45</v>
      </c>
      <c r="AO400" s="43" t="s">
        <v>45</v>
      </c>
      <c r="AP400" s="42" t="s">
        <v>64</v>
      </c>
      <c r="AQ400" s="42">
        <v>10</v>
      </c>
      <c r="AR400" s="50" t="s">
        <v>353</v>
      </c>
      <c r="AS400" s="45" t="s">
        <v>718</v>
      </c>
      <c r="AT400" s="45" t="s">
        <v>705</v>
      </c>
      <c r="AU400" s="46">
        <f>($O$3*(L400-$O$1)/$O$2+$P$3*(M400-$P$1)/$P$2+$Q$3*(N400-$P$1)/$Q$2)/SUM($O$3:$Q$3)</f>
        <v>-2.5060525215375429</v>
      </c>
      <c r="AV400" s="46">
        <f>($O$3*(O400-$O$1)/$O$2+$P$3*(P400-$P$1)/$P$2+$Q$3*(Q400-$Q$1)/$Q$2)/SUM($O$3:$Q$3)</f>
        <v>-1.4288545557280135</v>
      </c>
      <c r="AW400" s="47">
        <f>COUNT(R400:AO400)/2</f>
        <v>5</v>
      </c>
      <c r="AX400" s="47">
        <f>IF(AND(S400&lt;&gt;"-",S400&gt;5),1,0)+IF(AND(U400&lt;&gt;"-",U400&gt;5),1,0)+IF(AND(W400&lt;&gt;"-",W400&gt;5),1,0)+IF(AND(Y400&lt;&gt;"-",Y400&gt;5),1,0)+IF(AND(AA400&lt;&gt;"-",AA400&gt;5),1,0)+IF(AND(AC400&lt;&gt;"-",AC400&gt;5),1,0)+IF(AND(AE400&lt;&gt;"-",AE400&gt;5),1,0)+IF(AND(AG400&lt;&gt;"-",AG400&gt;5),1,0)+IF(AND(AI400&lt;&gt;"-",AI400&gt;5),1,0)+IF(AND(AK400&lt;&gt;"-",AK400&gt;5),1,0)+IF(AND(AM400&lt;&gt;"-",AM400&gt;5),1,0)+IF(AND(AO400&lt;&gt;"-",AO400&gt;5),1,0)</f>
        <v>0</v>
      </c>
      <c r="AY400" s="48">
        <f>VLOOKUP(AP400,COND!$A$10:$B$32,2,FALSE)</f>
        <v>1</v>
      </c>
      <c r="AZ400" s="46">
        <f>($AU$3*AU400+$AV$3*AV400+$AW$3*AW400+$AX$3*AX400)*AY400*IF(AQ400&lt;5,0.95,IF(AQ400&lt;7,0.975,1))+$I$3*VLOOKUP(I400,COND!$A$2:$E$7,4,FALSE)+$J$3*VLOOKUP(J400,COND!$A$2:$E$7,2,FALSE)+$K$3*VLOOKUP(K400,COND!$A$2:$E$7,3,FALSE)+IF(BB400="SP",$BB$3,0)+IF($AW400&lt;3,-5,0)+IF(AND($B$2&gt;0,$E400&lt;20),$B$2*25,0)</f>
        <v>25.721698381132224</v>
      </c>
      <c r="BA400" s="49">
        <f>STANDARDIZE(AZ400,AVERAGE($AZ$5:$AZ$676),STDEVP($AZ$5:$AZ$676))</f>
        <v>-0.40960176479434007</v>
      </c>
      <c r="BB400" s="47" t="str">
        <f>IF(OR(AND(AQ400&gt;7,AX400&gt;1),AND(AQ400&gt;4,AW400&gt;2)),"SP","RP")</f>
        <v>SP</v>
      </c>
      <c r="BC400" s="47"/>
      <c r="BD400" s="47"/>
      <c r="BE400" s="47"/>
      <c r="BF400" s="47" t="str">
        <f>IF(AVERAGE($O400:$Q400)&gt;=6,"Likely",IF(AVERAGE($O400:$Q400)&gt;=4,"Possible","Unlikely"))</f>
        <v>Unlikely</v>
      </c>
      <c r="BG400" s="47"/>
      <c r="BH400" s="47" t="str">
        <f>INDEX(Table5[[#All],[Ovr]],MATCH(Table3[[#This Row],[PID]],Table5[[#All],[PID]],0))</f>
        <v/>
      </c>
      <c r="BI400" s="47" t="str">
        <f>INDEX(Table5[[#All],[Rnd]],MATCH(Table3[[#This Row],[PID]],Table5[[#All],[PID]],0))</f>
        <v/>
      </c>
      <c r="BJ400" s="47" t="str">
        <f>INDEX(Table5[[#All],[Pick]],MATCH(Table3[[#This Row],[PID]],Table5[[#All],[PID]],0))</f>
        <v/>
      </c>
      <c r="BK400" s="47" t="str">
        <f>INDEX(Table5[[#All],[Team]],MATCH(Table3[[#This Row],[PID]],Table5[[#All],[PID]],0))</f>
        <v/>
      </c>
      <c r="BL4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1" spans="1:64" ht="15" customHeight="1" x14ac:dyDescent="0.25">
      <c r="A401" s="42">
        <v>6687</v>
      </c>
      <c r="B401" s="42" t="s">
        <v>430</v>
      </c>
      <c r="C401" s="42" t="s">
        <v>370</v>
      </c>
      <c r="D401" s="42" t="s">
        <v>1749</v>
      </c>
      <c r="E401" s="42">
        <v>18</v>
      </c>
      <c r="F401" s="42" t="s">
        <v>42</v>
      </c>
      <c r="G401" s="42" t="s">
        <v>42</v>
      </c>
      <c r="H401" s="43" t="s">
        <v>721</v>
      </c>
      <c r="I401" s="44" t="s">
        <v>43</v>
      </c>
      <c r="J401" s="42" t="s">
        <v>43</v>
      </c>
      <c r="K401" s="43" t="s">
        <v>43</v>
      </c>
      <c r="L401" s="42">
        <v>1</v>
      </c>
      <c r="M401" s="42">
        <v>1</v>
      </c>
      <c r="N401" s="43">
        <v>1</v>
      </c>
      <c r="O401" s="42">
        <v>3</v>
      </c>
      <c r="P401" s="42">
        <v>1</v>
      </c>
      <c r="Q401" s="43">
        <v>2</v>
      </c>
      <c r="R401" s="42">
        <v>2</v>
      </c>
      <c r="S401" s="42">
        <v>4</v>
      </c>
      <c r="T401" s="42">
        <v>1</v>
      </c>
      <c r="U401" s="42">
        <v>1</v>
      </c>
      <c r="V401" s="42">
        <v>2</v>
      </c>
      <c r="W401" s="42">
        <v>6</v>
      </c>
      <c r="X401" s="42" t="s">
        <v>45</v>
      </c>
      <c r="Y401" s="42" t="s">
        <v>45</v>
      </c>
      <c r="Z401" s="42" t="s">
        <v>45</v>
      </c>
      <c r="AA401" s="42" t="s">
        <v>45</v>
      </c>
      <c r="AB401" s="42" t="s">
        <v>45</v>
      </c>
      <c r="AC401" s="42" t="s">
        <v>45</v>
      </c>
      <c r="AD401" s="42" t="s">
        <v>45</v>
      </c>
      <c r="AE401" s="42" t="s">
        <v>45</v>
      </c>
      <c r="AF401" s="42" t="s">
        <v>45</v>
      </c>
      <c r="AG401" s="42" t="s">
        <v>45</v>
      </c>
      <c r="AH401" s="42" t="s">
        <v>45</v>
      </c>
      <c r="AI401" s="42" t="s">
        <v>45</v>
      </c>
      <c r="AJ401" s="42" t="s">
        <v>45</v>
      </c>
      <c r="AK401" s="42" t="s">
        <v>45</v>
      </c>
      <c r="AL401" s="42" t="s">
        <v>45</v>
      </c>
      <c r="AM401" s="42" t="s">
        <v>45</v>
      </c>
      <c r="AN401" s="42" t="s">
        <v>45</v>
      </c>
      <c r="AO401" s="43" t="s">
        <v>45</v>
      </c>
      <c r="AP401" s="42" t="s">
        <v>70</v>
      </c>
      <c r="AQ401" s="42">
        <v>6</v>
      </c>
      <c r="AR401" s="50" t="s">
        <v>357</v>
      </c>
      <c r="AS401" s="45" t="s">
        <v>718</v>
      </c>
      <c r="AT401" s="45" t="s">
        <v>47</v>
      </c>
      <c r="AU401" s="46">
        <f>($O$3*(L401-$O$1)/$O$2+$P$3*(M401-$P$1)/$P$2+$Q$3*(N401-$P$1)/$Q$2)/SUM($O$3:$Q$3)</f>
        <v>-2.7014842379675978</v>
      </c>
      <c r="AV401" s="46">
        <f>($O$3*(O401-$O$1)/$O$2+$P$3*(P401-$P$1)/$P$2+$Q$3*(Q401-$Q$1)/$Q$2)/SUM($O$3:$Q$3)</f>
        <v>-1.6242862721580691</v>
      </c>
      <c r="AW401" s="47">
        <f>COUNT(R401:AO401)/2</f>
        <v>3</v>
      </c>
      <c r="AX401" s="47">
        <f>IF(AND(S401&lt;&gt;"-",S401&gt;5),1,0)+IF(AND(U401&lt;&gt;"-",U401&gt;5),1,0)+IF(AND(W401&lt;&gt;"-",W401&gt;5),1,0)+IF(AND(Y401&lt;&gt;"-",Y401&gt;5),1,0)+IF(AND(AA401&lt;&gt;"-",AA401&gt;5),1,0)+IF(AND(AC401&lt;&gt;"-",AC401&gt;5),1,0)+IF(AND(AE401&lt;&gt;"-",AE401&gt;5),1,0)+IF(AND(AG401&lt;&gt;"-",AG401&gt;5),1,0)+IF(AND(AI401&lt;&gt;"-",AI401&gt;5),1,0)+IF(AND(AK401&lt;&gt;"-",AK401&gt;5),1,0)+IF(AND(AM401&lt;&gt;"-",AM401&gt;5),1,0)+IF(AND(AO401&lt;&gt;"-",AO401&gt;5),1,0)</f>
        <v>1</v>
      </c>
      <c r="AY401" s="48">
        <f>VLOOKUP(AP401,COND!$A$10:$B$32,2,FALSE)</f>
        <v>0.9</v>
      </c>
      <c r="AZ401" s="46">
        <f>($AU$3*AU401+$AV$3*AV401+$AW$3*AW401+$AX$3*AX401)*AY401*IF(AQ401&lt;5,0.95,IF(AQ401&lt;7,0.975,1))+$I$3*VLOOKUP(I401,COND!$A$2:$E$7,4,FALSE)+$J$3*VLOOKUP(J401,COND!$A$2:$E$7,2,FALSE)+$K$3*VLOOKUP(K401,COND!$A$2:$E$7,3,FALSE)+IF(BB401="SP",$BB$3,0)+IF($AW401&lt;3,-5,0)+IF(AND($B$2&gt;0,$E401&lt;20),$B$2*25,0)</f>
        <v>25.432790439862575</v>
      </c>
      <c r="BA401" s="49">
        <f>STANDARDIZE(AZ401,AVERAGE($AZ$5:$AZ$570),STDEVP($AZ$5:$AZ$570))</f>
        <v>-0.66847467579063746</v>
      </c>
      <c r="BB401" s="47" t="str">
        <f>IF(OR(AND(AQ401&gt;7,AX401&gt;1),AND(AQ401&gt;4,AW401&gt;2)),"SP","RP")</f>
        <v>SP</v>
      </c>
      <c r="BC401" s="47"/>
      <c r="BD401" s="47"/>
      <c r="BE401" s="47"/>
      <c r="BF401" s="47" t="str">
        <f>IF(AVERAGE($O401:$Q401)&gt;=6,"Likely",IF(AVERAGE($O401:$Q401)&gt;=4,"Possible","Unlikely"))</f>
        <v>Unlikely</v>
      </c>
      <c r="BG401" s="47"/>
      <c r="BH401" s="47" t="str">
        <f>INDEX(Table5[[#All],[Ovr]],MATCH(Table3[[#This Row],[PID]],Table5[[#All],[PID]],0))</f>
        <v/>
      </c>
      <c r="BI401" s="47" t="str">
        <f>INDEX(Table5[[#All],[Rnd]],MATCH(Table3[[#This Row],[PID]],Table5[[#All],[PID]],0))</f>
        <v/>
      </c>
      <c r="BJ401" s="47" t="str">
        <f>INDEX(Table5[[#All],[Pick]],MATCH(Table3[[#This Row],[PID]],Table5[[#All],[PID]],0))</f>
        <v/>
      </c>
      <c r="BK401" s="47" t="str">
        <f>INDEX(Table5[[#All],[Team]],MATCH(Table3[[#This Row],[PID]],Table5[[#All],[PID]],0))</f>
        <v/>
      </c>
      <c r="BL4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2" spans="1:64" ht="15" customHeight="1" x14ac:dyDescent="0.25">
      <c r="A402" s="42">
        <v>4672</v>
      </c>
      <c r="B402" s="42" t="s">
        <v>49</v>
      </c>
      <c r="C402" s="42" t="s">
        <v>724</v>
      </c>
      <c r="D402" s="42" t="s">
        <v>1018</v>
      </c>
      <c r="E402" s="42">
        <v>21</v>
      </c>
      <c r="F402" s="42" t="s">
        <v>42</v>
      </c>
      <c r="G402" s="42" t="s">
        <v>42</v>
      </c>
      <c r="H402" s="43" t="s">
        <v>721</v>
      </c>
      <c r="I402" s="44" t="s">
        <v>43</v>
      </c>
      <c r="J402" s="42" t="s">
        <v>44</v>
      </c>
      <c r="K402" s="43" t="s">
        <v>44</v>
      </c>
      <c r="L402" s="42">
        <v>2</v>
      </c>
      <c r="M402" s="42">
        <v>2</v>
      </c>
      <c r="N402" s="43">
        <v>1</v>
      </c>
      <c r="O402" s="42">
        <v>5</v>
      </c>
      <c r="P402" s="42">
        <v>2</v>
      </c>
      <c r="Q402" s="43">
        <v>2</v>
      </c>
      <c r="R402" s="42" t="s">
        <v>45</v>
      </c>
      <c r="S402" s="42" t="s">
        <v>45</v>
      </c>
      <c r="T402" s="42">
        <v>2</v>
      </c>
      <c r="U402" s="42">
        <v>8</v>
      </c>
      <c r="V402" s="42" t="s">
        <v>45</v>
      </c>
      <c r="W402" s="42" t="s">
        <v>45</v>
      </c>
      <c r="X402" s="42">
        <v>2</v>
      </c>
      <c r="Y402" s="42">
        <v>2</v>
      </c>
      <c r="Z402" s="42" t="s">
        <v>45</v>
      </c>
      <c r="AA402" s="42" t="s">
        <v>45</v>
      </c>
      <c r="AB402" s="42" t="s">
        <v>45</v>
      </c>
      <c r="AC402" s="42" t="s">
        <v>45</v>
      </c>
      <c r="AD402" s="42">
        <v>3</v>
      </c>
      <c r="AE402" s="42">
        <v>5</v>
      </c>
      <c r="AF402" s="42" t="s">
        <v>45</v>
      </c>
      <c r="AG402" s="42" t="s">
        <v>45</v>
      </c>
      <c r="AH402" s="42" t="s">
        <v>45</v>
      </c>
      <c r="AI402" s="42" t="s">
        <v>45</v>
      </c>
      <c r="AJ402" s="42" t="s">
        <v>45</v>
      </c>
      <c r="AK402" s="42" t="s">
        <v>45</v>
      </c>
      <c r="AL402" s="42" t="s">
        <v>45</v>
      </c>
      <c r="AM402" s="42" t="s">
        <v>45</v>
      </c>
      <c r="AN402" s="42" t="s">
        <v>45</v>
      </c>
      <c r="AO402" s="43" t="s">
        <v>45</v>
      </c>
      <c r="AP402" s="42" t="s">
        <v>64</v>
      </c>
      <c r="AQ402" s="42">
        <v>4</v>
      </c>
      <c r="AR402" s="50" t="s">
        <v>353</v>
      </c>
      <c r="AS402" s="45" t="s">
        <v>45</v>
      </c>
      <c r="AT402" s="45" t="s">
        <v>47</v>
      </c>
      <c r="AU402" s="46">
        <f>($O$3*(L402-$O$1)/$O$2+$P$3*(M402-$P$1)/$P$2+$Q$3*(N402-$P$1)/$Q$2)/SUM($O$3:$Q$3)</f>
        <v>-2.311361197028369</v>
      </c>
      <c r="AV402" s="46">
        <f>($O$3*(O402-$O$1)/$O$2+$P$3*(P402-$P$1)/$P$2+$Q$3*(Q402-$Q$1)/$Q$2)/SUM($O$3:$Q$3)</f>
        <v>-1.0394719067096667</v>
      </c>
      <c r="AW402" s="47">
        <f>COUNT(R402:AO402)/2</f>
        <v>3</v>
      </c>
      <c r="AX402" s="47">
        <f>IF(AND(S402&lt;&gt;"-",S402&gt;5),1,0)+IF(AND(U402&lt;&gt;"-",U402&gt;5),1,0)+IF(AND(W402&lt;&gt;"-",W402&gt;5),1,0)+IF(AND(Y402&lt;&gt;"-",Y402&gt;5),1,0)+IF(AND(AA402&lt;&gt;"-",AA402&gt;5),1,0)+IF(AND(AC402&lt;&gt;"-",AC402&gt;5),1,0)+IF(AND(AE402&lt;&gt;"-",AE402&gt;5),1,0)+IF(AND(AG402&lt;&gt;"-",AG402&gt;5),1,0)+IF(AND(AI402&lt;&gt;"-",AI402&gt;5),1,0)+IF(AND(AK402&lt;&gt;"-",AK402&gt;5),1,0)+IF(AND(AM402&lt;&gt;"-",AM402&gt;5),1,0)+IF(AND(AO402&lt;&gt;"-",AO402&gt;5),1,0)</f>
        <v>1</v>
      </c>
      <c r="AY402" s="48">
        <f>VLOOKUP(AP402,COND!$A$10:$B$32,2,FALSE)</f>
        <v>1</v>
      </c>
      <c r="AZ402" s="46">
        <f>($AU$3*AU402+$AV$3*AV402+$AW$3*AW402+$AX$3*AX402)*AY402*IF(AQ402&lt;5,0.95,IF(AQ402&lt;7,0.975,1))+$I$3*VLOOKUP(I402,COND!$A$2:$E$7,4,FALSE)+$J$3*VLOOKUP(J402,COND!$A$2:$E$7,2,FALSE)+$K$3*VLOOKUP(K402,COND!$A$2:$E$7,3,FALSE)+IF(BB402="SP",$BB$3,0)+IF($AW402&lt;3,-5,0)+IF(AND($B$2&gt;0,$E402&lt;20),$B$2*25,0)</f>
        <v>26.823375145080941</v>
      </c>
      <c r="BA402" s="49">
        <f>STANDARDIZE(AZ402,AVERAGE($AZ$5:$AZ$570),STDEVP($AZ$5:$AZ$570))</f>
        <v>-0.54095211483816852</v>
      </c>
      <c r="BB402" s="47" t="str">
        <f>IF(OR(AND(AQ402&gt;7,AX402&gt;1),AND(AQ402&gt;4,AW402&gt;2)),"SP","RP")</f>
        <v>RP</v>
      </c>
      <c r="BC402" s="47"/>
      <c r="BD402" s="47"/>
      <c r="BE402" s="47"/>
      <c r="BF402" s="47" t="str">
        <f>IF(AVERAGE($O402:$Q402)&gt;=6,"Likely",IF(AVERAGE($O402:$Q402)&gt;=4,"Possible","Unlikely"))</f>
        <v>Unlikely</v>
      </c>
      <c r="BG402" s="47"/>
      <c r="BH402" s="47" t="str">
        <f>INDEX(Table5[[#All],[Ovr]],MATCH(Table3[[#This Row],[PID]],Table5[[#All],[PID]],0))</f>
        <v/>
      </c>
      <c r="BI402" s="47" t="str">
        <f>INDEX(Table5[[#All],[Rnd]],MATCH(Table3[[#This Row],[PID]],Table5[[#All],[PID]],0))</f>
        <v/>
      </c>
      <c r="BJ402" s="47" t="str">
        <f>INDEX(Table5[[#All],[Pick]],MATCH(Table3[[#This Row],[PID]],Table5[[#All],[PID]],0))</f>
        <v/>
      </c>
      <c r="BK402" s="47" t="str">
        <f>INDEX(Table5[[#All],[Team]],MATCH(Table3[[#This Row],[PID]],Table5[[#All],[PID]],0))</f>
        <v/>
      </c>
      <c r="BL4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3" spans="1:64" ht="15" customHeight="1" x14ac:dyDescent="0.25">
      <c r="A403" s="42">
        <v>9531</v>
      </c>
      <c r="B403" s="42" t="s">
        <v>24</v>
      </c>
      <c r="C403" s="42" t="s">
        <v>140</v>
      </c>
      <c r="D403" s="42" t="s">
        <v>967</v>
      </c>
      <c r="E403" s="42">
        <v>21</v>
      </c>
      <c r="F403" s="42" t="s">
        <v>42</v>
      </c>
      <c r="G403" s="42" t="s">
        <v>53</v>
      </c>
      <c r="H403" s="43" t="s">
        <v>721</v>
      </c>
      <c r="I403" s="44" t="s">
        <v>43</v>
      </c>
      <c r="J403" s="42" t="s">
        <v>47</v>
      </c>
      <c r="K403" s="43" t="s">
        <v>43</v>
      </c>
      <c r="L403" s="42">
        <v>1</v>
      </c>
      <c r="M403" s="42">
        <v>2</v>
      </c>
      <c r="N403" s="43">
        <v>2</v>
      </c>
      <c r="O403" s="42">
        <v>3</v>
      </c>
      <c r="P403" s="42">
        <v>2</v>
      </c>
      <c r="Q403" s="43">
        <v>3</v>
      </c>
      <c r="R403" s="42">
        <v>3</v>
      </c>
      <c r="S403" s="42">
        <v>4</v>
      </c>
      <c r="T403" s="42">
        <v>1</v>
      </c>
      <c r="U403" s="42">
        <v>3</v>
      </c>
      <c r="V403" s="42">
        <v>2</v>
      </c>
      <c r="W403" s="42">
        <v>4</v>
      </c>
      <c r="X403" s="42">
        <v>2</v>
      </c>
      <c r="Y403" s="42">
        <v>3</v>
      </c>
      <c r="Z403" s="42" t="s">
        <v>45</v>
      </c>
      <c r="AA403" s="42" t="s">
        <v>45</v>
      </c>
      <c r="AB403" s="42" t="s">
        <v>45</v>
      </c>
      <c r="AC403" s="42" t="s">
        <v>45</v>
      </c>
      <c r="AD403" s="42" t="s">
        <v>45</v>
      </c>
      <c r="AE403" s="42" t="s">
        <v>45</v>
      </c>
      <c r="AF403" s="42">
        <v>3</v>
      </c>
      <c r="AG403" s="42">
        <v>3</v>
      </c>
      <c r="AH403" s="42" t="s">
        <v>45</v>
      </c>
      <c r="AI403" s="42" t="s">
        <v>45</v>
      </c>
      <c r="AJ403" s="42" t="s">
        <v>45</v>
      </c>
      <c r="AK403" s="42" t="s">
        <v>45</v>
      </c>
      <c r="AL403" s="42" t="s">
        <v>45</v>
      </c>
      <c r="AM403" s="42" t="s">
        <v>45</v>
      </c>
      <c r="AN403" s="42" t="s">
        <v>45</v>
      </c>
      <c r="AO403" s="43" t="s">
        <v>45</v>
      </c>
      <c r="AP403" s="42" t="s">
        <v>64</v>
      </c>
      <c r="AQ403" s="42">
        <v>8</v>
      </c>
      <c r="AR403" s="50" t="s">
        <v>353</v>
      </c>
      <c r="AS403" s="45" t="s">
        <v>717</v>
      </c>
      <c r="AT403" s="45" t="s">
        <v>47</v>
      </c>
      <c r="AU403" s="46">
        <f>($O$3*(L403-$O$1)/$O$2+$P$3*(M403-$P$1)/$P$2+$Q$3*(N403-$P$1)/$Q$2)/SUM($O$3:$Q$3)</f>
        <v>-2.2637319554834323</v>
      </c>
      <c r="AV403" s="46">
        <f>($O$3*(O403-$O$1)/$O$2+$P$3*(P403-$P$1)/$P$2+$Q$3*(Q403-$Q$1)/$Q$2)/SUM($O$3:$Q$3)</f>
        <v>-1.1865339896739031</v>
      </c>
      <c r="AW403" s="47">
        <f>COUNT(R403:AO403)/2</f>
        <v>5</v>
      </c>
      <c r="AX403" s="47">
        <f>IF(AND(S403&lt;&gt;"-",S403&gt;5),1,0)+IF(AND(U403&lt;&gt;"-",U403&gt;5),1,0)+IF(AND(W403&lt;&gt;"-",W403&gt;5),1,0)+IF(AND(Y403&lt;&gt;"-",Y403&gt;5),1,0)+IF(AND(AA403&lt;&gt;"-",AA403&gt;5),1,0)+IF(AND(AC403&lt;&gt;"-",AC403&gt;5),1,0)+IF(AND(AE403&lt;&gt;"-",AE403&gt;5),1,0)+IF(AND(AG403&lt;&gt;"-",AG403&gt;5),1,0)+IF(AND(AI403&lt;&gt;"-",AI403&gt;5),1,0)+IF(AND(AK403&lt;&gt;"-",AK403&gt;5),1,0)+IF(AND(AM403&lt;&gt;"-",AM403&gt;5),1,0)+IF(AND(AO403&lt;&gt;"-",AO403&gt;5),1,0)</f>
        <v>0</v>
      </c>
      <c r="AY403" s="48">
        <f>VLOOKUP(AP403,COND!$A$10:$B$32,2,FALSE)</f>
        <v>1</v>
      </c>
      <c r="AZ403" s="46">
        <f>($AU$3*AU403+$AV$3*AV403+$AW$3*AW403+$AX$3*AX403)*AY403*IF(AQ403&lt;5,0.95,IF(AQ403&lt;7,0.975,1))+$I$3*VLOOKUP(I403,COND!$A$2:$E$7,4,FALSE)+$J$3*VLOOKUP(J403,COND!$A$2:$E$7,2,FALSE)+$K$3*VLOOKUP(K403,COND!$A$2:$E$7,3,FALSE)+IF(BB403="SP",$BB$3,0)+IF($AW403&lt;3,-5,0)+IF(AND($B$2&gt;0,$E403&lt;20),$B$2*25,0)</f>
        <v>25.616573815425255</v>
      </c>
      <c r="BA403" s="49">
        <f>STANDARDIZE(AZ403,AVERAGE($AZ$5:$AZ$676),STDEVP($AZ$5:$AZ$676))</f>
        <v>-0.41881515523306956</v>
      </c>
      <c r="BB403" s="47" t="str">
        <f>IF(OR(AND(AQ403&gt;7,AX403&gt;1),AND(AQ403&gt;4,AW403&gt;2)),"SP","RP")</f>
        <v>SP</v>
      </c>
      <c r="BC403" s="47"/>
      <c r="BD403" s="47"/>
      <c r="BE403" s="47"/>
      <c r="BF403" s="47" t="str">
        <f>IF(AVERAGE($O403:$Q403)&gt;=6,"Likely",IF(AVERAGE($O403:$Q403)&gt;=4,"Possible","Unlikely"))</f>
        <v>Unlikely</v>
      </c>
      <c r="BG403" s="47"/>
      <c r="BH403" s="47" t="str">
        <f>INDEX(Table5[[#All],[Ovr]],MATCH(Table3[[#This Row],[PID]],Table5[[#All],[PID]],0))</f>
        <v/>
      </c>
      <c r="BI403" s="47" t="str">
        <f>INDEX(Table5[[#All],[Rnd]],MATCH(Table3[[#This Row],[PID]],Table5[[#All],[PID]],0))</f>
        <v/>
      </c>
      <c r="BJ403" s="47" t="str">
        <f>INDEX(Table5[[#All],[Pick]],MATCH(Table3[[#This Row],[PID]],Table5[[#All],[PID]],0))</f>
        <v/>
      </c>
      <c r="BK403" s="47" t="str">
        <f>INDEX(Table5[[#All],[Team]],MATCH(Table3[[#This Row],[PID]],Table5[[#All],[PID]],0))</f>
        <v/>
      </c>
      <c r="BL4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4" spans="1:64" ht="15" customHeight="1" x14ac:dyDescent="0.25">
      <c r="A404" s="42">
        <v>14461</v>
      </c>
      <c r="B404" s="42" t="s">
        <v>430</v>
      </c>
      <c r="C404" s="42" t="s">
        <v>970</v>
      </c>
      <c r="D404" s="42" t="s">
        <v>394</v>
      </c>
      <c r="E404" s="42">
        <v>22</v>
      </c>
      <c r="F404" s="42" t="s">
        <v>42</v>
      </c>
      <c r="G404" s="42" t="s">
        <v>53</v>
      </c>
      <c r="H404" s="43" t="s">
        <v>721</v>
      </c>
      <c r="I404" s="44" t="s">
        <v>47</v>
      </c>
      <c r="J404" s="42" t="s">
        <v>43</v>
      </c>
      <c r="K404" s="43" t="s">
        <v>44</v>
      </c>
      <c r="L404" s="42">
        <v>3</v>
      </c>
      <c r="M404" s="42">
        <v>2</v>
      </c>
      <c r="N404" s="43">
        <v>2</v>
      </c>
      <c r="O404" s="42">
        <v>4</v>
      </c>
      <c r="P404" s="42">
        <v>2</v>
      </c>
      <c r="Q404" s="43">
        <v>2</v>
      </c>
      <c r="R404" s="42">
        <v>4</v>
      </c>
      <c r="S404" s="42">
        <v>5</v>
      </c>
      <c r="T404" s="42">
        <v>5</v>
      </c>
      <c r="U404" s="42">
        <v>6</v>
      </c>
      <c r="V404" s="42">
        <v>4</v>
      </c>
      <c r="W404" s="42">
        <v>5</v>
      </c>
      <c r="X404" s="42">
        <v>4</v>
      </c>
      <c r="Y404" s="42">
        <v>5</v>
      </c>
      <c r="Z404" s="42" t="s">
        <v>45</v>
      </c>
      <c r="AA404" s="42" t="s">
        <v>45</v>
      </c>
      <c r="AB404" s="42" t="s">
        <v>45</v>
      </c>
      <c r="AC404" s="42" t="s">
        <v>45</v>
      </c>
      <c r="AD404" s="42" t="s">
        <v>45</v>
      </c>
      <c r="AE404" s="42" t="s">
        <v>45</v>
      </c>
      <c r="AF404" s="42">
        <v>4</v>
      </c>
      <c r="AG404" s="42">
        <v>5</v>
      </c>
      <c r="AH404" s="42">
        <v>4</v>
      </c>
      <c r="AI404" s="42">
        <v>5</v>
      </c>
      <c r="AJ404" s="42" t="s">
        <v>45</v>
      </c>
      <c r="AK404" s="42" t="s">
        <v>45</v>
      </c>
      <c r="AL404" s="42" t="s">
        <v>45</v>
      </c>
      <c r="AM404" s="42" t="s">
        <v>45</v>
      </c>
      <c r="AN404" s="42" t="s">
        <v>45</v>
      </c>
      <c r="AO404" s="43" t="s">
        <v>45</v>
      </c>
      <c r="AP404" s="42" t="s">
        <v>356</v>
      </c>
      <c r="AQ404" s="42">
        <v>8</v>
      </c>
      <c r="AR404" s="50" t="s">
        <v>353</v>
      </c>
      <c r="AS404" s="45" t="s">
        <v>45</v>
      </c>
      <c r="AT404" s="45" t="s">
        <v>705</v>
      </c>
      <c r="AU404" s="46">
        <f>($O$3*(L404-$O$1)/$O$2+$P$3*(M404-$P$1)/$P$2+$Q$3*(N404-$P$1)/$Q$2)/SUM($O$3:$Q$3)</f>
        <v>-1.8743493064650851</v>
      </c>
      <c r="AV404" s="46">
        <f>($O$3*(O404-$O$1)/$O$2+$P$3*(P404-$P$1)/$P$2+$Q$3*(Q404-$Q$1)/$Q$2)/SUM($O$3:$Q$3)</f>
        <v>-1.23416323121884</v>
      </c>
      <c r="AW404" s="47">
        <f>COUNT(R404:AO404)/2</f>
        <v>6</v>
      </c>
      <c r="AX404" s="47">
        <f>IF(AND(S404&lt;&gt;"-",S404&gt;5),1,0)+IF(AND(U404&lt;&gt;"-",U404&gt;5),1,0)+IF(AND(W404&lt;&gt;"-",W404&gt;5),1,0)+IF(AND(Y404&lt;&gt;"-",Y404&gt;5),1,0)+IF(AND(AA404&lt;&gt;"-",AA404&gt;5),1,0)+IF(AND(AC404&lt;&gt;"-",AC404&gt;5),1,0)+IF(AND(AE404&lt;&gt;"-",AE404&gt;5),1,0)+IF(AND(AG404&lt;&gt;"-",AG404&gt;5),1,0)+IF(AND(AI404&lt;&gt;"-",AI404&gt;5),1,0)+IF(AND(AK404&lt;&gt;"-",AK404&gt;5),1,0)+IF(AND(AM404&lt;&gt;"-",AM404&gt;5),1,0)+IF(AND(AO404&lt;&gt;"-",AO404&gt;5),1,0)</f>
        <v>1</v>
      </c>
      <c r="AY404" s="48">
        <f>VLOOKUP(AP404,COND!$A$10:$B$32,2,FALSE)</f>
        <v>1</v>
      </c>
      <c r="AZ404" s="46">
        <f>($AU$3*AU404+$AV$3*AV404+$AW$3*AW404+$AX$3*AX404)*AY404*IF(AQ404&lt;5,0.95,IF(AQ404&lt;7,0.975,1))+$I$3*VLOOKUP(I404,COND!$A$2:$E$7,4,FALSE)+$J$3*VLOOKUP(J404,COND!$A$2:$E$7,2,FALSE)+$K$3*VLOOKUP(K404,COND!$A$2:$E$7,3,FALSE)+IF(BB404="SP",$BB$3,0)+IF($AW404&lt;3,-5,0)+IF(AND($B$2&gt;0,$E404&lt;20),$B$2*25,0)</f>
        <v>26.116865514330179</v>
      </c>
      <c r="BA404" s="49">
        <f>STANDARDIZE(AZ404,AVERAGE($AZ$5:$AZ$570),STDEVP($AZ$5:$AZ$570))</f>
        <v>-0.60574206766364025</v>
      </c>
      <c r="BB404" s="47" t="str">
        <f>IF(OR(AND(AQ404&gt;7,AX404&gt;1),AND(AQ404&gt;4,AW404&gt;2)),"SP","RP")</f>
        <v>SP</v>
      </c>
      <c r="BC404" s="47"/>
      <c r="BD404" s="47"/>
      <c r="BE404" s="47"/>
      <c r="BF404" s="47" t="str">
        <f>IF(AVERAGE($O404:$Q404)&gt;=6,"Likely",IF(AVERAGE($O404:$Q404)&gt;=4,"Possible","Unlikely"))</f>
        <v>Unlikely</v>
      </c>
      <c r="BG404" s="47"/>
      <c r="BH404" s="47" t="str">
        <f>INDEX(Table5[[#All],[Ovr]],MATCH(Table3[[#This Row],[PID]],Table5[[#All],[PID]],0))</f>
        <v/>
      </c>
      <c r="BI404" s="47" t="str">
        <f>INDEX(Table5[[#All],[Rnd]],MATCH(Table3[[#This Row],[PID]],Table5[[#All],[PID]],0))</f>
        <v/>
      </c>
      <c r="BJ404" s="47" t="str">
        <f>INDEX(Table5[[#All],[Pick]],MATCH(Table3[[#This Row],[PID]],Table5[[#All],[PID]],0))</f>
        <v/>
      </c>
      <c r="BK404" s="47" t="str">
        <f>INDEX(Table5[[#All],[Team]],MATCH(Table3[[#This Row],[PID]],Table5[[#All],[PID]],0))</f>
        <v/>
      </c>
      <c r="BL4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5" spans="1:64" ht="15" customHeight="1" x14ac:dyDescent="0.25">
      <c r="A405" s="42">
        <v>5779</v>
      </c>
      <c r="B405" s="42" t="s">
        <v>430</v>
      </c>
      <c r="C405" s="42" t="s">
        <v>342</v>
      </c>
      <c r="D405" s="42" t="s">
        <v>551</v>
      </c>
      <c r="E405" s="42">
        <v>22</v>
      </c>
      <c r="F405" s="42" t="s">
        <v>42</v>
      </c>
      <c r="G405" s="42" t="s">
        <v>42</v>
      </c>
      <c r="H405" s="43" t="s">
        <v>721</v>
      </c>
      <c r="I405" s="44" t="s">
        <v>47</v>
      </c>
      <c r="J405" s="42" t="s">
        <v>43</v>
      </c>
      <c r="K405" s="43" t="s">
        <v>43</v>
      </c>
      <c r="L405" s="42">
        <v>2</v>
      </c>
      <c r="M405" s="42">
        <v>2</v>
      </c>
      <c r="N405" s="43">
        <v>1</v>
      </c>
      <c r="O405" s="42">
        <v>4</v>
      </c>
      <c r="P405" s="42">
        <v>2</v>
      </c>
      <c r="Q405" s="43">
        <v>2</v>
      </c>
      <c r="R405" s="42">
        <v>4</v>
      </c>
      <c r="S405" s="42">
        <v>5</v>
      </c>
      <c r="T405" s="42">
        <v>1</v>
      </c>
      <c r="U405" s="42">
        <v>1</v>
      </c>
      <c r="V405" s="42">
        <v>3</v>
      </c>
      <c r="W405" s="42">
        <v>6</v>
      </c>
      <c r="X405" s="42" t="s">
        <v>45</v>
      </c>
      <c r="Y405" s="42" t="s">
        <v>45</v>
      </c>
      <c r="Z405" s="42" t="s">
        <v>45</v>
      </c>
      <c r="AA405" s="42" t="s">
        <v>45</v>
      </c>
      <c r="AB405" s="42" t="s">
        <v>45</v>
      </c>
      <c r="AC405" s="42" t="s">
        <v>45</v>
      </c>
      <c r="AD405" s="42" t="s">
        <v>45</v>
      </c>
      <c r="AE405" s="42" t="s">
        <v>45</v>
      </c>
      <c r="AF405" s="42" t="s">
        <v>45</v>
      </c>
      <c r="AG405" s="42" t="s">
        <v>45</v>
      </c>
      <c r="AH405" s="42" t="s">
        <v>45</v>
      </c>
      <c r="AI405" s="42" t="s">
        <v>45</v>
      </c>
      <c r="AJ405" s="42" t="s">
        <v>45</v>
      </c>
      <c r="AK405" s="42" t="s">
        <v>45</v>
      </c>
      <c r="AL405" s="42" t="s">
        <v>45</v>
      </c>
      <c r="AM405" s="42" t="s">
        <v>45</v>
      </c>
      <c r="AN405" s="42" t="s">
        <v>45</v>
      </c>
      <c r="AO405" s="43" t="s">
        <v>45</v>
      </c>
      <c r="AP405" s="42" t="s">
        <v>58</v>
      </c>
      <c r="AQ405" s="42">
        <v>6</v>
      </c>
      <c r="AR405" s="50" t="s">
        <v>353</v>
      </c>
      <c r="AS405" s="45" t="s">
        <v>45</v>
      </c>
      <c r="AT405" s="45" t="s">
        <v>47</v>
      </c>
      <c r="AU405" s="46">
        <f>($O$3*(L405-$O$1)/$O$2+$P$3*(M405-$P$1)/$P$2+$Q$3*(N405-$P$1)/$Q$2)/SUM($O$3:$Q$3)</f>
        <v>-2.311361197028369</v>
      </c>
      <c r="AV405" s="46">
        <f>($O$3*(O405-$O$1)/$O$2+$P$3*(P405-$P$1)/$P$2+$Q$3*(Q405-$Q$1)/$Q$2)/SUM($O$3:$Q$3)</f>
        <v>-1.23416323121884</v>
      </c>
      <c r="AW405" s="47">
        <f>COUNT(R405:AO405)/2</f>
        <v>3</v>
      </c>
      <c r="AX405" s="47">
        <f>IF(AND(S405&lt;&gt;"-",S405&gt;5),1,0)+IF(AND(U405&lt;&gt;"-",U405&gt;5),1,0)+IF(AND(W405&lt;&gt;"-",W405&gt;5),1,0)+IF(AND(Y405&lt;&gt;"-",Y405&gt;5),1,0)+IF(AND(AA405&lt;&gt;"-",AA405&gt;5),1,0)+IF(AND(AC405&lt;&gt;"-",AC405&gt;5),1,0)+IF(AND(AE405&lt;&gt;"-",AE405&gt;5),1,0)+IF(AND(AG405&lt;&gt;"-",AG405&gt;5),1,0)+IF(AND(AI405&lt;&gt;"-",AI405&gt;5),1,0)+IF(AND(AK405&lt;&gt;"-",AK405&gt;5),1,0)+IF(AND(AM405&lt;&gt;"-",AM405&gt;5),1,0)+IF(AND(AO405&lt;&gt;"-",AO405&gt;5),1,0)</f>
        <v>1</v>
      </c>
      <c r="AY405" s="48">
        <f>VLOOKUP(AP405,COND!$A$10:$B$32,2,FALSE)</f>
        <v>1</v>
      </c>
      <c r="AZ405" s="46">
        <f>($AU$3*AU405+$AV$3*AV405+$AW$3*AW405+$AX$3*AX405)*AY405*IF(AQ405&lt;5,0.95,IF(AQ405&lt;7,0.975,1))+$I$3*VLOOKUP(I405,COND!$A$2:$E$7,4,FALSE)+$J$3*VLOOKUP(J405,COND!$A$2:$E$7,2,FALSE)+$K$3*VLOOKUP(K405,COND!$A$2:$E$7,3,FALSE)+IF(BB405="SP",$BB$3,0)+IF($AW405&lt;3,-5,0)+IF(AND($B$2&gt;0,$E405&lt;20),$B$2*25,0)</f>
        <v>25.389351557812084</v>
      </c>
      <c r="BA405" s="49">
        <f>STANDARDIZE(AZ405,AVERAGE($AZ$5:$AZ$570),STDEVP($AZ$5:$AZ$570))</f>
        <v>-0.67245820693635139</v>
      </c>
      <c r="BB405" s="47" t="str">
        <f>IF(OR(AND(AQ405&gt;7,AX405&gt;1),AND(AQ405&gt;4,AW405&gt;2)),"SP","RP")</f>
        <v>SP</v>
      </c>
      <c r="BC405" s="47"/>
      <c r="BD405" s="47"/>
      <c r="BE405" s="47"/>
      <c r="BF405" s="47" t="str">
        <f>IF(AVERAGE($O405:$Q405)&gt;=6,"Likely",IF(AVERAGE($O405:$Q405)&gt;=4,"Possible","Unlikely"))</f>
        <v>Unlikely</v>
      </c>
      <c r="BG405" s="47"/>
      <c r="BH405" s="47" t="str">
        <f>INDEX(Table5[[#All],[Ovr]],MATCH(Table3[[#This Row],[PID]],Table5[[#All],[PID]],0))</f>
        <v/>
      </c>
      <c r="BI405" s="47" t="str">
        <f>INDEX(Table5[[#All],[Rnd]],MATCH(Table3[[#This Row],[PID]],Table5[[#All],[PID]],0))</f>
        <v/>
      </c>
      <c r="BJ405" s="47" t="str">
        <f>INDEX(Table5[[#All],[Pick]],MATCH(Table3[[#This Row],[PID]],Table5[[#All],[PID]],0))</f>
        <v/>
      </c>
      <c r="BK405" s="47" t="str">
        <f>INDEX(Table5[[#All],[Team]],MATCH(Table3[[#This Row],[PID]],Table5[[#All],[PID]],0))</f>
        <v/>
      </c>
      <c r="BL4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6" spans="1:64" ht="15" customHeight="1" x14ac:dyDescent="0.25">
      <c r="A406" s="42">
        <v>10138</v>
      </c>
      <c r="B406" s="42" t="s">
        <v>24</v>
      </c>
      <c r="C406" s="42" t="s">
        <v>143</v>
      </c>
      <c r="D406" s="42" t="s">
        <v>1663</v>
      </c>
      <c r="E406" s="42">
        <v>21</v>
      </c>
      <c r="F406" s="42" t="s">
        <v>42</v>
      </c>
      <c r="G406" s="42" t="s">
        <v>42</v>
      </c>
      <c r="H406" s="43" t="s">
        <v>721</v>
      </c>
      <c r="I406" s="44" t="s">
        <v>43</v>
      </c>
      <c r="J406" s="42" t="s">
        <v>43</v>
      </c>
      <c r="K406" s="43" t="s">
        <v>43</v>
      </c>
      <c r="L406" s="42">
        <v>2</v>
      </c>
      <c r="M406" s="42">
        <v>2</v>
      </c>
      <c r="N406" s="43">
        <v>2</v>
      </c>
      <c r="O406" s="42">
        <v>4</v>
      </c>
      <c r="P406" s="42">
        <v>2</v>
      </c>
      <c r="Q406" s="43">
        <v>2</v>
      </c>
      <c r="R406" s="42">
        <v>5</v>
      </c>
      <c r="S406" s="42">
        <v>6</v>
      </c>
      <c r="T406" s="42" t="s">
        <v>45</v>
      </c>
      <c r="U406" s="42" t="s">
        <v>45</v>
      </c>
      <c r="V406" s="42" t="s">
        <v>45</v>
      </c>
      <c r="W406" s="42" t="s">
        <v>45</v>
      </c>
      <c r="X406" s="42">
        <v>3</v>
      </c>
      <c r="Y406" s="42">
        <v>5</v>
      </c>
      <c r="Z406" s="42" t="s">
        <v>45</v>
      </c>
      <c r="AA406" s="42" t="s">
        <v>45</v>
      </c>
      <c r="AB406" s="42">
        <v>4</v>
      </c>
      <c r="AC406" s="42">
        <v>6</v>
      </c>
      <c r="AD406" s="42" t="s">
        <v>45</v>
      </c>
      <c r="AE406" s="42" t="s">
        <v>45</v>
      </c>
      <c r="AF406" s="42" t="s">
        <v>45</v>
      </c>
      <c r="AG406" s="42" t="s">
        <v>45</v>
      </c>
      <c r="AH406" s="42" t="s">
        <v>45</v>
      </c>
      <c r="AI406" s="42" t="s">
        <v>45</v>
      </c>
      <c r="AJ406" s="42" t="s">
        <v>45</v>
      </c>
      <c r="AK406" s="42" t="s">
        <v>45</v>
      </c>
      <c r="AL406" s="42" t="s">
        <v>45</v>
      </c>
      <c r="AM406" s="42" t="s">
        <v>45</v>
      </c>
      <c r="AN406" s="42" t="s">
        <v>45</v>
      </c>
      <c r="AO406" s="43" t="s">
        <v>45</v>
      </c>
      <c r="AP406" s="42" t="s">
        <v>60</v>
      </c>
      <c r="AQ406" s="42">
        <v>8</v>
      </c>
      <c r="AR406" s="50" t="s">
        <v>353</v>
      </c>
      <c r="AS406" s="45" t="s">
        <v>45</v>
      </c>
      <c r="AT406" s="45" t="s">
        <v>47</v>
      </c>
      <c r="AU406" s="46">
        <f>($O$3*(L406-$O$1)/$O$2+$P$3*(M406-$P$1)/$P$2+$Q$3*(N406-$P$1)/$Q$2)/SUM($O$3:$Q$3)</f>
        <v>-2.0690406309742588</v>
      </c>
      <c r="AV406" s="46">
        <f>($O$3*(O406-$O$1)/$O$2+$P$3*(P406-$P$1)/$P$2+$Q$3*(Q406-$Q$1)/$Q$2)/SUM($O$3:$Q$3)</f>
        <v>-1.23416323121884</v>
      </c>
      <c r="AW406" s="47">
        <f>COUNT(R406:AO406)/2</f>
        <v>3</v>
      </c>
      <c r="AX406" s="47">
        <f>IF(AND(S406&lt;&gt;"-",S406&gt;5),1,0)+IF(AND(U406&lt;&gt;"-",U406&gt;5),1,0)+IF(AND(W406&lt;&gt;"-",W406&gt;5),1,0)+IF(AND(Y406&lt;&gt;"-",Y406&gt;5),1,0)+IF(AND(AA406&lt;&gt;"-",AA406&gt;5),1,0)+IF(AND(AC406&lt;&gt;"-",AC406&gt;5),1,0)+IF(AND(AE406&lt;&gt;"-",AE406&gt;5),1,0)+IF(AND(AG406&lt;&gt;"-",AG406&gt;5),1,0)+IF(AND(AI406&lt;&gt;"-",AI406&gt;5),1,0)+IF(AND(AK406&lt;&gt;"-",AK406&gt;5),1,0)+IF(AND(AM406&lt;&gt;"-",AM406&gt;5),1,0)+IF(AND(AO406&lt;&gt;"-",AO406&gt;5),1,0)</f>
        <v>2</v>
      </c>
      <c r="AY406" s="48">
        <f>VLOOKUP(AP406,COND!$A$10:$B$32,2,FALSE)</f>
        <v>1.0249999999999999</v>
      </c>
      <c r="AZ406" s="46">
        <f>($AU$3*AU406+$AV$3*AV406+$AW$3*AW406+$AX$3*AX406)*AY406*IF(AQ406&lt;5,0.95,IF(AQ406&lt;7,0.975,1))+$I$3*VLOOKUP(I406,COND!$A$2:$E$7,4,FALSE)+$J$3*VLOOKUP(J406,COND!$A$2:$E$7,2,FALSE)+$K$3*VLOOKUP(K406,COND!$A$2:$E$7,3,FALSE)+IF(BB406="SP",$BB$3,0)+IF($AW406&lt;3,-5,0)+IF(AND($B$2&gt;0,$E406&lt;20),$B$2*25,0)</f>
        <v>25.375500430664058</v>
      </c>
      <c r="BA406" s="49">
        <f>STANDARDIZE(AZ406,AVERAGE($AZ$5:$AZ$570),STDEVP($AZ$5:$AZ$570))</f>
        <v>-0.67372841449678711</v>
      </c>
      <c r="BB406" s="47" t="str">
        <f>IF(OR(AND(AQ406&gt;7,AX406&gt;1),AND(AQ406&gt;4,AW406&gt;2)),"SP","RP")</f>
        <v>SP</v>
      </c>
      <c r="BC406" s="47"/>
      <c r="BD406" s="47"/>
      <c r="BE406" s="47"/>
      <c r="BF406" s="47" t="str">
        <f>IF(AVERAGE($O406:$Q406)&gt;=6,"Likely",IF(AVERAGE($O406:$Q406)&gt;=4,"Possible","Unlikely"))</f>
        <v>Unlikely</v>
      </c>
      <c r="BG406" s="47"/>
      <c r="BH406" s="47" t="str">
        <f>INDEX(Table5[[#All],[Ovr]],MATCH(Table3[[#This Row],[PID]],Table5[[#All],[PID]],0))</f>
        <v/>
      </c>
      <c r="BI406" s="47" t="str">
        <f>INDEX(Table5[[#All],[Rnd]],MATCH(Table3[[#This Row],[PID]],Table5[[#All],[PID]],0))</f>
        <v/>
      </c>
      <c r="BJ406" s="47" t="str">
        <f>INDEX(Table5[[#All],[Pick]],MATCH(Table3[[#This Row],[PID]],Table5[[#All],[PID]],0))</f>
        <v/>
      </c>
      <c r="BK406" s="47" t="str">
        <f>INDEX(Table5[[#All],[Team]],MATCH(Table3[[#This Row],[PID]],Table5[[#All],[PID]],0))</f>
        <v/>
      </c>
      <c r="BL4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7" spans="1:64" ht="15" customHeight="1" x14ac:dyDescent="0.25">
      <c r="A407" s="42">
        <v>11033</v>
      </c>
      <c r="B407" s="42" t="s">
        <v>430</v>
      </c>
      <c r="C407" s="42" t="s">
        <v>1574</v>
      </c>
      <c r="D407" s="42" t="s">
        <v>1575</v>
      </c>
      <c r="E407" s="42">
        <v>18</v>
      </c>
      <c r="F407" s="42" t="s">
        <v>42</v>
      </c>
      <c r="G407" s="42" t="s">
        <v>42</v>
      </c>
      <c r="H407" s="43" t="s">
        <v>721</v>
      </c>
      <c r="I407" s="44" t="s">
        <v>43</v>
      </c>
      <c r="J407" s="42" t="s">
        <v>47</v>
      </c>
      <c r="K407" s="43" t="s">
        <v>43</v>
      </c>
      <c r="L407" s="42">
        <v>1</v>
      </c>
      <c r="M407" s="42">
        <v>1</v>
      </c>
      <c r="N407" s="43">
        <v>1</v>
      </c>
      <c r="O407" s="42">
        <v>4</v>
      </c>
      <c r="P407" s="42">
        <v>1</v>
      </c>
      <c r="Q407" s="43">
        <v>2</v>
      </c>
      <c r="R407" s="42" t="s">
        <v>45</v>
      </c>
      <c r="S407" s="42" t="s">
        <v>45</v>
      </c>
      <c r="T407" s="42">
        <v>1</v>
      </c>
      <c r="U407" s="42">
        <v>1</v>
      </c>
      <c r="V407" s="42" t="s">
        <v>45</v>
      </c>
      <c r="W407" s="42" t="s">
        <v>45</v>
      </c>
      <c r="X407" s="42">
        <v>2</v>
      </c>
      <c r="Y407" s="42">
        <v>5</v>
      </c>
      <c r="Z407" s="42" t="s">
        <v>45</v>
      </c>
      <c r="AA407" s="42" t="s">
        <v>45</v>
      </c>
      <c r="AB407" s="42" t="s">
        <v>45</v>
      </c>
      <c r="AC407" s="42" t="s">
        <v>45</v>
      </c>
      <c r="AD407" s="42">
        <v>3</v>
      </c>
      <c r="AE407" s="42">
        <v>4</v>
      </c>
      <c r="AF407" s="42" t="s">
        <v>45</v>
      </c>
      <c r="AG407" s="42" t="s">
        <v>45</v>
      </c>
      <c r="AH407" s="42" t="s">
        <v>45</v>
      </c>
      <c r="AI407" s="42" t="s">
        <v>45</v>
      </c>
      <c r="AJ407" s="42" t="s">
        <v>45</v>
      </c>
      <c r="AK407" s="42" t="s">
        <v>45</v>
      </c>
      <c r="AL407" s="42" t="s">
        <v>45</v>
      </c>
      <c r="AM407" s="42" t="s">
        <v>45</v>
      </c>
      <c r="AN407" s="42" t="s">
        <v>45</v>
      </c>
      <c r="AO407" s="43" t="s">
        <v>45</v>
      </c>
      <c r="AP407" s="42" t="s">
        <v>356</v>
      </c>
      <c r="AQ407" s="42">
        <v>7</v>
      </c>
      <c r="AR407" s="50" t="s">
        <v>14</v>
      </c>
      <c r="AS407" s="45" t="s">
        <v>627</v>
      </c>
      <c r="AT407" s="45" t="s">
        <v>47</v>
      </c>
      <c r="AU407" s="46">
        <f>($O$3*(L407-$O$1)/$O$2+$P$3*(M407-$P$1)/$P$2+$Q$3*(N407-$P$1)/$Q$2)/SUM($O$3:$Q$3)</f>
        <v>-2.7014842379675978</v>
      </c>
      <c r="AV407" s="46">
        <f>($O$3*(O407-$O$1)/$O$2+$P$3*(P407-$P$1)/$P$2+$Q$3*(Q407-$Q$1)/$Q$2)/SUM($O$3:$Q$3)</f>
        <v>-1.4295949476488956</v>
      </c>
      <c r="AW407" s="47">
        <f>COUNT(R407:AO407)/2</f>
        <v>3</v>
      </c>
      <c r="AX407" s="47">
        <f>IF(AND(S407&lt;&gt;"-",S407&gt;5),1,0)+IF(AND(U407&lt;&gt;"-",U407&gt;5),1,0)+IF(AND(W407&lt;&gt;"-",W407&gt;5),1,0)+IF(AND(Y407&lt;&gt;"-",Y407&gt;5),1,0)+IF(AND(AA407&lt;&gt;"-",AA407&gt;5),1,0)+IF(AND(AC407&lt;&gt;"-",AC407&gt;5),1,0)+IF(AND(AE407&lt;&gt;"-",AE407&gt;5),1,0)+IF(AND(AG407&lt;&gt;"-",AG407&gt;5),1,0)+IF(AND(AI407&lt;&gt;"-",AI407&gt;5),1,0)+IF(AND(AK407&lt;&gt;"-",AK407&gt;5),1,0)+IF(AND(AM407&lt;&gt;"-",AM407&gt;5),1,0)+IF(AND(AO407&lt;&gt;"-",AO407&gt;5),1,0)</f>
        <v>0</v>
      </c>
      <c r="AY407" s="48">
        <f>VLOOKUP(AP407,COND!$A$10:$B$32,2,FALSE)</f>
        <v>1</v>
      </c>
      <c r="AZ407" s="46">
        <f>($AU$3*AU407+$AV$3*AV407+$AW$3*AW407+$AX$3*AX407)*AY407*IF(AQ407&lt;5,0.95,IF(AQ407&lt;7,0.975,1))+$I$3*VLOOKUP(I407,COND!$A$2:$E$7,4,FALSE)+$J$3*VLOOKUP(J407,COND!$A$2:$E$7,2,FALSE)+$K$3*VLOOKUP(K407,COND!$A$2:$E$7,3,FALSE)+IF(BB407="SP",$BB$3,0)+IF($AW407&lt;3,-5,0)+IF(AND($B$2&gt;0,$E407&lt;20),$B$2*25,0)</f>
        <v>24.667804199428566</v>
      </c>
      <c r="BA407" s="49">
        <f>STANDARDIZE(AZ407,AVERAGE($AZ$5:$AZ$570),STDEVP($AZ$5:$AZ$570))</f>
        <v>-0.73862718365834557</v>
      </c>
      <c r="BB407" s="47" t="str">
        <f>IF(OR(AND(AQ407&gt;7,AX407&gt;1),AND(AQ407&gt;4,AW407&gt;2)),"SP","RP")</f>
        <v>SP</v>
      </c>
      <c r="BC407" s="47"/>
      <c r="BD407" s="47"/>
      <c r="BE407" s="47"/>
      <c r="BF407" s="47" t="str">
        <f>IF(AVERAGE($O407:$Q407)&gt;=6,"Likely",IF(AVERAGE($O407:$Q407)&gt;=4,"Possible","Unlikely"))</f>
        <v>Unlikely</v>
      </c>
      <c r="BG407" s="47"/>
      <c r="BH407" s="47" t="str">
        <f>INDEX(Table5[[#All],[Ovr]],MATCH(Table3[[#This Row],[PID]],Table5[[#All],[PID]],0))</f>
        <v/>
      </c>
      <c r="BI407" s="47" t="str">
        <f>INDEX(Table5[[#All],[Rnd]],MATCH(Table3[[#This Row],[PID]],Table5[[#All],[PID]],0))</f>
        <v/>
      </c>
      <c r="BJ407" s="47" t="str">
        <f>INDEX(Table5[[#All],[Pick]],MATCH(Table3[[#This Row],[PID]],Table5[[#All],[PID]],0))</f>
        <v/>
      </c>
      <c r="BK407" s="47" t="str">
        <f>INDEX(Table5[[#All],[Team]],MATCH(Table3[[#This Row],[PID]],Table5[[#All],[PID]],0))</f>
        <v/>
      </c>
      <c r="BL4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8" spans="1:64" ht="15" customHeight="1" x14ac:dyDescent="0.25">
      <c r="A408" s="42">
        <v>8228</v>
      </c>
      <c r="B408" s="42" t="s">
        <v>24</v>
      </c>
      <c r="C408" s="42" t="s">
        <v>471</v>
      </c>
      <c r="D408" s="42" t="s">
        <v>1728</v>
      </c>
      <c r="E408" s="42">
        <v>21</v>
      </c>
      <c r="F408" s="42" t="s">
        <v>42</v>
      </c>
      <c r="G408" s="42" t="s">
        <v>42</v>
      </c>
      <c r="H408" s="43" t="s">
        <v>721</v>
      </c>
      <c r="I408" s="44" t="s">
        <v>43</v>
      </c>
      <c r="J408" s="42" t="s">
        <v>44</v>
      </c>
      <c r="K408" s="43" t="s">
        <v>43</v>
      </c>
      <c r="L408" s="42">
        <v>2</v>
      </c>
      <c r="M408" s="42">
        <v>2</v>
      </c>
      <c r="N408" s="43">
        <v>1</v>
      </c>
      <c r="O408" s="42">
        <v>4</v>
      </c>
      <c r="P408" s="42">
        <v>2</v>
      </c>
      <c r="Q408" s="43">
        <v>2</v>
      </c>
      <c r="R408" s="42">
        <v>4</v>
      </c>
      <c r="S408" s="42">
        <v>6</v>
      </c>
      <c r="T408" s="42">
        <v>1</v>
      </c>
      <c r="U408" s="42">
        <v>4</v>
      </c>
      <c r="V408" s="42">
        <v>2</v>
      </c>
      <c r="W408" s="42">
        <v>3</v>
      </c>
      <c r="X408" s="42">
        <v>3</v>
      </c>
      <c r="Y408" s="42">
        <v>6</v>
      </c>
      <c r="Z408" s="42" t="s">
        <v>45</v>
      </c>
      <c r="AA408" s="42" t="s">
        <v>45</v>
      </c>
      <c r="AB408" s="42" t="s">
        <v>45</v>
      </c>
      <c r="AC408" s="42" t="s">
        <v>45</v>
      </c>
      <c r="AD408" s="42" t="s">
        <v>45</v>
      </c>
      <c r="AE408" s="42" t="s">
        <v>45</v>
      </c>
      <c r="AF408" s="42" t="s">
        <v>45</v>
      </c>
      <c r="AG408" s="42" t="s">
        <v>45</v>
      </c>
      <c r="AH408" s="42" t="s">
        <v>45</v>
      </c>
      <c r="AI408" s="42" t="s">
        <v>45</v>
      </c>
      <c r="AJ408" s="42" t="s">
        <v>45</v>
      </c>
      <c r="AK408" s="42" t="s">
        <v>45</v>
      </c>
      <c r="AL408" s="42" t="s">
        <v>45</v>
      </c>
      <c r="AM408" s="42" t="s">
        <v>45</v>
      </c>
      <c r="AN408" s="42" t="s">
        <v>45</v>
      </c>
      <c r="AO408" s="43" t="s">
        <v>45</v>
      </c>
      <c r="AP408" s="42" t="s">
        <v>58</v>
      </c>
      <c r="AQ408" s="42">
        <v>9</v>
      </c>
      <c r="AR408" s="50" t="s">
        <v>353</v>
      </c>
      <c r="AS408" s="45" t="s">
        <v>45</v>
      </c>
      <c r="AT408" s="45" t="s">
        <v>47</v>
      </c>
      <c r="AU408" s="46">
        <f>($O$3*(L408-$O$1)/$O$2+$P$3*(M408-$P$1)/$P$2+$Q$3*(N408-$P$1)/$Q$2)/SUM($O$3:$Q$3)</f>
        <v>-2.311361197028369</v>
      </c>
      <c r="AV408" s="46">
        <f>($O$3*(O408-$O$1)/$O$2+$P$3*(P408-$P$1)/$P$2+$Q$3*(Q408-$Q$1)/$Q$2)/SUM($O$3:$Q$3)</f>
        <v>-1.23416323121884</v>
      </c>
      <c r="AW408" s="47">
        <f>COUNT(R408:AO408)/2</f>
        <v>4</v>
      </c>
      <c r="AX408" s="47">
        <f>IF(AND(S408&lt;&gt;"-",S408&gt;5),1,0)+IF(AND(U408&lt;&gt;"-",U408&gt;5),1,0)+IF(AND(W408&lt;&gt;"-",W408&gt;5),1,0)+IF(AND(Y408&lt;&gt;"-",Y408&gt;5),1,0)+IF(AND(AA408&lt;&gt;"-",AA408&gt;5),1,0)+IF(AND(AC408&lt;&gt;"-",AC408&gt;5),1,0)+IF(AND(AE408&lt;&gt;"-",AE408&gt;5),1,0)+IF(AND(AG408&lt;&gt;"-",AG408&gt;5),1,0)+IF(AND(AI408&lt;&gt;"-",AI408&gt;5),1,0)+IF(AND(AK408&lt;&gt;"-",AK408&gt;5),1,0)+IF(AND(AM408&lt;&gt;"-",AM408&gt;5),1,0)+IF(AND(AO408&lt;&gt;"-",AO408&gt;5),1,0)</f>
        <v>2</v>
      </c>
      <c r="AY408" s="48">
        <f>VLOOKUP(AP408,COND!$A$10:$B$32,2,FALSE)</f>
        <v>1</v>
      </c>
      <c r="AZ408" s="46">
        <f>($AU$3*AU408+$AV$3*AV408+$AW$3*AW408+$AX$3*AX408)*AY408*IF(AQ408&lt;5,0.95,IF(AQ408&lt;7,0.975,1))+$I$3*VLOOKUP(I408,COND!$A$2:$E$7,4,FALSE)+$J$3*VLOOKUP(J408,COND!$A$2:$E$7,2,FALSE)+$K$3*VLOOKUP(K408,COND!$A$2:$E$7,3,FALSE)+IF(BB408="SP",$BB$3,0)+IF($AW408&lt;3,-5,0)+IF(AND($B$2&gt;0,$E408&lt;20),$B$2*25,0)</f>
        <v>26.054463136217525</v>
      </c>
      <c r="BA408" s="49">
        <f>STANDARDIZE(AZ408,AVERAGE($AZ$5:$AZ$570),STDEVP($AZ$5:$AZ$570))</f>
        <v>-0.6114646324499402</v>
      </c>
      <c r="BB408" s="47" t="str">
        <f>IF(OR(AND(AQ408&gt;7,AX408&gt;1),AND(AQ408&gt;4,AW408&gt;2)),"SP","RP")</f>
        <v>SP</v>
      </c>
      <c r="BC408" s="47"/>
      <c r="BD408" s="47"/>
      <c r="BE408" s="47"/>
      <c r="BF408" s="47" t="str">
        <f>IF(AVERAGE($O408:$Q408)&gt;=6,"Likely",IF(AVERAGE($O408:$Q408)&gt;=4,"Possible","Unlikely"))</f>
        <v>Unlikely</v>
      </c>
      <c r="BG408" s="47"/>
      <c r="BH408" s="47" t="str">
        <f>INDEX(Table5[[#All],[Ovr]],MATCH(Table3[[#This Row],[PID]],Table5[[#All],[PID]],0))</f>
        <v/>
      </c>
      <c r="BI408" s="47" t="str">
        <f>INDEX(Table5[[#All],[Rnd]],MATCH(Table3[[#This Row],[PID]],Table5[[#All],[PID]],0))</f>
        <v/>
      </c>
      <c r="BJ408" s="47" t="str">
        <f>INDEX(Table5[[#All],[Pick]],MATCH(Table3[[#This Row],[PID]],Table5[[#All],[PID]],0))</f>
        <v/>
      </c>
      <c r="BK408" s="47" t="str">
        <f>INDEX(Table5[[#All],[Team]],MATCH(Table3[[#This Row],[PID]],Table5[[#All],[PID]],0))</f>
        <v/>
      </c>
      <c r="BL4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9" spans="1:64" ht="15" customHeight="1" x14ac:dyDescent="0.25">
      <c r="A409" s="42">
        <v>17903</v>
      </c>
      <c r="B409" s="42" t="s">
        <v>430</v>
      </c>
      <c r="C409" s="42" t="s">
        <v>195</v>
      </c>
      <c r="D409" s="42" t="s">
        <v>1771</v>
      </c>
      <c r="E409" s="42">
        <v>18</v>
      </c>
      <c r="F409" s="42" t="s">
        <v>53</v>
      </c>
      <c r="G409" s="42" t="s">
        <v>53</v>
      </c>
      <c r="H409" s="43" t="s">
        <v>721</v>
      </c>
      <c r="I409" s="44" t="s">
        <v>43</v>
      </c>
      <c r="J409" s="42" t="s">
        <v>43</v>
      </c>
      <c r="K409" s="43" t="s">
        <v>43</v>
      </c>
      <c r="L409" s="42">
        <v>1</v>
      </c>
      <c r="M409" s="42">
        <v>1</v>
      </c>
      <c r="N409" s="43">
        <v>1</v>
      </c>
      <c r="O409" s="42">
        <v>3</v>
      </c>
      <c r="P409" s="42">
        <v>2</v>
      </c>
      <c r="Q409" s="43">
        <v>2</v>
      </c>
      <c r="R409" s="42">
        <v>3</v>
      </c>
      <c r="S409" s="42">
        <v>4</v>
      </c>
      <c r="T409" s="42">
        <v>1</v>
      </c>
      <c r="U409" s="42">
        <v>5</v>
      </c>
      <c r="V409" s="42">
        <v>2</v>
      </c>
      <c r="W409" s="42">
        <v>4</v>
      </c>
      <c r="X409" s="42">
        <v>1</v>
      </c>
      <c r="Y409" s="42">
        <v>2</v>
      </c>
      <c r="Z409" s="42" t="s">
        <v>45</v>
      </c>
      <c r="AA409" s="42" t="s">
        <v>45</v>
      </c>
      <c r="AB409" s="42" t="s">
        <v>45</v>
      </c>
      <c r="AC409" s="42" t="s">
        <v>45</v>
      </c>
      <c r="AD409" s="42" t="s">
        <v>45</v>
      </c>
      <c r="AE409" s="42" t="s">
        <v>45</v>
      </c>
      <c r="AF409" s="42" t="s">
        <v>45</v>
      </c>
      <c r="AG409" s="42" t="s">
        <v>45</v>
      </c>
      <c r="AH409" s="42" t="s">
        <v>45</v>
      </c>
      <c r="AI409" s="42" t="s">
        <v>45</v>
      </c>
      <c r="AJ409" s="42" t="s">
        <v>45</v>
      </c>
      <c r="AK409" s="42" t="s">
        <v>45</v>
      </c>
      <c r="AL409" s="42" t="s">
        <v>45</v>
      </c>
      <c r="AM409" s="42" t="s">
        <v>45</v>
      </c>
      <c r="AN409" s="42" t="s">
        <v>45</v>
      </c>
      <c r="AO409" s="43" t="s">
        <v>45</v>
      </c>
      <c r="AP409" s="42" t="s">
        <v>65</v>
      </c>
      <c r="AQ409" s="42">
        <v>8</v>
      </c>
      <c r="AR409" s="50" t="s">
        <v>14</v>
      </c>
      <c r="AS409" s="45" t="s">
        <v>733</v>
      </c>
      <c r="AT409" s="45" t="s">
        <v>705</v>
      </c>
      <c r="AU409" s="46">
        <f>($O$3*(L409-$O$1)/$O$2+$P$3*(M409-$P$1)/$P$2+$Q$3*(N409-$P$1)/$Q$2)/SUM($O$3:$Q$3)</f>
        <v>-2.7014842379675978</v>
      </c>
      <c r="AV409" s="46">
        <f>($O$3*(O409-$O$1)/$O$2+$P$3*(P409-$P$1)/$P$2+$Q$3*(Q409-$Q$1)/$Q$2)/SUM($O$3:$Q$3)</f>
        <v>-1.4288545557280135</v>
      </c>
      <c r="AW409" s="47">
        <f>COUNT(R409:AO409)/2</f>
        <v>4</v>
      </c>
      <c r="AX409" s="47">
        <f>IF(AND(S409&lt;&gt;"-",S409&gt;5),1,0)+IF(AND(U409&lt;&gt;"-",U409&gt;5),1,0)+IF(AND(W409&lt;&gt;"-",W409&gt;5),1,0)+IF(AND(Y409&lt;&gt;"-",Y409&gt;5),1,0)+IF(AND(AA409&lt;&gt;"-",AA409&gt;5),1,0)+IF(AND(AC409&lt;&gt;"-",AC409&gt;5),1,0)+IF(AND(AE409&lt;&gt;"-",AE409&gt;5),1,0)+IF(AND(AG409&lt;&gt;"-",AG409&gt;5),1,0)+IF(AND(AI409&lt;&gt;"-",AI409&gt;5),1,0)+IF(AND(AK409&lt;&gt;"-",AK409&gt;5),1,0)+IF(AND(AM409&lt;&gt;"-",AM409&gt;5),1,0)+IF(AND(AO409&lt;&gt;"-",AO409&gt;5),1,0)</f>
        <v>0</v>
      </c>
      <c r="AY409" s="48">
        <f>VLOOKUP(AP409,COND!$A$10:$B$32,2,FALSE)</f>
        <v>0.95</v>
      </c>
      <c r="AZ409" s="46">
        <f>($AU$3*AU409+$AV$3*AV409+$AW$3*AW409+$AX$3*AX409)*AY409*IF(AQ409&lt;5,0.95,IF(AQ409&lt;7,0.975,1))+$I$3*VLOOKUP(I409,COND!$A$2:$E$7,4,FALSE)+$J$3*VLOOKUP(J409,COND!$A$2:$E$7,2,FALSE)+$K$3*VLOOKUP(K409,COND!$A$2:$E$7,3,FALSE)+IF(BB409="SP",$BB$3,0)+IF($AW409&lt;3,-5,0)+IF(AND($B$2&gt;0,$E409&lt;20),$B$2*25,0)</f>
        <v>26.238481435953901</v>
      </c>
      <c r="BA409" s="49">
        <f>STANDARDIZE(AZ409,AVERAGE($AZ$5:$AZ$676),STDEVP($AZ$5:$AZ$676))</f>
        <v>-0.36430955336715137</v>
      </c>
      <c r="BB409" s="47" t="str">
        <f>IF(OR(AND(AQ409&gt;7,AX409&gt;1),AND(AQ409&gt;4,AW409&gt;2)),"SP","RP")</f>
        <v>SP</v>
      </c>
      <c r="BC409" s="47"/>
      <c r="BD409" s="47"/>
      <c r="BE409" s="47"/>
      <c r="BF409" s="47" t="str">
        <f>IF(AVERAGE($O409:$Q409)&gt;=6,"Likely",IF(AVERAGE($O409:$Q409)&gt;=4,"Possible","Unlikely"))</f>
        <v>Unlikely</v>
      </c>
      <c r="BG409" s="47"/>
      <c r="BH409" s="47" t="str">
        <f>INDEX(Table5[[#All],[Ovr]],MATCH(Table3[[#This Row],[PID]],Table5[[#All],[PID]],0))</f>
        <v/>
      </c>
      <c r="BI409" s="47" t="str">
        <f>INDEX(Table5[[#All],[Rnd]],MATCH(Table3[[#This Row],[PID]],Table5[[#All],[PID]],0))</f>
        <v/>
      </c>
      <c r="BJ409" s="47" t="str">
        <f>INDEX(Table5[[#All],[Pick]],MATCH(Table3[[#This Row],[PID]],Table5[[#All],[PID]],0))</f>
        <v/>
      </c>
      <c r="BK409" s="47" t="str">
        <f>INDEX(Table5[[#All],[Team]],MATCH(Table3[[#This Row],[PID]],Table5[[#All],[PID]],0))</f>
        <v/>
      </c>
      <c r="BL4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0" spans="1:64" ht="15" customHeight="1" x14ac:dyDescent="0.25">
      <c r="A410" s="42">
        <v>5347</v>
      </c>
      <c r="B410" s="42" t="s">
        <v>24</v>
      </c>
      <c r="C410" s="42" t="s">
        <v>346</v>
      </c>
      <c r="D410" s="42" t="s">
        <v>147</v>
      </c>
      <c r="E410" s="42">
        <v>22</v>
      </c>
      <c r="F410" s="42" t="s">
        <v>62</v>
      </c>
      <c r="G410" s="42" t="s">
        <v>53</v>
      </c>
      <c r="H410" s="43" t="s">
        <v>721</v>
      </c>
      <c r="I410" s="44" t="s">
        <v>44</v>
      </c>
      <c r="J410" s="42" t="s">
        <v>47</v>
      </c>
      <c r="K410" s="43" t="s">
        <v>43</v>
      </c>
      <c r="L410" s="42">
        <v>2</v>
      </c>
      <c r="M410" s="42">
        <v>1</v>
      </c>
      <c r="N410" s="43">
        <v>2</v>
      </c>
      <c r="O410" s="42">
        <v>4</v>
      </c>
      <c r="P410" s="42">
        <v>2</v>
      </c>
      <c r="Q410" s="43">
        <v>2</v>
      </c>
      <c r="R410" s="42">
        <v>4</v>
      </c>
      <c r="S410" s="42">
        <v>5</v>
      </c>
      <c r="T410" s="42">
        <v>1</v>
      </c>
      <c r="U410" s="42">
        <v>4</v>
      </c>
      <c r="V410" s="42" t="s">
        <v>45</v>
      </c>
      <c r="W410" s="42" t="s">
        <v>45</v>
      </c>
      <c r="X410" s="42">
        <v>3</v>
      </c>
      <c r="Y410" s="42">
        <v>5</v>
      </c>
      <c r="Z410" s="42" t="s">
        <v>45</v>
      </c>
      <c r="AA410" s="42" t="s">
        <v>45</v>
      </c>
      <c r="AB410" s="42" t="s">
        <v>45</v>
      </c>
      <c r="AC410" s="42" t="s">
        <v>45</v>
      </c>
      <c r="AD410" s="42">
        <v>3</v>
      </c>
      <c r="AE410" s="42">
        <v>4</v>
      </c>
      <c r="AF410" s="42" t="s">
        <v>45</v>
      </c>
      <c r="AG410" s="42" t="s">
        <v>45</v>
      </c>
      <c r="AH410" s="42" t="s">
        <v>45</v>
      </c>
      <c r="AI410" s="42" t="s">
        <v>45</v>
      </c>
      <c r="AJ410" s="42" t="s">
        <v>45</v>
      </c>
      <c r="AK410" s="42" t="s">
        <v>45</v>
      </c>
      <c r="AL410" s="42" t="s">
        <v>45</v>
      </c>
      <c r="AM410" s="42" t="s">
        <v>45</v>
      </c>
      <c r="AN410" s="42" t="s">
        <v>45</v>
      </c>
      <c r="AO410" s="43" t="s">
        <v>45</v>
      </c>
      <c r="AP410" s="42" t="s">
        <v>57</v>
      </c>
      <c r="AQ410" s="42">
        <v>6</v>
      </c>
      <c r="AR410" s="50" t="s">
        <v>14</v>
      </c>
      <c r="AS410" s="45" t="s">
        <v>45</v>
      </c>
      <c r="AT410" s="45" t="s">
        <v>47</v>
      </c>
      <c r="AU410" s="46">
        <f>($O$3*(L410-$O$1)/$O$2+$P$3*(M410-$P$1)/$P$2+$Q$3*(N410-$P$1)/$Q$2)/SUM($O$3:$Q$3)</f>
        <v>-2.2644723474043147</v>
      </c>
      <c r="AV410" s="46">
        <f>($O$3*(O410-$O$1)/$O$2+$P$3*(P410-$P$1)/$P$2+$Q$3*(Q410-$Q$1)/$Q$2)/SUM($O$3:$Q$3)</f>
        <v>-1.23416323121884</v>
      </c>
      <c r="AW410" s="47">
        <f>COUNT(R410:AO410)/2</f>
        <v>4</v>
      </c>
      <c r="AX410" s="47">
        <f>IF(AND(S410&lt;&gt;"-",S410&gt;5),1,0)+IF(AND(U410&lt;&gt;"-",U410&gt;5),1,0)+IF(AND(W410&lt;&gt;"-",W410&gt;5),1,0)+IF(AND(Y410&lt;&gt;"-",Y410&gt;5),1,0)+IF(AND(AA410&lt;&gt;"-",AA410&gt;5),1,0)+IF(AND(AC410&lt;&gt;"-",AC410&gt;5),1,0)+IF(AND(AE410&lt;&gt;"-",AE410&gt;5),1,0)+IF(AND(AG410&lt;&gt;"-",AG410&gt;5),1,0)+IF(AND(AI410&lt;&gt;"-",AI410&gt;5),1,0)+IF(AND(AK410&lt;&gt;"-",AK410&gt;5),1,0)+IF(AND(AM410&lt;&gt;"-",AM410&gt;5),1,0)+IF(AND(AO410&lt;&gt;"-",AO410&gt;5),1,0)</f>
        <v>0</v>
      </c>
      <c r="AY410" s="48">
        <f>VLOOKUP(AP410,COND!$A$10:$B$32,2,FALSE)</f>
        <v>1</v>
      </c>
      <c r="AZ410" s="46">
        <f>($AU$3*AU410+$AV$3*AV410+$AW$3*AW410+$AX$3*AX410)*AY410*IF(AQ410&lt;5,0.95,IF(AQ410&lt;7,0.975,1))+$I$3*VLOOKUP(I410,COND!$A$2:$E$7,4,FALSE)+$J$3*VLOOKUP(J410,COND!$A$2:$E$7,2,FALSE)+$K$3*VLOOKUP(K410,COND!$A$2:$E$7,3,FALSE)+IF(BB410="SP",$BB$3,0)+IF($AW410&lt;3,-5,0)+IF(AND($B$2&gt;0,$E410&lt;20),$B$2*25,0)</f>
        <v>24.592244883488782</v>
      </c>
      <c r="BA410" s="49">
        <f>STANDARDIZE(AZ410,AVERAGE($AZ$5:$AZ$570),STDEVP($AZ$5:$AZ$570))</f>
        <v>-0.74555629587732752</v>
      </c>
      <c r="BB410" s="47" t="str">
        <f>IF(OR(AND(AQ410&gt;7,AX410&gt;1),AND(AQ410&gt;4,AW410&gt;2)),"SP","RP")</f>
        <v>SP</v>
      </c>
      <c r="BC410" s="47"/>
      <c r="BD410" s="47"/>
      <c r="BE410" s="47"/>
      <c r="BF410" s="47" t="str">
        <f>IF(AVERAGE($O410:$Q410)&gt;=6,"Likely",IF(AVERAGE($O410:$Q410)&gt;=4,"Possible","Unlikely"))</f>
        <v>Unlikely</v>
      </c>
      <c r="BG410" s="47"/>
      <c r="BH410" s="47" t="str">
        <f>INDEX(Table5[[#All],[Ovr]],MATCH(Table3[[#This Row],[PID]],Table5[[#All],[PID]],0))</f>
        <v/>
      </c>
      <c r="BI410" s="47" t="str">
        <f>INDEX(Table5[[#All],[Rnd]],MATCH(Table3[[#This Row],[PID]],Table5[[#All],[PID]],0))</f>
        <v/>
      </c>
      <c r="BJ410" s="47" t="str">
        <f>INDEX(Table5[[#All],[Pick]],MATCH(Table3[[#This Row],[PID]],Table5[[#All],[PID]],0))</f>
        <v/>
      </c>
      <c r="BK410" s="47" t="str">
        <f>INDEX(Table5[[#All],[Team]],MATCH(Table3[[#This Row],[PID]],Table5[[#All],[PID]],0))</f>
        <v/>
      </c>
      <c r="BL4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1" spans="1:64" ht="15" customHeight="1" x14ac:dyDescent="0.25">
      <c r="A411" s="42">
        <v>17869</v>
      </c>
      <c r="B411" s="42" t="s">
        <v>430</v>
      </c>
      <c r="C411" s="42" t="s">
        <v>1716</v>
      </c>
      <c r="D411" s="42" t="s">
        <v>1014</v>
      </c>
      <c r="E411" s="42">
        <v>18</v>
      </c>
      <c r="F411" s="42" t="s">
        <v>42</v>
      </c>
      <c r="G411" s="42" t="s">
        <v>42</v>
      </c>
      <c r="H411" s="43" t="s">
        <v>721</v>
      </c>
      <c r="I411" s="44" t="s">
        <v>43</v>
      </c>
      <c r="J411" s="42" t="s">
        <v>43</v>
      </c>
      <c r="K411" s="43" t="s">
        <v>43</v>
      </c>
      <c r="L411" s="42">
        <v>2</v>
      </c>
      <c r="M411" s="42">
        <v>2</v>
      </c>
      <c r="N411" s="43">
        <v>1</v>
      </c>
      <c r="O411" s="42">
        <v>4</v>
      </c>
      <c r="P411" s="42">
        <v>2</v>
      </c>
      <c r="Q411" s="43">
        <v>1</v>
      </c>
      <c r="R411" s="42">
        <v>3</v>
      </c>
      <c r="S411" s="42">
        <v>4</v>
      </c>
      <c r="T411" s="42">
        <v>1</v>
      </c>
      <c r="U411" s="42">
        <v>4</v>
      </c>
      <c r="V411" s="42" t="s">
        <v>45</v>
      </c>
      <c r="W411" s="42" t="s">
        <v>45</v>
      </c>
      <c r="X411" s="42">
        <v>2</v>
      </c>
      <c r="Y411" s="42">
        <v>4</v>
      </c>
      <c r="Z411" s="42" t="s">
        <v>45</v>
      </c>
      <c r="AA411" s="42" t="s">
        <v>45</v>
      </c>
      <c r="AB411" s="42" t="s">
        <v>45</v>
      </c>
      <c r="AC411" s="42" t="s">
        <v>45</v>
      </c>
      <c r="AD411" s="42" t="s">
        <v>45</v>
      </c>
      <c r="AE411" s="42" t="s">
        <v>45</v>
      </c>
      <c r="AF411" s="42" t="s">
        <v>45</v>
      </c>
      <c r="AG411" s="42" t="s">
        <v>45</v>
      </c>
      <c r="AH411" s="42" t="s">
        <v>45</v>
      </c>
      <c r="AI411" s="42" t="s">
        <v>45</v>
      </c>
      <c r="AJ411" s="42" t="s">
        <v>45</v>
      </c>
      <c r="AK411" s="42" t="s">
        <v>45</v>
      </c>
      <c r="AL411" s="42">
        <v>2</v>
      </c>
      <c r="AM411" s="42">
        <v>6</v>
      </c>
      <c r="AN411" s="42" t="s">
        <v>45</v>
      </c>
      <c r="AO411" s="43" t="s">
        <v>45</v>
      </c>
      <c r="AP411" s="42" t="s">
        <v>64</v>
      </c>
      <c r="AQ411" s="42">
        <v>10</v>
      </c>
      <c r="AR411" s="50" t="s">
        <v>353</v>
      </c>
      <c r="AS411" s="45" t="s">
        <v>718</v>
      </c>
      <c r="AT411" s="45" t="s">
        <v>47</v>
      </c>
      <c r="AU411" s="46">
        <f>($O$3*(L411-$O$1)/$O$2+$P$3*(M411-$P$1)/$P$2+$Q$3*(N411-$P$1)/$Q$2)/SUM($O$3:$Q$3)</f>
        <v>-2.311361197028369</v>
      </c>
      <c r="AV411" s="46">
        <f>($O$3*(O411-$O$1)/$O$2+$P$3*(P411-$P$1)/$P$2+$Q$3*(Q411-$Q$1)/$Q$2)/SUM($O$3:$Q$3)</f>
        <v>-1.4764837972729503</v>
      </c>
      <c r="AW411" s="47">
        <f>COUNT(R411:AO411)/2</f>
        <v>4</v>
      </c>
      <c r="AX411" s="47">
        <f>IF(AND(S411&lt;&gt;"-",S411&gt;5),1,0)+IF(AND(U411&lt;&gt;"-",U411&gt;5),1,0)+IF(AND(W411&lt;&gt;"-",W411&gt;5),1,0)+IF(AND(Y411&lt;&gt;"-",Y411&gt;5),1,0)+IF(AND(AA411&lt;&gt;"-",AA411&gt;5),1,0)+IF(AND(AC411&lt;&gt;"-",AC411&gt;5),1,0)+IF(AND(AE411&lt;&gt;"-",AE411&gt;5),1,0)+IF(AND(AG411&lt;&gt;"-",AG411&gt;5),1,0)+IF(AND(AI411&lt;&gt;"-",AI411&gt;5),1,0)+IF(AND(AK411&lt;&gt;"-",AK411&gt;5),1,0)+IF(AND(AM411&lt;&gt;"-",AM411&gt;5),1,0)+IF(AND(AO411&lt;&gt;"-",AO411&gt;5),1,0)</f>
        <v>1</v>
      </c>
      <c r="AY411" s="48">
        <f>VLOOKUP(AP411,COND!$A$10:$B$32,2,FALSE)</f>
        <v>1</v>
      </c>
      <c r="AZ411" s="46">
        <f>($AU$3*AU411+$AV$3*AV411+$AW$3*AW411+$AX$3*AX411)*AY411*IF(AQ411&lt;5,0.95,IF(AQ411&lt;7,0.975,1))+$I$3*VLOOKUP(I411,COND!$A$2:$E$7,4,FALSE)+$J$3*VLOOKUP(J411,COND!$A$2:$E$7,2,FALSE)+$K$3*VLOOKUP(K411,COND!$A$2:$E$7,3,FALSE)+IF(BB411="SP",$BB$3,0)+IF($AW411&lt;3,-5,0)+IF(AND($B$2&gt;0,$E411&lt;20),$B$2*25,0)</f>
        <v>25.258051815135321</v>
      </c>
      <c r="BA411" s="49">
        <f>STANDARDIZE(AZ411,AVERAGE($AZ$5:$AZ$570),STDEVP($AZ$5:$AZ$570))</f>
        <v>-0.68449895452670528</v>
      </c>
      <c r="BB411" s="47" t="str">
        <f>IF(OR(AND(AQ411&gt;7,AX411&gt;1),AND(AQ411&gt;4,AW411&gt;2)),"SP","RP")</f>
        <v>SP</v>
      </c>
      <c r="BC411" s="47"/>
      <c r="BD411" s="47"/>
      <c r="BE411" s="47"/>
      <c r="BF411" s="47" t="str">
        <f>IF(AVERAGE($O411:$Q411)&gt;=6,"Likely",IF(AVERAGE($O411:$Q411)&gt;=4,"Possible","Unlikely"))</f>
        <v>Unlikely</v>
      </c>
      <c r="BG411" s="47"/>
      <c r="BH411" s="47" t="str">
        <f>INDEX(Table5[[#All],[Ovr]],MATCH(Table3[[#This Row],[PID]],Table5[[#All],[PID]],0))</f>
        <v/>
      </c>
      <c r="BI411" s="47" t="str">
        <f>INDEX(Table5[[#All],[Rnd]],MATCH(Table3[[#This Row],[PID]],Table5[[#All],[PID]],0))</f>
        <v/>
      </c>
      <c r="BJ411" s="47" t="str">
        <f>INDEX(Table5[[#All],[Pick]],MATCH(Table3[[#This Row],[PID]],Table5[[#All],[PID]],0))</f>
        <v/>
      </c>
      <c r="BK411" s="47" t="str">
        <f>INDEX(Table5[[#All],[Team]],MATCH(Table3[[#This Row],[PID]],Table5[[#All],[PID]],0))</f>
        <v/>
      </c>
      <c r="BL4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2" spans="1:64" ht="15" customHeight="1" x14ac:dyDescent="0.25">
      <c r="A412" s="42">
        <v>6621</v>
      </c>
      <c r="B412" s="42" t="s">
        <v>430</v>
      </c>
      <c r="C412" s="42" t="s">
        <v>1596</v>
      </c>
      <c r="D412" s="42" t="s">
        <v>1597</v>
      </c>
      <c r="E412" s="42">
        <v>18</v>
      </c>
      <c r="F412" s="42" t="s">
        <v>53</v>
      </c>
      <c r="G412" s="42" t="s">
        <v>53</v>
      </c>
      <c r="H412" s="43" t="s">
        <v>721</v>
      </c>
      <c r="I412" s="44" t="s">
        <v>43</v>
      </c>
      <c r="J412" s="42" t="s">
        <v>44</v>
      </c>
      <c r="K412" s="43" t="s">
        <v>43</v>
      </c>
      <c r="L412" s="42">
        <v>3</v>
      </c>
      <c r="M412" s="42">
        <v>1</v>
      </c>
      <c r="N412" s="43">
        <v>1</v>
      </c>
      <c r="O412" s="42">
        <v>4</v>
      </c>
      <c r="P412" s="42">
        <v>1</v>
      </c>
      <c r="Q412" s="43">
        <v>2</v>
      </c>
      <c r="R412" s="42">
        <v>4</v>
      </c>
      <c r="S412" s="42">
        <v>6</v>
      </c>
      <c r="T412" s="42">
        <v>2</v>
      </c>
      <c r="U412" s="42">
        <v>5</v>
      </c>
      <c r="V412" s="42">
        <v>2</v>
      </c>
      <c r="W412" s="42">
        <v>5</v>
      </c>
      <c r="X412" s="42" t="s">
        <v>45</v>
      </c>
      <c r="Y412" s="42" t="s">
        <v>45</v>
      </c>
      <c r="Z412" s="42" t="s">
        <v>45</v>
      </c>
      <c r="AA412" s="42" t="s">
        <v>45</v>
      </c>
      <c r="AB412" s="42">
        <v>4</v>
      </c>
      <c r="AC412" s="42">
        <v>5</v>
      </c>
      <c r="AD412" s="42" t="s">
        <v>45</v>
      </c>
      <c r="AE412" s="42" t="s">
        <v>45</v>
      </c>
      <c r="AF412" s="42" t="s">
        <v>45</v>
      </c>
      <c r="AG412" s="42" t="s">
        <v>45</v>
      </c>
      <c r="AH412" s="42" t="s">
        <v>45</v>
      </c>
      <c r="AI412" s="42" t="s">
        <v>45</v>
      </c>
      <c r="AJ412" s="42" t="s">
        <v>45</v>
      </c>
      <c r="AK412" s="42" t="s">
        <v>45</v>
      </c>
      <c r="AL412" s="42" t="s">
        <v>45</v>
      </c>
      <c r="AM412" s="42" t="s">
        <v>45</v>
      </c>
      <c r="AN412" s="42" t="s">
        <v>45</v>
      </c>
      <c r="AO412" s="43" t="s">
        <v>45</v>
      </c>
      <c r="AP412" s="42" t="s">
        <v>58</v>
      </c>
      <c r="AQ412" s="42">
        <v>10</v>
      </c>
      <c r="AR412" s="50" t="s">
        <v>357</v>
      </c>
      <c r="AS412" s="45" t="s">
        <v>627</v>
      </c>
      <c r="AT412" s="45" t="s">
        <v>47</v>
      </c>
      <c r="AU412" s="46">
        <f>($O$3*(L412-$O$1)/$O$2+$P$3*(M412-$P$1)/$P$2+$Q$3*(N412-$P$1)/$Q$2)/SUM($O$3:$Q$3)</f>
        <v>-2.3121015889492513</v>
      </c>
      <c r="AV412" s="46">
        <f>($O$3*(O412-$O$1)/$O$2+$P$3*(P412-$P$1)/$P$2+$Q$3*(Q412-$Q$1)/$Q$2)/SUM($O$3:$Q$3)</f>
        <v>-1.4295949476488956</v>
      </c>
      <c r="AW412" s="47">
        <f>COUNT(R412:AO412)/2</f>
        <v>4</v>
      </c>
      <c r="AX412" s="47">
        <f>IF(AND(S412&lt;&gt;"-",S412&gt;5),1,0)+IF(AND(U412&lt;&gt;"-",U412&gt;5),1,0)+IF(AND(W412&lt;&gt;"-",W412&gt;5),1,0)+IF(AND(Y412&lt;&gt;"-",Y412&gt;5),1,0)+IF(AND(AA412&lt;&gt;"-",AA412&gt;5),1,0)+IF(AND(AC412&lt;&gt;"-",AC412&gt;5),1,0)+IF(AND(AE412&lt;&gt;"-",AE412&gt;5),1,0)+IF(AND(AG412&lt;&gt;"-",AG412&gt;5),1,0)+IF(AND(AI412&lt;&gt;"-",AI412&gt;5),1,0)+IF(AND(AK412&lt;&gt;"-",AK412&gt;5),1,0)+IF(AND(AM412&lt;&gt;"-",AM412&gt;5),1,0)+IF(AND(AO412&lt;&gt;"-",AO412&gt;5),1,0)</f>
        <v>1</v>
      </c>
      <c r="AY412" s="48">
        <f>VLOOKUP(AP412,COND!$A$10:$B$32,2,FALSE)</f>
        <v>1</v>
      </c>
      <c r="AZ412" s="46">
        <f>($AU$3*AU412+$AV$3*AV412+$AW$3*AW412+$AX$3*AX412)*AY412*IF(AQ412&lt;5,0.95,IF(AQ412&lt;7,0.975,1))+$I$3*VLOOKUP(I412,COND!$A$2:$E$7,4,FALSE)+$J$3*VLOOKUP(J412,COND!$A$2:$E$7,2,FALSE)+$K$3*VLOOKUP(K412,COND!$A$2:$E$7,3,FALSE)+IF(BB412="SP",$BB$3,0)+IF($AW412&lt;3,-5,0)+IF(AND($B$2&gt;0,$E412&lt;20),$B$2*25,0)</f>
        <v>25.895680729232236</v>
      </c>
      <c r="BA412" s="49">
        <f>STANDARDIZE(AZ412,AVERAGE($AZ$5:$AZ$570),STDEVP($AZ$5:$AZ$570))</f>
        <v>-0.62602565782076192</v>
      </c>
      <c r="BB412" s="47" t="str">
        <f>IF(OR(AND(AQ412&gt;7,AX412&gt;1),AND(AQ412&gt;4,AW412&gt;2)),"SP","RP")</f>
        <v>SP</v>
      </c>
      <c r="BC412" s="47"/>
      <c r="BD412" s="47"/>
      <c r="BE412" s="47"/>
      <c r="BF412" s="47" t="str">
        <f>IF(AVERAGE($O412:$Q412)&gt;=6,"Likely",IF(AVERAGE($O412:$Q412)&gt;=4,"Possible","Unlikely"))</f>
        <v>Unlikely</v>
      </c>
      <c r="BG412" s="47"/>
      <c r="BH412" s="47" t="str">
        <f>INDEX(Table5[[#All],[Ovr]],MATCH(Table3[[#This Row],[PID]],Table5[[#All],[PID]],0))</f>
        <v/>
      </c>
      <c r="BI412" s="47" t="str">
        <f>INDEX(Table5[[#All],[Rnd]],MATCH(Table3[[#This Row],[PID]],Table5[[#All],[PID]],0))</f>
        <v/>
      </c>
      <c r="BJ412" s="47" t="str">
        <f>INDEX(Table5[[#All],[Pick]],MATCH(Table3[[#This Row],[PID]],Table5[[#All],[PID]],0))</f>
        <v/>
      </c>
      <c r="BK412" s="47" t="str">
        <f>INDEX(Table5[[#All],[Team]],MATCH(Table3[[#This Row],[PID]],Table5[[#All],[PID]],0))</f>
        <v/>
      </c>
      <c r="BL4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3" spans="1:64" ht="15" customHeight="1" x14ac:dyDescent="0.25">
      <c r="A413" s="42">
        <v>7511</v>
      </c>
      <c r="B413" s="42" t="s">
        <v>430</v>
      </c>
      <c r="C413" s="42" t="s">
        <v>125</v>
      </c>
      <c r="D413" s="42" t="s">
        <v>149</v>
      </c>
      <c r="E413" s="42">
        <v>18</v>
      </c>
      <c r="F413" s="42" t="s">
        <v>42</v>
      </c>
      <c r="G413" s="42" t="s">
        <v>42</v>
      </c>
      <c r="H413" s="43" t="s">
        <v>721</v>
      </c>
      <c r="I413" s="44" t="s">
        <v>43</v>
      </c>
      <c r="J413" s="42" t="s">
        <v>44</v>
      </c>
      <c r="K413" s="43" t="s">
        <v>43</v>
      </c>
      <c r="L413" s="42">
        <v>1</v>
      </c>
      <c r="M413" s="42">
        <v>1</v>
      </c>
      <c r="N413" s="43">
        <v>1</v>
      </c>
      <c r="O413" s="42">
        <v>4</v>
      </c>
      <c r="P413" s="42">
        <v>1</v>
      </c>
      <c r="Q413" s="43">
        <v>2</v>
      </c>
      <c r="R413" s="42">
        <v>2</v>
      </c>
      <c r="S413" s="42">
        <v>5</v>
      </c>
      <c r="T413" s="42">
        <v>1</v>
      </c>
      <c r="U413" s="42">
        <v>1</v>
      </c>
      <c r="V413" s="42">
        <v>1</v>
      </c>
      <c r="W413" s="42">
        <v>7</v>
      </c>
      <c r="X413" s="42" t="s">
        <v>45</v>
      </c>
      <c r="Y413" s="42" t="s">
        <v>45</v>
      </c>
      <c r="Z413" s="42" t="s">
        <v>45</v>
      </c>
      <c r="AA413" s="42" t="s">
        <v>45</v>
      </c>
      <c r="AB413" s="42" t="s">
        <v>45</v>
      </c>
      <c r="AC413" s="42" t="s">
        <v>45</v>
      </c>
      <c r="AD413" s="42" t="s">
        <v>45</v>
      </c>
      <c r="AE413" s="42" t="s">
        <v>45</v>
      </c>
      <c r="AF413" s="42" t="s">
        <v>45</v>
      </c>
      <c r="AG413" s="42" t="s">
        <v>45</v>
      </c>
      <c r="AH413" s="42" t="s">
        <v>45</v>
      </c>
      <c r="AI413" s="42" t="s">
        <v>45</v>
      </c>
      <c r="AJ413" s="42" t="s">
        <v>45</v>
      </c>
      <c r="AK413" s="42" t="s">
        <v>45</v>
      </c>
      <c r="AL413" s="42" t="s">
        <v>45</v>
      </c>
      <c r="AM413" s="42" t="s">
        <v>45</v>
      </c>
      <c r="AN413" s="42" t="s">
        <v>45</v>
      </c>
      <c r="AO413" s="43" t="s">
        <v>45</v>
      </c>
      <c r="AP413" s="42" t="s">
        <v>65</v>
      </c>
      <c r="AQ413" s="42">
        <v>4</v>
      </c>
      <c r="AR413" s="50" t="s">
        <v>14</v>
      </c>
      <c r="AS413" s="45" t="s">
        <v>718</v>
      </c>
      <c r="AT413" s="45" t="s">
        <v>47</v>
      </c>
      <c r="AU413" s="46">
        <f>($O$3*(L413-$O$1)/$O$2+$P$3*(M413-$P$1)/$P$2+$Q$3*(N413-$P$1)/$Q$2)/SUM($O$3:$Q$3)</f>
        <v>-2.7014842379675978</v>
      </c>
      <c r="AV413" s="46">
        <f>($O$3*(O413-$O$1)/$O$2+$P$3*(P413-$P$1)/$P$2+$Q$3*(Q413-$Q$1)/$Q$2)/SUM($O$3:$Q$3)</f>
        <v>-1.4295949476488956</v>
      </c>
      <c r="AW413" s="47">
        <f>COUNT(R413:AO413)/2</f>
        <v>3</v>
      </c>
      <c r="AX413" s="47">
        <f>IF(AND(S413&lt;&gt;"-",S413&gt;5),1,0)+IF(AND(U413&lt;&gt;"-",U413&gt;5),1,0)+IF(AND(W413&lt;&gt;"-",W413&gt;5),1,0)+IF(AND(Y413&lt;&gt;"-",Y413&gt;5),1,0)+IF(AND(AA413&lt;&gt;"-",AA413&gt;5),1,0)+IF(AND(AC413&lt;&gt;"-",AC413&gt;5),1,0)+IF(AND(AE413&lt;&gt;"-",AE413&gt;5),1,0)+IF(AND(AG413&lt;&gt;"-",AG413&gt;5),1,0)+IF(AND(AI413&lt;&gt;"-",AI413&gt;5),1,0)+IF(AND(AK413&lt;&gt;"-",AK413&gt;5),1,0)+IF(AND(AM413&lt;&gt;"-",AM413&gt;5),1,0)+IF(AND(AO413&lt;&gt;"-",AO413&gt;5),1,0)</f>
        <v>1</v>
      </c>
      <c r="AY413" s="48">
        <f>VLOOKUP(AP413,COND!$A$10:$B$32,2,FALSE)</f>
        <v>0.95</v>
      </c>
      <c r="AZ413" s="46">
        <f>($AU$3*AU413+$AV$3*AV413+$AW$3*AW413+$AX$3*AX413)*AY413*IF(AQ413&lt;5,0.95,IF(AQ413&lt;7,0.975,1))+$I$3*VLOOKUP(I413,COND!$A$2:$E$7,4,FALSE)+$J$3*VLOOKUP(J413,COND!$A$2:$E$7,2,FALSE)+$K$3*VLOOKUP(K413,COND!$A$2:$E$7,3,FALSE)+IF(BB413="SP",$BB$3,0)+IF($AW413&lt;3,-5,0)+IF(AND($B$2&gt;0,$E413&lt;20),$B$2*25,0)</f>
        <v>25.890068289984281</v>
      </c>
      <c r="BA413" s="49">
        <f>STANDARDIZE(AZ413,AVERAGE($AZ$5:$AZ$570),STDEVP($AZ$5:$AZ$570))</f>
        <v>-0.62654034248786883</v>
      </c>
      <c r="BB413" s="47" t="str">
        <f>IF(OR(AND(AQ413&gt;7,AX413&gt;1),AND(AQ413&gt;4,AW413&gt;2)),"SP","RP")</f>
        <v>RP</v>
      </c>
      <c r="BC413" s="47"/>
      <c r="BD413" s="47"/>
      <c r="BE413" s="47"/>
      <c r="BF413" s="47" t="str">
        <f>IF(AVERAGE($O413:$Q413)&gt;=6,"Likely",IF(AVERAGE($O413:$Q413)&gt;=4,"Possible","Unlikely"))</f>
        <v>Unlikely</v>
      </c>
      <c r="BG413" s="47"/>
      <c r="BH413" s="47" t="str">
        <f>INDEX(Table5[[#All],[Ovr]],MATCH(Table3[[#This Row],[PID]],Table5[[#All],[PID]],0))</f>
        <v/>
      </c>
      <c r="BI413" s="47" t="str">
        <f>INDEX(Table5[[#All],[Rnd]],MATCH(Table3[[#This Row],[PID]],Table5[[#All],[PID]],0))</f>
        <v/>
      </c>
      <c r="BJ413" s="47" t="str">
        <f>INDEX(Table5[[#All],[Pick]],MATCH(Table3[[#This Row],[PID]],Table5[[#All],[PID]],0))</f>
        <v/>
      </c>
      <c r="BK413" s="47" t="str">
        <f>INDEX(Table5[[#All],[Team]],MATCH(Table3[[#This Row],[PID]],Table5[[#All],[PID]],0))</f>
        <v/>
      </c>
      <c r="BL4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4" spans="1:64" ht="15" customHeight="1" x14ac:dyDescent="0.25">
      <c r="A414" s="42">
        <v>8666</v>
      </c>
      <c r="B414" s="42" t="s">
        <v>430</v>
      </c>
      <c r="C414" s="42" t="s">
        <v>146</v>
      </c>
      <c r="D414" s="42" t="s">
        <v>800</v>
      </c>
      <c r="E414" s="42">
        <v>18</v>
      </c>
      <c r="F414" s="42" t="s">
        <v>62</v>
      </c>
      <c r="G414" s="42" t="s">
        <v>53</v>
      </c>
      <c r="H414" s="43" t="s">
        <v>721</v>
      </c>
      <c r="I414" s="44" t="s">
        <v>44</v>
      </c>
      <c r="J414" s="42" t="s">
        <v>44</v>
      </c>
      <c r="K414" s="43" t="s">
        <v>43</v>
      </c>
      <c r="L414" s="42">
        <v>1</v>
      </c>
      <c r="M414" s="42">
        <v>1</v>
      </c>
      <c r="N414" s="43">
        <v>1</v>
      </c>
      <c r="O414" s="42">
        <v>2</v>
      </c>
      <c r="P414" s="42">
        <v>2</v>
      </c>
      <c r="Q414" s="43">
        <v>3</v>
      </c>
      <c r="R414" s="42">
        <v>1</v>
      </c>
      <c r="S414" s="42">
        <v>3</v>
      </c>
      <c r="T414" s="42">
        <v>1</v>
      </c>
      <c r="U414" s="42">
        <v>1</v>
      </c>
      <c r="V414" s="42">
        <v>1</v>
      </c>
      <c r="W414" s="42">
        <v>5</v>
      </c>
      <c r="X414" s="42" t="s">
        <v>45</v>
      </c>
      <c r="Y414" s="42" t="s">
        <v>45</v>
      </c>
      <c r="Z414" s="42" t="s">
        <v>45</v>
      </c>
      <c r="AA414" s="42" t="s">
        <v>45</v>
      </c>
      <c r="AB414" s="42" t="s">
        <v>45</v>
      </c>
      <c r="AC414" s="42" t="s">
        <v>45</v>
      </c>
      <c r="AD414" s="42" t="s">
        <v>45</v>
      </c>
      <c r="AE414" s="42" t="s">
        <v>45</v>
      </c>
      <c r="AF414" s="42" t="s">
        <v>45</v>
      </c>
      <c r="AG414" s="42" t="s">
        <v>45</v>
      </c>
      <c r="AH414" s="42" t="s">
        <v>45</v>
      </c>
      <c r="AI414" s="42" t="s">
        <v>45</v>
      </c>
      <c r="AJ414" s="42" t="s">
        <v>45</v>
      </c>
      <c r="AK414" s="42" t="s">
        <v>45</v>
      </c>
      <c r="AL414" s="42" t="s">
        <v>45</v>
      </c>
      <c r="AM414" s="42" t="s">
        <v>45</v>
      </c>
      <c r="AN414" s="42" t="s">
        <v>45</v>
      </c>
      <c r="AO414" s="43" t="s">
        <v>45</v>
      </c>
      <c r="AP414" s="42" t="s">
        <v>70</v>
      </c>
      <c r="AQ414" s="42">
        <v>3</v>
      </c>
      <c r="AR414" s="50" t="s">
        <v>353</v>
      </c>
      <c r="AS414" s="45" t="s">
        <v>718</v>
      </c>
      <c r="AT414" s="45" t="s">
        <v>705</v>
      </c>
      <c r="AU414" s="46">
        <f>($O$3*(L414-$O$1)/$O$2+$P$3*(M414-$P$1)/$P$2+$Q$3*(N414-$P$1)/$Q$2)/SUM($O$3:$Q$3)</f>
        <v>-2.7014842379675978</v>
      </c>
      <c r="AV414" s="46">
        <f>($O$3*(O414-$O$1)/$O$2+$P$3*(P414-$P$1)/$P$2+$Q$3*(Q414-$Q$1)/$Q$2)/SUM($O$3:$Q$3)</f>
        <v>-1.3812253141830766</v>
      </c>
      <c r="AW414" s="47">
        <f>COUNT(R414:AO414)/2</f>
        <v>3</v>
      </c>
      <c r="AX414" s="47">
        <f>IF(AND(S414&lt;&gt;"-",S414&gt;5),1,0)+IF(AND(U414&lt;&gt;"-",U414&gt;5),1,0)+IF(AND(W414&lt;&gt;"-",W414&gt;5),1,0)+IF(AND(Y414&lt;&gt;"-",Y414&gt;5),1,0)+IF(AND(AA414&lt;&gt;"-",AA414&gt;5),1,0)+IF(AND(AC414&lt;&gt;"-",AC414&gt;5),1,0)+IF(AND(AE414&lt;&gt;"-",AE414&gt;5),1,0)+IF(AND(AG414&lt;&gt;"-",AG414&gt;5),1,0)+IF(AND(AI414&lt;&gt;"-",AI414&gt;5),1,0)+IF(AND(AK414&lt;&gt;"-",AK414&gt;5),1,0)+IF(AND(AM414&lt;&gt;"-",AM414&gt;5),1,0)+IF(AND(AO414&lt;&gt;"-",AO414&gt;5),1,0)</f>
        <v>0</v>
      </c>
      <c r="AY414" s="48">
        <f>VLOOKUP(AP414,COND!$A$10:$B$32,2,FALSE)</f>
        <v>0.9</v>
      </c>
      <c r="AZ414" s="46">
        <f>($AU$3*AU414+$AV$3*AV414+$AW$3*AW414+$AX$3*AX414)*AY414*IF(AQ414&lt;5,0.95,IF(AQ414&lt;7,0.975,1))+$I$3*VLOOKUP(I414,COND!$A$2:$E$7,4,FALSE)+$J$3*VLOOKUP(J414,COND!$A$2:$E$7,2,FALSE)+$K$3*VLOOKUP(K414,COND!$A$2:$E$7,3,FALSE)+IF(BB414="SP",$BB$3,0)+IF($AW414&lt;3,-5,0)+IF(AND($B$2&gt;0,$E414&lt;20),$B$2*25,0)</f>
        <v>26.751593322776927</v>
      </c>
      <c r="BA414" s="49">
        <f>STANDARDIZE(AZ414,AVERAGE($AZ$5:$AZ$676),STDEVP($AZ$5:$AZ$676))</f>
        <v>-0.3193390926545579</v>
      </c>
      <c r="BB414" s="47" t="str">
        <f>IF(OR(AND(AQ414&gt;7,AX414&gt;1),AND(AQ414&gt;4,AW414&gt;2)),"SP","RP")</f>
        <v>RP</v>
      </c>
      <c r="BC414" s="47"/>
      <c r="BD414" s="47"/>
      <c r="BE414" s="47"/>
      <c r="BF414" s="47" t="str">
        <f>IF(AVERAGE($O414:$Q414)&gt;=6,"Likely",IF(AVERAGE($O414:$Q414)&gt;=4,"Possible","Unlikely"))</f>
        <v>Unlikely</v>
      </c>
      <c r="BG414" s="47"/>
      <c r="BH414" s="47" t="str">
        <f>INDEX(Table5[[#All],[Ovr]],MATCH(Table3[[#This Row],[PID]],Table5[[#All],[PID]],0))</f>
        <v/>
      </c>
      <c r="BI414" s="47" t="str">
        <f>INDEX(Table5[[#All],[Rnd]],MATCH(Table3[[#This Row],[PID]],Table5[[#All],[PID]],0))</f>
        <v/>
      </c>
      <c r="BJ414" s="47" t="str">
        <f>INDEX(Table5[[#All],[Pick]],MATCH(Table3[[#This Row],[PID]],Table5[[#All],[PID]],0))</f>
        <v/>
      </c>
      <c r="BK414" s="47" t="str">
        <f>INDEX(Table5[[#All],[Team]],MATCH(Table3[[#This Row],[PID]],Table5[[#All],[PID]],0))</f>
        <v/>
      </c>
      <c r="BL4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5" spans="1:64" ht="15" customHeight="1" x14ac:dyDescent="0.25">
      <c r="A415" s="42">
        <v>7658</v>
      </c>
      <c r="B415" s="42" t="s">
        <v>430</v>
      </c>
      <c r="C415" s="42" t="s">
        <v>570</v>
      </c>
      <c r="D415" s="42" t="s">
        <v>1156</v>
      </c>
      <c r="E415" s="42">
        <v>21</v>
      </c>
      <c r="F415" s="42" t="s">
        <v>53</v>
      </c>
      <c r="G415" s="42" t="s">
        <v>53</v>
      </c>
      <c r="H415" s="43" t="s">
        <v>721</v>
      </c>
      <c r="I415" s="44" t="s">
        <v>43</v>
      </c>
      <c r="J415" s="42" t="s">
        <v>44</v>
      </c>
      <c r="K415" s="43" t="s">
        <v>43</v>
      </c>
      <c r="L415" s="42">
        <v>1</v>
      </c>
      <c r="M415" s="42">
        <v>1</v>
      </c>
      <c r="N415" s="43">
        <v>1</v>
      </c>
      <c r="O415" s="42">
        <v>5</v>
      </c>
      <c r="P415" s="42">
        <v>1</v>
      </c>
      <c r="Q415" s="43">
        <v>2</v>
      </c>
      <c r="R415" s="42">
        <v>2</v>
      </c>
      <c r="S415" s="42">
        <v>4</v>
      </c>
      <c r="T415" s="42">
        <v>2</v>
      </c>
      <c r="U415" s="42">
        <v>7</v>
      </c>
      <c r="V415" s="42">
        <v>2</v>
      </c>
      <c r="W415" s="42">
        <v>5</v>
      </c>
      <c r="X415" s="42" t="s">
        <v>45</v>
      </c>
      <c r="Y415" s="42" t="s">
        <v>45</v>
      </c>
      <c r="Z415" s="42" t="s">
        <v>45</v>
      </c>
      <c r="AA415" s="42" t="s">
        <v>45</v>
      </c>
      <c r="AB415" s="42" t="s">
        <v>45</v>
      </c>
      <c r="AC415" s="42" t="s">
        <v>45</v>
      </c>
      <c r="AD415" s="42" t="s">
        <v>45</v>
      </c>
      <c r="AE415" s="42" t="s">
        <v>45</v>
      </c>
      <c r="AF415" s="42" t="s">
        <v>45</v>
      </c>
      <c r="AG415" s="42" t="s">
        <v>45</v>
      </c>
      <c r="AH415" s="42" t="s">
        <v>45</v>
      </c>
      <c r="AI415" s="42" t="s">
        <v>45</v>
      </c>
      <c r="AJ415" s="42" t="s">
        <v>45</v>
      </c>
      <c r="AK415" s="42" t="s">
        <v>45</v>
      </c>
      <c r="AL415" s="42" t="s">
        <v>45</v>
      </c>
      <c r="AM415" s="42" t="s">
        <v>45</v>
      </c>
      <c r="AN415" s="42" t="s">
        <v>45</v>
      </c>
      <c r="AO415" s="43" t="s">
        <v>45</v>
      </c>
      <c r="AP415" s="42" t="s">
        <v>65</v>
      </c>
      <c r="AQ415" s="42">
        <v>6</v>
      </c>
      <c r="AR415" s="50" t="s">
        <v>357</v>
      </c>
      <c r="AS415" s="45" t="s">
        <v>45</v>
      </c>
      <c r="AT415" s="45" t="s">
        <v>47</v>
      </c>
      <c r="AU415" s="46">
        <f>($O$3*(L415-$O$1)/$O$2+$P$3*(M415-$P$1)/$P$2+$Q$3*(N415-$P$1)/$Q$2)/SUM($O$3:$Q$3)</f>
        <v>-2.7014842379675978</v>
      </c>
      <c r="AV415" s="46">
        <f>($O$3*(O415-$O$1)/$O$2+$P$3*(P415-$P$1)/$P$2+$Q$3*(Q415-$Q$1)/$Q$2)/SUM($O$3:$Q$3)</f>
        <v>-1.2349036231397219</v>
      </c>
      <c r="AW415" s="47">
        <f>COUNT(R415:AO415)/2</f>
        <v>3</v>
      </c>
      <c r="AX415" s="47">
        <f>IF(AND(S415&lt;&gt;"-",S415&gt;5),1,0)+IF(AND(U415&lt;&gt;"-",U415&gt;5),1,0)+IF(AND(W415&lt;&gt;"-",W415&gt;5),1,0)+IF(AND(Y415&lt;&gt;"-",Y415&gt;5),1,0)+IF(AND(AA415&lt;&gt;"-",AA415&gt;5),1,0)+IF(AND(AC415&lt;&gt;"-",AC415&gt;5),1,0)+IF(AND(AE415&lt;&gt;"-",AE415&gt;5),1,0)+IF(AND(AG415&lt;&gt;"-",AG415&gt;5),1,0)+IF(AND(AI415&lt;&gt;"-",AI415&gt;5),1,0)+IF(AND(AK415&lt;&gt;"-",AK415&gt;5),1,0)+IF(AND(AM415&lt;&gt;"-",AM415&gt;5),1,0)+IF(AND(AO415&lt;&gt;"-",AO415&gt;5),1,0)</f>
        <v>1</v>
      </c>
      <c r="AY415" s="48">
        <f>VLOOKUP(AP415,COND!$A$10:$B$32,2,FALSE)</f>
        <v>0.95</v>
      </c>
      <c r="AZ415" s="46">
        <f>($AU$3*AU415+$AV$3*AV415+$AW$3*AW415+$AX$3*AX415)*AY415*IF(AQ415&lt;5,0.95,IF(AQ415&lt;7,0.975,1))+$I$3*VLOOKUP(I415,COND!$A$2:$E$7,4,FALSE)+$J$3*VLOOKUP(J415,COND!$A$2:$E$7,2,FALSE)+$K$3*VLOOKUP(K415,COND!$A$2:$E$7,3,FALSE)+IF(BB415="SP",$BB$3,0)+IF($AW415&lt;3,-5,0)+IF(AND($B$2&gt;0,$E415&lt;20),$B$2*25,0)</f>
        <v>25.870147926253154</v>
      </c>
      <c r="BA415" s="49">
        <f>STANDARDIZE(AZ415,AVERAGE($AZ$5:$AZ$570),STDEVP($AZ$5:$AZ$570))</f>
        <v>-0.62836712498343728</v>
      </c>
      <c r="BB415" s="47" t="str">
        <f>IF(OR(AND(AQ415&gt;7,AX415&gt;1),AND(AQ415&gt;4,AW415&gt;2)),"SP","RP")</f>
        <v>SP</v>
      </c>
      <c r="BC415" s="47"/>
      <c r="BD415" s="47"/>
      <c r="BE415" s="47"/>
      <c r="BF415" s="47" t="str">
        <f>IF(AVERAGE($O415:$Q415)&gt;=6,"Likely",IF(AVERAGE($O415:$Q415)&gt;=4,"Possible","Unlikely"))</f>
        <v>Unlikely</v>
      </c>
      <c r="BG415" s="47"/>
      <c r="BH415" s="47" t="str">
        <f>INDEX(Table5[[#All],[Ovr]],MATCH(Table3[[#This Row],[PID]],Table5[[#All],[PID]],0))</f>
        <v/>
      </c>
      <c r="BI415" s="47" t="str">
        <f>INDEX(Table5[[#All],[Rnd]],MATCH(Table3[[#This Row],[PID]],Table5[[#All],[PID]],0))</f>
        <v/>
      </c>
      <c r="BJ415" s="47" t="str">
        <f>INDEX(Table5[[#All],[Pick]],MATCH(Table3[[#This Row],[PID]],Table5[[#All],[PID]],0))</f>
        <v/>
      </c>
      <c r="BK415" s="47" t="str">
        <f>INDEX(Table5[[#All],[Team]],MATCH(Table3[[#This Row],[PID]],Table5[[#All],[PID]],0))</f>
        <v/>
      </c>
      <c r="BL4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6" spans="1:64" ht="15" customHeight="1" x14ac:dyDescent="0.25">
      <c r="A416" s="42">
        <v>5531</v>
      </c>
      <c r="B416" s="42" t="s">
        <v>430</v>
      </c>
      <c r="C416" s="42" t="s">
        <v>325</v>
      </c>
      <c r="D416" s="42" t="s">
        <v>716</v>
      </c>
      <c r="E416" s="42">
        <v>22</v>
      </c>
      <c r="F416" s="42" t="s">
        <v>42</v>
      </c>
      <c r="G416" s="42" t="s">
        <v>42</v>
      </c>
      <c r="H416" s="43" t="s">
        <v>721</v>
      </c>
      <c r="I416" s="44" t="s">
        <v>43</v>
      </c>
      <c r="J416" s="42" t="s">
        <v>43</v>
      </c>
      <c r="K416" s="43" t="s">
        <v>43</v>
      </c>
      <c r="L416" s="42">
        <v>2</v>
      </c>
      <c r="M416" s="42">
        <v>2</v>
      </c>
      <c r="N416" s="43">
        <v>1</v>
      </c>
      <c r="O416" s="42">
        <v>4</v>
      </c>
      <c r="P416" s="42">
        <v>2</v>
      </c>
      <c r="Q416" s="43">
        <v>2</v>
      </c>
      <c r="R416" s="42">
        <v>4</v>
      </c>
      <c r="S416" s="42">
        <v>5</v>
      </c>
      <c r="T416" s="42">
        <v>2</v>
      </c>
      <c r="U416" s="42">
        <v>5</v>
      </c>
      <c r="V416" s="42" t="s">
        <v>45</v>
      </c>
      <c r="W416" s="42" t="s">
        <v>45</v>
      </c>
      <c r="X416" s="42">
        <v>3</v>
      </c>
      <c r="Y416" s="42">
        <v>6</v>
      </c>
      <c r="Z416" s="42" t="s">
        <v>45</v>
      </c>
      <c r="AA416" s="42" t="s">
        <v>45</v>
      </c>
      <c r="AB416" s="42" t="s">
        <v>45</v>
      </c>
      <c r="AC416" s="42" t="s">
        <v>45</v>
      </c>
      <c r="AD416" s="42" t="s">
        <v>45</v>
      </c>
      <c r="AE416" s="42" t="s">
        <v>45</v>
      </c>
      <c r="AF416" s="42" t="s">
        <v>45</v>
      </c>
      <c r="AG416" s="42" t="s">
        <v>45</v>
      </c>
      <c r="AH416" s="42" t="s">
        <v>45</v>
      </c>
      <c r="AI416" s="42" t="s">
        <v>45</v>
      </c>
      <c r="AJ416" s="42" t="s">
        <v>45</v>
      </c>
      <c r="AK416" s="42" t="s">
        <v>45</v>
      </c>
      <c r="AL416" s="42" t="s">
        <v>45</v>
      </c>
      <c r="AM416" s="42" t="s">
        <v>45</v>
      </c>
      <c r="AN416" s="42" t="s">
        <v>45</v>
      </c>
      <c r="AO416" s="43" t="s">
        <v>45</v>
      </c>
      <c r="AP416" s="42" t="s">
        <v>57</v>
      </c>
      <c r="AQ416" s="42">
        <v>5</v>
      </c>
      <c r="AR416" s="50" t="s">
        <v>353</v>
      </c>
      <c r="AS416" s="45" t="s">
        <v>45</v>
      </c>
      <c r="AT416" s="45" t="s">
        <v>47</v>
      </c>
      <c r="AU416" s="46">
        <f>($O$3*(L416-$O$1)/$O$2+$P$3*(M416-$P$1)/$P$2+$Q$3*(N416-$P$1)/$Q$2)/SUM($O$3:$Q$3)</f>
        <v>-2.311361197028369</v>
      </c>
      <c r="AV416" s="46">
        <f>($O$3*(O416-$O$1)/$O$2+$P$3*(P416-$P$1)/$P$2+$Q$3*(Q416-$Q$1)/$Q$2)/SUM($O$3:$Q$3)</f>
        <v>-1.23416323121884</v>
      </c>
      <c r="AW416" s="47">
        <f>COUNT(R416:AO416)/2</f>
        <v>3</v>
      </c>
      <c r="AX416" s="47">
        <f>IF(AND(S416&lt;&gt;"-",S416&gt;5),1,0)+IF(AND(U416&lt;&gt;"-",U416&gt;5),1,0)+IF(AND(W416&lt;&gt;"-",W416&gt;5),1,0)+IF(AND(Y416&lt;&gt;"-",Y416&gt;5),1,0)+IF(AND(AA416&lt;&gt;"-",AA416&gt;5),1,0)+IF(AND(AC416&lt;&gt;"-",AC416&gt;5),1,0)+IF(AND(AE416&lt;&gt;"-",AE416&gt;5),1,0)+IF(AND(AG416&lt;&gt;"-",AG416&gt;5),1,0)+IF(AND(AI416&lt;&gt;"-",AI416&gt;5),1,0)+IF(AND(AK416&lt;&gt;"-",AK416&gt;5),1,0)+IF(AND(AM416&lt;&gt;"-",AM416&gt;5),1,0)+IF(AND(AO416&lt;&gt;"-",AO416&gt;5),1,0)</f>
        <v>1</v>
      </c>
      <c r="AY416" s="48">
        <f>VLOOKUP(AP416,COND!$A$10:$B$32,2,FALSE)</f>
        <v>1</v>
      </c>
      <c r="AZ416" s="46">
        <f>($AU$3*AU416+$AV$3*AV416+$AW$3*AW416+$AX$3*AX416)*AY416*IF(AQ416&lt;5,0.95,IF(AQ416&lt;7,0.975,1))+$I$3*VLOOKUP(I416,COND!$A$2:$E$7,4,FALSE)+$J$3*VLOOKUP(J416,COND!$A$2:$E$7,2,FALSE)+$K$3*VLOOKUP(K416,COND!$A$2:$E$7,3,FALSE)+IF(BB416="SP",$BB$3,0)+IF($AW416&lt;3,-5,0)+IF(AND($B$2&gt;0,$E416&lt;20),$B$2*25,0)</f>
        <v>25.164351557812086</v>
      </c>
      <c r="BA416" s="49">
        <f>STANDARDIZE(AZ416,AVERAGE($AZ$5:$AZ$570),STDEVP($AZ$5:$AZ$570))</f>
        <v>-0.69309166860656268</v>
      </c>
      <c r="BB416" s="47" t="str">
        <f>IF(OR(AND(AQ416&gt;7,AX416&gt;1),AND(AQ416&gt;4,AW416&gt;2)),"SP","RP")</f>
        <v>SP</v>
      </c>
      <c r="BC416" s="47"/>
      <c r="BD416" s="47"/>
      <c r="BE416" s="47"/>
      <c r="BF416" s="47" t="str">
        <f>IF(AVERAGE($O416:$Q416)&gt;=6,"Likely",IF(AVERAGE($O416:$Q416)&gt;=4,"Possible","Unlikely"))</f>
        <v>Unlikely</v>
      </c>
      <c r="BG416" s="47"/>
      <c r="BH416" s="47" t="str">
        <f>INDEX(Table5[[#All],[Ovr]],MATCH(Table3[[#This Row],[PID]],Table5[[#All],[PID]],0))</f>
        <v/>
      </c>
      <c r="BI416" s="47" t="str">
        <f>INDEX(Table5[[#All],[Rnd]],MATCH(Table3[[#This Row],[PID]],Table5[[#All],[PID]],0))</f>
        <v/>
      </c>
      <c r="BJ416" s="47" t="str">
        <f>INDEX(Table5[[#All],[Pick]],MATCH(Table3[[#This Row],[PID]],Table5[[#All],[PID]],0))</f>
        <v/>
      </c>
      <c r="BK416" s="47" t="str">
        <f>INDEX(Table5[[#All],[Team]],MATCH(Table3[[#This Row],[PID]],Table5[[#All],[PID]],0))</f>
        <v/>
      </c>
      <c r="BL4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7" spans="1:64" ht="15" customHeight="1" x14ac:dyDescent="0.25">
      <c r="A417" s="42">
        <v>9389</v>
      </c>
      <c r="B417" s="42" t="s">
        <v>430</v>
      </c>
      <c r="C417" s="42" t="s">
        <v>841</v>
      </c>
      <c r="D417" s="42" t="s">
        <v>1103</v>
      </c>
      <c r="E417" s="42">
        <v>21</v>
      </c>
      <c r="F417" s="42" t="s">
        <v>53</v>
      </c>
      <c r="G417" s="42" t="s">
        <v>53</v>
      </c>
      <c r="H417" s="43" t="s">
        <v>721</v>
      </c>
      <c r="I417" s="44" t="s">
        <v>43</v>
      </c>
      <c r="J417" s="42" t="s">
        <v>44</v>
      </c>
      <c r="K417" s="43" t="s">
        <v>47</v>
      </c>
      <c r="L417" s="42">
        <v>2</v>
      </c>
      <c r="M417" s="42">
        <v>2</v>
      </c>
      <c r="N417" s="43">
        <v>1</v>
      </c>
      <c r="O417" s="42">
        <v>4</v>
      </c>
      <c r="P417" s="42">
        <v>2</v>
      </c>
      <c r="Q417" s="43">
        <v>2</v>
      </c>
      <c r="R417" s="42">
        <v>4</v>
      </c>
      <c r="S417" s="42">
        <v>5</v>
      </c>
      <c r="T417" s="42">
        <v>1</v>
      </c>
      <c r="U417" s="42">
        <v>1</v>
      </c>
      <c r="V417" s="42">
        <v>3</v>
      </c>
      <c r="W417" s="42">
        <v>6</v>
      </c>
      <c r="X417" s="42" t="s">
        <v>45</v>
      </c>
      <c r="Y417" s="42" t="s">
        <v>45</v>
      </c>
      <c r="Z417" s="42" t="s">
        <v>45</v>
      </c>
      <c r="AA417" s="42" t="s">
        <v>45</v>
      </c>
      <c r="AB417" s="42" t="s">
        <v>45</v>
      </c>
      <c r="AC417" s="42" t="s">
        <v>45</v>
      </c>
      <c r="AD417" s="42" t="s">
        <v>45</v>
      </c>
      <c r="AE417" s="42" t="s">
        <v>45</v>
      </c>
      <c r="AF417" s="42" t="s">
        <v>45</v>
      </c>
      <c r="AG417" s="42" t="s">
        <v>45</v>
      </c>
      <c r="AH417" s="42" t="s">
        <v>45</v>
      </c>
      <c r="AI417" s="42" t="s">
        <v>45</v>
      </c>
      <c r="AJ417" s="42" t="s">
        <v>45</v>
      </c>
      <c r="AK417" s="42" t="s">
        <v>45</v>
      </c>
      <c r="AL417" s="42" t="s">
        <v>45</v>
      </c>
      <c r="AM417" s="42" t="s">
        <v>45</v>
      </c>
      <c r="AN417" s="42" t="s">
        <v>45</v>
      </c>
      <c r="AO417" s="43" t="s">
        <v>45</v>
      </c>
      <c r="AP417" s="42" t="s">
        <v>64</v>
      </c>
      <c r="AQ417" s="42">
        <v>6</v>
      </c>
      <c r="AR417" s="50" t="s">
        <v>14</v>
      </c>
      <c r="AS417" s="45" t="s">
        <v>45</v>
      </c>
      <c r="AT417" s="45" t="s">
        <v>47</v>
      </c>
      <c r="AU417" s="46">
        <f>($O$3*(L417-$O$1)/$O$2+$P$3*(M417-$P$1)/$P$2+$Q$3*(N417-$P$1)/$Q$2)/SUM($O$3:$Q$3)</f>
        <v>-2.311361197028369</v>
      </c>
      <c r="AV417" s="46">
        <f>($O$3*(O417-$O$1)/$O$2+$P$3*(P417-$P$1)/$P$2+$Q$3*(Q417-$Q$1)/$Q$2)/SUM($O$3:$Q$3)</f>
        <v>-1.23416323121884</v>
      </c>
      <c r="AW417" s="47">
        <f>COUNT(R417:AO417)/2</f>
        <v>3</v>
      </c>
      <c r="AX417" s="47">
        <f>IF(AND(S417&lt;&gt;"-",S417&gt;5),1,0)+IF(AND(U417&lt;&gt;"-",U417&gt;5),1,0)+IF(AND(W417&lt;&gt;"-",W417&gt;5),1,0)+IF(AND(Y417&lt;&gt;"-",Y417&gt;5),1,0)+IF(AND(AA417&lt;&gt;"-",AA417&gt;5),1,0)+IF(AND(AC417&lt;&gt;"-",AC417&gt;5),1,0)+IF(AND(AE417&lt;&gt;"-",AE417&gt;5),1,0)+IF(AND(AG417&lt;&gt;"-",AG417&gt;5),1,0)+IF(AND(AI417&lt;&gt;"-",AI417&gt;5),1,0)+IF(AND(AK417&lt;&gt;"-",AK417&gt;5),1,0)+IF(AND(AM417&lt;&gt;"-",AM417&gt;5),1,0)+IF(AND(AO417&lt;&gt;"-",AO417&gt;5),1,0)</f>
        <v>1</v>
      </c>
      <c r="AY417" s="48">
        <f>VLOOKUP(AP417,COND!$A$10:$B$32,2,FALSE)</f>
        <v>1</v>
      </c>
      <c r="AZ417" s="46">
        <f>($AU$3*AU417+$AV$3*AV417+$AW$3*AW417+$AX$3*AX417)*AY417*IF(AQ417&lt;5,0.95,IF(AQ417&lt;7,0.975,1))+$I$3*VLOOKUP(I417,COND!$A$2:$E$7,4,FALSE)+$J$3*VLOOKUP(J417,COND!$A$2:$E$7,2,FALSE)+$K$3*VLOOKUP(K417,COND!$A$2:$E$7,3,FALSE)+IF(BB417="SP",$BB$3,0)+IF($AW417&lt;3,-5,0)+IF(AND($B$2&gt;0,$E417&lt;20),$B$2*25,0)</f>
        <v>25.164351557812086</v>
      </c>
      <c r="BA417" s="49">
        <f>STANDARDIZE(AZ417,AVERAGE($AZ$5:$AZ$570),STDEVP($AZ$5:$AZ$570))</f>
        <v>-0.69309166860656268</v>
      </c>
      <c r="BB417" s="47" t="str">
        <f>IF(OR(AND(AQ417&gt;7,AX417&gt;1),AND(AQ417&gt;4,AW417&gt;2)),"SP","RP")</f>
        <v>SP</v>
      </c>
      <c r="BC417" s="47"/>
      <c r="BD417" s="47"/>
      <c r="BE417" s="47"/>
      <c r="BF417" s="47" t="str">
        <f>IF(AVERAGE($O417:$Q417)&gt;=6,"Likely",IF(AVERAGE($O417:$Q417)&gt;=4,"Possible","Unlikely"))</f>
        <v>Unlikely</v>
      </c>
      <c r="BG417" s="47"/>
      <c r="BH417" s="47" t="str">
        <f>INDEX(Table5[[#All],[Ovr]],MATCH(Table3[[#This Row],[PID]],Table5[[#All],[PID]],0))</f>
        <v/>
      </c>
      <c r="BI417" s="47" t="str">
        <f>INDEX(Table5[[#All],[Rnd]],MATCH(Table3[[#This Row],[PID]],Table5[[#All],[PID]],0))</f>
        <v/>
      </c>
      <c r="BJ417" s="47" t="str">
        <f>INDEX(Table5[[#All],[Pick]],MATCH(Table3[[#This Row],[PID]],Table5[[#All],[PID]],0))</f>
        <v/>
      </c>
      <c r="BK417" s="47" t="str">
        <f>INDEX(Table5[[#All],[Team]],MATCH(Table3[[#This Row],[PID]],Table5[[#All],[PID]],0))</f>
        <v/>
      </c>
      <c r="BL4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8" spans="1:64" ht="15" customHeight="1" x14ac:dyDescent="0.25">
      <c r="A418" s="42">
        <v>17942</v>
      </c>
      <c r="B418" s="42" t="s">
        <v>24</v>
      </c>
      <c r="C418" s="42" t="s">
        <v>156</v>
      </c>
      <c r="D418" s="42" t="s">
        <v>1581</v>
      </c>
      <c r="E418" s="42">
        <v>18</v>
      </c>
      <c r="F418" s="42" t="s">
        <v>42</v>
      </c>
      <c r="G418" s="42" t="s">
        <v>53</v>
      </c>
      <c r="H418" s="43" t="s">
        <v>721</v>
      </c>
      <c r="I418" s="44" t="s">
        <v>47</v>
      </c>
      <c r="J418" s="42" t="s">
        <v>43</v>
      </c>
      <c r="K418" s="43" t="s">
        <v>43</v>
      </c>
      <c r="L418" s="42">
        <v>1</v>
      </c>
      <c r="M418" s="42">
        <v>1</v>
      </c>
      <c r="N418" s="43">
        <v>1</v>
      </c>
      <c r="O418" s="42">
        <v>4</v>
      </c>
      <c r="P418" s="42">
        <v>1</v>
      </c>
      <c r="Q418" s="43">
        <v>2</v>
      </c>
      <c r="R418" s="42">
        <v>3</v>
      </c>
      <c r="S418" s="42">
        <v>5</v>
      </c>
      <c r="T418" s="42" t="s">
        <v>45</v>
      </c>
      <c r="U418" s="42" t="s">
        <v>45</v>
      </c>
      <c r="V418" s="42">
        <v>2</v>
      </c>
      <c r="W418" s="42">
        <v>6</v>
      </c>
      <c r="X418" s="42">
        <v>2</v>
      </c>
      <c r="Y418" s="42">
        <v>5</v>
      </c>
      <c r="Z418" s="42" t="s">
        <v>45</v>
      </c>
      <c r="AA418" s="42" t="s">
        <v>45</v>
      </c>
      <c r="AB418" s="42" t="s">
        <v>45</v>
      </c>
      <c r="AC418" s="42" t="s">
        <v>45</v>
      </c>
      <c r="AD418" s="42" t="s">
        <v>45</v>
      </c>
      <c r="AE418" s="42" t="s">
        <v>45</v>
      </c>
      <c r="AF418" s="42" t="s">
        <v>45</v>
      </c>
      <c r="AG418" s="42" t="s">
        <v>45</v>
      </c>
      <c r="AH418" s="42" t="s">
        <v>45</v>
      </c>
      <c r="AI418" s="42" t="s">
        <v>45</v>
      </c>
      <c r="AJ418" s="42" t="s">
        <v>45</v>
      </c>
      <c r="AK418" s="42" t="s">
        <v>45</v>
      </c>
      <c r="AL418" s="42" t="s">
        <v>45</v>
      </c>
      <c r="AM418" s="42" t="s">
        <v>45</v>
      </c>
      <c r="AN418" s="42" t="s">
        <v>45</v>
      </c>
      <c r="AO418" s="43" t="s">
        <v>45</v>
      </c>
      <c r="AP418" s="42" t="s">
        <v>355</v>
      </c>
      <c r="AQ418" s="42">
        <v>4</v>
      </c>
      <c r="AR418" s="50" t="s">
        <v>14</v>
      </c>
      <c r="AS418" s="45" t="s">
        <v>758</v>
      </c>
      <c r="AT418" s="45" t="s">
        <v>705</v>
      </c>
      <c r="AU418" s="46">
        <f>($O$3*(L418-$O$1)/$O$2+$P$3*(M418-$P$1)/$P$2+$Q$3*(N418-$P$1)/$Q$2)/SUM($O$3:$Q$3)</f>
        <v>-2.7014842379675978</v>
      </c>
      <c r="AV418" s="46">
        <f>($O$3*(O418-$O$1)/$O$2+$P$3*(P418-$P$1)/$P$2+$Q$3*(Q418-$Q$1)/$Q$2)/SUM($O$3:$Q$3)</f>
        <v>-1.4295949476488956</v>
      </c>
      <c r="AW418" s="47">
        <f>COUNT(R418:AO418)/2</f>
        <v>3</v>
      </c>
      <c r="AX418" s="47">
        <f>IF(AND(S418&lt;&gt;"-",S418&gt;5),1,0)+IF(AND(U418&lt;&gt;"-",U418&gt;5),1,0)+IF(AND(W418&lt;&gt;"-",W418&gt;5),1,0)+IF(AND(Y418&lt;&gt;"-",Y418&gt;5),1,0)+IF(AND(AA418&lt;&gt;"-",AA418&gt;5),1,0)+IF(AND(AC418&lt;&gt;"-",AC418&gt;5),1,0)+IF(AND(AE418&lt;&gt;"-",AE418&gt;5),1,0)+IF(AND(AG418&lt;&gt;"-",AG418&gt;5),1,0)+IF(AND(AI418&lt;&gt;"-",AI418&gt;5),1,0)+IF(AND(AK418&lt;&gt;"-",AK418&gt;5),1,0)+IF(AND(AM418&lt;&gt;"-",AM418&gt;5),1,0)+IF(AND(AO418&lt;&gt;"-",AO418&gt;5),1,0)</f>
        <v>1</v>
      </c>
      <c r="AY418" s="48">
        <f>VLOOKUP(AP418,COND!$A$10:$B$32,2,FALSE)</f>
        <v>1</v>
      </c>
      <c r="AZ418" s="46">
        <f>($AU$3*AU418+$AV$3*AV418+$AW$3*AW418+$AX$3*AX418)*AY418*IF(AQ418&lt;5,0.95,IF(AQ418&lt;7,0.975,1))+$I$3*VLOOKUP(I418,COND!$A$2:$E$7,4,FALSE)+$J$3*VLOOKUP(J418,COND!$A$2:$E$7,2,FALSE)+$K$3*VLOOKUP(K418,COND!$A$2:$E$7,3,FALSE)+IF(BB418="SP",$BB$3,0)+IF($AW418&lt;3,-5,0)+IF(AND($B$2&gt;0,$E418&lt;20),$B$2*25,0)</f>
        <v>25.161913989457137</v>
      </c>
      <c r="BA418" s="49">
        <f>STANDARDIZE(AZ418,AVERAGE($AZ$5:$AZ$570),STDEVP($AZ$5:$AZ$570))</f>
        <v>-0.69331520404309765</v>
      </c>
      <c r="BB418" s="47" t="str">
        <f>IF(OR(AND(AQ418&gt;7,AX418&gt;1),AND(AQ418&gt;4,AW418&gt;2)),"SP","RP")</f>
        <v>RP</v>
      </c>
      <c r="BC418" s="47"/>
      <c r="BD418" s="47"/>
      <c r="BE418" s="47"/>
      <c r="BF418" s="47" t="str">
        <f>IF(AVERAGE($O418:$Q418)&gt;=6,"Likely",IF(AVERAGE($O418:$Q418)&gt;=4,"Possible","Unlikely"))</f>
        <v>Unlikely</v>
      </c>
      <c r="BG418" s="47"/>
      <c r="BH418" s="47" t="str">
        <f>INDEX(Table5[[#All],[Ovr]],MATCH(Table3[[#This Row],[PID]],Table5[[#All],[PID]],0))</f>
        <v/>
      </c>
      <c r="BI418" s="47" t="str">
        <f>INDEX(Table5[[#All],[Rnd]],MATCH(Table3[[#This Row],[PID]],Table5[[#All],[PID]],0))</f>
        <v/>
      </c>
      <c r="BJ418" s="47" t="str">
        <f>INDEX(Table5[[#All],[Pick]],MATCH(Table3[[#This Row],[PID]],Table5[[#All],[PID]],0))</f>
        <v/>
      </c>
      <c r="BK418" s="47" t="str">
        <f>INDEX(Table5[[#All],[Team]],MATCH(Table3[[#This Row],[PID]],Table5[[#All],[PID]],0))</f>
        <v/>
      </c>
      <c r="BL4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9" spans="1:64" ht="15" customHeight="1" x14ac:dyDescent="0.25">
      <c r="A419" s="42">
        <v>9708</v>
      </c>
      <c r="B419" s="42" t="s">
        <v>430</v>
      </c>
      <c r="C419" s="42" t="s">
        <v>821</v>
      </c>
      <c r="D419" s="42" t="s">
        <v>897</v>
      </c>
      <c r="E419" s="42">
        <v>18</v>
      </c>
      <c r="F419" s="42" t="s">
        <v>42</v>
      </c>
      <c r="G419" s="42" t="s">
        <v>42</v>
      </c>
      <c r="H419" s="43" t="s">
        <v>721</v>
      </c>
      <c r="I419" s="44" t="s">
        <v>43</v>
      </c>
      <c r="J419" s="42" t="s">
        <v>44</v>
      </c>
      <c r="K419" s="43" t="s">
        <v>44</v>
      </c>
      <c r="L419" s="42">
        <v>1</v>
      </c>
      <c r="M419" s="42">
        <v>2</v>
      </c>
      <c r="N419" s="43">
        <v>1</v>
      </c>
      <c r="O419" s="42">
        <v>2</v>
      </c>
      <c r="P419" s="42">
        <v>2</v>
      </c>
      <c r="Q419" s="43">
        <v>3</v>
      </c>
      <c r="R419" s="42">
        <v>2</v>
      </c>
      <c r="S419" s="42">
        <v>3</v>
      </c>
      <c r="T419" s="42" t="s">
        <v>45</v>
      </c>
      <c r="U419" s="42" t="s">
        <v>45</v>
      </c>
      <c r="V419" s="42">
        <v>1</v>
      </c>
      <c r="W419" s="42">
        <v>3</v>
      </c>
      <c r="X419" s="42">
        <v>1</v>
      </c>
      <c r="Y419" s="42">
        <v>3</v>
      </c>
      <c r="Z419" s="42" t="s">
        <v>45</v>
      </c>
      <c r="AA419" s="42" t="s">
        <v>45</v>
      </c>
      <c r="AB419" s="42" t="s">
        <v>45</v>
      </c>
      <c r="AC419" s="42" t="s">
        <v>45</v>
      </c>
      <c r="AD419" s="42" t="s">
        <v>45</v>
      </c>
      <c r="AE419" s="42" t="s">
        <v>45</v>
      </c>
      <c r="AF419" s="42" t="s">
        <v>45</v>
      </c>
      <c r="AG419" s="42" t="s">
        <v>45</v>
      </c>
      <c r="AH419" s="42" t="s">
        <v>45</v>
      </c>
      <c r="AI419" s="42" t="s">
        <v>45</v>
      </c>
      <c r="AJ419" s="42" t="s">
        <v>45</v>
      </c>
      <c r="AK419" s="42" t="s">
        <v>45</v>
      </c>
      <c r="AL419" s="42" t="s">
        <v>45</v>
      </c>
      <c r="AM419" s="42" t="s">
        <v>45</v>
      </c>
      <c r="AN419" s="42" t="s">
        <v>45</v>
      </c>
      <c r="AO419" s="43" t="s">
        <v>45</v>
      </c>
      <c r="AP419" s="42" t="s">
        <v>67</v>
      </c>
      <c r="AQ419" s="42">
        <v>8</v>
      </c>
      <c r="AR419" s="50" t="s">
        <v>353</v>
      </c>
      <c r="AS419" s="45" t="s">
        <v>745</v>
      </c>
      <c r="AT419" s="45" t="s">
        <v>47</v>
      </c>
      <c r="AU419" s="46">
        <f>($O$3*(L419-$O$1)/$O$2+$P$3*(M419-$P$1)/$P$2+$Q$3*(N419-$P$1)/$Q$2)/SUM($O$3:$Q$3)</f>
        <v>-2.5060525215375429</v>
      </c>
      <c r="AV419" s="46">
        <f>($O$3*(O419-$O$1)/$O$2+$P$3*(P419-$P$1)/$P$2+$Q$3*(Q419-$Q$1)/$Q$2)/SUM($O$3:$Q$3)</f>
        <v>-1.3812253141830766</v>
      </c>
      <c r="AW419" s="47">
        <f>COUNT(R419:AO419)/2</f>
        <v>3</v>
      </c>
      <c r="AX419" s="47">
        <f>IF(AND(S419&lt;&gt;"-",S419&gt;5),1,0)+IF(AND(U419&lt;&gt;"-",U419&gt;5),1,0)+IF(AND(W419&lt;&gt;"-",W419&gt;5),1,0)+IF(AND(Y419&lt;&gt;"-",Y419&gt;5),1,0)+IF(AND(AA419&lt;&gt;"-",AA419&gt;5),1,0)+IF(AND(AC419&lt;&gt;"-",AC419&gt;5),1,0)+IF(AND(AE419&lt;&gt;"-",AE419&gt;5),1,0)+IF(AND(AG419&lt;&gt;"-",AG419&gt;5),1,0)+IF(AND(AI419&lt;&gt;"-",AI419&gt;5),1,0)+IF(AND(AK419&lt;&gt;"-",AK419&gt;5),1,0)+IF(AND(AM419&lt;&gt;"-",AM419&gt;5),1,0)+IF(AND(AO419&lt;&gt;"-",AO419&gt;5),1,0)</f>
        <v>0</v>
      </c>
      <c r="AY419" s="48">
        <f>VLOOKUP(AP419,COND!$A$10:$B$32,2,FALSE)</f>
        <v>0.9</v>
      </c>
      <c r="AZ419" s="46">
        <f>($AU$3*AU419+$AV$3*AV419+$AW$3*AW419+$AX$3*AX419)*AY419*IF(AQ419&lt;5,0.95,IF(AQ419&lt;7,0.975,1))+$I$3*VLOOKUP(I419,COND!$A$2:$E$7,4,FALSE)+$J$3*VLOOKUP(J419,COND!$A$2:$E$7,2,FALSE)+$K$3*VLOOKUP(K419,COND!$A$2:$E$7,3,FALSE)+IF(BB419="SP",$BB$3,0)+IF($AW419&lt;3,-5,0)+IF(AND($B$2&gt;0,$E419&lt;20),$B$2*25,0)</f>
        <v>27.436854890827863</v>
      </c>
      <c r="BA419" s="49">
        <f>STANDARDIZE(AZ419,AVERAGE($AZ$5:$AZ$676),STDEVP($AZ$5:$AZ$676))</f>
        <v>-0.25928098600127442</v>
      </c>
      <c r="BB419" s="47" t="str">
        <f>IF(OR(AND(AQ419&gt;7,AX419&gt;1),AND(AQ419&gt;4,AW419&gt;2)),"SP","RP")</f>
        <v>SP</v>
      </c>
      <c r="BC419" s="47"/>
      <c r="BD419" s="47"/>
      <c r="BE419" s="47"/>
      <c r="BF419" s="47" t="str">
        <f>IF(AVERAGE($O419:$Q419)&gt;=6,"Likely",IF(AVERAGE($O419:$Q419)&gt;=4,"Possible","Unlikely"))</f>
        <v>Unlikely</v>
      </c>
      <c r="BG419" s="47"/>
      <c r="BH419" s="47" t="str">
        <f>INDEX(Table5[[#All],[Ovr]],MATCH(Table3[[#This Row],[PID]],Table5[[#All],[PID]],0))</f>
        <v/>
      </c>
      <c r="BI419" s="47" t="str">
        <f>INDEX(Table5[[#All],[Rnd]],MATCH(Table3[[#This Row],[PID]],Table5[[#All],[PID]],0))</f>
        <v/>
      </c>
      <c r="BJ419" s="47" t="str">
        <f>INDEX(Table5[[#All],[Pick]],MATCH(Table3[[#This Row],[PID]],Table5[[#All],[PID]],0))</f>
        <v/>
      </c>
      <c r="BK419" s="47" t="str">
        <f>INDEX(Table5[[#All],[Team]],MATCH(Table3[[#This Row],[PID]],Table5[[#All],[PID]],0))</f>
        <v/>
      </c>
      <c r="BL4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0" spans="1:64" ht="15" customHeight="1" x14ac:dyDescent="0.25">
      <c r="A420" s="42">
        <v>10076</v>
      </c>
      <c r="B420" s="42" t="s">
        <v>24</v>
      </c>
      <c r="C420" s="42" t="s">
        <v>135</v>
      </c>
      <c r="D420" s="42" t="s">
        <v>1498</v>
      </c>
      <c r="E420" s="42">
        <v>21</v>
      </c>
      <c r="F420" s="42" t="s">
        <v>53</v>
      </c>
      <c r="G420" s="42" t="s">
        <v>53</v>
      </c>
      <c r="H420" s="43" t="s">
        <v>721</v>
      </c>
      <c r="I420" s="44" t="s">
        <v>43</v>
      </c>
      <c r="J420" s="42" t="s">
        <v>44</v>
      </c>
      <c r="K420" s="43" t="s">
        <v>43</v>
      </c>
      <c r="L420" s="42">
        <v>2</v>
      </c>
      <c r="M420" s="42">
        <v>2</v>
      </c>
      <c r="N420" s="43">
        <v>1</v>
      </c>
      <c r="O420" s="42">
        <v>5</v>
      </c>
      <c r="P420" s="42">
        <v>2</v>
      </c>
      <c r="Q420" s="43">
        <v>1</v>
      </c>
      <c r="R420" s="42">
        <v>4</v>
      </c>
      <c r="S420" s="42">
        <v>6</v>
      </c>
      <c r="T420" s="42">
        <v>2</v>
      </c>
      <c r="U420" s="42">
        <v>7</v>
      </c>
      <c r="V420" s="42">
        <v>3</v>
      </c>
      <c r="W420" s="42">
        <v>6</v>
      </c>
      <c r="X420" s="42" t="s">
        <v>45</v>
      </c>
      <c r="Y420" s="42" t="s">
        <v>45</v>
      </c>
      <c r="Z420" s="42" t="s">
        <v>45</v>
      </c>
      <c r="AA420" s="42" t="s">
        <v>45</v>
      </c>
      <c r="AB420" s="42" t="s">
        <v>45</v>
      </c>
      <c r="AC420" s="42" t="s">
        <v>45</v>
      </c>
      <c r="AD420" s="42" t="s">
        <v>45</v>
      </c>
      <c r="AE420" s="42" t="s">
        <v>45</v>
      </c>
      <c r="AF420" s="42" t="s">
        <v>45</v>
      </c>
      <c r="AG420" s="42" t="s">
        <v>45</v>
      </c>
      <c r="AH420" s="42" t="s">
        <v>45</v>
      </c>
      <c r="AI420" s="42" t="s">
        <v>45</v>
      </c>
      <c r="AJ420" s="42" t="s">
        <v>45</v>
      </c>
      <c r="AK420" s="42" t="s">
        <v>45</v>
      </c>
      <c r="AL420" s="42" t="s">
        <v>45</v>
      </c>
      <c r="AM420" s="42" t="s">
        <v>45</v>
      </c>
      <c r="AN420" s="42" t="s">
        <v>45</v>
      </c>
      <c r="AO420" s="43" t="s">
        <v>45</v>
      </c>
      <c r="AP420" s="42" t="s">
        <v>58</v>
      </c>
      <c r="AQ420" s="42">
        <v>8</v>
      </c>
      <c r="AR420" s="50" t="s">
        <v>353</v>
      </c>
      <c r="AS420" s="45" t="s">
        <v>45</v>
      </c>
      <c r="AT420" s="45" t="s">
        <v>47</v>
      </c>
      <c r="AU420" s="46">
        <f>($O$3*(L420-$O$1)/$O$2+$P$3*(M420-$P$1)/$P$2+$Q$3*(N420-$P$1)/$Q$2)/SUM($O$3:$Q$3)</f>
        <v>-2.311361197028369</v>
      </c>
      <c r="AV420" s="46">
        <f>($O$3*(O420-$O$1)/$O$2+$P$3*(P420-$P$1)/$P$2+$Q$3*(Q420-$Q$1)/$Q$2)/SUM($O$3:$Q$3)</f>
        <v>-1.2817924727637771</v>
      </c>
      <c r="AW420" s="47">
        <f>COUNT(R420:AO420)/2</f>
        <v>3</v>
      </c>
      <c r="AX420" s="47">
        <f>IF(AND(S420&lt;&gt;"-",S420&gt;5),1,0)+IF(AND(U420&lt;&gt;"-",U420&gt;5),1,0)+IF(AND(W420&lt;&gt;"-",W420&gt;5),1,0)+IF(AND(Y420&lt;&gt;"-",Y420&gt;5),1,0)+IF(AND(AA420&lt;&gt;"-",AA420&gt;5),1,0)+IF(AND(AC420&lt;&gt;"-",AC420&gt;5),1,0)+IF(AND(AE420&lt;&gt;"-",AE420&gt;5),1,0)+IF(AND(AG420&lt;&gt;"-",AG420&gt;5),1,0)+IF(AND(AI420&lt;&gt;"-",AI420&gt;5),1,0)+IF(AND(AK420&lt;&gt;"-",AK420&gt;5),1,0)+IF(AND(AM420&lt;&gt;"-",AM420&gt;5),1,0)+IF(AND(AO420&lt;&gt;"-",AO420&gt;5),1,0)</f>
        <v>3</v>
      </c>
      <c r="AY420" s="48">
        <f>VLOOKUP(AP420,COND!$A$10:$B$32,2,FALSE)</f>
        <v>1</v>
      </c>
      <c r="AZ420" s="46">
        <f>($AU$3*AU420+$AV$3*AV420+$AW$3*AW420+$AX$3*AX420)*AY420*IF(AQ420&lt;5,0.95,IF(AQ420&lt;7,0.975,1))+$I$3*VLOOKUP(I420,COND!$A$2:$E$7,4,FALSE)+$J$3*VLOOKUP(J420,COND!$A$2:$E$7,2,FALSE)+$K$3*VLOOKUP(K420,COND!$A$2:$E$7,3,FALSE)+IF(BB420="SP",$BB$3,0)+IF($AW420&lt;3,-5,0)+IF(AND($B$2&gt;0,$E420&lt;20),$B$2*25,0)</f>
        <v>25.851878305318785</v>
      </c>
      <c r="BA420" s="49">
        <f>STANDARDIZE(AZ420,AVERAGE($AZ$5:$AZ$570),STDEVP($AZ$5:$AZ$570))</f>
        <v>-0.63004252730911992</v>
      </c>
      <c r="BB420" s="47" t="str">
        <f>IF(OR(AND(AQ420&gt;7,AX420&gt;1),AND(AQ420&gt;4,AW420&gt;2)),"SP","RP")</f>
        <v>SP</v>
      </c>
      <c r="BC420" s="47"/>
      <c r="BD420" s="47"/>
      <c r="BE420" s="47"/>
      <c r="BF420" s="47" t="str">
        <f>IF(AVERAGE($O420:$Q420)&gt;=6,"Likely",IF(AVERAGE($O420:$Q420)&gt;=4,"Possible","Unlikely"))</f>
        <v>Unlikely</v>
      </c>
      <c r="BG420" s="47"/>
      <c r="BH420" s="47" t="str">
        <f>INDEX(Table5[[#All],[Ovr]],MATCH(Table3[[#This Row],[PID]],Table5[[#All],[PID]],0))</f>
        <v/>
      </c>
      <c r="BI420" s="47" t="str">
        <f>INDEX(Table5[[#All],[Rnd]],MATCH(Table3[[#This Row],[PID]],Table5[[#All],[PID]],0))</f>
        <v/>
      </c>
      <c r="BJ420" s="47" t="str">
        <f>INDEX(Table5[[#All],[Pick]],MATCH(Table3[[#This Row],[PID]],Table5[[#All],[PID]],0))</f>
        <v/>
      </c>
      <c r="BK420" s="47" t="str">
        <f>INDEX(Table5[[#All],[Team]],MATCH(Table3[[#This Row],[PID]],Table5[[#All],[PID]],0))</f>
        <v/>
      </c>
      <c r="BL4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1" spans="1:64" ht="15" customHeight="1" x14ac:dyDescent="0.25">
      <c r="A421" s="42">
        <v>11055</v>
      </c>
      <c r="B421" s="42" t="s">
        <v>430</v>
      </c>
      <c r="C421" s="42" t="s">
        <v>978</v>
      </c>
      <c r="D421" s="42" t="s">
        <v>856</v>
      </c>
      <c r="E421" s="42">
        <v>18</v>
      </c>
      <c r="F421" s="42" t="s">
        <v>53</v>
      </c>
      <c r="G421" s="42" t="s">
        <v>53</v>
      </c>
      <c r="H421" s="43" t="s">
        <v>721</v>
      </c>
      <c r="I421" s="44" t="s">
        <v>44</v>
      </c>
      <c r="J421" s="42" t="s">
        <v>44</v>
      </c>
      <c r="K421" s="43" t="s">
        <v>43</v>
      </c>
      <c r="L421" s="42">
        <v>1</v>
      </c>
      <c r="M421" s="42">
        <v>2</v>
      </c>
      <c r="N421" s="43">
        <v>1</v>
      </c>
      <c r="O421" s="42">
        <v>3</v>
      </c>
      <c r="P421" s="42">
        <v>2</v>
      </c>
      <c r="Q421" s="43">
        <v>2</v>
      </c>
      <c r="R421" s="42" t="s">
        <v>45</v>
      </c>
      <c r="S421" s="42" t="s">
        <v>45</v>
      </c>
      <c r="T421" s="42">
        <v>1</v>
      </c>
      <c r="U421" s="42">
        <v>2</v>
      </c>
      <c r="V421" s="42" t="s">
        <v>45</v>
      </c>
      <c r="W421" s="42" t="s">
        <v>45</v>
      </c>
      <c r="X421" s="42" t="s">
        <v>45</v>
      </c>
      <c r="Y421" s="42" t="s">
        <v>45</v>
      </c>
      <c r="Z421" s="42">
        <v>3</v>
      </c>
      <c r="AA421" s="42">
        <v>4</v>
      </c>
      <c r="AB421" s="42" t="s">
        <v>45</v>
      </c>
      <c r="AC421" s="42" t="s">
        <v>45</v>
      </c>
      <c r="AD421" s="42">
        <v>3</v>
      </c>
      <c r="AE421" s="42">
        <v>5</v>
      </c>
      <c r="AF421" s="42" t="s">
        <v>45</v>
      </c>
      <c r="AG421" s="42" t="s">
        <v>45</v>
      </c>
      <c r="AH421" s="42" t="s">
        <v>45</v>
      </c>
      <c r="AI421" s="42" t="s">
        <v>45</v>
      </c>
      <c r="AJ421" s="42" t="s">
        <v>45</v>
      </c>
      <c r="AK421" s="42" t="s">
        <v>45</v>
      </c>
      <c r="AL421" s="42" t="s">
        <v>45</v>
      </c>
      <c r="AM421" s="42" t="s">
        <v>45</v>
      </c>
      <c r="AN421" s="42" t="s">
        <v>45</v>
      </c>
      <c r="AO421" s="43" t="s">
        <v>45</v>
      </c>
      <c r="AP421" s="42" t="s">
        <v>70</v>
      </c>
      <c r="AQ421" s="42">
        <v>9</v>
      </c>
      <c r="AR421" s="50" t="s">
        <v>353</v>
      </c>
      <c r="AS421" s="45" t="s">
        <v>739</v>
      </c>
      <c r="AT421" s="45" t="s">
        <v>705</v>
      </c>
      <c r="AU421" s="46">
        <f>($O$3*(L421-$O$1)/$O$2+$P$3*(M421-$P$1)/$P$2+$Q$3*(N421-$P$1)/$Q$2)/SUM($O$3:$Q$3)</f>
        <v>-2.5060525215375429</v>
      </c>
      <c r="AV421" s="46">
        <f>($O$3*(O421-$O$1)/$O$2+$P$3*(P421-$P$1)/$P$2+$Q$3*(Q421-$Q$1)/$Q$2)/SUM($O$3:$Q$3)</f>
        <v>-1.4288545557280135</v>
      </c>
      <c r="AW421" s="47">
        <f>COUNT(R421:AO421)/2</f>
        <v>3</v>
      </c>
      <c r="AX421" s="47">
        <f>IF(AND(S421&lt;&gt;"-",S421&gt;5),1,0)+IF(AND(U421&lt;&gt;"-",U421&gt;5),1,0)+IF(AND(W421&lt;&gt;"-",W421&gt;5),1,0)+IF(AND(Y421&lt;&gt;"-",Y421&gt;5),1,0)+IF(AND(AA421&lt;&gt;"-",AA421&gt;5),1,0)+IF(AND(AC421&lt;&gt;"-",AC421&gt;5),1,0)+IF(AND(AE421&lt;&gt;"-",AE421&gt;5),1,0)+IF(AND(AG421&lt;&gt;"-",AG421&gt;5),1,0)+IF(AND(AI421&lt;&gt;"-",AI421&gt;5),1,0)+IF(AND(AK421&lt;&gt;"-",AK421&gt;5),1,0)+IF(AND(AM421&lt;&gt;"-",AM421&gt;5),1,0)+IF(AND(AO421&lt;&gt;"-",AO421&gt;5),1,0)</f>
        <v>0</v>
      </c>
      <c r="AY421" s="48">
        <f>VLOOKUP(AP421,COND!$A$10:$B$32,2,FALSE)</f>
        <v>0.9</v>
      </c>
      <c r="AZ421" s="46">
        <f>($AU$3*AU421+$AV$3*AV421+$AW$3*AW421+$AX$3*AX421)*AY421*IF(AQ421&lt;5,0.95,IF(AQ421&lt;7,0.975,1))+$I$3*VLOOKUP(I421,COND!$A$2:$E$7,4,FALSE)+$J$3*VLOOKUP(J421,COND!$A$2:$E$7,2,FALSE)+$K$3*VLOOKUP(K421,COND!$A$2:$E$7,3,FALSE)+IF(BB421="SP",$BB$3,0)+IF($AW421&lt;3,-5,0)+IF(AND($B$2&gt;0,$E421&lt;20),$B$2*25,0)</f>
        <v>26.729528543019001</v>
      </c>
      <c r="BA421" s="49">
        <f>STANDARDIZE(AZ421,AVERAGE($AZ$5:$AZ$676),STDEVP($AZ$5:$AZ$676))</f>
        <v>-0.32127290735797381</v>
      </c>
      <c r="BB421" s="47" t="str">
        <f>IF(OR(AND(AQ421&gt;7,AX421&gt;1),AND(AQ421&gt;4,AW421&gt;2)),"SP","RP")</f>
        <v>SP</v>
      </c>
      <c r="BC421" s="47"/>
      <c r="BD421" s="47"/>
      <c r="BE421" s="47"/>
      <c r="BF421" s="47" t="str">
        <f>IF(AVERAGE($O421:$Q421)&gt;=6,"Likely",IF(AVERAGE($O421:$Q421)&gt;=4,"Possible","Unlikely"))</f>
        <v>Unlikely</v>
      </c>
      <c r="BG421" s="47"/>
      <c r="BH421" s="47" t="str">
        <f>INDEX(Table5[[#All],[Ovr]],MATCH(Table3[[#This Row],[PID]],Table5[[#All],[PID]],0))</f>
        <v/>
      </c>
      <c r="BI421" s="47" t="str">
        <f>INDEX(Table5[[#All],[Rnd]],MATCH(Table3[[#This Row],[PID]],Table5[[#All],[PID]],0))</f>
        <v/>
      </c>
      <c r="BJ421" s="47" t="str">
        <f>INDEX(Table5[[#All],[Pick]],MATCH(Table3[[#This Row],[PID]],Table5[[#All],[PID]],0))</f>
        <v/>
      </c>
      <c r="BK421" s="47" t="str">
        <f>INDEX(Table5[[#All],[Team]],MATCH(Table3[[#This Row],[PID]],Table5[[#All],[PID]],0))</f>
        <v/>
      </c>
      <c r="BL4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2" spans="1:64" ht="15" customHeight="1" x14ac:dyDescent="0.25">
      <c r="A422" s="42">
        <v>11852</v>
      </c>
      <c r="B422" s="42" t="s">
        <v>430</v>
      </c>
      <c r="C422" s="42" t="s">
        <v>1600</v>
      </c>
      <c r="D422" s="42" t="s">
        <v>777</v>
      </c>
      <c r="E422" s="42">
        <v>21</v>
      </c>
      <c r="F422" s="42" t="s">
        <v>53</v>
      </c>
      <c r="G422" s="42" t="s">
        <v>42</v>
      </c>
      <c r="H422" s="43" t="s">
        <v>721</v>
      </c>
      <c r="I422" s="44" t="s">
        <v>47</v>
      </c>
      <c r="J422" s="42" t="s">
        <v>47</v>
      </c>
      <c r="K422" s="43" t="s">
        <v>43</v>
      </c>
      <c r="L422" s="42">
        <v>2</v>
      </c>
      <c r="M422" s="42">
        <v>1</v>
      </c>
      <c r="N422" s="43">
        <v>2</v>
      </c>
      <c r="O422" s="42">
        <v>4</v>
      </c>
      <c r="P422" s="42">
        <v>2</v>
      </c>
      <c r="Q422" s="43">
        <v>2</v>
      </c>
      <c r="R422" s="42">
        <v>4</v>
      </c>
      <c r="S422" s="42">
        <v>5</v>
      </c>
      <c r="T422" s="42">
        <v>1</v>
      </c>
      <c r="U422" s="42">
        <v>5</v>
      </c>
      <c r="V422" s="42" t="s">
        <v>45</v>
      </c>
      <c r="W422" s="42" t="s">
        <v>45</v>
      </c>
      <c r="X422" s="42">
        <v>3</v>
      </c>
      <c r="Y422" s="42">
        <v>5</v>
      </c>
      <c r="Z422" s="42" t="s">
        <v>45</v>
      </c>
      <c r="AA422" s="42" t="s">
        <v>45</v>
      </c>
      <c r="AB422" s="42" t="s">
        <v>45</v>
      </c>
      <c r="AC422" s="42" t="s">
        <v>45</v>
      </c>
      <c r="AD422" s="42" t="s">
        <v>45</v>
      </c>
      <c r="AE422" s="42" t="s">
        <v>45</v>
      </c>
      <c r="AF422" s="42">
        <v>3</v>
      </c>
      <c r="AG422" s="42">
        <v>4</v>
      </c>
      <c r="AH422" s="42" t="s">
        <v>45</v>
      </c>
      <c r="AI422" s="42" t="s">
        <v>45</v>
      </c>
      <c r="AJ422" s="42" t="s">
        <v>45</v>
      </c>
      <c r="AK422" s="42" t="s">
        <v>45</v>
      </c>
      <c r="AL422" s="42" t="s">
        <v>45</v>
      </c>
      <c r="AM422" s="42" t="s">
        <v>45</v>
      </c>
      <c r="AN422" s="42" t="s">
        <v>45</v>
      </c>
      <c r="AO422" s="43" t="s">
        <v>45</v>
      </c>
      <c r="AP422" s="42" t="s">
        <v>57</v>
      </c>
      <c r="AQ422" s="42">
        <v>7</v>
      </c>
      <c r="AR422" s="50" t="s">
        <v>14</v>
      </c>
      <c r="AS422" s="45" t="s">
        <v>45</v>
      </c>
      <c r="AT422" s="45" t="s">
        <v>705</v>
      </c>
      <c r="AU422" s="46">
        <f>($O$3*(L422-$O$1)/$O$2+$P$3*(M422-$P$1)/$P$2+$Q$3*(N422-$P$1)/$Q$2)/SUM($O$3:$Q$3)</f>
        <v>-2.2644723474043147</v>
      </c>
      <c r="AV422" s="46">
        <f>($O$3*(O422-$O$1)/$O$2+$P$3*(P422-$P$1)/$P$2+$Q$3*(Q422-$Q$1)/$Q$2)/SUM($O$3:$Q$3)</f>
        <v>-1.23416323121884</v>
      </c>
      <c r="AW422" s="47">
        <f>COUNT(R422:AO422)/2</f>
        <v>4</v>
      </c>
      <c r="AX422" s="47">
        <f>IF(AND(S422&lt;&gt;"-",S422&gt;5),1,0)+IF(AND(U422&lt;&gt;"-",U422&gt;5),1,0)+IF(AND(W422&lt;&gt;"-",W422&gt;5),1,0)+IF(AND(Y422&lt;&gt;"-",Y422&gt;5),1,0)+IF(AND(AA422&lt;&gt;"-",AA422&gt;5),1,0)+IF(AND(AC422&lt;&gt;"-",AC422&gt;5),1,0)+IF(AND(AE422&lt;&gt;"-",AE422&gt;5),1,0)+IF(AND(AG422&lt;&gt;"-",AG422&gt;5),1,0)+IF(AND(AI422&lt;&gt;"-",AI422&gt;5),1,0)+IF(AND(AK422&lt;&gt;"-",AK422&gt;5),1,0)+IF(AND(AM422&lt;&gt;"-",AM422&gt;5),1,0)+IF(AND(AO422&lt;&gt;"-",AO422&gt;5),1,0)</f>
        <v>0</v>
      </c>
      <c r="AY422" s="48">
        <f>VLOOKUP(AP422,COND!$A$10:$B$32,2,FALSE)</f>
        <v>1</v>
      </c>
      <c r="AZ422" s="46">
        <f>($AU$3*AU422+$AV$3*AV422+$AW$3*AW422+$AX$3*AX422)*AY422*IF(AQ422&lt;5,0.95,IF(AQ422&lt;7,0.975,1))+$I$3*VLOOKUP(I422,COND!$A$2:$E$7,4,FALSE)+$J$3*VLOOKUP(J422,COND!$A$2:$E$7,2,FALSE)+$K$3*VLOOKUP(K422,COND!$A$2:$E$7,3,FALSE)+IF(BB422="SP",$BB$3,0)+IF($AW422&lt;3,-5,0)+IF(AND($B$2&gt;0,$E422&lt;20),$B$2*25,0)</f>
        <v>24.388840906142335</v>
      </c>
      <c r="BA422" s="49">
        <f>STANDARDIZE(AZ422,AVERAGE($AZ$5:$AZ$570),STDEVP($AZ$5:$AZ$570))</f>
        <v>-0.76420930996686742</v>
      </c>
      <c r="BB422" s="47" t="str">
        <f>IF(OR(AND(AQ422&gt;7,AX422&gt;1),AND(AQ422&gt;4,AW422&gt;2)),"SP","RP")</f>
        <v>SP</v>
      </c>
      <c r="BC422" s="47"/>
      <c r="BD422" s="47"/>
      <c r="BE422" s="47"/>
      <c r="BF422" s="47" t="str">
        <f>IF(AVERAGE($O422:$Q422)&gt;=6,"Likely",IF(AVERAGE($O422:$Q422)&gt;=4,"Possible","Unlikely"))</f>
        <v>Unlikely</v>
      </c>
      <c r="BG422" s="47"/>
      <c r="BH422" s="47" t="str">
        <f>INDEX(Table5[[#All],[Ovr]],MATCH(Table3[[#This Row],[PID]],Table5[[#All],[PID]],0))</f>
        <v/>
      </c>
      <c r="BI422" s="47" t="str">
        <f>INDEX(Table5[[#All],[Rnd]],MATCH(Table3[[#This Row],[PID]],Table5[[#All],[PID]],0))</f>
        <v/>
      </c>
      <c r="BJ422" s="47" t="str">
        <f>INDEX(Table5[[#All],[Pick]],MATCH(Table3[[#This Row],[PID]],Table5[[#All],[PID]],0))</f>
        <v/>
      </c>
      <c r="BK422" s="47" t="str">
        <f>INDEX(Table5[[#All],[Team]],MATCH(Table3[[#This Row],[PID]],Table5[[#All],[PID]],0))</f>
        <v/>
      </c>
      <c r="BL4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3" spans="1:64" ht="15" customHeight="1" x14ac:dyDescent="0.25">
      <c r="A423" s="42">
        <v>11051</v>
      </c>
      <c r="B423" s="42" t="s">
        <v>430</v>
      </c>
      <c r="C423" s="42" t="s">
        <v>1628</v>
      </c>
      <c r="D423" s="42" t="s">
        <v>1629</v>
      </c>
      <c r="E423" s="42">
        <v>18</v>
      </c>
      <c r="F423" s="42" t="s">
        <v>42</v>
      </c>
      <c r="G423" s="42" t="s">
        <v>42</v>
      </c>
      <c r="H423" s="43" t="s">
        <v>721</v>
      </c>
      <c r="I423" s="44" t="s">
        <v>44</v>
      </c>
      <c r="J423" s="42" t="s">
        <v>44</v>
      </c>
      <c r="K423" s="43" t="s">
        <v>43</v>
      </c>
      <c r="L423" s="42">
        <v>1</v>
      </c>
      <c r="M423" s="42">
        <v>1</v>
      </c>
      <c r="N423" s="43">
        <v>1</v>
      </c>
      <c r="O423" s="42">
        <v>4</v>
      </c>
      <c r="P423" s="42">
        <v>1</v>
      </c>
      <c r="Q423" s="43">
        <v>2</v>
      </c>
      <c r="R423" s="42">
        <v>3</v>
      </c>
      <c r="S423" s="42">
        <v>6</v>
      </c>
      <c r="T423" s="42">
        <v>1</v>
      </c>
      <c r="U423" s="42">
        <v>1</v>
      </c>
      <c r="V423" s="42" t="s">
        <v>45</v>
      </c>
      <c r="W423" s="42" t="s">
        <v>45</v>
      </c>
      <c r="X423" s="42">
        <v>2</v>
      </c>
      <c r="Y423" s="42">
        <v>6</v>
      </c>
      <c r="Z423" s="42" t="s">
        <v>45</v>
      </c>
      <c r="AA423" s="42" t="s">
        <v>45</v>
      </c>
      <c r="AB423" s="42" t="s">
        <v>45</v>
      </c>
      <c r="AC423" s="42" t="s">
        <v>45</v>
      </c>
      <c r="AD423" s="42" t="s">
        <v>45</v>
      </c>
      <c r="AE423" s="42" t="s">
        <v>45</v>
      </c>
      <c r="AF423" s="42" t="s">
        <v>45</v>
      </c>
      <c r="AG423" s="42" t="s">
        <v>45</v>
      </c>
      <c r="AH423" s="42" t="s">
        <v>45</v>
      </c>
      <c r="AI423" s="42" t="s">
        <v>45</v>
      </c>
      <c r="AJ423" s="42" t="s">
        <v>45</v>
      </c>
      <c r="AK423" s="42" t="s">
        <v>45</v>
      </c>
      <c r="AL423" s="42" t="s">
        <v>45</v>
      </c>
      <c r="AM423" s="42" t="s">
        <v>45</v>
      </c>
      <c r="AN423" s="42" t="s">
        <v>45</v>
      </c>
      <c r="AO423" s="43" t="s">
        <v>45</v>
      </c>
      <c r="AP423" s="42" t="s">
        <v>64</v>
      </c>
      <c r="AQ423" s="42">
        <v>2</v>
      </c>
      <c r="AR423" s="50" t="s">
        <v>14</v>
      </c>
      <c r="AS423" s="45" t="s">
        <v>718</v>
      </c>
      <c r="AT423" s="45" t="s">
        <v>47</v>
      </c>
      <c r="AU423" s="46">
        <f>($O$3*(L423-$O$1)/$O$2+$P$3*(M423-$P$1)/$P$2+$Q$3*(N423-$P$1)/$Q$2)/SUM($O$3:$Q$3)</f>
        <v>-2.7014842379675978</v>
      </c>
      <c r="AV423" s="46">
        <f>($O$3*(O423-$O$1)/$O$2+$P$3*(P423-$P$1)/$P$2+$Q$3*(Q423-$Q$1)/$Q$2)/SUM($O$3:$Q$3)</f>
        <v>-1.4295949476488956</v>
      </c>
      <c r="AW423" s="47">
        <f>COUNT(R423:AO423)/2</f>
        <v>3</v>
      </c>
      <c r="AX423" s="47">
        <f>IF(AND(S423&lt;&gt;"-",S423&gt;5),1,0)+IF(AND(U423&lt;&gt;"-",U423&gt;5),1,0)+IF(AND(W423&lt;&gt;"-",W423&gt;5),1,0)+IF(AND(Y423&lt;&gt;"-",Y423&gt;5),1,0)+IF(AND(AA423&lt;&gt;"-",AA423&gt;5),1,0)+IF(AND(AC423&lt;&gt;"-",AC423&gt;5),1,0)+IF(AND(AE423&lt;&gt;"-",AE423&gt;5),1,0)+IF(AND(AG423&lt;&gt;"-",AG423&gt;5),1,0)+IF(AND(AI423&lt;&gt;"-",AI423&gt;5),1,0)+IF(AND(AK423&lt;&gt;"-",AK423&gt;5),1,0)+IF(AND(AM423&lt;&gt;"-",AM423&gt;5),1,0)+IF(AND(AO423&lt;&gt;"-",AO423&gt;5),1,0)</f>
        <v>2</v>
      </c>
      <c r="AY423" s="48">
        <f>VLOOKUP(AP423,COND!$A$10:$B$32,2,FALSE)</f>
        <v>1</v>
      </c>
      <c r="AZ423" s="46">
        <f>($AU$3*AU423+$AV$3*AV423+$AW$3*AW423+$AX$3*AX423)*AY423*IF(AQ423&lt;5,0.95,IF(AQ423&lt;7,0.975,1))+$I$3*VLOOKUP(I423,COND!$A$2:$E$7,4,FALSE)+$J$3*VLOOKUP(J423,COND!$A$2:$E$7,2,FALSE)+$K$3*VLOOKUP(K423,COND!$A$2:$E$7,3,FALSE)+IF(BB423="SP",$BB$3,0)+IF($AW423&lt;3,-5,0)+IF(AND($B$2&gt;0,$E423&lt;20),$B$2*25,0)</f>
        <v>25.674413989457136</v>
      </c>
      <c r="BA423" s="49">
        <f>STANDARDIZE(AZ423,AVERAGE($AZ$5:$AZ$570),STDEVP($AZ$5:$AZ$570))</f>
        <v>-0.64631676357206047</v>
      </c>
      <c r="BB423" s="47" t="str">
        <f>IF(OR(AND(AQ423&gt;7,AX423&gt;1),AND(AQ423&gt;4,AW423&gt;2)),"SP","RP")</f>
        <v>RP</v>
      </c>
      <c r="BC423" s="47"/>
      <c r="BD423" s="47"/>
      <c r="BE423" s="47"/>
      <c r="BF423" s="47" t="str">
        <f>IF(AVERAGE($O423:$Q423)&gt;=6,"Likely",IF(AVERAGE($O423:$Q423)&gt;=4,"Possible","Unlikely"))</f>
        <v>Unlikely</v>
      </c>
      <c r="BG423" s="47"/>
      <c r="BH423" s="47" t="str">
        <f>INDEX(Table5[[#All],[Ovr]],MATCH(Table3[[#This Row],[PID]],Table5[[#All],[PID]],0))</f>
        <v/>
      </c>
      <c r="BI423" s="47" t="str">
        <f>INDEX(Table5[[#All],[Rnd]],MATCH(Table3[[#This Row],[PID]],Table5[[#All],[PID]],0))</f>
        <v/>
      </c>
      <c r="BJ423" s="47" t="str">
        <f>INDEX(Table5[[#All],[Pick]],MATCH(Table3[[#This Row],[PID]],Table5[[#All],[PID]],0))</f>
        <v/>
      </c>
      <c r="BK423" s="47" t="str">
        <f>INDEX(Table5[[#All],[Team]],MATCH(Table3[[#This Row],[PID]],Table5[[#All],[PID]],0))</f>
        <v/>
      </c>
      <c r="BL4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4" spans="1:64" ht="15" customHeight="1" x14ac:dyDescent="0.25">
      <c r="A424" s="42">
        <v>5894</v>
      </c>
      <c r="B424" s="42" t="s">
        <v>430</v>
      </c>
      <c r="C424" s="42" t="s">
        <v>412</v>
      </c>
      <c r="D424" s="42" t="s">
        <v>344</v>
      </c>
      <c r="E424" s="42">
        <v>18</v>
      </c>
      <c r="F424" s="42" t="s">
        <v>42</v>
      </c>
      <c r="G424" s="42" t="s">
        <v>53</v>
      </c>
      <c r="H424" s="43" t="s">
        <v>721</v>
      </c>
      <c r="I424" s="44" t="s">
        <v>43</v>
      </c>
      <c r="J424" s="42" t="s">
        <v>44</v>
      </c>
      <c r="K424" s="43" t="s">
        <v>43</v>
      </c>
      <c r="L424" s="42">
        <v>2</v>
      </c>
      <c r="M424" s="42">
        <v>1</v>
      </c>
      <c r="N424" s="43">
        <v>1</v>
      </c>
      <c r="O424" s="42">
        <v>5</v>
      </c>
      <c r="P424" s="42">
        <v>1</v>
      </c>
      <c r="Q424" s="43">
        <v>1</v>
      </c>
      <c r="R424" s="42">
        <v>4</v>
      </c>
      <c r="S424" s="42">
        <v>7</v>
      </c>
      <c r="T424" s="42">
        <v>1</v>
      </c>
      <c r="U424" s="42">
        <v>2</v>
      </c>
      <c r="V424" s="42">
        <v>2</v>
      </c>
      <c r="W424" s="42">
        <v>7</v>
      </c>
      <c r="X424" s="42" t="s">
        <v>45</v>
      </c>
      <c r="Y424" s="42" t="s">
        <v>45</v>
      </c>
      <c r="Z424" s="42" t="s">
        <v>45</v>
      </c>
      <c r="AA424" s="42" t="s">
        <v>45</v>
      </c>
      <c r="AB424" s="42" t="s">
        <v>45</v>
      </c>
      <c r="AC424" s="42" t="s">
        <v>45</v>
      </c>
      <c r="AD424" s="42" t="s">
        <v>45</v>
      </c>
      <c r="AE424" s="42" t="s">
        <v>45</v>
      </c>
      <c r="AF424" s="42" t="s">
        <v>45</v>
      </c>
      <c r="AG424" s="42" t="s">
        <v>45</v>
      </c>
      <c r="AH424" s="42" t="s">
        <v>45</v>
      </c>
      <c r="AI424" s="42" t="s">
        <v>45</v>
      </c>
      <c r="AJ424" s="42" t="s">
        <v>45</v>
      </c>
      <c r="AK424" s="42" t="s">
        <v>45</v>
      </c>
      <c r="AL424" s="42" t="s">
        <v>45</v>
      </c>
      <c r="AM424" s="42" t="s">
        <v>45</v>
      </c>
      <c r="AN424" s="42" t="s">
        <v>45</v>
      </c>
      <c r="AO424" s="43" t="s">
        <v>45</v>
      </c>
      <c r="AP424" s="42" t="s">
        <v>56</v>
      </c>
      <c r="AQ424" s="42">
        <v>9</v>
      </c>
      <c r="AR424" s="50" t="s">
        <v>353</v>
      </c>
      <c r="AS424" s="45" t="s">
        <v>718</v>
      </c>
      <c r="AT424" s="45" t="s">
        <v>47</v>
      </c>
      <c r="AU424" s="46">
        <f>($O$3*(L424-$O$1)/$O$2+$P$3*(M424-$P$1)/$P$2+$Q$3*(N424-$P$1)/$Q$2)/SUM($O$3:$Q$3)</f>
        <v>-2.5067929134584248</v>
      </c>
      <c r="AV424" s="46">
        <f>($O$3*(O424-$O$1)/$O$2+$P$3*(P424-$P$1)/$P$2+$Q$3*(Q424-$Q$1)/$Q$2)/SUM($O$3:$Q$3)</f>
        <v>-1.4772241891938322</v>
      </c>
      <c r="AW424" s="47">
        <f>COUNT(R424:AO424)/2</f>
        <v>3</v>
      </c>
      <c r="AX424" s="47">
        <f>IF(AND(S424&lt;&gt;"-",S424&gt;5),1,0)+IF(AND(U424&lt;&gt;"-",U424&gt;5),1,0)+IF(AND(W424&lt;&gt;"-",W424&gt;5),1,0)+IF(AND(Y424&lt;&gt;"-",Y424&gt;5),1,0)+IF(AND(AA424&lt;&gt;"-",AA424&gt;5),1,0)+IF(AND(AC424&lt;&gt;"-",AC424&gt;5),1,0)+IF(AND(AE424&lt;&gt;"-",AE424&gt;5),1,0)+IF(AND(AG424&lt;&gt;"-",AG424&gt;5),1,0)+IF(AND(AI424&lt;&gt;"-",AI424&gt;5),1,0)+IF(AND(AK424&lt;&gt;"-",AK424&gt;5),1,0)+IF(AND(AM424&lt;&gt;"-",AM424&gt;5),1,0)+IF(AND(AO424&lt;&gt;"-",AO424&gt;5),1,0)</f>
        <v>2</v>
      </c>
      <c r="AY424" s="48">
        <f>VLOOKUP(AP424,COND!$A$10:$B$32,2,FALSE)</f>
        <v>1</v>
      </c>
      <c r="AZ424" s="46">
        <f>($AU$3*AU424+$AV$3*AV424+$AW$3*AW424+$AX$3*AX424)*AY424*IF(AQ424&lt;5,0.95,IF(AQ424&lt;7,0.975,1))+$I$3*VLOOKUP(I424,COND!$A$2:$E$7,4,FALSE)+$J$3*VLOOKUP(J424,COND!$A$2:$E$7,2,FALSE)+$K$3*VLOOKUP(K424,COND!$A$2:$E$7,3,FALSE)+IF(BB424="SP",$BB$3,0)+IF($AW424&lt;3,-5,0)+IF(AND($B$2&gt;0,$E424&lt;20),$B$2*25,0)</f>
        <v>25.654157633431669</v>
      </c>
      <c r="BA424" s="49">
        <f>STANDARDIZE(AZ424,AVERAGE($AZ$5:$AZ$570),STDEVP($AZ$5:$AZ$570))</f>
        <v>-0.64817435799708101</v>
      </c>
      <c r="BB424" s="47" t="str">
        <f>IF(OR(AND(AQ424&gt;7,AX424&gt;1),AND(AQ424&gt;4,AW424&gt;2)),"SP","RP")</f>
        <v>SP</v>
      </c>
      <c r="BC424" s="47"/>
      <c r="BD424" s="47"/>
      <c r="BE424" s="47"/>
      <c r="BF424" s="47" t="str">
        <f>IF(AVERAGE($O424:$Q424)&gt;=6,"Likely",IF(AVERAGE($O424:$Q424)&gt;=4,"Possible","Unlikely"))</f>
        <v>Unlikely</v>
      </c>
      <c r="BG424" s="47"/>
      <c r="BH424" s="47" t="str">
        <f>INDEX(Table5[[#All],[Ovr]],MATCH(Table3[[#This Row],[PID]],Table5[[#All],[PID]],0))</f>
        <v/>
      </c>
      <c r="BI424" s="47" t="str">
        <f>INDEX(Table5[[#All],[Rnd]],MATCH(Table3[[#This Row],[PID]],Table5[[#All],[PID]],0))</f>
        <v/>
      </c>
      <c r="BJ424" s="47" t="str">
        <f>INDEX(Table5[[#All],[Pick]],MATCH(Table3[[#This Row],[PID]],Table5[[#All],[PID]],0))</f>
        <v/>
      </c>
      <c r="BK424" s="47" t="str">
        <f>INDEX(Table5[[#All],[Team]],MATCH(Table3[[#This Row],[PID]],Table5[[#All],[PID]],0))</f>
        <v/>
      </c>
      <c r="BL4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5" spans="1:64" ht="15" customHeight="1" x14ac:dyDescent="0.25">
      <c r="A425" s="42">
        <v>9377</v>
      </c>
      <c r="B425" s="42" t="s">
        <v>430</v>
      </c>
      <c r="C425" s="42" t="s">
        <v>145</v>
      </c>
      <c r="D425" s="42" t="s">
        <v>917</v>
      </c>
      <c r="E425" s="42">
        <v>21</v>
      </c>
      <c r="F425" s="42" t="s">
        <v>53</v>
      </c>
      <c r="G425" s="42" t="s">
        <v>53</v>
      </c>
      <c r="H425" s="43" t="s">
        <v>721</v>
      </c>
      <c r="I425" s="44" t="s">
        <v>43</v>
      </c>
      <c r="J425" s="42" t="s">
        <v>43</v>
      </c>
      <c r="K425" s="43" t="s">
        <v>43</v>
      </c>
      <c r="L425" s="42">
        <v>2</v>
      </c>
      <c r="M425" s="42">
        <v>2</v>
      </c>
      <c r="N425" s="43">
        <v>1</v>
      </c>
      <c r="O425" s="42">
        <v>4</v>
      </c>
      <c r="P425" s="42">
        <v>2</v>
      </c>
      <c r="Q425" s="43">
        <v>2</v>
      </c>
      <c r="R425" s="42">
        <v>3</v>
      </c>
      <c r="S425" s="42">
        <v>4</v>
      </c>
      <c r="T425" s="42">
        <v>1</v>
      </c>
      <c r="U425" s="42">
        <v>1</v>
      </c>
      <c r="V425" s="42">
        <v>2</v>
      </c>
      <c r="W425" s="42">
        <v>4</v>
      </c>
      <c r="X425" s="42" t="s">
        <v>45</v>
      </c>
      <c r="Y425" s="42" t="s">
        <v>45</v>
      </c>
      <c r="Z425" s="42" t="s">
        <v>45</v>
      </c>
      <c r="AA425" s="42" t="s">
        <v>45</v>
      </c>
      <c r="AB425" s="42">
        <v>3</v>
      </c>
      <c r="AC425" s="42">
        <v>4</v>
      </c>
      <c r="AD425" s="42" t="s">
        <v>45</v>
      </c>
      <c r="AE425" s="42" t="s">
        <v>45</v>
      </c>
      <c r="AF425" s="42">
        <v>3</v>
      </c>
      <c r="AG425" s="42">
        <v>4</v>
      </c>
      <c r="AH425" s="42" t="s">
        <v>45</v>
      </c>
      <c r="AI425" s="42" t="s">
        <v>45</v>
      </c>
      <c r="AJ425" s="42" t="s">
        <v>45</v>
      </c>
      <c r="AK425" s="42" t="s">
        <v>45</v>
      </c>
      <c r="AL425" s="42" t="s">
        <v>45</v>
      </c>
      <c r="AM425" s="42" t="s">
        <v>45</v>
      </c>
      <c r="AN425" s="42" t="s">
        <v>45</v>
      </c>
      <c r="AO425" s="43" t="s">
        <v>45</v>
      </c>
      <c r="AP425" s="42" t="s">
        <v>355</v>
      </c>
      <c r="AQ425" s="42">
        <v>6</v>
      </c>
      <c r="AR425" s="50" t="s">
        <v>353</v>
      </c>
      <c r="AS425" s="45" t="s">
        <v>45</v>
      </c>
      <c r="AT425" s="45" t="s">
        <v>47</v>
      </c>
      <c r="AU425" s="46">
        <f>($O$3*(L425-$O$1)/$O$2+$P$3*(M425-$P$1)/$P$2+$Q$3*(N425-$P$1)/$Q$2)/SUM($O$3:$Q$3)</f>
        <v>-2.311361197028369</v>
      </c>
      <c r="AV425" s="46">
        <f>($O$3*(O425-$O$1)/$O$2+$P$3*(P425-$P$1)/$P$2+$Q$3*(Q425-$Q$1)/$Q$2)/SUM($O$3:$Q$3)</f>
        <v>-1.23416323121884</v>
      </c>
      <c r="AW425" s="47">
        <f>COUNT(R425:AO425)/2</f>
        <v>5</v>
      </c>
      <c r="AX425" s="47">
        <f>IF(AND(S425&lt;&gt;"-",S425&gt;5),1,0)+IF(AND(U425&lt;&gt;"-",U425&gt;5),1,0)+IF(AND(W425&lt;&gt;"-",W425&gt;5),1,0)+IF(AND(Y425&lt;&gt;"-",Y425&gt;5),1,0)+IF(AND(AA425&lt;&gt;"-",AA425&gt;5),1,0)+IF(AND(AC425&lt;&gt;"-",AC425&gt;5),1,0)+IF(AND(AE425&lt;&gt;"-",AE425&gt;5),1,0)+IF(AND(AG425&lt;&gt;"-",AG425&gt;5),1,0)+IF(AND(AI425&lt;&gt;"-",AI425&gt;5),1,0)+IF(AND(AK425&lt;&gt;"-",AK425&gt;5),1,0)+IF(AND(AM425&lt;&gt;"-",AM425&gt;5),1,0)+IF(AND(AO425&lt;&gt;"-",AO425&gt;5),1,0)</f>
        <v>0</v>
      </c>
      <c r="AY425" s="48">
        <f>VLOOKUP(AP425,COND!$A$10:$B$32,2,FALSE)</f>
        <v>1</v>
      </c>
      <c r="AZ425" s="46">
        <f>($AU$3*AU425+$AV$3*AV425+$AW$3*AW425+$AX$3*AX425)*AY425*IF(AQ425&lt;5,0.95,IF(AQ425&lt;7,0.975,1))+$I$3*VLOOKUP(I425,COND!$A$2:$E$7,4,FALSE)+$J$3*VLOOKUP(J425,COND!$A$2:$E$7,2,FALSE)+$K$3*VLOOKUP(K425,COND!$A$2:$E$7,3,FALSE)+IF(BB425="SP",$BB$3,0)+IF($AW425&lt;3,-5,0)+IF(AND($B$2&gt;0,$E425&lt;20),$B$2*25,0)</f>
        <v>24.920601557812088</v>
      </c>
      <c r="BA425" s="49">
        <f>STANDARDIZE(AZ425,AVERAGE($AZ$5:$AZ$570),STDEVP($AZ$5:$AZ$570))</f>
        <v>-0.71544458541595835</v>
      </c>
      <c r="BB425" s="47" t="str">
        <f>IF(OR(AND(AQ425&gt;7,AX425&gt;1),AND(AQ425&gt;4,AW425&gt;2)),"SP","RP")</f>
        <v>SP</v>
      </c>
      <c r="BC425" s="47"/>
      <c r="BD425" s="47"/>
      <c r="BE425" s="47"/>
      <c r="BF425" s="47" t="str">
        <f>IF(AVERAGE($O425:$Q425)&gt;=6,"Likely",IF(AVERAGE($O425:$Q425)&gt;=4,"Possible","Unlikely"))</f>
        <v>Unlikely</v>
      </c>
      <c r="BG425" s="47"/>
      <c r="BH425" s="47" t="str">
        <f>INDEX(Table5[[#All],[Ovr]],MATCH(Table3[[#This Row],[PID]],Table5[[#All],[PID]],0))</f>
        <v/>
      </c>
      <c r="BI425" s="47" t="str">
        <f>INDEX(Table5[[#All],[Rnd]],MATCH(Table3[[#This Row],[PID]],Table5[[#All],[PID]],0))</f>
        <v/>
      </c>
      <c r="BJ425" s="47" t="str">
        <f>INDEX(Table5[[#All],[Pick]],MATCH(Table3[[#This Row],[PID]],Table5[[#All],[PID]],0))</f>
        <v/>
      </c>
      <c r="BK425" s="47" t="str">
        <f>INDEX(Table5[[#All],[Team]],MATCH(Table3[[#This Row],[PID]],Table5[[#All],[PID]],0))</f>
        <v/>
      </c>
      <c r="BL4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6" spans="1:64" ht="15" customHeight="1" x14ac:dyDescent="0.25">
      <c r="A426" s="42">
        <v>8483</v>
      </c>
      <c r="B426" s="42" t="s">
        <v>430</v>
      </c>
      <c r="C426" s="42" t="s">
        <v>1763</v>
      </c>
      <c r="D426" s="42" t="s">
        <v>571</v>
      </c>
      <c r="E426" s="42">
        <v>21</v>
      </c>
      <c r="F426" s="42" t="s">
        <v>53</v>
      </c>
      <c r="G426" s="42" t="s">
        <v>53</v>
      </c>
      <c r="H426" s="43" t="s">
        <v>721</v>
      </c>
      <c r="I426" s="44" t="s">
        <v>44</v>
      </c>
      <c r="J426" s="42" t="s">
        <v>44</v>
      </c>
      <c r="K426" s="43" t="s">
        <v>44</v>
      </c>
      <c r="L426" s="42">
        <v>1</v>
      </c>
      <c r="M426" s="42">
        <v>1</v>
      </c>
      <c r="N426" s="43">
        <v>1</v>
      </c>
      <c r="O426" s="42">
        <v>3</v>
      </c>
      <c r="P426" s="42">
        <v>2</v>
      </c>
      <c r="Q426" s="43">
        <v>3</v>
      </c>
      <c r="R426" s="42">
        <v>2</v>
      </c>
      <c r="S426" s="42">
        <v>4</v>
      </c>
      <c r="T426" s="42">
        <v>1</v>
      </c>
      <c r="U426" s="42">
        <v>1</v>
      </c>
      <c r="V426" s="42">
        <v>2</v>
      </c>
      <c r="W426" s="42">
        <v>5</v>
      </c>
      <c r="X426" s="42" t="s">
        <v>45</v>
      </c>
      <c r="Y426" s="42" t="s">
        <v>45</v>
      </c>
      <c r="Z426" s="42" t="s">
        <v>45</v>
      </c>
      <c r="AA426" s="42" t="s">
        <v>45</v>
      </c>
      <c r="AB426" s="42" t="s">
        <v>45</v>
      </c>
      <c r="AC426" s="42" t="s">
        <v>45</v>
      </c>
      <c r="AD426" s="42" t="s">
        <v>45</v>
      </c>
      <c r="AE426" s="42" t="s">
        <v>45</v>
      </c>
      <c r="AF426" s="42" t="s">
        <v>45</v>
      </c>
      <c r="AG426" s="42" t="s">
        <v>45</v>
      </c>
      <c r="AH426" s="42" t="s">
        <v>45</v>
      </c>
      <c r="AI426" s="42" t="s">
        <v>45</v>
      </c>
      <c r="AJ426" s="42" t="s">
        <v>45</v>
      </c>
      <c r="AK426" s="42" t="s">
        <v>45</v>
      </c>
      <c r="AL426" s="42" t="s">
        <v>45</v>
      </c>
      <c r="AM426" s="42" t="s">
        <v>45</v>
      </c>
      <c r="AN426" s="42" t="s">
        <v>45</v>
      </c>
      <c r="AO426" s="43" t="s">
        <v>45</v>
      </c>
      <c r="AP426" s="42" t="s">
        <v>67</v>
      </c>
      <c r="AQ426" s="42">
        <v>6</v>
      </c>
      <c r="AR426" s="50" t="s">
        <v>14</v>
      </c>
      <c r="AS426" s="45" t="s">
        <v>717</v>
      </c>
      <c r="AT426" s="45" t="s">
        <v>705</v>
      </c>
      <c r="AU426" s="46">
        <f>($O$3*(L426-$O$1)/$O$2+$P$3*(M426-$P$1)/$P$2+$Q$3*(N426-$P$1)/$Q$2)/SUM($O$3:$Q$3)</f>
        <v>-2.7014842379675978</v>
      </c>
      <c r="AV426" s="46">
        <f>($O$3*(O426-$O$1)/$O$2+$P$3*(P426-$P$1)/$P$2+$Q$3*(Q426-$Q$1)/$Q$2)/SUM($O$3:$Q$3)</f>
        <v>-1.1865339896739031</v>
      </c>
      <c r="AW426" s="47">
        <f>COUNT(R426:AO426)/2</f>
        <v>3</v>
      </c>
      <c r="AX426" s="47">
        <f>IF(AND(S426&lt;&gt;"-",S426&gt;5),1,0)+IF(AND(U426&lt;&gt;"-",U426&gt;5),1,0)+IF(AND(W426&lt;&gt;"-",W426&gt;5),1,0)+IF(AND(Y426&lt;&gt;"-",Y426&gt;5),1,0)+IF(AND(AA426&lt;&gt;"-",AA426&gt;5),1,0)+IF(AND(AC426&lt;&gt;"-",AC426&gt;5),1,0)+IF(AND(AE426&lt;&gt;"-",AE426&gt;5),1,0)+IF(AND(AG426&lt;&gt;"-",AG426&gt;5),1,0)+IF(AND(AI426&lt;&gt;"-",AI426&gt;5),1,0)+IF(AND(AK426&lt;&gt;"-",AK426&gt;5),1,0)+IF(AND(AM426&lt;&gt;"-",AM426&gt;5),1,0)+IF(AND(AO426&lt;&gt;"-",AO426&gt;5),1,0)</f>
        <v>0</v>
      </c>
      <c r="AY426" s="48">
        <f>VLOOKUP(AP426,COND!$A$10:$B$32,2,FALSE)</f>
        <v>0.9</v>
      </c>
      <c r="AZ426" s="46">
        <f>($AU$3*AU426+$AV$3*AV426+$AW$3*AW426+$AX$3*AX426)*AY426*IF(AQ426&lt;5,0.95,IF(AQ426&lt;7,0.975,1))+$I$3*VLOOKUP(I426,COND!$A$2:$E$7,4,FALSE)+$J$3*VLOOKUP(J426,COND!$A$2:$E$7,2,FALSE)+$K$3*VLOOKUP(K426,COND!$A$2:$E$7,3,FALSE)+IF(BB426="SP",$BB$3,0)+IF($AW426&lt;3,-5,0)+IF(AND($B$2&gt;0,$E426&lt;20),$B$2*25,0)</f>
        <v>26.268467997459688</v>
      </c>
      <c r="BA426" s="49">
        <f>STANDARDIZE(AZ426,AVERAGE($AZ$5:$AZ$570),STDEVP($AZ$5:$AZ$570))</f>
        <v>-0.59183947199803311</v>
      </c>
      <c r="BB426" s="47" t="str">
        <f>IF(OR(AND(AQ426&gt;7,AX426&gt;1),AND(AQ426&gt;4,AW426&gt;2)),"SP","RP")</f>
        <v>SP</v>
      </c>
      <c r="BC426" s="47"/>
      <c r="BD426" s="47"/>
      <c r="BE426" s="47"/>
      <c r="BF426" s="47" t="str">
        <f>IF(AVERAGE($O426:$Q426)&gt;=6,"Likely",IF(AVERAGE($O426:$Q426)&gt;=4,"Possible","Unlikely"))</f>
        <v>Unlikely</v>
      </c>
      <c r="BG426" s="47"/>
      <c r="BH426" s="47" t="str">
        <f>INDEX(Table5[[#All],[Ovr]],MATCH(Table3[[#This Row],[PID]],Table5[[#All],[PID]],0))</f>
        <v/>
      </c>
      <c r="BI426" s="47" t="str">
        <f>INDEX(Table5[[#All],[Rnd]],MATCH(Table3[[#This Row],[PID]],Table5[[#All],[PID]],0))</f>
        <v/>
      </c>
      <c r="BJ426" s="47" t="str">
        <f>INDEX(Table5[[#All],[Pick]],MATCH(Table3[[#This Row],[PID]],Table5[[#All],[PID]],0))</f>
        <v/>
      </c>
      <c r="BK426" s="47" t="str">
        <f>INDEX(Table5[[#All],[Team]],MATCH(Table3[[#This Row],[PID]],Table5[[#All],[PID]],0))</f>
        <v/>
      </c>
      <c r="BL4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7" spans="1:64" ht="15" customHeight="1" x14ac:dyDescent="0.25">
      <c r="A427" s="42">
        <v>17876</v>
      </c>
      <c r="B427" s="42" t="s">
        <v>430</v>
      </c>
      <c r="C427" s="42" t="s">
        <v>141</v>
      </c>
      <c r="D427" s="42" t="s">
        <v>727</v>
      </c>
      <c r="E427" s="42">
        <v>18</v>
      </c>
      <c r="F427" s="42" t="s">
        <v>62</v>
      </c>
      <c r="G427" s="42" t="s">
        <v>42</v>
      </c>
      <c r="H427" s="43" t="s">
        <v>721</v>
      </c>
      <c r="I427" s="44" t="s">
        <v>43</v>
      </c>
      <c r="J427" s="42" t="s">
        <v>43</v>
      </c>
      <c r="K427" s="43" t="s">
        <v>43</v>
      </c>
      <c r="L427" s="42">
        <v>1</v>
      </c>
      <c r="M427" s="42">
        <v>1</v>
      </c>
      <c r="N427" s="43">
        <v>1</v>
      </c>
      <c r="O427" s="42">
        <v>4</v>
      </c>
      <c r="P427" s="42">
        <v>1</v>
      </c>
      <c r="Q427" s="43">
        <v>2</v>
      </c>
      <c r="R427" s="42">
        <v>3</v>
      </c>
      <c r="S427" s="42">
        <v>5</v>
      </c>
      <c r="T427" s="42">
        <v>1</v>
      </c>
      <c r="U427" s="42">
        <v>5</v>
      </c>
      <c r="V427" s="42">
        <v>1</v>
      </c>
      <c r="W427" s="42">
        <v>2</v>
      </c>
      <c r="X427" s="42">
        <v>2</v>
      </c>
      <c r="Y427" s="42">
        <v>4</v>
      </c>
      <c r="Z427" s="42" t="s">
        <v>45</v>
      </c>
      <c r="AA427" s="42" t="s">
        <v>45</v>
      </c>
      <c r="AB427" s="42" t="s">
        <v>45</v>
      </c>
      <c r="AC427" s="42" t="s">
        <v>45</v>
      </c>
      <c r="AD427" s="42" t="s">
        <v>45</v>
      </c>
      <c r="AE427" s="42" t="s">
        <v>45</v>
      </c>
      <c r="AF427" s="42" t="s">
        <v>45</v>
      </c>
      <c r="AG427" s="42" t="s">
        <v>45</v>
      </c>
      <c r="AH427" s="42" t="s">
        <v>45</v>
      </c>
      <c r="AI427" s="42" t="s">
        <v>45</v>
      </c>
      <c r="AJ427" s="42" t="s">
        <v>45</v>
      </c>
      <c r="AK427" s="42" t="s">
        <v>45</v>
      </c>
      <c r="AL427" s="42" t="s">
        <v>45</v>
      </c>
      <c r="AM427" s="42" t="s">
        <v>45</v>
      </c>
      <c r="AN427" s="42" t="s">
        <v>45</v>
      </c>
      <c r="AO427" s="43" t="s">
        <v>45</v>
      </c>
      <c r="AP427" s="42" t="s">
        <v>64</v>
      </c>
      <c r="AQ427" s="42">
        <v>7</v>
      </c>
      <c r="AR427" s="50" t="s">
        <v>14</v>
      </c>
      <c r="AS427" s="45" t="s">
        <v>739</v>
      </c>
      <c r="AT427" s="45" t="s">
        <v>47</v>
      </c>
      <c r="AU427" s="46">
        <f>($O$3*(L427-$O$1)/$O$2+$P$3*(M427-$P$1)/$P$2+$Q$3*(N427-$P$1)/$Q$2)/SUM($O$3:$Q$3)</f>
        <v>-2.7014842379675978</v>
      </c>
      <c r="AV427" s="46">
        <f>($O$3*(O427-$O$1)/$O$2+$P$3*(P427-$P$1)/$P$2+$Q$3*(Q427-$Q$1)/$Q$2)/SUM($O$3:$Q$3)</f>
        <v>-1.4295949476488956</v>
      </c>
      <c r="AW427" s="47">
        <f>COUNT(R427:AO427)/2</f>
        <v>4</v>
      </c>
      <c r="AX427" s="47">
        <f>IF(AND(S427&lt;&gt;"-",S427&gt;5),1,0)+IF(AND(U427&lt;&gt;"-",U427&gt;5),1,0)+IF(AND(W427&lt;&gt;"-",W427&gt;5),1,0)+IF(AND(Y427&lt;&gt;"-",Y427&gt;5),1,0)+IF(AND(AA427&lt;&gt;"-",AA427&gt;5),1,0)+IF(AND(AC427&lt;&gt;"-",AC427&gt;5),1,0)+IF(AND(AE427&lt;&gt;"-",AE427&gt;5),1,0)+IF(AND(AG427&lt;&gt;"-",AG427&gt;5),1,0)+IF(AND(AI427&lt;&gt;"-",AI427&gt;5),1,0)+IF(AND(AK427&lt;&gt;"-",AK427&gt;5),1,0)+IF(AND(AM427&lt;&gt;"-",AM427&gt;5),1,0)+IF(AND(AO427&lt;&gt;"-",AO427&gt;5),1,0)</f>
        <v>0</v>
      </c>
      <c r="AY427" s="48">
        <f>VLOOKUP(AP427,COND!$A$10:$B$32,2,FALSE)</f>
        <v>1</v>
      </c>
      <c r="AZ427" s="46">
        <f>($AU$3*AU427+$AV$3*AV427+$AW$3*AW427+$AX$3*AX427)*AY427*IF(AQ427&lt;5,0.95,IF(AQ427&lt;7,0.975,1))+$I$3*VLOOKUP(I427,COND!$A$2:$E$7,4,FALSE)+$J$3*VLOOKUP(J427,COND!$A$2:$E$7,2,FALSE)+$K$3*VLOOKUP(K427,COND!$A$2:$E$7,3,FALSE)+IF(BB427="SP",$BB$3,0)+IF($AW427&lt;3,-5,0)+IF(AND($B$2&gt;0,$E427&lt;20),$B$2*25,0)</f>
        <v>24.867804199428566</v>
      </c>
      <c r="BA427" s="49">
        <f>STANDARDIZE(AZ427,AVERAGE($AZ$5:$AZ$570),STDEVP($AZ$5:$AZ$570))</f>
        <v>-0.7202863288403798</v>
      </c>
      <c r="BB427" s="47" t="str">
        <f>IF(OR(AND(AQ427&gt;7,AX427&gt;1),AND(AQ427&gt;4,AW427&gt;2)),"SP","RP")</f>
        <v>SP</v>
      </c>
      <c r="BC427" s="47"/>
      <c r="BD427" s="47"/>
      <c r="BE427" s="47"/>
      <c r="BF427" s="47" t="str">
        <f>IF(AVERAGE($O427:$Q427)&gt;=6,"Likely",IF(AVERAGE($O427:$Q427)&gt;=4,"Possible","Unlikely"))</f>
        <v>Unlikely</v>
      </c>
      <c r="BG427" s="47"/>
      <c r="BH427" s="47" t="str">
        <f>INDEX(Table5[[#All],[Ovr]],MATCH(Table3[[#This Row],[PID]],Table5[[#All],[PID]],0))</f>
        <v/>
      </c>
      <c r="BI427" s="47" t="str">
        <f>INDEX(Table5[[#All],[Rnd]],MATCH(Table3[[#This Row],[PID]],Table5[[#All],[PID]],0))</f>
        <v/>
      </c>
      <c r="BJ427" s="47" t="str">
        <f>INDEX(Table5[[#All],[Pick]],MATCH(Table3[[#This Row],[PID]],Table5[[#All],[PID]],0))</f>
        <v/>
      </c>
      <c r="BK427" s="47" t="str">
        <f>INDEX(Table5[[#All],[Team]],MATCH(Table3[[#This Row],[PID]],Table5[[#All],[PID]],0))</f>
        <v/>
      </c>
      <c r="BL4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8" spans="1:64" ht="15" customHeight="1" x14ac:dyDescent="0.25">
      <c r="A428" s="42">
        <v>10310</v>
      </c>
      <c r="B428" s="42" t="s">
        <v>24</v>
      </c>
      <c r="C428" s="42" t="s">
        <v>141</v>
      </c>
      <c r="D428" s="42" t="s">
        <v>1653</v>
      </c>
      <c r="E428" s="42">
        <v>21</v>
      </c>
      <c r="F428" s="42" t="s">
        <v>42</v>
      </c>
      <c r="G428" s="42" t="s">
        <v>42</v>
      </c>
      <c r="H428" s="43" t="s">
        <v>721</v>
      </c>
      <c r="I428" s="44" t="s">
        <v>43</v>
      </c>
      <c r="J428" s="42" t="s">
        <v>44</v>
      </c>
      <c r="K428" s="43" t="s">
        <v>43</v>
      </c>
      <c r="L428" s="42">
        <v>2</v>
      </c>
      <c r="M428" s="42">
        <v>2</v>
      </c>
      <c r="N428" s="43">
        <v>1</v>
      </c>
      <c r="O428" s="42">
        <v>4</v>
      </c>
      <c r="P428" s="42">
        <v>2</v>
      </c>
      <c r="Q428" s="43">
        <v>2</v>
      </c>
      <c r="R428" s="42">
        <v>5</v>
      </c>
      <c r="S428" s="42">
        <v>6</v>
      </c>
      <c r="T428" s="42" t="s">
        <v>45</v>
      </c>
      <c r="U428" s="42" t="s">
        <v>45</v>
      </c>
      <c r="V428" s="42">
        <v>3</v>
      </c>
      <c r="W428" s="42">
        <v>6</v>
      </c>
      <c r="X428" s="42">
        <v>3</v>
      </c>
      <c r="Y428" s="42">
        <v>5</v>
      </c>
      <c r="Z428" s="42" t="s">
        <v>45</v>
      </c>
      <c r="AA428" s="42" t="s">
        <v>45</v>
      </c>
      <c r="AB428" s="42" t="s">
        <v>45</v>
      </c>
      <c r="AC428" s="42" t="s">
        <v>45</v>
      </c>
      <c r="AD428" s="42" t="s">
        <v>45</v>
      </c>
      <c r="AE428" s="42" t="s">
        <v>45</v>
      </c>
      <c r="AF428" s="42" t="s">
        <v>45</v>
      </c>
      <c r="AG428" s="42" t="s">
        <v>45</v>
      </c>
      <c r="AH428" s="42" t="s">
        <v>45</v>
      </c>
      <c r="AI428" s="42" t="s">
        <v>45</v>
      </c>
      <c r="AJ428" s="42" t="s">
        <v>45</v>
      </c>
      <c r="AK428" s="42" t="s">
        <v>45</v>
      </c>
      <c r="AL428" s="42" t="s">
        <v>45</v>
      </c>
      <c r="AM428" s="42" t="s">
        <v>45</v>
      </c>
      <c r="AN428" s="42" t="s">
        <v>45</v>
      </c>
      <c r="AO428" s="43" t="s">
        <v>45</v>
      </c>
      <c r="AP428" s="42" t="s">
        <v>60</v>
      </c>
      <c r="AQ428" s="42">
        <v>6</v>
      </c>
      <c r="AR428" s="50" t="s">
        <v>353</v>
      </c>
      <c r="AS428" s="45" t="s">
        <v>717</v>
      </c>
      <c r="AT428" s="45" t="s">
        <v>47</v>
      </c>
      <c r="AU428" s="46">
        <f>($O$3*(L428-$O$1)/$O$2+$P$3*(M428-$P$1)/$P$2+$Q$3*(N428-$P$1)/$Q$2)/SUM($O$3:$Q$3)</f>
        <v>-2.311361197028369</v>
      </c>
      <c r="AV428" s="46">
        <f>($O$3*(O428-$O$1)/$O$2+$P$3*(P428-$P$1)/$P$2+$Q$3*(Q428-$Q$1)/$Q$2)/SUM($O$3:$Q$3)</f>
        <v>-1.23416323121884</v>
      </c>
      <c r="AW428" s="47">
        <f>COUNT(R428:AO428)/2</f>
        <v>3</v>
      </c>
      <c r="AX428" s="47">
        <f>IF(AND(S428&lt;&gt;"-",S428&gt;5),1,0)+IF(AND(U428&lt;&gt;"-",U428&gt;5),1,0)+IF(AND(W428&lt;&gt;"-",W428&gt;5),1,0)+IF(AND(Y428&lt;&gt;"-",Y428&gt;5),1,0)+IF(AND(AA428&lt;&gt;"-",AA428&gt;5),1,0)+IF(AND(AC428&lt;&gt;"-",AC428&gt;5),1,0)+IF(AND(AE428&lt;&gt;"-",AE428&gt;5),1,0)+IF(AND(AG428&lt;&gt;"-",AG428&gt;5),1,0)+IF(AND(AI428&lt;&gt;"-",AI428&gt;5),1,0)+IF(AND(AK428&lt;&gt;"-",AK428&gt;5),1,0)+IF(AND(AM428&lt;&gt;"-",AM428&gt;5),1,0)+IF(AND(AO428&lt;&gt;"-",AO428&gt;5),1,0)</f>
        <v>2</v>
      </c>
      <c r="AY428" s="48">
        <f>VLOOKUP(AP428,COND!$A$10:$B$32,2,FALSE)</f>
        <v>1.0249999999999999</v>
      </c>
      <c r="AZ428" s="46">
        <f>($AU$3*AU428+$AV$3*AV428+$AW$3*AW428+$AX$3*AX428)*AY428*IF(AQ428&lt;5,0.95,IF(AQ428&lt;7,0.975,1))+$I$3*VLOOKUP(I428,COND!$A$2:$E$7,4,FALSE)+$J$3*VLOOKUP(J428,COND!$A$2:$E$7,2,FALSE)+$K$3*VLOOKUP(K428,COND!$A$2:$E$7,3,FALSE)+IF(BB428="SP",$BB$3,0)+IF($AW428&lt;3,-5,0)+IF(AND($B$2&gt;0,$E428&lt;20),$B$2*25,0)</f>
        <v>25.567679096757391</v>
      </c>
      <c r="BA428" s="49">
        <f>STANDARDIZE(AZ428,AVERAGE($AZ$5:$AZ$570),STDEVP($AZ$5:$AZ$570))</f>
        <v>-0.65610480942714633</v>
      </c>
      <c r="BB428" s="47" t="str">
        <f>IF(OR(AND(AQ428&gt;7,AX428&gt;1),AND(AQ428&gt;4,AW428&gt;2)),"SP","RP")</f>
        <v>SP</v>
      </c>
      <c r="BC428" s="47"/>
      <c r="BD428" s="47"/>
      <c r="BE428" s="47"/>
      <c r="BF428" s="47" t="str">
        <f>IF(AVERAGE($O428:$Q428)&gt;=6,"Likely",IF(AVERAGE($O428:$Q428)&gt;=4,"Possible","Unlikely"))</f>
        <v>Unlikely</v>
      </c>
      <c r="BG428" s="47"/>
      <c r="BH428" s="47" t="str">
        <f>INDEX(Table5[[#All],[Ovr]],MATCH(Table3[[#This Row],[PID]],Table5[[#All],[PID]],0))</f>
        <v/>
      </c>
      <c r="BI428" s="47" t="str">
        <f>INDEX(Table5[[#All],[Rnd]],MATCH(Table3[[#This Row],[PID]],Table5[[#All],[PID]],0))</f>
        <v/>
      </c>
      <c r="BJ428" s="47" t="str">
        <f>INDEX(Table5[[#All],[Pick]],MATCH(Table3[[#This Row],[PID]],Table5[[#All],[PID]],0))</f>
        <v/>
      </c>
      <c r="BK428" s="47" t="str">
        <f>INDEX(Table5[[#All],[Team]],MATCH(Table3[[#This Row],[PID]],Table5[[#All],[PID]],0))</f>
        <v/>
      </c>
      <c r="BL4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9" spans="1:64" ht="15" customHeight="1" x14ac:dyDescent="0.25">
      <c r="A429" s="42">
        <v>17777</v>
      </c>
      <c r="B429" s="42" t="s">
        <v>430</v>
      </c>
      <c r="C429" s="42" t="s">
        <v>1204</v>
      </c>
      <c r="D429" s="42" t="s">
        <v>388</v>
      </c>
      <c r="E429" s="42">
        <v>21</v>
      </c>
      <c r="F429" s="42" t="s">
        <v>53</v>
      </c>
      <c r="G429" s="42" t="s">
        <v>53</v>
      </c>
      <c r="H429" s="43" t="s">
        <v>721</v>
      </c>
      <c r="I429" s="44" t="s">
        <v>43</v>
      </c>
      <c r="J429" s="42" t="s">
        <v>43</v>
      </c>
      <c r="K429" s="43" t="s">
        <v>43</v>
      </c>
      <c r="L429" s="42">
        <v>2</v>
      </c>
      <c r="M429" s="42">
        <v>1</v>
      </c>
      <c r="N429" s="43">
        <v>1</v>
      </c>
      <c r="O429" s="42">
        <v>5</v>
      </c>
      <c r="P429" s="42">
        <v>2</v>
      </c>
      <c r="Q429" s="43">
        <v>1</v>
      </c>
      <c r="R429" s="42">
        <v>3</v>
      </c>
      <c r="S429" s="42">
        <v>6</v>
      </c>
      <c r="T429" s="42">
        <v>1</v>
      </c>
      <c r="U429" s="42">
        <v>1</v>
      </c>
      <c r="V429" s="42">
        <v>2</v>
      </c>
      <c r="W429" s="42">
        <v>6</v>
      </c>
      <c r="X429" s="42" t="s">
        <v>45</v>
      </c>
      <c r="Y429" s="42" t="s">
        <v>45</v>
      </c>
      <c r="Z429" s="42" t="s">
        <v>45</v>
      </c>
      <c r="AA429" s="42" t="s">
        <v>45</v>
      </c>
      <c r="AB429" s="42" t="s">
        <v>45</v>
      </c>
      <c r="AC429" s="42" t="s">
        <v>45</v>
      </c>
      <c r="AD429" s="42" t="s">
        <v>45</v>
      </c>
      <c r="AE429" s="42" t="s">
        <v>45</v>
      </c>
      <c r="AF429" s="42" t="s">
        <v>45</v>
      </c>
      <c r="AG429" s="42" t="s">
        <v>45</v>
      </c>
      <c r="AH429" s="42" t="s">
        <v>45</v>
      </c>
      <c r="AI429" s="42" t="s">
        <v>45</v>
      </c>
      <c r="AJ429" s="42" t="s">
        <v>45</v>
      </c>
      <c r="AK429" s="42" t="s">
        <v>45</v>
      </c>
      <c r="AL429" s="42" t="s">
        <v>45</v>
      </c>
      <c r="AM429" s="42" t="s">
        <v>45</v>
      </c>
      <c r="AN429" s="42" t="s">
        <v>45</v>
      </c>
      <c r="AO429" s="43" t="s">
        <v>45</v>
      </c>
      <c r="AP429" s="42" t="s">
        <v>64</v>
      </c>
      <c r="AQ429" s="42">
        <v>7</v>
      </c>
      <c r="AR429" s="50" t="s">
        <v>353</v>
      </c>
      <c r="AS429" s="45" t="s">
        <v>45</v>
      </c>
      <c r="AT429" s="45" t="s">
        <v>47</v>
      </c>
      <c r="AU429" s="46">
        <f>($O$3*(L429-$O$1)/$O$2+$P$3*(M429-$P$1)/$P$2+$Q$3*(N429-$P$1)/$Q$2)/SUM($O$3:$Q$3)</f>
        <v>-2.5067929134584248</v>
      </c>
      <c r="AV429" s="46">
        <f>($O$3*(O429-$O$1)/$O$2+$P$3*(P429-$P$1)/$P$2+$Q$3*(Q429-$Q$1)/$Q$2)/SUM($O$3:$Q$3)</f>
        <v>-1.2817924727637771</v>
      </c>
      <c r="AW429" s="47">
        <f>COUNT(R429:AO429)/2</f>
        <v>3</v>
      </c>
      <c r="AX429" s="47">
        <f>IF(AND(S429&lt;&gt;"-",S429&gt;5),1,0)+IF(AND(U429&lt;&gt;"-",U429&gt;5),1,0)+IF(AND(W429&lt;&gt;"-",W429&gt;5),1,0)+IF(AND(Y429&lt;&gt;"-",Y429&gt;5),1,0)+IF(AND(AA429&lt;&gt;"-",AA429&gt;5),1,0)+IF(AND(AC429&lt;&gt;"-",AC429&gt;5),1,0)+IF(AND(AE429&lt;&gt;"-",AE429&gt;5),1,0)+IF(AND(AG429&lt;&gt;"-",AG429&gt;5),1,0)+IF(AND(AI429&lt;&gt;"-",AI429&gt;5),1,0)+IF(AND(AK429&lt;&gt;"-",AK429&gt;5),1,0)+IF(AND(AM429&lt;&gt;"-",AM429&gt;5),1,0)+IF(AND(AO429&lt;&gt;"-",AO429&gt;5),1,0)</f>
        <v>2</v>
      </c>
      <c r="AY429" s="48">
        <f>VLOOKUP(AP429,COND!$A$10:$B$32,2,FALSE)</f>
        <v>1</v>
      </c>
      <c r="AZ429" s="46">
        <f>($AU$3*AU429+$AV$3*AV429+$AW$3*AW429+$AX$3*AX429)*AY429*IF(AQ429&lt;5,0.95,IF(AQ429&lt;7,0.975,1))+$I$3*VLOOKUP(I429,COND!$A$2:$E$7,4,FALSE)+$J$3*VLOOKUP(J429,COND!$A$2:$E$7,2,FALSE)+$K$3*VLOOKUP(K429,COND!$A$2:$E$7,3,FALSE)+IF(BB429="SP",$BB$3,0)+IF($AW429&lt;3,-5,0)+IF(AND($B$2&gt;0,$E429&lt;20),$B$2*25,0)</f>
        <v>24.862791962032773</v>
      </c>
      <c r="BA429" s="49">
        <f>STANDARDIZE(AZ429,AVERAGE($AZ$5:$AZ$570),STDEVP($AZ$5:$AZ$570))</f>
        <v>-0.72074597243232685</v>
      </c>
      <c r="BB429" s="47" t="str">
        <f>IF(OR(AND(AQ429&gt;7,AX429&gt;1),AND(AQ429&gt;4,AW429&gt;2)),"SP","RP")</f>
        <v>SP</v>
      </c>
      <c r="BC429" s="47"/>
      <c r="BD429" s="47"/>
      <c r="BE429" s="47"/>
      <c r="BF429" s="47" t="str">
        <f>IF(AVERAGE($O429:$Q429)&gt;=6,"Likely",IF(AVERAGE($O429:$Q429)&gt;=4,"Possible","Unlikely"))</f>
        <v>Unlikely</v>
      </c>
      <c r="BG429" s="47"/>
      <c r="BH429" s="47" t="str">
        <f>INDEX(Table5[[#All],[Ovr]],MATCH(Table3[[#This Row],[PID]],Table5[[#All],[PID]],0))</f>
        <v/>
      </c>
      <c r="BI429" s="47" t="str">
        <f>INDEX(Table5[[#All],[Rnd]],MATCH(Table3[[#This Row],[PID]],Table5[[#All],[PID]],0))</f>
        <v/>
      </c>
      <c r="BJ429" s="47" t="str">
        <f>INDEX(Table5[[#All],[Pick]],MATCH(Table3[[#This Row],[PID]],Table5[[#All],[PID]],0))</f>
        <v/>
      </c>
      <c r="BK429" s="47" t="str">
        <f>INDEX(Table5[[#All],[Team]],MATCH(Table3[[#This Row],[PID]],Table5[[#All],[PID]],0))</f>
        <v/>
      </c>
      <c r="BL4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0" spans="1:64" ht="15" customHeight="1" x14ac:dyDescent="0.25">
      <c r="A430" s="42">
        <v>5328</v>
      </c>
      <c r="B430" s="42" t="s">
        <v>430</v>
      </c>
      <c r="C430" s="42" t="s">
        <v>444</v>
      </c>
      <c r="D430" s="42" t="s">
        <v>933</v>
      </c>
      <c r="E430" s="42">
        <v>22</v>
      </c>
      <c r="F430" s="42" t="s">
        <v>62</v>
      </c>
      <c r="G430" s="42" t="s">
        <v>53</v>
      </c>
      <c r="H430" s="43" t="s">
        <v>721</v>
      </c>
      <c r="I430" s="44" t="s">
        <v>43</v>
      </c>
      <c r="J430" s="42" t="s">
        <v>44</v>
      </c>
      <c r="K430" s="43" t="s">
        <v>43</v>
      </c>
      <c r="L430" s="42">
        <v>3</v>
      </c>
      <c r="M430" s="42">
        <v>1</v>
      </c>
      <c r="N430" s="43">
        <v>1</v>
      </c>
      <c r="O430" s="42">
        <v>5</v>
      </c>
      <c r="P430" s="42">
        <v>1</v>
      </c>
      <c r="Q430" s="43">
        <v>2</v>
      </c>
      <c r="R430" s="42">
        <v>5</v>
      </c>
      <c r="S430" s="42">
        <v>6</v>
      </c>
      <c r="T430" s="42">
        <v>2</v>
      </c>
      <c r="U430" s="42">
        <v>2</v>
      </c>
      <c r="V430" s="42">
        <v>4</v>
      </c>
      <c r="W430" s="42">
        <v>6</v>
      </c>
      <c r="X430" s="42" t="s">
        <v>45</v>
      </c>
      <c r="Y430" s="42" t="s">
        <v>45</v>
      </c>
      <c r="Z430" s="42" t="s">
        <v>45</v>
      </c>
      <c r="AA430" s="42" t="s">
        <v>45</v>
      </c>
      <c r="AB430" s="42" t="s">
        <v>45</v>
      </c>
      <c r="AC430" s="42" t="s">
        <v>45</v>
      </c>
      <c r="AD430" s="42" t="s">
        <v>45</v>
      </c>
      <c r="AE430" s="42" t="s">
        <v>45</v>
      </c>
      <c r="AF430" s="42" t="s">
        <v>45</v>
      </c>
      <c r="AG430" s="42" t="s">
        <v>45</v>
      </c>
      <c r="AH430" s="42" t="s">
        <v>45</v>
      </c>
      <c r="AI430" s="42" t="s">
        <v>45</v>
      </c>
      <c r="AJ430" s="42" t="s">
        <v>45</v>
      </c>
      <c r="AK430" s="42" t="s">
        <v>45</v>
      </c>
      <c r="AL430" s="42" t="s">
        <v>45</v>
      </c>
      <c r="AM430" s="42" t="s">
        <v>45</v>
      </c>
      <c r="AN430" s="42" t="s">
        <v>45</v>
      </c>
      <c r="AO430" s="43" t="s">
        <v>45</v>
      </c>
      <c r="AP430" s="42" t="s">
        <v>57</v>
      </c>
      <c r="AQ430" s="42">
        <v>7</v>
      </c>
      <c r="AR430" s="50" t="s">
        <v>357</v>
      </c>
      <c r="AS430" s="45" t="s">
        <v>45</v>
      </c>
      <c r="AT430" s="45" t="s">
        <v>47</v>
      </c>
      <c r="AU430" s="46">
        <f>($O$3*(L430-$O$1)/$O$2+$P$3*(M430-$P$1)/$P$2+$Q$3*(N430-$P$1)/$Q$2)/SUM($O$3:$Q$3)</f>
        <v>-2.3121015889492513</v>
      </c>
      <c r="AV430" s="46">
        <f>($O$3*(O430-$O$1)/$O$2+$P$3*(P430-$P$1)/$P$2+$Q$3*(Q430-$Q$1)/$Q$2)/SUM($O$3:$Q$3)</f>
        <v>-1.2349036231397219</v>
      </c>
      <c r="AW430" s="47">
        <f>COUNT(R430:AO430)/2</f>
        <v>3</v>
      </c>
      <c r="AX430" s="47">
        <f>IF(AND(S430&lt;&gt;"-",S430&gt;5),1,0)+IF(AND(U430&lt;&gt;"-",U430&gt;5),1,0)+IF(AND(W430&lt;&gt;"-",W430&gt;5),1,0)+IF(AND(Y430&lt;&gt;"-",Y430&gt;5),1,0)+IF(AND(AA430&lt;&gt;"-",AA430&gt;5),1,0)+IF(AND(AC430&lt;&gt;"-",AC430&gt;5),1,0)+IF(AND(AE430&lt;&gt;"-",AE430&gt;5),1,0)+IF(AND(AG430&lt;&gt;"-",AG430&gt;5),1,0)+IF(AND(AI430&lt;&gt;"-",AI430&gt;5),1,0)+IF(AND(AK430&lt;&gt;"-",AK430&gt;5),1,0)+IF(AND(AM430&lt;&gt;"-",AM430&gt;5),1,0)+IF(AND(AO430&lt;&gt;"-",AO430&gt;5),1,0)</f>
        <v>2</v>
      </c>
      <c r="AY430" s="48">
        <f>VLOOKUP(AP430,COND!$A$10:$B$32,2,FALSE)</f>
        <v>1</v>
      </c>
      <c r="AZ430" s="46">
        <f>($AU$3*AU430+$AV$3*AV430+$AW$3*AW430+$AX$3*AX430)*AY430*IF(AQ430&lt;5,0.95,IF(AQ430&lt;7,0.975,1))+$I$3*VLOOKUP(I430,COND!$A$2:$E$7,4,FALSE)+$J$3*VLOOKUP(J430,COND!$A$2:$E$7,2,FALSE)+$K$3*VLOOKUP(K430,COND!$A$2:$E$7,3,FALSE)+IF(BB430="SP",$BB$3,0)+IF($AW430&lt;3,-5,0)+IF(AND($B$2&gt;0,$E430&lt;20),$B$2*25,0)</f>
        <v>25.539507219415711</v>
      </c>
      <c r="BA430" s="49">
        <f>STANDARDIZE(AZ430,AVERAGE($AZ$5:$AZ$570),STDEVP($AZ$5:$AZ$570))</f>
        <v>-0.65868829098851289</v>
      </c>
      <c r="BB430" s="47" t="str">
        <f>IF(OR(AND(AQ430&gt;7,AX430&gt;1),AND(AQ430&gt;4,AW430&gt;2)),"SP","RP")</f>
        <v>SP</v>
      </c>
      <c r="BC430" s="47"/>
      <c r="BD430" s="47"/>
      <c r="BE430" s="47"/>
      <c r="BF430" s="47" t="str">
        <f>IF(AVERAGE($O430:$Q430)&gt;=6,"Likely",IF(AVERAGE($O430:$Q430)&gt;=4,"Possible","Unlikely"))</f>
        <v>Unlikely</v>
      </c>
      <c r="BG430" s="47"/>
      <c r="BH430" s="47" t="str">
        <f>INDEX(Table5[[#All],[Ovr]],MATCH(Table3[[#This Row],[PID]],Table5[[#All],[PID]],0))</f>
        <v/>
      </c>
      <c r="BI430" s="47" t="str">
        <f>INDEX(Table5[[#All],[Rnd]],MATCH(Table3[[#This Row],[PID]],Table5[[#All],[PID]],0))</f>
        <v/>
      </c>
      <c r="BJ430" s="47" t="str">
        <f>INDEX(Table5[[#All],[Pick]],MATCH(Table3[[#This Row],[PID]],Table5[[#All],[PID]],0))</f>
        <v/>
      </c>
      <c r="BK430" s="47" t="str">
        <f>INDEX(Table5[[#All],[Team]],MATCH(Table3[[#This Row],[PID]],Table5[[#All],[PID]],0))</f>
        <v/>
      </c>
      <c r="BL4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1" spans="1:64" ht="15" customHeight="1" x14ac:dyDescent="0.25">
      <c r="A431" s="42">
        <v>17981</v>
      </c>
      <c r="B431" s="42" t="s">
        <v>430</v>
      </c>
      <c r="C431" s="42" t="s">
        <v>556</v>
      </c>
      <c r="D431" s="42" t="s">
        <v>150</v>
      </c>
      <c r="E431" s="42">
        <v>20</v>
      </c>
      <c r="F431" s="42" t="s">
        <v>42</v>
      </c>
      <c r="G431" s="42" t="s">
        <v>42</v>
      </c>
      <c r="H431" s="43" t="s">
        <v>721</v>
      </c>
      <c r="I431" s="44" t="s">
        <v>43</v>
      </c>
      <c r="J431" s="42" t="s">
        <v>43</v>
      </c>
      <c r="K431" s="43" t="s">
        <v>43</v>
      </c>
      <c r="L431" s="42">
        <v>2</v>
      </c>
      <c r="M431" s="42">
        <v>2</v>
      </c>
      <c r="N431" s="43">
        <v>1</v>
      </c>
      <c r="O431" s="42">
        <v>3</v>
      </c>
      <c r="P431" s="42">
        <v>2</v>
      </c>
      <c r="Q431" s="43">
        <v>3</v>
      </c>
      <c r="R431" s="42">
        <v>3</v>
      </c>
      <c r="S431" s="42">
        <v>4</v>
      </c>
      <c r="T431" s="42">
        <v>1</v>
      </c>
      <c r="U431" s="42">
        <v>3</v>
      </c>
      <c r="V431" s="42" t="s">
        <v>45</v>
      </c>
      <c r="W431" s="42" t="s">
        <v>45</v>
      </c>
      <c r="X431" s="42" t="s">
        <v>45</v>
      </c>
      <c r="Y431" s="42" t="s">
        <v>45</v>
      </c>
      <c r="Z431" s="42" t="s">
        <v>45</v>
      </c>
      <c r="AA431" s="42" t="s">
        <v>45</v>
      </c>
      <c r="AB431" s="42">
        <v>3</v>
      </c>
      <c r="AC431" s="42">
        <v>4</v>
      </c>
      <c r="AD431" s="42" t="s">
        <v>45</v>
      </c>
      <c r="AE431" s="42" t="s">
        <v>45</v>
      </c>
      <c r="AF431" s="42">
        <v>3</v>
      </c>
      <c r="AG431" s="42">
        <v>4</v>
      </c>
      <c r="AH431" s="42" t="s">
        <v>45</v>
      </c>
      <c r="AI431" s="42" t="s">
        <v>45</v>
      </c>
      <c r="AJ431" s="42" t="s">
        <v>45</v>
      </c>
      <c r="AK431" s="42" t="s">
        <v>45</v>
      </c>
      <c r="AL431" s="42" t="s">
        <v>45</v>
      </c>
      <c r="AM431" s="42" t="s">
        <v>45</v>
      </c>
      <c r="AN431" s="42" t="s">
        <v>45</v>
      </c>
      <c r="AO431" s="43" t="s">
        <v>45</v>
      </c>
      <c r="AP431" s="42" t="s">
        <v>356</v>
      </c>
      <c r="AQ431" s="42">
        <v>10</v>
      </c>
      <c r="AR431" s="50" t="s">
        <v>353</v>
      </c>
      <c r="AS431" s="45" t="s">
        <v>45</v>
      </c>
      <c r="AT431" s="45" t="s">
        <v>47</v>
      </c>
      <c r="AU431" s="46">
        <f>($O$3*(L431-$O$1)/$O$2+$P$3*(M431-$P$1)/$P$2+$Q$3*(N431-$P$1)/$Q$2)/SUM($O$3:$Q$3)</f>
        <v>-2.311361197028369</v>
      </c>
      <c r="AV431" s="46">
        <f>($O$3*(O431-$O$1)/$O$2+$P$3*(P431-$P$1)/$P$2+$Q$3*(Q431-$Q$1)/$Q$2)/SUM($O$3:$Q$3)</f>
        <v>-1.1865339896739031</v>
      </c>
      <c r="AW431" s="47">
        <f>COUNT(R431:AO431)/2</f>
        <v>4</v>
      </c>
      <c r="AX431" s="47">
        <f>IF(AND(S431&lt;&gt;"-",S431&gt;5),1,0)+IF(AND(U431&lt;&gt;"-",U431&gt;5),1,0)+IF(AND(W431&lt;&gt;"-",W431&gt;5),1,0)+IF(AND(Y431&lt;&gt;"-",Y431&gt;5),1,0)+IF(AND(AA431&lt;&gt;"-",AA431&gt;5),1,0)+IF(AND(AC431&lt;&gt;"-",AC431&gt;5),1,0)+IF(AND(AE431&lt;&gt;"-",AE431&gt;5),1,0)+IF(AND(AG431&lt;&gt;"-",AG431&gt;5),1,0)+IF(AND(AI431&lt;&gt;"-",AI431&gt;5),1,0)+IF(AND(AK431&lt;&gt;"-",AK431&gt;5),1,0)+IF(AND(AM431&lt;&gt;"-",AM431&gt;5),1,0)+IF(AND(AO431&lt;&gt;"-",AO431&gt;5),1,0)</f>
        <v>0</v>
      </c>
      <c r="AY431" s="48">
        <f>VLOOKUP(AP431,COND!$A$10:$B$32,2,FALSE)</f>
        <v>1</v>
      </c>
      <c r="AZ431" s="46">
        <f>($AU$3*AU431+$AV$3*AV431+$AW$3*AW431+$AX$3*AX431)*AY431*IF(AQ431&lt;5,0.95,IF(AQ431&lt;7,0.975,1))+$I$3*VLOOKUP(I431,COND!$A$2:$E$7,4,FALSE)+$J$3*VLOOKUP(J431,COND!$A$2:$E$7,2,FALSE)+$K$3*VLOOKUP(K431,COND!$A$2:$E$7,3,FALSE)+IF(BB431="SP",$BB$3,0)+IF($AW431&lt;3,-5,0)+IF(AND($B$2&gt;0,$E431&lt;20),$B$2*25,0)</f>
        <v>24.807047967116265</v>
      </c>
      <c r="BA431" s="49">
        <f>STANDARDIZE(AZ431,AVERAGE($AZ$5:$AZ$570),STDEVP($AZ$5:$AZ$570))</f>
        <v>-0.72585793502101237</v>
      </c>
      <c r="BB431" s="47" t="str">
        <f>IF(OR(AND(AQ431&gt;7,AX431&gt;1),AND(AQ431&gt;4,AW431&gt;2)),"SP","RP")</f>
        <v>SP</v>
      </c>
      <c r="BC431" s="47"/>
      <c r="BD431" s="47"/>
      <c r="BE431" s="47"/>
      <c r="BF431" s="47" t="str">
        <f>IF(AVERAGE($O431:$Q431)&gt;=6,"Likely",IF(AVERAGE($O431:$Q431)&gt;=4,"Possible","Unlikely"))</f>
        <v>Unlikely</v>
      </c>
      <c r="BG431" s="47"/>
      <c r="BH431" s="47" t="str">
        <f>INDEX(Table5[[#All],[Ovr]],MATCH(Table3[[#This Row],[PID]],Table5[[#All],[PID]],0))</f>
        <v/>
      </c>
      <c r="BI431" s="47" t="str">
        <f>INDEX(Table5[[#All],[Rnd]],MATCH(Table3[[#This Row],[PID]],Table5[[#All],[PID]],0))</f>
        <v/>
      </c>
      <c r="BJ431" s="47" t="str">
        <f>INDEX(Table5[[#All],[Pick]],MATCH(Table3[[#This Row],[PID]],Table5[[#All],[PID]],0))</f>
        <v/>
      </c>
      <c r="BK431" s="47" t="str">
        <f>INDEX(Table5[[#All],[Team]],MATCH(Table3[[#This Row],[PID]],Table5[[#All],[PID]],0))</f>
        <v/>
      </c>
      <c r="BL4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2" spans="1:64" ht="15" customHeight="1" x14ac:dyDescent="0.25">
      <c r="A432" s="42">
        <v>8727</v>
      </c>
      <c r="B432" s="42" t="s">
        <v>430</v>
      </c>
      <c r="C432" s="42" t="s">
        <v>177</v>
      </c>
      <c r="D432" s="42" t="s">
        <v>399</v>
      </c>
      <c r="E432" s="42">
        <v>21</v>
      </c>
      <c r="F432" s="42" t="s">
        <v>42</v>
      </c>
      <c r="G432" s="42" t="s">
        <v>42</v>
      </c>
      <c r="H432" s="43" t="s">
        <v>721</v>
      </c>
      <c r="I432" s="44" t="s">
        <v>43</v>
      </c>
      <c r="J432" s="42" t="s">
        <v>44</v>
      </c>
      <c r="K432" s="43" t="s">
        <v>43</v>
      </c>
      <c r="L432" s="42">
        <v>2</v>
      </c>
      <c r="M432" s="42">
        <v>1</v>
      </c>
      <c r="N432" s="43">
        <v>1</v>
      </c>
      <c r="O432" s="42">
        <v>5</v>
      </c>
      <c r="P432" s="42">
        <v>1</v>
      </c>
      <c r="Q432" s="43">
        <v>2</v>
      </c>
      <c r="R432" s="42">
        <v>4</v>
      </c>
      <c r="S432" s="42">
        <v>6</v>
      </c>
      <c r="T432" s="42">
        <v>1</v>
      </c>
      <c r="U432" s="42">
        <v>1</v>
      </c>
      <c r="V432" s="42">
        <v>2</v>
      </c>
      <c r="W432" s="42">
        <v>7</v>
      </c>
      <c r="X432" s="42" t="s">
        <v>45</v>
      </c>
      <c r="Y432" s="42" t="s">
        <v>45</v>
      </c>
      <c r="Z432" s="42" t="s">
        <v>45</v>
      </c>
      <c r="AA432" s="42" t="s">
        <v>45</v>
      </c>
      <c r="AB432" s="42" t="s">
        <v>45</v>
      </c>
      <c r="AC432" s="42" t="s">
        <v>45</v>
      </c>
      <c r="AD432" s="42" t="s">
        <v>45</v>
      </c>
      <c r="AE432" s="42" t="s">
        <v>45</v>
      </c>
      <c r="AF432" s="42" t="s">
        <v>45</v>
      </c>
      <c r="AG432" s="42" t="s">
        <v>45</v>
      </c>
      <c r="AH432" s="42" t="s">
        <v>45</v>
      </c>
      <c r="AI432" s="42" t="s">
        <v>45</v>
      </c>
      <c r="AJ432" s="42" t="s">
        <v>45</v>
      </c>
      <c r="AK432" s="42" t="s">
        <v>45</v>
      </c>
      <c r="AL432" s="42" t="s">
        <v>45</v>
      </c>
      <c r="AM432" s="42" t="s">
        <v>45</v>
      </c>
      <c r="AN432" s="42" t="s">
        <v>45</v>
      </c>
      <c r="AO432" s="43" t="s">
        <v>45</v>
      </c>
      <c r="AP432" s="42" t="s">
        <v>57</v>
      </c>
      <c r="AQ432" s="42">
        <v>7</v>
      </c>
      <c r="AR432" s="50" t="s">
        <v>14</v>
      </c>
      <c r="AS432" s="45" t="s">
        <v>835</v>
      </c>
      <c r="AT432" s="45" t="s">
        <v>47</v>
      </c>
      <c r="AU432" s="46">
        <f>($O$3*(L432-$O$1)/$O$2+$P$3*(M432-$P$1)/$P$2+$Q$3*(N432-$P$1)/$Q$2)/SUM($O$3:$Q$3)</f>
        <v>-2.5067929134584248</v>
      </c>
      <c r="AV432" s="46">
        <f>($O$3*(O432-$O$1)/$O$2+$P$3*(P432-$P$1)/$P$2+$Q$3*(Q432-$Q$1)/$Q$2)/SUM($O$3:$Q$3)</f>
        <v>-1.2349036231397219</v>
      </c>
      <c r="AW432" s="47">
        <f>COUNT(R432:AO432)/2</f>
        <v>3</v>
      </c>
      <c r="AX432" s="47">
        <f>IF(AND(S432&lt;&gt;"-",S432&gt;5),1,0)+IF(AND(U432&lt;&gt;"-",U432&gt;5),1,0)+IF(AND(W432&lt;&gt;"-",W432&gt;5),1,0)+IF(AND(Y432&lt;&gt;"-",Y432&gt;5),1,0)+IF(AND(AA432&lt;&gt;"-",AA432&gt;5),1,0)+IF(AND(AC432&lt;&gt;"-",AC432&gt;5),1,0)+IF(AND(AE432&lt;&gt;"-",AE432&gt;5),1,0)+IF(AND(AG432&lt;&gt;"-",AG432&gt;5),1,0)+IF(AND(AI432&lt;&gt;"-",AI432&gt;5),1,0)+IF(AND(AK432&lt;&gt;"-",AK432&gt;5),1,0)+IF(AND(AM432&lt;&gt;"-",AM432&gt;5),1,0)+IF(AND(AO432&lt;&gt;"-",AO432&gt;5),1,0)</f>
        <v>2</v>
      </c>
      <c r="AY432" s="48">
        <f>VLOOKUP(AP432,COND!$A$10:$B$32,2,FALSE)</f>
        <v>1</v>
      </c>
      <c r="AZ432" s="46">
        <f>($AU$3*AU432+$AV$3*AV432+$AW$3*AW432+$AX$3*AX432)*AY432*IF(AQ432&lt;5,0.95,IF(AQ432&lt;7,0.975,1))+$I$3*VLOOKUP(I432,COND!$A$2:$E$7,4,FALSE)+$J$3*VLOOKUP(J432,COND!$A$2:$E$7,2,FALSE)+$K$3*VLOOKUP(K432,COND!$A$2:$E$7,3,FALSE)+IF(BB432="SP",$BB$3,0)+IF($AW432&lt;3,-5,0)+IF(AND($B$2&gt;0,$E432&lt;20),$B$2*25,0)</f>
        <v>25.500568954513874</v>
      </c>
      <c r="BA432" s="49">
        <f>STANDARDIZE(AZ432,AVERAGE($AZ$5:$AZ$570),STDEVP($AZ$5:$AZ$570))</f>
        <v>-0.66225909630565327</v>
      </c>
      <c r="BB432" s="47" t="str">
        <f>IF(OR(AND(AQ432&gt;7,AX432&gt;1),AND(AQ432&gt;4,AW432&gt;2)),"SP","RP")</f>
        <v>SP</v>
      </c>
      <c r="BC432" s="47"/>
      <c r="BD432" s="47"/>
      <c r="BE432" s="47"/>
      <c r="BF432" s="47" t="str">
        <f>IF(AVERAGE($O432:$Q432)&gt;=6,"Likely",IF(AVERAGE($O432:$Q432)&gt;=4,"Possible","Unlikely"))</f>
        <v>Unlikely</v>
      </c>
      <c r="BG432" s="47"/>
      <c r="BH432" s="47" t="str">
        <f>INDEX(Table5[[#All],[Ovr]],MATCH(Table3[[#This Row],[PID]],Table5[[#All],[PID]],0))</f>
        <v/>
      </c>
      <c r="BI432" s="47" t="str">
        <f>INDEX(Table5[[#All],[Rnd]],MATCH(Table3[[#This Row],[PID]],Table5[[#All],[PID]],0))</f>
        <v/>
      </c>
      <c r="BJ432" s="47" t="str">
        <f>INDEX(Table5[[#All],[Pick]],MATCH(Table3[[#This Row],[PID]],Table5[[#All],[PID]],0))</f>
        <v/>
      </c>
      <c r="BK432" s="47" t="str">
        <f>INDEX(Table5[[#All],[Team]],MATCH(Table3[[#This Row],[PID]],Table5[[#All],[PID]],0))</f>
        <v/>
      </c>
      <c r="BL4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3" spans="1:64" ht="15" customHeight="1" x14ac:dyDescent="0.25">
      <c r="A433" s="42">
        <v>12596</v>
      </c>
      <c r="B433" s="42" t="s">
        <v>24</v>
      </c>
      <c r="C433" s="42" t="s">
        <v>1550</v>
      </c>
      <c r="D433" s="42" t="s">
        <v>643</v>
      </c>
      <c r="E433" s="42">
        <v>21</v>
      </c>
      <c r="F433" s="42" t="s">
        <v>42</v>
      </c>
      <c r="G433" s="42" t="s">
        <v>42</v>
      </c>
      <c r="H433" s="43" t="s">
        <v>721</v>
      </c>
      <c r="I433" s="44" t="s">
        <v>43</v>
      </c>
      <c r="J433" s="42" t="s">
        <v>44</v>
      </c>
      <c r="K433" s="43" t="s">
        <v>43</v>
      </c>
      <c r="L433" s="42">
        <v>2</v>
      </c>
      <c r="M433" s="42">
        <v>1</v>
      </c>
      <c r="N433" s="43">
        <v>1</v>
      </c>
      <c r="O433" s="42">
        <v>5</v>
      </c>
      <c r="P433" s="42">
        <v>1</v>
      </c>
      <c r="Q433" s="43">
        <v>2</v>
      </c>
      <c r="R433" s="42">
        <v>5</v>
      </c>
      <c r="S433" s="42">
        <v>7</v>
      </c>
      <c r="T433" s="42">
        <v>2</v>
      </c>
      <c r="U433" s="42">
        <v>5</v>
      </c>
      <c r="V433" s="42">
        <v>4</v>
      </c>
      <c r="W433" s="42">
        <v>7</v>
      </c>
      <c r="X433" s="42" t="s">
        <v>45</v>
      </c>
      <c r="Y433" s="42" t="s">
        <v>45</v>
      </c>
      <c r="Z433" s="42" t="s">
        <v>45</v>
      </c>
      <c r="AA433" s="42" t="s">
        <v>45</v>
      </c>
      <c r="AB433" s="42" t="s">
        <v>45</v>
      </c>
      <c r="AC433" s="42" t="s">
        <v>45</v>
      </c>
      <c r="AD433" s="42" t="s">
        <v>45</v>
      </c>
      <c r="AE433" s="42" t="s">
        <v>45</v>
      </c>
      <c r="AF433" s="42" t="s">
        <v>45</v>
      </c>
      <c r="AG433" s="42" t="s">
        <v>45</v>
      </c>
      <c r="AH433" s="42" t="s">
        <v>45</v>
      </c>
      <c r="AI433" s="42" t="s">
        <v>45</v>
      </c>
      <c r="AJ433" s="42" t="s">
        <v>45</v>
      </c>
      <c r="AK433" s="42" t="s">
        <v>45</v>
      </c>
      <c r="AL433" s="42" t="s">
        <v>45</v>
      </c>
      <c r="AM433" s="42" t="s">
        <v>45</v>
      </c>
      <c r="AN433" s="42" t="s">
        <v>45</v>
      </c>
      <c r="AO433" s="43" t="s">
        <v>45</v>
      </c>
      <c r="AP433" s="42" t="s">
        <v>58</v>
      </c>
      <c r="AQ433" s="42">
        <v>7</v>
      </c>
      <c r="AR433" s="50" t="s">
        <v>14</v>
      </c>
      <c r="AS433" s="45" t="s">
        <v>45</v>
      </c>
      <c r="AT433" s="45" t="s">
        <v>47</v>
      </c>
      <c r="AU433" s="46">
        <f>($O$3*(L433-$O$1)/$O$2+$P$3*(M433-$P$1)/$P$2+$Q$3*(N433-$P$1)/$Q$2)/SUM($O$3:$Q$3)</f>
        <v>-2.5067929134584248</v>
      </c>
      <c r="AV433" s="46">
        <f>($O$3*(O433-$O$1)/$O$2+$P$3*(P433-$P$1)/$P$2+$Q$3*(Q433-$Q$1)/$Q$2)/SUM($O$3:$Q$3)</f>
        <v>-1.2349036231397219</v>
      </c>
      <c r="AW433" s="47">
        <f>COUNT(R433:AO433)/2</f>
        <v>3</v>
      </c>
      <c r="AX433" s="47">
        <f>IF(AND(S433&lt;&gt;"-",S433&gt;5),1,0)+IF(AND(U433&lt;&gt;"-",U433&gt;5),1,0)+IF(AND(W433&lt;&gt;"-",W433&gt;5),1,0)+IF(AND(Y433&lt;&gt;"-",Y433&gt;5),1,0)+IF(AND(AA433&lt;&gt;"-",AA433&gt;5),1,0)+IF(AND(AC433&lt;&gt;"-",AC433&gt;5),1,0)+IF(AND(AE433&lt;&gt;"-",AE433&gt;5),1,0)+IF(AND(AG433&lt;&gt;"-",AG433&gt;5),1,0)+IF(AND(AI433&lt;&gt;"-",AI433&gt;5),1,0)+IF(AND(AK433&lt;&gt;"-",AK433&gt;5),1,0)+IF(AND(AM433&lt;&gt;"-",AM433&gt;5),1,0)+IF(AND(AO433&lt;&gt;"-",AO433&gt;5),1,0)</f>
        <v>2</v>
      </c>
      <c r="AY433" s="48">
        <f>VLOOKUP(AP433,COND!$A$10:$B$32,2,FALSE)</f>
        <v>1</v>
      </c>
      <c r="AZ433" s="46">
        <f>($AU$3*AU433+$AV$3*AV433+$AW$3*AW433+$AX$3*AX433)*AY433*IF(AQ433&lt;5,0.95,IF(AQ433&lt;7,0.975,1))+$I$3*VLOOKUP(I433,COND!$A$2:$E$7,4,FALSE)+$J$3*VLOOKUP(J433,COND!$A$2:$E$7,2,FALSE)+$K$3*VLOOKUP(K433,COND!$A$2:$E$7,3,FALSE)+IF(BB433="SP",$BB$3,0)+IF($AW433&lt;3,-5,0)+IF(AND($B$2&gt;0,$E433&lt;20),$B$2*25,0)</f>
        <v>25.500568954513874</v>
      </c>
      <c r="BA433" s="49">
        <f>STANDARDIZE(AZ433,AVERAGE($AZ$5:$AZ$570),STDEVP($AZ$5:$AZ$570))</f>
        <v>-0.66225909630565327</v>
      </c>
      <c r="BB433" s="47" t="str">
        <f>IF(OR(AND(AQ433&gt;7,AX433&gt;1),AND(AQ433&gt;4,AW433&gt;2)),"SP","RP")</f>
        <v>SP</v>
      </c>
      <c r="BC433" s="47"/>
      <c r="BD433" s="47"/>
      <c r="BE433" s="47"/>
      <c r="BF433" s="47" t="str">
        <f>IF(AVERAGE($O433:$Q433)&gt;=6,"Likely",IF(AVERAGE($O433:$Q433)&gt;=4,"Possible","Unlikely"))</f>
        <v>Unlikely</v>
      </c>
      <c r="BG433" s="47"/>
      <c r="BH433" s="47" t="str">
        <f>INDEX(Table5[[#All],[Ovr]],MATCH(Table3[[#This Row],[PID]],Table5[[#All],[PID]],0))</f>
        <v/>
      </c>
      <c r="BI433" s="47" t="str">
        <f>INDEX(Table5[[#All],[Rnd]],MATCH(Table3[[#This Row],[PID]],Table5[[#All],[PID]],0))</f>
        <v/>
      </c>
      <c r="BJ433" s="47" t="str">
        <f>INDEX(Table5[[#All],[Pick]],MATCH(Table3[[#This Row],[PID]],Table5[[#All],[PID]],0))</f>
        <v/>
      </c>
      <c r="BK433" s="47" t="str">
        <f>INDEX(Table5[[#All],[Team]],MATCH(Table3[[#This Row],[PID]],Table5[[#All],[PID]],0))</f>
        <v/>
      </c>
      <c r="BL4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4" spans="1:64" ht="15" customHeight="1" x14ac:dyDescent="0.25">
      <c r="A434" s="42">
        <v>8017</v>
      </c>
      <c r="B434" s="42" t="s">
        <v>430</v>
      </c>
      <c r="C434" s="42" t="s">
        <v>136</v>
      </c>
      <c r="D434" s="42" t="s">
        <v>1016</v>
      </c>
      <c r="E434" s="42">
        <v>18</v>
      </c>
      <c r="F434" s="42" t="s">
        <v>42</v>
      </c>
      <c r="G434" s="42" t="s">
        <v>42</v>
      </c>
      <c r="H434" s="43" t="s">
        <v>721</v>
      </c>
      <c r="I434" s="44" t="s">
        <v>43</v>
      </c>
      <c r="J434" s="42" t="s">
        <v>44</v>
      </c>
      <c r="K434" s="43" t="s">
        <v>43</v>
      </c>
      <c r="L434" s="42">
        <v>1</v>
      </c>
      <c r="M434" s="42">
        <v>1</v>
      </c>
      <c r="N434" s="43">
        <v>1</v>
      </c>
      <c r="O434" s="42">
        <v>4</v>
      </c>
      <c r="P434" s="42">
        <v>1</v>
      </c>
      <c r="Q434" s="43">
        <v>2</v>
      </c>
      <c r="R434" s="42">
        <v>2</v>
      </c>
      <c r="S434" s="42">
        <v>3</v>
      </c>
      <c r="T434" s="42" t="s">
        <v>45</v>
      </c>
      <c r="U434" s="42" t="s">
        <v>45</v>
      </c>
      <c r="V434" s="42">
        <v>1</v>
      </c>
      <c r="W434" s="42">
        <v>5</v>
      </c>
      <c r="X434" s="42">
        <v>1</v>
      </c>
      <c r="Y434" s="42">
        <v>5</v>
      </c>
      <c r="Z434" s="42" t="s">
        <v>45</v>
      </c>
      <c r="AA434" s="42" t="s">
        <v>45</v>
      </c>
      <c r="AB434" s="42" t="s">
        <v>45</v>
      </c>
      <c r="AC434" s="42" t="s">
        <v>45</v>
      </c>
      <c r="AD434" s="42" t="s">
        <v>45</v>
      </c>
      <c r="AE434" s="42" t="s">
        <v>45</v>
      </c>
      <c r="AF434" s="42" t="s">
        <v>45</v>
      </c>
      <c r="AG434" s="42" t="s">
        <v>45</v>
      </c>
      <c r="AH434" s="42" t="s">
        <v>45</v>
      </c>
      <c r="AI434" s="42" t="s">
        <v>45</v>
      </c>
      <c r="AJ434" s="42" t="s">
        <v>45</v>
      </c>
      <c r="AK434" s="42" t="s">
        <v>45</v>
      </c>
      <c r="AL434" s="42" t="s">
        <v>45</v>
      </c>
      <c r="AM434" s="42" t="s">
        <v>45</v>
      </c>
      <c r="AN434" s="42" t="s">
        <v>45</v>
      </c>
      <c r="AO434" s="43" t="s">
        <v>45</v>
      </c>
      <c r="AP434" s="42" t="s">
        <v>65</v>
      </c>
      <c r="AQ434" s="42">
        <v>7</v>
      </c>
      <c r="AR434" s="50" t="s">
        <v>357</v>
      </c>
      <c r="AS434" s="45" t="s">
        <v>718</v>
      </c>
      <c r="AT434" s="45" t="s">
        <v>47</v>
      </c>
      <c r="AU434" s="46">
        <f>($O$3*(L434-$O$1)/$O$2+$P$3*(M434-$P$1)/$P$2+$Q$3*(N434-$P$1)/$Q$2)/SUM($O$3:$Q$3)</f>
        <v>-2.7014842379675978</v>
      </c>
      <c r="AV434" s="46">
        <f>($O$3*(O434-$O$1)/$O$2+$P$3*(P434-$P$1)/$P$2+$Q$3*(Q434-$Q$1)/$Q$2)/SUM($O$3:$Q$3)</f>
        <v>-1.4295949476488956</v>
      </c>
      <c r="AW434" s="47">
        <f>COUNT(R434:AO434)/2</f>
        <v>3</v>
      </c>
      <c r="AX434" s="47">
        <f>IF(AND(S434&lt;&gt;"-",S434&gt;5),1,0)+IF(AND(U434&lt;&gt;"-",U434&gt;5),1,0)+IF(AND(W434&lt;&gt;"-",W434&gt;5),1,0)+IF(AND(Y434&lt;&gt;"-",Y434&gt;5),1,0)+IF(AND(AA434&lt;&gt;"-",AA434&gt;5),1,0)+IF(AND(AC434&lt;&gt;"-",AC434&gt;5),1,0)+IF(AND(AE434&lt;&gt;"-",AE434&gt;5),1,0)+IF(AND(AG434&lt;&gt;"-",AG434&gt;5),1,0)+IF(AND(AI434&lt;&gt;"-",AI434&gt;5),1,0)+IF(AND(AK434&lt;&gt;"-",AK434&gt;5),1,0)+IF(AND(AM434&lt;&gt;"-",AM434&gt;5),1,0)+IF(AND(AO434&lt;&gt;"-",AO434&gt;5),1,0)</f>
        <v>0</v>
      </c>
      <c r="AY434" s="48">
        <f>VLOOKUP(AP434,COND!$A$10:$B$32,2,FALSE)</f>
        <v>0.95</v>
      </c>
      <c r="AZ434" s="46">
        <f>($AU$3*AU434+$AV$3*AV434+$AW$3*AW434+$AX$3*AX434)*AY434*IF(AQ434&lt;5,0.95,IF(AQ434&lt;7,0.975,1))+$I$3*VLOOKUP(I434,COND!$A$2:$E$7,4,FALSE)+$J$3*VLOOKUP(J434,COND!$A$2:$E$7,2,FALSE)+$K$3*VLOOKUP(K434,COND!$A$2:$E$7,3,FALSE)+IF(BB434="SP",$BB$3,0)+IF($AW434&lt;3,-5,0)+IF(AND($B$2&gt;0,$E434&lt;20),$B$2*25,0)</f>
        <v>25.449413989457138</v>
      </c>
      <c r="BA434" s="49">
        <f>STANDARDIZE(AZ434,AVERAGE($AZ$5:$AZ$570),STDEVP($AZ$5:$AZ$570))</f>
        <v>-0.66695022524227177</v>
      </c>
      <c r="BB434" s="47" t="str">
        <f>IF(OR(AND(AQ434&gt;7,AX434&gt;1),AND(AQ434&gt;4,AW434&gt;2)),"SP","RP")</f>
        <v>SP</v>
      </c>
      <c r="BC434" s="47"/>
      <c r="BD434" s="47"/>
      <c r="BE434" s="47"/>
      <c r="BF434" s="47" t="str">
        <f>IF(AVERAGE($O434:$Q434)&gt;=6,"Likely",IF(AVERAGE($O434:$Q434)&gt;=4,"Possible","Unlikely"))</f>
        <v>Unlikely</v>
      </c>
      <c r="BG434" s="47"/>
      <c r="BH434" s="47" t="str">
        <f>INDEX(Table5[[#All],[Ovr]],MATCH(Table3[[#This Row],[PID]],Table5[[#All],[PID]],0))</f>
        <v/>
      </c>
      <c r="BI434" s="47" t="str">
        <f>INDEX(Table5[[#All],[Rnd]],MATCH(Table3[[#This Row],[PID]],Table5[[#All],[PID]],0))</f>
        <v/>
      </c>
      <c r="BJ434" s="47" t="str">
        <f>INDEX(Table5[[#All],[Pick]],MATCH(Table3[[#This Row],[PID]],Table5[[#All],[PID]],0))</f>
        <v/>
      </c>
      <c r="BK434" s="47" t="str">
        <f>INDEX(Table5[[#All],[Team]],MATCH(Table3[[#This Row],[PID]],Table5[[#All],[PID]],0))</f>
        <v/>
      </c>
      <c r="BL4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5" spans="1:64" ht="15" customHeight="1" x14ac:dyDescent="0.25">
      <c r="A435" s="42">
        <v>11167</v>
      </c>
      <c r="B435" s="42" t="s">
        <v>430</v>
      </c>
      <c r="C435" s="42" t="s">
        <v>163</v>
      </c>
      <c r="D435" s="42" t="s">
        <v>1666</v>
      </c>
      <c r="E435" s="42">
        <v>21</v>
      </c>
      <c r="F435" s="42" t="s">
        <v>42</v>
      </c>
      <c r="G435" s="42" t="s">
        <v>42</v>
      </c>
      <c r="H435" s="43" t="s">
        <v>721</v>
      </c>
      <c r="I435" s="44" t="s">
        <v>43</v>
      </c>
      <c r="J435" s="42" t="s">
        <v>44</v>
      </c>
      <c r="K435" s="43" t="s">
        <v>43</v>
      </c>
      <c r="L435" s="42">
        <v>2</v>
      </c>
      <c r="M435" s="42">
        <v>2</v>
      </c>
      <c r="N435" s="43">
        <v>1</v>
      </c>
      <c r="O435" s="42">
        <v>4</v>
      </c>
      <c r="P435" s="42">
        <v>2</v>
      </c>
      <c r="Q435" s="43">
        <v>2</v>
      </c>
      <c r="R435" s="42" t="s">
        <v>45</v>
      </c>
      <c r="S435" s="42" t="s">
        <v>45</v>
      </c>
      <c r="T435" s="42">
        <v>1</v>
      </c>
      <c r="U435" s="42">
        <v>1</v>
      </c>
      <c r="V435" s="42">
        <v>3</v>
      </c>
      <c r="W435" s="42">
        <v>6</v>
      </c>
      <c r="X435" s="42" t="s">
        <v>45</v>
      </c>
      <c r="Y435" s="42" t="s">
        <v>45</v>
      </c>
      <c r="Z435" s="42" t="s">
        <v>45</v>
      </c>
      <c r="AA435" s="42" t="s">
        <v>45</v>
      </c>
      <c r="AB435" s="42" t="s">
        <v>45</v>
      </c>
      <c r="AC435" s="42" t="s">
        <v>45</v>
      </c>
      <c r="AD435" s="42">
        <v>3</v>
      </c>
      <c r="AE435" s="42">
        <v>5</v>
      </c>
      <c r="AF435" s="42" t="s">
        <v>45</v>
      </c>
      <c r="AG435" s="42" t="s">
        <v>45</v>
      </c>
      <c r="AH435" s="42" t="s">
        <v>45</v>
      </c>
      <c r="AI435" s="42" t="s">
        <v>45</v>
      </c>
      <c r="AJ435" s="42" t="s">
        <v>45</v>
      </c>
      <c r="AK435" s="42" t="s">
        <v>45</v>
      </c>
      <c r="AL435" s="42" t="s">
        <v>45</v>
      </c>
      <c r="AM435" s="42" t="s">
        <v>45</v>
      </c>
      <c r="AN435" s="42" t="s">
        <v>45</v>
      </c>
      <c r="AO435" s="43" t="s">
        <v>45</v>
      </c>
      <c r="AP435" s="42" t="s">
        <v>65</v>
      </c>
      <c r="AQ435" s="42">
        <v>8</v>
      </c>
      <c r="AR435" s="50" t="s">
        <v>353</v>
      </c>
      <c r="AS435" s="45" t="s">
        <v>45</v>
      </c>
      <c r="AT435" s="45" t="s">
        <v>47</v>
      </c>
      <c r="AU435" s="46">
        <f>($O$3*(L435-$O$1)/$O$2+$P$3*(M435-$P$1)/$P$2+$Q$3*(N435-$P$1)/$Q$2)/SUM($O$3:$Q$3)</f>
        <v>-2.311361197028369</v>
      </c>
      <c r="AV435" s="46">
        <f>($O$3*(O435-$O$1)/$O$2+$P$3*(P435-$P$1)/$P$2+$Q$3*(Q435-$Q$1)/$Q$2)/SUM($O$3:$Q$3)</f>
        <v>-1.23416323121884</v>
      </c>
      <c r="AW435" s="47">
        <f>COUNT(R435:AO435)/2</f>
        <v>3</v>
      </c>
      <c r="AX435" s="47">
        <f>IF(AND(S435&lt;&gt;"-",S435&gt;5),1,0)+IF(AND(U435&lt;&gt;"-",U435&gt;5),1,0)+IF(AND(W435&lt;&gt;"-",W435&gt;5),1,0)+IF(AND(Y435&lt;&gt;"-",Y435&gt;5),1,0)+IF(AND(AA435&lt;&gt;"-",AA435&gt;5),1,0)+IF(AND(AC435&lt;&gt;"-",AC435&gt;5),1,0)+IF(AND(AE435&lt;&gt;"-",AE435&gt;5),1,0)+IF(AND(AG435&lt;&gt;"-",AG435&gt;5),1,0)+IF(AND(AI435&lt;&gt;"-",AI435&gt;5),1,0)+IF(AND(AK435&lt;&gt;"-",AK435&gt;5),1,0)+IF(AND(AM435&lt;&gt;"-",AM435&gt;5),1,0)+IF(AND(AO435&lt;&gt;"-",AO435&gt;5),1,0)</f>
        <v>1</v>
      </c>
      <c r="AY435" s="48">
        <f>VLOOKUP(AP435,COND!$A$10:$B$32,2,FALSE)</f>
        <v>0.95</v>
      </c>
      <c r="AZ435" s="46">
        <f>($AU$3*AU435+$AV$3*AV435+$AW$3*AW435+$AX$3*AX435)*AY435*IF(AQ435&lt;5,0.95,IF(AQ435&lt;7,0.975,1))+$I$3*VLOOKUP(I435,COND!$A$2:$E$7,4,FALSE)+$J$3*VLOOKUP(J435,COND!$A$2:$E$7,2,FALSE)+$K$3*VLOOKUP(K435,COND!$A$2:$E$7,3,FALSE)+IF(BB435="SP",$BB$3,0)+IF($AW435&lt;3,-5,0)+IF(AND($B$2&gt;0,$E435&lt;20),$B$2*25,0)</f>
        <v>25.42423997940665</v>
      </c>
      <c r="BA435" s="49">
        <f>STANDARDIZE(AZ435,AVERAGE($AZ$5:$AZ$570),STDEVP($AZ$5:$AZ$570))</f>
        <v>-0.66925878955988183</v>
      </c>
      <c r="BB435" s="47" t="str">
        <f>IF(OR(AND(AQ435&gt;7,AX435&gt;1),AND(AQ435&gt;4,AW435&gt;2)),"SP","RP")</f>
        <v>SP</v>
      </c>
      <c r="BC435" s="47"/>
      <c r="BD435" s="47"/>
      <c r="BE435" s="47"/>
      <c r="BF435" s="47" t="str">
        <f>IF(AVERAGE($O435:$Q435)&gt;=6,"Likely",IF(AVERAGE($O435:$Q435)&gt;=4,"Possible","Unlikely"))</f>
        <v>Unlikely</v>
      </c>
      <c r="BG435" s="47"/>
      <c r="BH435" s="47" t="str">
        <f>INDEX(Table5[[#All],[Ovr]],MATCH(Table3[[#This Row],[PID]],Table5[[#All],[PID]],0))</f>
        <v/>
      </c>
      <c r="BI435" s="47" t="str">
        <f>INDEX(Table5[[#All],[Rnd]],MATCH(Table3[[#This Row],[PID]],Table5[[#All],[PID]],0))</f>
        <v/>
      </c>
      <c r="BJ435" s="47" t="str">
        <f>INDEX(Table5[[#All],[Pick]],MATCH(Table3[[#This Row],[PID]],Table5[[#All],[PID]],0))</f>
        <v/>
      </c>
      <c r="BK435" s="47" t="str">
        <f>INDEX(Table5[[#All],[Team]],MATCH(Table3[[#This Row],[PID]],Table5[[#All],[PID]],0))</f>
        <v/>
      </c>
      <c r="BL4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6" spans="1:64" ht="15" customHeight="1" x14ac:dyDescent="0.25">
      <c r="A436" s="42">
        <v>12091</v>
      </c>
      <c r="B436" s="42" t="s">
        <v>24</v>
      </c>
      <c r="C436" s="42" t="s">
        <v>206</v>
      </c>
      <c r="D436" s="42" t="s">
        <v>725</v>
      </c>
      <c r="E436" s="42">
        <v>21</v>
      </c>
      <c r="F436" s="42" t="s">
        <v>42</v>
      </c>
      <c r="G436" s="42" t="s">
        <v>42</v>
      </c>
      <c r="H436" s="43" t="s">
        <v>721</v>
      </c>
      <c r="I436" s="44" t="s">
        <v>43</v>
      </c>
      <c r="J436" s="42" t="s">
        <v>44</v>
      </c>
      <c r="K436" s="43" t="s">
        <v>43</v>
      </c>
      <c r="L436" s="42">
        <v>2</v>
      </c>
      <c r="M436" s="42">
        <v>2</v>
      </c>
      <c r="N436" s="43">
        <v>1</v>
      </c>
      <c r="O436" s="42">
        <v>4</v>
      </c>
      <c r="P436" s="42">
        <v>2</v>
      </c>
      <c r="Q436" s="43">
        <v>2</v>
      </c>
      <c r="R436" s="42">
        <v>4</v>
      </c>
      <c r="S436" s="42">
        <v>6</v>
      </c>
      <c r="T436" s="42">
        <v>1</v>
      </c>
      <c r="U436" s="42">
        <v>5</v>
      </c>
      <c r="V436" s="42">
        <v>2</v>
      </c>
      <c r="W436" s="42">
        <v>3</v>
      </c>
      <c r="X436" s="42">
        <v>2</v>
      </c>
      <c r="Y436" s="42">
        <v>5</v>
      </c>
      <c r="Z436" s="42" t="s">
        <v>45</v>
      </c>
      <c r="AA436" s="42" t="s">
        <v>45</v>
      </c>
      <c r="AB436" s="42" t="s">
        <v>45</v>
      </c>
      <c r="AC436" s="42" t="s">
        <v>45</v>
      </c>
      <c r="AD436" s="42" t="s">
        <v>45</v>
      </c>
      <c r="AE436" s="42" t="s">
        <v>45</v>
      </c>
      <c r="AF436" s="42" t="s">
        <v>45</v>
      </c>
      <c r="AG436" s="42" t="s">
        <v>45</v>
      </c>
      <c r="AH436" s="42" t="s">
        <v>45</v>
      </c>
      <c r="AI436" s="42" t="s">
        <v>45</v>
      </c>
      <c r="AJ436" s="42" t="s">
        <v>45</v>
      </c>
      <c r="AK436" s="42" t="s">
        <v>45</v>
      </c>
      <c r="AL436" s="42" t="s">
        <v>45</v>
      </c>
      <c r="AM436" s="42" t="s">
        <v>45</v>
      </c>
      <c r="AN436" s="42" t="s">
        <v>45</v>
      </c>
      <c r="AO436" s="43" t="s">
        <v>45</v>
      </c>
      <c r="AP436" s="42" t="s">
        <v>57</v>
      </c>
      <c r="AQ436" s="42">
        <v>5</v>
      </c>
      <c r="AR436" s="50" t="s">
        <v>353</v>
      </c>
      <c r="AS436" s="45" t="s">
        <v>717</v>
      </c>
      <c r="AT436" s="45" t="s">
        <v>705</v>
      </c>
      <c r="AU436" s="46">
        <f>($O$3*(L436-$O$1)/$O$2+$P$3*(M436-$P$1)/$P$2+$Q$3*(N436-$P$1)/$Q$2)/SUM($O$3:$Q$3)</f>
        <v>-2.311361197028369</v>
      </c>
      <c r="AV436" s="46">
        <f>($O$3*(O436-$O$1)/$O$2+$P$3*(P436-$P$1)/$P$2+$Q$3*(Q436-$Q$1)/$Q$2)/SUM($O$3:$Q$3)</f>
        <v>-1.23416323121884</v>
      </c>
      <c r="AW436" s="47">
        <f>COUNT(R436:AO436)/2</f>
        <v>4</v>
      </c>
      <c r="AX436" s="47">
        <f>IF(AND(S436&lt;&gt;"-",S436&gt;5),1,0)+IF(AND(U436&lt;&gt;"-",U436&gt;5),1,0)+IF(AND(W436&lt;&gt;"-",W436&gt;5),1,0)+IF(AND(Y436&lt;&gt;"-",Y436&gt;5),1,0)+IF(AND(AA436&lt;&gt;"-",AA436&gt;5),1,0)+IF(AND(AC436&lt;&gt;"-",AC436&gt;5),1,0)+IF(AND(AE436&lt;&gt;"-",AE436&gt;5),1,0)+IF(AND(AG436&lt;&gt;"-",AG436&gt;5),1,0)+IF(AND(AI436&lt;&gt;"-",AI436&gt;5),1,0)+IF(AND(AK436&lt;&gt;"-",AK436&gt;5),1,0)+IF(AND(AM436&lt;&gt;"-",AM436&gt;5),1,0)+IF(AND(AO436&lt;&gt;"-",AO436&gt;5),1,0)</f>
        <v>1</v>
      </c>
      <c r="AY436" s="48">
        <f>VLOOKUP(AP436,COND!$A$10:$B$32,2,FALSE)</f>
        <v>1</v>
      </c>
      <c r="AZ436" s="46">
        <f>($AU$3*AU436+$AV$3*AV436+$AW$3*AW436+$AX$3*AX436)*AY436*IF(AQ436&lt;5,0.95,IF(AQ436&lt;7,0.975,1))+$I$3*VLOOKUP(I436,COND!$A$2:$E$7,4,FALSE)+$J$3*VLOOKUP(J436,COND!$A$2:$E$7,2,FALSE)+$K$3*VLOOKUP(K436,COND!$A$2:$E$7,3,FALSE)+IF(BB436="SP",$BB$3,0)+IF($AW436&lt;3,-5,0)+IF(AND($B$2&gt;0,$E436&lt;20),$B$2*25,0)</f>
        <v>25.351851557812086</v>
      </c>
      <c r="BA436" s="49">
        <f>STANDARDIZE(AZ436,AVERAGE($AZ$5:$AZ$570),STDEVP($AZ$5:$AZ$570))</f>
        <v>-0.67589711721471979</v>
      </c>
      <c r="BB436" s="47" t="str">
        <f>IF(OR(AND(AQ436&gt;7,AX436&gt;1),AND(AQ436&gt;4,AW436&gt;2)),"SP","RP")</f>
        <v>SP</v>
      </c>
      <c r="BC436" s="47"/>
      <c r="BD436" s="47"/>
      <c r="BE436" s="47"/>
      <c r="BF436" s="47" t="str">
        <f>IF(AVERAGE($O436:$Q436)&gt;=6,"Likely",IF(AVERAGE($O436:$Q436)&gt;=4,"Possible","Unlikely"))</f>
        <v>Unlikely</v>
      </c>
      <c r="BG436" s="47"/>
      <c r="BH436" s="47" t="str">
        <f>INDEX(Table5[[#All],[Ovr]],MATCH(Table3[[#This Row],[PID]],Table5[[#All],[PID]],0))</f>
        <v/>
      </c>
      <c r="BI436" s="47" t="str">
        <f>INDEX(Table5[[#All],[Rnd]],MATCH(Table3[[#This Row],[PID]],Table5[[#All],[PID]],0))</f>
        <v/>
      </c>
      <c r="BJ436" s="47" t="str">
        <f>INDEX(Table5[[#All],[Pick]],MATCH(Table3[[#This Row],[PID]],Table5[[#All],[PID]],0))</f>
        <v/>
      </c>
      <c r="BK436" s="47" t="str">
        <f>INDEX(Table5[[#All],[Team]],MATCH(Table3[[#This Row],[PID]],Table5[[#All],[PID]],0))</f>
        <v/>
      </c>
      <c r="BL4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7" spans="1:64" ht="15" customHeight="1" x14ac:dyDescent="0.25">
      <c r="A437" s="42">
        <v>9716</v>
      </c>
      <c r="B437" s="42" t="s">
        <v>24</v>
      </c>
      <c r="C437" s="42" t="s">
        <v>802</v>
      </c>
      <c r="D437" s="42" t="s">
        <v>1606</v>
      </c>
      <c r="E437" s="42">
        <v>21</v>
      </c>
      <c r="F437" s="42" t="s">
        <v>53</v>
      </c>
      <c r="G437" s="42" t="s">
        <v>53</v>
      </c>
      <c r="H437" s="43" t="s">
        <v>721</v>
      </c>
      <c r="I437" s="44" t="s">
        <v>44</v>
      </c>
      <c r="J437" s="42" t="s">
        <v>44</v>
      </c>
      <c r="K437" s="43" t="s">
        <v>44</v>
      </c>
      <c r="L437" s="42">
        <v>2</v>
      </c>
      <c r="M437" s="42">
        <v>1</v>
      </c>
      <c r="N437" s="43">
        <v>2</v>
      </c>
      <c r="O437" s="42">
        <v>4</v>
      </c>
      <c r="P437" s="42">
        <v>1</v>
      </c>
      <c r="Q437" s="43">
        <v>3</v>
      </c>
      <c r="R437" s="42">
        <v>4</v>
      </c>
      <c r="S437" s="42">
        <v>5</v>
      </c>
      <c r="T437" s="42" t="s">
        <v>45</v>
      </c>
      <c r="U437" s="42" t="s">
        <v>45</v>
      </c>
      <c r="V437" s="42">
        <v>3</v>
      </c>
      <c r="W437" s="42">
        <v>6</v>
      </c>
      <c r="X437" s="42">
        <v>3</v>
      </c>
      <c r="Y437" s="42">
        <v>6</v>
      </c>
      <c r="Z437" s="42" t="s">
        <v>45</v>
      </c>
      <c r="AA437" s="42" t="s">
        <v>45</v>
      </c>
      <c r="AB437" s="42" t="s">
        <v>45</v>
      </c>
      <c r="AC437" s="42" t="s">
        <v>45</v>
      </c>
      <c r="AD437" s="42" t="s">
        <v>45</v>
      </c>
      <c r="AE437" s="42" t="s">
        <v>45</v>
      </c>
      <c r="AF437" s="42" t="s">
        <v>45</v>
      </c>
      <c r="AG437" s="42" t="s">
        <v>45</v>
      </c>
      <c r="AH437" s="42" t="s">
        <v>45</v>
      </c>
      <c r="AI437" s="42" t="s">
        <v>45</v>
      </c>
      <c r="AJ437" s="42" t="s">
        <v>45</v>
      </c>
      <c r="AK437" s="42" t="s">
        <v>45</v>
      </c>
      <c r="AL437" s="42" t="s">
        <v>45</v>
      </c>
      <c r="AM437" s="42" t="s">
        <v>45</v>
      </c>
      <c r="AN437" s="42" t="s">
        <v>45</v>
      </c>
      <c r="AO437" s="43" t="s">
        <v>45</v>
      </c>
      <c r="AP437" s="42" t="s">
        <v>56</v>
      </c>
      <c r="AQ437" s="42">
        <v>9</v>
      </c>
      <c r="AR437" s="50" t="s">
        <v>14</v>
      </c>
      <c r="AS437" s="45" t="s">
        <v>717</v>
      </c>
      <c r="AT437" s="45" t="s">
        <v>47</v>
      </c>
      <c r="AU437" s="46">
        <f>($O$3*(L437-$O$1)/$O$2+$P$3*(M437-$P$1)/$P$2+$Q$3*(N437-$P$1)/$Q$2)/SUM($O$3:$Q$3)</f>
        <v>-2.2644723474043147</v>
      </c>
      <c r="AV437" s="46">
        <f>($O$3*(O437-$O$1)/$O$2+$P$3*(P437-$P$1)/$P$2+$Q$3*(Q437-$Q$1)/$Q$2)/SUM($O$3:$Q$3)</f>
        <v>-1.1872743815947853</v>
      </c>
      <c r="AW437" s="47">
        <f>COUNT(R437:AO437)/2</f>
        <v>3</v>
      </c>
      <c r="AX437" s="47">
        <f>IF(AND(S437&lt;&gt;"-",S437&gt;5),1,0)+IF(AND(U437&lt;&gt;"-",U437&gt;5),1,0)+IF(AND(W437&lt;&gt;"-",W437&gt;5),1,0)+IF(AND(Y437&lt;&gt;"-",Y437&gt;5),1,0)+IF(AND(AA437&lt;&gt;"-",AA437&gt;5),1,0)+IF(AND(AC437&lt;&gt;"-",AC437&gt;5),1,0)+IF(AND(AE437&lt;&gt;"-",AE437&gt;5),1,0)+IF(AND(AG437&lt;&gt;"-",AG437&gt;5),1,0)+IF(AND(AI437&lt;&gt;"-",AI437&gt;5),1,0)+IF(AND(AK437&lt;&gt;"-",AK437&gt;5),1,0)+IF(AND(AM437&lt;&gt;"-",AM437&gt;5),1,0)+IF(AND(AO437&lt;&gt;"-",AO437&gt;5),1,0)</f>
        <v>2</v>
      </c>
      <c r="AY437" s="48">
        <f>VLOOKUP(AP437,COND!$A$10:$B$32,2,FALSE)</f>
        <v>1</v>
      </c>
      <c r="AZ437" s="46">
        <f>($AU$3*AU437+$AV$3*AV437+$AW$3*AW437+$AX$3*AX437)*AY437*IF(AQ437&lt;5,0.95,IF(AQ437&lt;7,0.975,1))+$I$3*VLOOKUP(I437,COND!$A$2:$E$7,4,FALSE)+$J$3*VLOOKUP(J437,COND!$A$2:$E$7,2,FALSE)+$K$3*VLOOKUP(K437,COND!$A$2:$E$7,3,FALSE)+IF(BB437="SP",$BB$3,0)+IF($AW437&lt;3,-5,0)+IF(AND($B$2&gt;0,$E437&lt;20),$B$2*25,0)</f>
        <v>26.051617898623427</v>
      </c>
      <c r="BA437" s="49">
        <f>STANDARDIZE(AZ437,AVERAGE($AZ$5:$AZ$570),STDEVP($AZ$5:$AZ$570))</f>
        <v>-0.61172555289812003</v>
      </c>
      <c r="BB437" s="47" t="str">
        <f>IF(OR(AND(AQ437&gt;7,AX437&gt;1),AND(AQ437&gt;4,AW437&gt;2)),"SP","RP")</f>
        <v>SP</v>
      </c>
      <c r="BC437" s="47"/>
      <c r="BD437" s="47"/>
      <c r="BE437" s="47"/>
      <c r="BF437" s="47" t="str">
        <f>IF(AVERAGE($O437:$Q437)&gt;=6,"Likely",IF(AVERAGE($O437:$Q437)&gt;=4,"Possible","Unlikely"))</f>
        <v>Unlikely</v>
      </c>
      <c r="BG437" s="47"/>
      <c r="BH437" s="47" t="str">
        <f>INDEX(Table5[[#All],[Ovr]],MATCH(Table3[[#This Row],[PID]],Table5[[#All],[PID]],0))</f>
        <v/>
      </c>
      <c r="BI437" s="47" t="str">
        <f>INDEX(Table5[[#All],[Rnd]],MATCH(Table3[[#This Row],[PID]],Table5[[#All],[PID]],0))</f>
        <v/>
      </c>
      <c r="BJ437" s="47" t="str">
        <f>INDEX(Table5[[#All],[Pick]],MATCH(Table3[[#This Row],[PID]],Table5[[#All],[PID]],0))</f>
        <v/>
      </c>
      <c r="BK437" s="47" t="str">
        <f>INDEX(Table5[[#All],[Team]],MATCH(Table3[[#This Row],[PID]],Table5[[#All],[PID]],0))</f>
        <v/>
      </c>
      <c r="BL4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8" spans="1:64" ht="15" customHeight="1" x14ac:dyDescent="0.25">
      <c r="A438" s="42">
        <v>5932</v>
      </c>
      <c r="B438" s="42" t="s">
        <v>430</v>
      </c>
      <c r="C438" s="42" t="s">
        <v>151</v>
      </c>
      <c r="D438" s="42" t="s">
        <v>816</v>
      </c>
      <c r="E438" s="42">
        <v>18</v>
      </c>
      <c r="F438" s="42" t="s">
        <v>53</v>
      </c>
      <c r="G438" s="42" t="s">
        <v>53</v>
      </c>
      <c r="H438" s="43" t="s">
        <v>721</v>
      </c>
      <c r="I438" s="44" t="s">
        <v>44</v>
      </c>
      <c r="J438" s="42" t="s">
        <v>43</v>
      </c>
      <c r="K438" s="43" t="s">
        <v>43</v>
      </c>
      <c r="L438" s="42">
        <v>1</v>
      </c>
      <c r="M438" s="42">
        <v>2</v>
      </c>
      <c r="N438" s="43">
        <v>1</v>
      </c>
      <c r="O438" s="42">
        <v>3</v>
      </c>
      <c r="P438" s="42">
        <v>2</v>
      </c>
      <c r="Q438" s="43">
        <v>2</v>
      </c>
      <c r="R438" s="42">
        <v>3</v>
      </c>
      <c r="S438" s="42">
        <v>4</v>
      </c>
      <c r="T438" s="42">
        <v>1</v>
      </c>
      <c r="U438" s="42">
        <v>3</v>
      </c>
      <c r="V438" s="42">
        <v>1</v>
      </c>
      <c r="W438" s="42">
        <v>3</v>
      </c>
      <c r="X438" s="42">
        <v>2</v>
      </c>
      <c r="Y438" s="42">
        <v>3</v>
      </c>
      <c r="Z438" s="42" t="s">
        <v>45</v>
      </c>
      <c r="AA438" s="42" t="s">
        <v>45</v>
      </c>
      <c r="AB438" s="42" t="s">
        <v>45</v>
      </c>
      <c r="AC438" s="42" t="s">
        <v>45</v>
      </c>
      <c r="AD438" s="42" t="s">
        <v>45</v>
      </c>
      <c r="AE438" s="42" t="s">
        <v>45</v>
      </c>
      <c r="AF438" s="42" t="s">
        <v>45</v>
      </c>
      <c r="AG438" s="42" t="s">
        <v>45</v>
      </c>
      <c r="AH438" s="42" t="s">
        <v>45</v>
      </c>
      <c r="AI438" s="42" t="s">
        <v>45</v>
      </c>
      <c r="AJ438" s="42" t="s">
        <v>45</v>
      </c>
      <c r="AK438" s="42" t="s">
        <v>45</v>
      </c>
      <c r="AL438" s="42" t="s">
        <v>45</v>
      </c>
      <c r="AM438" s="42" t="s">
        <v>45</v>
      </c>
      <c r="AN438" s="42" t="s">
        <v>45</v>
      </c>
      <c r="AO438" s="43" t="s">
        <v>45</v>
      </c>
      <c r="AP438" s="42" t="s">
        <v>64</v>
      </c>
      <c r="AQ438" s="42">
        <v>6</v>
      </c>
      <c r="AR438" s="50" t="s">
        <v>353</v>
      </c>
      <c r="AS438" s="45" t="s">
        <v>606</v>
      </c>
      <c r="AT438" s="45" t="s">
        <v>47</v>
      </c>
      <c r="AU438" s="46">
        <f>($O$3*(L438-$O$1)/$O$2+$P$3*(M438-$P$1)/$P$2+$Q$3*(N438-$P$1)/$Q$2)/SUM($O$3:$Q$3)</f>
        <v>-2.5060525215375429</v>
      </c>
      <c r="AV438" s="46">
        <f>($O$3*(O438-$O$1)/$O$2+$P$3*(P438-$P$1)/$P$2+$Q$3*(Q438-$Q$1)/$Q$2)/SUM($O$3:$Q$3)</f>
        <v>-1.4288545557280135</v>
      </c>
      <c r="AW438" s="47">
        <f>COUNT(R438:AO438)/2</f>
        <v>4</v>
      </c>
      <c r="AX438" s="47">
        <f>IF(AND(S438&lt;&gt;"-",S438&gt;5),1,0)+IF(AND(U438&lt;&gt;"-",U438&gt;5),1,0)+IF(AND(W438&lt;&gt;"-",W438&gt;5),1,0)+IF(AND(Y438&lt;&gt;"-",Y438&gt;5),1,0)+IF(AND(AA438&lt;&gt;"-",AA438&gt;5),1,0)+IF(AND(AC438&lt;&gt;"-",AC438&gt;5),1,0)+IF(AND(AE438&lt;&gt;"-",AE438&gt;5),1,0)+IF(AND(AG438&lt;&gt;"-",AG438&gt;5),1,0)+IF(AND(AI438&lt;&gt;"-",AI438&gt;5),1,0)+IF(AND(AK438&lt;&gt;"-",AK438&gt;5),1,0)+IF(AND(AM438&lt;&gt;"-",AM438&gt;5),1,0)+IF(AND(AO438&lt;&gt;"-",AO438&gt;5),1,0)</f>
        <v>0</v>
      </c>
      <c r="AY438" s="48">
        <f>VLOOKUP(AP438,COND!$A$10:$B$32,2,FALSE)</f>
        <v>1</v>
      </c>
      <c r="AZ438" s="46">
        <f>($AU$3*AU438+$AV$3*AV438+$AW$3*AW438+$AX$3*AX438)*AY438*IF(AQ438&lt;5,0.95,IF(AQ438&lt;7,0.975,1))+$I$3*VLOOKUP(I438,COND!$A$2:$E$7,4,FALSE)+$J$3*VLOOKUP(J438,COND!$A$2:$E$7,2,FALSE)+$K$3*VLOOKUP(K438,COND!$A$2:$E$7,3,FALSE)+IF(BB438="SP",$BB$3,0)+IF($AW438&lt;3,-5,0)+IF(AND($B$2&gt;0,$E438&lt;20),$B$2*25,0)</f>
        <v>25.448655921603915</v>
      </c>
      <c r="BA438" s="49">
        <f>STANDARDIZE(AZ438,AVERAGE($AZ$5:$AZ$676),STDEVP($AZ$5:$AZ$676))</f>
        <v>-0.43353191631570354</v>
      </c>
      <c r="BB438" s="47" t="str">
        <f>IF(OR(AND(AQ438&gt;7,AX438&gt;1),AND(AQ438&gt;4,AW438&gt;2)),"SP","RP")</f>
        <v>SP</v>
      </c>
      <c r="BC438" s="47"/>
      <c r="BD438" s="47"/>
      <c r="BE438" s="47"/>
      <c r="BF438" s="47" t="str">
        <f>IF(AVERAGE($O438:$Q438)&gt;=6,"Likely",IF(AVERAGE($O438:$Q438)&gt;=4,"Possible","Unlikely"))</f>
        <v>Unlikely</v>
      </c>
      <c r="BG438" s="47"/>
      <c r="BH438" s="47" t="str">
        <f>INDEX(Table5[[#All],[Ovr]],MATCH(Table3[[#This Row],[PID]],Table5[[#All],[PID]],0))</f>
        <v/>
      </c>
      <c r="BI438" s="47" t="str">
        <f>INDEX(Table5[[#All],[Rnd]],MATCH(Table3[[#This Row],[PID]],Table5[[#All],[PID]],0))</f>
        <v/>
      </c>
      <c r="BJ438" s="47" t="str">
        <f>INDEX(Table5[[#All],[Pick]],MATCH(Table3[[#This Row],[PID]],Table5[[#All],[PID]],0))</f>
        <v/>
      </c>
      <c r="BK438" s="47" t="str">
        <f>INDEX(Table5[[#All],[Team]],MATCH(Table3[[#This Row],[PID]],Table5[[#All],[PID]],0))</f>
        <v/>
      </c>
      <c r="BL4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9" spans="1:64" ht="15" customHeight="1" x14ac:dyDescent="0.25">
      <c r="A439" s="42">
        <v>6335</v>
      </c>
      <c r="B439" s="42" t="s">
        <v>430</v>
      </c>
      <c r="C439" s="42" t="s">
        <v>1465</v>
      </c>
      <c r="D439" s="42" t="s">
        <v>470</v>
      </c>
      <c r="E439" s="42">
        <v>17</v>
      </c>
      <c r="F439" s="42" t="s">
        <v>42</v>
      </c>
      <c r="G439" s="42" t="s">
        <v>42</v>
      </c>
      <c r="H439" s="43" t="s">
        <v>721</v>
      </c>
      <c r="I439" s="44" t="s">
        <v>43</v>
      </c>
      <c r="J439" s="42" t="s">
        <v>44</v>
      </c>
      <c r="K439" s="43" t="s">
        <v>43</v>
      </c>
      <c r="L439" s="42">
        <v>2</v>
      </c>
      <c r="M439" s="42">
        <v>1</v>
      </c>
      <c r="N439" s="43">
        <v>1</v>
      </c>
      <c r="O439" s="42">
        <v>4</v>
      </c>
      <c r="P439" s="42">
        <v>2</v>
      </c>
      <c r="Q439" s="43">
        <v>1</v>
      </c>
      <c r="R439" s="42">
        <v>3</v>
      </c>
      <c r="S439" s="42">
        <v>5</v>
      </c>
      <c r="T439" s="42" t="s">
        <v>45</v>
      </c>
      <c r="U439" s="42" t="s">
        <v>45</v>
      </c>
      <c r="V439" s="42">
        <v>2</v>
      </c>
      <c r="W439" s="42">
        <v>5</v>
      </c>
      <c r="X439" s="42">
        <v>2</v>
      </c>
      <c r="Y439" s="42">
        <v>5</v>
      </c>
      <c r="Z439" s="42" t="s">
        <v>45</v>
      </c>
      <c r="AA439" s="42" t="s">
        <v>45</v>
      </c>
      <c r="AB439" s="42" t="s">
        <v>45</v>
      </c>
      <c r="AC439" s="42" t="s">
        <v>45</v>
      </c>
      <c r="AD439" s="42" t="s">
        <v>45</v>
      </c>
      <c r="AE439" s="42" t="s">
        <v>45</v>
      </c>
      <c r="AF439" s="42" t="s">
        <v>45</v>
      </c>
      <c r="AG439" s="42" t="s">
        <v>45</v>
      </c>
      <c r="AH439" s="42" t="s">
        <v>45</v>
      </c>
      <c r="AI439" s="42" t="s">
        <v>45</v>
      </c>
      <c r="AJ439" s="42" t="s">
        <v>45</v>
      </c>
      <c r="AK439" s="42" t="s">
        <v>45</v>
      </c>
      <c r="AL439" s="42" t="s">
        <v>45</v>
      </c>
      <c r="AM439" s="42" t="s">
        <v>45</v>
      </c>
      <c r="AN439" s="42" t="s">
        <v>45</v>
      </c>
      <c r="AO439" s="43" t="s">
        <v>45</v>
      </c>
      <c r="AP439" s="42" t="s">
        <v>68</v>
      </c>
      <c r="AQ439" s="42">
        <v>5</v>
      </c>
      <c r="AR439" s="50" t="s">
        <v>14</v>
      </c>
      <c r="AS439" s="45" t="s">
        <v>739</v>
      </c>
      <c r="AT439" s="45" t="s">
        <v>47</v>
      </c>
      <c r="AU439" s="46">
        <f>($O$3*(L439-$O$1)/$O$2+$P$3*(M439-$P$1)/$P$2+$Q$3*(N439-$P$1)/$Q$2)/SUM($O$3:$Q$3)</f>
        <v>-2.5067929134584248</v>
      </c>
      <c r="AV439" s="46">
        <f>($O$3*(O439-$O$1)/$O$2+$P$3*(P439-$P$1)/$P$2+$Q$3*(Q439-$Q$1)/$Q$2)/SUM($O$3:$Q$3)</f>
        <v>-1.4764837972729503</v>
      </c>
      <c r="AW439" s="47">
        <f>COUNT(R439:AO439)/2</f>
        <v>3</v>
      </c>
      <c r="AX439" s="47">
        <f>IF(AND(S439&lt;&gt;"-",S439&gt;5),1,0)+IF(AND(U439&lt;&gt;"-",U439&gt;5),1,0)+IF(AND(W439&lt;&gt;"-",W439&gt;5),1,0)+IF(AND(Y439&lt;&gt;"-",Y439&gt;5),1,0)+IF(AND(AA439&lt;&gt;"-",AA439&gt;5),1,0)+IF(AND(AC439&lt;&gt;"-",AC439&gt;5),1,0)+IF(AND(AE439&lt;&gt;"-",AE439&gt;5),1,0)+IF(AND(AG439&lt;&gt;"-",AG439&gt;5),1,0)+IF(AND(AI439&lt;&gt;"-",AI439&gt;5),1,0)+IF(AND(AK439&lt;&gt;"-",AK439&gt;5),1,0)+IF(AND(AM439&lt;&gt;"-",AM439&gt;5),1,0)+IF(AND(AO439&lt;&gt;"-",AO439&gt;5),1,0)</f>
        <v>0</v>
      </c>
      <c r="AY439" s="48">
        <f>VLOOKUP(AP439,COND!$A$10:$B$32,2,FALSE)</f>
        <v>0.95</v>
      </c>
      <c r="AZ439" s="46">
        <f>($AU$3*AU439+$AV$3*AV439+$AW$3*AW439+$AX$3*AX439)*AY439*IF(AQ439&lt;5,0.95,IF(AQ439&lt;7,0.975,1))+$I$3*VLOOKUP(I439,COND!$A$2:$E$7,4,FALSE)+$J$3*VLOOKUP(J439,COND!$A$2:$E$7,2,FALSE)+$K$3*VLOOKUP(K439,COND!$A$2:$E$7,3,FALSE)+IF(BB439="SP",$BB$3,0)+IF($AW439&lt;3,-5,0)+IF(AND($B$2&gt;0,$E439&lt;20),$B$2*25,0)</f>
        <v>25.273129268300423</v>
      </c>
      <c r="BA439" s="49">
        <f>STANDARDIZE(AZ439,AVERAGE($AZ$5:$AZ$570),STDEVP($AZ$5:$AZ$570))</f>
        <v>-0.68311628762907628</v>
      </c>
      <c r="BB439" s="47" t="str">
        <f>IF(OR(AND(AQ439&gt;7,AX439&gt;1),AND(AQ439&gt;4,AW439&gt;2)),"SP","RP")</f>
        <v>SP</v>
      </c>
      <c r="BC439" s="47"/>
      <c r="BD439" s="47"/>
      <c r="BE439" s="47"/>
      <c r="BF439" s="47" t="str">
        <f>IF(AVERAGE($O439:$Q439)&gt;=6,"Likely",IF(AVERAGE($O439:$Q439)&gt;=4,"Possible","Unlikely"))</f>
        <v>Unlikely</v>
      </c>
      <c r="BG439" s="47"/>
      <c r="BH439" s="47" t="str">
        <f>INDEX(Table5[[#All],[Ovr]],MATCH(Table3[[#This Row],[PID]],Table5[[#All],[PID]],0))</f>
        <v/>
      </c>
      <c r="BI439" s="47" t="str">
        <f>INDEX(Table5[[#All],[Rnd]],MATCH(Table3[[#This Row],[PID]],Table5[[#All],[PID]],0))</f>
        <v/>
      </c>
      <c r="BJ439" s="47" t="str">
        <f>INDEX(Table5[[#All],[Pick]],MATCH(Table3[[#This Row],[PID]],Table5[[#All],[PID]],0))</f>
        <v/>
      </c>
      <c r="BK439" s="47" t="str">
        <f>INDEX(Table5[[#All],[Team]],MATCH(Table3[[#This Row],[PID]],Table5[[#All],[PID]],0))</f>
        <v/>
      </c>
      <c r="BL4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0" spans="1:64" ht="15" customHeight="1" x14ac:dyDescent="0.25">
      <c r="A440" s="42">
        <v>15579</v>
      </c>
      <c r="B440" s="42" t="s">
        <v>430</v>
      </c>
      <c r="C440" s="42" t="s">
        <v>1684</v>
      </c>
      <c r="D440" s="42" t="s">
        <v>1685</v>
      </c>
      <c r="E440" s="42">
        <v>21</v>
      </c>
      <c r="F440" s="42" t="s">
        <v>42</v>
      </c>
      <c r="G440" s="42" t="s">
        <v>42</v>
      </c>
      <c r="H440" s="43" t="s">
        <v>721</v>
      </c>
      <c r="I440" s="44" t="s">
        <v>43</v>
      </c>
      <c r="J440" s="42" t="s">
        <v>44</v>
      </c>
      <c r="K440" s="43" t="s">
        <v>47</v>
      </c>
      <c r="L440" s="42">
        <v>1</v>
      </c>
      <c r="M440" s="42">
        <v>2</v>
      </c>
      <c r="N440" s="43">
        <v>1</v>
      </c>
      <c r="O440" s="42">
        <v>4</v>
      </c>
      <c r="P440" s="42">
        <v>2</v>
      </c>
      <c r="Q440" s="43">
        <v>2</v>
      </c>
      <c r="R440" s="42">
        <v>3</v>
      </c>
      <c r="S440" s="42">
        <v>5</v>
      </c>
      <c r="T440" s="42">
        <v>1</v>
      </c>
      <c r="U440" s="42">
        <v>6</v>
      </c>
      <c r="V440" s="42" t="s">
        <v>45</v>
      </c>
      <c r="W440" s="42" t="s">
        <v>45</v>
      </c>
      <c r="X440" s="42">
        <v>2</v>
      </c>
      <c r="Y440" s="42">
        <v>2</v>
      </c>
      <c r="Z440" s="42" t="s">
        <v>45</v>
      </c>
      <c r="AA440" s="42" t="s">
        <v>45</v>
      </c>
      <c r="AB440" s="42" t="s">
        <v>45</v>
      </c>
      <c r="AC440" s="42" t="s">
        <v>45</v>
      </c>
      <c r="AD440" s="42" t="s">
        <v>45</v>
      </c>
      <c r="AE440" s="42" t="s">
        <v>45</v>
      </c>
      <c r="AF440" s="42" t="s">
        <v>45</v>
      </c>
      <c r="AG440" s="42" t="s">
        <v>45</v>
      </c>
      <c r="AH440" s="42" t="s">
        <v>45</v>
      </c>
      <c r="AI440" s="42" t="s">
        <v>45</v>
      </c>
      <c r="AJ440" s="42" t="s">
        <v>45</v>
      </c>
      <c r="AK440" s="42" t="s">
        <v>45</v>
      </c>
      <c r="AL440" s="42" t="s">
        <v>45</v>
      </c>
      <c r="AM440" s="42" t="s">
        <v>45</v>
      </c>
      <c r="AN440" s="42" t="s">
        <v>45</v>
      </c>
      <c r="AO440" s="43" t="s">
        <v>45</v>
      </c>
      <c r="AP440" s="42" t="s">
        <v>64</v>
      </c>
      <c r="AQ440" s="42">
        <v>8</v>
      </c>
      <c r="AR440" s="50" t="s">
        <v>353</v>
      </c>
      <c r="AS440" s="45" t="s">
        <v>45</v>
      </c>
      <c r="AT440" s="45" t="s">
        <v>47</v>
      </c>
      <c r="AU440" s="46">
        <f>($O$3*(L440-$O$1)/$O$2+$P$3*(M440-$P$1)/$P$2+$Q$3*(N440-$P$1)/$Q$2)/SUM($O$3:$Q$3)</f>
        <v>-2.5060525215375429</v>
      </c>
      <c r="AV440" s="46">
        <f>($O$3*(O440-$O$1)/$O$2+$P$3*(P440-$P$1)/$P$2+$Q$3*(Q440-$Q$1)/$Q$2)/SUM($O$3:$Q$3)</f>
        <v>-1.23416323121884</v>
      </c>
      <c r="AW440" s="47">
        <f>COUNT(R440:AO440)/2</f>
        <v>3</v>
      </c>
      <c r="AX440" s="47">
        <f>IF(AND(S440&lt;&gt;"-",S440&gt;5),1,0)+IF(AND(U440&lt;&gt;"-",U440&gt;5),1,0)+IF(AND(W440&lt;&gt;"-",W440&gt;5),1,0)+IF(AND(Y440&lt;&gt;"-",Y440&gt;5),1,0)+IF(AND(AA440&lt;&gt;"-",AA440&gt;5),1,0)+IF(AND(AC440&lt;&gt;"-",AC440&gt;5),1,0)+IF(AND(AE440&lt;&gt;"-",AE440&gt;5),1,0)+IF(AND(AG440&lt;&gt;"-",AG440&gt;5),1,0)+IF(AND(AI440&lt;&gt;"-",AI440&gt;5),1,0)+IF(AND(AK440&lt;&gt;"-",AK440&gt;5),1,0)+IF(AND(AM440&lt;&gt;"-",AM440&gt;5),1,0)+IF(AND(AO440&lt;&gt;"-",AO440&gt;5),1,0)</f>
        <v>1</v>
      </c>
      <c r="AY440" s="48">
        <f>VLOOKUP(AP440,COND!$A$10:$B$32,2,FALSE)</f>
        <v>1</v>
      </c>
      <c r="AZ440" s="46">
        <f>($AU$3*AU440+$AV$3*AV440+$AW$3*AW440+$AX$3*AX440)*AY440*IF(AQ440&lt;5,0.95,IF(AQ440&lt;7,0.975,1))+$I$3*VLOOKUP(I440,COND!$A$2:$E$7,4,FALSE)+$J$3*VLOOKUP(J440,COND!$A$2:$E$7,2,FALSE)+$K$3*VLOOKUP(K440,COND!$A$2:$E$7,3,FALSE)+IF(BB440="SP",$BB$3,0)+IF($AW440&lt;3,-5,0)+IF(AND($B$2&gt;0,$E440&lt;20),$B$2*25,0)</f>
        <v>24.565524871315692</v>
      </c>
      <c r="BA440" s="49">
        <f>STANDARDIZE(AZ440,AVERAGE($AZ$5:$AZ$570),STDEVP($AZ$5:$AZ$570))</f>
        <v>-0.74800663519733213</v>
      </c>
      <c r="BB440" s="47" t="str">
        <f>IF(OR(AND(AQ440&gt;7,AX440&gt;1),AND(AQ440&gt;4,AW440&gt;2)),"SP","RP")</f>
        <v>SP</v>
      </c>
      <c r="BC440" s="47"/>
      <c r="BD440" s="47"/>
      <c r="BE440" s="47"/>
      <c r="BF440" s="47" t="str">
        <f>IF(AVERAGE($O440:$Q440)&gt;=6,"Likely",IF(AVERAGE($O440:$Q440)&gt;=4,"Possible","Unlikely"))</f>
        <v>Unlikely</v>
      </c>
      <c r="BG440" s="47"/>
      <c r="BH440" s="47" t="str">
        <f>INDEX(Table5[[#All],[Ovr]],MATCH(Table3[[#This Row],[PID]],Table5[[#All],[PID]],0))</f>
        <v/>
      </c>
      <c r="BI440" s="47" t="str">
        <f>INDEX(Table5[[#All],[Rnd]],MATCH(Table3[[#This Row],[PID]],Table5[[#All],[PID]],0))</f>
        <v/>
      </c>
      <c r="BJ440" s="47" t="str">
        <f>INDEX(Table5[[#All],[Pick]],MATCH(Table3[[#This Row],[PID]],Table5[[#All],[PID]],0))</f>
        <v/>
      </c>
      <c r="BK440" s="47" t="str">
        <f>INDEX(Table5[[#All],[Team]],MATCH(Table3[[#This Row],[PID]],Table5[[#All],[PID]],0))</f>
        <v/>
      </c>
      <c r="BL4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1" spans="1:64" ht="15" customHeight="1" x14ac:dyDescent="0.25">
      <c r="A441" s="42">
        <v>9259</v>
      </c>
      <c r="B441" s="42" t="s">
        <v>24</v>
      </c>
      <c r="C441" s="42" t="s">
        <v>134</v>
      </c>
      <c r="D441" s="42" t="s">
        <v>816</v>
      </c>
      <c r="E441" s="42">
        <v>20</v>
      </c>
      <c r="F441" s="42" t="s">
        <v>42</v>
      </c>
      <c r="G441" s="42" t="s">
        <v>42</v>
      </c>
      <c r="H441" s="43" t="s">
        <v>721</v>
      </c>
      <c r="I441" s="44" t="s">
        <v>43</v>
      </c>
      <c r="J441" s="42" t="s">
        <v>44</v>
      </c>
      <c r="K441" s="43" t="s">
        <v>43</v>
      </c>
      <c r="L441" s="42">
        <v>2</v>
      </c>
      <c r="M441" s="42">
        <v>1</v>
      </c>
      <c r="N441" s="43">
        <v>1</v>
      </c>
      <c r="O441" s="42">
        <v>4</v>
      </c>
      <c r="P441" s="42">
        <v>2</v>
      </c>
      <c r="Q441" s="43">
        <v>2</v>
      </c>
      <c r="R441" s="42">
        <v>4</v>
      </c>
      <c r="S441" s="42">
        <v>6</v>
      </c>
      <c r="T441" s="42">
        <v>1</v>
      </c>
      <c r="U441" s="42">
        <v>4</v>
      </c>
      <c r="V441" s="42">
        <v>2</v>
      </c>
      <c r="W441" s="42">
        <v>5</v>
      </c>
      <c r="X441" s="42">
        <v>2</v>
      </c>
      <c r="Y441" s="42">
        <v>3</v>
      </c>
      <c r="Z441" s="42" t="s">
        <v>45</v>
      </c>
      <c r="AA441" s="42" t="s">
        <v>45</v>
      </c>
      <c r="AB441" s="42" t="s">
        <v>45</v>
      </c>
      <c r="AC441" s="42" t="s">
        <v>45</v>
      </c>
      <c r="AD441" s="42" t="s">
        <v>45</v>
      </c>
      <c r="AE441" s="42" t="s">
        <v>45</v>
      </c>
      <c r="AF441" s="42">
        <v>3</v>
      </c>
      <c r="AG441" s="42">
        <v>5</v>
      </c>
      <c r="AH441" s="42" t="s">
        <v>45</v>
      </c>
      <c r="AI441" s="42" t="s">
        <v>45</v>
      </c>
      <c r="AJ441" s="42" t="s">
        <v>45</v>
      </c>
      <c r="AK441" s="42" t="s">
        <v>45</v>
      </c>
      <c r="AL441" s="42" t="s">
        <v>45</v>
      </c>
      <c r="AM441" s="42" t="s">
        <v>45</v>
      </c>
      <c r="AN441" s="42" t="s">
        <v>45</v>
      </c>
      <c r="AO441" s="43" t="s">
        <v>45</v>
      </c>
      <c r="AP441" s="42" t="s">
        <v>56</v>
      </c>
      <c r="AQ441" s="42">
        <v>8</v>
      </c>
      <c r="AR441" s="50" t="s">
        <v>353</v>
      </c>
      <c r="AS441" s="45" t="s">
        <v>45</v>
      </c>
      <c r="AT441" s="45" t="s">
        <v>47</v>
      </c>
      <c r="AU441" s="46">
        <f>($O$3*(L441-$O$1)/$O$2+$P$3*(M441-$P$1)/$P$2+$Q$3*(N441-$P$1)/$Q$2)/SUM($O$3:$Q$3)</f>
        <v>-2.5067929134584248</v>
      </c>
      <c r="AV441" s="46">
        <f>($O$3*(O441-$O$1)/$O$2+$P$3*(P441-$P$1)/$P$2+$Q$3*(Q441-$Q$1)/$Q$2)/SUM($O$3:$Q$3)</f>
        <v>-1.23416323121884</v>
      </c>
      <c r="AW441" s="47">
        <f>COUNT(R441:AO441)/2</f>
        <v>5</v>
      </c>
      <c r="AX441" s="47">
        <f>IF(AND(S441&lt;&gt;"-",S441&gt;5),1,0)+IF(AND(U441&lt;&gt;"-",U441&gt;5),1,0)+IF(AND(W441&lt;&gt;"-",W441&gt;5),1,0)+IF(AND(Y441&lt;&gt;"-",Y441&gt;5),1,0)+IF(AND(AA441&lt;&gt;"-",AA441&gt;5),1,0)+IF(AND(AC441&lt;&gt;"-",AC441&gt;5),1,0)+IF(AND(AE441&lt;&gt;"-",AE441&gt;5),1,0)+IF(AND(AG441&lt;&gt;"-",AG441&gt;5),1,0)+IF(AND(AI441&lt;&gt;"-",AI441&gt;5),1,0)+IF(AND(AK441&lt;&gt;"-",AK441&gt;5),1,0)+IF(AND(AM441&lt;&gt;"-",AM441&gt;5),1,0)+IF(AND(AO441&lt;&gt;"-",AO441&gt;5),1,0)</f>
        <v>1</v>
      </c>
      <c r="AY441" s="48">
        <f>VLOOKUP(AP441,COND!$A$10:$B$32,2,FALSE)</f>
        <v>1</v>
      </c>
      <c r="AZ441" s="46">
        <f>($AU$3*AU441+$AV$3*AV441+$AW$3*AW441+$AX$3*AX441)*AY441*IF(AQ441&lt;5,0.95,IF(AQ441&lt;7,0.975,1))+$I$3*VLOOKUP(I441,COND!$A$2:$E$7,4,FALSE)+$J$3*VLOOKUP(J441,COND!$A$2:$E$7,2,FALSE)+$K$3*VLOOKUP(K441,COND!$A$2:$E$7,3,FALSE)+IF(BB441="SP",$BB$3,0)+IF($AW441&lt;3,-5,0)+IF(AND($B$2&gt;0,$E441&lt;20),$B$2*25,0)</f>
        <v>25.265376792931512</v>
      </c>
      <c r="BA441" s="49">
        <f>STANDARDIZE(AZ441,AVERAGE($AZ$5:$AZ$570),STDEVP($AZ$5:$AZ$570))</f>
        <v>-0.68382722275518149</v>
      </c>
      <c r="BB441" s="47" t="str">
        <f>IF(OR(AND(AQ441&gt;7,AX441&gt;1),AND(AQ441&gt;4,AW441&gt;2)),"SP","RP")</f>
        <v>SP</v>
      </c>
      <c r="BC441" s="47"/>
      <c r="BD441" s="47"/>
      <c r="BE441" s="47"/>
      <c r="BF441" s="47" t="str">
        <f>IF(AVERAGE($O441:$Q441)&gt;=6,"Likely",IF(AVERAGE($O441:$Q441)&gt;=4,"Possible","Unlikely"))</f>
        <v>Unlikely</v>
      </c>
      <c r="BG441" s="47"/>
      <c r="BH441" s="47" t="str">
        <f>INDEX(Table5[[#All],[Ovr]],MATCH(Table3[[#This Row],[PID]],Table5[[#All],[PID]],0))</f>
        <v/>
      </c>
      <c r="BI441" s="47" t="str">
        <f>INDEX(Table5[[#All],[Rnd]],MATCH(Table3[[#This Row],[PID]],Table5[[#All],[PID]],0))</f>
        <v/>
      </c>
      <c r="BJ441" s="47" t="str">
        <f>INDEX(Table5[[#All],[Pick]],MATCH(Table3[[#This Row],[PID]],Table5[[#All],[PID]],0))</f>
        <v/>
      </c>
      <c r="BK441" s="47" t="str">
        <f>INDEX(Table5[[#All],[Team]],MATCH(Table3[[#This Row],[PID]],Table5[[#All],[PID]],0))</f>
        <v/>
      </c>
      <c r="BL4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2" spans="1:64" ht="15" customHeight="1" x14ac:dyDescent="0.25">
      <c r="A442" s="42">
        <v>7441</v>
      </c>
      <c r="B442" s="42" t="s">
        <v>430</v>
      </c>
      <c r="C442" s="42" t="s">
        <v>372</v>
      </c>
      <c r="D442" s="42" t="s">
        <v>1518</v>
      </c>
      <c r="E442" s="42">
        <v>21</v>
      </c>
      <c r="F442" s="42" t="s">
        <v>53</v>
      </c>
      <c r="G442" s="42" t="s">
        <v>42</v>
      </c>
      <c r="H442" s="43" t="s">
        <v>721</v>
      </c>
      <c r="I442" s="44" t="s">
        <v>44</v>
      </c>
      <c r="J442" s="42" t="s">
        <v>44</v>
      </c>
      <c r="K442" s="43" t="s">
        <v>43</v>
      </c>
      <c r="L442" s="42">
        <v>3</v>
      </c>
      <c r="M442" s="42">
        <v>2</v>
      </c>
      <c r="N442" s="43">
        <v>1</v>
      </c>
      <c r="O442" s="42">
        <v>5</v>
      </c>
      <c r="P442" s="42">
        <v>2</v>
      </c>
      <c r="Q442" s="43">
        <v>1</v>
      </c>
      <c r="R442" s="42">
        <v>4</v>
      </c>
      <c r="S442" s="42">
        <v>6</v>
      </c>
      <c r="T442" s="42">
        <v>4</v>
      </c>
      <c r="U442" s="42">
        <v>6</v>
      </c>
      <c r="V442" s="42" t="s">
        <v>45</v>
      </c>
      <c r="W442" s="42" t="s">
        <v>45</v>
      </c>
      <c r="X442" s="42">
        <v>3</v>
      </c>
      <c r="Y442" s="42">
        <v>6</v>
      </c>
      <c r="Z442" s="42" t="s">
        <v>45</v>
      </c>
      <c r="AA442" s="42" t="s">
        <v>45</v>
      </c>
      <c r="AB442" s="42" t="s">
        <v>45</v>
      </c>
      <c r="AC442" s="42" t="s">
        <v>45</v>
      </c>
      <c r="AD442" s="42" t="s">
        <v>45</v>
      </c>
      <c r="AE442" s="42" t="s">
        <v>45</v>
      </c>
      <c r="AF442" s="42">
        <v>3</v>
      </c>
      <c r="AG442" s="42">
        <v>4</v>
      </c>
      <c r="AH442" s="42" t="s">
        <v>45</v>
      </c>
      <c r="AI442" s="42" t="s">
        <v>45</v>
      </c>
      <c r="AJ442" s="42" t="s">
        <v>45</v>
      </c>
      <c r="AK442" s="42" t="s">
        <v>45</v>
      </c>
      <c r="AL442" s="42" t="s">
        <v>45</v>
      </c>
      <c r="AM442" s="42" t="s">
        <v>45</v>
      </c>
      <c r="AN442" s="42" t="s">
        <v>45</v>
      </c>
      <c r="AO442" s="43" t="s">
        <v>45</v>
      </c>
      <c r="AP442" s="42" t="s">
        <v>58</v>
      </c>
      <c r="AQ442" s="42">
        <v>2</v>
      </c>
      <c r="AR442" s="50" t="s">
        <v>353</v>
      </c>
      <c r="AS442" s="45" t="s">
        <v>45</v>
      </c>
      <c r="AT442" s="45" t="s">
        <v>47</v>
      </c>
      <c r="AU442" s="46">
        <f>($O$3*(L442-$O$1)/$O$2+$P$3*(M442-$P$1)/$P$2+$Q$3*(N442-$P$1)/$Q$2)/SUM($O$3:$Q$3)</f>
        <v>-2.1166698725191955</v>
      </c>
      <c r="AV442" s="46">
        <f>($O$3*(O442-$O$1)/$O$2+$P$3*(P442-$P$1)/$P$2+$Q$3*(Q442-$Q$1)/$Q$2)/SUM($O$3:$Q$3)</f>
        <v>-1.2817924727637771</v>
      </c>
      <c r="AW442" s="47">
        <f>COUNT(R442:AO442)/2</f>
        <v>4</v>
      </c>
      <c r="AX442" s="47">
        <f>IF(AND(S442&lt;&gt;"-",S442&gt;5),1,0)+IF(AND(U442&lt;&gt;"-",U442&gt;5),1,0)+IF(AND(W442&lt;&gt;"-",W442&gt;5),1,0)+IF(AND(Y442&lt;&gt;"-",Y442&gt;5),1,0)+IF(AND(AA442&lt;&gt;"-",AA442&gt;5),1,0)+IF(AND(AC442&lt;&gt;"-",AC442&gt;5),1,0)+IF(AND(AE442&lt;&gt;"-",AE442&gt;5),1,0)+IF(AND(AG442&lt;&gt;"-",AG442&gt;5),1,0)+IF(AND(AI442&lt;&gt;"-",AI442&gt;5),1,0)+IF(AND(AK442&lt;&gt;"-",AK442&gt;5),1,0)+IF(AND(AM442&lt;&gt;"-",AM442&gt;5),1,0)+IF(AND(AO442&lt;&gt;"-",AO442&gt;5),1,0)</f>
        <v>3</v>
      </c>
      <c r="AY442" s="48">
        <f>VLOOKUP(AP442,COND!$A$10:$B$32,2,FALSE)</f>
        <v>1</v>
      </c>
      <c r="AZ442" s="46">
        <f>($AU$3*AU442+$AV$3*AV442+$AW$3*AW442+$AX$3*AX442)*AY442*IF(AQ442&lt;5,0.95,IF(AQ442&lt;7,0.975,1))+$I$3*VLOOKUP(I442,COND!$A$2:$E$7,4,FALSE)+$J$3*VLOOKUP(J442,COND!$A$2:$E$7,2,FALSE)+$K$3*VLOOKUP(K442,COND!$A$2:$E$7,3,FALSE)+IF(BB442="SP",$BB$3,0)+IF($AW442&lt;3,-5,0)+IF(AND($B$2&gt;0,$E442&lt;20),$B$2*25,0)</f>
        <v>25.256275741709587</v>
      </c>
      <c r="BA442" s="49">
        <f>STANDARDIZE(AZ442,AVERAGE($AZ$5:$AZ$570),STDEVP($AZ$5:$AZ$570))</f>
        <v>-0.68466182805094256</v>
      </c>
      <c r="BB442" s="47" t="str">
        <f>IF(OR(AND(AQ442&gt;7,AX442&gt;1),AND(AQ442&gt;4,AW442&gt;2)),"SP","RP")</f>
        <v>RP</v>
      </c>
      <c r="BC442" s="47"/>
      <c r="BD442" s="47"/>
      <c r="BE442" s="47"/>
      <c r="BF442" s="47" t="str">
        <f>IF(AVERAGE($O442:$Q442)&gt;=6,"Likely",IF(AVERAGE($O442:$Q442)&gt;=4,"Possible","Unlikely"))</f>
        <v>Unlikely</v>
      </c>
      <c r="BG442" s="47"/>
      <c r="BH442" s="47" t="str">
        <f>INDEX(Table5[[#All],[Ovr]],MATCH(Table3[[#This Row],[PID]],Table5[[#All],[PID]],0))</f>
        <v/>
      </c>
      <c r="BI442" s="47" t="str">
        <f>INDEX(Table5[[#All],[Rnd]],MATCH(Table3[[#This Row],[PID]],Table5[[#All],[PID]],0))</f>
        <v/>
      </c>
      <c r="BJ442" s="47" t="str">
        <f>INDEX(Table5[[#All],[Pick]],MATCH(Table3[[#This Row],[PID]],Table5[[#All],[PID]],0))</f>
        <v/>
      </c>
      <c r="BK442" s="47" t="str">
        <f>INDEX(Table5[[#All],[Team]],MATCH(Table3[[#This Row],[PID]],Table5[[#All],[PID]],0))</f>
        <v/>
      </c>
      <c r="BL4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3" spans="1:64" ht="15" customHeight="1" x14ac:dyDescent="0.25">
      <c r="A443" s="42">
        <v>9321</v>
      </c>
      <c r="B443" s="42" t="s">
        <v>430</v>
      </c>
      <c r="C443" s="42" t="s">
        <v>179</v>
      </c>
      <c r="D443" s="42" t="s">
        <v>344</v>
      </c>
      <c r="E443" s="42">
        <v>22</v>
      </c>
      <c r="F443" s="42" t="s">
        <v>53</v>
      </c>
      <c r="G443" s="42" t="s">
        <v>53</v>
      </c>
      <c r="H443" s="43" t="s">
        <v>721</v>
      </c>
      <c r="I443" s="44" t="s">
        <v>43</v>
      </c>
      <c r="J443" s="42" t="s">
        <v>43</v>
      </c>
      <c r="K443" s="43" t="s">
        <v>43</v>
      </c>
      <c r="L443" s="42">
        <v>2</v>
      </c>
      <c r="M443" s="42">
        <v>1</v>
      </c>
      <c r="N443" s="43">
        <v>1</v>
      </c>
      <c r="O443" s="42">
        <v>5</v>
      </c>
      <c r="P443" s="42">
        <v>1</v>
      </c>
      <c r="Q443" s="43">
        <v>2</v>
      </c>
      <c r="R443" s="42">
        <v>5</v>
      </c>
      <c r="S443" s="42">
        <v>6</v>
      </c>
      <c r="T443" s="42" t="s">
        <v>45</v>
      </c>
      <c r="U443" s="42" t="s">
        <v>45</v>
      </c>
      <c r="V443" s="42">
        <v>2</v>
      </c>
      <c r="W443" s="42">
        <v>5</v>
      </c>
      <c r="X443" s="42" t="s">
        <v>45</v>
      </c>
      <c r="Y443" s="42" t="s">
        <v>45</v>
      </c>
      <c r="Z443" s="42" t="s">
        <v>45</v>
      </c>
      <c r="AA443" s="42" t="s">
        <v>45</v>
      </c>
      <c r="AB443" s="42" t="s">
        <v>45</v>
      </c>
      <c r="AC443" s="42" t="s">
        <v>45</v>
      </c>
      <c r="AD443" s="42" t="s">
        <v>45</v>
      </c>
      <c r="AE443" s="42" t="s">
        <v>45</v>
      </c>
      <c r="AF443" s="42">
        <v>3</v>
      </c>
      <c r="AG443" s="42">
        <v>5</v>
      </c>
      <c r="AH443" s="42" t="s">
        <v>45</v>
      </c>
      <c r="AI443" s="42" t="s">
        <v>45</v>
      </c>
      <c r="AJ443" s="42" t="s">
        <v>45</v>
      </c>
      <c r="AK443" s="42" t="s">
        <v>45</v>
      </c>
      <c r="AL443" s="42" t="s">
        <v>45</v>
      </c>
      <c r="AM443" s="42" t="s">
        <v>45</v>
      </c>
      <c r="AN443" s="42" t="s">
        <v>45</v>
      </c>
      <c r="AO443" s="43" t="s">
        <v>45</v>
      </c>
      <c r="AP443" s="42" t="s">
        <v>58</v>
      </c>
      <c r="AQ443" s="42">
        <v>7</v>
      </c>
      <c r="AR443" s="50" t="s">
        <v>14</v>
      </c>
      <c r="AS443" s="45" t="s">
        <v>45</v>
      </c>
      <c r="AT443" s="45" t="s">
        <v>47</v>
      </c>
      <c r="AU443" s="46">
        <f>($O$3*(L443-$O$1)/$O$2+$P$3*(M443-$P$1)/$P$2+$Q$3*(N443-$P$1)/$Q$2)/SUM($O$3:$Q$3)</f>
        <v>-2.5067929134584248</v>
      </c>
      <c r="AV443" s="46">
        <f>($O$3*(O443-$O$1)/$O$2+$P$3*(P443-$P$1)/$P$2+$Q$3*(Q443-$Q$1)/$Q$2)/SUM($O$3:$Q$3)</f>
        <v>-1.2349036231397219</v>
      </c>
      <c r="AW443" s="47">
        <f>COUNT(R443:AO443)/2</f>
        <v>3</v>
      </c>
      <c r="AX443" s="47">
        <f>IF(AND(S443&lt;&gt;"-",S443&gt;5),1,0)+IF(AND(U443&lt;&gt;"-",U443&gt;5),1,0)+IF(AND(W443&lt;&gt;"-",W443&gt;5),1,0)+IF(AND(Y443&lt;&gt;"-",Y443&gt;5),1,0)+IF(AND(AA443&lt;&gt;"-",AA443&gt;5),1,0)+IF(AND(AC443&lt;&gt;"-",AC443&gt;5),1,0)+IF(AND(AE443&lt;&gt;"-",AE443&gt;5),1,0)+IF(AND(AG443&lt;&gt;"-",AG443&gt;5),1,0)+IF(AND(AI443&lt;&gt;"-",AI443&gt;5),1,0)+IF(AND(AK443&lt;&gt;"-",AK443&gt;5),1,0)+IF(AND(AM443&lt;&gt;"-",AM443&gt;5),1,0)+IF(AND(AO443&lt;&gt;"-",AO443&gt;5),1,0)</f>
        <v>1</v>
      </c>
      <c r="AY443" s="48">
        <f>VLOOKUP(AP443,COND!$A$10:$B$32,2,FALSE)</f>
        <v>1</v>
      </c>
      <c r="AZ443" s="46">
        <f>($AU$3*AU443+$AV$3*AV443+$AW$3*AW443+$AX$3*AX443)*AY443*IF(AQ443&lt;5,0.95,IF(AQ443&lt;7,0.975,1))+$I$3*VLOOKUP(I443,COND!$A$2:$E$7,4,FALSE)+$J$3*VLOOKUP(J443,COND!$A$2:$E$7,2,FALSE)+$K$3*VLOOKUP(K443,COND!$A$2:$E$7,3,FALSE)+IF(BB443="SP",$BB$3,0)+IF($AW443&lt;3,-5,0)+IF(AND($B$2&gt;0,$E443&lt;20),$B$2*25,0)</f>
        <v>24.550568954513874</v>
      </c>
      <c r="BA443" s="49">
        <f>STANDARDIZE(AZ443,AVERAGE($AZ$5:$AZ$570),STDEVP($AZ$5:$AZ$570))</f>
        <v>-0.74937815669099062</v>
      </c>
      <c r="BB443" s="47" t="str">
        <f>IF(OR(AND(AQ443&gt;7,AX443&gt;1),AND(AQ443&gt;4,AW443&gt;2)),"SP","RP")</f>
        <v>SP</v>
      </c>
      <c r="BC443" s="47"/>
      <c r="BD443" s="47"/>
      <c r="BE443" s="47"/>
      <c r="BF443" s="47" t="str">
        <f>IF(AVERAGE($O443:$Q443)&gt;=6,"Likely",IF(AVERAGE($O443:$Q443)&gt;=4,"Possible","Unlikely"))</f>
        <v>Unlikely</v>
      </c>
      <c r="BG443" s="47"/>
      <c r="BH443" s="47" t="str">
        <f>INDEX(Table5[[#All],[Ovr]],MATCH(Table3[[#This Row],[PID]],Table5[[#All],[PID]],0))</f>
        <v/>
      </c>
      <c r="BI443" s="47" t="str">
        <f>INDEX(Table5[[#All],[Rnd]],MATCH(Table3[[#This Row],[PID]],Table5[[#All],[PID]],0))</f>
        <v/>
      </c>
      <c r="BJ443" s="47" t="str">
        <f>INDEX(Table5[[#All],[Pick]],MATCH(Table3[[#This Row],[PID]],Table5[[#All],[PID]],0))</f>
        <v/>
      </c>
      <c r="BK443" s="47" t="str">
        <f>INDEX(Table5[[#All],[Team]],MATCH(Table3[[#This Row],[PID]],Table5[[#All],[PID]],0))</f>
        <v/>
      </c>
      <c r="BL4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4" spans="1:64" ht="15" customHeight="1" x14ac:dyDescent="0.25">
      <c r="A444" s="42">
        <v>5148</v>
      </c>
      <c r="B444" s="42" t="s">
        <v>430</v>
      </c>
      <c r="C444" s="42" t="s">
        <v>183</v>
      </c>
      <c r="D444" s="42" t="s">
        <v>924</v>
      </c>
      <c r="E444" s="42">
        <v>22</v>
      </c>
      <c r="F444" s="42" t="s">
        <v>62</v>
      </c>
      <c r="G444" s="42" t="s">
        <v>42</v>
      </c>
      <c r="H444" s="43" t="s">
        <v>721</v>
      </c>
      <c r="I444" s="44" t="s">
        <v>44</v>
      </c>
      <c r="J444" s="42" t="s">
        <v>43</v>
      </c>
      <c r="K444" s="43" t="s">
        <v>43</v>
      </c>
      <c r="L444" s="42">
        <v>3</v>
      </c>
      <c r="M444" s="42">
        <v>1</v>
      </c>
      <c r="N444" s="43">
        <v>2</v>
      </c>
      <c r="O444" s="42">
        <v>4</v>
      </c>
      <c r="P444" s="42">
        <v>2</v>
      </c>
      <c r="Q444" s="43">
        <v>2</v>
      </c>
      <c r="R444" s="42">
        <v>5</v>
      </c>
      <c r="S444" s="42">
        <v>6</v>
      </c>
      <c r="T444" s="42">
        <v>1</v>
      </c>
      <c r="U444" s="42">
        <v>5</v>
      </c>
      <c r="V444" s="42">
        <v>3</v>
      </c>
      <c r="W444" s="42">
        <v>5</v>
      </c>
      <c r="X444" s="42" t="s">
        <v>45</v>
      </c>
      <c r="Y444" s="42" t="s">
        <v>45</v>
      </c>
      <c r="Z444" s="42" t="s">
        <v>45</v>
      </c>
      <c r="AA444" s="42" t="s">
        <v>45</v>
      </c>
      <c r="AB444" s="42" t="s">
        <v>45</v>
      </c>
      <c r="AC444" s="42" t="s">
        <v>45</v>
      </c>
      <c r="AD444" s="42" t="s">
        <v>45</v>
      </c>
      <c r="AE444" s="42" t="s">
        <v>45</v>
      </c>
      <c r="AF444" s="42" t="s">
        <v>45</v>
      </c>
      <c r="AG444" s="42" t="s">
        <v>45</v>
      </c>
      <c r="AH444" s="42" t="s">
        <v>45</v>
      </c>
      <c r="AI444" s="42" t="s">
        <v>45</v>
      </c>
      <c r="AJ444" s="42" t="s">
        <v>45</v>
      </c>
      <c r="AK444" s="42" t="s">
        <v>45</v>
      </c>
      <c r="AL444" s="42" t="s">
        <v>45</v>
      </c>
      <c r="AM444" s="42" t="s">
        <v>45</v>
      </c>
      <c r="AN444" s="42" t="s">
        <v>45</v>
      </c>
      <c r="AO444" s="43" t="s">
        <v>45</v>
      </c>
      <c r="AP444" s="42" t="s">
        <v>60</v>
      </c>
      <c r="AQ444" s="42">
        <v>6</v>
      </c>
      <c r="AR444" s="50" t="s">
        <v>14</v>
      </c>
      <c r="AS444" s="45" t="s">
        <v>45</v>
      </c>
      <c r="AT444" s="45" t="s">
        <v>705</v>
      </c>
      <c r="AU444" s="46">
        <f>($O$3*(L444-$O$1)/$O$2+$P$3*(M444-$P$1)/$P$2+$Q$3*(N444-$P$1)/$Q$2)/SUM($O$3:$Q$3)</f>
        <v>-2.0697810228951408</v>
      </c>
      <c r="AV444" s="46">
        <f>($O$3*(O444-$O$1)/$O$2+$P$3*(P444-$P$1)/$P$2+$Q$3*(Q444-$Q$1)/$Q$2)/SUM($O$3:$Q$3)</f>
        <v>-1.23416323121884</v>
      </c>
      <c r="AW444" s="47">
        <f>COUNT(R444:AO444)/2</f>
        <v>3</v>
      </c>
      <c r="AX444" s="47">
        <f>IF(AND(S444&lt;&gt;"-",S444&gt;5),1,0)+IF(AND(U444&lt;&gt;"-",U444&gt;5),1,0)+IF(AND(W444&lt;&gt;"-",W444&gt;5),1,0)+IF(AND(Y444&lt;&gt;"-",Y444&gt;5),1,0)+IF(AND(AA444&lt;&gt;"-",AA444&gt;5),1,0)+IF(AND(AC444&lt;&gt;"-",AC444&gt;5),1,0)+IF(AND(AE444&lt;&gt;"-",AE444&gt;5),1,0)+IF(AND(AG444&lt;&gt;"-",AG444&gt;5),1,0)+IF(AND(AI444&lt;&gt;"-",AI444&gt;5),1,0)+IF(AND(AK444&lt;&gt;"-",AK444&gt;5),1,0)+IF(AND(AM444&lt;&gt;"-",AM444&gt;5),1,0)+IF(AND(AO444&lt;&gt;"-",AO444&gt;5),1,0)</f>
        <v>1</v>
      </c>
      <c r="AY444" s="48">
        <f>VLOOKUP(AP444,COND!$A$10:$B$32,2,FALSE)</f>
        <v>1.0249999999999999</v>
      </c>
      <c r="AZ444" s="46">
        <f>($AU$3*AU444+$AV$3*AV444+$AW$3*AW444+$AX$3*AX444)*AY444*IF(AQ444&lt;5,0.95,IF(AQ444&lt;7,0.975,1))+$I$3*VLOOKUP(I444,COND!$A$2:$E$7,4,FALSE)+$J$3*VLOOKUP(J444,COND!$A$2:$E$7,2,FALSE)+$K$3*VLOOKUP(K444,COND!$A$2:$E$7,3,FALSE)+IF(BB444="SP",$BB$3,0)+IF($AW444&lt;3,-5,0)+IF(AND($B$2&gt;0,$E444&lt;20),$B$2*25,0)</f>
        <v>24.516746184062271</v>
      </c>
      <c r="BA444" s="49">
        <f>STANDARDIZE(AZ444,AVERAGE($AZ$5:$AZ$570),STDEVP($AZ$5:$AZ$570))</f>
        <v>-0.75247984930296186</v>
      </c>
      <c r="BB444" s="47" t="str">
        <f>IF(OR(AND(AQ444&gt;7,AX444&gt;1),AND(AQ444&gt;4,AW444&gt;2)),"SP","RP")</f>
        <v>SP</v>
      </c>
      <c r="BC444" s="47"/>
      <c r="BD444" s="47"/>
      <c r="BE444" s="47"/>
      <c r="BF444" s="47" t="str">
        <f>IF(AVERAGE($O444:$Q444)&gt;=6,"Likely",IF(AVERAGE($O444:$Q444)&gt;=4,"Possible","Unlikely"))</f>
        <v>Unlikely</v>
      </c>
      <c r="BG444" s="47"/>
      <c r="BH444" s="47" t="str">
        <f>INDEX(Table5[[#All],[Ovr]],MATCH(Table3[[#This Row],[PID]],Table5[[#All],[PID]],0))</f>
        <v/>
      </c>
      <c r="BI444" s="47" t="str">
        <f>INDEX(Table5[[#All],[Rnd]],MATCH(Table3[[#This Row],[PID]],Table5[[#All],[PID]],0))</f>
        <v/>
      </c>
      <c r="BJ444" s="47" t="str">
        <f>INDEX(Table5[[#All],[Pick]],MATCH(Table3[[#This Row],[PID]],Table5[[#All],[PID]],0))</f>
        <v/>
      </c>
      <c r="BK444" s="47" t="str">
        <f>INDEX(Table5[[#All],[Team]],MATCH(Table3[[#This Row],[PID]],Table5[[#All],[PID]],0))</f>
        <v/>
      </c>
      <c r="BL4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5" spans="1:64" ht="15" customHeight="1" x14ac:dyDescent="0.25">
      <c r="A445" s="42">
        <v>6047</v>
      </c>
      <c r="B445" s="42" t="s">
        <v>430</v>
      </c>
      <c r="C445" s="42" t="s">
        <v>447</v>
      </c>
      <c r="D445" s="42" t="s">
        <v>1544</v>
      </c>
      <c r="E445" s="42">
        <v>21</v>
      </c>
      <c r="F445" s="42" t="s">
        <v>42</v>
      </c>
      <c r="G445" s="42" t="s">
        <v>42</v>
      </c>
      <c r="H445" s="43" t="s">
        <v>721</v>
      </c>
      <c r="I445" s="44" t="s">
        <v>43</v>
      </c>
      <c r="J445" s="42" t="s">
        <v>43</v>
      </c>
      <c r="K445" s="43" t="s">
        <v>43</v>
      </c>
      <c r="L445" s="42">
        <v>1</v>
      </c>
      <c r="M445" s="42">
        <v>2</v>
      </c>
      <c r="N445" s="43">
        <v>1</v>
      </c>
      <c r="O445" s="42">
        <v>4</v>
      </c>
      <c r="P445" s="42">
        <v>2</v>
      </c>
      <c r="Q445" s="43">
        <v>2</v>
      </c>
      <c r="R445" s="42">
        <v>3</v>
      </c>
      <c r="S445" s="42">
        <v>4</v>
      </c>
      <c r="T445" s="42">
        <v>1</v>
      </c>
      <c r="U445" s="42">
        <v>4</v>
      </c>
      <c r="V445" s="42" t="s">
        <v>45</v>
      </c>
      <c r="W445" s="42" t="s">
        <v>45</v>
      </c>
      <c r="X445" s="42">
        <v>2</v>
      </c>
      <c r="Y445" s="42">
        <v>5</v>
      </c>
      <c r="Z445" s="42" t="s">
        <v>45</v>
      </c>
      <c r="AA445" s="42" t="s">
        <v>45</v>
      </c>
      <c r="AB445" s="42" t="s">
        <v>45</v>
      </c>
      <c r="AC445" s="42" t="s">
        <v>45</v>
      </c>
      <c r="AD445" s="42" t="s">
        <v>45</v>
      </c>
      <c r="AE445" s="42" t="s">
        <v>45</v>
      </c>
      <c r="AF445" s="42" t="s">
        <v>45</v>
      </c>
      <c r="AG445" s="42" t="s">
        <v>45</v>
      </c>
      <c r="AH445" s="42" t="s">
        <v>45</v>
      </c>
      <c r="AI445" s="42" t="s">
        <v>45</v>
      </c>
      <c r="AJ445" s="42" t="s">
        <v>45</v>
      </c>
      <c r="AK445" s="42" t="s">
        <v>45</v>
      </c>
      <c r="AL445" s="42" t="s">
        <v>45</v>
      </c>
      <c r="AM445" s="42" t="s">
        <v>45</v>
      </c>
      <c r="AN445" s="42" t="s">
        <v>45</v>
      </c>
      <c r="AO445" s="43" t="s">
        <v>45</v>
      </c>
      <c r="AP445" s="42" t="s">
        <v>68</v>
      </c>
      <c r="AQ445" s="42">
        <v>9</v>
      </c>
      <c r="AR445" s="50" t="s">
        <v>353</v>
      </c>
      <c r="AS445" s="45" t="s">
        <v>717</v>
      </c>
      <c r="AT445" s="45" t="s">
        <v>47</v>
      </c>
      <c r="AU445" s="46">
        <f>($O$3*(L445-$O$1)/$O$2+$P$3*(M445-$P$1)/$P$2+$Q$3*(N445-$P$1)/$Q$2)/SUM($O$3:$Q$3)</f>
        <v>-2.5060525215375429</v>
      </c>
      <c r="AV445" s="46">
        <f>($O$3*(O445-$O$1)/$O$2+$P$3*(P445-$P$1)/$P$2+$Q$3*(Q445-$Q$1)/$Q$2)/SUM($O$3:$Q$3)</f>
        <v>-1.23416323121884</v>
      </c>
      <c r="AW445" s="47">
        <f>COUNT(R445:AO445)/2</f>
        <v>3</v>
      </c>
      <c r="AX445" s="47">
        <f>IF(AND(S445&lt;&gt;"-",S445&gt;5),1,0)+IF(AND(U445&lt;&gt;"-",U445&gt;5),1,0)+IF(AND(W445&lt;&gt;"-",W445&gt;5),1,0)+IF(AND(Y445&lt;&gt;"-",Y445&gt;5),1,0)+IF(AND(AA445&lt;&gt;"-",AA445&gt;5),1,0)+IF(AND(AC445&lt;&gt;"-",AC445&gt;5),1,0)+IF(AND(AE445&lt;&gt;"-",AE445&gt;5),1,0)+IF(AND(AG445&lt;&gt;"-",AG445&gt;5),1,0)+IF(AND(AI445&lt;&gt;"-",AI445&gt;5),1,0)+IF(AND(AK445&lt;&gt;"-",AK445&gt;5),1,0)+IF(AND(AM445&lt;&gt;"-",AM445&gt;5),1,0)+IF(AND(AO445&lt;&gt;"-",AO445&gt;5),1,0)</f>
        <v>0</v>
      </c>
      <c r="AY445" s="48">
        <f>VLOOKUP(AP445,COND!$A$10:$B$32,2,FALSE)</f>
        <v>0.95</v>
      </c>
      <c r="AZ445" s="46">
        <f>($AU$3*AU445+$AV$3*AV445+$AW$3*AW445+$AX$3*AX445)*AY445*IF(AQ445&lt;5,0.95,IF(AQ445&lt;7,0.975,1))+$I$3*VLOOKUP(I445,COND!$A$2:$E$7,4,FALSE)+$J$3*VLOOKUP(J445,COND!$A$2:$E$7,2,FALSE)+$K$3*VLOOKUP(K445,COND!$A$2:$E$7,3,FALSE)+IF(BB445="SP",$BB$3,0)+IF($AW445&lt;3,-5,0)+IF(AND($B$2&gt;0,$E445&lt;20),$B$2*25,0)</f>
        <v>24.499748627749909</v>
      </c>
      <c r="BA445" s="49">
        <f>STANDARDIZE(AZ445,AVERAGE($AZ$5:$AZ$570),STDEVP($AZ$5:$AZ$570))</f>
        <v>-0.75403859786588801</v>
      </c>
      <c r="BB445" s="47" t="str">
        <f>IF(OR(AND(AQ445&gt;7,AX445&gt;1),AND(AQ445&gt;4,AW445&gt;2)),"SP","RP")</f>
        <v>SP</v>
      </c>
      <c r="BC445" s="47"/>
      <c r="BD445" s="47"/>
      <c r="BE445" s="47"/>
      <c r="BF445" s="47" t="str">
        <f>IF(AVERAGE($O445:$Q445)&gt;=6,"Likely",IF(AVERAGE($O445:$Q445)&gt;=4,"Possible","Unlikely"))</f>
        <v>Unlikely</v>
      </c>
      <c r="BG445" s="47"/>
      <c r="BH445" s="47" t="str">
        <f>INDEX(Table5[[#All],[Ovr]],MATCH(Table3[[#This Row],[PID]],Table5[[#All],[PID]],0))</f>
        <v/>
      </c>
      <c r="BI445" s="47" t="str">
        <f>INDEX(Table5[[#All],[Rnd]],MATCH(Table3[[#This Row],[PID]],Table5[[#All],[PID]],0))</f>
        <v/>
      </c>
      <c r="BJ445" s="47" t="str">
        <f>INDEX(Table5[[#All],[Pick]],MATCH(Table3[[#This Row],[PID]],Table5[[#All],[PID]],0))</f>
        <v/>
      </c>
      <c r="BK445" s="47" t="str">
        <f>INDEX(Table5[[#All],[Team]],MATCH(Table3[[#This Row],[PID]],Table5[[#All],[PID]],0))</f>
        <v/>
      </c>
      <c r="BL4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6" spans="1:64" ht="15" customHeight="1" x14ac:dyDescent="0.25">
      <c r="A446" s="42">
        <v>8477</v>
      </c>
      <c r="B446" s="42" t="s">
        <v>430</v>
      </c>
      <c r="C446" s="42" t="s">
        <v>140</v>
      </c>
      <c r="D446" s="42" t="s">
        <v>1776</v>
      </c>
      <c r="E446" s="42">
        <v>18</v>
      </c>
      <c r="F446" s="42" t="s">
        <v>42</v>
      </c>
      <c r="G446" s="42" t="s">
        <v>42</v>
      </c>
      <c r="H446" s="43" t="s">
        <v>721</v>
      </c>
      <c r="I446" s="44" t="s">
        <v>43</v>
      </c>
      <c r="J446" s="42" t="s">
        <v>43</v>
      </c>
      <c r="K446" s="43" t="s">
        <v>47</v>
      </c>
      <c r="L446" s="42">
        <v>2</v>
      </c>
      <c r="M446" s="42">
        <v>2</v>
      </c>
      <c r="N446" s="43">
        <v>1</v>
      </c>
      <c r="O446" s="42">
        <v>3</v>
      </c>
      <c r="P446" s="42">
        <v>2</v>
      </c>
      <c r="Q446" s="43">
        <v>2</v>
      </c>
      <c r="R446" s="42">
        <v>3</v>
      </c>
      <c r="S446" s="42">
        <v>3</v>
      </c>
      <c r="T446" s="42">
        <v>1</v>
      </c>
      <c r="U446" s="42">
        <v>1</v>
      </c>
      <c r="V446" s="42">
        <v>1</v>
      </c>
      <c r="W446" s="42">
        <v>4</v>
      </c>
      <c r="X446" s="42">
        <v>2</v>
      </c>
      <c r="Y446" s="42">
        <v>5</v>
      </c>
      <c r="Z446" s="42" t="s">
        <v>45</v>
      </c>
      <c r="AA446" s="42" t="s">
        <v>45</v>
      </c>
      <c r="AB446" s="42" t="s">
        <v>45</v>
      </c>
      <c r="AC446" s="42" t="s">
        <v>45</v>
      </c>
      <c r="AD446" s="42" t="s">
        <v>45</v>
      </c>
      <c r="AE446" s="42" t="s">
        <v>45</v>
      </c>
      <c r="AF446" s="42" t="s">
        <v>45</v>
      </c>
      <c r="AG446" s="42" t="s">
        <v>45</v>
      </c>
      <c r="AH446" s="42" t="s">
        <v>45</v>
      </c>
      <c r="AI446" s="42" t="s">
        <v>45</v>
      </c>
      <c r="AJ446" s="42" t="s">
        <v>45</v>
      </c>
      <c r="AK446" s="42" t="s">
        <v>45</v>
      </c>
      <c r="AL446" s="42" t="s">
        <v>45</v>
      </c>
      <c r="AM446" s="42" t="s">
        <v>45</v>
      </c>
      <c r="AN446" s="42" t="s">
        <v>45</v>
      </c>
      <c r="AO446" s="43" t="s">
        <v>45</v>
      </c>
      <c r="AP446" s="42" t="s">
        <v>355</v>
      </c>
      <c r="AQ446" s="42">
        <v>2</v>
      </c>
      <c r="AR446" s="50" t="s">
        <v>353</v>
      </c>
      <c r="AS446" s="45" t="s">
        <v>739</v>
      </c>
      <c r="AT446" s="45" t="s">
        <v>47</v>
      </c>
      <c r="AU446" s="46">
        <f>($O$3*(L446-$O$1)/$O$2+$P$3*(M446-$P$1)/$P$2+$Q$3*(N446-$P$1)/$Q$2)/SUM($O$3:$Q$3)</f>
        <v>-2.311361197028369</v>
      </c>
      <c r="AV446" s="46">
        <f>($O$3*(O446-$O$1)/$O$2+$P$3*(P446-$P$1)/$P$2+$Q$3*(Q446-$Q$1)/$Q$2)/SUM($O$3:$Q$3)</f>
        <v>-1.4288545557280135</v>
      </c>
      <c r="AW446" s="47">
        <f>COUNT(R446:AO446)/2</f>
        <v>4</v>
      </c>
      <c r="AX446" s="47">
        <f>IF(AND(S446&lt;&gt;"-",S446&gt;5),1,0)+IF(AND(U446&lt;&gt;"-",U446&gt;5),1,0)+IF(AND(W446&lt;&gt;"-",W446&gt;5),1,0)+IF(AND(Y446&lt;&gt;"-",Y446&gt;5),1,0)+IF(AND(AA446&lt;&gt;"-",AA446&gt;5),1,0)+IF(AND(AC446&lt;&gt;"-",AC446&gt;5),1,0)+IF(AND(AE446&lt;&gt;"-",AE446&gt;5),1,0)+IF(AND(AG446&lt;&gt;"-",AG446&gt;5),1,0)+IF(AND(AI446&lt;&gt;"-",AI446&gt;5),1,0)+IF(AND(AK446&lt;&gt;"-",AK446&gt;5),1,0)+IF(AND(AM446&lt;&gt;"-",AM446&gt;5),1,0)+IF(AND(AO446&lt;&gt;"-",AO446&gt;5),1,0)</f>
        <v>0</v>
      </c>
      <c r="AY446" s="48">
        <f>VLOOKUP(AP446,COND!$A$10:$B$32,2,FALSE)</f>
        <v>1</v>
      </c>
      <c r="AZ446" s="46">
        <f>($AU$3*AU446+$AV$3*AV446+$AW$3*AW446+$AX$3*AX446)*AY446*IF(AQ446&lt;5,0.95,IF(AQ446&lt;7,0.975,1))+$I$3*VLOOKUP(I446,COND!$A$2:$E$7,4,FALSE)+$J$3*VLOOKUP(J446,COND!$A$2:$E$7,2,FALSE)+$K$3*VLOOKUP(K446,COND!$A$2:$E$7,3,FALSE)+IF(BB446="SP",$BB$3,0)+IF($AW446&lt;3,-5,0)+IF(AND($B$2&gt;0,$E446&lt;20),$B$2*25,0)</f>
        <v>24.612604813732357</v>
      </c>
      <c r="BA446" s="49">
        <f>STANDARDIZE(AZ446,AVERAGE($AZ$5:$AZ$676),STDEVP($AZ$5:$AZ$676))</f>
        <v>-0.50680561054455242</v>
      </c>
      <c r="BB446" s="47" t="str">
        <f>IF(OR(AND(AQ446&gt;7,AX446&gt;1),AND(AQ446&gt;4,AW446&gt;2)),"SP","RP")</f>
        <v>RP</v>
      </c>
      <c r="BC446" s="47"/>
      <c r="BD446" s="47"/>
      <c r="BE446" s="47"/>
      <c r="BF446" s="47" t="str">
        <f>IF(AVERAGE($O446:$Q446)&gt;=6,"Likely",IF(AVERAGE($O446:$Q446)&gt;=4,"Possible","Unlikely"))</f>
        <v>Unlikely</v>
      </c>
      <c r="BG446" s="47"/>
      <c r="BH446" s="47" t="str">
        <f>INDEX(Table5[[#All],[Ovr]],MATCH(Table3[[#This Row],[PID]],Table5[[#All],[PID]],0))</f>
        <v/>
      </c>
      <c r="BI446" s="47" t="str">
        <f>INDEX(Table5[[#All],[Rnd]],MATCH(Table3[[#This Row],[PID]],Table5[[#All],[PID]],0))</f>
        <v/>
      </c>
      <c r="BJ446" s="47" t="str">
        <f>INDEX(Table5[[#All],[Pick]],MATCH(Table3[[#This Row],[PID]],Table5[[#All],[PID]],0))</f>
        <v/>
      </c>
      <c r="BK446" s="47" t="str">
        <f>INDEX(Table5[[#All],[Team]],MATCH(Table3[[#This Row],[PID]],Table5[[#All],[PID]],0))</f>
        <v/>
      </c>
      <c r="BL4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7" spans="1:64" ht="15" customHeight="1" x14ac:dyDescent="0.25">
      <c r="A447" s="42">
        <v>10501</v>
      </c>
      <c r="B447" s="42" t="s">
        <v>24</v>
      </c>
      <c r="C447" s="42" t="s">
        <v>339</v>
      </c>
      <c r="D447" s="42" t="s">
        <v>1170</v>
      </c>
      <c r="E447" s="42">
        <v>21</v>
      </c>
      <c r="F447" s="42" t="s">
        <v>53</v>
      </c>
      <c r="G447" s="42" t="s">
        <v>53</v>
      </c>
      <c r="H447" s="43" t="s">
        <v>721</v>
      </c>
      <c r="I447" s="44" t="s">
        <v>44</v>
      </c>
      <c r="J447" s="42" t="s">
        <v>43</v>
      </c>
      <c r="K447" s="43" t="s">
        <v>43</v>
      </c>
      <c r="L447" s="42">
        <v>2</v>
      </c>
      <c r="M447" s="42">
        <v>1</v>
      </c>
      <c r="N447" s="43">
        <v>1</v>
      </c>
      <c r="O447" s="42">
        <v>4</v>
      </c>
      <c r="P447" s="42">
        <v>2</v>
      </c>
      <c r="Q447" s="43">
        <v>2</v>
      </c>
      <c r="R447" s="42" t="s">
        <v>45</v>
      </c>
      <c r="S447" s="42" t="s">
        <v>45</v>
      </c>
      <c r="T447" s="42">
        <v>1</v>
      </c>
      <c r="U447" s="42">
        <v>6</v>
      </c>
      <c r="V447" s="42" t="s">
        <v>45</v>
      </c>
      <c r="W447" s="42" t="s">
        <v>45</v>
      </c>
      <c r="X447" s="42">
        <v>4</v>
      </c>
      <c r="Y447" s="42">
        <v>5</v>
      </c>
      <c r="Z447" s="42" t="s">
        <v>45</v>
      </c>
      <c r="AA447" s="42" t="s">
        <v>45</v>
      </c>
      <c r="AB447" s="42" t="s">
        <v>45</v>
      </c>
      <c r="AC447" s="42" t="s">
        <v>45</v>
      </c>
      <c r="AD447" s="42">
        <v>4</v>
      </c>
      <c r="AE447" s="42">
        <v>5</v>
      </c>
      <c r="AF447" s="42" t="s">
        <v>45</v>
      </c>
      <c r="AG447" s="42" t="s">
        <v>45</v>
      </c>
      <c r="AH447" s="42" t="s">
        <v>45</v>
      </c>
      <c r="AI447" s="42" t="s">
        <v>45</v>
      </c>
      <c r="AJ447" s="42" t="s">
        <v>45</v>
      </c>
      <c r="AK447" s="42" t="s">
        <v>45</v>
      </c>
      <c r="AL447" s="42" t="s">
        <v>45</v>
      </c>
      <c r="AM447" s="42" t="s">
        <v>45</v>
      </c>
      <c r="AN447" s="42" t="s">
        <v>45</v>
      </c>
      <c r="AO447" s="43" t="s">
        <v>45</v>
      </c>
      <c r="AP447" s="42" t="s">
        <v>58</v>
      </c>
      <c r="AQ447" s="42">
        <v>7</v>
      </c>
      <c r="AR447" s="50" t="s">
        <v>14</v>
      </c>
      <c r="AS447" s="45" t="s">
        <v>45</v>
      </c>
      <c r="AT447" s="45" t="s">
        <v>47</v>
      </c>
      <c r="AU447" s="46">
        <f>($O$3*(L447-$O$1)/$O$2+$P$3*(M447-$P$1)/$P$2+$Q$3*(N447-$P$1)/$Q$2)/SUM($O$3:$Q$3)</f>
        <v>-2.5067929134584248</v>
      </c>
      <c r="AV447" s="46">
        <f>($O$3*(O447-$O$1)/$O$2+$P$3*(P447-$P$1)/$P$2+$Q$3*(Q447-$Q$1)/$Q$2)/SUM($O$3:$Q$3)</f>
        <v>-1.23416323121884</v>
      </c>
      <c r="AW447" s="47">
        <f>COUNT(R447:AO447)/2</f>
        <v>3</v>
      </c>
      <c r="AX447" s="47">
        <f>IF(AND(S447&lt;&gt;"-",S447&gt;5),1,0)+IF(AND(U447&lt;&gt;"-",U447&gt;5),1,0)+IF(AND(W447&lt;&gt;"-",W447&gt;5),1,0)+IF(AND(Y447&lt;&gt;"-",Y447&gt;5),1,0)+IF(AND(AA447&lt;&gt;"-",AA447&gt;5),1,0)+IF(AND(AC447&lt;&gt;"-",AC447&gt;5),1,0)+IF(AND(AE447&lt;&gt;"-",AE447&gt;5),1,0)+IF(AND(AG447&lt;&gt;"-",AG447&gt;5),1,0)+IF(AND(AI447&lt;&gt;"-",AI447&gt;5),1,0)+IF(AND(AK447&lt;&gt;"-",AK447&gt;5),1,0)+IF(AND(AM447&lt;&gt;"-",AM447&gt;5),1,0)+IF(AND(AO447&lt;&gt;"-",AO447&gt;5),1,0)</f>
        <v>1</v>
      </c>
      <c r="AY447" s="48">
        <f>VLOOKUP(AP447,COND!$A$10:$B$32,2,FALSE)</f>
        <v>1</v>
      </c>
      <c r="AZ447" s="46">
        <f>($AU$3*AU447+$AV$3*AV447+$AW$3*AW447+$AX$3*AX447)*AY447*IF(AQ447&lt;5,0.95,IF(AQ447&lt;7,0.975,1))+$I$3*VLOOKUP(I447,COND!$A$2:$E$7,4,FALSE)+$J$3*VLOOKUP(J447,COND!$A$2:$E$7,2,FALSE)+$K$3*VLOOKUP(K447,COND!$A$2:$E$7,3,FALSE)+IF(BB447="SP",$BB$3,0)+IF($AW447&lt;3,-5,0)+IF(AND($B$2&gt;0,$E447&lt;20),$B$2*25,0)</f>
        <v>24.415376792931511</v>
      </c>
      <c r="BA447" s="49">
        <f>STANDARDIZE(AZ447,AVERAGE($AZ$5:$AZ$570),STDEVP($AZ$5:$AZ$570))</f>
        <v>-0.76177585573153617</v>
      </c>
      <c r="BB447" s="47" t="str">
        <f>IF(OR(AND(AQ447&gt;7,AX447&gt;1),AND(AQ447&gt;4,AW447&gt;2)),"SP","RP")</f>
        <v>SP</v>
      </c>
      <c r="BC447" s="47"/>
      <c r="BD447" s="47"/>
      <c r="BE447" s="47"/>
      <c r="BF447" s="47" t="str">
        <f>IF(AVERAGE($O447:$Q447)&gt;=6,"Likely",IF(AVERAGE($O447:$Q447)&gt;=4,"Possible","Unlikely"))</f>
        <v>Unlikely</v>
      </c>
      <c r="BG447" s="47"/>
      <c r="BH447" s="47" t="str">
        <f>INDEX(Table5[[#All],[Ovr]],MATCH(Table3[[#This Row],[PID]],Table5[[#All],[PID]],0))</f>
        <v/>
      </c>
      <c r="BI447" s="47" t="str">
        <f>INDEX(Table5[[#All],[Rnd]],MATCH(Table3[[#This Row],[PID]],Table5[[#All],[PID]],0))</f>
        <v/>
      </c>
      <c r="BJ447" s="47" t="str">
        <f>INDEX(Table5[[#All],[Pick]],MATCH(Table3[[#This Row],[PID]],Table5[[#All],[PID]],0))</f>
        <v/>
      </c>
      <c r="BK447" s="47" t="str">
        <f>INDEX(Table5[[#All],[Team]],MATCH(Table3[[#This Row],[PID]],Table5[[#All],[PID]],0))</f>
        <v/>
      </c>
      <c r="BL4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8" spans="1:64" ht="15" customHeight="1" x14ac:dyDescent="0.25">
      <c r="A448" s="42">
        <v>12412</v>
      </c>
      <c r="B448" s="42" t="s">
        <v>430</v>
      </c>
      <c r="C448" s="42" t="s">
        <v>126</v>
      </c>
      <c r="D448" s="42" t="s">
        <v>1731</v>
      </c>
      <c r="E448" s="42">
        <v>18</v>
      </c>
      <c r="F448" s="42" t="s">
        <v>42</v>
      </c>
      <c r="G448" s="42" t="s">
        <v>42</v>
      </c>
      <c r="H448" s="43" t="s">
        <v>721</v>
      </c>
      <c r="I448" s="44" t="s">
        <v>43</v>
      </c>
      <c r="J448" s="42" t="s">
        <v>43</v>
      </c>
      <c r="K448" s="43" t="s">
        <v>44</v>
      </c>
      <c r="L448" s="42">
        <v>2</v>
      </c>
      <c r="M448" s="42">
        <v>1</v>
      </c>
      <c r="N448" s="43">
        <v>1</v>
      </c>
      <c r="O448" s="42">
        <v>4</v>
      </c>
      <c r="P448" s="42">
        <v>1</v>
      </c>
      <c r="Q448" s="43">
        <v>2</v>
      </c>
      <c r="R448" s="42">
        <v>3</v>
      </c>
      <c r="S448" s="42">
        <v>4</v>
      </c>
      <c r="T448" s="42">
        <v>1</v>
      </c>
      <c r="U448" s="42">
        <v>5</v>
      </c>
      <c r="V448" s="42">
        <v>1</v>
      </c>
      <c r="W448" s="42">
        <v>4</v>
      </c>
      <c r="X448" s="42">
        <v>2</v>
      </c>
      <c r="Y448" s="42">
        <v>2</v>
      </c>
      <c r="Z448" s="42" t="s">
        <v>45</v>
      </c>
      <c r="AA448" s="42" t="s">
        <v>45</v>
      </c>
      <c r="AB448" s="42" t="s">
        <v>45</v>
      </c>
      <c r="AC448" s="42" t="s">
        <v>45</v>
      </c>
      <c r="AD448" s="42" t="s">
        <v>45</v>
      </c>
      <c r="AE448" s="42" t="s">
        <v>45</v>
      </c>
      <c r="AF448" s="42">
        <v>2</v>
      </c>
      <c r="AG448" s="42">
        <v>4</v>
      </c>
      <c r="AH448" s="42" t="s">
        <v>45</v>
      </c>
      <c r="AI448" s="42" t="s">
        <v>45</v>
      </c>
      <c r="AJ448" s="42" t="s">
        <v>45</v>
      </c>
      <c r="AK448" s="42" t="s">
        <v>45</v>
      </c>
      <c r="AL448" s="42" t="s">
        <v>45</v>
      </c>
      <c r="AM448" s="42" t="s">
        <v>45</v>
      </c>
      <c r="AN448" s="42" t="s">
        <v>45</v>
      </c>
      <c r="AO448" s="43" t="s">
        <v>45</v>
      </c>
      <c r="AP448" s="42" t="s">
        <v>355</v>
      </c>
      <c r="AQ448" s="42">
        <v>7</v>
      </c>
      <c r="AR448" s="50" t="s">
        <v>357</v>
      </c>
      <c r="AS448" s="45" t="s">
        <v>730</v>
      </c>
      <c r="AT448" s="45" t="s">
        <v>47</v>
      </c>
      <c r="AU448" s="46">
        <f>($O$3*(L448-$O$1)/$O$2+$P$3*(M448-$P$1)/$P$2+$Q$3*(N448-$P$1)/$Q$2)/SUM($O$3:$Q$3)</f>
        <v>-2.5067929134584248</v>
      </c>
      <c r="AV448" s="46">
        <f>($O$3*(O448-$O$1)/$O$2+$P$3*(P448-$P$1)/$P$2+$Q$3*(Q448-$Q$1)/$Q$2)/SUM($O$3:$Q$3)</f>
        <v>-1.4295949476488956</v>
      </c>
      <c r="AW448" s="47">
        <f>COUNT(R448:AO448)/2</f>
        <v>5</v>
      </c>
      <c r="AX448" s="47">
        <f>IF(AND(S448&lt;&gt;"-",S448&gt;5),1,0)+IF(AND(U448&lt;&gt;"-",U448&gt;5),1,0)+IF(AND(W448&lt;&gt;"-",W448&gt;5),1,0)+IF(AND(Y448&lt;&gt;"-",Y448&gt;5),1,0)+IF(AND(AA448&lt;&gt;"-",AA448&gt;5),1,0)+IF(AND(AC448&lt;&gt;"-",AC448&gt;5),1,0)+IF(AND(AE448&lt;&gt;"-",AE448&gt;5),1,0)+IF(AND(AG448&lt;&gt;"-",AG448&gt;5),1,0)+IF(AND(AI448&lt;&gt;"-",AI448&gt;5),1,0)+IF(AND(AK448&lt;&gt;"-",AK448&gt;5),1,0)+IF(AND(AM448&lt;&gt;"-",AM448&gt;5),1,0)+IF(AND(AO448&lt;&gt;"-",AO448&gt;5),1,0)</f>
        <v>0</v>
      </c>
      <c r="AY448" s="48">
        <f>VLOOKUP(AP448,COND!$A$10:$B$32,2,FALSE)</f>
        <v>1</v>
      </c>
      <c r="AZ448" s="46">
        <f>($AU$3*AU448+$AV$3*AV448+$AW$3*AW448+$AX$3*AX448)*AY448*IF(AQ448&lt;5,0.95,IF(AQ448&lt;7,0.975,1))+$I$3*VLOOKUP(I448,COND!$A$2:$E$7,4,FALSE)+$J$3*VLOOKUP(J448,COND!$A$2:$E$7,2,FALSE)+$K$3*VLOOKUP(K448,COND!$A$2:$E$7,3,FALSE)+IF(BB448="SP",$BB$3,0)+IF($AW448&lt;3,-5,0)+IF(AND($B$2&gt;0,$E448&lt;20),$B$2*25,0)</f>
        <v>25.106742464330399</v>
      </c>
      <c r="BA448" s="49">
        <f>STANDARDIZE(AZ448,AVERAGE($AZ$5:$AZ$570),STDEVP($AZ$5:$AZ$570))</f>
        <v>-0.69837466870527398</v>
      </c>
      <c r="BB448" s="47" t="str">
        <f>IF(OR(AND(AQ448&gt;7,AX448&gt;1),AND(AQ448&gt;4,AW448&gt;2)),"SP","RP")</f>
        <v>SP</v>
      </c>
      <c r="BC448" s="47"/>
      <c r="BD448" s="47"/>
      <c r="BE448" s="47"/>
      <c r="BF448" s="47" t="str">
        <f>IF(AVERAGE($O448:$Q448)&gt;=6,"Likely",IF(AVERAGE($O448:$Q448)&gt;=4,"Possible","Unlikely"))</f>
        <v>Unlikely</v>
      </c>
      <c r="BG448" s="47"/>
      <c r="BH448" s="47" t="str">
        <f>INDEX(Table5[[#All],[Ovr]],MATCH(Table3[[#This Row],[PID]],Table5[[#All],[PID]],0))</f>
        <v/>
      </c>
      <c r="BI448" s="47" t="str">
        <f>INDEX(Table5[[#All],[Rnd]],MATCH(Table3[[#This Row],[PID]],Table5[[#All],[PID]],0))</f>
        <v/>
      </c>
      <c r="BJ448" s="47" t="str">
        <f>INDEX(Table5[[#All],[Pick]],MATCH(Table3[[#This Row],[PID]],Table5[[#All],[PID]],0))</f>
        <v/>
      </c>
      <c r="BK448" s="47" t="str">
        <f>INDEX(Table5[[#All],[Team]],MATCH(Table3[[#This Row],[PID]],Table5[[#All],[PID]],0))</f>
        <v/>
      </c>
      <c r="BL4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9" spans="1:64" ht="15" customHeight="1" x14ac:dyDescent="0.25">
      <c r="A449" s="42">
        <v>7516</v>
      </c>
      <c r="B449" s="42" t="s">
        <v>430</v>
      </c>
      <c r="C449" s="42" t="s">
        <v>146</v>
      </c>
      <c r="D449" s="42" t="s">
        <v>1789</v>
      </c>
      <c r="E449" s="42">
        <v>17</v>
      </c>
      <c r="F449" s="42" t="s">
        <v>42</v>
      </c>
      <c r="G449" s="42" t="s">
        <v>42</v>
      </c>
      <c r="H449" s="43" t="s">
        <v>721</v>
      </c>
      <c r="I449" s="44" t="s">
        <v>43</v>
      </c>
      <c r="J449" s="42" t="s">
        <v>44</v>
      </c>
      <c r="K449" s="43" t="s">
        <v>43</v>
      </c>
      <c r="L449" s="42">
        <v>1</v>
      </c>
      <c r="M449" s="42">
        <v>2</v>
      </c>
      <c r="N449" s="43">
        <v>1</v>
      </c>
      <c r="O449" s="42">
        <v>3</v>
      </c>
      <c r="P449" s="42">
        <v>2</v>
      </c>
      <c r="Q449" s="43">
        <v>2</v>
      </c>
      <c r="R449" s="42">
        <v>2</v>
      </c>
      <c r="S449" s="42">
        <v>3</v>
      </c>
      <c r="T449" s="42">
        <v>1</v>
      </c>
      <c r="U449" s="42">
        <v>3</v>
      </c>
      <c r="V449" s="42">
        <v>1</v>
      </c>
      <c r="W449" s="42">
        <v>6</v>
      </c>
      <c r="X449" s="42" t="s">
        <v>45</v>
      </c>
      <c r="Y449" s="42" t="s">
        <v>45</v>
      </c>
      <c r="Z449" s="42" t="s">
        <v>45</v>
      </c>
      <c r="AA449" s="42" t="s">
        <v>45</v>
      </c>
      <c r="AB449" s="42" t="s">
        <v>45</v>
      </c>
      <c r="AC449" s="42" t="s">
        <v>45</v>
      </c>
      <c r="AD449" s="42" t="s">
        <v>45</v>
      </c>
      <c r="AE449" s="42" t="s">
        <v>45</v>
      </c>
      <c r="AF449" s="42" t="s">
        <v>45</v>
      </c>
      <c r="AG449" s="42" t="s">
        <v>45</v>
      </c>
      <c r="AH449" s="42" t="s">
        <v>45</v>
      </c>
      <c r="AI449" s="42" t="s">
        <v>45</v>
      </c>
      <c r="AJ449" s="42" t="s">
        <v>45</v>
      </c>
      <c r="AK449" s="42" t="s">
        <v>45</v>
      </c>
      <c r="AL449" s="42" t="s">
        <v>45</v>
      </c>
      <c r="AM449" s="42" t="s">
        <v>45</v>
      </c>
      <c r="AN449" s="42" t="s">
        <v>45</v>
      </c>
      <c r="AO449" s="43" t="s">
        <v>45</v>
      </c>
      <c r="AP449" s="42" t="s">
        <v>65</v>
      </c>
      <c r="AQ449" s="42">
        <v>4</v>
      </c>
      <c r="AR449" s="50" t="s">
        <v>353</v>
      </c>
      <c r="AS449" s="45" t="s">
        <v>718</v>
      </c>
      <c r="AT449" s="45" t="s">
        <v>47</v>
      </c>
      <c r="AU449" s="46">
        <f>($O$3*(L449-$O$1)/$O$2+$P$3*(M449-$P$1)/$P$2+$Q$3*(N449-$P$1)/$Q$2)/SUM($O$3:$Q$3)</f>
        <v>-2.5060525215375429</v>
      </c>
      <c r="AV449" s="46">
        <f>($O$3*(O449-$O$1)/$O$2+$P$3*(P449-$P$1)/$P$2+$Q$3*(Q449-$Q$1)/$Q$2)/SUM($O$3:$Q$3)</f>
        <v>-1.4288545557280135</v>
      </c>
      <c r="AW449" s="47">
        <f>COUNT(R449:AO449)/2</f>
        <v>3</v>
      </c>
      <c r="AX449" s="47">
        <f>IF(AND(S449&lt;&gt;"-",S449&gt;5),1,0)+IF(AND(U449&lt;&gt;"-",U449&gt;5),1,0)+IF(AND(W449&lt;&gt;"-",W449&gt;5),1,0)+IF(AND(Y449&lt;&gt;"-",Y449&gt;5),1,0)+IF(AND(AA449&lt;&gt;"-",AA449&gt;5),1,0)+IF(AND(AC449&lt;&gt;"-",AC449&gt;5),1,0)+IF(AND(AE449&lt;&gt;"-",AE449&gt;5),1,0)+IF(AND(AG449&lt;&gt;"-",AG449&gt;5),1,0)+IF(AND(AI449&lt;&gt;"-",AI449&gt;5),1,0)+IF(AND(AK449&lt;&gt;"-",AK449&gt;5),1,0)+IF(AND(AM449&lt;&gt;"-",AM449&gt;5),1,0)+IF(AND(AO449&lt;&gt;"-",AO449&gt;5),1,0)</f>
        <v>1</v>
      </c>
      <c r="AY449" s="48">
        <f>VLOOKUP(AP449,COND!$A$10:$B$32,2,FALSE)</f>
        <v>0.95</v>
      </c>
      <c r="AZ449" s="46">
        <f>($AU$3*AU449+$AV$3*AV449+$AW$3*AW449+$AX$3*AX449)*AY449*IF(AQ449&lt;5,0.95,IF(AQ449&lt;7,0.975,1))+$I$3*VLOOKUP(I449,COND!$A$2:$E$7,4,FALSE)+$J$3*VLOOKUP(J449,COND!$A$2:$E$7,2,FALSE)+$K$3*VLOOKUP(K449,COND!$A$2:$E$7,3,FALSE)+IF(BB449="SP",$BB$3,0)+IF($AW449&lt;3,-5,0)+IF(AND($B$2&gt;0,$E449&lt;20),$B$2*25,0)</f>
        <v>25.938707788971833</v>
      </c>
      <c r="BA449" s="49">
        <f>STANDARDIZE(AZ449,AVERAGE($AZ$5:$AZ$676),STDEVP($AZ$5:$AZ$676))</f>
        <v>-0.39058249570287934</v>
      </c>
      <c r="BB449" s="47" t="str">
        <f>IF(OR(AND(AQ449&gt;7,AX449&gt;1),AND(AQ449&gt;4,AW449&gt;2)),"SP","RP")</f>
        <v>RP</v>
      </c>
      <c r="BC449" s="47"/>
      <c r="BD449" s="47"/>
      <c r="BE449" s="47"/>
      <c r="BF449" s="47" t="str">
        <f>IF(AVERAGE($O449:$Q449)&gt;=6,"Likely",IF(AVERAGE($O449:$Q449)&gt;=4,"Possible","Unlikely"))</f>
        <v>Unlikely</v>
      </c>
      <c r="BG449" s="47"/>
      <c r="BH449" s="47" t="str">
        <f>INDEX(Table5[[#All],[Ovr]],MATCH(Table3[[#This Row],[PID]],Table5[[#All],[PID]],0))</f>
        <v/>
      </c>
      <c r="BI449" s="47" t="str">
        <f>INDEX(Table5[[#All],[Rnd]],MATCH(Table3[[#This Row],[PID]],Table5[[#All],[PID]],0))</f>
        <v/>
      </c>
      <c r="BJ449" s="47" t="str">
        <f>INDEX(Table5[[#All],[Pick]],MATCH(Table3[[#This Row],[PID]],Table5[[#All],[PID]],0))</f>
        <v/>
      </c>
      <c r="BK449" s="47" t="str">
        <f>INDEX(Table5[[#All],[Team]],MATCH(Table3[[#This Row],[PID]],Table5[[#All],[PID]],0))</f>
        <v/>
      </c>
      <c r="BL4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0" spans="1:64" ht="15" customHeight="1" x14ac:dyDescent="0.25">
      <c r="A450" s="42">
        <v>7311</v>
      </c>
      <c r="B450" s="42" t="s">
        <v>430</v>
      </c>
      <c r="C450" s="42" t="s">
        <v>1614</v>
      </c>
      <c r="D450" s="42" t="s">
        <v>417</v>
      </c>
      <c r="E450" s="42">
        <v>21</v>
      </c>
      <c r="F450" s="42" t="s">
        <v>42</v>
      </c>
      <c r="G450" s="42" t="s">
        <v>42</v>
      </c>
      <c r="H450" s="43" t="s">
        <v>721</v>
      </c>
      <c r="I450" s="44" t="s">
        <v>43</v>
      </c>
      <c r="J450" s="42" t="s">
        <v>43</v>
      </c>
      <c r="K450" s="43" t="s">
        <v>43</v>
      </c>
      <c r="L450" s="42">
        <v>3</v>
      </c>
      <c r="M450" s="42">
        <v>1</v>
      </c>
      <c r="N450" s="43">
        <v>3</v>
      </c>
      <c r="O450" s="42">
        <v>4</v>
      </c>
      <c r="P450" s="42">
        <v>1</v>
      </c>
      <c r="Q450" s="43">
        <v>3</v>
      </c>
      <c r="R450" s="42">
        <v>4</v>
      </c>
      <c r="S450" s="42">
        <v>5</v>
      </c>
      <c r="T450" s="42">
        <v>1</v>
      </c>
      <c r="U450" s="42">
        <v>1</v>
      </c>
      <c r="V450" s="42">
        <v>4</v>
      </c>
      <c r="W450" s="42">
        <v>5</v>
      </c>
      <c r="X450" s="42" t="s">
        <v>45</v>
      </c>
      <c r="Y450" s="42" t="s">
        <v>45</v>
      </c>
      <c r="Z450" s="42" t="s">
        <v>45</v>
      </c>
      <c r="AA450" s="42" t="s">
        <v>45</v>
      </c>
      <c r="AB450" s="42" t="s">
        <v>45</v>
      </c>
      <c r="AC450" s="42" t="s">
        <v>45</v>
      </c>
      <c r="AD450" s="42" t="s">
        <v>45</v>
      </c>
      <c r="AE450" s="42" t="s">
        <v>45</v>
      </c>
      <c r="AF450" s="42" t="s">
        <v>45</v>
      </c>
      <c r="AG450" s="42" t="s">
        <v>45</v>
      </c>
      <c r="AH450" s="42" t="s">
        <v>45</v>
      </c>
      <c r="AI450" s="42" t="s">
        <v>45</v>
      </c>
      <c r="AJ450" s="42" t="s">
        <v>45</v>
      </c>
      <c r="AK450" s="42" t="s">
        <v>45</v>
      </c>
      <c r="AL450" s="42" t="s">
        <v>45</v>
      </c>
      <c r="AM450" s="42" t="s">
        <v>45</v>
      </c>
      <c r="AN450" s="42" t="s">
        <v>45</v>
      </c>
      <c r="AO450" s="43" t="s">
        <v>45</v>
      </c>
      <c r="AP450" s="42" t="s">
        <v>356</v>
      </c>
      <c r="AQ450" s="42">
        <v>8</v>
      </c>
      <c r="AR450" s="50" t="s">
        <v>14</v>
      </c>
      <c r="AS450" s="45" t="s">
        <v>752</v>
      </c>
      <c r="AT450" s="45" t="s">
        <v>705</v>
      </c>
      <c r="AU450" s="46">
        <f>($O$3*(L450-$O$1)/$O$2+$P$3*(M450-$P$1)/$P$2+$Q$3*(N450-$P$1)/$Q$2)/SUM($O$3:$Q$3)</f>
        <v>-1.8274604568410304</v>
      </c>
      <c r="AV450" s="46">
        <f>($O$3*(O450-$O$1)/$O$2+$P$3*(P450-$P$1)/$P$2+$Q$3*(Q450-$Q$1)/$Q$2)/SUM($O$3:$Q$3)</f>
        <v>-1.1872743815947853</v>
      </c>
      <c r="AW450" s="47">
        <f>COUNT(R450:AO450)/2</f>
        <v>3</v>
      </c>
      <c r="AX450" s="47">
        <f>IF(AND(S450&lt;&gt;"-",S450&gt;5),1,0)+IF(AND(U450&lt;&gt;"-",U450&gt;5),1,0)+IF(AND(W450&lt;&gt;"-",W450&gt;5),1,0)+IF(AND(Y450&lt;&gt;"-",Y450&gt;5),1,0)+IF(AND(AA450&lt;&gt;"-",AA450&gt;5),1,0)+IF(AND(AC450&lt;&gt;"-",AC450&gt;5),1,0)+IF(AND(AE450&lt;&gt;"-",AE450&gt;5),1,0)+IF(AND(AG450&lt;&gt;"-",AG450&gt;5),1,0)+IF(AND(AI450&lt;&gt;"-",AI450&gt;5),1,0)+IF(AND(AK450&lt;&gt;"-",AK450&gt;5),1,0)+IF(AND(AM450&lt;&gt;"-",AM450&gt;5),1,0)+IF(AND(AO450&lt;&gt;"-",AO450&gt;5),1,0)</f>
        <v>0</v>
      </c>
      <c r="AY450" s="48">
        <f>VLOOKUP(AP450,COND!$A$10:$B$32,2,FALSE)</f>
        <v>1</v>
      </c>
      <c r="AZ450" s="46">
        <f>($AU$3*AU450+$AV$3*AV450+$AW$3*AW450+$AX$3*AX450)*AY450*IF(AQ450&lt;5,0.95,IF(AQ450&lt;7,0.975,1))+$I$3*VLOOKUP(I450,COND!$A$2:$E$7,4,FALSE)+$J$3*VLOOKUP(J450,COND!$A$2:$E$7,2,FALSE)+$K$3*VLOOKUP(K450,COND!$A$2:$E$7,3,FALSE)+IF(BB450="SP",$BB$3,0)+IF($AW450&lt;3,-5,0)+IF(AND($B$2&gt;0,$E450&lt;20),$B$2*25,0)</f>
        <v>24.389020276736087</v>
      </c>
      <c r="BA450" s="49">
        <f>STANDARDIZE(AZ450,AVERAGE($AZ$5:$AZ$570),STDEVP($AZ$5:$AZ$570))</f>
        <v>-0.7641928609167743</v>
      </c>
      <c r="BB450" s="47" t="str">
        <f>IF(OR(AND(AQ450&gt;7,AX450&gt;1),AND(AQ450&gt;4,AW450&gt;2)),"SP","RP")</f>
        <v>SP</v>
      </c>
      <c r="BC450" s="47"/>
      <c r="BD450" s="47"/>
      <c r="BE450" s="47"/>
      <c r="BF450" s="47" t="str">
        <f>IF(AVERAGE($O450:$Q450)&gt;=6,"Likely",IF(AVERAGE($O450:$Q450)&gt;=4,"Possible","Unlikely"))</f>
        <v>Unlikely</v>
      </c>
      <c r="BG450" s="47"/>
      <c r="BH450" s="47" t="str">
        <f>INDEX(Table5[[#All],[Ovr]],MATCH(Table3[[#This Row],[PID]],Table5[[#All],[PID]],0))</f>
        <v/>
      </c>
      <c r="BI450" s="47" t="str">
        <f>INDEX(Table5[[#All],[Rnd]],MATCH(Table3[[#This Row],[PID]],Table5[[#All],[PID]],0))</f>
        <v/>
      </c>
      <c r="BJ450" s="47" t="str">
        <f>INDEX(Table5[[#All],[Pick]],MATCH(Table3[[#This Row],[PID]],Table5[[#All],[PID]],0))</f>
        <v/>
      </c>
      <c r="BK450" s="47" t="str">
        <f>INDEX(Table5[[#All],[Team]],MATCH(Table3[[#This Row],[PID]],Table5[[#All],[PID]],0))</f>
        <v/>
      </c>
      <c r="BL4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1" spans="1:64" ht="15" customHeight="1" x14ac:dyDescent="0.25">
      <c r="A451" s="42">
        <v>9673</v>
      </c>
      <c r="B451" s="42" t="s">
        <v>24</v>
      </c>
      <c r="C451" s="42" t="s">
        <v>1066</v>
      </c>
      <c r="D451" s="42" t="s">
        <v>847</v>
      </c>
      <c r="E451" s="42">
        <v>21</v>
      </c>
      <c r="F451" s="42" t="s">
        <v>53</v>
      </c>
      <c r="G451" s="42" t="s">
        <v>53</v>
      </c>
      <c r="H451" s="43" t="s">
        <v>721</v>
      </c>
      <c r="I451" s="44" t="s">
        <v>43</v>
      </c>
      <c r="J451" s="42" t="s">
        <v>43</v>
      </c>
      <c r="K451" s="43" t="s">
        <v>44</v>
      </c>
      <c r="L451" s="42">
        <v>2</v>
      </c>
      <c r="M451" s="42">
        <v>1</v>
      </c>
      <c r="N451" s="43">
        <v>2</v>
      </c>
      <c r="O451" s="42">
        <v>4</v>
      </c>
      <c r="P451" s="42">
        <v>1</v>
      </c>
      <c r="Q451" s="43">
        <v>3</v>
      </c>
      <c r="R451" s="42">
        <v>5</v>
      </c>
      <c r="S451" s="42">
        <v>6</v>
      </c>
      <c r="T451" s="42">
        <v>3</v>
      </c>
      <c r="U451" s="42">
        <v>6</v>
      </c>
      <c r="V451" s="42" t="s">
        <v>45</v>
      </c>
      <c r="W451" s="42" t="s">
        <v>45</v>
      </c>
      <c r="X451" s="42">
        <v>3</v>
      </c>
      <c r="Y451" s="42">
        <v>5</v>
      </c>
      <c r="Z451" s="42" t="s">
        <v>45</v>
      </c>
      <c r="AA451" s="42" t="s">
        <v>45</v>
      </c>
      <c r="AB451" s="42" t="s">
        <v>45</v>
      </c>
      <c r="AC451" s="42" t="s">
        <v>45</v>
      </c>
      <c r="AD451" s="42" t="s">
        <v>45</v>
      </c>
      <c r="AE451" s="42" t="s">
        <v>45</v>
      </c>
      <c r="AF451" s="42" t="s">
        <v>45</v>
      </c>
      <c r="AG451" s="42" t="s">
        <v>45</v>
      </c>
      <c r="AH451" s="42" t="s">
        <v>45</v>
      </c>
      <c r="AI451" s="42" t="s">
        <v>45</v>
      </c>
      <c r="AJ451" s="42" t="s">
        <v>45</v>
      </c>
      <c r="AK451" s="42" t="s">
        <v>45</v>
      </c>
      <c r="AL451" s="42" t="s">
        <v>45</v>
      </c>
      <c r="AM451" s="42" t="s">
        <v>45</v>
      </c>
      <c r="AN451" s="42" t="s">
        <v>45</v>
      </c>
      <c r="AO451" s="43" t="s">
        <v>45</v>
      </c>
      <c r="AP451" s="42" t="s">
        <v>54</v>
      </c>
      <c r="AQ451" s="42">
        <v>3</v>
      </c>
      <c r="AR451" s="50" t="s">
        <v>357</v>
      </c>
      <c r="AS451" s="45" t="s">
        <v>45</v>
      </c>
      <c r="AT451" s="45" t="s">
        <v>705</v>
      </c>
      <c r="AU451" s="46">
        <f>($O$3*(L451-$O$1)/$O$2+$P$3*(M451-$P$1)/$P$2+$Q$3*(N451-$P$1)/$Q$2)/SUM($O$3:$Q$3)</f>
        <v>-2.2644723474043147</v>
      </c>
      <c r="AV451" s="46">
        <f>($O$3*(O451-$O$1)/$O$2+$P$3*(P451-$P$1)/$P$2+$Q$3*(Q451-$Q$1)/$Q$2)/SUM($O$3:$Q$3)</f>
        <v>-1.1872743815947853</v>
      </c>
      <c r="AW451" s="47">
        <f>COUNT(R451:AO451)/2</f>
        <v>3</v>
      </c>
      <c r="AX451" s="47">
        <f>IF(AND(S451&lt;&gt;"-",S451&gt;5),1,0)+IF(AND(U451&lt;&gt;"-",U451&gt;5),1,0)+IF(AND(W451&lt;&gt;"-",W451&gt;5),1,0)+IF(AND(Y451&lt;&gt;"-",Y451&gt;5),1,0)+IF(AND(AA451&lt;&gt;"-",AA451&gt;5),1,0)+IF(AND(AC451&lt;&gt;"-",AC451&gt;5),1,0)+IF(AND(AE451&lt;&gt;"-",AE451&gt;5),1,0)+IF(AND(AG451&lt;&gt;"-",AG451&gt;5),1,0)+IF(AND(AI451&lt;&gt;"-",AI451&gt;5),1,0)+IF(AND(AK451&lt;&gt;"-",AK451&gt;5),1,0)+IF(AND(AM451&lt;&gt;"-",AM451&gt;5),1,0)+IF(AND(AO451&lt;&gt;"-",AO451&gt;5),1,0)</f>
        <v>2</v>
      </c>
      <c r="AY451" s="48">
        <f>VLOOKUP(AP451,COND!$A$10:$B$32,2,FALSE)</f>
        <v>1.0249999999999999</v>
      </c>
      <c r="AZ451" s="46">
        <f>($AU$3*AU451+$AV$3*AV451+$AW$3*AW451+$AX$3*AX451)*AY451*IF(AQ451&lt;5,0.95,IF(AQ451&lt;7,0.975,1))+$I$3*VLOOKUP(I451,COND!$A$2:$E$7,4,FALSE)+$J$3*VLOOKUP(J451,COND!$A$2:$E$7,2,FALSE)+$K$3*VLOOKUP(K451,COND!$A$2:$E$7,3,FALSE)+IF(BB451="SP",$BB$3,0)+IF($AW451&lt;3,-5,0)+IF(AND($B$2&gt;0,$E451&lt;20),$B$2*25,0)</f>
        <v>25.031825428784568</v>
      </c>
      <c r="BA451" s="49">
        <f>STANDARDIZE(AZ451,AVERAGE($AZ$5:$AZ$570),STDEVP($AZ$5:$AZ$570))</f>
        <v>-0.70524488106696626</v>
      </c>
      <c r="BB451" s="47" t="str">
        <f>IF(OR(AND(AQ451&gt;7,AX451&gt;1),AND(AQ451&gt;4,AW451&gt;2)),"SP","RP")</f>
        <v>RP</v>
      </c>
      <c r="BC451" s="47"/>
      <c r="BD451" s="47"/>
      <c r="BE451" s="47"/>
      <c r="BF451" s="47" t="str">
        <f>IF(AVERAGE($O451:$Q451)&gt;=6,"Likely",IF(AVERAGE($O451:$Q451)&gt;=4,"Possible","Unlikely"))</f>
        <v>Unlikely</v>
      </c>
      <c r="BG451" s="47"/>
      <c r="BH451" s="47" t="str">
        <f>INDEX(Table5[[#All],[Ovr]],MATCH(Table3[[#This Row],[PID]],Table5[[#All],[PID]],0))</f>
        <v/>
      </c>
      <c r="BI451" s="47" t="str">
        <f>INDEX(Table5[[#All],[Rnd]],MATCH(Table3[[#This Row],[PID]],Table5[[#All],[PID]],0))</f>
        <v/>
      </c>
      <c r="BJ451" s="47" t="str">
        <f>INDEX(Table5[[#All],[Pick]],MATCH(Table3[[#This Row],[PID]],Table5[[#All],[PID]],0))</f>
        <v/>
      </c>
      <c r="BK451" s="47" t="str">
        <f>INDEX(Table5[[#All],[Team]],MATCH(Table3[[#This Row],[PID]],Table5[[#All],[PID]],0))</f>
        <v/>
      </c>
      <c r="BL4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2" spans="1:64" ht="15" customHeight="1" x14ac:dyDescent="0.25">
      <c r="A452" s="42">
        <v>8249</v>
      </c>
      <c r="B452" s="42" t="s">
        <v>430</v>
      </c>
      <c r="C452" s="42" t="s">
        <v>143</v>
      </c>
      <c r="D452" s="42" t="s">
        <v>1546</v>
      </c>
      <c r="E452" s="42">
        <v>18</v>
      </c>
      <c r="F452" s="42" t="s">
        <v>62</v>
      </c>
      <c r="G452" s="42" t="s">
        <v>42</v>
      </c>
      <c r="H452" s="43" t="s">
        <v>721</v>
      </c>
      <c r="I452" s="44" t="s">
        <v>43</v>
      </c>
      <c r="J452" s="42" t="s">
        <v>43</v>
      </c>
      <c r="K452" s="43" t="s">
        <v>43</v>
      </c>
      <c r="L452" s="42">
        <v>1</v>
      </c>
      <c r="M452" s="42">
        <v>2</v>
      </c>
      <c r="N452" s="43">
        <v>1</v>
      </c>
      <c r="O452" s="42">
        <v>3</v>
      </c>
      <c r="P452" s="42">
        <v>2</v>
      </c>
      <c r="Q452" s="43">
        <v>2</v>
      </c>
      <c r="R452" s="42" t="s">
        <v>45</v>
      </c>
      <c r="S452" s="42" t="s">
        <v>45</v>
      </c>
      <c r="T452" s="42">
        <v>1</v>
      </c>
      <c r="U452" s="42">
        <v>4</v>
      </c>
      <c r="V452" s="42" t="s">
        <v>45</v>
      </c>
      <c r="W452" s="42" t="s">
        <v>45</v>
      </c>
      <c r="X452" s="42">
        <v>2</v>
      </c>
      <c r="Y452" s="42">
        <v>5</v>
      </c>
      <c r="Z452" s="42" t="s">
        <v>45</v>
      </c>
      <c r="AA452" s="42" t="s">
        <v>45</v>
      </c>
      <c r="AB452" s="42" t="s">
        <v>45</v>
      </c>
      <c r="AC452" s="42" t="s">
        <v>45</v>
      </c>
      <c r="AD452" s="42">
        <v>2</v>
      </c>
      <c r="AE452" s="42">
        <v>3</v>
      </c>
      <c r="AF452" s="42" t="s">
        <v>45</v>
      </c>
      <c r="AG452" s="42" t="s">
        <v>45</v>
      </c>
      <c r="AH452" s="42" t="s">
        <v>45</v>
      </c>
      <c r="AI452" s="42" t="s">
        <v>45</v>
      </c>
      <c r="AJ452" s="42" t="s">
        <v>45</v>
      </c>
      <c r="AK452" s="42" t="s">
        <v>45</v>
      </c>
      <c r="AL452" s="42" t="s">
        <v>45</v>
      </c>
      <c r="AM452" s="42" t="s">
        <v>45</v>
      </c>
      <c r="AN452" s="42" t="s">
        <v>45</v>
      </c>
      <c r="AO452" s="43" t="s">
        <v>45</v>
      </c>
      <c r="AP452" s="42" t="s">
        <v>64</v>
      </c>
      <c r="AQ452" s="42">
        <v>5</v>
      </c>
      <c r="AR452" s="50" t="s">
        <v>353</v>
      </c>
      <c r="AS452" s="45" t="s">
        <v>718</v>
      </c>
      <c r="AT452" s="45" t="s">
        <v>47</v>
      </c>
      <c r="AU452" s="46">
        <f>($O$3*(L452-$O$1)/$O$2+$P$3*(M452-$P$1)/$P$2+$Q$3*(N452-$P$1)/$Q$2)/SUM($O$3:$Q$3)</f>
        <v>-2.5060525215375429</v>
      </c>
      <c r="AV452" s="46">
        <f>($O$3*(O452-$O$1)/$O$2+$P$3*(P452-$P$1)/$P$2+$Q$3*(Q452-$Q$1)/$Q$2)/SUM($O$3:$Q$3)</f>
        <v>-1.4288545557280135</v>
      </c>
      <c r="AW452" s="47">
        <f>COUNT(R452:AO452)/2</f>
        <v>3</v>
      </c>
      <c r="AX452" s="47">
        <f>IF(AND(S452&lt;&gt;"-",S452&gt;5),1,0)+IF(AND(U452&lt;&gt;"-",U452&gt;5),1,0)+IF(AND(W452&lt;&gt;"-",W452&gt;5),1,0)+IF(AND(Y452&lt;&gt;"-",Y452&gt;5),1,0)+IF(AND(AA452&lt;&gt;"-",AA452&gt;5),1,0)+IF(AND(AC452&lt;&gt;"-",AC452&gt;5),1,0)+IF(AND(AE452&lt;&gt;"-",AE452&gt;5),1,0)+IF(AND(AG452&lt;&gt;"-",AG452&gt;5),1,0)+IF(AND(AI452&lt;&gt;"-",AI452&gt;5),1,0)+IF(AND(AK452&lt;&gt;"-",AK452&gt;5),1,0)+IF(AND(AM452&lt;&gt;"-",AM452&gt;5),1,0)+IF(AND(AO452&lt;&gt;"-",AO452&gt;5),1,0)</f>
        <v>0</v>
      </c>
      <c r="AY452" s="48">
        <f>VLOOKUP(AP452,COND!$A$10:$B$32,2,FALSE)</f>
        <v>1</v>
      </c>
      <c r="AZ452" s="46">
        <f>($AU$3*AU452+$AV$3*AV452+$AW$3*AW452+$AX$3*AX452)*AY452*IF(AQ452&lt;5,0.95,IF(AQ452&lt;7,0.975,1))+$I$3*VLOOKUP(I452,COND!$A$2:$E$7,4,FALSE)+$J$3*VLOOKUP(J452,COND!$A$2:$E$7,2,FALSE)+$K$3*VLOOKUP(K452,COND!$A$2:$E$7,3,FALSE)+IF(BB452="SP",$BB$3,0)+IF($AW452&lt;3,-5,0)+IF(AND($B$2&gt;0,$E452&lt;20),$B$2*25,0)</f>
        <v>25.11115592160392</v>
      </c>
      <c r="BA452" s="49">
        <f>STANDARDIZE(AZ452,AVERAGE($AZ$5:$AZ$676),STDEVP($AZ$5:$AZ$676))</f>
        <v>-0.46311129438170973</v>
      </c>
      <c r="BB452" s="47" t="str">
        <f>IF(OR(AND(AQ452&gt;7,AX452&gt;1),AND(AQ452&gt;4,AW452&gt;2)),"SP","RP")</f>
        <v>SP</v>
      </c>
      <c r="BC452" s="47"/>
      <c r="BD452" s="47"/>
      <c r="BE452" s="47"/>
      <c r="BF452" s="47" t="str">
        <f>IF(AVERAGE($O452:$Q452)&gt;=6,"Likely",IF(AVERAGE($O452:$Q452)&gt;=4,"Possible","Unlikely"))</f>
        <v>Unlikely</v>
      </c>
      <c r="BG452" s="47"/>
      <c r="BH452" s="47" t="str">
        <f>INDEX(Table5[[#All],[Ovr]],MATCH(Table3[[#This Row],[PID]],Table5[[#All],[PID]],0))</f>
        <v/>
      </c>
      <c r="BI452" s="47" t="str">
        <f>INDEX(Table5[[#All],[Rnd]],MATCH(Table3[[#This Row],[PID]],Table5[[#All],[PID]],0))</f>
        <v/>
      </c>
      <c r="BJ452" s="47" t="str">
        <f>INDEX(Table5[[#All],[Pick]],MATCH(Table3[[#This Row],[PID]],Table5[[#All],[PID]],0))</f>
        <v/>
      </c>
      <c r="BK452" s="47" t="str">
        <f>INDEX(Table5[[#All],[Team]],MATCH(Table3[[#This Row],[PID]],Table5[[#All],[PID]],0))</f>
        <v/>
      </c>
      <c r="BL4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3" spans="1:64" ht="15" customHeight="1" x14ac:dyDescent="0.25">
      <c r="A453" s="42">
        <v>8900</v>
      </c>
      <c r="B453" s="42" t="s">
        <v>430</v>
      </c>
      <c r="C453" s="42" t="s">
        <v>164</v>
      </c>
      <c r="D453" s="42" t="s">
        <v>1393</v>
      </c>
      <c r="E453" s="42">
        <v>18</v>
      </c>
      <c r="F453" s="42" t="s">
        <v>42</v>
      </c>
      <c r="G453" s="42" t="s">
        <v>42</v>
      </c>
      <c r="H453" s="43" t="s">
        <v>721</v>
      </c>
      <c r="I453" s="44" t="s">
        <v>44</v>
      </c>
      <c r="J453" s="42" t="s">
        <v>44</v>
      </c>
      <c r="K453" s="43" t="s">
        <v>43</v>
      </c>
      <c r="L453" s="42">
        <v>1</v>
      </c>
      <c r="M453" s="42">
        <v>2</v>
      </c>
      <c r="N453" s="43">
        <v>1</v>
      </c>
      <c r="O453" s="42">
        <v>3</v>
      </c>
      <c r="P453" s="42">
        <v>2</v>
      </c>
      <c r="Q453" s="43">
        <v>2</v>
      </c>
      <c r="R453" s="42" t="s">
        <v>45</v>
      </c>
      <c r="S453" s="42" t="s">
        <v>45</v>
      </c>
      <c r="T453" s="42">
        <v>1</v>
      </c>
      <c r="U453" s="42">
        <v>6</v>
      </c>
      <c r="V453" s="42">
        <v>1</v>
      </c>
      <c r="W453" s="42">
        <v>4</v>
      </c>
      <c r="X453" s="42" t="s">
        <v>45</v>
      </c>
      <c r="Y453" s="42" t="s">
        <v>45</v>
      </c>
      <c r="Z453" s="42" t="s">
        <v>45</v>
      </c>
      <c r="AA453" s="42" t="s">
        <v>45</v>
      </c>
      <c r="AB453" s="42" t="s">
        <v>45</v>
      </c>
      <c r="AC453" s="42" t="s">
        <v>45</v>
      </c>
      <c r="AD453" s="42">
        <v>2</v>
      </c>
      <c r="AE453" s="42">
        <v>3</v>
      </c>
      <c r="AF453" s="42" t="s">
        <v>45</v>
      </c>
      <c r="AG453" s="42" t="s">
        <v>45</v>
      </c>
      <c r="AH453" s="42" t="s">
        <v>45</v>
      </c>
      <c r="AI453" s="42" t="s">
        <v>45</v>
      </c>
      <c r="AJ453" s="42" t="s">
        <v>45</v>
      </c>
      <c r="AK453" s="42" t="s">
        <v>45</v>
      </c>
      <c r="AL453" s="42" t="s">
        <v>45</v>
      </c>
      <c r="AM453" s="42" t="s">
        <v>45</v>
      </c>
      <c r="AN453" s="42" t="s">
        <v>45</v>
      </c>
      <c r="AO453" s="43" t="s">
        <v>45</v>
      </c>
      <c r="AP453" s="42" t="s">
        <v>68</v>
      </c>
      <c r="AQ453" s="42">
        <v>3</v>
      </c>
      <c r="AR453" s="50" t="s">
        <v>353</v>
      </c>
      <c r="AS453" s="45" t="s">
        <v>593</v>
      </c>
      <c r="AT453" s="45" t="s">
        <v>47</v>
      </c>
      <c r="AU453" s="46">
        <f>($O$3*(L453-$O$1)/$O$2+$P$3*(M453-$P$1)/$P$2+$Q$3*(N453-$P$1)/$Q$2)/SUM($O$3:$Q$3)</f>
        <v>-2.5060525215375429</v>
      </c>
      <c r="AV453" s="46">
        <f>($O$3*(O453-$O$1)/$O$2+$P$3*(P453-$P$1)/$P$2+$Q$3*(Q453-$Q$1)/$Q$2)/SUM($O$3:$Q$3)</f>
        <v>-1.4288545557280135</v>
      </c>
      <c r="AW453" s="47">
        <f>COUNT(R453:AO453)/2</f>
        <v>3</v>
      </c>
      <c r="AX453" s="47">
        <f>IF(AND(S453&lt;&gt;"-",S453&gt;5),1,0)+IF(AND(U453&lt;&gt;"-",U453&gt;5),1,0)+IF(AND(W453&lt;&gt;"-",W453&gt;5),1,0)+IF(AND(Y453&lt;&gt;"-",Y453&gt;5),1,0)+IF(AND(AA453&lt;&gt;"-",AA453&gt;5),1,0)+IF(AND(AC453&lt;&gt;"-",AC453&gt;5),1,0)+IF(AND(AE453&lt;&gt;"-",AE453&gt;5),1,0)+IF(AND(AG453&lt;&gt;"-",AG453&gt;5),1,0)+IF(AND(AI453&lt;&gt;"-",AI453&gt;5),1,0)+IF(AND(AK453&lt;&gt;"-",AK453&gt;5),1,0)+IF(AND(AM453&lt;&gt;"-",AM453&gt;5),1,0)+IF(AND(AO453&lt;&gt;"-",AO453&gt;5),1,0)</f>
        <v>1</v>
      </c>
      <c r="AY453" s="48">
        <f>VLOOKUP(AP453,COND!$A$10:$B$32,2,FALSE)</f>
        <v>0.95</v>
      </c>
      <c r="AZ453" s="46">
        <f>($AU$3*AU453+$AV$3*AV453+$AW$3*AW453+$AX$3*AX453)*AY453*IF(AQ453&lt;5,0.95,IF(AQ453&lt;7,0.975,1))+$I$3*VLOOKUP(I453,COND!$A$2:$E$7,4,FALSE)+$J$3*VLOOKUP(J453,COND!$A$2:$E$7,2,FALSE)+$K$3*VLOOKUP(K453,COND!$A$2:$E$7,3,FALSE)+IF(BB453="SP",$BB$3,0)+IF($AW453&lt;3,-5,0)+IF(AND($B$2&gt;0,$E453&lt;20),$B$2*25,0)</f>
        <v>25.788707788971834</v>
      </c>
      <c r="BA453" s="49">
        <f>STANDARDIZE(AZ453,AVERAGE($AZ$5:$AZ$676),STDEVP($AZ$5:$AZ$676))</f>
        <v>-0.40372888595443773</v>
      </c>
      <c r="BB453" s="47" t="str">
        <f>IF(OR(AND(AQ453&gt;7,AX453&gt;1),AND(AQ453&gt;4,AW453&gt;2)),"SP","RP")</f>
        <v>RP</v>
      </c>
      <c r="BC453" s="47"/>
      <c r="BD453" s="47"/>
      <c r="BE453" s="47"/>
      <c r="BF453" s="47" t="str">
        <f>IF(AVERAGE($O453:$Q453)&gt;=6,"Likely",IF(AVERAGE($O453:$Q453)&gt;=4,"Possible","Unlikely"))</f>
        <v>Unlikely</v>
      </c>
      <c r="BG453" s="47"/>
      <c r="BH453" s="47" t="str">
        <f>INDEX(Table5[[#All],[Ovr]],MATCH(Table3[[#This Row],[PID]],Table5[[#All],[PID]],0))</f>
        <v/>
      </c>
      <c r="BI453" s="47" t="str">
        <f>INDEX(Table5[[#All],[Rnd]],MATCH(Table3[[#This Row],[PID]],Table5[[#All],[PID]],0))</f>
        <v/>
      </c>
      <c r="BJ453" s="47" t="str">
        <f>INDEX(Table5[[#All],[Pick]],MATCH(Table3[[#This Row],[PID]],Table5[[#All],[PID]],0))</f>
        <v/>
      </c>
      <c r="BK453" s="47" t="str">
        <f>INDEX(Table5[[#All],[Team]],MATCH(Table3[[#This Row],[PID]],Table5[[#All],[PID]],0))</f>
        <v/>
      </c>
      <c r="BL4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4" spans="1:64" ht="15" customHeight="1" x14ac:dyDescent="0.25">
      <c r="A454" s="42">
        <v>9639</v>
      </c>
      <c r="B454" s="42" t="s">
        <v>430</v>
      </c>
      <c r="C454" s="42" t="s">
        <v>883</v>
      </c>
      <c r="D454" s="42" t="s">
        <v>793</v>
      </c>
      <c r="E454" s="42">
        <v>21</v>
      </c>
      <c r="F454" s="42" t="s">
        <v>62</v>
      </c>
      <c r="G454" s="42" t="s">
        <v>53</v>
      </c>
      <c r="H454" s="43" t="s">
        <v>721</v>
      </c>
      <c r="I454" s="44" t="s">
        <v>43</v>
      </c>
      <c r="J454" s="42" t="s">
        <v>47</v>
      </c>
      <c r="K454" s="43" t="s">
        <v>43</v>
      </c>
      <c r="L454" s="42">
        <v>2</v>
      </c>
      <c r="M454" s="42">
        <v>2</v>
      </c>
      <c r="N454" s="43">
        <v>1</v>
      </c>
      <c r="O454" s="42">
        <v>5</v>
      </c>
      <c r="P454" s="42">
        <v>2</v>
      </c>
      <c r="Q454" s="43">
        <v>2</v>
      </c>
      <c r="R454" s="42">
        <v>5</v>
      </c>
      <c r="S454" s="42">
        <v>7</v>
      </c>
      <c r="T454" s="42" t="s">
        <v>45</v>
      </c>
      <c r="U454" s="42" t="s">
        <v>45</v>
      </c>
      <c r="V454" s="42">
        <v>3</v>
      </c>
      <c r="W454" s="42">
        <v>6</v>
      </c>
      <c r="X454" s="42" t="s">
        <v>45</v>
      </c>
      <c r="Y454" s="42" t="s">
        <v>45</v>
      </c>
      <c r="Z454" s="42" t="s">
        <v>45</v>
      </c>
      <c r="AA454" s="42" t="s">
        <v>45</v>
      </c>
      <c r="AB454" s="42" t="s">
        <v>45</v>
      </c>
      <c r="AC454" s="42" t="s">
        <v>45</v>
      </c>
      <c r="AD454" s="42" t="s">
        <v>45</v>
      </c>
      <c r="AE454" s="42" t="s">
        <v>45</v>
      </c>
      <c r="AF454" s="42" t="s">
        <v>45</v>
      </c>
      <c r="AG454" s="42" t="s">
        <v>45</v>
      </c>
      <c r="AH454" s="42" t="s">
        <v>45</v>
      </c>
      <c r="AI454" s="42" t="s">
        <v>45</v>
      </c>
      <c r="AJ454" s="42" t="s">
        <v>45</v>
      </c>
      <c r="AK454" s="42" t="s">
        <v>45</v>
      </c>
      <c r="AL454" s="42" t="s">
        <v>45</v>
      </c>
      <c r="AM454" s="42" t="s">
        <v>45</v>
      </c>
      <c r="AN454" s="42" t="s">
        <v>45</v>
      </c>
      <c r="AO454" s="43" t="s">
        <v>45</v>
      </c>
      <c r="AP454" s="42" t="s">
        <v>58</v>
      </c>
      <c r="AQ454" s="42">
        <v>4</v>
      </c>
      <c r="AR454" s="50" t="s">
        <v>353</v>
      </c>
      <c r="AS454" s="45" t="s">
        <v>45</v>
      </c>
      <c r="AT454" s="45" t="s">
        <v>47</v>
      </c>
      <c r="AU454" s="46">
        <f>($O$3*(L454-$O$1)/$O$2+$P$3*(M454-$P$1)/$P$2+$Q$3*(N454-$P$1)/$Q$2)/SUM($O$3:$Q$3)</f>
        <v>-2.311361197028369</v>
      </c>
      <c r="AV454" s="46">
        <f>($O$3*(O454-$O$1)/$O$2+$P$3*(P454-$P$1)/$P$2+$Q$3*(Q454-$Q$1)/$Q$2)/SUM($O$3:$Q$3)</f>
        <v>-1.0394719067096667</v>
      </c>
      <c r="AW454" s="47">
        <f>COUNT(R454:AO454)/2</f>
        <v>2</v>
      </c>
      <c r="AX454" s="47">
        <f>IF(AND(S454&lt;&gt;"-",S454&gt;5),1,0)+IF(AND(U454&lt;&gt;"-",U454&gt;5),1,0)+IF(AND(W454&lt;&gt;"-",W454&gt;5),1,0)+IF(AND(Y454&lt;&gt;"-",Y454&gt;5),1,0)+IF(AND(AA454&lt;&gt;"-",AA454&gt;5),1,0)+IF(AND(AC454&lt;&gt;"-",AC454&gt;5),1,0)+IF(AND(AE454&lt;&gt;"-",AE454&gt;5),1,0)+IF(AND(AG454&lt;&gt;"-",AG454&gt;5),1,0)+IF(AND(AI454&lt;&gt;"-",AI454&gt;5),1,0)+IF(AND(AK454&lt;&gt;"-",AK454&gt;5),1,0)+IF(AND(AM454&lt;&gt;"-",AM454&gt;5),1,0)+IF(AND(AO454&lt;&gt;"-",AO454&gt;5),1,0)</f>
        <v>2</v>
      </c>
      <c r="AY454" s="48">
        <f>VLOOKUP(AP454,COND!$A$10:$B$32,2,FALSE)</f>
        <v>1</v>
      </c>
      <c r="AZ454" s="46">
        <f>($AU$3*AU454+$AV$3*AV454+$AW$3*AW454+$AX$3*AX454)*AY454*IF(AQ454&lt;5,0.95,IF(AQ454&lt;7,0.975,1))+$I$3*VLOOKUP(I454,COND!$A$2:$E$7,4,FALSE)+$J$3*VLOOKUP(J454,COND!$A$2:$E$7,2,FALSE)+$K$3*VLOOKUP(K454,COND!$A$2:$E$7,3,FALSE)+IF(BB454="SP",$BB$3,0)+IF($AW454&lt;3,-5,0)+IF(AND($B$2&gt;0,$E454&lt;20),$B$2*25,0)</f>
        <v>23.435875145080946</v>
      </c>
      <c r="BA454" s="49">
        <f>STANDARDIZE(AZ454,AVERAGE($AZ$5:$AZ$570),STDEVP($AZ$5:$AZ$570))</f>
        <v>-0.85160034331746337</v>
      </c>
      <c r="BB454" s="47" t="str">
        <f>IF(OR(AND(AQ454&gt;7,AX454&gt;1),AND(AQ454&gt;4,AW454&gt;2)),"SP","RP")</f>
        <v>RP</v>
      </c>
      <c r="BC454" s="47"/>
      <c r="BD454" s="47"/>
      <c r="BE454" s="47"/>
      <c r="BF454" s="47" t="str">
        <f>IF(AVERAGE($O454:$Q454)&gt;=6,"Likely",IF(AVERAGE($O454:$Q454)&gt;=4,"Possible","Unlikely"))</f>
        <v>Unlikely</v>
      </c>
      <c r="BG454" s="47"/>
      <c r="BH454" s="47" t="str">
        <f>INDEX(Table5[[#All],[Ovr]],MATCH(Table3[[#This Row],[PID]],Table5[[#All],[PID]],0))</f>
        <v/>
      </c>
      <c r="BI454" s="47" t="str">
        <f>INDEX(Table5[[#All],[Rnd]],MATCH(Table3[[#This Row],[PID]],Table5[[#All],[PID]],0))</f>
        <v/>
      </c>
      <c r="BJ454" s="47" t="str">
        <f>INDEX(Table5[[#All],[Pick]],MATCH(Table3[[#This Row],[PID]],Table5[[#All],[PID]],0))</f>
        <v/>
      </c>
      <c r="BK454" s="47" t="str">
        <f>INDEX(Table5[[#All],[Team]],MATCH(Table3[[#This Row],[PID]],Table5[[#All],[PID]],0))</f>
        <v/>
      </c>
      <c r="BL4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5" spans="1:64" ht="15" customHeight="1" x14ac:dyDescent="0.25">
      <c r="A455" s="42">
        <v>17923</v>
      </c>
      <c r="B455" s="42" t="s">
        <v>430</v>
      </c>
      <c r="C455" s="42" t="s">
        <v>1623</v>
      </c>
      <c r="D455" s="42" t="s">
        <v>963</v>
      </c>
      <c r="E455" s="42">
        <v>18</v>
      </c>
      <c r="F455" s="42" t="s">
        <v>42</v>
      </c>
      <c r="G455" s="42" t="s">
        <v>42</v>
      </c>
      <c r="H455" s="43" t="s">
        <v>721</v>
      </c>
      <c r="I455" s="44" t="s">
        <v>44</v>
      </c>
      <c r="J455" s="42" t="s">
        <v>44</v>
      </c>
      <c r="K455" s="43" t="s">
        <v>47</v>
      </c>
      <c r="L455" s="42">
        <v>2</v>
      </c>
      <c r="M455" s="42">
        <v>1</v>
      </c>
      <c r="N455" s="43">
        <v>1</v>
      </c>
      <c r="O455" s="42">
        <v>4</v>
      </c>
      <c r="P455" s="42">
        <v>1</v>
      </c>
      <c r="Q455" s="43">
        <v>2</v>
      </c>
      <c r="R455" s="42">
        <v>3</v>
      </c>
      <c r="S455" s="42">
        <v>4</v>
      </c>
      <c r="T455" s="42">
        <v>1</v>
      </c>
      <c r="U455" s="42">
        <v>1</v>
      </c>
      <c r="V455" s="42" t="s">
        <v>45</v>
      </c>
      <c r="W455" s="42" t="s">
        <v>45</v>
      </c>
      <c r="X455" s="42">
        <v>2</v>
      </c>
      <c r="Y455" s="42">
        <v>5</v>
      </c>
      <c r="Z455" s="42" t="s">
        <v>45</v>
      </c>
      <c r="AA455" s="42" t="s">
        <v>45</v>
      </c>
      <c r="AB455" s="42" t="s">
        <v>45</v>
      </c>
      <c r="AC455" s="42" t="s">
        <v>45</v>
      </c>
      <c r="AD455" s="42">
        <v>2</v>
      </c>
      <c r="AE455" s="42">
        <v>4</v>
      </c>
      <c r="AF455" s="42" t="s">
        <v>45</v>
      </c>
      <c r="AG455" s="42" t="s">
        <v>45</v>
      </c>
      <c r="AH455" s="42" t="s">
        <v>45</v>
      </c>
      <c r="AI455" s="42" t="s">
        <v>45</v>
      </c>
      <c r="AJ455" s="42" t="s">
        <v>45</v>
      </c>
      <c r="AK455" s="42" t="s">
        <v>45</v>
      </c>
      <c r="AL455" s="42" t="s">
        <v>45</v>
      </c>
      <c r="AM455" s="42" t="s">
        <v>45</v>
      </c>
      <c r="AN455" s="42" t="s">
        <v>45</v>
      </c>
      <c r="AO455" s="43" t="s">
        <v>45</v>
      </c>
      <c r="AP455" s="42" t="s">
        <v>64</v>
      </c>
      <c r="AQ455" s="42">
        <v>4</v>
      </c>
      <c r="AR455" s="50" t="s">
        <v>353</v>
      </c>
      <c r="AS455" s="45" t="s">
        <v>627</v>
      </c>
      <c r="AT455" s="45" t="s">
        <v>47</v>
      </c>
      <c r="AU455" s="46">
        <f>($O$3*(L455-$O$1)/$O$2+$P$3*(M455-$P$1)/$P$2+$Q$3*(N455-$P$1)/$Q$2)/SUM($O$3:$Q$3)</f>
        <v>-2.5067929134584248</v>
      </c>
      <c r="AV455" s="46">
        <f>($O$3*(O455-$O$1)/$O$2+$P$3*(P455-$P$1)/$P$2+$Q$3*(Q455-$Q$1)/$Q$2)/SUM($O$3:$Q$3)</f>
        <v>-1.4295949476488956</v>
      </c>
      <c r="AW455" s="47">
        <f>COUNT(R455:AO455)/2</f>
        <v>4</v>
      </c>
      <c r="AX455" s="47">
        <f>IF(AND(S455&lt;&gt;"-",S455&gt;5),1,0)+IF(AND(U455&lt;&gt;"-",U455&gt;5),1,0)+IF(AND(W455&lt;&gt;"-",W455&gt;5),1,0)+IF(AND(Y455&lt;&gt;"-",Y455&gt;5),1,0)+IF(AND(AA455&lt;&gt;"-",AA455&gt;5),1,0)+IF(AND(AC455&lt;&gt;"-",AC455&gt;5),1,0)+IF(AND(AE455&lt;&gt;"-",AE455&gt;5),1,0)+IF(AND(AG455&lt;&gt;"-",AG455&gt;5),1,0)+IF(AND(AI455&lt;&gt;"-",AI455&gt;5),1,0)+IF(AND(AK455&lt;&gt;"-",AK455&gt;5),1,0)+IF(AND(AM455&lt;&gt;"-",AM455&gt;5),1,0)+IF(AND(AO455&lt;&gt;"-",AO455&gt;5),1,0)</f>
        <v>0</v>
      </c>
      <c r="AY455" s="48">
        <f>VLOOKUP(AP455,COND!$A$10:$B$32,2,FALSE)</f>
        <v>1</v>
      </c>
      <c r="AZ455" s="46">
        <f>($AU$3*AU455+$AV$3*AV455+$AW$3*AW455+$AX$3*AX455)*AY455*IF(AQ455&lt;5,0.95,IF(AQ455&lt;7,0.975,1))+$I$3*VLOOKUP(I455,COND!$A$2:$E$7,4,FALSE)+$J$3*VLOOKUP(J455,COND!$A$2:$E$7,2,FALSE)+$K$3*VLOOKUP(K455,COND!$A$2:$E$7,3,FALSE)+IF(BB455="SP",$BB$3,0)+IF($AW455&lt;3,-5,0)+IF(AND($B$2&gt;0,$E455&lt;20),$B$2*25,0)</f>
        <v>24.11140534111388</v>
      </c>
      <c r="BA455" s="49">
        <f>STANDARDIZE(AZ455,AVERAGE($AZ$5:$AZ$570),STDEVP($AZ$5:$AZ$570))</f>
        <v>-0.78965133706450341</v>
      </c>
      <c r="BB455" s="47" t="str">
        <f>IF(OR(AND(AQ455&gt;7,AX455&gt;1),AND(AQ455&gt;4,AW455&gt;2)),"SP","RP")</f>
        <v>RP</v>
      </c>
      <c r="BC455" s="47"/>
      <c r="BD455" s="47"/>
      <c r="BE455" s="47"/>
      <c r="BF455" s="47" t="str">
        <f>IF(AVERAGE($O455:$Q455)&gt;=6,"Likely",IF(AVERAGE($O455:$Q455)&gt;=4,"Possible","Unlikely"))</f>
        <v>Unlikely</v>
      </c>
      <c r="BG455" s="47"/>
      <c r="BH455" s="47" t="str">
        <f>INDEX(Table5[[#All],[Ovr]],MATCH(Table3[[#This Row],[PID]],Table5[[#All],[PID]],0))</f>
        <v/>
      </c>
      <c r="BI455" s="47" t="str">
        <f>INDEX(Table5[[#All],[Rnd]],MATCH(Table3[[#This Row],[PID]],Table5[[#All],[PID]],0))</f>
        <v/>
      </c>
      <c r="BJ455" s="47" t="str">
        <f>INDEX(Table5[[#All],[Pick]],MATCH(Table3[[#This Row],[PID]],Table5[[#All],[PID]],0))</f>
        <v/>
      </c>
      <c r="BK455" s="47" t="str">
        <f>INDEX(Table5[[#All],[Team]],MATCH(Table3[[#This Row],[PID]],Table5[[#All],[PID]],0))</f>
        <v/>
      </c>
      <c r="BL4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6" spans="1:64" ht="15" customHeight="1" x14ac:dyDescent="0.25">
      <c r="A456" s="42">
        <v>10311</v>
      </c>
      <c r="B456" s="42" t="s">
        <v>430</v>
      </c>
      <c r="C456" s="42" t="s">
        <v>724</v>
      </c>
      <c r="D456" s="42" t="s">
        <v>1214</v>
      </c>
      <c r="E456" s="42">
        <v>21</v>
      </c>
      <c r="F456" s="42" t="s">
        <v>42</v>
      </c>
      <c r="G456" s="42" t="s">
        <v>42</v>
      </c>
      <c r="H456" s="43" t="s">
        <v>721</v>
      </c>
      <c r="I456" s="44" t="s">
        <v>43</v>
      </c>
      <c r="J456" s="42" t="s">
        <v>43</v>
      </c>
      <c r="K456" s="43" t="s">
        <v>47</v>
      </c>
      <c r="L456" s="42">
        <v>2</v>
      </c>
      <c r="M456" s="42">
        <v>3</v>
      </c>
      <c r="N456" s="43">
        <v>1</v>
      </c>
      <c r="O456" s="42">
        <v>3</v>
      </c>
      <c r="P456" s="42">
        <v>3</v>
      </c>
      <c r="Q456" s="43">
        <v>2</v>
      </c>
      <c r="R456" s="42">
        <v>4</v>
      </c>
      <c r="S456" s="42">
        <v>5</v>
      </c>
      <c r="T456" s="42">
        <v>2</v>
      </c>
      <c r="U456" s="42">
        <v>4</v>
      </c>
      <c r="V456" s="42" t="s">
        <v>45</v>
      </c>
      <c r="W456" s="42" t="s">
        <v>45</v>
      </c>
      <c r="X456" s="42">
        <v>2</v>
      </c>
      <c r="Y456" s="42">
        <v>2</v>
      </c>
      <c r="Z456" s="42" t="s">
        <v>45</v>
      </c>
      <c r="AA456" s="42" t="s">
        <v>45</v>
      </c>
      <c r="AB456" s="42" t="s">
        <v>45</v>
      </c>
      <c r="AC456" s="42" t="s">
        <v>45</v>
      </c>
      <c r="AD456" s="42" t="s">
        <v>45</v>
      </c>
      <c r="AE456" s="42" t="s">
        <v>45</v>
      </c>
      <c r="AF456" s="42" t="s">
        <v>45</v>
      </c>
      <c r="AG456" s="42" t="s">
        <v>45</v>
      </c>
      <c r="AH456" s="42" t="s">
        <v>45</v>
      </c>
      <c r="AI456" s="42" t="s">
        <v>45</v>
      </c>
      <c r="AJ456" s="42" t="s">
        <v>45</v>
      </c>
      <c r="AK456" s="42" t="s">
        <v>45</v>
      </c>
      <c r="AL456" s="42">
        <v>2</v>
      </c>
      <c r="AM456" s="42">
        <v>4</v>
      </c>
      <c r="AN456" s="42" t="s">
        <v>45</v>
      </c>
      <c r="AO456" s="43" t="s">
        <v>45</v>
      </c>
      <c r="AP456" s="42" t="s">
        <v>356</v>
      </c>
      <c r="AQ456" s="42">
        <v>7</v>
      </c>
      <c r="AR456" s="50" t="s">
        <v>354</v>
      </c>
      <c r="AS456" s="45" t="s">
        <v>45</v>
      </c>
      <c r="AT456" s="45" t="s">
        <v>47</v>
      </c>
      <c r="AU456" s="46">
        <f>($O$3*(L456-$O$1)/$O$2+$P$3*(M456-$P$1)/$P$2+$Q$3*(N456-$P$1)/$Q$2)/SUM($O$3:$Q$3)</f>
        <v>-2.1159294805983135</v>
      </c>
      <c r="AV456" s="46">
        <f>($O$3*(O456-$O$1)/$O$2+$P$3*(P456-$P$1)/$P$2+$Q$3*(Q456-$Q$1)/$Q$2)/SUM($O$3:$Q$3)</f>
        <v>-1.233422839297958</v>
      </c>
      <c r="AW456" s="47">
        <f>COUNT(R456:AO456)/2</f>
        <v>4</v>
      </c>
      <c r="AX456" s="47">
        <f>IF(AND(S456&lt;&gt;"-",S456&gt;5),1,0)+IF(AND(U456&lt;&gt;"-",U456&gt;5),1,0)+IF(AND(W456&lt;&gt;"-",W456&gt;5),1,0)+IF(AND(Y456&lt;&gt;"-",Y456&gt;5),1,0)+IF(AND(AA456&lt;&gt;"-",AA456&gt;5),1,0)+IF(AND(AC456&lt;&gt;"-",AC456&gt;5),1,0)+IF(AND(AE456&lt;&gt;"-",AE456&gt;5),1,0)+IF(AND(AG456&lt;&gt;"-",AG456&gt;5),1,0)+IF(AND(AI456&lt;&gt;"-",AI456&gt;5),1,0)+IF(AND(AK456&lt;&gt;"-",AK456&gt;5),1,0)+IF(AND(AM456&lt;&gt;"-",AM456&gt;5),1,0)+IF(AND(AO456&lt;&gt;"-",AO456&gt;5),1,0)</f>
        <v>0</v>
      </c>
      <c r="AY456" s="48">
        <f>VLOOKUP(AP456,COND!$A$10:$B$32,2,FALSE)</f>
        <v>1</v>
      </c>
      <c r="AZ456" s="46">
        <f>($AU$3*AU456+$AV$3*AV456+$AW$3*AW456+$AX$3*AX456)*AY456*IF(AQ456&lt;5,0.95,IF(AQ456&lt;7,0.975,1))+$I$3*VLOOKUP(I456,COND!$A$2:$E$7,4,FALSE)+$J$3*VLOOKUP(J456,COND!$A$2:$E$7,2,FALSE)+$K$3*VLOOKUP(K456,COND!$A$2:$E$7,3,FALSE)+IF(BB456="SP",$BB$3,0)+IF($AW456&lt;3,-5,0)+IF(AND($B$2&gt;0,$E456&lt;20),$B$2*25,0)</f>
        <v>24.208357317921177</v>
      </c>
      <c r="BA456" s="49">
        <f>STANDARDIZE(AZ456,AVERAGE($AZ$5:$AZ$676),STDEVP($AZ$5:$AZ$676))</f>
        <v>-0.54223491279887936</v>
      </c>
      <c r="BB456" s="47" t="str">
        <f>IF(OR(AND(AQ456&gt;7,AX456&gt;1),AND(AQ456&gt;4,AW456&gt;2)),"SP","RP")</f>
        <v>SP</v>
      </c>
      <c r="BC456" s="47"/>
      <c r="BD456" s="47"/>
      <c r="BE456" s="47"/>
      <c r="BF456" s="47" t="str">
        <f>IF(AVERAGE($O456:$Q456)&gt;=6,"Likely",IF(AVERAGE($O456:$Q456)&gt;=4,"Possible","Unlikely"))</f>
        <v>Unlikely</v>
      </c>
      <c r="BG456" s="47"/>
      <c r="BH456" s="47" t="str">
        <f>INDEX(Table5[[#All],[Ovr]],MATCH(Table3[[#This Row],[PID]],Table5[[#All],[PID]],0))</f>
        <v/>
      </c>
      <c r="BI456" s="47" t="str">
        <f>INDEX(Table5[[#All],[Rnd]],MATCH(Table3[[#This Row],[PID]],Table5[[#All],[PID]],0))</f>
        <v/>
      </c>
      <c r="BJ456" s="47" t="str">
        <f>INDEX(Table5[[#All],[Pick]],MATCH(Table3[[#This Row],[PID]],Table5[[#All],[PID]],0))</f>
        <v/>
      </c>
      <c r="BK456" s="47" t="str">
        <f>INDEX(Table5[[#All],[Team]],MATCH(Table3[[#This Row],[PID]],Table5[[#All],[PID]],0))</f>
        <v/>
      </c>
      <c r="BL4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7" spans="1:64" ht="15" customHeight="1" x14ac:dyDescent="0.25">
      <c r="A457" s="42">
        <v>12083</v>
      </c>
      <c r="B457" s="42" t="s">
        <v>430</v>
      </c>
      <c r="C457" s="42" t="s">
        <v>411</v>
      </c>
      <c r="D457" s="42" t="s">
        <v>1499</v>
      </c>
      <c r="E457" s="42">
        <v>21</v>
      </c>
      <c r="F457" s="42" t="s">
        <v>42</v>
      </c>
      <c r="G457" s="42" t="s">
        <v>42</v>
      </c>
      <c r="H457" s="43" t="s">
        <v>721</v>
      </c>
      <c r="I457" s="44" t="s">
        <v>43</v>
      </c>
      <c r="J457" s="42" t="s">
        <v>43</v>
      </c>
      <c r="K457" s="43" t="s">
        <v>43</v>
      </c>
      <c r="L457" s="42">
        <v>3</v>
      </c>
      <c r="M457" s="42">
        <v>1</v>
      </c>
      <c r="N457" s="43">
        <v>1</v>
      </c>
      <c r="O457" s="42">
        <v>5</v>
      </c>
      <c r="P457" s="42">
        <v>1</v>
      </c>
      <c r="Q457" s="43">
        <v>2</v>
      </c>
      <c r="R457" s="42">
        <v>5</v>
      </c>
      <c r="S457" s="42">
        <v>7</v>
      </c>
      <c r="T457" s="42">
        <v>1</v>
      </c>
      <c r="U457" s="42">
        <v>4</v>
      </c>
      <c r="V457" s="42" t="s">
        <v>45</v>
      </c>
      <c r="W457" s="42" t="s">
        <v>45</v>
      </c>
      <c r="X457" s="42">
        <v>3</v>
      </c>
      <c r="Y457" s="42">
        <v>5</v>
      </c>
      <c r="Z457" s="42" t="s">
        <v>45</v>
      </c>
      <c r="AA457" s="42" t="s">
        <v>45</v>
      </c>
      <c r="AB457" s="42" t="s">
        <v>45</v>
      </c>
      <c r="AC457" s="42" t="s">
        <v>45</v>
      </c>
      <c r="AD457" s="42" t="s">
        <v>45</v>
      </c>
      <c r="AE457" s="42" t="s">
        <v>45</v>
      </c>
      <c r="AF457" s="42" t="s">
        <v>45</v>
      </c>
      <c r="AG457" s="42" t="s">
        <v>45</v>
      </c>
      <c r="AH457" s="42" t="s">
        <v>45</v>
      </c>
      <c r="AI457" s="42" t="s">
        <v>45</v>
      </c>
      <c r="AJ457" s="42" t="s">
        <v>45</v>
      </c>
      <c r="AK457" s="42" t="s">
        <v>45</v>
      </c>
      <c r="AL457" s="42" t="s">
        <v>45</v>
      </c>
      <c r="AM457" s="42" t="s">
        <v>45</v>
      </c>
      <c r="AN457" s="42" t="s">
        <v>45</v>
      </c>
      <c r="AO457" s="43" t="s">
        <v>45</v>
      </c>
      <c r="AP457" s="42" t="s">
        <v>60</v>
      </c>
      <c r="AQ457" s="42">
        <v>8</v>
      </c>
      <c r="AR457" s="50" t="s">
        <v>357</v>
      </c>
      <c r="AS457" s="45" t="s">
        <v>717</v>
      </c>
      <c r="AT457" s="45" t="s">
        <v>47</v>
      </c>
      <c r="AU457" s="46">
        <f>($O$3*(L457-$O$1)/$O$2+$P$3*(M457-$P$1)/$P$2+$Q$3*(N457-$P$1)/$Q$2)/SUM($O$3:$Q$3)</f>
        <v>-2.3121015889492513</v>
      </c>
      <c r="AV457" s="46">
        <f>($O$3*(O457-$O$1)/$O$2+$P$3*(P457-$P$1)/$P$2+$Q$3*(Q457-$Q$1)/$Q$2)/SUM($O$3:$Q$3)</f>
        <v>-1.2349036231397219</v>
      </c>
      <c r="AW457" s="47">
        <f>COUNT(R457:AO457)/2</f>
        <v>3</v>
      </c>
      <c r="AX457" s="47">
        <f>IF(AND(S457&lt;&gt;"-",S457&gt;5),1,0)+IF(AND(U457&lt;&gt;"-",U457&gt;5),1,0)+IF(AND(W457&lt;&gt;"-",W457&gt;5),1,0)+IF(AND(Y457&lt;&gt;"-",Y457&gt;5),1,0)+IF(AND(AA457&lt;&gt;"-",AA457&gt;5),1,0)+IF(AND(AC457&lt;&gt;"-",AC457&gt;5),1,0)+IF(AND(AE457&lt;&gt;"-",AE457&gt;5),1,0)+IF(AND(AG457&lt;&gt;"-",AG457&gt;5),1,0)+IF(AND(AI457&lt;&gt;"-",AI457&gt;5),1,0)+IF(AND(AK457&lt;&gt;"-",AK457&gt;5),1,0)+IF(AND(AM457&lt;&gt;"-",AM457&gt;5),1,0)+IF(AND(AO457&lt;&gt;"-",AO457&gt;5),1,0)</f>
        <v>1</v>
      </c>
      <c r="AY457" s="48">
        <f>VLOOKUP(AP457,COND!$A$10:$B$32,2,FALSE)</f>
        <v>1.0249999999999999</v>
      </c>
      <c r="AZ457" s="46">
        <f>($AU$3*AU457+$AV$3*AV457+$AW$3*AW457+$AX$3*AX457)*AY457*IF(AQ457&lt;5,0.95,IF(AQ457&lt;7,0.975,1))+$I$3*VLOOKUP(I457,COND!$A$2:$E$7,4,FALSE)+$J$3*VLOOKUP(J457,COND!$A$2:$E$7,2,FALSE)+$K$3*VLOOKUP(K457,COND!$A$2:$E$7,3,FALSE)+IF(BB457="SP",$BB$3,0)+IF($AW457&lt;3,-5,0)+IF(AND($B$2&gt;0,$E457&lt;20),$B$2*25,0)</f>
        <v>24.029244899901105</v>
      </c>
      <c r="BA457" s="49">
        <f>STANDARDIZE(AZ457,AVERAGE($AZ$5:$AZ$570),STDEVP($AZ$5:$AZ$570))</f>
        <v>-0.79718580068482092</v>
      </c>
      <c r="BB457" s="47" t="str">
        <f>IF(OR(AND(AQ457&gt;7,AX457&gt;1),AND(AQ457&gt;4,AW457&gt;2)),"SP","RP")</f>
        <v>SP</v>
      </c>
      <c r="BC457" s="47"/>
      <c r="BD457" s="47"/>
      <c r="BE457" s="47"/>
      <c r="BF457" s="47" t="str">
        <f>IF(AVERAGE($O457:$Q457)&gt;=6,"Likely",IF(AVERAGE($O457:$Q457)&gt;=4,"Possible","Unlikely"))</f>
        <v>Unlikely</v>
      </c>
      <c r="BG457" s="47"/>
      <c r="BH457" s="47" t="str">
        <f>INDEX(Table5[[#All],[Ovr]],MATCH(Table3[[#This Row],[PID]],Table5[[#All],[PID]],0))</f>
        <v/>
      </c>
      <c r="BI457" s="47" t="str">
        <f>INDEX(Table5[[#All],[Rnd]],MATCH(Table3[[#This Row],[PID]],Table5[[#All],[PID]],0))</f>
        <v/>
      </c>
      <c r="BJ457" s="47" t="str">
        <f>INDEX(Table5[[#All],[Pick]],MATCH(Table3[[#This Row],[PID]],Table5[[#All],[PID]],0))</f>
        <v/>
      </c>
      <c r="BK457" s="47" t="str">
        <f>INDEX(Table5[[#All],[Team]],MATCH(Table3[[#This Row],[PID]],Table5[[#All],[PID]],0))</f>
        <v/>
      </c>
      <c r="BL4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8" spans="1:64" ht="15" customHeight="1" x14ac:dyDescent="0.25">
      <c r="A458" s="42">
        <v>5716</v>
      </c>
      <c r="B458" s="42" t="s">
        <v>24</v>
      </c>
      <c r="C458" s="42" t="s">
        <v>724</v>
      </c>
      <c r="D458" s="42" t="s">
        <v>631</v>
      </c>
      <c r="E458" s="42">
        <v>22</v>
      </c>
      <c r="F458" s="42" t="s">
        <v>53</v>
      </c>
      <c r="G458" s="42" t="s">
        <v>53</v>
      </c>
      <c r="H458" s="43" t="s">
        <v>721</v>
      </c>
      <c r="I458" s="44" t="s">
        <v>43</v>
      </c>
      <c r="J458" s="42" t="s">
        <v>47</v>
      </c>
      <c r="K458" s="43" t="s">
        <v>43</v>
      </c>
      <c r="L458" s="42">
        <v>2</v>
      </c>
      <c r="M458" s="42">
        <v>1</v>
      </c>
      <c r="N458" s="43">
        <v>1</v>
      </c>
      <c r="O458" s="42">
        <v>4</v>
      </c>
      <c r="P458" s="42">
        <v>1</v>
      </c>
      <c r="Q458" s="43">
        <v>2</v>
      </c>
      <c r="R458" s="42">
        <v>4</v>
      </c>
      <c r="S458" s="42">
        <v>5</v>
      </c>
      <c r="T458" s="42">
        <v>2</v>
      </c>
      <c r="U458" s="42">
        <v>6</v>
      </c>
      <c r="V458" s="42">
        <v>3</v>
      </c>
      <c r="W458" s="42">
        <v>6</v>
      </c>
      <c r="X458" s="42">
        <v>2</v>
      </c>
      <c r="Y458" s="42">
        <v>3</v>
      </c>
      <c r="Z458" s="42" t="s">
        <v>45</v>
      </c>
      <c r="AA458" s="42" t="s">
        <v>45</v>
      </c>
      <c r="AB458" s="42" t="s">
        <v>45</v>
      </c>
      <c r="AC458" s="42" t="s">
        <v>45</v>
      </c>
      <c r="AD458" s="42" t="s">
        <v>45</v>
      </c>
      <c r="AE458" s="42" t="s">
        <v>45</v>
      </c>
      <c r="AF458" s="42" t="s">
        <v>45</v>
      </c>
      <c r="AG458" s="42" t="s">
        <v>45</v>
      </c>
      <c r="AH458" s="42" t="s">
        <v>45</v>
      </c>
      <c r="AI458" s="42" t="s">
        <v>45</v>
      </c>
      <c r="AJ458" s="42" t="s">
        <v>45</v>
      </c>
      <c r="AK458" s="42" t="s">
        <v>45</v>
      </c>
      <c r="AL458" s="42" t="s">
        <v>45</v>
      </c>
      <c r="AM458" s="42" t="s">
        <v>45</v>
      </c>
      <c r="AN458" s="42" t="s">
        <v>45</v>
      </c>
      <c r="AO458" s="43" t="s">
        <v>45</v>
      </c>
      <c r="AP458" s="42" t="s">
        <v>355</v>
      </c>
      <c r="AQ458" s="42">
        <v>5</v>
      </c>
      <c r="AR458" s="50" t="s">
        <v>357</v>
      </c>
      <c r="AS458" s="45" t="s">
        <v>45</v>
      </c>
      <c r="AT458" s="45" t="s">
        <v>47</v>
      </c>
      <c r="AU458" s="46">
        <f>($O$3*(L458-$O$1)/$O$2+$P$3*(M458-$P$1)/$P$2+$Q$3*(N458-$P$1)/$Q$2)/SUM($O$3:$Q$3)</f>
        <v>-2.5067929134584248</v>
      </c>
      <c r="AV458" s="46">
        <f>($O$3*(O458-$O$1)/$O$2+$P$3*(P458-$P$1)/$P$2+$Q$3*(Q458-$Q$1)/$Q$2)/SUM($O$3:$Q$3)</f>
        <v>-1.4295949476488956</v>
      </c>
      <c r="AW458" s="47">
        <f>COUNT(R458:AO458)/2</f>
        <v>4</v>
      </c>
      <c r="AX458" s="47">
        <f>IF(AND(S458&lt;&gt;"-",S458&gt;5),1,0)+IF(AND(U458&lt;&gt;"-",U458&gt;5),1,0)+IF(AND(W458&lt;&gt;"-",W458&gt;5),1,0)+IF(AND(Y458&lt;&gt;"-",Y458&gt;5),1,0)+IF(AND(AA458&lt;&gt;"-",AA458&gt;5),1,0)+IF(AND(AC458&lt;&gt;"-",AC458&gt;5),1,0)+IF(AND(AE458&lt;&gt;"-",AE458&gt;5),1,0)+IF(AND(AG458&lt;&gt;"-",AG458&gt;5),1,0)+IF(AND(AI458&lt;&gt;"-",AI458&gt;5),1,0)+IF(AND(AK458&lt;&gt;"-",AK458&gt;5),1,0)+IF(AND(AM458&lt;&gt;"-",AM458&gt;5),1,0)+IF(AND(AO458&lt;&gt;"-",AO458&gt;5),1,0)</f>
        <v>2</v>
      </c>
      <c r="AY458" s="48">
        <f>VLOOKUP(AP458,COND!$A$10:$B$32,2,FALSE)</f>
        <v>1</v>
      </c>
      <c r="AZ458" s="46">
        <f>($AU$3*AU458+$AV$3*AV458+$AW$3*AW458+$AX$3*AX458)*AY458*IF(AQ458&lt;5,0.95,IF(AQ458&lt;7,0.975,1))+$I$3*VLOOKUP(I458,COND!$A$2:$E$7,4,FALSE)+$J$3*VLOOKUP(J458,COND!$A$2:$E$7,2,FALSE)+$K$3*VLOOKUP(K458,COND!$A$2:$E$7,3,FALSE)+IF(BB458="SP",$BB$3,0)+IF($AW458&lt;3,-5,0)+IF(AND($B$2&gt;0,$E458&lt;20),$B$2*25,0)</f>
        <v>23.32157390272214</v>
      </c>
      <c r="BA458" s="49">
        <f>STANDARDIZE(AZ458,AVERAGE($AZ$5:$AZ$570),STDEVP($AZ$5:$AZ$570))</f>
        <v>-0.86208225577554332</v>
      </c>
      <c r="BB458" s="47" t="str">
        <f>IF(OR(AND(AQ458&gt;7,AX458&gt;1),AND(AQ458&gt;4,AW458&gt;2)),"SP","RP")</f>
        <v>SP</v>
      </c>
      <c r="BC458" s="47"/>
      <c r="BD458" s="47"/>
      <c r="BE458" s="47"/>
      <c r="BF458" s="47" t="str">
        <f>IF(AVERAGE($O458:$Q458)&gt;=6,"Likely",IF(AVERAGE($O458:$Q458)&gt;=4,"Possible","Unlikely"))</f>
        <v>Unlikely</v>
      </c>
      <c r="BG458" s="47"/>
      <c r="BH458" s="47" t="str">
        <f>INDEX(Table5[[#All],[Ovr]],MATCH(Table3[[#This Row],[PID]],Table5[[#All],[PID]],0))</f>
        <v/>
      </c>
      <c r="BI458" s="47" t="str">
        <f>INDEX(Table5[[#All],[Rnd]],MATCH(Table3[[#This Row],[PID]],Table5[[#All],[PID]],0))</f>
        <v/>
      </c>
      <c r="BJ458" s="47" t="str">
        <f>INDEX(Table5[[#All],[Pick]],MATCH(Table3[[#This Row],[PID]],Table5[[#All],[PID]],0))</f>
        <v/>
      </c>
      <c r="BK458" s="47" t="str">
        <f>INDEX(Table5[[#All],[Team]],MATCH(Table3[[#This Row],[PID]],Table5[[#All],[PID]],0))</f>
        <v/>
      </c>
      <c r="BL4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9" spans="1:64" ht="15" customHeight="1" x14ac:dyDescent="0.25">
      <c r="A459" s="42">
        <v>13268</v>
      </c>
      <c r="B459" s="42" t="s">
        <v>430</v>
      </c>
      <c r="C459" s="42" t="s">
        <v>651</v>
      </c>
      <c r="D459" s="42" t="s">
        <v>832</v>
      </c>
      <c r="E459" s="42">
        <v>22</v>
      </c>
      <c r="F459" s="42" t="s">
        <v>42</v>
      </c>
      <c r="G459" s="42" t="s">
        <v>42</v>
      </c>
      <c r="H459" s="43" t="s">
        <v>721</v>
      </c>
      <c r="I459" s="44" t="s">
        <v>44</v>
      </c>
      <c r="J459" s="42" t="s">
        <v>47</v>
      </c>
      <c r="K459" s="43" t="s">
        <v>44</v>
      </c>
      <c r="L459" s="42">
        <v>3</v>
      </c>
      <c r="M459" s="42">
        <v>2</v>
      </c>
      <c r="N459" s="43">
        <v>2</v>
      </c>
      <c r="O459" s="42">
        <v>4</v>
      </c>
      <c r="P459" s="42">
        <v>2</v>
      </c>
      <c r="Q459" s="43">
        <v>2</v>
      </c>
      <c r="R459" s="42">
        <v>5</v>
      </c>
      <c r="S459" s="42">
        <v>6</v>
      </c>
      <c r="T459" s="42">
        <v>1</v>
      </c>
      <c r="U459" s="42">
        <v>3</v>
      </c>
      <c r="V459" s="42" t="s">
        <v>45</v>
      </c>
      <c r="W459" s="42" t="s">
        <v>45</v>
      </c>
      <c r="X459" s="42">
        <v>3</v>
      </c>
      <c r="Y459" s="42">
        <v>4</v>
      </c>
      <c r="Z459" s="42" t="s">
        <v>45</v>
      </c>
      <c r="AA459" s="42" t="s">
        <v>45</v>
      </c>
      <c r="AB459" s="42" t="s">
        <v>45</v>
      </c>
      <c r="AC459" s="42" t="s">
        <v>45</v>
      </c>
      <c r="AD459" s="42" t="s">
        <v>45</v>
      </c>
      <c r="AE459" s="42" t="s">
        <v>45</v>
      </c>
      <c r="AF459" s="42" t="s">
        <v>45</v>
      </c>
      <c r="AG459" s="42" t="s">
        <v>45</v>
      </c>
      <c r="AH459" s="42" t="s">
        <v>45</v>
      </c>
      <c r="AI459" s="42" t="s">
        <v>45</v>
      </c>
      <c r="AJ459" s="42" t="s">
        <v>45</v>
      </c>
      <c r="AK459" s="42" t="s">
        <v>45</v>
      </c>
      <c r="AL459" s="42" t="s">
        <v>45</v>
      </c>
      <c r="AM459" s="42" t="s">
        <v>45</v>
      </c>
      <c r="AN459" s="42" t="s">
        <v>45</v>
      </c>
      <c r="AO459" s="43" t="s">
        <v>45</v>
      </c>
      <c r="AP459" s="42" t="s">
        <v>60</v>
      </c>
      <c r="AQ459" s="42">
        <v>7</v>
      </c>
      <c r="AR459" s="50" t="s">
        <v>353</v>
      </c>
      <c r="AS459" s="45" t="s">
        <v>45</v>
      </c>
      <c r="AT459" s="45" t="s">
        <v>47</v>
      </c>
      <c r="AU459" s="46">
        <f>($O$3*(L459-$O$1)/$O$2+$P$3*(M459-$P$1)/$P$2+$Q$3*(N459-$P$1)/$Q$2)/SUM($O$3:$Q$3)</f>
        <v>-1.8743493064650851</v>
      </c>
      <c r="AV459" s="46">
        <f>($O$3*(O459-$O$1)/$O$2+$P$3*(P459-$P$1)/$P$2+$Q$3*(Q459-$Q$1)/$Q$2)/SUM($O$3:$Q$3)</f>
        <v>-1.23416323121884</v>
      </c>
      <c r="AW459" s="47">
        <f>COUNT(R459:AO459)/2</f>
        <v>3</v>
      </c>
      <c r="AX459" s="47">
        <f>IF(AND(S459&lt;&gt;"-",S459&gt;5),1,0)+IF(AND(U459&lt;&gt;"-",U459&gt;5),1,0)+IF(AND(W459&lt;&gt;"-",W459&gt;5),1,0)+IF(AND(Y459&lt;&gt;"-",Y459&gt;5),1,0)+IF(AND(AA459&lt;&gt;"-",AA459&gt;5),1,0)+IF(AND(AC459&lt;&gt;"-",AC459&gt;5),1,0)+IF(AND(AE459&lt;&gt;"-",AE459&gt;5),1,0)+IF(AND(AG459&lt;&gt;"-",AG459&gt;5),1,0)+IF(AND(AI459&lt;&gt;"-",AI459&gt;5),1,0)+IF(AND(AK459&lt;&gt;"-",AK459&gt;5),1,0)+IF(AND(AM459&lt;&gt;"-",AM459&gt;5),1,0)+IF(AND(AO459&lt;&gt;"-",AO459&gt;5),1,0)</f>
        <v>1</v>
      </c>
      <c r="AY459" s="48">
        <f>VLOOKUP(AP459,COND!$A$10:$B$32,2,FALSE)</f>
        <v>1.0249999999999999</v>
      </c>
      <c r="AZ459" s="46">
        <f>($AU$3*AU459+$AV$3*AV459+$AW$3*AW459+$AX$3*AX459)*AY459*IF(AQ459&lt;5,0.95,IF(AQ459&lt;7,0.975,1))+$I$3*VLOOKUP(I459,COND!$A$2:$E$7,4,FALSE)+$J$3*VLOOKUP(J459,COND!$A$2:$E$7,2,FALSE)+$K$3*VLOOKUP(K459,COND!$A$2:$E$7,3,FALSE)+IF(BB459="SP",$BB$3,0)+IF($AW459&lt;3,-5,0)+IF(AND($B$2&gt;0,$E459&lt;20),$B$2*25,0)</f>
        <v>23.984162152188439</v>
      </c>
      <c r="BA459" s="49">
        <f>STANDARDIZE(AZ459,AVERAGE($AZ$5:$AZ$570),STDEVP($AZ$5:$AZ$570))</f>
        <v>-0.80132008133778587</v>
      </c>
      <c r="BB459" s="47" t="str">
        <f>IF(OR(AND(AQ459&gt;7,AX459&gt;1),AND(AQ459&gt;4,AW459&gt;2)),"SP","RP")</f>
        <v>SP</v>
      </c>
      <c r="BC459" s="47"/>
      <c r="BD459" s="47"/>
      <c r="BE459" s="47"/>
      <c r="BF459" s="47" t="str">
        <f>IF(AVERAGE($O459:$Q459)&gt;=6,"Likely",IF(AVERAGE($O459:$Q459)&gt;=4,"Possible","Unlikely"))</f>
        <v>Unlikely</v>
      </c>
      <c r="BG459" s="47"/>
      <c r="BH459" s="47" t="str">
        <f>INDEX(Table5[[#All],[Ovr]],MATCH(Table3[[#This Row],[PID]],Table5[[#All],[PID]],0))</f>
        <v/>
      </c>
      <c r="BI459" s="47" t="str">
        <f>INDEX(Table5[[#All],[Rnd]],MATCH(Table3[[#This Row],[PID]],Table5[[#All],[PID]],0))</f>
        <v/>
      </c>
      <c r="BJ459" s="47" t="str">
        <f>INDEX(Table5[[#All],[Pick]],MATCH(Table3[[#This Row],[PID]],Table5[[#All],[PID]],0))</f>
        <v/>
      </c>
      <c r="BK459" s="47" t="str">
        <f>INDEX(Table5[[#All],[Team]],MATCH(Table3[[#This Row],[PID]],Table5[[#All],[PID]],0))</f>
        <v/>
      </c>
      <c r="BL4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0" spans="1:64" ht="15" customHeight="1" x14ac:dyDescent="0.25">
      <c r="A460" s="42">
        <v>17635</v>
      </c>
      <c r="B460" s="42" t="s">
        <v>430</v>
      </c>
      <c r="C460" s="42" t="s">
        <v>880</v>
      </c>
      <c r="D460" s="42" t="s">
        <v>1613</v>
      </c>
      <c r="E460" s="42">
        <v>17</v>
      </c>
      <c r="F460" s="42" t="s">
        <v>62</v>
      </c>
      <c r="G460" s="42" t="s">
        <v>42</v>
      </c>
      <c r="H460" s="43" t="s">
        <v>721</v>
      </c>
      <c r="I460" s="44" t="s">
        <v>44</v>
      </c>
      <c r="J460" s="42" t="s">
        <v>44</v>
      </c>
      <c r="K460" s="43" t="s">
        <v>43</v>
      </c>
      <c r="L460" s="42">
        <v>2</v>
      </c>
      <c r="M460" s="42">
        <v>1</v>
      </c>
      <c r="N460" s="43">
        <v>1</v>
      </c>
      <c r="O460" s="42">
        <v>4</v>
      </c>
      <c r="P460" s="42">
        <v>1</v>
      </c>
      <c r="Q460" s="43">
        <v>2</v>
      </c>
      <c r="R460" s="42">
        <v>4</v>
      </c>
      <c r="S460" s="42">
        <v>5</v>
      </c>
      <c r="T460" s="42">
        <v>1</v>
      </c>
      <c r="U460" s="42">
        <v>5</v>
      </c>
      <c r="V460" s="42" t="s">
        <v>45</v>
      </c>
      <c r="W460" s="42" t="s">
        <v>45</v>
      </c>
      <c r="X460" s="42">
        <v>2</v>
      </c>
      <c r="Y460" s="42">
        <v>4</v>
      </c>
      <c r="Z460" s="42" t="s">
        <v>45</v>
      </c>
      <c r="AA460" s="42" t="s">
        <v>45</v>
      </c>
      <c r="AB460" s="42" t="s">
        <v>45</v>
      </c>
      <c r="AC460" s="42" t="s">
        <v>45</v>
      </c>
      <c r="AD460" s="42" t="s">
        <v>45</v>
      </c>
      <c r="AE460" s="42" t="s">
        <v>45</v>
      </c>
      <c r="AF460" s="42" t="s">
        <v>45</v>
      </c>
      <c r="AG460" s="42" t="s">
        <v>45</v>
      </c>
      <c r="AH460" s="42" t="s">
        <v>45</v>
      </c>
      <c r="AI460" s="42" t="s">
        <v>45</v>
      </c>
      <c r="AJ460" s="42" t="s">
        <v>45</v>
      </c>
      <c r="AK460" s="42" t="s">
        <v>45</v>
      </c>
      <c r="AL460" s="42" t="s">
        <v>45</v>
      </c>
      <c r="AM460" s="42" t="s">
        <v>45</v>
      </c>
      <c r="AN460" s="42" t="s">
        <v>45</v>
      </c>
      <c r="AO460" s="43" t="s">
        <v>45</v>
      </c>
      <c r="AP460" s="42" t="s">
        <v>57</v>
      </c>
      <c r="AQ460" s="42">
        <v>6</v>
      </c>
      <c r="AR460" s="50" t="s">
        <v>14</v>
      </c>
      <c r="AS460" s="45" t="s">
        <v>745</v>
      </c>
      <c r="AT460" s="45" t="s">
        <v>47</v>
      </c>
      <c r="AU460" s="46">
        <f>($O$3*(L460-$O$1)/$O$2+$P$3*(M460-$P$1)/$P$2+$Q$3*(N460-$P$1)/$Q$2)/SUM($O$3:$Q$3)</f>
        <v>-2.5067929134584248</v>
      </c>
      <c r="AV460" s="46">
        <f>($O$3*(O460-$O$1)/$O$2+$P$3*(P460-$P$1)/$P$2+$Q$3*(Q460-$Q$1)/$Q$2)/SUM($O$3:$Q$3)</f>
        <v>-1.4295949476488956</v>
      </c>
      <c r="AW460" s="47">
        <f>COUNT(R460:AO460)/2</f>
        <v>3</v>
      </c>
      <c r="AX460" s="47">
        <f>IF(AND(S460&lt;&gt;"-",S460&gt;5),1,0)+IF(AND(U460&lt;&gt;"-",U460&gt;5),1,0)+IF(AND(W460&lt;&gt;"-",W460&gt;5),1,0)+IF(AND(Y460&lt;&gt;"-",Y460&gt;5),1,0)+IF(AND(AA460&lt;&gt;"-",AA460&gt;5),1,0)+IF(AND(AC460&lt;&gt;"-",AC460&gt;5),1,0)+IF(AND(AE460&lt;&gt;"-",AE460&gt;5),1,0)+IF(AND(AG460&lt;&gt;"-",AG460&gt;5),1,0)+IF(AND(AI460&lt;&gt;"-",AI460&gt;5),1,0)+IF(AND(AK460&lt;&gt;"-",AK460&gt;5),1,0)+IF(AND(AM460&lt;&gt;"-",AM460&gt;5),1,0)+IF(AND(AO460&lt;&gt;"-",AO460&gt;5),1,0)</f>
        <v>0</v>
      </c>
      <c r="AY460" s="48">
        <f>VLOOKUP(AP460,COND!$A$10:$B$32,2,FALSE)</f>
        <v>1</v>
      </c>
      <c r="AZ460" s="46">
        <f>($AU$3*AU460+$AV$3*AV460+$AW$3*AW460+$AX$3*AX460)*AY460*IF(AQ460&lt;5,0.95,IF(AQ460&lt;7,0.975,1))+$I$3*VLOOKUP(I460,COND!$A$2:$E$7,4,FALSE)+$J$3*VLOOKUP(J460,COND!$A$2:$E$7,2,FALSE)+$K$3*VLOOKUP(K460,COND!$A$2:$E$7,3,FALSE)+IF(BB460="SP",$BB$3,0)+IF($AW460&lt;3,-5,0)+IF(AND($B$2&gt;0,$E460&lt;20),$B$2*25,0)</f>
        <v>24.646573902722139</v>
      </c>
      <c r="BA460" s="49">
        <f>STANDARDIZE(AZ460,AVERAGE($AZ$5:$AZ$570),STDEVP($AZ$5:$AZ$570))</f>
        <v>-0.74057409260652018</v>
      </c>
      <c r="BB460" s="47" t="str">
        <f>IF(OR(AND(AQ460&gt;7,AX460&gt;1),AND(AQ460&gt;4,AW460&gt;2)),"SP","RP")</f>
        <v>SP</v>
      </c>
      <c r="BC460" s="47"/>
      <c r="BD460" s="47"/>
      <c r="BE460" s="47"/>
      <c r="BF460" s="47" t="str">
        <f>IF(AVERAGE($O460:$Q460)&gt;=6,"Likely",IF(AVERAGE($O460:$Q460)&gt;=4,"Possible","Unlikely"))</f>
        <v>Unlikely</v>
      </c>
      <c r="BG460" s="47"/>
      <c r="BH460" s="47" t="str">
        <f>INDEX(Table5[[#All],[Ovr]],MATCH(Table3[[#This Row],[PID]],Table5[[#All],[PID]],0))</f>
        <v/>
      </c>
      <c r="BI460" s="47" t="str">
        <f>INDEX(Table5[[#All],[Rnd]],MATCH(Table3[[#This Row],[PID]],Table5[[#All],[PID]],0))</f>
        <v/>
      </c>
      <c r="BJ460" s="47" t="str">
        <f>INDEX(Table5[[#All],[Pick]],MATCH(Table3[[#This Row],[PID]],Table5[[#All],[PID]],0))</f>
        <v/>
      </c>
      <c r="BK460" s="47" t="str">
        <f>INDEX(Table5[[#All],[Team]],MATCH(Table3[[#This Row],[PID]],Table5[[#All],[PID]],0))</f>
        <v/>
      </c>
      <c r="BL4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1" spans="1:64" ht="15" customHeight="1" x14ac:dyDescent="0.25">
      <c r="A461" s="42">
        <v>5629</v>
      </c>
      <c r="B461" s="42" t="s">
        <v>24</v>
      </c>
      <c r="C461" s="42" t="s">
        <v>1125</v>
      </c>
      <c r="D461" s="42" t="s">
        <v>583</v>
      </c>
      <c r="E461" s="42">
        <v>18</v>
      </c>
      <c r="F461" s="42" t="s">
        <v>42</v>
      </c>
      <c r="G461" s="42" t="s">
        <v>42</v>
      </c>
      <c r="H461" s="43" t="s">
        <v>721</v>
      </c>
      <c r="I461" s="44" t="s">
        <v>43</v>
      </c>
      <c r="J461" s="42" t="s">
        <v>44</v>
      </c>
      <c r="K461" s="43" t="s">
        <v>43</v>
      </c>
      <c r="L461" s="42">
        <v>1</v>
      </c>
      <c r="M461" s="42">
        <v>1</v>
      </c>
      <c r="N461" s="43">
        <v>1</v>
      </c>
      <c r="O461" s="42">
        <v>4</v>
      </c>
      <c r="P461" s="42">
        <v>1</v>
      </c>
      <c r="Q461" s="43">
        <v>2</v>
      </c>
      <c r="R461" s="42">
        <v>3</v>
      </c>
      <c r="S461" s="42">
        <v>5</v>
      </c>
      <c r="T461" s="42" t="s">
        <v>45</v>
      </c>
      <c r="U461" s="42" t="s">
        <v>45</v>
      </c>
      <c r="V461" s="42" t="s">
        <v>45</v>
      </c>
      <c r="W461" s="42" t="s">
        <v>45</v>
      </c>
      <c r="X461" s="42">
        <v>2</v>
      </c>
      <c r="Y461" s="42">
        <v>5</v>
      </c>
      <c r="Z461" s="42" t="s">
        <v>45</v>
      </c>
      <c r="AA461" s="42" t="s">
        <v>45</v>
      </c>
      <c r="AB461" s="42" t="s">
        <v>45</v>
      </c>
      <c r="AC461" s="42" t="s">
        <v>45</v>
      </c>
      <c r="AD461" s="42" t="s">
        <v>45</v>
      </c>
      <c r="AE461" s="42" t="s">
        <v>45</v>
      </c>
      <c r="AF461" s="42" t="s">
        <v>45</v>
      </c>
      <c r="AG461" s="42" t="s">
        <v>45</v>
      </c>
      <c r="AH461" s="42">
        <v>1</v>
      </c>
      <c r="AI461" s="42">
        <v>6</v>
      </c>
      <c r="AJ461" s="42" t="s">
        <v>45</v>
      </c>
      <c r="AK461" s="42" t="s">
        <v>45</v>
      </c>
      <c r="AL461" s="42" t="s">
        <v>45</v>
      </c>
      <c r="AM461" s="42" t="s">
        <v>45</v>
      </c>
      <c r="AN461" s="42" t="s">
        <v>45</v>
      </c>
      <c r="AO461" s="43" t="s">
        <v>45</v>
      </c>
      <c r="AP461" s="42" t="s">
        <v>356</v>
      </c>
      <c r="AQ461" s="42">
        <v>4</v>
      </c>
      <c r="AR461" s="50" t="s">
        <v>353</v>
      </c>
      <c r="AS461" s="45" t="s">
        <v>730</v>
      </c>
      <c r="AT461" s="45" t="s">
        <v>705</v>
      </c>
      <c r="AU461" s="46">
        <f>($O$3*(L461-$O$1)/$O$2+$P$3*(M461-$P$1)/$P$2+$Q$3*(N461-$P$1)/$Q$2)/SUM($O$3:$Q$3)</f>
        <v>-2.7014842379675978</v>
      </c>
      <c r="AV461" s="46">
        <f>($O$3*(O461-$O$1)/$O$2+$P$3*(P461-$P$1)/$P$2+$Q$3*(Q461-$Q$1)/$Q$2)/SUM($O$3:$Q$3)</f>
        <v>-1.4295949476488956</v>
      </c>
      <c r="AW461" s="47">
        <f>COUNT(R461:AO461)/2</f>
        <v>3</v>
      </c>
      <c r="AX461" s="47">
        <f>IF(AND(S461&lt;&gt;"-",S461&gt;5),1,0)+IF(AND(U461&lt;&gt;"-",U461&gt;5),1,0)+IF(AND(W461&lt;&gt;"-",W461&gt;5),1,0)+IF(AND(Y461&lt;&gt;"-",Y461&gt;5),1,0)+IF(AND(AA461&lt;&gt;"-",AA461&gt;5),1,0)+IF(AND(AC461&lt;&gt;"-",AC461&gt;5),1,0)+IF(AND(AE461&lt;&gt;"-",AE461&gt;5),1,0)+IF(AND(AG461&lt;&gt;"-",AG461&gt;5),1,0)+IF(AND(AI461&lt;&gt;"-",AI461&gt;5),1,0)+IF(AND(AK461&lt;&gt;"-",AK461&gt;5),1,0)+IF(AND(AM461&lt;&gt;"-",AM461&gt;5),1,0)+IF(AND(AO461&lt;&gt;"-",AO461&gt;5),1,0)</f>
        <v>1</v>
      </c>
      <c r="AY461" s="48">
        <f>VLOOKUP(AP461,COND!$A$10:$B$32,2,FALSE)</f>
        <v>1</v>
      </c>
      <c r="AZ461" s="46">
        <f>($AU$3*AU461+$AV$3*AV461+$AW$3*AW461+$AX$3*AX461)*AY461*IF(AQ461&lt;5,0.95,IF(AQ461&lt;7,0.975,1))+$I$3*VLOOKUP(I461,COND!$A$2:$E$7,4,FALSE)+$J$3*VLOOKUP(J461,COND!$A$2:$E$7,2,FALSE)+$K$3*VLOOKUP(K461,COND!$A$2:$E$7,3,FALSE)+IF(BB461="SP",$BB$3,0)+IF($AW461&lt;3,-5,0)+IF(AND($B$2&gt;0,$E461&lt;20),$B$2*25,0)</f>
        <v>24.636913989457138</v>
      </c>
      <c r="BA461" s="49">
        <f>STANDARDIZE(AZ461,AVERAGE($AZ$5:$AZ$570),STDEVP($AZ$5:$AZ$570))</f>
        <v>-0.74145994794025771</v>
      </c>
      <c r="BB461" s="47" t="str">
        <f>IF(OR(AND(AQ461&gt;7,AX461&gt;1),AND(AQ461&gt;4,AW461&gt;2)),"SP","RP")</f>
        <v>RP</v>
      </c>
      <c r="BC461" s="47"/>
      <c r="BD461" s="47"/>
      <c r="BE461" s="47"/>
      <c r="BF461" s="47" t="str">
        <f>IF(AVERAGE($O461:$Q461)&gt;=6,"Likely",IF(AVERAGE($O461:$Q461)&gt;=4,"Possible","Unlikely"))</f>
        <v>Unlikely</v>
      </c>
      <c r="BG461" s="47"/>
      <c r="BH461" s="47" t="str">
        <f>INDEX(Table5[[#All],[Ovr]],MATCH(Table3[[#This Row],[PID]],Table5[[#All],[PID]],0))</f>
        <v/>
      </c>
      <c r="BI461" s="47" t="str">
        <f>INDEX(Table5[[#All],[Rnd]],MATCH(Table3[[#This Row],[PID]],Table5[[#All],[PID]],0))</f>
        <v/>
      </c>
      <c r="BJ461" s="47" t="str">
        <f>INDEX(Table5[[#All],[Pick]],MATCH(Table3[[#This Row],[PID]],Table5[[#All],[PID]],0))</f>
        <v/>
      </c>
      <c r="BK461" s="47" t="str">
        <f>INDEX(Table5[[#All],[Team]],MATCH(Table3[[#This Row],[PID]],Table5[[#All],[PID]],0))</f>
        <v/>
      </c>
      <c r="BL4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2" spans="1:64" ht="15" customHeight="1" x14ac:dyDescent="0.25">
      <c r="A462" s="42">
        <v>13142</v>
      </c>
      <c r="B462" s="42" t="s">
        <v>430</v>
      </c>
      <c r="C462" s="42" t="s">
        <v>372</v>
      </c>
      <c r="D462" s="42" t="s">
        <v>1589</v>
      </c>
      <c r="E462" s="42">
        <v>18</v>
      </c>
      <c r="F462" s="42" t="s">
        <v>53</v>
      </c>
      <c r="G462" s="42" t="s">
        <v>53</v>
      </c>
      <c r="H462" s="43" t="s">
        <v>721</v>
      </c>
      <c r="I462" s="44" t="s">
        <v>43</v>
      </c>
      <c r="J462" s="42" t="s">
        <v>47</v>
      </c>
      <c r="K462" s="43" t="s">
        <v>43</v>
      </c>
      <c r="L462" s="42">
        <v>2</v>
      </c>
      <c r="M462" s="42">
        <v>2</v>
      </c>
      <c r="N462" s="43">
        <v>1</v>
      </c>
      <c r="O462" s="42">
        <v>4</v>
      </c>
      <c r="P462" s="42">
        <v>2</v>
      </c>
      <c r="Q462" s="43">
        <v>1</v>
      </c>
      <c r="R462" s="42">
        <v>3</v>
      </c>
      <c r="S462" s="42">
        <v>5</v>
      </c>
      <c r="T462" s="42">
        <v>1</v>
      </c>
      <c r="U462" s="42">
        <v>1</v>
      </c>
      <c r="V462" s="42" t="s">
        <v>45</v>
      </c>
      <c r="W462" s="42" t="s">
        <v>45</v>
      </c>
      <c r="X462" s="42" t="s">
        <v>45</v>
      </c>
      <c r="Y462" s="42" t="s">
        <v>45</v>
      </c>
      <c r="Z462" s="42">
        <v>3</v>
      </c>
      <c r="AA462" s="42">
        <v>5</v>
      </c>
      <c r="AB462" s="42" t="s">
        <v>45</v>
      </c>
      <c r="AC462" s="42" t="s">
        <v>45</v>
      </c>
      <c r="AD462" s="42" t="s">
        <v>45</v>
      </c>
      <c r="AE462" s="42" t="s">
        <v>45</v>
      </c>
      <c r="AF462" s="42" t="s">
        <v>45</v>
      </c>
      <c r="AG462" s="42" t="s">
        <v>45</v>
      </c>
      <c r="AH462" s="42" t="s">
        <v>45</v>
      </c>
      <c r="AI462" s="42" t="s">
        <v>45</v>
      </c>
      <c r="AJ462" s="42" t="s">
        <v>45</v>
      </c>
      <c r="AK462" s="42" t="s">
        <v>45</v>
      </c>
      <c r="AL462" s="42" t="s">
        <v>45</v>
      </c>
      <c r="AM462" s="42" t="s">
        <v>45</v>
      </c>
      <c r="AN462" s="42" t="s">
        <v>45</v>
      </c>
      <c r="AO462" s="43" t="s">
        <v>45</v>
      </c>
      <c r="AP462" s="42" t="s">
        <v>355</v>
      </c>
      <c r="AQ462" s="42">
        <v>4</v>
      </c>
      <c r="AR462" s="50" t="s">
        <v>353</v>
      </c>
      <c r="AS462" s="45" t="s">
        <v>718</v>
      </c>
      <c r="AT462" s="45" t="s">
        <v>705</v>
      </c>
      <c r="AU462" s="46">
        <f>($O$3*(L462-$O$1)/$O$2+$P$3*(M462-$P$1)/$P$2+$Q$3*(N462-$P$1)/$Q$2)/SUM($O$3:$Q$3)</f>
        <v>-2.311361197028369</v>
      </c>
      <c r="AV462" s="46">
        <f>($O$3*(O462-$O$1)/$O$2+$P$3*(P462-$P$1)/$P$2+$Q$3*(Q462-$Q$1)/$Q$2)/SUM($O$3:$Q$3)</f>
        <v>-1.4764837972729503</v>
      </c>
      <c r="AW462" s="47">
        <f>COUNT(R462:AO462)/2</f>
        <v>3</v>
      </c>
      <c r="AX462" s="47">
        <f>IF(AND(S462&lt;&gt;"-",S462&gt;5),1,0)+IF(AND(U462&lt;&gt;"-",U462&gt;5),1,0)+IF(AND(W462&lt;&gt;"-",W462&gt;5),1,0)+IF(AND(Y462&lt;&gt;"-",Y462&gt;5),1,0)+IF(AND(AA462&lt;&gt;"-",AA462&gt;5),1,0)+IF(AND(AC462&lt;&gt;"-",AC462&gt;5),1,0)+IF(AND(AE462&lt;&gt;"-",AE462&gt;5),1,0)+IF(AND(AG462&lt;&gt;"-",AG462&gt;5),1,0)+IF(AND(AI462&lt;&gt;"-",AI462&gt;5),1,0)+IF(AND(AK462&lt;&gt;"-",AK462&gt;5),1,0)+IF(AND(AM462&lt;&gt;"-",AM462&gt;5),1,0)+IF(AND(AO462&lt;&gt;"-",AO462&gt;5),1,0)</f>
        <v>0</v>
      </c>
      <c r="AY462" s="48">
        <f>VLOOKUP(AP462,COND!$A$10:$B$32,2,FALSE)</f>
        <v>1</v>
      </c>
      <c r="AZ462" s="46">
        <f>($AU$3*AU462+$AV$3*AV462+$AW$3*AW462+$AX$3*AX462)*AY462*IF(AQ462&lt;5,0.95,IF(AQ462&lt;7,0.975,1))+$I$3*VLOOKUP(I462,COND!$A$2:$E$7,4,FALSE)+$J$3*VLOOKUP(J462,COND!$A$2:$E$7,2,FALSE)+$K$3*VLOOKUP(K462,COND!$A$2:$E$7,3,FALSE)+IF(BB462="SP",$BB$3,0)+IF($AW462&lt;3,-5,0)+IF(AND($B$2&gt;0,$E462&lt;20),$B$2*25,0)</f>
        <v>23.232649224378559</v>
      </c>
      <c r="BA462" s="49">
        <f>STANDARDIZE(AZ462,AVERAGE($AZ$5:$AZ$570),STDEVP($AZ$5:$AZ$570))</f>
        <v>-0.87023702885171295</v>
      </c>
      <c r="BB462" s="47" t="str">
        <f>IF(OR(AND(AQ462&gt;7,AX462&gt;1),AND(AQ462&gt;4,AW462&gt;2)),"SP","RP")</f>
        <v>RP</v>
      </c>
      <c r="BC462" s="47"/>
      <c r="BD462" s="47"/>
      <c r="BE462" s="47"/>
      <c r="BF462" s="47" t="str">
        <f>IF(AVERAGE($O462:$Q462)&gt;=6,"Likely",IF(AVERAGE($O462:$Q462)&gt;=4,"Possible","Unlikely"))</f>
        <v>Unlikely</v>
      </c>
      <c r="BG462" s="47"/>
      <c r="BH462" s="47" t="str">
        <f>INDEX(Table5[[#All],[Ovr]],MATCH(Table3[[#This Row],[PID]],Table5[[#All],[PID]],0))</f>
        <v/>
      </c>
      <c r="BI462" s="47" t="str">
        <f>INDEX(Table5[[#All],[Rnd]],MATCH(Table3[[#This Row],[PID]],Table5[[#All],[PID]],0))</f>
        <v/>
      </c>
      <c r="BJ462" s="47" t="str">
        <f>INDEX(Table5[[#All],[Pick]],MATCH(Table3[[#This Row],[PID]],Table5[[#All],[PID]],0))</f>
        <v/>
      </c>
      <c r="BK462" s="47" t="str">
        <f>INDEX(Table5[[#All],[Team]],MATCH(Table3[[#This Row],[PID]],Table5[[#All],[PID]],0))</f>
        <v/>
      </c>
      <c r="BL4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3" spans="1:64" ht="15" customHeight="1" x14ac:dyDescent="0.25">
      <c r="A463" s="42">
        <v>17925</v>
      </c>
      <c r="B463" s="42" t="s">
        <v>430</v>
      </c>
      <c r="C463" s="42" t="s">
        <v>1661</v>
      </c>
      <c r="D463" s="42" t="s">
        <v>1662</v>
      </c>
      <c r="E463" s="42">
        <v>18</v>
      </c>
      <c r="F463" s="42" t="s">
        <v>42</v>
      </c>
      <c r="G463" s="42" t="s">
        <v>53</v>
      </c>
      <c r="H463" s="43" t="s">
        <v>721</v>
      </c>
      <c r="I463" s="44" t="s">
        <v>43</v>
      </c>
      <c r="J463" s="42" t="s">
        <v>44</v>
      </c>
      <c r="K463" s="43" t="s">
        <v>43</v>
      </c>
      <c r="L463" s="42">
        <v>2</v>
      </c>
      <c r="M463" s="42">
        <v>1</v>
      </c>
      <c r="N463" s="43">
        <v>1</v>
      </c>
      <c r="O463" s="42">
        <v>4</v>
      </c>
      <c r="P463" s="42">
        <v>1</v>
      </c>
      <c r="Q463" s="43">
        <v>2</v>
      </c>
      <c r="R463" s="42">
        <v>3</v>
      </c>
      <c r="S463" s="42">
        <v>5</v>
      </c>
      <c r="T463" s="42">
        <v>1</v>
      </c>
      <c r="U463" s="42">
        <v>4</v>
      </c>
      <c r="V463" s="42" t="s">
        <v>45</v>
      </c>
      <c r="W463" s="42" t="s">
        <v>45</v>
      </c>
      <c r="X463" s="42">
        <v>2</v>
      </c>
      <c r="Y463" s="42">
        <v>5</v>
      </c>
      <c r="Z463" s="42" t="s">
        <v>45</v>
      </c>
      <c r="AA463" s="42" t="s">
        <v>45</v>
      </c>
      <c r="AB463" s="42">
        <v>3</v>
      </c>
      <c r="AC463" s="42">
        <v>4</v>
      </c>
      <c r="AD463" s="42" t="s">
        <v>45</v>
      </c>
      <c r="AE463" s="42" t="s">
        <v>45</v>
      </c>
      <c r="AF463" s="42" t="s">
        <v>45</v>
      </c>
      <c r="AG463" s="42" t="s">
        <v>45</v>
      </c>
      <c r="AH463" s="42" t="s">
        <v>45</v>
      </c>
      <c r="AI463" s="42" t="s">
        <v>45</v>
      </c>
      <c r="AJ463" s="42" t="s">
        <v>45</v>
      </c>
      <c r="AK463" s="42" t="s">
        <v>45</v>
      </c>
      <c r="AL463" s="42" t="s">
        <v>45</v>
      </c>
      <c r="AM463" s="42" t="s">
        <v>45</v>
      </c>
      <c r="AN463" s="42" t="s">
        <v>45</v>
      </c>
      <c r="AO463" s="43" t="s">
        <v>45</v>
      </c>
      <c r="AP463" s="42" t="s">
        <v>355</v>
      </c>
      <c r="AQ463" s="42">
        <v>7</v>
      </c>
      <c r="AR463" s="50" t="s">
        <v>14</v>
      </c>
      <c r="AS463" s="45" t="s">
        <v>745</v>
      </c>
      <c r="AT463" s="45" t="s">
        <v>47</v>
      </c>
      <c r="AU463" s="46">
        <f>($O$3*(L463-$O$1)/$O$2+$P$3*(M463-$P$1)/$P$2+$Q$3*(N463-$P$1)/$Q$2)/SUM($O$3:$Q$3)</f>
        <v>-2.5067929134584248</v>
      </c>
      <c r="AV463" s="46">
        <f>($O$3*(O463-$O$1)/$O$2+$P$3*(P463-$P$1)/$P$2+$Q$3*(Q463-$Q$1)/$Q$2)/SUM($O$3:$Q$3)</f>
        <v>-1.4295949476488956</v>
      </c>
      <c r="AW463" s="47">
        <f>COUNT(R463:AO463)/2</f>
        <v>4</v>
      </c>
      <c r="AX463" s="47">
        <f>IF(AND(S463&lt;&gt;"-",S463&gt;5),1,0)+IF(AND(U463&lt;&gt;"-",U463&gt;5),1,0)+IF(AND(W463&lt;&gt;"-",W463&gt;5),1,0)+IF(AND(Y463&lt;&gt;"-",Y463&gt;5),1,0)+IF(AND(AA463&lt;&gt;"-",AA463&gt;5),1,0)+IF(AND(AC463&lt;&gt;"-",AC463&gt;5),1,0)+IF(AND(AE463&lt;&gt;"-",AE463&gt;5),1,0)+IF(AND(AG463&lt;&gt;"-",AG463&gt;5),1,0)+IF(AND(AI463&lt;&gt;"-",AI463&gt;5),1,0)+IF(AND(AK463&lt;&gt;"-",AK463&gt;5),1,0)+IF(AND(AM463&lt;&gt;"-",AM463&gt;5),1,0)+IF(AND(AO463&lt;&gt;"-",AO463&gt;5),1,0)</f>
        <v>0</v>
      </c>
      <c r="AY463" s="48">
        <f>VLOOKUP(AP463,COND!$A$10:$B$32,2,FALSE)</f>
        <v>1</v>
      </c>
      <c r="AZ463" s="46">
        <f>($AU$3*AU463+$AV$3*AV463+$AW$3*AW463+$AX$3*AX463)*AY463*IF(AQ463&lt;5,0.95,IF(AQ463&lt;7,0.975,1))+$I$3*VLOOKUP(I463,COND!$A$2:$E$7,4,FALSE)+$J$3*VLOOKUP(J463,COND!$A$2:$E$7,2,FALSE)+$K$3*VLOOKUP(K463,COND!$A$2:$E$7,3,FALSE)+IF(BB463="SP",$BB$3,0)+IF($AW463&lt;3,-5,0)+IF(AND($B$2&gt;0,$E463&lt;20),$B$2*25,0)</f>
        <v>24.606742464330399</v>
      </c>
      <c r="BA463" s="49">
        <f>STANDARDIZE(AZ463,AVERAGE($AZ$5:$AZ$570),STDEVP($AZ$5:$AZ$570))</f>
        <v>-0.7442268057501884</v>
      </c>
      <c r="BB463" s="47" t="str">
        <f>IF(OR(AND(AQ463&gt;7,AX463&gt;1),AND(AQ463&gt;4,AW463&gt;2)),"SP","RP")</f>
        <v>SP</v>
      </c>
      <c r="BC463" s="47"/>
      <c r="BD463" s="47"/>
      <c r="BE463" s="47"/>
      <c r="BF463" s="47" t="str">
        <f>IF(AVERAGE($O463:$Q463)&gt;=6,"Likely",IF(AVERAGE($O463:$Q463)&gt;=4,"Possible","Unlikely"))</f>
        <v>Unlikely</v>
      </c>
      <c r="BG463" s="47"/>
      <c r="BH463" s="47" t="str">
        <f>INDEX(Table5[[#All],[Ovr]],MATCH(Table3[[#This Row],[PID]],Table5[[#All],[PID]],0))</f>
        <v/>
      </c>
      <c r="BI463" s="47" t="str">
        <f>INDEX(Table5[[#All],[Rnd]],MATCH(Table3[[#This Row],[PID]],Table5[[#All],[PID]],0))</f>
        <v/>
      </c>
      <c r="BJ463" s="47" t="str">
        <f>INDEX(Table5[[#All],[Pick]],MATCH(Table3[[#This Row],[PID]],Table5[[#All],[PID]],0))</f>
        <v/>
      </c>
      <c r="BK463" s="47" t="str">
        <f>INDEX(Table5[[#All],[Team]],MATCH(Table3[[#This Row],[PID]],Table5[[#All],[PID]],0))</f>
        <v/>
      </c>
      <c r="BL4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4" spans="1:64" ht="15" customHeight="1" x14ac:dyDescent="0.25">
      <c r="A464" s="42">
        <v>17931</v>
      </c>
      <c r="B464" s="42" t="s">
        <v>430</v>
      </c>
      <c r="C464" s="42" t="s">
        <v>326</v>
      </c>
      <c r="D464" s="42" t="s">
        <v>1738</v>
      </c>
      <c r="E464" s="42">
        <v>18</v>
      </c>
      <c r="F464" s="42" t="s">
        <v>42</v>
      </c>
      <c r="G464" s="42" t="s">
        <v>42</v>
      </c>
      <c r="H464" s="43" t="s">
        <v>721</v>
      </c>
      <c r="I464" s="44" t="s">
        <v>43</v>
      </c>
      <c r="J464" s="42" t="s">
        <v>44</v>
      </c>
      <c r="K464" s="43" t="s">
        <v>43</v>
      </c>
      <c r="L464" s="42">
        <v>2</v>
      </c>
      <c r="M464" s="42">
        <v>1</v>
      </c>
      <c r="N464" s="43">
        <v>1</v>
      </c>
      <c r="O464" s="42">
        <v>4</v>
      </c>
      <c r="P464" s="42">
        <v>1</v>
      </c>
      <c r="Q464" s="43">
        <v>2</v>
      </c>
      <c r="R464" s="42">
        <v>3</v>
      </c>
      <c r="S464" s="42">
        <v>4</v>
      </c>
      <c r="T464" s="42">
        <v>1</v>
      </c>
      <c r="U464" s="42">
        <v>1</v>
      </c>
      <c r="V464" s="42">
        <v>2</v>
      </c>
      <c r="W464" s="42">
        <v>5</v>
      </c>
      <c r="X464" s="42" t="s">
        <v>45</v>
      </c>
      <c r="Y464" s="42" t="s">
        <v>45</v>
      </c>
      <c r="Z464" s="42" t="s">
        <v>45</v>
      </c>
      <c r="AA464" s="42" t="s">
        <v>45</v>
      </c>
      <c r="AB464" s="42" t="s">
        <v>45</v>
      </c>
      <c r="AC464" s="42" t="s">
        <v>45</v>
      </c>
      <c r="AD464" s="42">
        <v>2</v>
      </c>
      <c r="AE464" s="42">
        <v>4</v>
      </c>
      <c r="AF464" s="42" t="s">
        <v>45</v>
      </c>
      <c r="AG464" s="42" t="s">
        <v>45</v>
      </c>
      <c r="AH464" s="42" t="s">
        <v>45</v>
      </c>
      <c r="AI464" s="42" t="s">
        <v>45</v>
      </c>
      <c r="AJ464" s="42" t="s">
        <v>45</v>
      </c>
      <c r="AK464" s="42" t="s">
        <v>45</v>
      </c>
      <c r="AL464" s="42" t="s">
        <v>45</v>
      </c>
      <c r="AM464" s="42" t="s">
        <v>45</v>
      </c>
      <c r="AN464" s="42" t="s">
        <v>45</v>
      </c>
      <c r="AO464" s="43" t="s">
        <v>45</v>
      </c>
      <c r="AP464" s="42" t="s">
        <v>64</v>
      </c>
      <c r="AQ464" s="42">
        <v>9</v>
      </c>
      <c r="AR464" s="50" t="s">
        <v>14</v>
      </c>
      <c r="AS464" s="45" t="s">
        <v>627</v>
      </c>
      <c r="AT464" s="45" t="s">
        <v>47</v>
      </c>
      <c r="AU464" s="46">
        <f>($O$3*(L464-$O$1)/$O$2+$P$3*(M464-$P$1)/$P$2+$Q$3*(N464-$P$1)/$Q$2)/SUM($O$3:$Q$3)</f>
        <v>-2.5067929134584248</v>
      </c>
      <c r="AV464" s="46">
        <f>($O$3*(O464-$O$1)/$O$2+$P$3*(P464-$P$1)/$P$2+$Q$3*(Q464-$Q$1)/$Q$2)/SUM($O$3:$Q$3)</f>
        <v>-1.4295949476488956</v>
      </c>
      <c r="AW464" s="47">
        <f>COUNT(R464:AO464)/2</f>
        <v>4</v>
      </c>
      <c r="AX464" s="47">
        <f>IF(AND(S464&lt;&gt;"-",S464&gt;5),1,0)+IF(AND(U464&lt;&gt;"-",U464&gt;5),1,0)+IF(AND(W464&lt;&gt;"-",W464&gt;5),1,0)+IF(AND(Y464&lt;&gt;"-",Y464&gt;5),1,0)+IF(AND(AA464&lt;&gt;"-",AA464&gt;5),1,0)+IF(AND(AC464&lt;&gt;"-",AC464&gt;5),1,0)+IF(AND(AE464&lt;&gt;"-",AE464&gt;5),1,0)+IF(AND(AG464&lt;&gt;"-",AG464&gt;5),1,0)+IF(AND(AI464&lt;&gt;"-",AI464&gt;5),1,0)+IF(AND(AK464&lt;&gt;"-",AK464&gt;5),1,0)+IF(AND(AM464&lt;&gt;"-",AM464&gt;5),1,0)+IF(AND(AO464&lt;&gt;"-",AO464&gt;5),1,0)</f>
        <v>0</v>
      </c>
      <c r="AY464" s="48">
        <f>VLOOKUP(AP464,COND!$A$10:$B$32,2,FALSE)</f>
        <v>1</v>
      </c>
      <c r="AZ464" s="46">
        <f>($AU$3*AU464+$AV$3*AV464+$AW$3*AW464+$AX$3*AX464)*AY464*IF(AQ464&lt;5,0.95,IF(AQ464&lt;7,0.975,1))+$I$3*VLOOKUP(I464,COND!$A$2:$E$7,4,FALSE)+$J$3*VLOOKUP(J464,COND!$A$2:$E$7,2,FALSE)+$K$3*VLOOKUP(K464,COND!$A$2:$E$7,3,FALSE)+IF(BB464="SP",$BB$3,0)+IF($AW464&lt;3,-5,0)+IF(AND($B$2&gt;0,$E464&lt;20),$B$2*25,0)</f>
        <v>24.606742464330399</v>
      </c>
      <c r="BA464" s="49">
        <f>STANDARDIZE(AZ464,AVERAGE($AZ$5:$AZ$570),STDEVP($AZ$5:$AZ$570))</f>
        <v>-0.7442268057501884</v>
      </c>
      <c r="BB464" s="47" t="str">
        <f>IF(OR(AND(AQ464&gt;7,AX464&gt;1),AND(AQ464&gt;4,AW464&gt;2)),"SP","RP")</f>
        <v>SP</v>
      </c>
      <c r="BC464" s="47"/>
      <c r="BD464" s="47"/>
      <c r="BE464" s="47"/>
      <c r="BF464" s="47" t="str">
        <f>IF(AVERAGE($O464:$Q464)&gt;=6,"Likely",IF(AVERAGE($O464:$Q464)&gt;=4,"Possible","Unlikely"))</f>
        <v>Unlikely</v>
      </c>
      <c r="BG464" s="47"/>
      <c r="BH464" s="47" t="str">
        <f>INDEX(Table5[[#All],[Ovr]],MATCH(Table3[[#This Row],[PID]],Table5[[#All],[PID]],0))</f>
        <v/>
      </c>
      <c r="BI464" s="47" t="str">
        <f>INDEX(Table5[[#All],[Rnd]],MATCH(Table3[[#This Row],[PID]],Table5[[#All],[PID]],0))</f>
        <v/>
      </c>
      <c r="BJ464" s="47" t="str">
        <f>INDEX(Table5[[#All],[Pick]],MATCH(Table3[[#This Row],[PID]],Table5[[#All],[PID]],0))</f>
        <v/>
      </c>
      <c r="BK464" s="47" t="str">
        <f>INDEX(Table5[[#All],[Team]],MATCH(Table3[[#This Row],[PID]],Table5[[#All],[PID]],0))</f>
        <v/>
      </c>
      <c r="BL4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5" spans="1:64" ht="15" customHeight="1" x14ac:dyDescent="0.25">
      <c r="A465" s="42">
        <v>4730</v>
      </c>
      <c r="B465" s="42" t="s">
        <v>430</v>
      </c>
      <c r="C465" s="42" t="s">
        <v>1066</v>
      </c>
      <c r="D465" s="42" t="s">
        <v>877</v>
      </c>
      <c r="E465" s="42">
        <v>21</v>
      </c>
      <c r="F465" s="42" t="s">
        <v>42</v>
      </c>
      <c r="G465" s="42" t="s">
        <v>42</v>
      </c>
      <c r="H465" s="43" t="s">
        <v>721</v>
      </c>
      <c r="I465" s="44" t="s">
        <v>43</v>
      </c>
      <c r="J465" s="42" t="s">
        <v>44</v>
      </c>
      <c r="K465" s="43" t="s">
        <v>43</v>
      </c>
      <c r="L465" s="42">
        <v>2</v>
      </c>
      <c r="M465" s="42">
        <v>2</v>
      </c>
      <c r="N465" s="43">
        <v>1</v>
      </c>
      <c r="O465" s="42">
        <v>5</v>
      </c>
      <c r="P465" s="42">
        <v>2</v>
      </c>
      <c r="Q465" s="43">
        <v>1</v>
      </c>
      <c r="R465" s="42">
        <v>4</v>
      </c>
      <c r="S465" s="42">
        <v>6</v>
      </c>
      <c r="T465" s="42">
        <v>1</v>
      </c>
      <c r="U465" s="42">
        <v>1</v>
      </c>
      <c r="V465" s="42">
        <v>2</v>
      </c>
      <c r="W465" s="42">
        <v>7</v>
      </c>
      <c r="X465" s="42" t="s">
        <v>45</v>
      </c>
      <c r="Y465" s="42" t="s">
        <v>45</v>
      </c>
      <c r="Z465" s="42" t="s">
        <v>45</v>
      </c>
      <c r="AA465" s="42" t="s">
        <v>45</v>
      </c>
      <c r="AB465" s="42" t="s">
        <v>45</v>
      </c>
      <c r="AC465" s="42" t="s">
        <v>45</v>
      </c>
      <c r="AD465" s="42" t="s">
        <v>45</v>
      </c>
      <c r="AE465" s="42" t="s">
        <v>45</v>
      </c>
      <c r="AF465" s="42" t="s">
        <v>45</v>
      </c>
      <c r="AG465" s="42" t="s">
        <v>45</v>
      </c>
      <c r="AH465" s="42" t="s">
        <v>45</v>
      </c>
      <c r="AI465" s="42" t="s">
        <v>45</v>
      </c>
      <c r="AJ465" s="42" t="s">
        <v>45</v>
      </c>
      <c r="AK465" s="42" t="s">
        <v>45</v>
      </c>
      <c r="AL465" s="42" t="s">
        <v>45</v>
      </c>
      <c r="AM465" s="42" t="s">
        <v>45</v>
      </c>
      <c r="AN465" s="42" t="s">
        <v>45</v>
      </c>
      <c r="AO465" s="43" t="s">
        <v>45</v>
      </c>
      <c r="AP465" s="42" t="s">
        <v>56</v>
      </c>
      <c r="AQ465" s="42">
        <v>9</v>
      </c>
      <c r="AR465" s="50" t="s">
        <v>353</v>
      </c>
      <c r="AS465" s="45" t="s">
        <v>45</v>
      </c>
      <c r="AT465" s="45" t="s">
        <v>47</v>
      </c>
      <c r="AU465" s="46">
        <f>($O$3*(L465-$O$1)/$O$2+$P$3*(M465-$P$1)/$P$2+$Q$3*(N465-$P$1)/$Q$2)/SUM($O$3:$Q$3)</f>
        <v>-2.311361197028369</v>
      </c>
      <c r="AV465" s="46">
        <f>($O$3*(O465-$O$1)/$O$2+$P$3*(P465-$P$1)/$P$2+$Q$3*(Q465-$Q$1)/$Q$2)/SUM($O$3:$Q$3)</f>
        <v>-1.2817924727637771</v>
      </c>
      <c r="AW465" s="47">
        <f>COUNT(R465:AO465)/2</f>
        <v>3</v>
      </c>
      <c r="AX465" s="47">
        <f>IF(AND(S465&lt;&gt;"-",S465&gt;5),1,0)+IF(AND(U465&lt;&gt;"-",U465&gt;5),1,0)+IF(AND(W465&lt;&gt;"-",W465&gt;5),1,0)+IF(AND(Y465&lt;&gt;"-",Y465&gt;5),1,0)+IF(AND(AA465&lt;&gt;"-",AA465&gt;5),1,0)+IF(AND(AC465&lt;&gt;"-",AC465&gt;5),1,0)+IF(AND(AE465&lt;&gt;"-",AE465&gt;5),1,0)+IF(AND(AG465&lt;&gt;"-",AG465&gt;5),1,0)+IF(AND(AI465&lt;&gt;"-",AI465&gt;5),1,0)+IF(AND(AK465&lt;&gt;"-",AK465&gt;5),1,0)+IF(AND(AM465&lt;&gt;"-",AM465&gt;5),1,0)+IF(AND(AO465&lt;&gt;"-",AO465&gt;5),1,0)</f>
        <v>2</v>
      </c>
      <c r="AY465" s="48">
        <f>VLOOKUP(AP465,COND!$A$10:$B$32,2,FALSE)</f>
        <v>1</v>
      </c>
      <c r="AZ465" s="46">
        <f>($AU$3*AU465+$AV$3*AV465+$AW$3*AW465+$AX$3*AX465)*AY465*IF(AQ465&lt;5,0.95,IF(AQ465&lt;7,0.975,1))+$I$3*VLOOKUP(I465,COND!$A$2:$E$7,4,FALSE)+$J$3*VLOOKUP(J465,COND!$A$2:$E$7,2,FALSE)+$K$3*VLOOKUP(K465,COND!$A$2:$E$7,3,FALSE)+IF(BB465="SP",$BB$3,0)+IF($AW465&lt;3,-5,0)+IF(AND($B$2&gt;0,$E465&lt;20),$B$2*25,0)</f>
        <v>24.601878305318785</v>
      </c>
      <c r="BA465" s="49">
        <f>STANDARDIZE(AZ465,AVERAGE($AZ$5:$AZ$570),STDEVP($AZ$5:$AZ$570))</f>
        <v>-0.74467286992140602</v>
      </c>
      <c r="BB465" s="47" t="str">
        <f>IF(OR(AND(AQ465&gt;7,AX465&gt;1),AND(AQ465&gt;4,AW465&gt;2)),"SP","RP")</f>
        <v>SP</v>
      </c>
      <c r="BC465" s="47"/>
      <c r="BD465" s="47"/>
      <c r="BE465" s="47"/>
      <c r="BF465" s="47" t="str">
        <f>IF(AVERAGE($O465:$Q465)&gt;=6,"Likely",IF(AVERAGE($O465:$Q465)&gt;=4,"Possible","Unlikely"))</f>
        <v>Unlikely</v>
      </c>
      <c r="BG465" s="47"/>
      <c r="BH465" s="47" t="str">
        <f>INDEX(Table5[[#All],[Ovr]],MATCH(Table3[[#This Row],[PID]],Table5[[#All],[PID]],0))</f>
        <v/>
      </c>
      <c r="BI465" s="47" t="str">
        <f>INDEX(Table5[[#All],[Rnd]],MATCH(Table3[[#This Row],[PID]],Table5[[#All],[PID]],0))</f>
        <v/>
      </c>
      <c r="BJ465" s="47" t="str">
        <f>INDEX(Table5[[#All],[Pick]],MATCH(Table3[[#This Row],[PID]],Table5[[#All],[PID]],0))</f>
        <v/>
      </c>
      <c r="BK465" s="47" t="str">
        <f>INDEX(Table5[[#All],[Team]],MATCH(Table3[[#This Row],[PID]],Table5[[#All],[PID]],0))</f>
        <v/>
      </c>
      <c r="BL4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6" spans="1:64" ht="15" customHeight="1" x14ac:dyDescent="0.25">
      <c r="A466" s="42">
        <v>18042</v>
      </c>
      <c r="B466" s="42" t="s">
        <v>24</v>
      </c>
      <c r="C466" s="42" t="s">
        <v>413</v>
      </c>
      <c r="D466" s="42" t="s">
        <v>1693</v>
      </c>
      <c r="E466" s="42">
        <v>21</v>
      </c>
      <c r="F466" s="42" t="s">
        <v>53</v>
      </c>
      <c r="G466" s="42" t="s">
        <v>53</v>
      </c>
      <c r="H466" s="43" t="s">
        <v>721</v>
      </c>
      <c r="I466" s="44" t="s">
        <v>44</v>
      </c>
      <c r="J466" s="42" t="s">
        <v>43</v>
      </c>
      <c r="K466" s="43" t="s">
        <v>43</v>
      </c>
      <c r="L466" s="42">
        <v>2</v>
      </c>
      <c r="M466" s="42">
        <v>2</v>
      </c>
      <c r="N466" s="43">
        <v>1</v>
      </c>
      <c r="O466" s="42">
        <v>4</v>
      </c>
      <c r="P466" s="42">
        <v>2</v>
      </c>
      <c r="Q466" s="43">
        <v>3</v>
      </c>
      <c r="R466" s="42">
        <v>4</v>
      </c>
      <c r="S466" s="42">
        <v>7</v>
      </c>
      <c r="T466" s="42">
        <v>3</v>
      </c>
      <c r="U466" s="42">
        <v>8</v>
      </c>
      <c r="V466" s="42" t="s">
        <v>45</v>
      </c>
      <c r="W466" s="42" t="s">
        <v>45</v>
      </c>
      <c r="X466" s="42" t="s">
        <v>45</v>
      </c>
      <c r="Y466" s="42" t="s">
        <v>45</v>
      </c>
      <c r="Z466" s="42" t="s">
        <v>45</v>
      </c>
      <c r="AA466" s="42" t="s">
        <v>45</v>
      </c>
      <c r="AB466" s="42" t="s">
        <v>45</v>
      </c>
      <c r="AC466" s="42" t="s">
        <v>45</v>
      </c>
      <c r="AD466" s="42" t="s">
        <v>45</v>
      </c>
      <c r="AE466" s="42" t="s">
        <v>45</v>
      </c>
      <c r="AF466" s="42" t="s">
        <v>45</v>
      </c>
      <c r="AG466" s="42" t="s">
        <v>45</v>
      </c>
      <c r="AH466" s="42" t="s">
        <v>45</v>
      </c>
      <c r="AI466" s="42" t="s">
        <v>45</v>
      </c>
      <c r="AJ466" s="42" t="s">
        <v>45</v>
      </c>
      <c r="AK466" s="42" t="s">
        <v>45</v>
      </c>
      <c r="AL466" s="42" t="s">
        <v>45</v>
      </c>
      <c r="AM466" s="42" t="s">
        <v>45</v>
      </c>
      <c r="AN466" s="42" t="s">
        <v>45</v>
      </c>
      <c r="AO466" s="43" t="s">
        <v>45</v>
      </c>
      <c r="AP466" s="42" t="s">
        <v>56</v>
      </c>
      <c r="AQ466" s="42">
        <v>3</v>
      </c>
      <c r="AR466" s="50" t="s">
        <v>353</v>
      </c>
      <c r="AS466" s="45" t="s">
        <v>717</v>
      </c>
      <c r="AT466" s="45" t="s">
        <v>705</v>
      </c>
      <c r="AU466" s="46">
        <f>($O$3*(L466-$O$1)/$O$2+$P$3*(M466-$P$1)/$P$2+$Q$3*(N466-$P$1)/$Q$2)/SUM($O$3:$Q$3)</f>
        <v>-2.311361197028369</v>
      </c>
      <c r="AV466" s="46">
        <f>($O$3*(O466-$O$1)/$O$2+$P$3*(P466-$P$1)/$P$2+$Q$3*(Q466-$Q$1)/$Q$2)/SUM($O$3:$Q$3)</f>
        <v>-0.99184266516472974</v>
      </c>
      <c r="AW466" s="47">
        <f>COUNT(R466:AO466)/2</f>
        <v>2</v>
      </c>
      <c r="AX466" s="47">
        <f>IF(AND(S466&lt;&gt;"-",S466&gt;5),1,0)+IF(AND(U466&lt;&gt;"-",U466&gt;5),1,0)+IF(AND(W466&lt;&gt;"-",W466&gt;5),1,0)+IF(AND(Y466&lt;&gt;"-",Y466&gt;5),1,0)+IF(AND(AA466&lt;&gt;"-",AA466&gt;5),1,0)+IF(AND(AC466&lt;&gt;"-",AC466&gt;5),1,0)+IF(AND(AE466&lt;&gt;"-",AE466&gt;5),1,0)+IF(AND(AG466&lt;&gt;"-",AG466&gt;5),1,0)+IF(AND(AI466&lt;&gt;"-",AI466&gt;5),1,0)+IF(AND(AK466&lt;&gt;"-",AK466&gt;5),1,0)+IF(AND(AM466&lt;&gt;"-",AM466&gt;5),1,0)+IF(AND(AO466&lt;&gt;"-",AO466&gt;5),1,0)</f>
        <v>2</v>
      </c>
      <c r="AY466" s="48">
        <f>VLOOKUP(AP466,COND!$A$10:$B$32,2,FALSE)</f>
        <v>1</v>
      </c>
      <c r="AZ466" s="46">
        <f>($AU$3*AU466+$AV$3*AV466+$AW$3*AW466+$AX$3*AX466)*AY466*IF(AQ466&lt;5,0.95,IF(AQ466&lt;7,0.975,1))+$I$3*VLOOKUP(I466,COND!$A$2:$E$7,4,FALSE)+$J$3*VLOOKUP(J466,COND!$A$2:$E$7,2,FALSE)+$K$3*VLOOKUP(K466,COND!$A$2:$E$7,3,FALSE)+IF(BB466="SP",$BB$3,0)+IF($AW466&lt;3,-5,0)+IF(AND($B$2&gt;0,$E466&lt;20),$B$2*25,0)</f>
        <v>23.890830734434743</v>
      </c>
      <c r="BA466" s="49">
        <f>STANDARDIZE(AZ466,AVERAGE($AZ$5:$AZ$570),STDEVP($AZ$5:$AZ$570))</f>
        <v>-0.80987897125266317</v>
      </c>
      <c r="BB466" s="47" t="str">
        <f>IF(OR(AND(AQ466&gt;7,AX466&gt;1),AND(AQ466&gt;4,AW466&gt;2)),"SP","RP")</f>
        <v>RP</v>
      </c>
      <c r="BC466" s="47"/>
      <c r="BD466" s="47"/>
      <c r="BE466" s="47"/>
      <c r="BF466" s="47" t="str">
        <f>IF(AVERAGE($O466:$Q466)&gt;=6,"Likely",IF(AVERAGE($O466:$Q466)&gt;=4,"Possible","Unlikely"))</f>
        <v>Unlikely</v>
      </c>
      <c r="BG466" s="47"/>
      <c r="BH466" s="47" t="str">
        <f>INDEX(Table5[[#All],[Ovr]],MATCH(Table3[[#This Row],[PID]],Table5[[#All],[PID]],0))</f>
        <v/>
      </c>
      <c r="BI466" s="47" t="str">
        <f>INDEX(Table5[[#All],[Rnd]],MATCH(Table3[[#This Row],[PID]],Table5[[#All],[PID]],0))</f>
        <v/>
      </c>
      <c r="BJ466" s="47" t="str">
        <f>INDEX(Table5[[#All],[Pick]],MATCH(Table3[[#This Row],[PID]],Table5[[#All],[PID]],0))</f>
        <v/>
      </c>
      <c r="BK466" s="47" t="str">
        <f>INDEX(Table5[[#All],[Team]],MATCH(Table3[[#This Row],[PID]],Table5[[#All],[PID]],0))</f>
        <v/>
      </c>
      <c r="BL4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7" spans="1:64" ht="15" customHeight="1" x14ac:dyDescent="0.25">
      <c r="A467" s="42">
        <v>7865</v>
      </c>
      <c r="B467" s="42" t="s">
        <v>430</v>
      </c>
      <c r="C467" s="42" t="s">
        <v>1805</v>
      </c>
      <c r="D467" s="42" t="s">
        <v>742</v>
      </c>
      <c r="E467" s="42">
        <v>18</v>
      </c>
      <c r="F467" s="42" t="s">
        <v>42</v>
      </c>
      <c r="G467" s="42" t="s">
        <v>42</v>
      </c>
      <c r="H467" s="43" t="s">
        <v>721</v>
      </c>
      <c r="I467" s="44" t="s">
        <v>43</v>
      </c>
      <c r="J467" s="42" t="s">
        <v>47</v>
      </c>
      <c r="K467" s="43" t="s">
        <v>43</v>
      </c>
      <c r="L467" s="42">
        <v>1</v>
      </c>
      <c r="M467" s="42">
        <v>2</v>
      </c>
      <c r="N467" s="43">
        <v>1</v>
      </c>
      <c r="O467" s="42">
        <v>2</v>
      </c>
      <c r="P467" s="42">
        <v>2</v>
      </c>
      <c r="Q467" s="43">
        <v>2</v>
      </c>
      <c r="R467" s="42">
        <v>2</v>
      </c>
      <c r="S467" s="42">
        <v>3</v>
      </c>
      <c r="T467" s="42" t="s">
        <v>45</v>
      </c>
      <c r="U467" s="42" t="s">
        <v>45</v>
      </c>
      <c r="V467" s="42">
        <v>1</v>
      </c>
      <c r="W467" s="42">
        <v>4</v>
      </c>
      <c r="X467" s="42">
        <v>1</v>
      </c>
      <c r="Y467" s="42">
        <v>4</v>
      </c>
      <c r="Z467" s="42" t="s">
        <v>45</v>
      </c>
      <c r="AA467" s="42" t="s">
        <v>45</v>
      </c>
      <c r="AB467" s="42" t="s">
        <v>45</v>
      </c>
      <c r="AC467" s="42" t="s">
        <v>45</v>
      </c>
      <c r="AD467" s="42" t="s">
        <v>45</v>
      </c>
      <c r="AE467" s="42" t="s">
        <v>45</v>
      </c>
      <c r="AF467" s="42" t="s">
        <v>45</v>
      </c>
      <c r="AG467" s="42" t="s">
        <v>45</v>
      </c>
      <c r="AH467" s="42" t="s">
        <v>45</v>
      </c>
      <c r="AI467" s="42" t="s">
        <v>45</v>
      </c>
      <c r="AJ467" s="42" t="s">
        <v>45</v>
      </c>
      <c r="AK467" s="42" t="s">
        <v>45</v>
      </c>
      <c r="AL467" s="42" t="s">
        <v>45</v>
      </c>
      <c r="AM467" s="42" t="s">
        <v>45</v>
      </c>
      <c r="AN467" s="42" t="s">
        <v>45</v>
      </c>
      <c r="AO467" s="43" t="s">
        <v>45</v>
      </c>
      <c r="AP467" s="42" t="s">
        <v>67</v>
      </c>
      <c r="AQ467" s="42">
        <v>10</v>
      </c>
      <c r="AR467" s="50" t="s">
        <v>353</v>
      </c>
      <c r="AS467" s="45" t="s">
        <v>718</v>
      </c>
      <c r="AT467" s="45" t="s">
        <v>705</v>
      </c>
      <c r="AU467" s="46">
        <f>($O$3*(L467-$O$1)/$O$2+$P$3*(M467-$P$1)/$P$2+$Q$3*(N467-$P$1)/$Q$2)/SUM($O$3:$Q$3)</f>
        <v>-2.5060525215375429</v>
      </c>
      <c r="AV467" s="46">
        <f>($O$3*(O467-$O$1)/$O$2+$P$3*(P467-$P$1)/$P$2+$Q$3*(Q467-$Q$1)/$Q$2)/SUM($O$3:$Q$3)</f>
        <v>-1.6235458802371869</v>
      </c>
      <c r="AW467" s="47">
        <f>COUNT(R467:AO467)/2</f>
        <v>3</v>
      </c>
      <c r="AX467" s="47">
        <f>IF(AND(S467&lt;&gt;"-",S467&gt;5),1,0)+IF(AND(U467&lt;&gt;"-",U467&gt;5),1,0)+IF(AND(W467&lt;&gt;"-",W467&gt;5),1,0)+IF(AND(Y467&lt;&gt;"-",Y467&gt;5),1,0)+IF(AND(AA467&lt;&gt;"-",AA467&gt;5),1,0)+IF(AND(AC467&lt;&gt;"-",AC467&gt;5),1,0)+IF(AND(AE467&lt;&gt;"-",AE467&gt;5),1,0)+IF(AND(AG467&lt;&gt;"-",AG467&gt;5),1,0)+IF(AND(AI467&lt;&gt;"-",AI467&gt;5),1,0)+IF(AND(AK467&lt;&gt;"-",AK467&gt;5),1,0)+IF(AND(AM467&lt;&gt;"-",AM467&gt;5),1,0)+IF(AND(AO467&lt;&gt;"-",AO467&gt;5),1,0)</f>
        <v>0</v>
      </c>
      <c r="AY467" s="48">
        <f>VLOOKUP(AP467,COND!$A$10:$B$32,2,FALSE)</f>
        <v>0.9</v>
      </c>
      <c r="AZ467" s="46">
        <f>($AU$3*AU467+$AV$3*AV467+$AW$3*AW467+$AX$3*AX467)*AY467*IF(AQ467&lt;5,0.95,IF(AQ467&lt;7,0.975,1))+$I$3*VLOOKUP(I467,COND!$A$2:$E$7,4,FALSE)+$J$3*VLOOKUP(J467,COND!$A$2:$E$7,2,FALSE)+$K$3*VLOOKUP(K467,COND!$A$2:$E$7,3,FALSE)+IF(BB467="SP",$BB$3,0)+IF($AW467&lt;3,-5,0)+IF(AND($B$2&gt;0,$E467&lt;20),$B$2*25,0)</f>
        <v>23.975084701853877</v>
      </c>
      <c r="BA467" s="49">
        <f>STANDARDIZE(AZ467,AVERAGE($AZ$5:$AZ$676),STDEVP($AZ$5:$AZ$676))</f>
        <v>-0.56267953177103069</v>
      </c>
      <c r="BB467" s="47" t="str">
        <f>IF(OR(AND(AQ467&gt;7,AX467&gt;1),AND(AQ467&gt;4,AW467&gt;2)),"SP","RP")</f>
        <v>SP</v>
      </c>
      <c r="BC467" s="47"/>
      <c r="BD467" s="47"/>
      <c r="BE467" s="47"/>
      <c r="BF467" s="47" t="str">
        <f>IF(AVERAGE($O467:$Q467)&gt;=6,"Likely",IF(AVERAGE($O467:$Q467)&gt;=4,"Possible","Unlikely"))</f>
        <v>Unlikely</v>
      </c>
      <c r="BG467" s="47"/>
      <c r="BH467" s="47" t="str">
        <f>INDEX(Table5[[#All],[Ovr]],MATCH(Table3[[#This Row],[PID]],Table5[[#All],[PID]],0))</f>
        <v/>
      </c>
      <c r="BI467" s="47" t="str">
        <f>INDEX(Table5[[#All],[Rnd]],MATCH(Table3[[#This Row],[PID]],Table5[[#All],[PID]],0))</f>
        <v/>
      </c>
      <c r="BJ467" s="47" t="str">
        <f>INDEX(Table5[[#All],[Pick]],MATCH(Table3[[#This Row],[PID]],Table5[[#All],[PID]],0))</f>
        <v/>
      </c>
      <c r="BK467" s="47" t="str">
        <f>INDEX(Table5[[#All],[Team]],MATCH(Table3[[#This Row],[PID]],Table5[[#All],[PID]],0))</f>
        <v/>
      </c>
      <c r="BL4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8" spans="1:64" ht="15" customHeight="1" x14ac:dyDescent="0.25">
      <c r="A468" s="42">
        <v>11665</v>
      </c>
      <c r="B468" s="42" t="s">
        <v>430</v>
      </c>
      <c r="C468" s="42" t="s">
        <v>185</v>
      </c>
      <c r="D468" s="42" t="s">
        <v>765</v>
      </c>
      <c r="E468" s="42">
        <v>22</v>
      </c>
      <c r="F468" s="42" t="s">
        <v>62</v>
      </c>
      <c r="G468" s="42" t="s">
        <v>42</v>
      </c>
      <c r="H468" s="43" t="s">
        <v>721</v>
      </c>
      <c r="I468" s="44" t="s">
        <v>43</v>
      </c>
      <c r="J468" s="42" t="s">
        <v>43</v>
      </c>
      <c r="K468" s="43" t="s">
        <v>43</v>
      </c>
      <c r="L468" s="42">
        <v>3</v>
      </c>
      <c r="M468" s="42">
        <v>1</v>
      </c>
      <c r="N468" s="43">
        <v>1</v>
      </c>
      <c r="O468" s="42">
        <v>4</v>
      </c>
      <c r="P468" s="42">
        <v>2</v>
      </c>
      <c r="Q468" s="43">
        <v>2</v>
      </c>
      <c r="R468" s="42">
        <v>4</v>
      </c>
      <c r="S468" s="42">
        <v>5</v>
      </c>
      <c r="T468" s="42">
        <v>1</v>
      </c>
      <c r="U468" s="42">
        <v>1</v>
      </c>
      <c r="V468" s="42" t="s">
        <v>45</v>
      </c>
      <c r="W468" s="42" t="s">
        <v>45</v>
      </c>
      <c r="X468" s="42" t="s">
        <v>45</v>
      </c>
      <c r="Y468" s="42" t="s">
        <v>45</v>
      </c>
      <c r="Z468" s="42" t="s">
        <v>45</v>
      </c>
      <c r="AA468" s="42" t="s">
        <v>45</v>
      </c>
      <c r="AB468" s="42">
        <v>3</v>
      </c>
      <c r="AC468" s="42">
        <v>4</v>
      </c>
      <c r="AD468" s="42" t="s">
        <v>45</v>
      </c>
      <c r="AE468" s="42" t="s">
        <v>45</v>
      </c>
      <c r="AF468" s="42">
        <v>3</v>
      </c>
      <c r="AG468" s="42">
        <v>5</v>
      </c>
      <c r="AH468" s="42" t="s">
        <v>45</v>
      </c>
      <c r="AI468" s="42" t="s">
        <v>45</v>
      </c>
      <c r="AJ468" s="42" t="s">
        <v>45</v>
      </c>
      <c r="AK468" s="42" t="s">
        <v>45</v>
      </c>
      <c r="AL468" s="42" t="s">
        <v>45</v>
      </c>
      <c r="AM468" s="42" t="s">
        <v>45</v>
      </c>
      <c r="AN468" s="42" t="s">
        <v>45</v>
      </c>
      <c r="AO468" s="43" t="s">
        <v>45</v>
      </c>
      <c r="AP468" s="42" t="s">
        <v>56</v>
      </c>
      <c r="AQ468" s="42">
        <v>7</v>
      </c>
      <c r="AR468" s="50" t="s">
        <v>14</v>
      </c>
      <c r="AS468" s="45" t="s">
        <v>45</v>
      </c>
      <c r="AT468" s="45" t="s">
        <v>705</v>
      </c>
      <c r="AU468" s="46">
        <f>($O$3*(L468-$O$1)/$O$2+$P$3*(M468-$P$1)/$P$2+$Q$3*(N468-$P$1)/$Q$2)/SUM($O$3:$Q$3)</f>
        <v>-2.3121015889492513</v>
      </c>
      <c r="AV468" s="46">
        <f>($O$3*(O468-$O$1)/$O$2+$P$3*(P468-$P$1)/$P$2+$Q$3*(Q468-$Q$1)/$Q$2)/SUM($O$3:$Q$3)</f>
        <v>-1.23416323121884</v>
      </c>
      <c r="AW468" s="47">
        <f>COUNT(R468:AO468)/2</f>
        <v>4</v>
      </c>
      <c r="AX468" s="47">
        <f>IF(AND(S468&lt;&gt;"-",S468&gt;5),1,0)+IF(AND(U468&lt;&gt;"-",U468&gt;5),1,0)+IF(AND(W468&lt;&gt;"-",W468&gt;5),1,0)+IF(AND(Y468&lt;&gt;"-",Y468&gt;5),1,0)+IF(AND(AA468&lt;&gt;"-",AA468&gt;5),1,0)+IF(AND(AC468&lt;&gt;"-",AC468&gt;5),1,0)+IF(AND(AE468&lt;&gt;"-",AE468&gt;5),1,0)+IF(AND(AG468&lt;&gt;"-",AG468&gt;5),1,0)+IF(AND(AI468&lt;&gt;"-",AI468&gt;5),1,0)+IF(AND(AK468&lt;&gt;"-",AK468&gt;5),1,0)+IF(AND(AM468&lt;&gt;"-",AM468&gt;5),1,0)+IF(AND(AO468&lt;&gt;"-",AO468&gt;5),1,0)</f>
        <v>0</v>
      </c>
      <c r="AY468" s="48">
        <f>VLOOKUP(AP468,COND!$A$10:$B$32,2,FALSE)</f>
        <v>1</v>
      </c>
      <c r="AZ468" s="46">
        <f>($AU$3*AU468+$AV$3*AV468+$AW$3*AW468+$AX$3*AX468)*AY468*IF(AQ468&lt;5,0.95,IF(AQ468&lt;7,0.975,1))+$I$3*VLOOKUP(I468,COND!$A$2:$E$7,4,FALSE)+$J$3*VLOOKUP(J468,COND!$A$2:$E$7,2,FALSE)+$K$3*VLOOKUP(K468,COND!$A$2:$E$7,3,FALSE)+IF(BB468="SP",$BB$3,0)+IF($AW468&lt;3,-5,0)+IF(AND($B$2&gt;0,$E468&lt;20),$B$2*25,0)</f>
        <v>23.85431505783335</v>
      </c>
      <c r="BA468" s="49">
        <f>STANDARDIZE(AZ468,AVERAGE($AZ$5:$AZ$570),STDEVP($AZ$5:$AZ$570))</f>
        <v>-0.81322761486829287</v>
      </c>
      <c r="BB468" s="47" t="str">
        <f>IF(OR(AND(AQ468&gt;7,AX468&gt;1),AND(AQ468&gt;4,AW468&gt;2)),"SP","RP")</f>
        <v>SP</v>
      </c>
      <c r="BC468" s="47"/>
      <c r="BD468" s="47"/>
      <c r="BE468" s="47"/>
      <c r="BF468" s="47" t="str">
        <f>IF(AVERAGE($O468:$Q468)&gt;=6,"Likely",IF(AVERAGE($O468:$Q468)&gt;=4,"Possible","Unlikely"))</f>
        <v>Unlikely</v>
      </c>
      <c r="BG468" s="47"/>
      <c r="BH468" s="47" t="str">
        <f>INDEX(Table5[[#All],[Ovr]],MATCH(Table3[[#This Row],[PID]],Table5[[#All],[PID]],0))</f>
        <v/>
      </c>
      <c r="BI468" s="47" t="str">
        <f>INDEX(Table5[[#All],[Rnd]],MATCH(Table3[[#This Row],[PID]],Table5[[#All],[PID]],0))</f>
        <v/>
      </c>
      <c r="BJ468" s="47" t="str">
        <f>INDEX(Table5[[#All],[Pick]],MATCH(Table3[[#This Row],[PID]],Table5[[#All],[PID]],0))</f>
        <v/>
      </c>
      <c r="BK468" s="47" t="str">
        <f>INDEX(Table5[[#All],[Team]],MATCH(Table3[[#This Row],[PID]],Table5[[#All],[PID]],0))</f>
        <v/>
      </c>
      <c r="BL4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9" spans="1:64" ht="15" customHeight="1" x14ac:dyDescent="0.25">
      <c r="A469" s="42">
        <v>12189</v>
      </c>
      <c r="B469" s="42" t="s">
        <v>24</v>
      </c>
      <c r="C469" s="42" t="s">
        <v>198</v>
      </c>
      <c r="D469" s="42" t="s">
        <v>1654</v>
      </c>
      <c r="E469" s="42">
        <v>21</v>
      </c>
      <c r="F469" s="42" t="s">
        <v>53</v>
      </c>
      <c r="G469" s="42" t="s">
        <v>53</v>
      </c>
      <c r="H469" s="43" t="s">
        <v>721</v>
      </c>
      <c r="I469" s="44" t="s">
        <v>47</v>
      </c>
      <c r="J469" s="42" t="s">
        <v>43</v>
      </c>
      <c r="K469" s="43" t="s">
        <v>44</v>
      </c>
      <c r="L469" s="42">
        <v>1</v>
      </c>
      <c r="M469" s="42">
        <v>2</v>
      </c>
      <c r="N469" s="43">
        <v>1</v>
      </c>
      <c r="O469" s="42">
        <v>4</v>
      </c>
      <c r="P469" s="42">
        <v>2</v>
      </c>
      <c r="Q469" s="43">
        <v>2</v>
      </c>
      <c r="R469" s="42">
        <v>4</v>
      </c>
      <c r="S469" s="42">
        <v>5</v>
      </c>
      <c r="T469" s="42">
        <v>1</v>
      </c>
      <c r="U469" s="42">
        <v>6</v>
      </c>
      <c r="V469" s="42" t="s">
        <v>45</v>
      </c>
      <c r="W469" s="42" t="s">
        <v>45</v>
      </c>
      <c r="X469" s="42">
        <v>2</v>
      </c>
      <c r="Y469" s="42">
        <v>5</v>
      </c>
      <c r="Z469" s="42" t="s">
        <v>45</v>
      </c>
      <c r="AA469" s="42" t="s">
        <v>45</v>
      </c>
      <c r="AB469" s="42" t="s">
        <v>45</v>
      </c>
      <c r="AC469" s="42" t="s">
        <v>45</v>
      </c>
      <c r="AD469" s="42" t="s">
        <v>45</v>
      </c>
      <c r="AE469" s="42" t="s">
        <v>45</v>
      </c>
      <c r="AF469" s="42" t="s">
        <v>45</v>
      </c>
      <c r="AG469" s="42" t="s">
        <v>45</v>
      </c>
      <c r="AH469" s="42" t="s">
        <v>45</v>
      </c>
      <c r="AI469" s="42" t="s">
        <v>45</v>
      </c>
      <c r="AJ469" s="42" t="s">
        <v>45</v>
      </c>
      <c r="AK469" s="42" t="s">
        <v>45</v>
      </c>
      <c r="AL469" s="42" t="s">
        <v>45</v>
      </c>
      <c r="AM469" s="42" t="s">
        <v>45</v>
      </c>
      <c r="AN469" s="42" t="s">
        <v>45</v>
      </c>
      <c r="AO469" s="43" t="s">
        <v>45</v>
      </c>
      <c r="AP469" s="42" t="s">
        <v>355</v>
      </c>
      <c r="AQ469" s="42">
        <v>9</v>
      </c>
      <c r="AR469" s="50" t="s">
        <v>353</v>
      </c>
      <c r="AS469" s="45" t="s">
        <v>45</v>
      </c>
      <c r="AT469" s="45" t="s">
        <v>705</v>
      </c>
      <c r="AU469" s="46">
        <f>($O$3*(L469-$O$1)/$O$2+$P$3*(M469-$P$1)/$P$2+$Q$3*(N469-$P$1)/$Q$2)/SUM($O$3:$Q$3)</f>
        <v>-2.5060525215375429</v>
      </c>
      <c r="AV469" s="46">
        <f>($O$3*(O469-$O$1)/$O$2+$P$3*(P469-$P$1)/$P$2+$Q$3*(Q469-$Q$1)/$Q$2)/SUM($O$3:$Q$3)</f>
        <v>-1.23416323121884</v>
      </c>
      <c r="AW469" s="47">
        <f>COUNT(R469:AO469)/2</f>
        <v>3</v>
      </c>
      <c r="AX469" s="47">
        <f>IF(AND(S469&lt;&gt;"-",S469&gt;5),1,0)+IF(AND(U469&lt;&gt;"-",U469&gt;5),1,0)+IF(AND(W469&lt;&gt;"-",W469&gt;5),1,0)+IF(AND(Y469&lt;&gt;"-",Y469&gt;5),1,0)+IF(AND(AA469&lt;&gt;"-",AA469&gt;5),1,0)+IF(AND(AC469&lt;&gt;"-",AC469&gt;5),1,0)+IF(AND(AE469&lt;&gt;"-",AE469&gt;5),1,0)+IF(AND(AG469&lt;&gt;"-",AG469&gt;5),1,0)+IF(AND(AI469&lt;&gt;"-",AI469&gt;5),1,0)+IF(AND(AK469&lt;&gt;"-",AK469&gt;5),1,0)+IF(AND(AM469&lt;&gt;"-",AM469&gt;5),1,0)+IF(AND(AO469&lt;&gt;"-",AO469&gt;5),1,0)</f>
        <v>1</v>
      </c>
      <c r="AY469" s="48">
        <f>VLOOKUP(AP469,COND!$A$10:$B$32,2,FALSE)</f>
        <v>1</v>
      </c>
      <c r="AZ469" s="46">
        <f>($AU$3*AU469+$AV$3*AV469+$AW$3*AW469+$AX$3*AX469)*AY469*IF(AQ469&lt;5,0.95,IF(AQ469&lt;7,0.975,1))+$I$3*VLOOKUP(I469,COND!$A$2:$E$7,4,FALSE)+$J$3*VLOOKUP(J469,COND!$A$2:$E$7,2,FALSE)+$K$3*VLOOKUP(K469,COND!$A$2:$E$7,3,FALSE)+IF(BB469="SP",$BB$3,0)+IF($AW469&lt;3,-5,0)+IF(AND($B$2&gt;0,$E469&lt;20),$B$2*25,0)</f>
        <v>24.490524871315689</v>
      </c>
      <c r="BA469" s="49">
        <f>STANDARDIZE(AZ469,AVERAGE($AZ$5:$AZ$570),STDEVP($AZ$5:$AZ$570))</f>
        <v>-0.75488445575406959</v>
      </c>
      <c r="BB469" s="47" t="str">
        <f>IF(OR(AND(AQ469&gt;7,AX469&gt;1),AND(AQ469&gt;4,AW469&gt;2)),"SP","RP")</f>
        <v>SP</v>
      </c>
      <c r="BC469" s="47"/>
      <c r="BD469" s="47"/>
      <c r="BE469" s="47"/>
      <c r="BF469" s="47" t="str">
        <f>IF(AVERAGE($O469:$Q469)&gt;=6,"Likely",IF(AVERAGE($O469:$Q469)&gt;=4,"Possible","Unlikely"))</f>
        <v>Unlikely</v>
      </c>
      <c r="BG469" s="47"/>
      <c r="BH469" s="47" t="str">
        <f>INDEX(Table5[[#All],[Ovr]],MATCH(Table3[[#This Row],[PID]],Table5[[#All],[PID]],0))</f>
        <v/>
      </c>
      <c r="BI469" s="47" t="str">
        <f>INDEX(Table5[[#All],[Rnd]],MATCH(Table3[[#This Row],[PID]],Table5[[#All],[PID]],0))</f>
        <v/>
      </c>
      <c r="BJ469" s="47" t="str">
        <f>INDEX(Table5[[#All],[Pick]],MATCH(Table3[[#This Row],[PID]],Table5[[#All],[PID]],0))</f>
        <v/>
      </c>
      <c r="BK469" s="47" t="str">
        <f>INDEX(Table5[[#All],[Team]],MATCH(Table3[[#This Row],[PID]],Table5[[#All],[PID]],0))</f>
        <v/>
      </c>
      <c r="BL4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0" spans="1:64" ht="15" customHeight="1" x14ac:dyDescent="0.25">
      <c r="A470" s="42">
        <v>6465</v>
      </c>
      <c r="B470" s="42" t="s">
        <v>430</v>
      </c>
      <c r="C470" s="42" t="s">
        <v>954</v>
      </c>
      <c r="D470" s="42" t="s">
        <v>742</v>
      </c>
      <c r="E470" s="42">
        <v>18</v>
      </c>
      <c r="F470" s="42" t="s">
        <v>53</v>
      </c>
      <c r="G470" s="42" t="s">
        <v>53</v>
      </c>
      <c r="H470" s="43" t="s">
        <v>721</v>
      </c>
      <c r="I470" s="44" t="s">
        <v>43</v>
      </c>
      <c r="J470" s="42" t="s">
        <v>44</v>
      </c>
      <c r="K470" s="43" t="s">
        <v>47</v>
      </c>
      <c r="L470" s="42">
        <v>1</v>
      </c>
      <c r="M470" s="42">
        <v>2</v>
      </c>
      <c r="N470" s="43">
        <v>1</v>
      </c>
      <c r="O470" s="42">
        <v>2</v>
      </c>
      <c r="P470" s="42">
        <v>2</v>
      </c>
      <c r="Q470" s="43">
        <v>2</v>
      </c>
      <c r="R470" s="42">
        <v>2</v>
      </c>
      <c r="S470" s="42">
        <v>3</v>
      </c>
      <c r="T470" s="42">
        <v>1</v>
      </c>
      <c r="U470" s="42">
        <v>3</v>
      </c>
      <c r="V470" s="42">
        <v>1</v>
      </c>
      <c r="W470" s="42">
        <v>3</v>
      </c>
      <c r="X470" s="42">
        <v>1</v>
      </c>
      <c r="Y470" s="42">
        <v>3</v>
      </c>
      <c r="Z470" s="42" t="s">
        <v>45</v>
      </c>
      <c r="AA470" s="42" t="s">
        <v>45</v>
      </c>
      <c r="AB470" s="42" t="s">
        <v>45</v>
      </c>
      <c r="AC470" s="42" t="s">
        <v>45</v>
      </c>
      <c r="AD470" s="42" t="s">
        <v>45</v>
      </c>
      <c r="AE470" s="42" t="s">
        <v>45</v>
      </c>
      <c r="AF470" s="42">
        <v>2</v>
      </c>
      <c r="AG470" s="42">
        <v>3</v>
      </c>
      <c r="AH470" s="42" t="s">
        <v>45</v>
      </c>
      <c r="AI470" s="42" t="s">
        <v>45</v>
      </c>
      <c r="AJ470" s="42" t="s">
        <v>45</v>
      </c>
      <c r="AK470" s="42" t="s">
        <v>45</v>
      </c>
      <c r="AL470" s="42" t="s">
        <v>45</v>
      </c>
      <c r="AM470" s="42" t="s">
        <v>45</v>
      </c>
      <c r="AN470" s="42" t="s">
        <v>45</v>
      </c>
      <c r="AO470" s="43" t="s">
        <v>45</v>
      </c>
      <c r="AP470" s="42" t="s">
        <v>70</v>
      </c>
      <c r="AQ470" s="42">
        <v>9</v>
      </c>
      <c r="AR470" s="50" t="s">
        <v>353</v>
      </c>
      <c r="AS470" s="45" t="s">
        <v>627</v>
      </c>
      <c r="AT470" s="45" t="s">
        <v>705</v>
      </c>
      <c r="AU470" s="46">
        <f>($O$3*(L470-$O$1)/$O$2+$P$3*(M470-$P$1)/$P$2+$Q$3*(N470-$P$1)/$Q$2)/SUM($O$3:$Q$3)</f>
        <v>-2.5060525215375429</v>
      </c>
      <c r="AV470" s="46">
        <f>($O$3*(O470-$O$1)/$O$2+$P$3*(P470-$P$1)/$P$2+$Q$3*(Q470-$Q$1)/$Q$2)/SUM($O$3:$Q$3)</f>
        <v>-1.6235458802371869</v>
      </c>
      <c r="AW470" s="47">
        <f>COUNT(R470:AO470)/2</f>
        <v>5</v>
      </c>
      <c r="AX470" s="47">
        <f>IF(AND(S470&lt;&gt;"-",S470&gt;5),1,0)+IF(AND(U470&lt;&gt;"-",U470&gt;5),1,0)+IF(AND(W470&lt;&gt;"-",W470&gt;5),1,0)+IF(AND(Y470&lt;&gt;"-",Y470&gt;5),1,0)+IF(AND(AA470&lt;&gt;"-",AA470&gt;5),1,0)+IF(AND(AC470&lt;&gt;"-",AC470&gt;5),1,0)+IF(AND(AE470&lt;&gt;"-",AE470&gt;5),1,0)+IF(AND(AG470&lt;&gt;"-",AG470&gt;5),1,0)+IF(AND(AI470&lt;&gt;"-",AI470&gt;5),1,0)+IF(AND(AK470&lt;&gt;"-",AK470&gt;5),1,0)+IF(AND(AM470&lt;&gt;"-",AM470&gt;5),1,0)+IF(AND(AO470&lt;&gt;"-",AO470&gt;5),1,0)</f>
        <v>0</v>
      </c>
      <c r="AY470" s="48">
        <f>VLOOKUP(AP470,COND!$A$10:$B$32,2,FALSE)</f>
        <v>0.9</v>
      </c>
      <c r="AZ470" s="46">
        <f>($AU$3*AU470+$AV$3*AV470+$AW$3*AW470+$AX$3*AX470)*AY470*IF(AQ470&lt;5,0.95,IF(AQ470&lt;7,0.975,1))+$I$3*VLOOKUP(I470,COND!$A$2:$E$7,4,FALSE)+$J$3*VLOOKUP(J470,COND!$A$2:$E$7,2,FALSE)+$K$3*VLOOKUP(K470,COND!$A$2:$E$7,3,FALSE)+IF(BB470="SP",$BB$3,0)+IF($AW470&lt;3,-5,0)+IF(AND($B$2&gt;0,$E470&lt;20),$B$2*25,0)</f>
        <v>24.575084701853875</v>
      </c>
      <c r="BA470" s="49">
        <f>STANDARDIZE(AZ470,AVERAGE($AZ$5:$AZ$676),STDEVP($AZ$5:$AZ$676))</f>
        <v>-0.5100939707647969</v>
      </c>
      <c r="BB470" s="47" t="str">
        <f>IF(OR(AND(AQ470&gt;7,AX470&gt;1),AND(AQ470&gt;4,AW470&gt;2)),"SP","RP")</f>
        <v>SP</v>
      </c>
      <c r="BC470" s="47"/>
      <c r="BD470" s="47"/>
      <c r="BE470" s="47"/>
      <c r="BF470" s="47" t="str">
        <f>IF(AVERAGE($O470:$Q470)&gt;=6,"Likely",IF(AVERAGE($O470:$Q470)&gt;=4,"Possible","Unlikely"))</f>
        <v>Unlikely</v>
      </c>
      <c r="BG470" s="47"/>
      <c r="BH470" s="47" t="str">
        <f>INDEX(Table5[[#All],[Ovr]],MATCH(Table3[[#This Row],[PID]],Table5[[#All],[PID]],0))</f>
        <v/>
      </c>
      <c r="BI470" s="47" t="str">
        <f>INDEX(Table5[[#All],[Rnd]],MATCH(Table3[[#This Row],[PID]],Table5[[#All],[PID]],0))</f>
        <v/>
      </c>
      <c r="BJ470" s="47" t="str">
        <f>INDEX(Table5[[#All],[Pick]],MATCH(Table3[[#This Row],[PID]],Table5[[#All],[PID]],0))</f>
        <v/>
      </c>
      <c r="BK470" s="47" t="str">
        <f>INDEX(Table5[[#All],[Team]],MATCH(Table3[[#This Row],[PID]],Table5[[#All],[PID]],0))</f>
        <v/>
      </c>
      <c r="BL4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1" spans="1:64" ht="15" customHeight="1" x14ac:dyDescent="0.25">
      <c r="A471" s="42">
        <v>11968</v>
      </c>
      <c r="B471" s="42" t="s">
        <v>430</v>
      </c>
      <c r="C471" s="42" t="s">
        <v>1313</v>
      </c>
      <c r="D471" s="42" t="s">
        <v>858</v>
      </c>
      <c r="E471" s="42">
        <v>21</v>
      </c>
      <c r="F471" s="42" t="s">
        <v>42</v>
      </c>
      <c r="G471" s="42" t="s">
        <v>42</v>
      </c>
      <c r="H471" s="43" t="s">
        <v>721</v>
      </c>
      <c r="I471" s="44" t="s">
        <v>43</v>
      </c>
      <c r="J471" s="42" t="s">
        <v>43</v>
      </c>
      <c r="K471" s="43" t="s">
        <v>43</v>
      </c>
      <c r="L471" s="42">
        <v>3</v>
      </c>
      <c r="M471" s="42">
        <v>2</v>
      </c>
      <c r="N471" s="43">
        <v>1</v>
      </c>
      <c r="O471" s="42">
        <v>4</v>
      </c>
      <c r="P471" s="42">
        <v>2</v>
      </c>
      <c r="Q471" s="43">
        <v>2</v>
      </c>
      <c r="R471" s="42">
        <v>4</v>
      </c>
      <c r="S471" s="42">
        <v>6</v>
      </c>
      <c r="T471" s="42">
        <v>1</v>
      </c>
      <c r="U471" s="42">
        <v>5</v>
      </c>
      <c r="V471" s="42" t="s">
        <v>45</v>
      </c>
      <c r="W471" s="42" t="s">
        <v>45</v>
      </c>
      <c r="X471" s="42" t="s">
        <v>45</v>
      </c>
      <c r="Y471" s="42" t="s">
        <v>45</v>
      </c>
      <c r="Z471" s="42" t="s">
        <v>45</v>
      </c>
      <c r="AA471" s="42" t="s">
        <v>45</v>
      </c>
      <c r="AB471" s="42">
        <v>4</v>
      </c>
      <c r="AC471" s="42">
        <v>5</v>
      </c>
      <c r="AD471" s="42" t="s">
        <v>45</v>
      </c>
      <c r="AE471" s="42" t="s">
        <v>45</v>
      </c>
      <c r="AF471" s="42" t="s">
        <v>45</v>
      </c>
      <c r="AG471" s="42" t="s">
        <v>45</v>
      </c>
      <c r="AH471" s="42" t="s">
        <v>45</v>
      </c>
      <c r="AI471" s="42" t="s">
        <v>45</v>
      </c>
      <c r="AJ471" s="42" t="s">
        <v>45</v>
      </c>
      <c r="AK471" s="42" t="s">
        <v>45</v>
      </c>
      <c r="AL471" s="42" t="s">
        <v>45</v>
      </c>
      <c r="AM471" s="42" t="s">
        <v>45</v>
      </c>
      <c r="AN471" s="42" t="s">
        <v>45</v>
      </c>
      <c r="AO471" s="43" t="s">
        <v>45</v>
      </c>
      <c r="AP471" s="42" t="s">
        <v>56</v>
      </c>
      <c r="AQ471" s="42">
        <v>3</v>
      </c>
      <c r="AR471" s="50" t="s">
        <v>353</v>
      </c>
      <c r="AS471" s="45" t="s">
        <v>45</v>
      </c>
      <c r="AT471" s="45" t="s">
        <v>705</v>
      </c>
      <c r="AU471" s="46">
        <f>($O$3*(L471-$O$1)/$O$2+$P$3*(M471-$P$1)/$P$2+$Q$3*(N471-$P$1)/$Q$2)/SUM($O$3:$Q$3)</f>
        <v>-2.1166698725191955</v>
      </c>
      <c r="AV471" s="46">
        <f>($O$3*(O471-$O$1)/$O$2+$P$3*(P471-$P$1)/$P$2+$Q$3*(Q471-$Q$1)/$Q$2)/SUM($O$3:$Q$3)</f>
        <v>-1.23416323121884</v>
      </c>
      <c r="AW471" s="47">
        <f>COUNT(R471:AO471)/2</f>
        <v>3</v>
      </c>
      <c r="AX471" s="47">
        <f>IF(AND(S471&lt;&gt;"-",S471&gt;5),1,0)+IF(AND(U471&lt;&gt;"-",U471&gt;5),1,0)+IF(AND(W471&lt;&gt;"-",W471&gt;5),1,0)+IF(AND(Y471&lt;&gt;"-",Y471&gt;5),1,0)+IF(AND(AA471&lt;&gt;"-",AA471&gt;5),1,0)+IF(AND(AC471&lt;&gt;"-",AC471&gt;5),1,0)+IF(AND(AE471&lt;&gt;"-",AE471&gt;5),1,0)+IF(AND(AG471&lt;&gt;"-",AG471&gt;5),1,0)+IF(AND(AI471&lt;&gt;"-",AI471&gt;5),1,0)+IF(AND(AK471&lt;&gt;"-",AK471&gt;5),1,0)+IF(AND(AM471&lt;&gt;"-",AM471&gt;5),1,0)+IF(AND(AO471&lt;&gt;"-",AO471&gt;5),1,0)</f>
        <v>1</v>
      </c>
      <c r="AY471" s="48">
        <f>VLOOKUP(AP471,COND!$A$10:$B$32,2,FALSE)</f>
        <v>1</v>
      </c>
      <c r="AZ471" s="46">
        <f>($AU$3*AU471+$AV$3*AV471+$AW$3*AW471+$AX$3*AX471)*AY471*IF(AQ471&lt;5,0.95,IF(AQ471&lt;7,0.975,1))+$I$3*VLOOKUP(I471,COND!$A$2:$E$7,4,FALSE)+$J$3*VLOOKUP(J471,COND!$A$2:$E$7,2,FALSE)+$K$3*VLOOKUP(K471,COND!$A$2:$E$7,3,FALSE)+IF(BB471="SP",$BB$3,0)+IF($AW471&lt;3,-5,0)+IF(AND($B$2&gt;0,$E471&lt;20),$B$2*25,0)</f>
        <v>23.761231331063392</v>
      </c>
      <c r="BA471" s="49">
        <f>STANDARDIZE(AZ471,AVERAGE($AZ$5:$AZ$570),STDEVP($AZ$5:$AZ$570))</f>
        <v>-0.82176379046130776</v>
      </c>
      <c r="BB471" s="47" t="str">
        <f>IF(OR(AND(AQ471&gt;7,AX471&gt;1),AND(AQ471&gt;4,AW471&gt;2)),"SP","RP")</f>
        <v>RP</v>
      </c>
      <c r="BC471" s="47"/>
      <c r="BD471" s="47"/>
      <c r="BE471" s="47"/>
      <c r="BF471" s="47" t="str">
        <f>IF(AVERAGE($O471:$Q471)&gt;=6,"Likely",IF(AVERAGE($O471:$Q471)&gt;=4,"Possible","Unlikely"))</f>
        <v>Unlikely</v>
      </c>
      <c r="BG471" s="47"/>
      <c r="BH471" s="47" t="str">
        <f>INDEX(Table5[[#All],[Ovr]],MATCH(Table3[[#This Row],[PID]],Table5[[#All],[PID]],0))</f>
        <v/>
      </c>
      <c r="BI471" s="47" t="str">
        <f>INDEX(Table5[[#All],[Rnd]],MATCH(Table3[[#This Row],[PID]],Table5[[#All],[PID]],0))</f>
        <v/>
      </c>
      <c r="BJ471" s="47" t="str">
        <f>INDEX(Table5[[#All],[Pick]],MATCH(Table3[[#This Row],[PID]],Table5[[#All],[PID]],0))</f>
        <v/>
      </c>
      <c r="BK471" s="47" t="str">
        <f>INDEX(Table5[[#All],[Team]],MATCH(Table3[[#This Row],[PID]],Table5[[#All],[PID]],0))</f>
        <v/>
      </c>
      <c r="BL4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2" spans="1:64" ht="15" customHeight="1" x14ac:dyDescent="0.25">
      <c r="A472" s="42">
        <v>12259</v>
      </c>
      <c r="B472" s="42" t="s">
        <v>24</v>
      </c>
      <c r="C472" s="42" t="s">
        <v>1630</v>
      </c>
      <c r="D472" s="42" t="s">
        <v>1631</v>
      </c>
      <c r="E472" s="42">
        <v>21</v>
      </c>
      <c r="F472" s="42" t="s">
        <v>42</v>
      </c>
      <c r="G472" s="42" t="s">
        <v>42</v>
      </c>
      <c r="H472" s="43" t="s">
        <v>721</v>
      </c>
      <c r="I472" s="44" t="s">
        <v>44</v>
      </c>
      <c r="J472" s="42" t="s">
        <v>44</v>
      </c>
      <c r="K472" s="43" t="s">
        <v>43</v>
      </c>
      <c r="L472" s="42">
        <v>2</v>
      </c>
      <c r="M472" s="42">
        <v>1</v>
      </c>
      <c r="N472" s="43">
        <v>2</v>
      </c>
      <c r="O472" s="42">
        <v>4</v>
      </c>
      <c r="P472" s="42">
        <v>1</v>
      </c>
      <c r="Q472" s="43">
        <v>3</v>
      </c>
      <c r="R472" s="42">
        <v>5</v>
      </c>
      <c r="S472" s="42">
        <v>5</v>
      </c>
      <c r="T472" s="42">
        <v>2</v>
      </c>
      <c r="U472" s="42">
        <v>5</v>
      </c>
      <c r="V472" s="42" t="s">
        <v>45</v>
      </c>
      <c r="W472" s="42" t="s">
        <v>45</v>
      </c>
      <c r="X472" s="42">
        <v>4</v>
      </c>
      <c r="Y472" s="42">
        <v>5</v>
      </c>
      <c r="Z472" s="42" t="s">
        <v>45</v>
      </c>
      <c r="AA472" s="42" t="s">
        <v>45</v>
      </c>
      <c r="AB472" s="42" t="s">
        <v>45</v>
      </c>
      <c r="AC472" s="42" t="s">
        <v>45</v>
      </c>
      <c r="AD472" s="42" t="s">
        <v>45</v>
      </c>
      <c r="AE472" s="42" t="s">
        <v>45</v>
      </c>
      <c r="AF472" s="42" t="s">
        <v>45</v>
      </c>
      <c r="AG472" s="42" t="s">
        <v>45</v>
      </c>
      <c r="AH472" s="42" t="s">
        <v>45</v>
      </c>
      <c r="AI472" s="42" t="s">
        <v>45</v>
      </c>
      <c r="AJ472" s="42" t="s">
        <v>45</v>
      </c>
      <c r="AK472" s="42" t="s">
        <v>45</v>
      </c>
      <c r="AL472" s="42" t="s">
        <v>45</v>
      </c>
      <c r="AM472" s="42" t="s">
        <v>45</v>
      </c>
      <c r="AN472" s="42" t="s">
        <v>45</v>
      </c>
      <c r="AO472" s="43" t="s">
        <v>45</v>
      </c>
      <c r="AP472" s="42" t="s">
        <v>57</v>
      </c>
      <c r="AQ472" s="42">
        <v>6</v>
      </c>
      <c r="AR472" s="50" t="s">
        <v>14</v>
      </c>
      <c r="AS472" s="45" t="s">
        <v>45</v>
      </c>
      <c r="AT472" s="45" t="s">
        <v>47</v>
      </c>
      <c r="AU472" s="46">
        <f>($O$3*(L472-$O$1)/$O$2+$P$3*(M472-$P$1)/$P$2+$Q$3*(N472-$P$1)/$Q$2)/SUM($O$3:$Q$3)</f>
        <v>-2.2644723474043147</v>
      </c>
      <c r="AV472" s="46">
        <f>($O$3*(O472-$O$1)/$O$2+$P$3*(P472-$P$1)/$P$2+$Q$3*(Q472-$Q$1)/$Q$2)/SUM($O$3:$Q$3)</f>
        <v>-1.1872743815947853</v>
      </c>
      <c r="AW472" s="47">
        <f>COUNT(R472:AO472)/2</f>
        <v>3</v>
      </c>
      <c r="AX472" s="47">
        <f>IF(AND(S472&lt;&gt;"-",S472&gt;5),1,0)+IF(AND(U472&lt;&gt;"-",U472&gt;5),1,0)+IF(AND(W472&lt;&gt;"-",W472&gt;5),1,0)+IF(AND(Y472&lt;&gt;"-",Y472&gt;5),1,0)+IF(AND(AA472&lt;&gt;"-",AA472&gt;5),1,0)+IF(AND(AC472&lt;&gt;"-",AC472&gt;5),1,0)+IF(AND(AE472&lt;&gt;"-",AE472&gt;5),1,0)+IF(AND(AG472&lt;&gt;"-",AG472&gt;5),1,0)+IF(AND(AI472&lt;&gt;"-",AI472&gt;5),1,0)+IF(AND(AK472&lt;&gt;"-",AK472&gt;5),1,0)+IF(AND(AM472&lt;&gt;"-",AM472&gt;5),1,0)+IF(AND(AO472&lt;&gt;"-",AO472&gt;5),1,0)</f>
        <v>0</v>
      </c>
      <c r="AY472" s="48">
        <f>VLOOKUP(AP472,COND!$A$10:$B$32,2,FALSE)</f>
        <v>1</v>
      </c>
      <c r="AZ472" s="46">
        <f>($AU$3*AU472+$AV$3*AV472+$AW$3*AW472+$AX$3*AX472)*AY472*IF(AQ472&lt;5,0.95,IF(AQ472&lt;7,0.975,1))+$I$3*VLOOKUP(I472,COND!$A$2:$E$7,4,FALSE)+$J$3*VLOOKUP(J472,COND!$A$2:$E$7,2,FALSE)+$K$3*VLOOKUP(K472,COND!$A$2:$E$7,3,FALSE)+IF(BB472="SP",$BB$3,0)+IF($AW472&lt;3,-5,0)+IF(AND($B$2&gt;0,$E472&lt;20),$B$2*25,0)</f>
        <v>24.419077451157847</v>
      </c>
      <c r="BA472" s="49">
        <f>STANDARDIZE(AZ472,AVERAGE($AZ$5:$AZ$570),STDEVP($AZ$5:$AZ$570))</f>
        <v>-0.76143648955523546</v>
      </c>
      <c r="BB472" s="47" t="str">
        <f>IF(OR(AND(AQ472&gt;7,AX472&gt;1),AND(AQ472&gt;4,AW472&gt;2)),"SP","RP")</f>
        <v>SP</v>
      </c>
      <c r="BC472" s="47"/>
      <c r="BD472" s="47"/>
      <c r="BE472" s="47"/>
      <c r="BF472" s="47" t="str">
        <f>IF(AVERAGE($O472:$Q472)&gt;=6,"Likely",IF(AVERAGE($O472:$Q472)&gt;=4,"Possible","Unlikely"))</f>
        <v>Unlikely</v>
      </c>
      <c r="BG472" s="47"/>
      <c r="BH472" s="47" t="str">
        <f>INDEX(Table5[[#All],[Ovr]],MATCH(Table3[[#This Row],[PID]],Table5[[#All],[PID]],0))</f>
        <v/>
      </c>
      <c r="BI472" s="47" t="str">
        <f>INDEX(Table5[[#All],[Rnd]],MATCH(Table3[[#This Row],[PID]],Table5[[#All],[PID]],0))</f>
        <v/>
      </c>
      <c r="BJ472" s="47" t="str">
        <f>INDEX(Table5[[#All],[Pick]],MATCH(Table3[[#This Row],[PID]],Table5[[#All],[PID]],0))</f>
        <v/>
      </c>
      <c r="BK472" s="47" t="str">
        <f>INDEX(Table5[[#All],[Team]],MATCH(Table3[[#This Row],[PID]],Table5[[#All],[PID]],0))</f>
        <v/>
      </c>
      <c r="BL4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3" spans="1:64" ht="15" customHeight="1" x14ac:dyDescent="0.25">
      <c r="A473" s="42">
        <v>5855</v>
      </c>
      <c r="B473" s="42" t="s">
        <v>24</v>
      </c>
      <c r="C473" s="42" t="s">
        <v>200</v>
      </c>
      <c r="D473" s="42" t="s">
        <v>158</v>
      </c>
      <c r="E473" s="42">
        <v>18</v>
      </c>
      <c r="F473" s="42" t="s">
        <v>62</v>
      </c>
      <c r="G473" s="42" t="s">
        <v>42</v>
      </c>
      <c r="H473" s="43" t="s">
        <v>721</v>
      </c>
      <c r="I473" s="44" t="s">
        <v>43</v>
      </c>
      <c r="J473" s="42" t="s">
        <v>44</v>
      </c>
      <c r="K473" s="43" t="s">
        <v>43</v>
      </c>
      <c r="L473" s="42">
        <v>2</v>
      </c>
      <c r="M473" s="42">
        <v>2</v>
      </c>
      <c r="N473" s="43">
        <v>1</v>
      </c>
      <c r="O473" s="42">
        <v>4</v>
      </c>
      <c r="P473" s="42">
        <v>2</v>
      </c>
      <c r="Q473" s="43">
        <v>1</v>
      </c>
      <c r="R473" s="42">
        <v>4</v>
      </c>
      <c r="S473" s="42">
        <v>4</v>
      </c>
      <c r="T473" s="42">
        <v>1</v>
      </c>
      <c r="U473" s="42">
        <v>5</v>
      </c>
      <c r="V473" s="42" t="s">
        <v>45</v>
      </c>
      <c r="W473" s="42" t="s">
        <v>45</v>
      </c>
      <c r="X473" s="42" t="s">
        <v>45</v>
      </c>
      <c r="Y473" s="42" t="s">
        <v>45</v>
      </c>
      <c r="Z473" s="42" t="s">
        <v>45</v>
      </c>
      <c r="AA473" s="42" t="s">
        <v>45</v>
      </c>
      <c r="AB473" s="42" t="s">
        <v>45</v>
      </c>
      <c r="AC473" s="42" t="s">
        <v>45</v>
      </c>
      <c r="AD473" s="42">
        <v>3</v>
      </c>
      <c r="AE473" s="42">
        <v>5</v>
      </c>
      <c r="AF473" s="42">
        <v>3</v>
      </c>
      <c r="AG473" s="42">
        <v>5</v>
      </c>
      <c r="AH473" s="42" t="s">
        <v>45</v>
      </c>
      <c r="AI473" s="42" t="s">
        <v>45</v>
      </c>
      <c r="AJ473" s="42" t="s">
        <v>45</v>
      </c>
      <c r="AK473" s="42" t="s">
        <v>45</v>
      </c>
      <c r="AL473" s="42" t="s">
        <v>45</v>
      </c>
      <c r="AM473" s="42" t="s">
        <v>45</v>
      </c>
      <c r="AN473" s="42" t="s">
        <v>45</v>
      </c>
      <c r="AO473" s="43" t="s">
        <v>45</v>
      </c>
      <c r="AP473" s="42" t="s">
        <v>57</v>
      </c>
      <c r="AQ473" s="42">
        <v>5</v>
      </c>
      <c r="AR473" s="50" t="s">
        <v>353</v>
      </c>
      <c r="AS473" s="45" t="s">
        <v>718</v>
      </c>
      <c r="AT473" s="45" t="s">
        <v>47</v>
      </c>
      <c r="AU473" s="46">
        <f>($O$3*(L473-$O$1)/$O$2+$P$3*(M473-$P$1)/$P$2+$Q$3*(N473-$P$1)/$Q$2)/SUM($O$3:$Q$3)</f>
        <v>-2.311361197028369</v>
      </c>
      <c r="AV473" s="46">
        <f>($O$3*(O473-$O$1)/$O$2+$P$3*(P473-$P$1)/$P$2+$Q$3*(Q473-$Q$1)/$Q$2)/SUM($O$3:$Q$3)</f>
        <v>-1.4764837972729503</v>
      </c>
      <c r="AW473" s="47">
        <f>COUNT(R473:AO473)/2</f>
        <v>4</v>
      </c>
      <c r="AX473" s="47">
        <f>IF(AND(S473&lt;&gt;"-",S473&gt;5),1,0)+IF(AND(U473&lt;&gt;"-",U473&gt;5),1,0)+IF(AND(W473&lt;&gt;"-",W473&gt;5),1,0)+IF(AND(Y473&lt;&gt;"-",Y473&gt;5),1,0)+IF(AND(AA473&lt;&gt;"-",AA473&gt;5),1,0)+IF(AND(AC473&lt;&gt;"-",AC473&gt;5),1,0)+IF(AND(AE473&lt;&gt;"-",AE473&gt;5),1,0)+IF(AND(AG473&lt;&gt;"-",AG473&gt;5),1,0)+IF(AND(AI473&lt;&gt;"-",AI473&gt;5),1,0)+IF(AND(AK473&lt;&gt;"-",AK473&gt;5),1,0)+IF(AND(AM473&lt;&gt;"-",AM473&gt;5),1,0)+IF(AND(AO473&lt;&gt;"-",AO473&gt;5),1,0)</f>
        <v>0</v>
      </c>
      <c r="AY473" s="48">
        <f>VLOOKUP(AP473,COND!$A$10:$B$32,2,FALSE)</f>
        <v>1</v>
      </c>
      <c r="AZ473" s="46">
        <f>($AU$3*AU473+$AV$3*AV473+$AW$3*AW473+$AX$3*AX473)*AY473*IF(AQ473&lt;5,0.95,IF(AQ473&lt;7,0.975,1))+$I$3*VLOOKUP(I473,COND!$A$2:$E$7,4,FALSE)+$J$3*VLOOKUP(J473,COND!$A$2:$E$7,2,FALSE)+$K$3*VLOOKUP(K473,COND!$A$2:$E$7,3,FALSE)+IF(BB473="SP",$BB$3,0)+IF($AW473&lt;3,-5,0)+IF(AND($B$2&gt;0,$E473&lt;20),$B$2*25,0)</f>
        <v>24.407850519756938</v>
      </c>
      <c r="BA473" s="49">
        <f>STANDARDIZE(AZ473,AVERAGE($AZ$5:$AZ$570),STDEVP($AZ$5:$AZ$570))</f>
        <v>-0.76246604714961208</v>
      </c>
      <c r="BB473" s="47" t="str">
        <f>IF(OR(AND(AQ473&gt;7,AX473&gt;1),AND(AQ473&gt;4,AW473&gt;2)),"SP","RP")</f>
        <v>SP</v>
      </c>
      <c r="BC473" s="47"/>
      <c r="BD473" s="47"/>
      <c r="BE473" s="47"/>
      <c r="BF473" s="47" t="str">
        <f>IF(AVERAGE($O473:$Q473)&gt;=6,"Likely",IF(AVERAGE($O473:$Q473)&gt;=4,"Possible","Unlikely"))</f>
        <v>Unlikely</v>
      </c>
      <c r="BG473" s="47"/>
      <c r="BH473" s="47" t="str">
        <f>INDEX(Table5[[#All],[Ovr]],MATCH(Table3[[#This Row],[PID]],Table5[[#All],[PID]],0))</f>
        <v/>
      </c>
      <c r="BI473" s="47" t="str">
        <f>INDEX(Table5[[#All],[Rnd]],MATCH(Table3[[#This Row],[PID]],Table5[[#All],[PID]],0))</f>
        <v/>
      </c>
      <c r="BJ473" s="47" t="str">
        <f>INDEX(Table5[[#All],[Pick]],MATCH(Table3[[#This Row],[PID]],Table5[[#All],[PID]],0))</f>
        <v/>
      </c>
      <c r="BK473" s="47" t="str">
        <f>INDEX(Table5[[#All],[Team]],MATCH(Table3[[#This Row],[PID]],Table5[[#All],[PID]],0))</f>
        <v/>
      </c>
      <c r="BL4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4" spans="1:64" ht="15" customHeight="1" x14ac:dyDescent="0.25">
      <c r="A474" s="42">
        <v>4400</v>
      </c>
      <c r="B474" s="42" t="s">
        <v>24</v>
      </c>
      <c r="C474" s="42" t="s">
        <v>173</v>
      </c>
      <c r="D474" s="42" t="s">
        <v>935</v>
      </c>
      <c r="E474" s="42">
        <v>22</v>
      </c>
      <c r="F474" s="42" t="s">
        <v>42</v>
      </c>
      <c r="G474" s="42" t="s">
        <v>42</v>
      </c>
      <c r="H474" s="43" t="s">
        <v>721</v>
      </c>
      <c r="I474" s="44" t="s">
        <v>43</v>
      </c>
      <c r="J474" s="42" t="s">
        <v>43</v>
      </c>
      <c r="K474" s="43" t="s">
        <v>44</v>
      </c>
      <c r="L474" s="42">
        <v>2</v>
      </c>
      <c r="M474" s="42">
        <v>2</v>
      </c>
      <c r="N474" s="43">
        <v>2</v>
      </c>
      <c r="O474" s="42">
        <v>4</v>
      </c>
      <c r="P474" s="42">
        <v>2</v>
      </c>
      <c r="Q474" s="43">
        <v>2</v>
      </c>
      <c r="R474" s="42">
        <v>4</v>
      </c>
      <c r="S474" s="42">
        <v>5</v>
      </c>
      <c r="T474" s="42">
        <v>2</v>
      </c>
      <c r="U474" s="42">
        <v>4</v>
      </c>
      <c r="V474" s="42" t="s">
        <v>45</v>
      </c>
      <c r="W474" s="42" t="s">
        <v>45</v>
      </c>
      <c r="X474" s="42">
        <v>4</v>
      </c>
      <c r="Y474" s="42">
        <v>6</v>
      </c>
      <c r="Z474" s="42" t="s">
        <v>45</v>
      </c>
      <c r="AA474" s="42" t="s">
        <v>45</v>
      </c>
      <c r="AB474" s="42" t="s">
        <v>45</v>
      </c>
      <c r="AC474" s="42" t="s">
        <v>45</v>
      </c>
      <c r="AD474" s="42" t="s">
        <v>45</v>
      </c>
      <c r="AE474" s="42" t="s">
        <v>45</v>
      </c>
      <c r="AF474" s="42" t="s">
        <v>45</v>
      </c>
      <c r="AG474" s="42" t="s">
        <v>45</v>
      </c>
      <c r="AH474" s="42" t="s">
        <v>45</v>
      </c>
      <c r="AI474" s="42" t="s">
        <v>45</v>
      </c>
      <c r="AJ474" s="42" t="s">
        <v>45</v>
      </c>
      <c r="AK474" s="42" t="s">
        <v>45</v>
      </c>
      <c r="AL474" s="42" t="s">
        <v>45</v>
      </c>
      <c r="AM474" s="42" t="s">
        <v>45</v>
      </c>
      <c r="AN474" s="42" t="s">
        <v>45</v>
      </c>
      <c r="AO474" s="43" t="s">
        <v>45</v>
      </c>
      <c r="AP474" s="42" t="s">
        <v>57</v>
      </c>
      <c r="AQ474" s="42">
        <v>7</v>
      </c>
      <c r="AR474" s="50" t="s">
        <v>353</v>
      </c>
      <c r="AS474" s="45" t="s">
        <v>45</v>
      </c>
      <c r="AT474" s="45" t="s">
        <v>705</v>
      </c>
      <c r="AU474" s="46">
        <f>($O$3*(L474-$O$1)/$O$2+$P$3*(M474-$P$1)/$P$2+$Q$3*(N474-$P$1)/$Q$2)/SUM($O$3:$Q$3)</f>
        <v>-2.0690406309742588</v>
      </c>
      <c r="AV474" s="46">
        <f>($O$3*(O474-$O$1)/$O$2+$P$3*(P474-$P$1)/$P$2+$Q$3*(Q474-$Q$1)/$Q$2)/SUM($O$3:$Q$3)</f>
        <v>-1.23416323121884</v>
      </c>
      <c r="AW474" s="47">
        <f>COUNT(R474:AO474)/2</f>
        <v>3</v>
      </c>
      <c r="AX474" s="47">
        <f>IF(AND(S474&lt;&gt;"-",S474&gt;5),1,0)+IF(AND(U474&lt;&gt;"-",U474&gt;5),1,0)+IF(AND(W474&lt;&gt;"-",W474&gt;5),1,0)+IF(AND(Y474&lt;&gt;"-",Y474&gt;5),1,0)+IF(AND(AA474&lt;&gt;"-",AA474&gt;5),1,0)+IF(AND(AC474&lt;&gt;"-",AC474&gt;5),1,0)+IF(AND(AE474&lt;&gt;"-",AE474&gt;5),1,0)+IF(AND(AG474&lt;&gt;"-",AG474&gt;5),1,0)+IF(AND(AI474&lt;&gt;"-",AI474&gt;5),1,0)+IF(AND(AK474&lt;&gt;"-",AK474&gt;5),1,0)+IF(AND(AM474&lt;&gt;"-",AM474&gt;5),1,0)+IF(AND(AO474&lt;&gt;"-",AO474&gt;5),1,0)</f>
        <v>1</v>
      </c>
      <c r="AY474" s="48">
        <f>VLOOKUP(AP474,COND!$A$10:$B$32,2,FALSE)</f>
        <v>1</v>
      </c>
      <c r="AZ474" s="46">
        <f>($AU$3*AU474+$AV$3*AV474+$AW$3*AW474+$AX$3*AX474)*AY474*IF(AQ474&lt;5,0.95,IF(AQ474&lt;7,0.975,1))+$I$3*VLOOKUP(I474,COND!$A$2:$E$7,4,FALSE)+$J$3*VLOOKUP(J474,COND!$A$2:$E$7,2,FALSE)+$K$3*VLOOKUP(K474,COND!$A$2:$E$7,3,FALSE)+IF(BB474="SP",$BB$3,0)+IF($AW474&lt;3,-5,0)+IF(AND($B$2&gt;0,$E474&lt;20),$B$2*25,0)</f>
        <v>24.352927249428348</v>
      </c>
      <c r="BA474" s="49">
        <f>STANDARDIZE(AZ474,AVERAGE($AZ$5:$AZ$570),STDEVP($AZ$5:$AZ$570))</f>
        <v>-0.76750274578573496</v>
      </c>
      <c r="BB474" s="47" t="str">
        <f>IF(OR(AND(AQ474&gt;7,AX474&gt;1),AND(AQ474&gt;4,AW474&gt;2)),"SP","RP")</f>
        <v>SP</v>
      </c>
      <c r="BC474" s="47"/>
      <c r="BD474" s="47"/>
      <c r="BE474" s="47"/>
      <c r="BF474" s="47" t="str">
        <f>IF(AVERAGE($O474:$Q474)&gt;=6,"Likely",IF(AVERAGE($O474:$Q474)&gt;=4,"Possible","Unlikely"))</f>
        <v>Unlikely</v>
      </c>
      <c r="BG474" s="47"/>
      <c r="BH474" s="47" t="str">
        <f>INDEX(Table5[[#All],[Ovr]],MATCH(Table3[[#This Row],[PID]],Table5[[#All],[PID]],0))</f>
        <v/>
      </c>
      <c r="BI474" s="47" t="str">
        <f>INDEX(Table5[[#All],[Rnd]],MATCH(Table3[[#This Row],[PID]],Table5[[#All],[PID]],0))</f>
        <v/>
      </c>
      <c r="BJ474" s="47" t="str">
        <f>INDEX(Table5[[#All],[Pick]],MATCH(Table3[[#This Row],[PID]],Table5[[#All],[PID]],0))</f>
        <v/>
      </c>
      <c r="BK474" s="47" t="str">
        <f>INDEX(Table5[[#All],[Team]],MATCH(Table3[[#This Row],[PID]],Table5[[#All],[PID]],0))</f>
        <v/>
      </c>
      <c r="BL4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5" spans="1:64" ht="15" customHeight="1" x14ac:dyDescent="0.25">
      <c r="A475" s="42">
        <v>17888</v>
      </c>
      <c r="B475" s="42" t="s">
        <v>430</v>
      </c>
      <c r="C475" s="42" t="s">
        <v>1780</v>
      </c>
      <c r="D475" s="42" t="s">
        <v>665</v>
      </c>
      <c r="E475" s="42">
        <v>18</v>
      </c>
      <c r="F475" s="42" t="s">
        <v>42</v>
      </c>
      <c r="G475" s="42" t="s">
        <v>42</v>
      </c>
      <c r="H475" s="43" t="s">
        <v>721</v>
      </c>
      <c r="I475" s="44" t="s">
        <v>43</v>
      </c>
      <c r="J475" s="42" t="s">
        <v>43</v>
      </c>
      <c r="K475" s="43" t="s">
        <v>43</v>
      </c>
      <c r="L475" s="42">
        <v>1</v>
      </c>
      <c r="M475" s="42">
        <v>2</v>
      </c>
      <c r="N475" s="43">
        <v>1</v>
      </c>
      <c r="O475" s="42">
        <v>3</v>
      </c>
      <c r="P475" s="42">
        <v>2</v>
      </c>
      <c r="Q475" s="43">
        <v>2</v>
      </c>
      <c r="R475" s="42">
        <v>3</v>
      </c>
      <c r="S475" s="42">
        <v>5</v>
      </c>
      <c r="T475" s="42" t="s">
        <v>45</v>
      </c>
      <c r="U475" s="42" t="s">
        <v>45</v>
      </c>
      <c r="V475" s="42">
        <v>2</v>
      </c>
      <c r="W475" s="42">
        <v>4</v>
      </c>
      <c r="X475" s="42" t="s">
        <v>45</v>
      </c>
      <c r="Y475" s="42" t="s">
        <v>45</v>
      </c>
      <c r="Z475" s="42" t="s">
        <v>45</v>
      </c>
      <c r="AA475" s="42" t="s">
        <v>45</v>
      </c>
      <c r="AB475" s="42" t="s">
        <v>45</v>
      </c>
      <c r="AC475" s="42" t="s">
        <v>45</v>
      </c>
      <c r="AD475" s="42" t="s">
        <v>45</v>
      </c>
      <c r="AE475" s="42" t="s">
        <v>45</v>
      </c>
      <c r="AF475" s="42" t="s">
        <v>45</v>
      </c>
      <c r="AG475" s="42" t="s">
        <v>45</v>
      </c>
      <c r="AH475" s="42">
        <v>1</v>
      </c>
      <c r="AI475" s="42">
        <v>4</v>
      </c>
      <c r="AJ475" s="42" t="s">
        <v>45</v>
      </c>
      <c r="AK475" s="42" t="s">
        <v>45</v>
      </c>
      <c r="AL475" s="42" t="s">
        <v>45</v>
      </c>
      <c r="AM475" s="42" t="s">
        <v>45</v>
      </c>
      <c r="AN475" s="42" t="s">
        <v>45</v>
      </c>
      <c r="AO475" s="43" t="s">
        <v>45</v>
      </c>
      <c r="AP475" s="42" t="s">
        <v>64</v>
      </c>
      <c r="AQ475" s="42">
        <v>8</v>
      </c>
      <c r="AR475" s="50" t="s">
        <v>353</v>
      </c>
      <c r="AS475" s="45" t="s">
        <v>745</v>
      </c>
      <c r="AT475" s="45" t="s">
        <v>47</v>
      </c>
      <c r="AU475" s="46">
        <f>($O$3*(L475-$O$1)/$O$2+$P$3*(M475-$P$1)/$P$2+$Q$3*(N475-$P$1)/$Q$2)/SUM($O$3:$Q$3)</f>
        <v>-2.5060525215375429</v>
      </c>
      <c r="AV475" s="46">
        <f>($O$3*(O475-$O$1)/$O$2+$P$3*(P475-$P$1)/$P$2+$Q$3*(Q475-$Q$1)/$Q$2)/SUM($O$3:$Q$3)</f>
        <v>-1.4288545557280135</v>
      </c>
      <c r="AW475" s="47">
        <f>COUNT(R475:AO475)/2</f>
        <v>3</v>
      </c>
      <c r="AX475" s="47">
        <f>IF(AND(S475&lt;&gt;"-",S475&gt;5),1,0)+IF(AND(U475&lt;&gt;"-",U475&gt;5),1,0)+IF(AND(W475&lt;&gt;"-",W475&gt;5),1,0)+IF(AND(Y475&lt;&gt;"-",Y475&gt;5),1,0)+IF(AND(AA475&lt;&gt;"-",AA475&gt;5),1,0)+IF(AND(AC475&lt;&gt;"-",AC475&gt;5),1,0)+IF(AND(AE475&lt;&gt;"-",AE475&gt;5),1,0)+IF(AND(AG475&lt;&gt;"-",AG475&gt;5),1,0)+IF(AND(AI475&lt;&gt;"-",AI475&gt;5),1,0)+IF(AND(AK475&lt;&gt;"-",AK475&gt;5),1,0)+IF(AND(AM475&lt;&gt;"-",AM475&gt;5),1,0)+IF(AND(AO475&lt;&gt;"-",AO475&gt;5),1,0)</f>
        <v>0</v>
      </c>
      <c r="AY475" s="48">
        <f>VLOOKUP(AP475,COND!$A$10:$B$32,2,FALSE)</f>
        <v>1</v>
      </c>
      <c r="AZ475" s="46">
        <f>($AU$3*AU475+$AV$3*AV475+$AW$3*AW475+$AX$3*AX475)*AY475*IF(AQ475&lt;5,0.95,IF(AQ475&lt;7,0.975,1))+$I$3*VLOOKUP(I475,COND!$A$2:$E$7,4,FALSE)+$J$3*VLOOKUP(J475,COND!$A$2:$E$7,2,FALSE)+$K$3*VLOOKUP(K475,COND!$A$2:$E$7,3,FALSE)+IF(BB475="SP",$BB$3,0)+IF($AW475&lt;3,-5,0)+IF(AND($B$2&gt;0,$E475&lt;20),$B$2*25,0)</f>
        <v>24.421698381132224</v>
      </c>
      <c r="BA475" s="49">
        <f>STANDARDIZE(AZ475,AVERAGE($AZ$5:$AZ$676),STDEVP($AZ$5:$AZ$676))</f>
        <v>-0.52353714697451381</v>
      </c>
      <c r="BB475" s="47" t="str">
        <f>IF(OR(AND(AQ475&gt;7,AX475&gt;1),AND(AQ475&gt;4,AW475&gt;2)),"SP","RP")</f>
        <v>SP</v>
      </c>
      <c r="BC475" s="47"/>
      <c r="BD475" s="47"/>
      <c r="BE475" s="47"/>
      <c r="BF475" s="47" t="str">
        <f>IF(AVERAGE($O475:$Q475)&gt;=6,"Likely",IF(AVERAGE($O475:$Q475)&gt;=4,"Possible","Unlikely"))</f>
        <v>Unlikely</v>
      </c>
      <c r="BG475" s="47"/>
      <c r="BH475" s="47" t="str">
        <f>INDEX(Table5[[#All],[Ovr]],MATCH(Table3[[#This Row],[PID]],Table5[[#All],[PID]],0))</f>
        <v/>
      </c>
      <c r="BI475" s="47" t="str">
        <f>INDEX(Table5[[#All],[Rnd]],MATCH(Table3[[#This Row],[PID]],Table5[[#All],[PID]],0))</f>
        <v/>
      </c>
      <c r="BJ475" s="47" t="str">
        <f>INDEX(Table5[[#All],[Pick]],MATCH(Table3[[#This Row],[PID]],Table5[[#All],[PID]],0))</f>
        <v/>
      </c>
      <c r="BK475" s="47" t="str">
        <f>INDEX(Table5[[#All],[Team]],MATCH(Table3[[#This Row],[PID]],Table5[[#All],[PID]],0))</f>
        <v/>
      </c>
      <c r="BL4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6" spans="1:64" ht="15" customHeight="1" x14ac:dyDescent="0.25">
      <c r="A476" s="42">
        <v>12669</v>
      </c>
      <c r="B476" s="42" t="s">
        <v>430</v>
      </c>
      <c r="C476" s="42" t="s">
        <v>592</v>
      </c>
      <c r="D476" s="42" t="s">
        <v>728</v>
      </c>
      <c r="E476" s="42">
        <v>20</v>
      </c>
      <c r="F476" s="42" t="s">
        <v>42</v>
      </c>
      <c r="G476" s="42" t="s">
        <v>42</v>
      </c>
      <c r="H476" s="43" t="s">
        <v>721</v>
      </c>
      <c r="I476" s="44" t="s">
        <v>43</v>
      </c>
      <c r="J476" s="42" t="s">
        <v>43</v>
      </c>
      <c r="K476" s="43" t="s">
        <v>44</v>
      </c>
      <c r="L476" s="42">
        <v>2</v>
      </c>
      <c r="M476" s="42">
        <v>2</v>
      </c>
      <c r="N476" s="43">
        <v>2</v>
      </c>
      <c r="O476" s="42">
        <v>3</v>
      </c>
      <c r="P476" s="42">
        <v>2</v>
      </c>
      <c r="Q476" s="43">
        <v>3</v>
      </c>
      <c r="R476" s="42">
        <v>3</v>
      </c>
      <c r="S476" s="42">
        <v>4</v>
      </c>
      <c r="T476" s="42">
        <v>1</v>
      </c>
      <c r="U476" s="42">
        <v>4</v>
      </c>
      <c r="V476" s="42" t="s">
        <v>45</v>
      </c>
      <c r="W476" s="42" t="s">
        <v>45</v>
      </c>
      <c r="X476" s="42">
        <v>3</v>
      </c>
      <c r="Y476" s="42">
        <v>4</v>
      </c>
      <c r="Z476" s="42" t="s">
        <v>45</v>
      </c>
      <c r="AA476" s="42" t="s">
        <v>45</v>
      </c>
      <c r="AB476" s="42" t="s">
        <v>45</v>
      </c>
      <c r="AC476" s="42" t="s">
        <v>45</v>
      </c>
      <c r="AD476" s="42" t="s">
        <v>45</v>
      </c>
      <c r="AE476" s="42" t="s">
        <v>45</v>
      </c>
      <c r="AF476" s="42">
        <v>3</v>
      </c>
      <c r="AG476" s="42">
        <v>4</v>
      </c>
      <c r="AH476" s="42" t="s">
        <v>45</v>
      </c>
      <c r="AI476" s="42" t="s">
        <v>45</v>
      </c>
      <c r="AJ476" s="42" t="s">
        <v>45</v>
      </c>
      <c r="AK476" s="42" t="s">
        <v>45</v>
      </c>
      <c r="AL476" s="42" t="s">
        <v>45</v>
      </c>
      <c r="AM476" s="42" t="s">
        <v>45</v>
      </c>
      <c r="AN476" s="42" t="s">
        <v>45</v>
      </c>
      <c r="AO476" s="43" t="s">
        <v>45</v>
      </c>
      <c r="AP476" s="42" t="s">
        <v>355</v>
      </c>
      <c r="AQ476" s="42">
        <v>6</v>
      </c>
      <c r="AR476" s="50" t="s">
        <v>353</v>
      </c>
      <c r="AS476" s="45" t="s">
        <v>45</v>
      </c>
      <c r="AT476" s="45" t="s">
        <v>47</v>
      </c>
      <c r="AU476" s="46">
        <f>($O$3*(L476-$O$1)/$O$2+$P$3*(M476-$P$1)/$P$2+$Q$3*(N476-$P$1)/$Q$2)/SUM($O$3:$Q$3)</f>
        <v>-2.0690406309742588</v>
      </c>
      <c r="AV476" s="46">
        <f>($O$3*(O476-$O$1)/$O$2+$P$3*(P476-$P$1)/$P$2+$Q$3*(Q476-$Q$1)/$Q$2)/SUM($O$3:$Q$3)</f>
        <v>-1.1865339896739031</v>
      </c>
      <c r="AW476" s="47">
        <f>COUNT(R476:AO476)/2</f>
        <v>4</v>
      </c>
      <c r="AX476" s="47">
        <f>IF(AND(S476&lt;&gt;"-",S476&gt;5),1,0)+IF(AND(U476&lt;&gt;"-",U476&gt;5),1,0)+IF(AND(W476&lt;&gt;"-",W476&gt;5),1,0)+IF(AND(Y476&lt;&gt;"-",Y476&gt;5),1,0)+IF(AND(AA476&lt;&gt;"-",AA476&gt;5),1,0)+IF(AND(AC476&lt;&gt;"-",AC476&gt;5),1,0)+IF(AND(AE476&lt;&gt;"-",AE476&gt;5),1,0)+IF(AND(AG476&lt;&gt;"-",AG476&gt;5),1,0)+IF(AND(AI476&lt;&gt;"-",AI476&gt;5),1,0)+IF(AND(AK476&lt;&gt;"-",AK476&gt;5),1,0)+IF(AND(AM476&lt;&gt;"-",AM476&gt;5),1,0)+IF(AND(AO476&lt;&gt;"-",AO476&gt;5),1,0)</f>
        <v>0</v>
      </c>
      <c r="AY476" s="48">
        <f>VLOOKUP(AP476,COND!$A$10:$B$32,2,FALSE)</f>
        <v>1</v>
      </c>
      <c r="AZ476" s="46">
        <f>($AU$3*AU476+$AV$3*AV476+$AW$3*AW476+$AX$3*AX476)*AY476*IF(AQ476&lt;5,0.95,IF(AQ476&lt;7,0.975,1))+$I$3*VLOOKUP(I476,COND!$A$2:$E$7,4,FALSE)+$J$3*VLOOKUP(J476,COND!$A$2:$E$7,2,FALSE)+$K$3*VLOOKUP(K476,COND!$A$2:$E$7,3,FALSE)+IF(BB476="SP",$BB$3,0)+IF($AW476&lt;3,-5,0)+IF(AND($B$2&gt;0,$E476&lt;20),$B$2*25,0)</f>
        <v>25.109124278318912</v>
      </c>
      <c r="BA476" s="49">
        <f>STANDARDIZE(AZ476,AVERAGE($AZ$5:$AZ$676),STDEVP($AZ$5:$AZ$676))</f>
        <v>-0.46328935288488754</v>
      </c>
      <c r="BB476" s="47" t="str">
        <f>IF(OR(AND(AQ476&gt;7,AX476&gt;1),AND(AQ476&gt;4,AW476&gt;2)),"SP","RP")</f>
        <v>SP</v>
      </c>
      <c r="BC476" s="47"/>
      <c r="BD476" s="47"/>
      <c r="BE476" s="47"/>
      <c r="BF476" s="47" t="str">
        <f>IF(AVERAGE($O476:$Q476)&gt;=6,"Likely",IF(AVERAGE($O476:$Q476)&gt;=4,"Possible","Unlikely"))</f>
        <v>Unlikely</v>
      </c>
      <c r="BG476" s="47"/>
      <c r="BH476" s="47" t="str">
        <f>INDEX(Table5[[#All],[Ovr]],MATCH(Table3[[#This Row],[PID]],Table5[[#All],[PID]],0))</f>
        <v/>
      </c>
      <c r="BI476" s="47" t="str">
        <f>INDEX(Table5[[#All],[Rnd]],MATCH(Table3[[#This Row],[PID]],Table5[[#All],[PID]],0))</f>
        <v/>
      </c>
      <c r="BJ476" s="47" t="str">
        <f>INDEX(Table5[[#All],[Pick]],MATCH(Table3[[#This Row],[PID]],Table5[[#All],[PID]],0))</f>
        <v/>
      </c>
      <c r="BK476" s="47" t="str">
        <f>INDEX(Table5[[#All],[Team]],MATCH(Table3[[#This Row],[PID]],Table5[[#All],[PID]],0))</f>
        <v/>
      </c>
      <c r="BL4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7" spans="1:64" ht="15" customHeight="1" x14ac:dyDescent="0.25">
      <c r="A477" s="42">
        <v>10617</v>
      </c>
      <c r="B477" s="42" t="s">
        <v>430</v>
      </c>
      <c r="C477" s="42" t="s">
        <v>123</v>
      </c>
      <c r="D477" s="42" t="s">
        <v>930</v>
      </c>
      <c r="E477" s="42">
        <v>22</v>
      </c>
      <c r="F477" s="42" t="s">
        <v>42</v>
      </c>
      <c r="G477" s="42" t="s">
        <v>53</v>
      </c>
      <c r="H477" s="43" t="s">
        <v>721</v>
      </c>
      <c r="I477" s="44" t="s">
        <v>43</v>
      </c>
      <c r="J477" s="42" t="s">
        <v>44</v>
      </c>
      <c r="K477" s="43" t="s">
        <v>43</v>
      </c>
      <c r="L477" s="42">
        <v>2</v>
      </c>
      <c r="M477" s="42">
        <v>2</v>
      </c>
      <c r="N477" s="43">
        <v>1</v>
      </c>
      <c r="O477" s="42">
        <v>4</v>
      </c>
      <c r="P477" s="42">
        <v>2</v>
      </c>
      <c r="Q477" s="43">
        <v>2</v>
      </c>
      <c r="R477" s="42">
        <v>4</v>
      </c>
      <c r="S477" s="42">
        <v>6</v>
      </c>
      <c r="T477" s="42">
        <v>1</v>
      </c>
      <c r="U477" s="42">
        <v>5</v>
      </c>
      <c r="V477" s="42" t="s">
        <v>45</v>
      </c>
      <c r="W477" s="42" t="s">
        <v>45</v>
      </c>
      <c r="X477" s="42">
        <v>3</v>
      </c>
      <c r="Y477" s="42">
        <v>3</v>
      </c>
      <c r="Z477" s="42" t="s">
        <v>45</v>
      </c>
      <c r="AA477" s="42" t="s">
        <v>45</v>
      </c>
      <c r="AB477" s="42" t="s">
        <v>45</v>
      </c>
      <c r="AC477" s="42" t="s">
        <v>45</v>
      </c>
      <c r="AD477" s="42" t="s">
        <v>45</v>
      </c>
      <c r="AE477" s="42" t="s">
        <v>45</v>
      </c>
      <c r="AF477" s="42" t="s">
        <v>45</v>
      </c>
      <c r="AG477" s="42" t="s">
        <v>45</v>
      </c>
      <c r="AH477" s="42" t="s">
        <v>45</v>
      </c>
      <c r="AI477" s="42" t="s">
        <v>45</v>
      </c>
      <c r="AJ477" s="42" t="s">
        <v>45</v>
      </c>
      <c r="AK477" s="42" t="s">
        <v>45</v>
      </c>
      <c r="AL477" s="42" t="s">
        <v>45</v>
      </c>
      <c r="AM477" s="42" t="s">
        <v>45</v>
      </c>
      <c r="AN477" s="42" t="s">
        <v>45</v>
      </c>
      <c r="AO477" s="43" t="s">
        <v>45</v>
      </c>
      <c r="AP477" s="42" t="s">
        <v>58</v>
      </c>
      <c r="AQ477" s="42">
        <v>7</v>
      </c>
      <c r="AR477" s="50" t="s">
        <v>353</v>
      </c>
      <c r="AS477" s="45" t="s">
        <v>45</v>
      </c>
      <c r="AT477" s="45" t="s">
        <v>47</v>
      </c>
      <c r="AU477" s="46">
        <f>($O$3*(L477-$O$1)/$O$2+$P$3*(M477-$P$1)/$P$2+$Q$3*(N477-$P$1)/$Q$2)/SUM($O$3:$Q$3)</f>
        <v>-2.311361197028369</v>
      </c>
      <c r="AV477" s="46">
        <f>($O$3*(O477-$O$1)/$O$2+$P$3*(P477-$P$1)/$P$2+$Q$3*(Q477-$Q$1)/$Q$2)/SUM($O$3:$Q$3)</f>
        <v>-1.23416323121884</v>
      </c>
      <c r="AW477" s="47">
        <f>COUNT(R477:AO477)/2</f>
        <v>3</v>
      </c>
      <c r="AX477" s="47">
        <f>IF(AND(S477&lt;&gt;"-",S477&gt;5),1,0)+IF(AND(U477&lt;&gt;"-",U477&gt;5),1,0)+IF(AND(W477&lt;&gt;"-",W477&gt;5),1,0)+IF(AND(Y477&lt;&gt;"-",Y477&gt;5),1,0)+IF(AND(AA477&lt;&gt;"-",AA477&gt;5),1,0)+IF(AND(AC477&lt;&gt;"-",AC477&gt;5),1,0)+IF(AND(AE477&lt;&gt;"-",AE477&gt;5),1,0)+IF(AND(AG477&lt;&gt;"-",AG477&gt;5),1,0)+IF(AND(AI477&lt;&gt;"-",AI477&gt;5),1,0)+IF(AND(AK477&lt;&gt;"-",AK477&gt;5),1,0)+IF(AND(AM477&lt;&gt;"-",AM477&gt;5),1,0)+IF(AND(AO477&lt;&gt;"-",AO477&gt;5),1,0)</f>
        <v>1</v>
      </c>
      <c r="AY477" s="48">
        <f>VLOOKUP(AP477,COND!$A$10:$B$32,2,FALSE)</f>
        <v>1</v>
      </c>
      <c r="AZ477" s="46">
        <f>($AU$3*AU477+$AV$3*AV477+$AW$3*AW477+$AX$3*AX477)*AY477*IF(AQ477&lt;5,0.95,IF(AQ477&lt;7,0.975,1))+$I$3*VLOOKUP(I477,COND!$A$2:$E$7,4,FALSE)+$J$3*VLOOKUP(J477,COND!$A$2:$E$7,2,FALSE)+$K$3*VLOOKUP(K477,COND!$A$2:$E$7,3,FALSE)+IF(BB477="SP",$BB$3,0)+IF($AW477&lt;3,-5,0)+IF(AND($B$2&gt;0,$E477&lt;20),$B$2*25,0)</f>
        <v>24.304463136217525</v>
      </c>
      <c r="BA477" s="49">
        <f>STANDARDIZE(AZ477,AVERAGE($AZ$5:$AZ$570),STDEVP($AZ$5:$AZ$570))</f>
        <v>-0.77194711210714073</v>
      </c>
      <c r="BB477" s="47" t="str">
        <f>IF(OR(AND(AQ477&gt;7,AX477&gt;1),AND(AQ477&gt;4,AW477&gt;2)),"SP","RP")</f>
        <v>SP</v>
      </c>
      <c r="BC477" s="47"/>
      <c r="BD477" s="47"/>
      <c r="BE477" s="47"/>
      <c r="BF477" s="47" t="str">
        <f>IF(AVERAGE($O477:$Q477)&gt;=6,"Likely",IF(AVERAGE($O477:$Q477)&gt;=4,"Possible","Unlikely"))</f>
        <v>Unlikely</v>
      </c>
      <c r="BG477" s="47"/>
      <c r="BH477" s="47" t="str">
        <f>INDEX(Table5[[#All],[Ovr]],MATCH(Table3[[#This Row],[PID]],Table5[[#All],[PID]],0))</f>
        <v/>
      </c>
      <c r="BI477" s="47" t="str">
        <f>INDEX(Table5[[#All],[Rnd]],MATCH(Table3[[#This Row],[PID]],Table5[[#All],[PID]],0))</f>
        <v/>
      </c>
      <c r="BJ477" s="47" t="str">
        <f>INDEX(Table5[[#All],[Pick]],MATCH(Table3[[#This Row],[PID]],Table5[[#All],[PID]],0))</f>
        <v/>
      </c>
      <c r="BK477" s="47" t="str">
        <f>INDEX(Table5[[#All],[Team]],MATCH(Table3[[#This Row],[PID]],Table5[[#All],[PID]],0))</f>
        <v/>
      </c>
      <c r="BL4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8" spans="1:64" ht="15" customHeight="1" x14ac:dyDescent="0.25">
      <c r="A478" s="42">
        <v>8759</v>
      </c>
      <c r="B478" s="42" t="s">
        <v>430</v>
      </c>
      <c r="C478" s="42" t="s">
        <v>567</v>
      </c>
      <c r="D478" s="42" t="s">
        <v>908</v>
      </c>
      <c r="E478" s="42">
        <v>18</v>
      </c>
      <c r="F478" s="42" t="s">
        <v>53</v>
      </c>
      <c r="G478" s="42" t="s">
        <v>53</v>
      </c>
      <c r="H478" s="43" t="s">
        <v>721</v>
      </c>
      <c r="I478" s="44" t="s">
        <v>43</v>
      </c>
      <c r="J478" s="42" t="s">
        <v>44</v>
      </c>
      <c r="K478" s="43" t="s">
        <v>47</v>
      </c>
      <c r="L478" s="42">
        <v>1</v>
      </c>
      <c r="M478" s="42">
        <v>2</v>
      </c>
      <c r="N478" s="43">
        <v>1</v>
      </c>
      <c r="O478" s="42">
        <v>2</v>
      </c>
      <c r="P478" s="42">
        <v>2</v>
      </c>
      <c r="Q478" s="43">
        <v>2</v>
      </c>
      <c r="R478" s="42">
        <v>2</v>
      </c>
      <c r="S478" s="42">
        <v>3</v>
      </c>
      <c r="T478" s="42" t="s">
        <v>45</v>
      </c>
      <c r="U478" s="42" t="s">
        <v>45</v>
      </c>
      <c r="V478" s="42" t="s">
        <v>45</v>
      </c>
      <c r="W478" s="42" t="s">
        <v>45</v>
      </c>
      <c r="X478" s="42">
        <v>1</v>
      </c>
      <c r="Y478" s="42">
        <v>4</v>
      </c>
      <c r="Z478" s="42">
        <v>2</v>
      </c>
      <c r="AA478" s="42">
        <v>4</v>
      </c>
      <c r="AB478" s="42" t="s">
        <v>45</v>
      </c>
      <c r="AC478" s="42" t="s">
        <v>45</v>
      </c>
      <c r="AD478" s="42" t="s">
        <v>45</v>
      </c>
      <c r="AE478" s="42" t="s">
        <v>45</v>
      </c>
      <c r="AF478" s="42" t="s">
        <v>45</v>
      </c>
      <c r="AG478" s="42" t="s">
        <v>45</v>
      </c>
      <c r="AH478" s="42" t="s">
        <v>45</v>
      </c>
      <c r="AI478" s="42" t="s">
        <v>45</v>
      </c>
      <c r="AJ478" s="42" t="s">
        <v>45</v>
      </c>
      <c r="AK478" s="42" t="s">
        <v>45</v>
      </c>
      <c r="AL478" s="42" t="s">
        <v>45</v>
      </c>
      <c r="AM478" s="42" t="s">
        <v>45</v>
      </c>
      <c r="AN478" s="42" t="s">
        <v>45</v>
      </c>
      <c r="AO478" s="43" t="s">
        <v>45</v>
      </c>
      <c r="AP478" s="42" t="s">
        <v>67</v>
      </c>
      <c r="AQ478" s="42">
        <v>6</v>
      </c>
      <c r="AR478" s="50" t="s">
        <v>352</v>
      </c>
      <c r="AS478" s="45" t="s">
        <v>718</v>
      </c>
      <c r="AT478" s="45" t="s">
        <v>705</v>
      </c>
      <c r="AU478" s="46">
        <f>($O$3*(L478-$O$1)/$O$2+$P$3*(M478-$P$1)/$P$2+$Q$3*(N478-$P$1)/$Q$2)/SUM($O$3:$Q$3)</f>
        <v>-2.5060525215375429</v>
      </c>
      <c r="AV478" s="46">
        <f>($O$3*(O478-$O$1)/$O$2+$P$3*(P478-$P$1)/$P$2+$Q$3*(Q478-$Q$1)/$Q$2)/SUM($O$3:$Q$3)</f>
        <v>-1.6235458802371869</v>
      </c>
      <c r="AW478" s="47">
        <f>COUNT(R478:AO478)/2</f>
        <v>3</v>
      </c>
      <c r="AX478" s="47">
        <f>IF(AND(S478&lt;&gt;"-",S478&gt;5),1,0)+IF(AND(U478&lt;&gt;"-",U478&gt;5),1,0)+IF(AND(W478&lt;&gt;"-",W478&gt;5),1,0)+IF(AND(Y478&lt;&gt;"-",Y478&gt;5),1,0)+IF(AND(AA478&lt;&gt;"-",AA478&gt;5),1,0)+IF(AND(AC478&lt;&gt;"-",AC478&gt;5),1,0)+IF(AND(AE478&lt;&gt;"-",AE478&gt;5),1,0)+IF(AND(AG478&lt;&gt;"-",AG478&gt;5),1,0)+IF(AND(AI478&lt;&gt;"-",AI478&gt;5),1,0)+IF(AND(AK478&lt;&gt;"-",AK478&gt;5),1,0)+IF(AND(AM478&lt;&gt;"-",AM478&gt;5),1,0)+IF(AND(AO478&lt;&gt;"-",AO478&gt;5),1,0)</f>
        <v>0</v>
      </c>
      <c r="AY478" s="48">
        <f>VLOOKUP(AP478,COND!$A$10:$B$32,2,FALSE)</f>
        <v>0.9</v>
      </c>
      <c r="AZ478" s="46">
        <f>($AU$3*AU478+$AV$3*AV478+$AW$3*AW478+$AX$3*AX478)*AY478*IF(AQ478&lt;5,0.95,IF(AQ478&lt;7,0.975,1))+$I$3*VLOOKUP(I478,COND!$A$2:$E$7,4,FALSE)+$J$3*VLOOKUP(J478,COND!$A$2:$E$7,2,FALSE)+$K$3*VLOOKUP(K478,COND!$A$2:$E$7,3,FALSE)+IF(BB478="SP",$BB$3,0)+IF($AW478&lt;3,-5,0)+IF(AND($B$2&gt;0,$E478&lt;20),$B$2*25,0)</f>
        <v>24.383207584307531</v>
      </c>
      <c r="BA478" s="49">
        <f>STANDARDIZE(AZ478,AVERAGE($AZ$5:$AZ$676),STDEVP($AZ$5:$AZ$676))</f>
        <v>-0.52691058054885287</v>
      </c>
      <c r="BB478" s="47" t="str">
        <f>IF(OR(AND(AQ478&gt;7,AX478&gt;1),AND(AQ478&gt;4,AW478&gt;2)),"SP","RP")</f>
        <v>SP</v>
      </c>
      <c r="BC478" s="47"/>
      <c r="BD478" s="47"/>
      <c r="BE478" s="47"/>
      <c r="BF478" s="47" t="str">
        <f>IF(AVERAGE($O478:$Q478)&gt;=6,"Likely",IF(AVERAGE($O478:$Q478)&gt;=4,"Possible","Unlikely"))</f>
        <v>Unlikely</v>
      </c>
      <c r="BG478" s="47"/>
      <c r="BH478" s="47" t="str">
        <f>INDEX(Table5[[#All],[Ovr]],MATCH(Table3[[#This Row],[PID]],Table5[[#All],[PID]],0))</f>
        <v/>
      </c>
      <c r="BI478" s="47" t="str">
        <f>INDEX(Table5[[#All],[Rnd]],MATCH(Table3[[#This Row],[PID]],Table5[[#All],[PID]],0))</f>
        <v/>
      </c>
      <c r="BJ478" s="47" t="str">
        <f>INDEX(Table5[[#All],[Pick]],MATCH(Table3[[#This Row],[PID]],Table5[[#All],[PID]],0))</f>
        <v/>
      </c>
      <c r="BK478" s="47" t="str">
        <f>INDEX(Table5[[#All],[Team]],MATCH(Table3[[#This Row],[PID]],Table5[[#All],[PID]],0))</f>
        <v/>
      </c>
      <c r="BL4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9" spans="1:64" ht="15" customHeight="1" x14ac:dyDescent="0.25">
      <c r="A479" s="42">
        <v>7145</v>
      </c>
      <c r="B479" s="42" t="s">
        <v>24</v>
      </c>
      <c r="C479" s="42" t="s">
        <v>351</v>
      </c>
      <c r="D479" s="42" t="s">
        <v>964</v>
      </c>
      <c r="E479" s="42">
        <v>22</v>
      </c>
      <c r="F479" s="42" t="s">
        <v>42</v>
      </c>
      <c r="G479" s="42" t="s">
        <v>42</v>
      </c>
      <c r="H479" s="43" t="s">
        <v>721</v>
      </c>
      <c r="I479" s="44" t="s">
        <v>43</v>
      </c>
      <c r="J479" s="42" t="s">
        <v>44</v>
      </c>
      <c r="K479" s="43" t="s">
        <v>43</v>
      </c>
      <c r="L479" s="42">
        <v>3</v>
      </c>
      <c r="M479" s="42">
        <v>2</v>
      </c>
      <c r="N479" s="43">
        <v>1</v>
      </c>
      <c r="O479" s="42">
        <v>4</v>
      </c>
      <c r="P479" s="42">
        <v>2</v>
      </c>
      <c r="Q479" s="43">
        <v>2</v>
      </c>
      <c r="R479" s="42">
        <v>5</v>
      </c>
      <c r="S479" s="42">
        <v>6</v>
      </c>
      <c r="T479" s="42">
        <v>3</v>
      </c>
      <c r="U479" s="42">
        <v>5</v>
      </c>
      <c r="V479" s="42" t="s">
        <v>45</v>
      </c>
      <c r="W479" s="42" t="s">
        <v>45</v>
      </c>
      <c r="X479" s="42" t="s">
        <v>45</v>
      </c>
      <c r="Y479" s="42" t="s">
        <v>45</v>
      </c>
      <c r="Z479" s="42" t="s">
        <v>45</v>
      </c>
      <c r="AA479" s="42" t="s">
        <v>45</v>
      </c>
      <c r="AB479" s="42" t="s">
        <v>45</v>
      </c>
      <c r="AC479" s="42" t="s">
        <v>45</v>
      </c>
      <c r="AD479" s="42">
        <v>4</v>
      </c>
      <c r="AE479" s="42">
        <v>5</v>
      </c>
      <c r="AF479" s="42">
        <v>4</v>
      </c>
      <c r="AG479" s="42">
        <v>5</v>
      </c>
      <c r="AH479" s="42" t="s">
        <v>45</v>
      </c>
      <c r="AI479" s="42" t="s">
        <v>45</v>
      </c>
      <c r="AJ479" s="42" t="s">
        <v>45</v>
      </c>
      <c r="AK479" s="42" t="s">
        <v>45</v>
      </c>
      <c r="AL479" s="42" t="s">
        <v>45</v>
      </c>
      <c r="AM479" s="42" t="s">
        <v>45</v>
      </c>
      <c r="AN479" s="42" t="s">
        <v>45</v>
      </c>
      <c r="AO479" s="43" t="s">
        <v>45</v>
      </c>
      <c r="AP479" s="42" t="s">
        <v>60</v>
      </c>
      <c r="AQ479" s="42">
        <v>7</v>
      </c>
      <c r="AR479" s="50" t="s">
        <v>353</v>
      </c>
      <c r="AS479" s="45" t="s">
        <v>45</v>
      </c>
      <c r="AT479" s="45" t="s">
        <v>705</v>
      </c>
      <c r="AU479" s="46">
        <f>($O$3*(L479-$O$1)/$O$2+$P$3*(M479-$P$1)/$P$2+$Q$3*(N479-$P$1)/$Q$2)/SUM($O$3:$Q$3)</f>
        <v>-2.1166698725191955</v>
      </c>
      <c r="AV479" s="46">
        <f>($O$3*(O479-$O$1)/$O$2+$P$3*(P479-$P$1)/$P$2+$Q$3*(Q479-$Q$1)/$Q$2)/SUM($O$3:$Q$3)</f>
        <v>-1.23416323121884</v>
      </c>
      <c r="AW479" s="47">
        <f>COUNT(R479:AO479)/2</f>
        <v>4</v>
      </c>
      <c r="AX479" s="47">
        <f>IF(AND(S479&lt;&gt;"-",S479&gt;5),1,0)+IF(AND(U479&lt;&gt;"-",U479&gt;5),1,0)+IF(AND(W479&lt;&gt;"-",W479&gt;5),1,0)+IF(AND(Y479&lt;&gt;"-",Y479&gt;5),1,0)+IF(AND(AA479&lt;&gt;"-",AA479&gt;5),1,0)+IF(AND(AC479&lt;&gt;"-",AC479&gt;5),1,0)+IF(AND(AE479&lt;&gt;"-",AE479&gt;5),1,0)+IF(AND(AG479&lt;&gt;"-",AG479&gt;5),1,0)+IF(AND(AI479&lt;&gt;"-",AI479&gt;5),1,0)+IF(AND(AK479&lt;&gt;"-",AK479&gt;5),1,0)+IF(AND(AM479&lt;&gt;"-",AM479&gt;5),1,0)+IF(AND(AO479&lt;&gt;"-",AO479&gt;5),1,0)</f>
        <v>1</v>
      </c>
      <c r="AY479" s="48">
        <f>VLOOKUP(AP479,COND!$A$10:$B$32,2,FALSE)</f>
        <v>1.0249999999999999</v>
      </c>
      <c r="AZ479" s="46">
        <f>($AU$3*AU479+$AV$3*AV479+$AW$3*AW479+$AX$3*AX479)*AY479*IF(AQ479&lt;5,0.95,IF(AQ479&lt;7,0.975,1))+$I$3*VLOOKUP(I479,COND!$A$2:$E$7,4,FALSE)+$J$3*VLOOKUP(J479,COND!$A$2:$E$7,2,FALSE)+$K$3*VLOOKUP(K479,COND!$A$2:$E$7,3,FALSE)+IF(BB479="SP",$BB$3,0)+IF($AW479&lt;3,-5,0)+IF(AND($B$2&gt;0,$E479&lt;20),$B$2*25,0)</f>
        <v>24.296986436147343</v>
      </c>
      <c r="BA479" s="49">
        <f>STANDARDIZE(AZ479,AVERAGE($AZ$5:$AZ$570),STDEVP($AZ$5:$AZ$570))</f>
        <v>-0.7726327574596642</v>
      </c>
      <c r="BB479" s="47" t="str">
        <f>IF(OR(AND(AQ479&gt;7,AX479&gt;1),AND(AQ479&gt;4,AW479&gt;2)),"SP","RP")</f>
        <v>SP</v>
      </c>
      <c r="BC479" s="47"/>
      <c r="BD479" s="47"/>
      <c r="BE479" s="47"/>
      <c r="BF479" s="47" t="str">
        <f>IF(AVERAGE($O479:$Q479)&gt;=6,"Likely",IF(AVERAGE($O479:$Q479)&gt;=4,"Possible","Unlikely"))</f>
        <v>Unlikely</v>
      </c>
      <c r="BG479" s="47"/>
      <c r="BH479" s="47" t="str">
        <f>INDEX(Table5[[#All],[Ovr]],MATCH(Table3[[#This Row],[PID]],Table5[[#All],[PID]],0))</f>
        <v/>
      </c>
      <c r="BI479" s="47" t="str">
        <f>INDEX(Table5[[#All],[Rnd]],MATCH(Table3[[#This Row],[PID]],Table5[[#All],[PID]],0))</f>
        <v/>
      </c>
      <c r="BJ479" s="47" t="str">
        <f>INDEX(Table5[[#All],[Pick]],MATCH(Table3[[#This Row],[PID]],Table5[[#All],[PID]],0))</f>
        <v/>
      </c>
      <c r="BK479" s="47" t="str">
        <f>INDEX(Table5[[#All],[Team]],MATCH(Table3[[#This Row],[PID]],Table5[[#All],[PID]],0))</f>
        <v/>
      </c>
      <c r="BL4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0" spans="1:64" ht="15" customHeight="1" x14ac:dyDescent="0.25">
      <c r="A480" s="42">
        <v>9358</v>
      </c>
      <c r="B480" s="42" t="s">
        <v>24</v>
      </c>
      <c r="C480" s="42" t="s">
        <v>134</v>
      </c>
      <c r="D480" s="42" t="s">
        <v>1176</v>
      </c>
      <c r="E480" s="42">
        <v>21</v>
      </c>
      <c r="F480" s="42" t="s">
        <v>53</v>
      </c>
      <c r="G480" s="42" t="s">
        <v>53</v>
      </c>
      <c r="H480" s="43" t="s">
        <v>721</v>
      </c>
      <c r="I480" s="44" t="s">
        <v>43</v>
      </c>
      <c r="J480" s="42" t="s">
        <v>47</v>
      </c>
      <c r="K480" s="43" t="s">
        <v>43</v>
      </c>
      <c r="L480" s="42">
        <v>2</v>
      </c>
      <c r="M480" s="42">
        <v>1</v>
      </c>
      <c r="N480" s="43">
        <v>1</v>
      </c>
      <c r="O480" s="42">
        <v>4</v>
      </c>
      <c r="P480" s="42">
        <v>1</v>
      </c>
      <c r="Q480" s="43">
        <v>2</v>
      </c>
      <c r="R480" s="42">
        <v>4</v>
      </c>
      <c r="S480" s="42">
        <v>5</v>
      </c>
      <c r="T480" s="42">
        <v>2</v>
      </c>
      <c r="U480" s="42">
        <v>6</v>
      </c>
      <c r="V480" s="42" t="s">
        <v>45</v>
      </c>
      <c r="W480" s="42" t="s">
        <v>45</v>
      </c>
      <c r="X480" s="42">
        <v>3</v>
      </c>
      <c r="Y480" s="42">
        <v>6</v>
      </c>
      <c r="Z480" s="42" t="s">
        <v>45</v>
      </c>
      <c r="AA480" s="42" t="s">
        <v>45</v>
      </c>
      <c r="AB480" s="42" t="s">
        <v>45</v>
      </c>
      <c r="AC480" s="42" t="s">
        <v>45</v>
      </c>
      <c r="AD480" s="42" t="s">
        <v>45</v>
      </c>
      <c r="AE480" s="42" t="s">
        <v>45</v>
      </c>
      <c r="AF480" s="42" t="s">
        <v>45</v>
      </c>
      <c r="AG480" s="42" t="s">
        <v>45</v>
      </c>
      <c r="AH480" s="42" t="s">
        <v>45</v>
      </c>
      <c r="AI480" s="42" t="s">
        <v>45</v>
      </c>
      <c r="AJ480" s="42" t="s">
        <v>45</v>
      </c>
      <c r="AK480" s="42" t="s">
        <v>45</v>
      </c>
      <c r="AL480" s="42" t="s">
        <v>45</v>
      </c>
      <c r="AM480" s="42" t="s">
        <v>45</v>
      </c>
      <c r="AN480" s="42" t="s">
        <v>45</v>
      </c>
      <c r="AO480" s="43" t="s">
        <v>45</v>
      </c>
      <c r="AP480" s="42" t="s">
        <v>57</v>
      </c>
      <c r="AQ480" s="42">
        <v>6</v>
      </c>
      <c r="AR480" s="50" t="s">
        <v>14</v>
      </c>
      <c r="AS480" s="45" t="s">
        <v>45</v>
      </c>
      <c r="AT480" s="45" t="s">
        <v>47</v>
      </c>
      <c r="AU480" s="46">
        <f>($O$3*(L480-$O$1)/$O$2+$P$3*(M480-$P$1)/$P$2+$Q$3*(N480-$P$1)/$Q$2)/SUM($O$3:$Q$3)</f>
        <v>-2.5067929134584248</v>
      </c>
      <c r="AV480" s="46">
        <f>($O$3*(O480-$O$1)/$O$2+$P$3*(P480-$P$1)/$P$2+$Q$3*(Q480-$Q$1)/$Q$2)/SUM($O$3:$Q$3)</f>
        <v>-1.4295949476488956</v>
      </c>
      <c r="AW480" s="47">
        <f>COUNT(R480:AO480)/2</f>
        <v>3</v>
      </c>
      <c r="AX480" s="47">
        <f>IF(AND(S480&lt;&gt;"-",S480&gt;5),1,0)+IF(AND(U480&lt;&gt;"-",U480&gt;5),1,0)+IF(AND(W480&lt;&gt;"-",W480&gt;5),1,0)+IF(AND(Y480&lt;&gt;"-",Y480&gt;5),1,0)+IF(AND(AA480&lt;&gt;"-",AA480&gt;5),1,0)+IF(AND(AC480&lt;&gt;"-",AC480&gt;5),1,0)+IF(AND(AE480&lt;&gt;"-",AE480&gt;5),1,0)+IF(AND(AG480&lt;&gt;"-",AG480&gt;5),1,0)+IF(AND(AI480&lt;&gt;"-",AI480&gt;5),1,0)+IF(AND(AK480&lt;&gt;"-",AK480&gt;5),1,0)+IF(AND(AM480&lt;&gt;"-",AM480&gt;5),1,0)+IF(AND(AO480&lt;&gt;"-",AO480&gt;5),1,0)</f>
        <v>2</v>
      </c>
      <c r="AY480" s="48">
        <f>VLOOKUP(AP480,COND!$A$10:$B$32,2,FALSE)</f>
        <v>1</v>
      </c>
      <c r="AZ480" s="46">
        <f>($AU$3*AU480+$AV$3*AV480+$AW$3*AW480+$AX$3*AX480)*AY480*IF(AQ480&lt;5,0.95,IF(AQ480&lt;7,0.975,1))+$I$3*VLOOKUP(I480,COND!$A$2:$E$7,4,FALSE)+$J$3*VLOOKUP(J480,COND!$A$2:$E$7,2,FALSE)+$K$3*VLOOKUP(K480,COND!$A$2:$E$7,3,FALSE)+IF(BB480="SP",$BB$3,0)+IF($AW480&lt;3,-5,0)+IF(AND($B$2&gt;0,$E480&lt;20),$B$2*25,0)</f>
        <v>22.834073902722142</v>
      </c>
      <c r="BA480" s="49">
        <f>STANDARDIZE(AZ480,AVERAGE($AZ$5:$AZ$570),STDEVP($AZ$5:$AZ$570))</f>
        <v>-0.90678808939433464</v>
      </c>
      <c r="BB480" s="47" t="str">
        <f>IF(OR(AND(AQ480&gt;7,AX480&gt;1),AND(AQ480&gt;4,AW480&gt;2)),"SP","RP")</f>
        <v>SP</v>
      </c>
      <c r="BC480" s="47"/>
      <c r="BD480" s="47"/>
      <c r="BE480" s="47"/>
      <c r="BF480" s="47" t="str">
        <f>IF(AVERAGE($O480:$Q480)&gt;=6,"Likely",IF(AVERAGE($O480:$Q480)&gt;=4,"Possible","Unlikely"))</f>
        <v>Unlikely</v>
      </c>
      <c r="BG480" s="47"/>
      <c r="BH480" s="47" t="str">
        <f>INDEX(Table5[[#All],[Ovr]],MATCH(Table3[[#This Row],[PID]],Table5[[#All],[PID]],0))</f>
        <v/>
      </c>
      <c r="BI480" s="47" t="str">
        <f>INDEX(Table5[[#All],[Rnd]],MATCH(Table3[[#This Row],[PID]],Table5[[#All],[PID]],0))</f>
        <v/>
      </c>
      <c r="BJ480" s="47" t="str">
        <f>INDEX(Table5[[#All],[Pick]],MATCH(Table3[[#This Row],[PID]],Table5[[#All],[PID]],0))</f>
        <v/>
      </c>
      <c r="BK480" s="47" t="str">
        <f>INDEX(Table5[[#All],[Team]],MATCH(Table3[[#This Row],[PID]],Table5[[#All],[PID]],0))</f>
        <v/>
      </c>
      <c r="BL4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1" spans="1:64" ht="15" customHeight="1" x14ac:dyDescent="0.25">
      <c r="A481" s="42">
        <v>17916</v>
      </c>
      <c r="B481" s="42" t="s">
        <v>430</v>
      </c>
      <c r="C481" s="42" t="s">
        <v>1391</v>
      </c>
      <c r="D481" s="42" t="s">
        <v>796</v>
      </c>
      <c r="E481" s="42">
        <v>18</v>
      </c>
      <c r="F481" s="42" t="s">
        <v>42</v>
      </c>
      <c r="G481" s="42" t="s">
        <v>42</v>
      </c>
      <c r="H481" s="43" t="s">
        <v>721</v>
      </c>
      <c r="I481" s="44" t="s">
        <v>44</v>
      </c>
      <c r="J481" s="42" t="s">
        <v>43</v>
      </c>
      <c r="K481" s="43" t="s">
        <v>43</v>
      </c>
      <c r="L481" s="42">
        <v>2</v>
      </c>
      <c r="M481" s="42">
        <v>2</v>
      </c>
      <c r="N481" s="43">
        <v>1</v>
      </c>
      <c r="O481" s="42">
        <v>3</v>
      </c>
      <c r="P481" s="42">
        <v>2</v>
      </c>
      <c r="Q481" s="43">
        <v>2</v>
      </c>
      <c r="R481" s="42" t="s">
        <v>45</v>
      </c>
      <c r="S481" s="42" t="s">
        <v>45</v>
      </c>
      <c r="T481" s="42">
        <v>2</v>
      </c>
      <c r="U481" s="42">
        <v>4</v>
      </c>
      <c r="V481" s="42" t="s">
        <v>45</v>
      </c>
      <c r="W481" s="42" t="s">
        <v>45</v>
      </c>
      <c r="X481" s="42">
        <v>2</v>
      </c>
      <c r="Y481" s="42">
        <v>5</v>
      </c>
      <c r="Z481" s="42" t="s">
        <v>45</v>
      </c>
      <c r="AA481" s="42" t="s">
        <v>45</v>
      </c>
      <c r="AB481" s="42" t="s">
        <v>45</v>
      </c>
      <c r="AC481" s="42" t="s">
        <v>45</v>
      </c>
      <c r="AD481" s="42">
        <v>3</v>
      </c>
      <c r="AE481" s="42">
        <v>4</v>
      </c>
      <c r="AF481" s="42" t="s">
        <v>45</v>
      </c>
      <c r="AG481" s="42" t="s">
        <v>45</v>
      </c>
      <c r="AH481" s="42" t="s">
        <v>45</v>
      </c>
      <c r="AI481" s="42" t="s">
        <v>45</v>
      </c>
      <c r="AJ481" s="42" t="s">
        <v>45</v>
      </c>
      <c r="AK481" s="42" t="s">
        <v>45</v>
      </c>
      <c r="AL481" s="42" t="s">
        <v>45</v>
      </c>
      <c r="AM481" s="42" t="s">
        <v>45</v>
      </c>
      <c r="AN481" s="42" t="s">
        <v>45</v>
      </c>
      <c r="AO481" s="43" t="s">
        <v>45</v>
      </c>
      <c r="AP481" s="42" t="s">
        <v>64</v>
      </c>
      <c r="AQ481" s="42">
        <v>7</v>
      </c>
      <c r="AR481" s="50" t="s">
        <v>353</v>
      </c>
      <c r="AS481" s="45" t="s">
        <v>739</v>
      </c>
      <c r="AT481" s="45" t="s">
        <v>705</v>
      </c>
      <c r="AU481" s="46">
        <f>($O$3*(L481-$O$1)/$O$2+$P$3*(M481-$P$1)/$P$2+$Q$3*(N481-$P$1)/$Q$2)/SUM($O$3:$Q$3)</f>
        <v>-2.311361197028369</v>
      </c>
      <c r="AV481" s="46">
        <f>($O$3*(O481-$O$1)/$O$2+$P$3*(P481-$P$1)/$P$2+$Q$3*(Q481-$Q$1)/$Q$2)/SUM($O$3:$Q$3)</f>
        <v>-1.4288545557280135</v>
      </c>
      <c r="AW481" s="47">
        <f>COUNT(R481:AO481)/2</f>
        <v>3</v>
      </c>
      <c r="AX481" s="47">
        <f>IF(AND(S481&lt;&gt;"-",S481&gt;5),1,0)+IF(AND(U481&lt;&gt;"-",U481&gt;5),1,0)+IF(AND(W481&lt;&gt;"-",W481&gt;5),1,0)+IF(AND(Y481&lt;&gt;"-",Y481&gt;5),1,0)+IF(AND(AA481&lt;&gt;"-",AA481&gt;5),1,0)+IF(AND(AC481&lt;&gt;"-",AC481&gt;5),1,0)+IF(AND(AE481&lt;&gt;"-",AE481&gt;5),1,0)+IF(AND(AG481&lt;&gt;"-",AG481&gt;5),1,0)+IF(AND(AI481&lt;&gt;"-",AI481&gt;5),1,0)+IF(AND(AK481&lt;&gt;"-",AK481&gt;5),1,0)+IF(AND(AM481&lt;&gt;"-",AM481&gt;5),1,0)+IF(AND(AO481&lt;&gt;"-",AO481&gt;5),1,0)</f>
        <v>0</v>
      </c>
      <c r="AY481" s="48">
        <f>VLOOKUP(AP481,COND!$A$10:$B$32,2,FALSE)</f>
        <v>1</v>
      </c>
      <c r="AZ481" s="46">
        <f>($AU$3*AU481+$AV$3*AV481+$AW$3*AW481+$AX$3*AX481)*AY481*IF(AQ481&lt;5,0.95,IF(AQ481&lt;7,0.975,1))+$I$3*VLOOKUP(I481,COND!$A$2:$E$7,4,FALSE)+$J$3*VLOOKUP(J481,COND!$A$2:$E$7,2,FALSE)+$K$3*VLOOKUP(K481,COND!$A$2:$E$7,3,FALSE)+IF(BB481="SP",$BB$3,0)+IF($AW481&lt;3,-5,0)+IF(AND($B$2&gt;0,$E481&lt;20),$B$2*25,0)</f>
        <v>24.310636646034055</v>
      </c>
      <c r="BA481" s="49">
        <f>STANDARDIZE(AZ481,AVERAGE($AZ$5:$AZ$676),STDEVP($AZ$5:$AZ$676))</f>
        <v>-0.53327088638528541</v>
      </c>
      <c r="BB481" s="47" t="str">
        <f>IF(OR(AND(AQ481&gt;7,AX481&gt;1),AND(AQ481&gt;4,AW481&gt;2)),"SP","RP")</f>
        <v>SP</v>
      </c>
      <c r="BC481" s="47"/>
      <c r="BD481" s="47"/>
      <c r="BE481" s="47"/>
      <c r="BF481" s="47" t="str">
        <f>IF(AVERAGE($O481:$Q481)&gt;=6,"Likely",IF(AVERAGE($O481:$Q481)&gt;=4,"Possible","Unlikely"))</f>
        <v>Unlikely</v>
      </c>
      <c r="BG481" s="47"/>
      <c r="BH481" s="47" t="str">
        <f>INDEX(Table5[[#All],[Ovr]],MATCH(Table3[[#This Row],[PID]],Table5[[#All],[PID]],0))</f>
        <v/>
      </c>
      <c r="BI481" s="47" t="str">
        <f>INDEX(Table5[[#All],[Rnd]],MATCH(Table3[[#This Row],[PID]],Table5[[#All],[PID]],0))</f>
        <v/>
      </c>
      <c r="BJ481" s="47" t="str">
        <f>INDEX(Table5[[#All],[Pick]],MATCH(Table3[[#This Row],[PID]],Table5[[#All],[PID]],0))</f>
        <v/>
      </c>
      <c r="BK481" s="47" t="str">
        <f>INDEX(Table5[[#All],[Team]],MATCH(Table3[[#This Row],[PID]],Table5[[#All],[PID]],0))</f>
        <v/>
      </c>
      <c r="BL4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2" spans="1:64" ht="15" customHeight="1" x14ac:dyDescent="0.25">
      <c r="A482" s="42">
        <v>6381</v>
      </c>
      <c r="B482" s="42" t="s">
        <v>430</v>
      </c>
      <c r="C482" s="42" t="s">
        <v>956</v>
      </c>
      <c r="D482" s="42" t="s">
        <v>957</v>
      </c>
      <c r="E482" s="42">
        <v>22</v>
      </c>
      <c r="F482" s="42" t="s">
        <v>42</v>
      </c>
      <c r="G482" s="42" t="s">
        <v>42</v>
      </c>
      <c r="H482" s="43" t="s">
        <v>721</v>
      </c>
      <c r="I482" s="44" t="s">
        <v>43</v>
      </c>
      <c r="J482" s="42" t="s">
        <v>44</v>
      </c>
      <c r="K482" s="43" t="s">
        <v>43</v>
      </c>
      <c r="L482" s="42">
        <v>3</v>
      </c>
      <c r="M482" s="42">
        <v>2</v>
      </c>
      <c r="N482" s="43">
        <v>2</v>
      </c>
      <c r="O482" s="42">
        <v>4</v>
      </c>
      <c r="P482" s="42">
        <v>2</v>
      </c>
      <c r="Q482" s="43">
        <v>2</v>
      </c>
      <c r="R482" s="42">
        <v>4</v>
      </c>
      <c r="S482" s="42">
        <v>5</v>
      </c>
      <c r="T482" s="42">
        <v>1</v>
      </c>
      <c r="U482" s="42">
        <v>1</v>
      </c>
      <c r="V482" s="42" t="s">
        <v>45</v>
      </c>
      <c r="W482" s="42" t="s">
        <v>45</v>
      </c>
      <c r="X482" s="42" t="s">
        <v>45</v>
      </c>
      <c r="Y482" s="42" t="s">
        <v>45</v>
      </c>
      <c r="Z482" s="42" t="s">
        <v>45</v>
      </c>
      <c r="AA482" s="42" t="s">
        <v>45</v>
      </c>
      <c r="AB482" s="42" t="s">
        <v>45</v>
      </c>
      <c r="AC482" s="42" t="s">
        <v>45</v>
      </c>
      <c r="AD482" s="42">
        <v>3</v>
      </c>
      <c r="AE482" s="42">
        <v>4</v>
      </c>
      <c r="AF482" s="42">
        <v>4</v>
      </c>
      <c r="AG482" s="42">
        <v>4</v>
      </c>
      <c r="AH482" s="42" t="s">
        <v>45</v>
      </c>
      <c r="AI482" s="42" t="s">
        <v>45</v>
      </c>
      <c r="AJ482" s="42" t="s">
        <v>45</v>
      </c>
      <c r="AK482" s="42" t="s">
        <v>45</v>
      </c>
      <c r="AL482" s="42" t="s">
        <v>45</v>
      </c>
      <c r="AM482" s="42" t="s">
        <v>45</v>
      </c>
      <c r="AN482" s="42" t="s">
        <v>45</v>
      </c>
      <c r="AO482" s="43" t="s">
        <v>45</v>
      </c>
      <c r="AP482" s="42" t="s">
        <v>356</v>
      </c>
      <c r="AQ482" s="42">
        <v>6</v>
      </c>
      <c r="AR482" s="50" t="s">
        <v>353</v>
      </c>
      <c r="AS482" s="45" t="s">
        <v>45</v>
      </c>
      <c r="AT482" s="45" t="s">
        <v>47</v>
      </c>
      <c r="AU482" s="46">
        <f>($O$3*(L482-$O$1)/$O$2+$P$3*(M482-$P$1)/$P$2+$Q$3*(N482-$P$1)/$Q$2)/SUM($O$3:$Q$3)</f>
        <v>-1.8743493064650851</v>
      </c>
      <c r="AV482" s="46">
        <f>($O$3*(O482-$O$1)/$O$2+$P$3*(P482-$P$1)/$P$2+$Q$3*(Q482-$Q$1)/$Q$2)/SUM($O$3:$Q$3)</f>
        <v>-1.23416323121884</v>
      </c>
      <c r="AW482" s="47">
        <f>COUNT(R482:AO482)/2</f>
        <v>4</v>
      </c>
      <c r="AX482" s="47">
        <f>IF(AND(S482&lt;&gt;"-",S482&gt;5),1,0)+IF(AND(U482&lt;&gt;"-",U482&gt;5),1,0)+IF(AND(W482&lt;&gt;"-",W482&gt;5),1,0)+IF(AND(Y482&lt;&gt;"-",Y482&gt;5),1,0)+IF(AND(AA482&lt;&gt;"-",AA482&gt;5),1,0)+IF(AND(AC482&lt;&gt;"-",AC482&gt;5),1,0)+IF(AND(AE482&lt;&gt;"-",AE482&gt;5),1,0)+IF(AND(AG482&lt;&gt;"-",AG482&gt;5),1,0)+IF(AND(AI482&lt;&gt;"-",AI482&gt;5),1,0)+IF(AND(AK482&lt;&gt;"-",AK482&gt;5),1,0)+IF(AND(AM482&lt;&gt;"-",AM482&gt;5),1,0)+IF(AND(AO482&lt;&gt;"-",AO482&gt;5),1,0)</f>
        <v>0</v>
      </c>
      <c r="AY482" s="48">
        <f>VLOOKUP(AP482,COND!$A$10:$B$32,2,FALSE)</f>
        <v>1</v>
      </c>
      <c r="AZ482" s="46">
        <f>($AU$3*AU482+$AV$3*AV482+$AW$3*AW482+$AX$3*AX482)*AY482*IF(AQ482&lt;5,0.95,IF(AQ482&lt;7,0.975,1))+$I$3*VLOOKUP(I482,COND!$A$2:$E$7,4,FALSE)+$J$3*VLOOKUP(J482,COND!$A$2:$E$7,2,FALSE)+$K$3*VLOOKUP(K482,COND!$A$2:$E$7,3,FALSE)+IF(BB482="SP",$BB$3,0)+IF($AW482&lt;3,-5,0)+IF(AND($B$2&gt;0,$E482&lt;20),$B$2*25,0)</f>
        <v>24.218318876471926</v>
      </c>
      <c r="BA482" s="49">
        <f>STANDARDIZE(AZ482,AVERAGE($AZ$5:$AZ$570),STDEVP($AZ$5:$AZ$570))</f>
        <v>-0.77984690891411645</v>
      </c>
      <c r="BB482" s="47" t="str">
        <f>IF(OR(AND(AQ482&gt;7,AX482&gt;1),AND(AQ482&gt;4,AW482&gt;2)),"SP","RP")</f>
        <v>SP</v>
      </c>
      <c r="BC482" s="47"/>
      <c r="BD482" s="47"/>
      <c r="BE482" s="47"/>
      <c r="BF482" s="47" t="str">
        <f>IF(AVERAGE($O482:$Q482)&gt;=6,"Likely",IF(AVERAGE($O482:$Q482)&gt;=4,"Possible","Unlikely"))</f>
        <v>Unlikely</v>
      </c>
      <c r="BG482" s="47"/>
      <c r="BH482" s="47" t="str">
        <f>INDEX(Table5[[#All],[Ovr]],MATCH(Table3[[#This Row],[PID]],Table5[[#All],[PID]],0))</f>
        <v/>
      </c>
      <c r="BI482" s="47" t="str">
        <f>INDEX(Table5[[#All],[Rnd]],MATCH(Table3[[#This Row],[PID]],Table5[[#All],[PID]],0))</f>
        <v/>
      </c>
      <c r="BJ482" s="47" t="str">
        <f>INDEX(Table5[[#All],[Pick]],MATCH(Table3[[#This Row],[PID]],Table5[[#All],[PID]],0))</f>
        <v/>
      </c>
      <c r="BK482" s="47" t="str">
        <f>INDEX(Table5[[#All],[Team]],MATCH(Table3[[#This Row],[PID]],Table5[[#All],[PID]],0))</f>
        <v/>
      </c>
      <c r="BL4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3" spans="1:64" ht="15" customHeight="1" x14ac:dyDescent="0.25">
      <c r="A483" s="42">
        <v>2589</v>
      </c>
      <c r="B483" s="42" t="s">
        <v>430</v>
      </c>
      <c r="C483" s="42" t="s">
        <v>641</v>
      </c>
      <c r="D483" s="42" t="s">
        <v>412</v>
      </c>
      <c r="E483" s="42">
        <v>21</v>
      </c>
      <c r="F483" s="42" t="s">
        <v>53</v>
      </c>
      <c r="G483" s="42" t="s">
        <v>42</v>
      </c>
      <c r="H483" s="43" t="s">
        <v>721</v>
      </c>
      <c r="I483" s="44" t="s">
        <v>43</v>
      </c>
      <c r="J483" s="42" t="s">
        <v>44</v>
      </c>
      <c r="K483" s="43" t="s">
        <v>43</v>
      </c>
      <c r="L483" s="42">
        <v>1</v>
      </c>
      <c r="M483" s="42">
        <v>2</v>
      </c>
      <c r="N483" s="43">
        <v>1</v>
      </c>
      <c r="O483" s="42">
        <v>4</v>
      </c>
      <c r="P483" s="42">
        <v>2</v>
      </c>
      <c r="Q483" s="43">
        <v>2</v>
      </c>
      <c r="R483" s="42">
        <v>3</v>
      </c>
      <c r="S483" s="42">
        <v>4</v>
      </c>
      <c r="T483" s="42" t="s">
        <v>45</v>
      </c>
      <c r="U483" s="42" t="s">
        <v>45</v>
      </c>
      <c r="V483" s="42">
        <v>1</v>
      </c>
      <c r="W483" s="42">
        <v>5</v>
      </c>
      <c r="X483" s="42">
        <v>1</v>
      </c>
      <c r="Y483" s="42">
        <v>5</v>
      </c>
      <c r="Z483" s="42" t="s">
        <v>45</v>
      </c>
      <c r="AA483" s="42" t="s">
        <v>45</v>
      </c>
      <c r="AB483" s="42" t="s">
        <v>45</v>
      </c>
      <c r="AC483" s="42" t="s">
        <v>45</v>
      </c>
      <c r="AD483" s="42" t="s">
        <v>45</v>
      </c>
      <c r="AE483" s="42" t="s">
        <v>45</v>
      </c>
      <c r="AF483" s="42" t="s">
        <v>45</v>
      </c>
      <c r="AG483" s="42" t="s">
        <v>45</v>
      </c>
      <c r="AH483" s="42" t="s">
        <v>45</v>
      </c>
      <c r="AI483" s="42" t="s">
        <v>45</v>
      </c>
      <c r="AJ483" s="42" t="s">
        <v>45</v>
      </c>
      <c r="AK483" s="42" t="s">
        <v>45</v>
      </c>
      <c r="AL483" s="42" t="s">
        <v>45</v>
      </c>
      <c r="AM483" s="42" t="s">
        <v>45</v>
      </c>
      <c r="AN483" s="42" t="s">
        <v>45</v>
      </c>
      <c r="AO483" s="43" t="s">
        <v>45</v>
      </c>
      <c r="AP483" s="42" t="s">
        <v>68</v>
      </c>
      <c r="AQ483" s="42">
        <v>7</v>
      </c>
      <c r="AR483" s="50" t="s">
        <v>353</v>
      </c>
      <c r="AS483" s="45" t="s">
        <v>717</v>
      </c>
      <c r="AT483" s="45" t="s">
        <v>705</v>
      </c>
      <c r="AU483" s="46">
        <f>($O$3*(L483-$O$1)/$O$2+$P$3*(M483-$P$1)/$P$2+$Q$3*(N483-$P$1)/$Q$2)/SUM($O$3:$Q$3)</f>
        <v>-2.5060525215375429</v>
      </c>
      <c r="AV483" s="46">
        <f>($O$3*(O483-$O$1)/$O$2+$P$3*(P483-$P$1)/$P$2+$Q$3*(Q483-$Q$1)/$Q$2)/SUM($O$3:$Q$3)</f>
        <v>-1.23416323121884</v>
      </c>
      <c r="AW483" s="47">
        <f>COUNT(R483:AO483)/2</f>
        <v>3</v>
      </c>
      <c r="AX483" s="47">
        <f>IF(AND(S483&lt;&gt;"-",S483&gt;5),1,0)+IF(AND(U483&lt;&gt;"-",U483&gt;5),1,0)+IF(AND(W483&lt;&gt;"-",W483&gt;5),1,0)+IF(AND(Y483&lt;&gt;"-",Y483&gt;5),1,0)+IF(AND(AA483&lt;&gt;"-",AA483&gt;5),1,0)+IF(AND(AC483&lt;&gt;"-",AC483&gt;5),1,0)+IF(AND(AE483&lt;&gt;"-",AE483&gt;5),1,0)+IF(AND(AG483&lt;&gt;"-",AG483&gt;5),1,0)+IF(AND(AI483&lt;&gt;"-",AI483&gt;5),1,0)+IF(AND(AK483&lt;&gt;"-",AK483&gt;5),1,0)+IF(AND(AM483&lt;&gt;"-",AM483&gt;5),1,0)+IF(AND(AO483&lt;&gt;"-",AO483&gt;5),1,0)</f>
        <v>0</v>
      </c>
      <c r="AY483" s="48">
        <f>VLOOKUP(AP483,COND!$A$10:$B$32,2,FALSE)</f>
        <v>0.95</v>
      </c>
      <c r="AZ483" s="46">
        <f>($AU$3*AU483+$AV$3*AV483+$AW$3*AW483+$AX$3*AX483)*AY483*IF(AQ483&lt;5,0.95,IF(AQ483&lt;7,0.975,1))+$I$3*VLOOKUP(I483,COND!$A$2:$E$7,4,FALSE)+$J$3*VLOOKUP(J483,COND!$A$2:$E$7,2,FALSE)+$K$3*VLOOKUP(K483,COND!$A$2:$E$7,3,FALSE)+IF(BB483="SP",$BB$3,0)+IF($AW483&lt;3,-5,0)+IF(AND($B$2&gt;0,$E483&lt;20),$B$2*25,0)</f>
        <v>24.199748627749909</v>
      </c>
      <c r="BA483" s="49">
        <f>STANDARDIZE(AZ483,AVERAGE($AZ$5:$AZ$570),STDEVP($AZ$5:$AZ$570))</f>
        <v>-0.78154988009283666</v>
      </c>
      <c r="BB483" s="47" t="str">
        <f>IF(OR(AND(AQ483&gt;7,AX483&gt;1),AND(AQ483&gt;4,AW483&gt;2)),"SP","RP")</f>
        <v>SP</v>
      </c>
      <c r="BC483" s="47"/>
      <c r="BD483" s="47"/>
      <c r="BE483" s="47"/>
      <c r="BF483" s="47" t="str">
        <f>IF(AVERAGE($O483:$Q483)&gt;=6,"Likely",IF(AVERAGE($O483:$Q483)&gt;=4,"Possible","Unlikely"))</f>
        <v>Unlikely</v>
      </c>
      <c r="BG483" s="47"/>
      <c r="BH483" s="47" t="str">
        <f>INDEX(Table5[[#All],[Ovr]],MATCH(Table3[[#This Row],[PID]],Table5[[#All],[PID]],0))</f>
        <v/>
      </c>
      <c r="BI483" s="47" t="str">
        <f>INDEX(Table5[[#All],[Rnd]],MATCH(Table3[[#This Row],[PID]],Table5[[#All],[PID]],0))</f>
        <v/>
      </c>
      <c r="BJ483" s="47" t="str">
        <f>INDEX(Table5[[#All],[Pick]],MATCH(Table3[[#This Row],[PID]],Table5[[#All],[PID]],0))</f>
        <v/>
      </c>
      <c r="BK483" s="47" t="str">
        <f>INDEX(Table5[[#All],[Team]],MATCH(Table3[[#This Row],[PID]],Table5[[#All],[PID]],0))</f>
        <v/>
      </c>
      <c r="BL4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4" spans="1:64" ht="15" customHeight="1" x14ac:dyDescent="0.25">
      <c r="A484" s="42">
        <v>6466</v>
      </c>
      <c r="B484" s="42" t="s">
        <v>430</v>
      </c>
      <c r="C484" s="42" t="s">
        <v>1806</v>
      </c>
      <c r="D484" s="42" t="s">
        <v>393</v>
      </c>
      <c r="E484" s="42">
        <v>18</v>
      </c>
      <c r="F484" s="42" t="s">
        <v>42</v>
      </c>
      <c r="G484" s="42" t="s">
        <v>42</v>
      </c>
      <c r="H484" s="43" t="s">
        <v>721</v>
      </c>
      <c r="I484" s="44" t="s">
        <v>43</v>
      </c>
      <c r="J484" s="42" t="s">
        <v>47</v>
      </c>
      <c r="K484" s="43" t="s">
        <v>47</v>
      </c>
      <c r="L484" s="42">
        <v>1</v>
      </c>
      <c r="M484" s="42">
        <v>1</v>
      </c>
      <c r="N484" s="43">
        <v>1</v>
      </c>
      <c r="O484" s="42">
        <v>2</v>
      </c>
      <c r="P484" s="42">
        <v>1</v>
      </c>
      <c r="Q484" s="43">
        <v>2</v>
      </c>
      <c r="R484" s="42">
        <v>2</v>
      </c>
      <c r="S484" s="42">
        <v>3</v>
      </c>
      <c r="T484" s="42">
        <v>1</v>
      </c>
      <c r="U484" s="42">
        <v>3</v>
      </c>
      <c r="V484" s="42">
        <v>1</v>
      </c>
      <c r="W484" s="42">
        <v>3</v>
      </c>
      <c r="X484" s="42">
        <v>1</v>
      </c>
      <c r="Y484" s="42">
        <v>3</v>
      </c>
      <c r="Z484" s="42" t="s">
        <v>45</v>
      </c>
      <c r="AA484" s="42" t="s">
        <v>45</v>
      </c>
      <c r="AB484" s="42">
        <v>2</v>
      </c>
      <c r="AC484" s="42">
        <v>3</v>
      </c>
      <c r="AD484" s="42" t="s">
        <v>45</v>
      </c>
      <c r="AE484" s="42" t="s">
        <v>45</v>
      </c>
      <c r="AF484" s="42">
        <v>2</v>
      </c>
      <c r="AG484" s="42">
        <v>3</v>
      </c>
      <c r="AH484" s="42" t="s">
        <v>45</v>
      </c>
      <c r="AI484" s="42" t="s">
        <v>45</v>
      </c>
      <c r="AJ484" s="42" t="s">
        <v>45</v>
      </c>
      <c r="AK484" s="42" t="s">
        <v>45</v>
      </c>
      <c r="AL484" s="42" t="s">
        <v>45</v>
      </c>
      <c r="AM484" s="42" t="s">
        <v>45</v>
      </c>
      <c r="AN484" s="42" t="s">
        <v>45</v>
      </c>
      <c r="AO484" s="43" t="s">
        <v>45</v>
      </c>
      <c r="AP484" s="42" t="s">
        <v>67</v>
      </c>
      <c r="AQ484" s="42">
        <v>6</v>
      </c>
      <c r="AR484" s="50" t="s">
        <v>14</v>
      </c>
      <c r="AS484" s="45" t="s">
        <v>627</v>
      </c>
      <c r="AT484" s="45" t="s">
        <v>47</v>
      </c>
      <c r="AU484" s="46">
        <f>($O$3*(L484-$O$1)/$O$2+$P$3*(M484-$P$1)/$P$2+$Q$3*(N484-$P$1)/$Q$2)/SUM($O$3:$Q$3)</f>
        <v>-2.7014842379675978</v>
      </c>
      <c r="AV484" s="46">
        <f>($O$3*(O484-$O$1)/$O$2+$P$3*(P484-$P$1)/$P$2+$Q$3*(Q484-$Q$1)/$Q$2)/SUM($O$3:$Q$3)</f>
        <v>-1.8189775966672426</v>
      </c>
      <c r="AW484" s="47">
        <f>COUNT(R484:AO484)/2</f>
        <v>6</v>
      </c>
      <c r="AX484" s="47">
        <f>IF(AND(S484&lt;&gt;"-",S484&gt;5),1,0)+IF(AND(U484&lt;&gt;"-",U484&gt;5),1,0)+IF(AND(W484&lt;&gt;"-",W484&gt;5),1,0)+IF(AND(Y484&lt;&gt;"-",Y484&gt;5),1,0)+IF(AND(AA484&lt;&gt;"-",AA484&gt;5),1,0)+IF(AND(AC484&lt;&gt;"-",AC484&gt;5),1,0)+IF(AND(AE484&lt;&gt;"-",AE484&gt;5),1,0)+IF(AND(AG484&lt;&gt;"-",AG484&gt;5),1,0)+IF(AND(AI484&lt;&gt;"-",AI484&gt;5),1,0)+IF(AND(AK484&lt;&gt;"-",AK484&gt;5),1,0)+IF(AND(AM484&lt;&gt;"-",AM484&gt;5),1,0)+IF(AND(AO484&lt;&gt;"-",AO484&gt;5),1,0)</f>
        <v>0</v>
      </c>
      <c r="AY484" s="48">
        <f>VLOOKUP(AP484,COND!$A$10:$B$32,2,FALSE)</f>
        <v>0.9</v>
      </c>
      <c r="AZ484" s="46">
        <f>($AU$3*AU484+$AV$3*AV484+$AW$3*AW484+$AX$3*AX484)*AY484*IF(AQ484&lt;5,0.95,IF(AQ484&lt;7,0.975,1))+$I$3*VLOOKUP(I484,COND!$A$2:$E$7,4,FALSE)+$J$3*VLOOKUP(J484,COND!$A$2:$E$7,2,FALSE)+$K$3*VLOOKUP(K484,COND!$A$2:$E$7,3,FALSE)+IF(BB484="SP",$BB$3,0)+IF($AW484&lt;3,-5,0)+IF(AND($B$2&gt;0,$E484&lt;20),$B$2*25,0)</f>
        <v>22.835332694726585</v>
      </c>
      <c r="BA484" s="49">
        <f>STANDARDIZE(AZ484,AVERAGE($AZ$5:$AZ$676),STDEVP($AZ$5:$AZ$676))</f>
        <v>-0.66257036294231386</v>
      </c>
      <c r="BB484" s="47" t="str">
        <f>IF(OR(AND(AQ484&gt;7,AX484&gt;1),AND(AQ484&gt;4,AW484&gt;2)),"SP","RP")</f>
        <v>SP</v>
      </c>
      <c r="BC484" s="47"/>
      <c r="BD484" s="47"/>
      <c r="BE484" s="47"/>
      <c r="BF484" s="47" t="str">
        <f>IF(AVERAGE($O484:$Q484)&gt;=6,"Likely",IF(AVERAGE($O484:$Q484)&gt;=4,"Possible","Unlikely"))</f>
        <v>Unlikely</v>
      </c>
      <c r="BG484" s="47"/>
      <c r="BH484" s="47" t="str">
        <f>INDEX(Table5[[#All],[Ovr]],MATCH(Table3[[#This Row],[PID]],Table5[[#All],[PID]],0))</f>
        <v/>
      </c>
      <c r="BI484" s="47" t="str">
        <f>INDEX(Table5[[#All],[Rnd]],MATCH(Table3[[#This Row],[PID]],Table5[[#All],[PID]],0))</f>
        <v/>
      </c>
      <c r="BJ484" s="47" t="str">
        <f>INDEX(Table5[[#All],[Pick]],MATCH(Table3[[#This Row],[PID]],Table5[[#All],[PID]],0))</f>
        <v/>
      </c>
      <c r="BK484" s="47" t="str">
        <f>INDEX(Table5[[#All],[Team]],MATCH(Table3[[#This Row],[PID]],Table5[[#All],[PID]],0))</f>
        <v/>
      </c>
      <c r="BL4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5" spans="1:64" ht="15" customHeight="1" x14ac:dyDescent="0.25">
      <c r="A485" s="42">
        <v>6233</v>
      </c>
      <c r="B485" s="42" t="s">
        <v>430</v>
      </c>
      <c r="C485" s="42" t="s">
        <v>815</v>
      </c>
      <c r="D485" s="42" t="s">
        <v>1793</v>
      </c>
      <c r="E485" s="42">
        <v>18</v>
      </c>
      <c r="F485" s="42" t="s">
        <v>62</v>
      </c>
      <c r="G485" s="42" t="s">
        <v>42</v>
      </c>
      <c r="H485" s="43" t="s">
        <v>721</v>
      </c>
      <c r="I485" s="44" t="s">
        <v>44</v>
      </c>
      <c r="J485" s="42" t="s">
        <v>44</v>
      </c>
      <c r="K485" s="43" t="s">
        <v>43</v>
      </c>
      <c r="L485" s="42">
        <v>2</v>
      </c>
      <c r="M485" s="42">
        <v>1</v>
      </c>
      <c r="N485" s="43">
        <v>1</v>
      </c>
      <c r="O485" s="42">
        <v>3</v>
      </c>
      <c r="P485" s="42">
        <v>1</v>
      </c>
      <c r="Q485" s="43">
        <v>3</v>
      </c>
      <c r="R485" s="42">
        <v>4</v>
      </c>
      <c r="S485" s="42">
        <v>4</v>
      </c>
      <c r="T485" s="42">
        <v>1</v>
      </c>
      <c r="U485" s="42">
        <v>3</v>
      </c>
      <c r="V485" s="42" t="s">
        <v>45</v>
      </c>
      <c r="W485" s="42" t="s">
        <v>45</v>
      </c>
      <c r="X485" s="42" t="s">
        <v>45</v>
      </c>
      <c r="Y485" s="42" t="s">
        <v>45</v>
      </c>
      <c r="Z485" s="42" t="s">
        <v>45</v>
      </c>
      <c r="AA485" s="42" t="s">
        <v>45</v>
      </c>
      <c r="AB485" s="42" t="s">
        <v>45</v>
      </c>
      <c r="AC485" s="42" t="s">
        <v>45</v>
      </c>
      <c r="AD485" s="42">
        <v>3</v>
      </c>
      <c r="AE485" s="42">
        <v>4</v>
      </c>
      <c r="AF485" s="42" t="s">
        <v>45</v>
      </c>
      <c r="AG485" s="42" t="s">
        <v>45</v>
      </c>
      <c r="AH485" s="42" t="s">
        <v>45</v>
      </c>
      <c r="AI485" s="42" t="s">
        <v>45</v>
      </c>
      <c r="AJ485" s="42" t="s">
        <v>45</v>
      </c>
      <c r="AK485" s="42" t="s">
        <v>45</v>
      </c>
      <c r="AL485" s="42" t="s">
        <v>45</v>
      </c>
      <c r="AM485" s="42" t="s">
        <v>45</v>
      </c>
      <c r="AN485" s="42" t="s">
        <v>45</v>
      </c>
      <c r="AO485" s="43" t="s">
        <v>45</v>
      </c>
      <c r="AP485" s="42" t="s">
        <v>57</v>
      </c>
      <c r="AQ485" s="42">
        <v>7</v>
      </c>
      <c r="AR485" s="50" t="s">
        <v>14</v>
      </c>
      <c r="AS485" s="45" t="s">
        <v>739</v>
      </c>
      <c r="AT485" s="45" t="s">
        <v>47</v>
      </c>
      <c r="AU485" s="46">
        <f>($O$3*(L485-$O$1)/$O$2+$P$3*(M485-$P$1)/$P$2+$Q$3*(N485-$P$1)/$Q$2)/SUM($O$3:$Q$3)</f>
        <v>-2.5067929134584248</v>
      </c>
      <c r="AV485" s="46">
        <f>($O$3*(O485-$O$1)/$O$2+$P$3*(P485-$P$1)/$P$2+$Q$3*(Q485-$Q$1)/$Q$2)/SUM($O$3:$Q$3)</f>
        <v>-1.3819657061039585</v>
      </c>
      <c r="AW485" s="47">
        <f>COUNT(R485:AO485)/2</f>
        <v>3</v>
      </c>
      <c r="AX485" s="47">
        <f>IF(AND(S485&lt;&gt;"-",S485&gt;5),1,0)+IF(AND(U485&lt;&gt;"-",U485&gt;5),1,0)+IF(AND(W485&lt;&gt;"-",W485&gt;5),1,0)+IF(AND(Y485&lt;&gt;"-",Y485&gt;5),1,0)+IF(AND(AA485&lt;&gt;"-",AA485&gt;5),1,0)+IF(AND(AC485&lt;&gt;"-",AC485&gt;5),1,0)+IF(AND(AE485&lt;&gt;"-",AE485&gt;5),1,0)+IF(AND(AG485&lt;&gt;"-",AG485&gt;5),1,0)+IF(AND(AI485&lt;&gt;"-",AI485&gt;5),1,0)+IF(AND(AK485&lt;&gt;"-",AK485&gt;5),1,0)+IF(AND(AM485&lt;&gt;"-",AM485&gt;5),1,0)+IF(AND(AO485&lt;&gt;"-",AO485&gt;5),1,0)</f>
        <v>0</v>
      </c>
      <c r="AY485" s="48">
        <f>VLOOKUP(AP485,COND!$A$10:$B$32,2,FALSE)</f>
        <v>1</v>
      </c>
      <c r="AZ485" s="46">
        <f>($AU$3*AU485+$AV$3*AV485+$AW$3*AW485+$AX$3*AX485)*AY485*IF(AQ485&lt;5,0.95,IF(AQ485&lt;7,0.975,1))+$I$3*VLOOKUP(I485,COND!$A$2:$E$7,4,FALSE)+$J$3*VLOOKUP(J485,COND!$A$2:$E$7,2,FALSE)+$K$3*VLOOKUP(K485,COND!$A$2:$E$7,3,FALSE)+IF(BB485="SP",$BB$3,0)+IF($AW485&lt;3,-5,0)+IF(AND($B$2&gt;0,$E485&lt;20),$B$2*25,0)</f>
        <v>24.90932729522914</v>
      </c>
      <c r="BA485" s="49">
        <f>STANDARDIZE(AZ485,AVERAGE($AZ$5:$AZ$676),STDEVP($AZ$5:$AZ$676))</f>
        <v>-0.48080008029010207</v>
      </c>
      <c r="BB485" s="47" t="str">
        <f>IF(OR(AND(AQ485&gt;7,AX485&gt;1),AND(AQ485&gt;4,AW485&gt;2)),"SP","RP")</f>
        <v>SP</v>
      </c>
      <c r="BC485" s="47"/>
      <c r="BD485" s="47"/>
      <c r="BE485" s="47"/>
      <c r="BF485" s="47" t="str">
        <f>IF(AVERAGE($O485:$Q485)&gt;=6,"Likely",IF(AVERAGE($O485:$Q485)&gt;=4,"Possible","Unlikely"))</f>
        <v>Unlikely</v>
      </c>
      <c r="BG485" s="47"/>
      <c r="BH485" s="47" t="str">
        <f>INDEX(Table5[[#All],[Ovr]],MATCH(Table3[[#This Row],[PID]],Table5[[#All],[PID]],0))</f>
        <v/>
      </c>
      <c r="BI485" s="47" t="str">
        <f>INDEX(Table5[[#All],[Rnd]],MATCH(Table3[[#This Row],[PID]],Table5[[#All],[PID]],0))</f>
        <v/>
      </c>
      <c r="BJ485" s="47" t="str">
        <f>INDEX(Table5[[#All],[Pick]],MATCH(Table3[[#This Row],[PID]],Table5[[#All],[PID]],0))</f>
        <v/>
      </c>
      <c r="BK485" s="47" t="str">
        <f>INDEX(Table5[[#All],[Team]],MATCH(Table3[[#This Row],[PID]],Table5[[#All],[PID]],0))</f>
        <v/>
      </c>
      <c r="BL4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6" spans="1:64" ht="15" customHeight="1" x14ac:dyDescent="0.25">
      <c r="A486" s="42">
        <v>12934</v>
      </c>
      <c r="B486" s="42" t="s">
        <v>24</v>
      </c>
      <c r="C486" s="42" t="s">
        <v>1551</v>
      </c>
      <c r="D486" s="42" t="s">
        <v>1552</v>
      </c>
      <c r="E486" s="42">
        <v>21</v>
      </c>
      <c r="F486" s="42" t="s">
        <v>53</v>
      </c>
      <c r="G486" s="42" t="s">
        <v>53</v>
      </c>
      <c r="H486" s="43" t="s">
        <v>721</v>
      </c>
      <c r="I486" s="44" t="s">
        <v>43</v>
      </c>
      <c r="J486" s="42" t="s">
        <v>44</v>
      </c>
      <c r="K486" s="43" t="s">
        <v>43</v>
      </c>
      <c r="L486" s="42">
        <v>3</v>
      </c>
      <c r="M486" s="42">
        <v>1</v>
      </c>
      <c r="N486" s="43">
        <v>1</v>
      </c>
      <c r="O486" s="42">
        <v>5</v>
      </c>
      <c r="P486" s="42">
        <v>1</v>
      </c>
      <c r="Q486" s="43">
        <v>2</v>
      </c>
      <c r="R486" s="42">
        <v>5</v>
      </c>
      <c r="S486" s="42">
        <v>7</v>
      </c>
      <c r="T486" s="42">
        <v>2</v>
      </c>
      <c r="U486" s="42">
        <v>7</v>
      </c>
      <c r="V486" s="42">
        <v>2</v>
      </c>
      <c r="W486" s="42">
        <v>3</v>
      </c>
      <c r="X486" s="42" t="s">
        <v>45</v>
      </c>
      <c r="Y486" s="42" t="s">
        <v>45</v>
      </c>
      <c r="Z486" s="42" t="s">
        <v>45</v>
      </c>
      <c r="AA486" s="42" t="s">
        <v>45</v>
      </c>
      <c r="AB486" s="42">
        <v>4</v>
      </c>
      <c r="AC486" s="42">
        <v>5</v>
      </c>
      <c r="AD486" s="42" t="s">
        <v>45</v>
      </c>
      <c r="AE486" s="42" t="s">
        <v>45</v>
      </c>
      <c r="AF486" s="42" t="s">
        <v>45</v>
      </c>
      <c r="AG486" s="42" t="s">
        <v>45</v>
      </c>
      <c r="AH486" s="42" t="s">
        <v>45</v>
      </c>
      <c r="AI486" s="42" t="s">
        <v>45</v>
      </c>
      <c r="AJ486" s="42" t="s">
        <v>45</v>
      </c>
      <c r="AK486" s="42" t="s">
        <v>45</v>
      </c>
      <c r="AL486" s="42" t="s">
        <v>45</v>
      </c>
      <c r="AM486" s="42" t="s">
        <v>45</v>
      </c>
      <c r="AN486" s="42" t="s">
        <v>45</v>
      </c>
      <c r="AO486" s="43" t="s">
        <v>45</v>
      </c>
      <c r="AP486" s="42" t="s">
        <v>48</v>
      </c>
      <c r="AQ486" s="42">
        <v>3</v>
      </c>
      <c r="AR486" s="50" t="s">
        <v>357</v>
      </c>
      <c r="AS486" s="45" t="s">
        <v>45</v>
      </c>
      <c r="AT486" s="45" t="s">
        <v>47</v>
      </c>
      <c r="AU486" s="46">
        <f>($O$3*(L486-$O$1)/$O$2+$P$3*(M486-$P$1)/$P$2+$Q$3*(N486-$P$1)/$Q$2)/SUM($O$3:$Q$3)</f>
        <v>-2.3121015889492513</v>
      </c>
      <c r="AV486" s="46">
        <f>($O$3*(O486-$O$1)/$O$2+$P$3*(P486-$P$1)/$P$2+$Q$3*(Q486-$Q$1)/$Q$2)/SUM($O$3:$Q$3)</f>
        <v>-1.2349036231397219</v>
      </c>
      <c r="AW486" s="47">
        <f>COUNT(R486:AO486)/2</f>
        <v>4</v>
      </c>
      <c r="AX486" s="47">
        <f>IF(AND(S486&lt;&gt;"-",S486&gt;5),1,0)+IF(AND(U486&lt;&gt;"-",U486&gt;5),1,0)+IF(AND(W486&lt;&gt;"-",W486&gt;5),1,0)+IF(AND(Y486&lt;&gt;"-",Y486&gt;5),1,0)+IF(AND(AA486&lt;&gt;"-",AA486&gt;5),1,0)+IF(AND(AC486&lt;&gt;"-",AC486&gt;5),1,0)+IF(AND(AE486&lt;&gt;"-",AE486&gt;5),1,0)+IF(AND(AG486&lt;&gt;"-",AG486&gt;5),1,0)+IF(AND(AI486&lt;&gt;"-",AI486&gt;5),1,0)+IF(AND(AK486&lt;&gt;"-",AK486&gt;5),1,0)+IF(AND(AM486&lt;&gt;"-",AM486&gt;5),1,0)+IF(AND(AO486&lt;&gt;"-",AO486&gt;5),1,0)</f>
        <v>2</v>
      </c>
      <c r="AY486" s="48">
        <f>VLOOKUP(AP486,COND!$A$10:$B$32,2,FALSE)</f>
        <v>1.05</v>
      </c>
      <c r="AZ486" s="46">
        <f>($AU$3*AU486+$AV$3*AV486+$AW$3*AW486+$AX$3*AX486)*AY486*IF(AQ486&lt;5,0.95,IF(AQ486&lt;7,0.975,1))+$I$3*VLOOKUP(I486,COND!$A$2:$E$7,4,FALSE)+$J$3*VLOOKUP(J486,COND!$A$2:$E$7,2,FALSE)+$K$3*VLOOKUP(K486,COND!$A$2:$E$7,3,FALSE)+IF(BB486="SP",$BB$3,0)+IF($AW486&lt;3,-5,0)+IF(AND($B$2&gt;0,$E486&lt;20),$B$2*25,0)</f>
        <v>24.091158451367171</v>
      </c>
      <c r="BA486" s="49">
        <f>STANDARDIZE(AZ486,AVERAGE($AZ$5:$AZ$570),STDEVP($AZ$5:$AZ$570))</f>
        <v>-0.79150806339130209</v>
      </c>
      <c r="BB486" s="47" t="str">
        <f>IF(OR(AND(AQ486&gt;7,AX486&gt;1),AND(AQ486&gt;4,AW486&gt;2)),"SP","RP")</f>
        <v>RP</v>
      </c>
      <c r="BC486" s="47"/>
      <c r="BD486" s="47"/>
      <c r="BE486" s="47"/>
      <c r="BF486" s="47" t="str">
        <f>IF(AVERAGE($O486:$Q486)&gt;=6,"Likely",IF(AVERAGE($O486:$Q486)&gt;=4,"Possible","Unlikely"))</f>
        <v>Unlikely</v>
      </c>
      <c r="BG486" s="47"/>
      <c r="BH486" s="47" t="str">
        <f>INDEX(Table5[[#All],[Ovr]],MATCH(Table3[[#This Row],[PID]],Table5[[#All],[PID]],0))</f>
        <v/>
      </c>
      <c r="BI486" s="47" t="str">
        <f>INDEX(Table5[[#All],[Rnd]],MATCH(Table3[[#This Row],[PID]],Table5[[#All],[PID]],0))</f>
        <v/>
      </c>
      <c r="BJ486" s="47" t="str">
        <f>INDEX(Table5[[#All],[Pick]],MATCH(Table3[[#This Row],[PID]],Table5[[#All],[PID]],0))</f>
        <v/>
      </c>
      <c r="BK486" s="47" t="str">
        <f>INDEX(Table5[[#All],[Team]],MATCH(Table3[[#This Row],[PID]],Table5[[#All],[PID]],0))</f>
        <v/>
      </c>
      <c r="BL4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7" spans="1:64" ht="15" customHeight="1" x14ac:dyDescent="0.25">
      <c r="A487" s="42">
        <v>17899</v>
      </c>
      <c r="B487" s="42" t="s">
        <v>430</v>
      </c>
      <c r="C487" s="42" t="s">
        <v>1717</v>
      </c>
      <c r="D487" s="42" t="s">
        <v>1718</v>
      </c>
      <c r="E487" s="42">
        <v>18</v>
      </c>
      <c r="F487" s="42" t="s">
        <v>62</v>
      </c>
      <c r="G487" s="42" t="s">
        <v>42</v>
      </c>
      <c r="H487" s="43" t="s">
        <v>721</v>
      </c>
      <c r="I487" s="44" t="s">
        <v>43</v>
      </c>
      <c r="J487" s="42" t="s">
        <v>44</v>
      </c>
      <c r="K487" s="43" t="s">
        <v>43</v>
      </c>
      <c r="L487" s="42">
        <v>1</v>
      </c>
      <c r="M487" s="42">
        <v>1</v>
      </c>
      <c r="N487" s="43">
        <v>1</v>
      </c>
      <c r="O487" s="42">
        <v>4</v>
      </c>
      <c r="P487" s="42">
        <v>1</v>
      </c>
      <c r="Q487" s="43">
        <v>2</v>
      </c>
      <c r="R487" s="42">
        <v>3</v>
      </c>
      <c r="S487" s="42">
        <v>5</v>
      </c>
      <c r="T487" s="42">
        <v>1</v>
      </c>
      <c r="U487" s="42">
        <v>5</v>
      </c>
      <c r="V487" s="42" t="s">
        <v>45</v>
      </c>
      <c r="W487" s="42" t="s">
        <v>45</v>
      </c>
      <c r="X487" s="42">
        <v>2</v>
      </c>
      <c r="Y487" s="42">
        <v>5</v>
      </c>
      <c r="Z487" s="42" t="s">
        <v>45</v>
      </c>
      <c r="AA487" s="42" t="s">
        <v>45</v>
      </c>
      <c r="AB487" s="42" t="s">
        <v>45</v>
      </c>
      <c r="AC487" s="42" t="s">
        <v>45</v>
      </c>
      <c r="AD487" s="42" t="s">
        <v>45</v>
      </c>
      <c r="AE487" s="42" t="s">
        <v>45</v>
      </c>
      <c r="AF487" s="42" t="s">
        <v>45</v>
      </c>
      <c r="AG487" s="42" t="s">
        <v>45</v>
      </c>
      <c r="AH487" s="42" t="s">
        <v>45</v>
      </c>
      <c r="AI487" s="42" t="s">
        <v>45</v>
      </c>
      <c r="AJ487" s="42" t="s">
        <v>45</v>
      </c>
      <c r="AK487" s="42" t="s">
        <v>45</v>
      </c>
      <c r="AL487" s="42" t="s">
        <v>45</v>
      </c>
      <c r="AM487" s="42" t="s">
        <v>45</v>
      </c>
      <c r="AN487" s="42" t="s">
        <v>45</v>
      </c>
      <c r="AO487" s="43" t="s">
        <v>45</v>
      </c>
      <c r="AP487" s="42" t="s">
        <v>64</v>
      </c>
      <c r="AQ487" s="42">
        <v>8</v>
      </c>
      <c r="AR487" s="50" t="s">
        <v>353</v>
      </c>
      <c r="AS487" s="45" t="s">
        <v>739</v>
      </c>
      <c r="AT487" s="45" t="s">
        <v>47</v>
      </c>
      <c r="AU487" s="46">
        <f>($O$3*(L487-$O$1)/$O$2+$P$3*(M487-$P$1)/$P$2+$Q$3*(N487-$P$1)/$Q$2)/SUM($O$3:$Q$3)</f>
        <v>-2.7014842379675978</v>
      </c>
      <c r="AV487" s="46">
        <f>($O$3*(O487-$O$1)/$O$2+$P$3*(P487-$P$1)/$P$2+$Q$3*(Q487-$Q$1)/$Q$2)/SUM($O$3:$Q$3)</f>
        <v>-1.4295949476488956</v>
      </c>
      <c r="AW487" s="47">
        <f>COUNT(R487:AO487)/2</f>
        <v>3</v>
      </c>
      <c r="AX487" s="47">
        <f>IF(AND(S487&lt;&gt;"-",S487&gt;5),1,0)+IF(AND(U487&lt;&gt;"-",U487&gt;5),1,0)+IF(AND(W487&lt;&gt;"-",W487&gt;5),1,0)+IF(AND(Y487&lt;&gt;"-",Y487&gt;5),1,0)+IF(AND(AA487&lt;&gt;"-",AA487&gt;5),1,0)+IF(AND(AC487&lt;&gt;"-",AC487&gt;5),1,0)+IF(AND(AE487&lt;&gt;"-",AE487&gt;5),1,0)+IF(AND(AG487&lt;&gt;"-",AG487&gt;5),1,0)+IF(AND(AI487&lt;&gt;"-",AI487&gt;5),1,0)+IF(AND(AK487&lt;&gt;"-",AK487&gt;5),1,0)+IF(AND(AM487&lt;&gt;"-",AM487&gt;5),1,0)+IF(AND(AO487&lt;&gt;"-",AO487&gt;5),1,0)</f>
        <v>0</v>
      </c>
      <c r="AY487" s="48">
        <f>VLOOKUP(AP487,COND!$A$10:$B$32,2,FALSE)</f>
        <v>1</v>
      </c>
      <c r="AZ487" s="46">
        <f>($AU$3*AU487+$AV$3*AV487+$AW$3*AW487+$AX$3*AX487)*AY487*IF(AQ487&lt;5,0.95,IF(AQ487&lt;7,0.975,1))+$I$3*VLOOKUP(I487,COND!$A$2:$E$7,4,FALSE)+$J$3*VLOOKUP(J487,COND!$A$2:$E$7,2,FALSE)+$K$3*VLOOKUP(K487,COND!$A$2:$E$7,3,FALSE)+IF(BB487="SP",$BB$3,0)+IF($AW487&lt;3,-5,0)+IF(AND($B$2&gt;0,$E487&lt;20),$B$2*25,0)</f>
        <v>24.067804199428565</v>
      </c>
      <c r="BA487" s="49">
        <f>STANDARDIZE(AZ487,AVERAGE($AZ$5:$AZ$570),STDEVP($AZ$5:$AZ$570))</f>
        <v>-0.79364974811224298</v>
      </c>
      <c r="BB487" s="47" t="str">
        <f>IF(OR(AND(AQ487&gt;7,AX487&gt;1),AND(AQ487&gt;4,AW487&gt;2)),"SP","RP")</f>
        <v>SP</v>
      </c>
      <c r="BC487" s="47"/>
      <c r="BD487" s="47"/>
      <c r="BE487" s="47"/>
      <c r="BF487" s="47" t="str">
        <f>IF(AVERAGE($O487:$Q487)&gt;=6,"Likely",IF(AVERAGE($O487:$Q487)&gt;=4,"Possible","Unlikely"))</f>
        <v>Unlikely</v>
      </c>
      <c r="BG487" s="47"/>
      <c r="BH487" s="47" t="str">
        <f>INDEX(Table5[[#All],[Ovr]],MATCH(Table3[[#This Row],[PID]],Table5[[#All],[PID]],0))</f>
        <v/>
      </c>
      <c r="BI487" s="47" t="str">
        <f>INDEX(Table5[[#All],[Rnd]],MATCH(Table3[[#This Row],[PID]],Table5[[#All],[PID]],0))</f>
        <v/>
      </c>
      <c r="BJ487" s="47" t="str">
        <f>INDEX(Table5[[#All],[Pick]],MATCH(Table3[[#This Row],[PID]],Table5[[#All],[PID]],0))</f>
        <v/>
      </c>
      <c r="BK487" s="47" t="str">
        <f>INDEX(Table5[[#All],[Team]],MATCH(Table3[[#This Row],[PID]],Table5[[#All],[PID]],0))</f>
        <v/>
      </c>
      <c r="BL4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8" spans="1:64" ht="15" customHeight="1" x14ac:dyDescent="0.25">
      <c r="A488" s="42">
        <v>5404</v>
      </c>
      <c r="B488" s="42" t="s">
        <v>430</v>
      </c>
      <c r="C488" s="42" t="s">
        <v>324</v>
      </c>
      <c r="D488" s="42" t="s">
        <v>653</v>
      </c>
      <c r="E488" s="42">
        <v>20</v>
      </c>
      <c r="F488" s="42" t="s">
        <v>42</v>
      </c>
      <c r="G488" s="42" t="s">
        <v>42</v>
      </c>
      <c r="H488" s="43" t="s">
        <v>721</v>
      </c>
      <c r="I488" s="44" t="s">
        <v>43</v>
      </c>
      <c r="J488" s="42" t="s">
        <v>43</v>
      </c>
      <c r="K488" s="43" t="s">
        <v>43</v>
      </c>
      <c r="L488" s="42">
        <v>2</v>
      </c>
      <c r="M488" s="42">
        <v>2</v>
      </c>
      <c r="N488" s="43">
        <v>1</v>
      </c>
      <c r="O488" s="42">
        <v>4</v>
      </c>
      <c r="P488" s="42">
        <v>2</v>
      </c>
      <c r="Q488" s="43">
        <v>2</v>
      </c>
      <c r="R488" s="42">
        <v>3</v>
      </c>
      <c r="S488" s="42">
        <v>5</v>
      </c>
      <c r="T488" s="42">
        <v>1</v>
      </c>
      <c r="U488" s="42">
        <v>2</v>
      </c>
      <c r="V488" s="42" t="s">
        <v>45</v>
      </c>
      <c r="W488" s="42" t="s">
        <v>45</v>
      </c>
      <c r="X488" s="42" t="s">
        <v>45</v>
      </c>
      <c r="Y488" s="42" t="s">
        <v>45</v>
      </c>
      <c r="Z488" s="42" t="s">
        <v>45</v>
      </c>
      <c r="AA488" s="42" t="s">
        <v>45</v>
      </c>
      <c r="AB488" s="42">
        <v>3</v>
      </c>
      <c r="AC488" s="42">
        <v>5</v>
      </c>
      <c r="AD488" s="42" t="s">
        <v>45</v>
      </c>
      <c r="AE488" s="42" t="s">
        <v>45</v>
      </c>
      <c r="AF488" s="42" t="s">
        <v>45</v>
      </c>
      <c r="AG488" s="42" t="s">
        <v>45</v>
      </c>
      <c r="AH488" s="42" t="s">
        <v>45</v>
      </c>
      <c r="AI488" s="42" t="s">
        <v>45</v>
      </c>
      <c r="AJ488" s="42" t="s">
        <v>45</v>
      </c>
      <c r="AK488" s="42" t="s">
        <v>45</v>
      </c>
      <c r="AL488" s="42" t="s">
        <v>45</v>
      </c>
      <c r="AM488" s="42" t="s">
        <v>45</v>
      </c>
      <c r="AN488" s="42" t="s">
        <v>45</v>
      </c>
      <c r="AO488" s="43" t="s">
        <v>45</v>
      </c>
      <c r="AP488" s="42" t="s">
        <v>355</v>
      </c>
      <c r="AQ488" s="42">
        <v>7</v>
      </c>
      <c r="AR488" s="50" t="s">
        <v>353</v>
      </c>
      <c r="AS488" s="45" t="s">
        <v>45</v>
      </c>
      <c r="AT488" s="45" t="s">
        <v>705</v>
      </c>
      <c r="AU488" s="46">
        <f>($O$3*(L488-$O$1)/$O$2+$P$3*(M488-$P$1)/$P$2+$Q$3*(N488-$P$1)/$Q$2)/SUM($O$3:$Q$3)</f>
        <v>-2.311361197028369</v>
      </c>
      <c r="AV488" s="46">
        <f>($O$3*(O488-$O$1)/$O$2+$P$3*(P488-$P$1)/$P$2+$Q$3*(Q488-$Q$1)/$Q$2)/SUM($O$3:$Q$3)</f>
        <v>-1.23416323121884</v>
      </c>
      <c r="AW488" s="47">
        <f>COUNT(R488:AO488)/2</f>
        <v>3</v>
      </c>
      <c r="AX488" s="47">
        <f>IF(AND(S488&lt;&gt;"-",S488&gt;5),1,0)+IF(AND(U488&lt;&gt;"-",U488&gt;5),1,0)+IF(AND(W488&lt;&gt;"-",W488&gt;5),1,0)+IF(AND(Y488&lt;&gt;"-",Y488&gt;5),1,0)+IF(AND(AA488&lt;&gt;"-",AA488&gt;5),1,0)+IF(AND(AC488&lt;&gt;"-",AC488&gt;5),1,0)+IF(AND(AE488&lt;&gt;"-",AE488&gt;5),1,0)+IF(AND(AG488&lt;&gt;"-",AG488&gt;5),1,0)+IF(AND(AI488&lt;&gt;"-",AI488&gt;5),1,0)+IF(AND(AK488&lt;&gt;"-",AK488&gt;5),1,0)+IF(AND(AM488&lt;&gt;"-",AM488&gt;5),1,0)+IF(AND(AO488&lt;&gt;"-",AO488&gt;5),1,0)</f>
        <v>0</v>
      </c>
      <c r="AY488" s="48">
        <f>VLOOKUP(AP488,COND!$A$10:$B$32,2,FALSE)</f>
        <v>1</v>
      </c>
      <c r="AZ488" s="46">
        <f>($AU$3*AU488+$AV$3*AV488+$AW$3*AW488+$AX$3*AX488)*AY488*IF(AQ488&lt;5,0.95,IF(AQ488&lt;7,0.975,1))+$I$3*VLOOKUP(I488,COND!$A$2:$E$7,4,FALSE)+$J$3*VLOOKUP(J488,COND!$A$2:$E$7,2,FALSE)+$K$3*VLOOKUP(K488,COND!$A$2:$E$7,3,FALSE)+IF(BB488="SP",$BB$3,0)+IF($AW488&lt;3,-5,0)+IF(AND($B$2&gt;0,$E488&lt;20),$B$2*25,0)</f>
        <v>23.354463136217525</v>
      </c>
      <c r="BA488" s="49">
        <f>STANDARDIZE(AZ488,AVERAGE($AZ$5:$AZ$570),STDEVP($AZ$5:$AZ$570))</f>
        <v>-0.85906617249247808</v>
      </c>
      <c r="BB488" s="47" t="str">
        <f>IF(OR(AND(AQ488&gt;7,AX488&gt;1),AND(AQ488&gt;4,AW488&gt;2)),"SP","RP")</f>
        <v>SP</v>
      </c>
      <c r="BC488" s="47"/>
      <c r="BD488" s="47"/>
      <c r="BE488" s="47"/>
      <c r="BF488" s="47" t="str">
        <f>IF(AVERAGE($O488:$Q488)&gt;=6,"Likely",IF(AVERAGE($O488:$Q488)&gt;=4,"Possible","Unlikely"))</f>
        <v>Unlikely</v>
      </c>
      <c r="BG488" s="47"/>
      <c r="BH488" s="47" t="str">
        <f>INDEX(Table5[[#All],[Ovr]],MATCH(Table3[[#This Row],[PID]],Table5[[#All],[PID]],0))</f>
        <v/>
      </c>
      <c r="BI488" s="47" t="str">
        <f>INDEX(Table5[[#All],[Rnd]],MATCH(Table3[[#This Row],[PID]],Table5[[#All],[PID]],0))</f>
        <v/>
      </c>
      <c r="BJ488" s="47" t="str">
        <f>INDEX(Table5[[#All],[Pick]],MATCH(Table3[[#This Row],[PID]],Table5[[#All],[PID]],0))</f>
        <v/>
      </c>
      <c r="BK488" s="47" t="str">
        <f>INDEX(Table5[[#All],[Team]],MATCH(Table3[[#This Row],[PID]],Table5[[#All],[PID]],0))</f>
        <v/>
      </c>
      <c r="BL4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9" spans="1:64" ht="15" customHeight="1" x14ac:dyDescent="0.25">
      <c r="A489" s="42">
        <v>17597</v>
      </c>
      <c r="B489" s="42" t="s">
        <v>430</v>
      </c>
      <c r="C489" s="42" t="s">
        <v>939</v>
      </c>
      <c r="D489" s="42" t="s">
        <v>1686</v>
      </c>
      <c r="E489" s="42">
        <v>18</v>
      </c>
      <c r="F489" s="42" t="s">
        <v>42</v>
      </c>
      <c r="G489" s="42" t="s">
        <v>42</v>
      </c>
      <c r="H489" s="43" t="s">
        <v>721</v>
      </c>
      <c r="I489" s="44" t="s">
        <v>44</v>
      </c>
      <c r="J489" s="42" t="s">
        <v>43</v>
      </c>
      <c r="K489" s="43" t="s">
        <v>43</v>
      </c>
      <c r="L489" s="42">
        <v>2</v>
      </c>
      <c r="M489" s="42">
        <v>1</v>
      </c>
      <c r="N489" s="43">
        <v>1</v>
      </c>
      <c r="O489" s="42">
        <v>4</v>
      </c>
      <c r="P489" s="42">
        <v>2</v>
      </c>
      <c r="Q489" s="43">
        <v>1</v>
      </c>
      <c r="R489" s="42">
        <v>3</v>
      </c>
      <c r="S489" s="42">
        <v>5</v>
      </c>
      <c r="T489" s="42">
        <v>1</v>
      </c>
      <c r="U489" s="42">
        <v>1</v>
      </c>
      <c r="V489" s="42" t="s">
        <v>45</v>
      </c>
      <c r="W489" s="42" t="s">
        <v>45</v>
      </c>
      <c r="X489" s="42">
        <v>2</v>
      </c>
      <c r="Y489" s="42">
        <v>5</v>
      </c>
      <c r="Z489" s="42" t="s">
        <v>45</v>
      </c>
      <c r="AA489" s="42" t="s">
        <v>45</v>
      </c>
      <c r="AB489" s="42" t="s">
        <v>45</v>
      </c>
      <c r="AC489" s="42" t="s">
        <v>45</v>
      </c>
      <c r="AD489" s="42" t="s">
        <v>45</v>
      </c>
      <c r="AE489" s="42" t="s">
        <v>45</v>
      </c>
      <c r="AF489" s="42" t="s">
        <v>45</v>
      </c>
      <c r="AG489" s="42" t="s">
        <v>45</v>
      </c>
      <c r="AH489" s="42" t="s">
        <v>45</v>
      </c>
      <c r="AI489" s="42" t="s">
        <v>45</v>
      </c>
      <c r="AJ489" s="42" t="s">
        <v>45</v>
      </c>
      <c r="AK489" s="42" t="s">
        <v>45</v>
      </c>
      <c r="AL489" s="42" t="s">
        <v>45</v>
      </c>
      <c r="AM489" s="42" t="s">
        <v>45</v>
      </c>
      <c r="AN489" s="42" t="s">
        <v>45</v>
      </c>
      <c r="AO489" s="43" t="s">
        <v>45</v>
      </c>
      <c r="AP489" s="42" t="s">
        <v>356</v>
      </c>
      <c r="AQ489" s="42">
        <v>7</v>
      </c>
      <c r="AR489" s="50" t="s">
        <v>14</v>
      </c>
      <c r="AS489" s="45" t="s">
        <v>718</v>
      </c>
      <c r="AT489" s="45" t="s">
        <v>705</v>
      </c>
      <c r="AU489" s="46">
        <f>($O$3*(L489-$O$1)/$O$2+$P$3*(M489-$P$1)/$P$2+$Q$3*(N489-$P$1)/$Q$2)/SUM($O$3:$Q$3)</f>
        <v>-2.5067929134584248</v>
      </c>
      <c r="AV489" s="46">
        <f>($O$3*(O489-$O$1)/$O$2+$P$3*(P489-$P$1)/$P$2+$Q$3*(Q489-$Q$1)/$Q$2)/SUM($O$3:$Q$3)</f>
        <v>-1.4764837972729503</v>
      </c>
      <c r="AW489" s="47">
        <f>COUNT(R489:AO489)/2</f>
        <v>3</v>
      </c>
      <c r="AX489" s="47">
        <f>IF(AND(S489&lt;&gt;"-",S489&gt;5),1,0)+IF(AND(U489&lt;&gt;"-",U489&gt;5),1,0)+IF(AND(W489&lt;&gt;"-",W489&gt;5),1,0)+IF(AND(Y489&lt;&gt;"-",Y489&gt;5),1,0)+IF(AND(AA489&lt;&gt;"-",AA489&gt;5),1,0)+IF(AND(AC489&lt;&gt;"-",AC489&gt;5),1,0)+IF(AND(AE489&lt;&gt;"-",AE489&gt;5),1,0)+IF(AND(AG489&lt;&gt;"-",AG489&gt;5),1,0)+IF(AND(AI489&lt;&gt;"-",AI489&gt;5),1,0)+IF(AND(AK489&lt;&gt;"-",AK489&gt;5),1,0)+IF(AND(AM489&lt;&gt;"-",AM489&gt;5),1,0)+IF(AND(AO489&lt;&gt;"-",AO489&gt;5),1,0)</f>
        <v>0</v>
      </c>
      <c r="AY489" s="48">
        <f>VLOOKUP(AP489,COND!$A$10:$B$32,2,FALSE)</f>
        <v>1</v>
      </c>
      <c r="AZ489" s="46">
        <f>($AU$3*AU489+$AV$3*AV489+$AW$3*AW489+$AX$3*AX489)*AY489*IF(AQ489&lt;5,0.95,IF(AQ489&lt;7,0.975,1))+$I$3*VLOOKUP(I489,COND!$A$2:$E$7,4,FALSE)+$J$3*VLOOKUP(J489,COND!$A$2:$E$7,2,FALSE)+$K$3*VLOOKUP(K489,COND!$A$2:$E$7,3,FALSE)+IF(BB489="SP",$BB$3,0)+IF($AW489&lt;3,-5,0)+IF(AND($B$2&gt;0,$E489&lt;20),$B$2*25,0)</f>
        <v>23.31896547184931</v>
      </c>
      <c r="BA489" s="49">
        <f>STANDARDIZE(AZ489,AVERAGE($AZ$5:$AZ$570),STDEVP($AZ$5:$AZ$570))</f>
        <v>-0.86232146003524968</v>
      </c>
      <c r="BB489" s="47" t="str">
        <f>IF(OR(AND(AQ489&gt;7,AX489&gt;1),AND(AQ489&gt;4,AW489&gt;2)),"SP","RP")</f>
        <v>SP</v>
      </c>
      <c r="BC489" s="47"/>
      <c r="BD489" s="47"/>
      <c r="BE489" s="47"/>
      <c r="BF489" s="47" t="str">
        <f>IF(AVERAGE($O489:$Q489)&gt;=6,"Likely",IF(AVERAGE($O489:$Q489)&gt;=4,"Possible","Unlikely"))</f>
        <v>Unlikely</v>
      </c>
      <c r="BG489" s="47"/>
      <c r="BH489" s="47" t="str">
        <f>INDEX(Table5[[#All],[Ovr]],MATCH(Table3[[#This Row],[PID]],Table5[[#All],[PID]],0))</f>
        <v/>
      </c>
      <c r="BI489" s="47" t="str">
        <f>INDEX(Table5[[#All],[Rnd]],MATCH(Table3[[#This Row],[PID]],Table5[[#All],[PID]],0))</f>
        <v/>
      </c>
      <c r="BJ489" s="47" t="str">
        <f>INDEX(Table5[[#All],[Pick]],MATCH(Table3[[#This Row],[PID]],Table5[[#All],[PID]],0))</f>
        <v/>
      </c>
      <c r="BK489" s="47" t="str">
        <f>INDEX(Table5[[#All],[Team]],MATCH(Table3[[#This Row],[PID]],Table5[[#All],[PID]],0))</f>
        <v/>
      </c>
      <c r="BL4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0" spans="1:64" ht="15" customHeight="1" x14ac:dyDescent="0.25">
      <c r="A490" s="42">
        <v>5861</v>
      </c>
      <c r="B490" s="42" t="s">
        <v>430</v>
      </c>
      <c r="C490" s="42" t="s">
        <v>206</v>
      </c>
      <c r="D490" s="42" t="s">
        <v>878</v>
      </c>
      <c r="E490" s="42">
        <v>18</v>
      </c>
      <c r="F490" s="42" t="s">
        <v>42</v>
      </c>
      <c r="G490" s="42" t="s">
        <v>42</v>
      </c>
      <c r="H490" s="43" t="s">
        <v>721</v>
      </c>
      <c r="I490" s="44" t="s">
        <v>43</v>
      </c>
      <c r="J490" s="42" t="s">
        <v>43</v>
      </c>
      <c r="K490" s="43" t="s">
        <v>43</v>
      </c>
      <c r="L490" s="42">
        <v>1</v>
      </c>
      <c r="M490" s="42">
        <v>2</v>
      </c>
      <c r="N490" s="43">
        <v>1</v>
      </c>
      <c r="O490" s="42">
        <v>4</v>
      </c>
      <c r="P490" s="42">
        <v>2</v>
      </c>
      <c r="Q490" s="43">
        <v>2</v>
      </c>
      <c r="R490" s="42">
        <v>3</v>
      </c>
      <c r="S490" s="42">
        <v>5</v>
      </c>
      <c r="T490" s="42" t="s">
        <v>45</v>
      </c>
      <c r="U490" s="42" t="s">
        <v>45</v>
      </c>
      <c r="V490" s="42" t="s">
        <v>45</v>
      </c>
      <c r="W490" s="42" t="s">
        <v>45</v>
      </c>
      <c r="X490" s="42">
        <v>2</v>
      </c>
      <c r="Y490" s="42">
        <v>6</v>
      </c>
      <c r="Z490" s="42" t="s">
        <v>45</v>
      </c>
      <c r="AA490" s="42" t="s">
        <v>45</v>
      </c>
      <c r="AB490" s="42" t="s">
        <v>45</v>
      </c>
      <c r="AC490" s="42" t="s">
        <v>45</v>
      </c>
      <c r="AD490" s="42" t="s">
        <v>45</v>
      </c>
      <c r="AE490" s="42" t="s">
        <v>45</v>
      </c>
      <c r="AF490" s="42" t="s">
        <v>45</v>
      </c>
      <c r="AG490" s="42" t="s">
        <v>45</v>
      </c>
      <c r="AH490" s="42" t="s">
        <v>45</v>
      </c>
      <c r="AI490" s="42" t="s">
        <v>45</v>
      </c>
      <c r="AJ490" s="42" t="s">
        <v>45</v>
      </c>
      <c r="AK490" s="42" t="s">
        <v>45</v>
      </c>
      <c r="AL490" s="42" t="s">
        <v>45</v>
      </c>
      <c r="AM490" s="42" t="s">
        <v>45</v>
      </c>
      <c r="AN490" s="42" t="s">
        <v>45</v>
      </c>
      <c r="AO490" s="43" t="s">
        <v>45</v>
      </c>
      <c r="AP490" s="42" t="s">
        <v>64</v>
      </c>
      <c r="AQ490" s="42">
        <v>3</v>
      </c>
      <c r="AR490" s="50" t="s">
        <v>353</v>
      </c>
      <c r="AS490" s="45" t="s">
        <v>718</v>
      </c>
      <c r="AT490" s="45" t="s">
        <v>47</v>
      </c>
      <c r="AU490" s="46">
        <f>($O$3*(L490-$O$1)/$O$2+$P$3*(M490-$P$1)/$P$2+$Q$3*(N490-$P$1)/$Q$2)/SUM($O$3:$Q$3)</f>
        <v>-2.5060525215375429</v>
      </c>
      <c r="AV490" s="46">
        <f>($O$3*(O490-$O$1)/$O$2+$P$3*(P490-$P$1)/$P$2+$Q$3*(Q490-$Q$1)/$Q$2)/SUM($O$3:$Q$3)</f>
        <v>-1.23416323121884</v>
      </c>
      <c r="AW490" s="47">
        <f>COUNT(R490:AO490)/2</f>
        <v>2</v>
      </c>
      <c r="AX490" s="47">
        <f>IF(AND(S490&lt;&gt;"-",S490&gt;5),1,0)+IF(AND(U490&lt;&gt;"-",U490&gt;5),1,0)+IF(AND(W490&lt;&gt;"-",W490&gt;5),1,0)+IF(AND(Y490&lt;&gt;"-",Y490&gt;5),1,0)+IF(AND(AA490&lt;&gt;"-",AA490&gt;5),1,0)+IF(AND(AC490&lt;&gt;"-",AC490&gt;5),1,0)+IF(AND(AE490&lt;&gt;"-",AE490&gt;5),1,0)+IF(AND(AG490&lt;&gt;"-",AG490&gt;5),1,0)+IF(AND(AI490&lt;&gt;"-",AI490&gt;5),1,0)+IF(AND(AK490&lt;&gt;"-",AK490&gt;5),1,0)+IF(AND(AM490&lt;&gt;"-",AM490&gt;5),1,0)+IF(AND(AO490&lt;&gt;"-",AO490&gt;5),1,0)</f>
        <v>1</v>
      </c>
      <c r="AY490" s="48">
        <f>VLOOKUP(AP490,COND!$A$10:$B$32,2,FALSE)</f>
        <v>1</v>
      </c>
      <c r="AZ490" s="46">
        <f>($AU$3*AU490+$AV$3*AV490+$AW$3*AW490+$AX$3*AX490)*AY490*IF(AQ490&lt;5,0.95,IF(AQ490&lt;7,0.975,1))+$I$3*VLOOKUP(I490,COND!$A$2:$E$7,4,FALSE)+$J$3*VLOOKUP(J490,COND!$A$2:$E$7,2,FALSE)+$K$3*VLOOKUP(K490,COND!$A$2:$E$7,3,FALSE)+IF(BB490="SP",$BB$3,0)+IF($AW490&lt;3,-5,0)+IF(AND($B$2&gt;0,$E490&lt;20),$B$2*25,0)</f>
        <v>23.212248627749908</v>
      </c>
      <c r="BA490" s="49">
        <f>STANDARDIZE(AZ490,AVERAGE($AZ$5:$AZ$570),STDEVP($AZ$5:$AZ$570))</f>
        <v>-0.87210785075654274</v>
      </c>
      <c r="BB490" s="47" t="str">
        <f>IF(OR(AND(AQ490&gt;7,AX490&gt;1),AND(AQ490&gt;4,AW490&gt;2)),"SP","RP")</f>
        <v>RP</v>
      </c>
      <c r="BC490" s="47"/>
      <c r="BD490" s="47"/>
      <c r="BE490" s="47"/>
      <c r="BF490" s="47" t="str">
        <f>IF(AVERAGE($O490:$Q490)&gt;=6,"Likely",IF(AVERAGE($O490:$Q490)&gt;=4,"Possible","Unlikely"))</f>
        <v>Unlikely</v>
      </c>
      <c r="BG490" s="47"/>
      <c r="BH490" s="47" t="str">
        <f>INDEX(Table5[[#All],[Ovr]],MATCH(Table3[[#This Row],[PID]],Table5[[#All],[PID]],0))</f>
        <v/>
      </c>
      <c r="BI490" s="47" t="str">
        <f>INDEX(Table5[[#All],[Rnd]],MATCH(Table3[[#This Row],[PID]],Table5[[#All],[PID]],0))</f>
        <v/>
      </c>
      <c r="BJ490" s="47" t="str">
        <f>INDEX(Table5[[#All],[Pick]],MATCH(Table3[[#This Row],[PID]],Table5[[#All],[PID]],0))</f>
        <v/>
      </c>
      <c r="BK490" s="47" t="str">
        <f>INDEX(Table5[[#All],[Team]],MATCH(Table3[[#This Row],[PID]],Table5[[#All],[PID]],0))</f>
        <v/>
      </c>
      <c r="BL4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1" spans="1:64" ht="15" customHeight="1" x14ac:dyDescent="0.25">
      <c r="A491" s="42">
        <v>17909</v>
      </c>
      <c r="B491" s="42" t="s">
        <v>430</v>
      </c>
      <c r="C491" s="42" t="s">
        <v>341</v>
      </c>
      <c r="D491" s="42" t="s">
        <v>1774</v>
      </c>
      <c r="E491" s="42">
        <v>18</v>
      </c>
      <c r="F491" s="42" t="s">
        <v>53</v>
      </c>
      <c r="G491" s="42" t="s">
        <v>53</v>
      </c>
      <c r="H491" s="43" t="s">
        <v>721</v>
      </c>
      <c r="I491" s="44" t="s">
        <v>43</v>
      </c>
      <c r="J491" s="42" t="s">
        <v>43</v>
      </c>
      <c r="K491" s="43" t="s">
        <v>43</v>
      </c>
      <c r="L491" s="42">
        <v>1</v>
      </c>
      <c r="M491" s="42">
        <v>2</v>
      </c>
      <c r="N491" s="43">
        <v>1</v>
      </c>
      <c r="O491" s="42">
        <v>3</v>
      </c>
      <c r="P491" s="42">
        <v>2</v>
      </c>
      <c r="Q491" s="43">
        <v>1</v>
      </c>
      <c r="R491" s="42">
        <v>2</v>
      </c>
      <c r="S491" s="42">
        <v>4</v>
      </c>
      <c r="T491" s="42" t="s">
        <v>45</v>
      </c>
      <c r="U491" s="42" t="s">
        <v>45</v>
      </c>
      <c r="V491" s="42">
        <v>1</v>
      </c>
      <c r="W491" s="42">
        <v>6</v>
      </c>
      <c r="X491" s="42" t="s">
        <v>45</v>
      </c>
      <c r="Y491" s="42" t="s">
        <v>45</v>
      </c>
      <c r="Z491" s="42">
        <v>2</v>
      </c>
      <c r="AA491" s="42">
        <v>4</v>
      </c>
      <c r="AB491" s="42" t="s">
        <v>45</v>
      </c>
      <c r="AC491" s="42" t="s">
        <v>45</v>
      </c>
      <c r="AD491" s="42" t="s">
        <v>45</v>
      </c>
      <c r="AE491" s="42" t="s">
        <v>45</v>
      </c>
      <c r="AF491" s="42" t="s">
        <v>45</v>
      </c>
      <c r="AG491" s="42" t="s">
        <v>45</v>
      </c>
      <c r="AH491" s="42" t="s">
        <v>45</v>
      </c>
      <c r="AI491" s="42" t="s">
        <v>45</v>
      </c>
      <c r="AJ491" s="42" t="s">
        <v>45</v>
      </c>
      <c r="AK491" s="42" t="s">
        <v>45</v>
      </c>
      <c r="AL491" s="42" t="s">
        <v>45</v>
      </c>
      <c r="AM491" s="42" t="s">
        <v>45</v>
      </c>
      <c r="AN491" s="42" t="s">
        <v>45</v>
      </c>
      <c r="AO491" s="43" t="s">
        <v>45</v>
      </c>
      <c r="AP491" s="42" t="s">
        <v>67</v>
      </c>
      <c r="AQ491" s="42">
        <v>10</v>
      </c>
      <c r="AR491" s="50" t="s">
        <v>353</v>
      </c>
      <c r="AS491" s="45" t="s">
        <v>758</v>
      </c>
      <c r="AT491" s="45" t="s">
        <v>47</v>
      </c>
      <c r="AU491" s="46">
        <f>($O$3*(L491-$O$1)/$O$2+$P$3*(M491-$P$1)/$P$2+$Q$3*(N491-$P$1)/$Q$2)/SUM($O$3:$Q$3)</f>
        <v>-2.5060525215375429</v>
      </c>
      <c r="AV491" s="46">
        <f>($O$3*(O491-$O$1)/$O$2+$P$3*(P491-$P$1)/$P$2+$Q$3*(Q491-$Q$1)/$Q$2)/SUM($O$3:$Q$3)</f>
        <v>-1.6711751217821238</v>
      </c>
      <c r="AW491" s="47">
        <f>COUNT(R491:AO491)/2</f>
        <v>3</v>
      </c>
      <c r="AX491" s="47">
        <f>IF(AND(S491&lt;&gt;"-",S491&gt;5),1,0)+IF(AND(U491&lt;&gt;"-",U491&gt;5),1,0)+IF(AND(W491&lt;&gt;"-",W491&gt;5),1,0)+IF(AND(Y491&lt;&gt;"-",Y491&gt;5),1,0)+IF(AND(AA491&lt;&gt;"-",AA491&gt;5),1,0)+IF(AND(AC491&lt;&gt;"-",AC491&gt;5),1,0)+IF(AND(AE491&lt;&gt;"-",AE491&gt;5),1,0)+IF(AND(AG491&lt;&gt;"-",AG491&gt;5),1,0)+IF(AND(AI491&lt;&gt;"-",AI491&gt;5),1,0)+IF(AND(AK491&lt;&gt;"-",AK491&gt;5),1,0)+IF(AND(AM491&lt;&gt;"-",AM491&gt;5),1,0)+IF(AND(AO491&lt;&gt;"-",AO491&gt;5),1,0)</f>
        <v>1</v>
      </c>
      <c r="AY491" s="48">
        <f>VLOOKUP(AP491,COND!$A$10:$B$32,2,FALSE)</f>
        <v>0.9</v>
      </c>
      <c r="AZ491" s="46">
        <f>($AU$3*AU491+$AV$3*AV491+$AW$3*AW491+$AX$3*AX491)*AY491*IF(AQ491&lt;5,0.95,IF(AQ491&lt;7,0.975,1))+$I$3*VLOOKUP(I491,COND!$A$2:$E$7,4,FALSE)+$J$3*VLOOKUP(J491,COND!$A$2:$E$7,2,FALSE)+$K$3*VLOOKUP(K491,COND!$A$2:$E$7,3,FALSE)+IF(BB491="SP",$BB$3,0)+IF($AW491&lt;3,-5,0)+IF(AND($B$2&gt;0,$E491&lt;20),$B$2*25,0)</f>
        <v>23.942758354045015</v>
      </c>
      <c r="BA491" s="49">
        <f>STANDARDIZE(AZ491,AVERAGE($AZ$5:$AZ$676),STDEVP($AZ$5:$AZ$676))</f>
        <v>-0.56551269699571682</v>
      </c>
      <c r="BB491" s="47" t="str">
        <f>IF(OR(AND(AQ491&gt;7,AX491&gt;1),AND(AQ491&gt;4,AW491&gt;2)),"SP","RP")</f>
        <v>SP</v>
      </c>
      <c r="BC491" s="47"/>
      <c r="BD491" s="47"/>
      <c r="BE491" s="47"/>
      <c r="BF491" s="47" t="str">
        <f>IF(AVERAGE($O491:$Q491)&gt;=6,"Likely",IF(AVERAGE($O491:$Q491)&gt;=4,"Possible","Unlikely"))</f>
        <v>Unlikely</v>
      </c>
      <c r="BG491" s="47"/>
      <c r="BH491" s="47" t="str">
        <f>INDEX(Table5[[#All],[Ovr]],MATCH(Table3[[#This Row],[PID]],Table5[[#All],[PID]],0))</f>
        <v/>
      </c>
      <c r="BI491" s="47" t="str">
        <f>INDEX(Table5[[#All],[Rnd]],MATCH(Table3[[#This Row],[PID]],Table5[[#All],[PID]],0))</f>
        <v/>
      </c>
      <c r="BJ491" s="47" t="str">
        <f>INDEX(Table5[[#All],[Pick]],MATCH(Table3[[#This Row],[PID]],Table5[[#All],[PID]],0))</f>
        <v/>
      </c>
      <c r="BK491" s="47" t="str">
        <f>INDEX(Table5[[#All],[Team]],MATCH(Table3[[#This Row],[PID]],Table5[[#All],[PID]],0))</f>
        <v/>
      </c>
      <c r="BL4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2" spans="1:64" ht="15" customHeight="1" x14ac:dyDescent="0.25">
      <c r="A492" s="42">
        <v>13135</v>
      </c>
      <c r="B492" s="42" t="s">
        <v>430</v>
      </c>
      <c r="C492" s="42" t="s">
        <v>639</v>
      </c>
      <c r="D492" s="42" t="s">
        <v>975</v>
      </c>
      <c r="E492" s="42">
        <v>22</v>
      </c>
      <c r="F492" s="42" t="s">
        <v>42</v>
      </c>
      <c r="G492" s="42" t="s">
        <v>42</v>
      </c>
      <c r="H492" s="43" t="s">
        <v>721</v>
      </c>
      <c r="I492" s="44" t="s">
        <v>43</v>
      </c>
      <c r="J492" s="42" t="s">
        <v>44</v>
      </c>
      <c r="K492" s="43" t="s">
        <v>43</v>
      </c>
      <c r="L492" s="42">
        <v>4</v>
      </c>
      <c r="M492" s="42">
        <v>1</v>
      </c>
      <c r="N492" s="43">
        <v>3</v>
      </c>
      <c r="O492" s="42">
        <v>5</v>
      </c>
      <c r="P492" s="42">
        <v>1</v>
      </c>
      <c r="Q492" s="43">
        <v>3</v>
      </c>
      <c r="R492" s="42">
        <v>5</v>
      </c>
      <c r="S492" s="42">
        <v>6</v>
      </c>
      <c r="T492" s="42" t="s">
        <v>45</v>
      </c>
      <c r="U492" s="42" t="s">
        <v>45</v>
      </c>
      <c r="V492" s="42" t="s">
        <v>45</v>
      </c>
      <c r="W492" s="42" t="s">
        <v>45</v>
      </c>
      <c r="X492" s="42" t="s">
        <v>45</v>
      </c>
      <c r="Y492" s="42" t="s">
        <v>45</v>
      </c>
      <c r="Z492" s="42" t="s">
        <v>45</v>
      </c>
      <c r="AA492" s="42" t="s">
        <v>45</v>
      </c>
      <c r="AB492" s="42" t="s">
        <v>45</v>
      </c>
      <c r="AC492" s="42" t="s">
        <v>45</v>
      </c>
      <c r="AD492" s="42" t="s">
        <v>45</v>
      </c>
      <c r="AE492" s="42" t="s">
        <v>45</v>
      </c>
      <c r="AF492" s="42" t="s">
        <v>45</v>
      </c>
      <c r="AG492" s="42" t="s">
        <v>45</v>
      </c>
      <c r="AH492" s="42">
        <v>6</v>
      </c>
      <c r="AI492" s="42">
        <v>7</v>
      </c>
      <c r="AJ492" s="42" t="s">
        <v>45</v>
      </c>
      <c r="AK492" s="42" t="s">
        <v>45</v>
      </c>
      <c r="AL492" s="42" t="s">
        <v>45</v>
      </c>
      <c r="AM492" s="42" t="s">
        <v>45</v>
      </c>
      <c r="AN492" s="42" t="s">
        <v>45</v>
      </c>
      <c r="AO492" s="43" t="s">
        <v>45</v>
      </c>
      <c r="AP492" s="42" t="s">
        <v>57</v>
      </c>
      <c r="AQ492" s="42">
        <v>1</v>
      </c>
      <c r="AR492" s="50" t="s">
        <v>357</v>
      </c>
      <c r="AS492" s="45" t="s">
        <v>45</v>
      </c>
      <c r="AT492" s="45" t="s">
        <v>47</v>
      </c>
      <c r="AU492" s="46">
        <f>($O$3*(L492-$O$1)/$O$2+$P$3*(M492-$P$1)/$P$2+$Q$3*(N492-$P$1)/$Q$2)/SUM($O$3:$Q$3)</f>
        <v>-1.6327691323318567</v>
      </c>
      <c r="AV492" s="46">
        <f>($O$3*(O492-$O$1)/$O$2+$P$3*(P492-$P$1)/$P$2+$Q$3*(Q492-$Q$1)/$Q$2)/SUM($O$3:$Q$3)</f>
        <v>-0.99258305708561179</v>
      </c>
      <c r="AW492" s="47">
        <f>COUNT(R492:AO492)/2</f>
        <v>2</v>
      </c>
      <c r="AX492" s="47">
        <f>IF(AND(S492&lt;&gt;"-",S492&gt;5),1,0)+IF(AND(U492&lt;&gt;"-",U492&gt;5),1,0)+IF(AND(W492&lt;&gt;"-",W492&gt;5),1,0)+IF(AND(Y492&lt;&gt;"-",Y492&gt;5),1,0)+IF(AND(AA492&lt;&gt;"-",AA492&gt;5),1,0)+IF(AND(AC492&lt;&gt;"-",AC492&gt;5),1,0)+IF(AND(AE492&lt;&gt;"-",AE492&gt;5),1,0)+IF(AND(AG492&lt;&gt;"-",AG492&gt;5),1,0)+IF(AND(AI492&lt;&gt;"-",AI492&gt;5),1,0)+IF(AND(AK492&lt;&gt;"-",AK492&gt;5),1,0)+IF(AND(AM492&lt;&gt;"-",AM492&gt;5),1,0)+IF(AND(AO492&lt;&gt;"-",AO492&gt;5),1,0)</f>
        <v>2</v>
      </c>
      <c r="AY492" s="48">
        <f>VLOOKUP(AP492,COND!$A$10:$B$32,2,FALSE)</f>
        <v>1</v>
      </c>
      <c r="AZ492" s="46">
        <f>($AU$3*AU492+$AV$3*AV492+$AW$3*AW492+$AX$3*AX492)*AY492*IF(AQ492&lt;5,0.95,IF(AQ492&lt;7,0.975,1))+$I$3*VLOOKUP(I492,COND!$A$2:$E$7,4,FALSE)+$J$3*VLOOKUP(J492,COND!$A$2:$E$7,2,FALSE)+$K$3*VLOOKUP(K492,COND!$A$2:$E$7,3,FALSE)+IF(BB492="SP",$BB$3,0)+IF($AW492&lt;3,-5,0)+IF(AND($B$2&gt;0,$E492&lt;20),$B$2*25,0)</f>
        <v>23.855695780230327</v>
      </c>
      <c r="BA492" s="49">
        <f>STANDARDIZE(AZ492,AVERAGE($AZ$5:$AZ$570),STDEVP($AZ$5:$AZ$570))</f>
        <v>-0.8131009967231585</v>
      </c>
      <c r="BB492" s="47" t="str">
        <f>IF(OR(AND(AQ492&gt;7,AX492&gt;1),AND(AQ492&gt;4,AW492&gt;2)),"SP","RP")</f>
        <v>RP</v>
      </c>
      <c r="BC492" s="47"/>
      <c r="BD492" s="47"/>
      <c r="BE492" s="47"/>
      <c r="BF492" s="47" t="str">
        <f>IF(AVERAGE($O492:$Q492)&gt;=6,"Likely",IF(AVERAGE($O492:$Q492)&gt;=4,"Possible","Unlikely"))</f>
        <v>Unlikely</v>
      </c>
      <c r="BG492" s="47"/>
      <c r="BH492" s="47" t="str">
        <f>INDEX(Table5[[#All],[Ovr]],MATCH(Table3[[#This Row],[PID]],Table5[[#All],[PID]],0))</f>
        <v/>
      </c>
      <c r="BI492" s="47" t="str">
        <f>INDEX(Table5[[#All],[Rnd]],MATCH(Table3[[#This Row],[PID]],Table5[[#All],[PID]],0))</f>
        <v/>
      </c>
      <c r="BJ492" s="47" t="str">
        <f>INDEX(Table5[[#All],[Pick]],MATCH(Table3[[#This Row],[PID]],Table5[[#All],[PID]],0))</f>
        <v/>
      </c>
      <c r="BK492" s="47" t="str">
        <f>INDEX(Table5[[#All],[Team]],MATCH(Table3[[#This Row],[PID]],Table5[[#All],[PID]],0))</f>
        <v/>
      </c>
      <c r="BL4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3" spans="1:64" ht="15" customHeight="1" x14ac:dyDescent="0.25">
      <c r="A493" s="42">
        <v>7268</v>
      </c>
      <c r="B493" s="42" t="s">
        <v>430</v>
      </c>
      <c r="C493" s="42" t="s">
        <v>641</v>
      </c>
      <c r="D493" s="42" t="s">
        <v>1791</v>
      </c>
      <c r="E493" s="42">
        <v>21</v>
      </c>
      <c r="F493" s="42" t="s">
        <v>53</v>
      </c>
      <c r="G493" s="42" t="s">
        <v>42</v>
      </c>
      <c r="H493" s="43" t="s">
        <v>721</v>
      </c>
      <c r="I493" s="44" t="s">
        <v>43</v>
      </c>
      <c r="J493" s="42" t="s">
        <v>44</v>
      </c>
      <c r="K493" s="43" t="s">
        <v>43</v>
      </c>
      <c r="L493" s="42">
        <v>2</v>
      </c>
      <c r="M493" s="42">
        <v>2</v>
      </c>
      <c r="N493" s="43">
        <v>2</v>
      </c>
      <c r="O493" s="42">
        <v>3</v>
      </c>
      <c r="P493" s="42">
        <v>2</v>
      </c>
      <c r="Q493" s="43">
        <v>3</v>
      </c>
      <c r="R493" s="42">
        <v>3</v>
      </c>
      <c r="S493" s="42">
        <v>4</v>
      </c>
      <c r="T493" s="42">
        <v>2</v>
      </c>
      <c r="U493" s="42">
        <v>4</v>
      </c>
      <c r="V493" s="42" t="s">
        <v>45</v>
      </c>
      <c r="W493" s="42" t="s">
        <v>45</v>
      </c>
      <c r="X493" s="42">
        <v>3</v>
      </c>
      <c r="Y493" s="42">
        <v>4</v>
      </c>
      <c r="Z493" s="42" t="s">
        <v>45</v>
      </c>
      <c r="AA493" s="42" t="s">
        <v>45</v>
      </c>
      <c r="AB493" s="42" t="s">
        <v>45</v>
      </c>
      <c r="AC493" s="42" t="s">
        <v>45</v>
      </c>
      <c r="AD493" s="42" t="s">
        <v>45</v>
      </c>
      <c r="AE493" s="42" t="s">
        <v>45</v>
      </c>
      <c r="AF493" s="42">
        <v>3</v>
      </c>
      <c r="AG493" s="42">
        <v>4</v>
      </c>
      <c r="AH493" s="42" t="s">
        <v>45</v>
      </c>
      <c r="AI493" s="42" t="s">
        <v>45</v>
      </c>
      <c r="AJ493" s="42" t="s">
        <v>45</v>
      </c>
      <c r="AK493" s="42" t="s">
        <v>45</v>
      </c>
      <c r="AL493" s="42" t="s">
        <v>45</v>
      </c>
      <c r="AM493" s="42" t="s">
        <v>45</v>
      </c>
      <c r="AN493" s="42" t="s">
        <v>45</v>
      </c>
      <c r="AO493" s="43" t="s">
        <v>45</v>
      </c>
      <c r="AP493" s="42" t="s">
        <v>64</v>
      </c>
      <c r="AQ493" s="42">
        <v>9</v>
      </c>
      <c r="AR493" s="50" t="s">
        <v>353</v>
      </c>
      <c r="AS493" s="45" t="s">
        <v>45</v>
      </c>
      <c r="AT493" s="45" t="s">
        <v>47</v>
      </c>
      <c r="AU493" s="46">
        <f>($O$3*(L493-$O$1)/$O$2+$P$3*(M493-$P$1)/$P$2+$Q$3*(N493-$P$1)/$Q$2)/SUM($O$3:$Q$3)</f>
        <v>-2.0690406309742588</v>
      </c>
      <c r="AV493" s="46">
        <f>($O$3*(O493-$O$1)/$O$2+$P$3*(P493-$P$1)/$P$2+$Q$3*(Q493-$Q$1)/$Q$2)/SUM($O$3:$Q$3)</f>
        <v>-1.1865339896739031</v>
      </c>
      <c r="AW493" s="47">
        <f>COUNT(R493:AO493)/2</f>
        <v>4</v>
      </c>
      <c r="AX493" s="47">
        <f>IF(AND(S493&lt;&gt;"-",S493&gt;5),1,0)+IF(AND(U493&lt;&gt;"-",U493&gt;5),1,0)+IF(AND(W493&lt;&gt;"-",W493&gt;5),1,0)+IF(AND(Y493&lt;&gt;"-",Y493&gt;5),1,0)+IF(AND(AA493&lt;&gt;"-",AA493&gt;5),1,0)+IF(AND(AC493&lt;&gt;"-",AC493&gt;5),1,0)+IF(AND(AE493&lt;&gt;"-",AE493&gt;5),1,0)+IF(AND(AG493&lt;&gt;"-",AG493&gt;5),1,0)+IF(AND(AI493&lt;&gt;"-",AI493&gt;5),1,0)+IF(AND(AK493&lt;&gt;"-",AK493&gt;5),1,0)+IF(AND(AM493&lt;&gt;"-",AM493&gt;5),1,0)+IF(AND(AO493&lt;&gt;"-",AO493&gt;5),1,0)</f>
        <v>0</v>
      </c>
      <c r="AY493" s="48">
        <f>VLOOKUP(AP493,COND!$A$10:$B$32,2,FALSE)</f>
        <v>1</v>
      </c>
      <c r="AZ493" s="46">
        <f>($AU$3*AU493+$AV$3*AV493+$AW$3*AW493+$AX$3*AX493)*AY493*IF(AQ493&lt;5,0.95,IF(AQ493&lt;7,0.975,1))+$I$3*VLOOKUP(I493,COND!$A$2:$E$7,4,FALSE)+$J$3*VLOOKUP(J493,COND!$A$2:$E$7,2,FALSE)+$K$3*VLOOKUP(K493,COND!$A$2:$E$7,3,FALSE)+IF(BB493="SP",$BB$3,0)+IF($AW493&lt;3,-5,0)+IF(AND($B$2&gt;0,$E493&lt;20),$B$2*25,0)</f>
        <v>24.555512080327087</v>
      </c>
      <c r="BA493" s="49">
        <f>STANDARDIZE(AZ493,AVERAGE($AZ$5:$AZ$676),STDEVP($AZ$5:$AZ$676))</f>
        <v>-0.51180936623704487</v>
      </c>
      <c r="BB493" s="47" t="str">
        <f>IF(OR(AND(AQ493&gt;7,AX493&gt;1),AND(AQ493&gt;4,AW493&gt;2)),"SP","RP")</f>
        <v>SP</v>
      </c>
      <c r="BC493" s="47"/>
      <c r="BD493" s="47"/>
      <c r="BE493" s="47"/>
      <c r="BF493" s="47" t="str">
        <f>IF(AVERAGE($O493:$Q493)&gt;=6,"Likely",IF(AVERAGE($O493:$Q493)&gt;=4,"Possible","Unlikely"))</f>
        <v>Unlikely</v>
      </c>
      <c r="BG493" s="47"/>
      <c r="BH493" s="47" t="str">
        <f>INDEX(Table5[[#All],[Ovr]],MATCH(Table3[[#This Row],[PID]],Table5[[#All],[PID]],0))</f>
        <v/>
      </c>
      <c r="BI493" s="47" t="str">
        <f>INDEX(Table5[[#All],[Rnd]],MATCH(Table3[[#This Row],[PID]],Table5[[#All],[PID]],0))</f>
        <v/>
      </c>
      <c r="BJ493" s="47" t="str">
        <f>INDEX(Table5[[#All],[Pick]],MATCH(Table3[[#This Row],[PID]],Table5[[#All],[PID]],0))</f>
        <v/>
      </c>
      <c r="BK493" s="47" t="str">
        <f>INDEX(Table5[[#All],[Team]],MATCH(Table3[[#This Row],[PID]],Table5[[#All],[PID]],0))</f>
        <v/>
      </c>
      <c r="BL4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4" spans="1:64" ht="15" customHeight="1" x14ac:dyDescent="0.25">
      <c r="A494" s="42">
        <v>10101</v>
      </c>
      <c r="B494" s="42" t="s">
        <v>430</v>
      </c>
      <c r="C494" s="42" t="s">
        <v>291</v>
      </c>
      <c r="D494" s="42" t="s">
        <v>1678</v>
      </c>
      <c r="E494" s="42">
        <v>21</v>
      </c>
      <c r="F494" s="42" t="s">
        <v>42</v>
      </c>
      <c r="G494" s="42" t="s">
        <v>42</v>
      </c>
      <c r="H494" s="43" t="s">
        <v>721</v>
      </c>
      <c r="I494" s="44" t="s">
        <v>43</v>
      </c>
      <c r="J494" s="42" t="s">
        <v>44</v>
      </c>
      <c r="K494" s="43" t="s">
        <v>43</v>
      </c>
      <c r="L494" s="42">
        <v>3</v>
      </c>
      <c r="M494" s="42">
        <v>1</v>
      </c>
      <c r="N494" s="43">
        <v>2</v>
      </c>
      <c r="O494" s="42">
        <v>4</v>
      </c>
      <c r="P494" s="42">
        <v>2</v>
      </c>
      <c r="Q494" s="43">
        <v>2</v>
      </c>
      <c r="R494" s="42">
        <v>4</v>
      </c>
      <c r="S494" s="42">
        <v>4</v>
      </c>
      <c r="T494" s="42">
        <v>1</v>
      </c>
      <c r="U494" s="42">
        <v>3</v>
      </c>
      <c r="V494" s="42" t="s">
        <v>45</v>
      </c>
      <c r="W494" s="42" t="s">
        <v>45</v>
      </c>
      <c r="X494" s="42" t="s">
        <v>45</v>
      </c>
      <c r="Y494" s="42" t="s">
        <v>45</v>
      </c>
      <c r="Z494" s="42" t="s">
        <v>45</v>
      </c>
      <c r="AA494" s="42" t="s">
        <v>45</v>
      </c>
      <c r="AB494" s="42" t="s">
        <v>45</v>
      </c>
      <c r="AC494" s="42" t="s">
        <v>45</v>
      </c>
      <c r="AD494" s="42">
        <v>3</v>
      </c>
      <c r="AE494" s="42">
        <v>5</v>
      </c>
      <c r="AF494" s="42" t="s">
        <v>45</v>
      </c>
      <c r="AG494" s="42" t="s">
        <v>45</v>
      </c>
      <c r="AH494" s="42" t="s">
        <v>45</v>
      </c>
      <c r="AI494" s="42" t="s">
        <v>45</v>
      </c>
      <c r="AJ494" s="42" t="s">
        <v>45</v>
      </c>
      <c r="AK494" s="42" t="s">
        <v>45</v>
      </c>
      <c r="AL494" s="42" t="s">
        <v>45</v>
      </c>
      <c r="AM494" s="42" t="s">
        <v>45</v>
      </c>
      <c r="AN494" s="42" t="s">
        <v>45</v>
      </c>
      <c r="AO494" s="43" t="s">
        <v>45</v>
      </c>
      <c r="AP494" s="42" t="s">
        <v>57</v>
      </c>
      <c r="AQ494" s="42">
        <v>6</v>
      </c>
      <c r="AR494" s="50" t="s">
        <v>14</v>
      </c>
      <c r="AS494" s="45" t="s">
        <v>45</v>
      </c>
      <c r="AT494" s="45" t="s">
        <v>705</v>
      </c>
      <c r="AU494" s="46">
        <f>($O$3*(L494-$O$1)/$O$2+$P$3*(M494-$P$1)/$P$2+$Q$3*(N494-$P$1)/$Q$2)/SUM($O$3:$Q$3)</f>
        <v>-2.0697810228951408</v>
      </c>
      <c r="AV494" s="46">
        <f>($O$3*(O494-$O$1)/$O$2+$P$3*(P494-$P$1)/$P$2+$Q$3*(Q494-$Q$1)/$Q$2)/SUM($O$3:$Q$3)</f>
        <v>-1.23416323121884</v>
      </c>
      <c r="AW494" s="47">
        <f>COUNT(R494:AO494)/2</f>
        <v>3</v>
      </c>
      <c r="AX494" s="47">
        <f>IF(AND(S494&lt;&gt;"-",S494&gt;5),1,0)+IF(AND(U494&lt;&gt;"-",U494&gt;5),1,0)+IF(AND(W494&lt;&gt;"-",W494&gt;5),1,0)+IF(AND(Y494&lt;&gt;"-",Y494&gt;5),1,0)+IF(AND(AA494&lt;&gt;"-",AA494&gt;5),1,0)+IF(AND(AC494&lt;&gt;"-",AC494&gt;5),1,0)+IF(AND(AE494&lt;&gt;"-",AE494&gt;5),1,0)+IF(AND(AG494&lt;&gt;"-",AG494&gt;5),1,0)+IF(AND(AI494&lt;&gt;"-",AI494&gt;5),1,0)+IF(AND(AK494&lt;&gt;"-",AK494&gt;5),1,0)+IF(AND(AM494&lt;&gt;"-",AM494&gt;5),1,0)+IF(AND(AO494&lt;&gt;"-",AO494&gt;5),1,0)</f>
        <v>0</v>
      </c>
      <c r="AY494" s="48">
        <f>VLOOKUP(AP494,COND!$A$10:$B$32,2,FALSE)</f>
        <v>1</v>
      </c>
      <c r="AZ494" s="46">
        <f>($AU$3*AU494+$AV$3*AV494+$AW$3*AW494+$AX$3*AX494)*AY494*IF(AQ494&lt;5,0.95,IF(AQ494&lt;7,0.975,1))+$I$3*VLOOKUP(I494,COND!$A$2:$E$7,4,FALSE)+$J$3*VLOOKUP(J494,COND!$A$2:$E$7,2,FALSE)+$K$3*VLOOKUP(K494,COND!$A$2:$E$7,3,FALSE)+IF(BB494="SP",$BB$3,0)+IF($AW494&lt;3,-5,0)+IF(AND($B$2&gt;0,$E494&lt;20),$B$2*25,0)</f>
        <v>23.692709691768069</v>
      </c>
      <c r="BA494" s="49">
        <f>STANDARDIZE(AZ494,AVERAGE($AZ$5:$AZ$570),STDEVP($AZ$5:$AZ$570))</f>
        <v>-0.82804751765233053</v>
      </c>
      <c r="BB494" s="47" t="str">
        <f>IF(OR(AND(AQ494&gt;7,AX494&gt;1),AND(AQ494&gt;4,AW494&gt;2)),"SP","RP")</f>
        <v>SP</v>
      </c>
      <c r="BC494" s="47"/>
      <c r="BD494" s="47"/>
      <c r="BE494" s="47"/>
      <c r="BF494" s="47" t="str">
        <f>IF(AVERAGE($O494:$Q494)&gt;=6,"Likely",IF(AVERAGE($O494:$Q494)&gt;=4,"Possible","Unlikely"))</f>
        <v>Unlikely</v>
      </c>
      <c r="BG494" s="47"/>
      <c r="BH494" s="47" t="str">
        <f>INDEX(Table5[[#All],[Ovr]],MATCH(Table3[[#This Row],[PID]],Table5[[#All],[PID]],0))</f>
        <v/>
      </c>
      <c r="BI494" s="47" t="str">
        <f>INDEX(Table5[[#All],[Rnd]],MATCH(Table3[[#This Row],[PID]],Table5[[#All],[PID]],0))</f>
        <v/>
      </c>
      <c r="BJ494" s="47" t="str">
        <f>INDEX(Table5[[#All],[Pick]],MATCH(Table3[[#This Row],[PID]],Table5[[#All],[PID]],0))</f>
        <v/>
      </c>
      <c r="BK494" s="47" t="str">
        <f>INDEX(Table5[[#All],[Team]],MATCH(Table3[[#This Row],[PID]],Table5[[#All],[PID]],0))</f>
        <v/>
      </c>
      <c r="BL4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5" spans="1:64" ht="15" customHeight="1" x14ac:dyDescent="0.25">
      <c r="A495" s="42">
        <v>15707</v>
      </c>
      <c r="B495" s="42" t="s">
        <v>49</v>
      </c>
      <c r="C495" s="42" t="s">
        <v>564</v>
      </c>
      <c r="D495" s="42" t="s">
        <v>1020</v>
      </c>
      <c r="E495" s="42">
        <v>22</v>
      </c>
      <c r="F495" s="42" t="s">
        <v>53</v>
      </c>
      <c r="G495" s="42" t="s">
        <v>53</v>
      </c>
      <c r="H495" s="43" t="s">
        <v>721</v>
      </c>
      <c r="I495" s="44" t="s">
        <v>43</v>
      </c>
      <c r="J495" s="42" t="s">
        <v>43</v>
      </c>
      <c r="K495" s="43" t="s">
        <v>43</v>
      </c>
      <c r="L495" s="42">
        <v>3</v>
      </c>
      <c r="M495" s="42">
        <v>2</v>
      </c>
      <c r="N495" s="43">
        <v>1</v>
      </c>
      <c r="O495" s="42">
        <v>4</v>
      </c>
      <c r="P495" s="42">
        <v>3</v>
      </c>
      <c r="Q495" s="43">
        <v>1</v>
      </c>
      <c r="R495" s="42">
        <v>4</v>
      </c>
      <c r="S495" s="42">
        <v>5</v>
      </c>
      <c r="T495" s="42">
        <v>2</v>
      </c>
      <c r="U495" s="42">
        <v>5</v>
      </c>
      <c r="V495" s="42" t="s">
        <v>45</v>
      </c>
      <c r="W495" s="42" t="s">
        <v>45</v>
      </c>
      <c r="X495" s="42">
        <v>3</v>
      </c>
      <c r="Y495" s="42">
        <v>5</v>
      </c>
      <c r="Z495" s="42" t="s">
        <v>45</v>
      </c>
      <c r="AA495" s="42" t="s">
        <v>45</v>
      </c>
      <c r="AB495" s="42" t="s">
        <v>45</v>
      </c>
      <c r="AC495" s="42" t="s">
        <v>45</v>
      </c>
      <c r="AD495" s="42" t="s">
        <v>45</v>
      </c>
      <c r="AE495" s="42" t="s">
        <v>45</v>
      </c>
      <c r="AF495" s="42">
        <v>4</v>
      </c>
      <c r="AG495" s="42">
        <v>4</v>
      </c>
      <c r="AH495" s="42" t="s">
        <v>45</v>
      </c>
      <c r="AI495" s="42" t="s">
        <v>45</v>
      </c>
      <c r="AJ495" s="42" t="s">
        <v>45</v>
      </c>
      <c r="AK495" s="42" t="s">
        <v>45</v>
      </c>
      <c r="AL495" s="42" t="s">
        <v>45</v>
      </c>
      <c r="AM495" s="42" t="s">
        <v>45</v>
      </c>
      <c r="AN495" s="42" t="s">
        <v>45</v>
      </c>
      <c r="AO495" s="43" t="s">
        <v>45</v>
      </c>
      <c r="AP495" s="42" t="s">
        <v>57</v>
      </c>
      <c r="AQ495" s="42">
        <v>8</v>
      </c>
      <c r="AR495" s="50" t="s">
        <v>353</v>
      </c>
      <c r="AS495" s="45" t="s">
        <v>45</v>
      </c>
      <c r="AT495" s="45" t="s">
        <v>47</v>
      </c>
      <c r="AU495" s="46">
        <f>($O$3*(L495-$O$1)/$O$2+$P$3*(M495-$P$1)/$P$2+$Q$3*(N495-$P$1)/$Q$2)/SUM($O$3:$Q$3)</f>
        <v>-2.1166698725191955</v>
      </c>
      <c r="AV495" s="46">
        <f>($O$3*(O495-$O$1)/$O$2+$P$3*(P495-$P$1)/$P$2+$Q$3*(Q495-$Q$1)/$Q$2)/SUM($O$3:$Q$3)</f>
        <v>-1.2810520808428949</v>
      </c>
      <c r="AW495" s="47">
        <f>COUNT(R495:AO495)/2</f>
        <v>4</v>
      </c>
      <c r="AX495" s="47">
        <f>IF(AND(S495&lt;&gt;"-",S495&gt;5),1,0)+IF(AND(U495&lt;&gt;"-",U495&gt;5),1,0)+IF(AND(W495&lt;&gt;"-",W495&gt;5),1,0)+IF(AND(Y495&lt;&gt;"-",Y495&gt;5),1,0)+IF(AND(AA495&lt;&gt;"-",AA495&gt;5),1,0)+IF(AND(AC495&lt;&gt;"-",AC495&gt;5),1,0)+IF(AND(AE495&lt;&gt;"-",AE495&gt;5),1,0)+IF(AND(AG495&lt;&gt;"-",AG495&gt;5),1,0)+IF(AND(AI495&lt;&gt;"-",AI495&gt;5),1,0)+IF(AND(AK495&lt;&gt;"-",AK495&gt;5),1,0)+IF(AND(AM495&lt;&gt;"-",AM495&gt;5),1,0)+IF(AND(AO495&lt;&gt;"-",AO495&gt;5),1,0)</f>
        <v>0</v>
      </c>
      <c r="AY495" s="48">
        <f>VLOOKUP(AP495,COND!$A$10:$B$32,2,FALSE)</f>
        <v>1</v>
      </c>
      <c r="AZ495" s="46">
        <f>($AU$3*AU495+$AV$3*AV495+$AW$3*AW495+$AX$3*AX495)*AY495*IF(AQ495&lt;5,0.95,IF(AQ495&lt;7,0.975,1))+$I$3*VLOOKUP(I495,COND!$A$2:$E$7,4,FALSE)+$J$3*VLOOKUP(J495,COND!$A$2:$E$7,2,FALSE)+$K$3*VLOOKUP(K495,COND!$A$2:$E$7,3,FALSE)+IF(BB495="SP",$BB$3,0)+IF($AW495&lt;3,-5,0)+IF(AND($B$2&gt;0,$E495&lt;20),$B$2*25,0)</f>
        <v>22.955624408638261</v>
      </c>
      <c r="BA495" s="49">
        <f>STANDARDIZE(AZ495,AVERAGE($AZ$5:$AZ$570),STDEVP($AZ$5:$AZ$570))</f>
        <v>-0.89564138848404551</v>
      </c>
      <c r="BB495" s="47" t="str">
        <f>IF(OR(AND(AQ495&gt;7,AX495&gt;1),AND(AQ495&gt;4,AW495&gt;2)),"SP","RP")</f>
        <v>SP</v>
      </c>
      <c r="BC495" s="47"/>
      <c r="BD495" s="47"/>
      <c r="BE495" s="47"/>
      <c r="BF495" s="47" t="str">
        <f>IF(AVERAGE($O495:$Q495)&gt;=6,"Likely",IF(AVERAGE($O495:$Q495)&gt;=4,"Possible","Unlikely"))</f>
        <v>Unlikely</v>
      </c>
      <c r="BG495" s="47"/>
      <c r="BH495" s="47" t="str">
        <f>INDEX(Table5[[#All],[Ovr]],MATCH(Table3[[#This Row],[PID]],Table5[[#All],[PID]],0))</f>
        <v/>
      </c>
      <c r="BI495" s="47" t="str">
        <f>INDEX(Table5[[#All],[Rnd]],MATCH(Table3[[#This Row],[PID]],Table5[[#All],[PID]],0))</f>
        <v/>
      </c>
      <c r="BJ495" s="47" t="str">
        <f>INDEX(Table5[[#All],[Pick]],MATCH(Table3[[#This Row],[PID]],Table5[[#All],[PID]],0))</f>
        <v/>
      </c>
      <c r="BK495" s="47" t="str">
        <f>INDEX(Table5[[#All],[Team]],MATCH(Table3[[#This Row],[PID]],Table5[[#All],[PID]],0))</f>
        <v/>
      </c>
      <c r="BL4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6" spans="1:64" ht="15" customHeight="1" x14ac:dyDescent="0.25">
      <c r="A496" s="42">
        <v>9888</v>
      </c>
      <c r="B496" s="42" t="s">
        <v>24</v>
      </c>
      <c r="C496" s="42" t="s">
        <v>349</v>
      </c>
      <c r="D496" s="42" t="s">
        <v>209</v>
      </c>
      <c r="E496" s="42">
        <v>20</v>
      </c>
      <c r="F496" s="42" t="s">
        <v>62</v>
      </c>
      <c r="G496" s="42" t="s">
        <v>42</v>
      </c>
      <c r="H496" s="43" t="s">
        <v>721</v>
      </c>
      <c r="I496" s="44" t="s">
        <v>43</v>
      </c>
      <c r="J496" s="42" t="s">
        <v>44</v>
      </c>
      <c r="K496" s="43" t="s">
        <v>44</v>
      </c>
      <c r="L496" s="42">
        <v>2</v>
      </c>
      <c r="M496" s="42">
        <v>2</v>
      </c>
      <c r="N496" s="43">
        <v>1</v>
      </c>
      <c r="O496" s="42">
        <v>4</v>
      </c>
      <c r="P496" s="42">
        <v>3</v>
      </c>
      <c r="Q496" s="43">
        <v>1</v>
      </c>
      <c r="R496" s="42">
        <v>3</v>
      </c>
      <c r="S496" s="42">
        <v>5</v>
      </c>
      <c r="T496" s="42">
        <v>1</v>
      </c>
      <c r="U496" s="42">
        <v>6</v>
      </c>
      <c r="V496" s="42" t="s">
        <v>45</v>
      </c>
      <c r="W496" s="42" t="s">
        <v>45</v>
      </c>
      <c r="X496" s="42">
        <v>3</v>
      </c>
      <c r="Y496" s="42">
        <v>6</v>
      </c>
      <c r="Z496" s="42" t="s">
        <v>45</v>
      </c>
      <c r="AA496" s="42" t="s">
        <v>45</v>
      </c>
      <c r="AB496" s="42" t="s">
        <v>45</v>
      </c>
      <c r="AC496" s="42" t="s">
        <v>45</v>
      </c>
      <c r="AD496" s="42" t="s">
        <v>45</v>
      </c>
      <c r="AE496" s="42" t="s">
        <v>45</v>
      </c>
      <c r="AF496" s="42" t="s">
        <v>45</v>
      </c>
      <c r="AG496" s="42" t="s">
        <v>45</v>
      </c>
      <c r="AH496" s="42" t="s">
        <v>45</v>
      </c>
      <c r="AI496" s="42" t="s">
        <v>45</v>
      </c>
      <c r="AJ496" s="42" t="s">
        <v>45</v>
      </c>
      <c r="AK496" s="42" t="s">
        <v>45</v>
      </c>
      <c r="AL496" s="42" t="s">
        <v>45</v>
      </c>
      <c r="AM496" s="42" t="s">
        <v>45</v>
      </c>
      <c r="AN496" s="42" t="s">
        <v>45</v>
      </c>
      <c r="AO496" s="43" t="s">
        <v>45</v>
      </c>
      <c r="AP496" s="42" t="s">
        <v>355</v>
      </c>
      <c r="AQ496" s="42">
        <v>7</v>
      </c>
      <c r="AR496" s="50" t="s">
        <v>352</v>
      </c>
      <c r="AS496" s="45" t="s">
        <v>45</v>
      </c>
      <c r="AT496" s="45" t="s">
        <v>705</v>
      </c>
      <c r="AU496" s="46">
        <f>($O$3*(L496-$O$1)/$O$2+$P$3*(M496-$P$1)/$P$2+$Q$3*(N496-$P$1)/$Q$2)/SUM($O$3:$Q$3)</f>
        <v>-2.311361197028369</v>
      </c>
      <c r="AV496" s="46">
        <f>($O$3*(O496-$O$1)/$O$2+$P$3*(P496-$P$1)/$P$2+$Q$3*(Q496-$Q$1)/$Q$2)/SUM($O$3:$Q$3)</f>
        <v>-1.2810520808428949</v>
      </c>
      <c r="AW496" s="47">
        <f>COUNT(R496:AO496)/2</f>
        <v>3</v>
      </c>
      <c r="AX496" s="47">
        <f>IF(AND(S496&lt;&gt;"-",S496&gt;5),1,0)+IF(AND(U496&lt;&gt;"-",U496&gt;5),1,0)+IF(AND(W496&lt;&gt;"-",W496&gt;5),1,0)+IF(AND(Y496&lt;&gt;"-",Y496&gt;5),1,0)+IF(AND(AA496&lt;&gt;"-",AA496&gt;5),1,0)+IF(AND(AC496&lt;&gt;"-",AC496&gt;5),1,0)+IF(AND(AE496&lt;&gt;"-",AE496&gt;5),1,0)+IF(AND(AG496&lt;&gt;"-",AG496&gt;5),1,0)+IF(AND(AI496&lt;&gt;"-",AI496&gt;5),1,0)+IF(AND(AK496&lt;&gt;"-",AK496&gt;5),1,0)+IF(AND(AM496&lt;&gt;"-",AM496&gt;5),1,0)+IF(AND(AO496&lt;&gt;"-",AO496&gt;5),1,0)</f>
        <v>2</v>
      </c>
      <c r="AY496" s="48">
        <f>VLOOKUP(AP496,COND!$A$10:$B$32,2,FALSE)</f>
        <v>1</v>
      </c>
      <c r="AZ496" s="46">
        <f>($AU$3*AU496+$AV$3*AV496+$AW$3*AW496+$AX$3*AX496)*AY496*IF(AQ496&lt;5,0.95,IF(AQ496&lt;7,0.975,1))+$I$3*VLOOKUP(I496,COND!$A$2:$E$7,4,FALSE)+$J$3*VLOOKUP(J496,COND!$A$2:$E$7,2,FALSE)+$K$3*VLOOKUP(K496,COND!$A$2:$E$7,3,FALSE)+IF(BB496="SP",$BB$3,0)+IF($AW496&lt;3,-5,0)+IF(AND($B$2&gt;0,$E496&lt;20),$B$2*25,0)</f>
        <v>24.316686143736426</v>
      </c>
      <c r="BA496" s="49">
        <f>STANDARDIZE(AZ496,AVERAGE($AZ$5:$AZ$570),STDEVP($AZ$5:$AZ$570))</f>
        <v>-0.7708262100754254</v>
      </c>
      <c r="BB496" s="47" t="str">
        <f>IF(OR(AND(AQ496&gt;7,AX496&gt;1),AND(AQ496&gt;4,AW496&gt;2)),"SP","RP")</f>
        <v>SP</v>
      </c>
      <c r="BC496" s="47"/>
      <c r="BD496" s="47"/>
      <c r="BE496" s="47"/>
      <c r="BF496" s="47" t="str">
        <f>IF(AVERAGE($O496:$Q496)&gt;=6,"Likely",IF(AVERAGE($O496:$Q496)&gt;=4,"Possible","Unlikely"))</f>
        <v>Unlikely</v>
      </c>
      <c r="BG496" s="47"/>
      <c r="BH496" s="47" t="str">
        <f>INDEX(Table5[[#All],[Ovr]],MATCH(Table3[[#This Row],[PID]],Table5[[#All],[PID]],0))</f>
        <v/>
      </c>
      <c r="BI496" s="47" t="str">
        <f>INDEX(Table5[[#All],[Rnd]],MATCH(Table3[[#This Row],[PID]],Table5[[#All],[PID]],0))</f>
        <v/>
      </c>
      <c r="BJ496" s="47" t="str">
        <f>INDEX(Table5[[#All],[Pick]],MATCH(Table3[[#This Row],[PID]],Table5[[#All],[PID]],0))</f>
        <v/>
      </c>
      <c r="BK496" s="47" t="str">
        <f>INDEX(Table5[[#All],[Team]],MATCH(Table3[[#This Row],[PID]],Table5[[#All],[PID]],0))</f>
        <v/>
      </c>
      <c r="BL4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7" spans="1:64" ht="15" customHeight="1" x14ac:dyDescent="0.25">
      <c r="A497" s="42">
        <v>4541</v>
      </c>
      <c r="B497" s="42" t="s">
        <v>24</v>
      </c>
      <c r="C497" s="42" t="s">
        <v>143</v>
      </c>
      <c r="D497" s="42" t="s">
        <v>1734</v>
      </c>
      <c r="E497" s="42">
        <v>21</v>
      </c>
      <c r="F497" s="42" t="s">
        <v>42</v>
      </c>
      <c r="G497" s="42" t="s">
        <v>42</v>
      </c>
      <c r="H497" s="43" t="s">
        <v>721</v>
      </c>
      <c r="I497" s="44" t="s">
        <v>43</v>
      </c>
      <c r="J497" s="42" t="s">
        <v>43</v>
      </c>
      <c r="K497" s="43" t="s">
        <v>47</v>
      </c>
      <c r="L497" s="42">
        <v>2</v>
      </c>
      <c r="M497" s="42">
        <v>1</v>
      </c>
      <c r="N497" s="43">
        <v>1</v>
      </c>
      <c r="O497" s="42">
        <v>4</v>
      </c>
      <c r="P497" s="42">
        <v>1</v>
      </c>
      <c r="Q497" s="43">
        <v>2</v>
      </c>
      <c r="R497" s="42">
        <v>4</v>
      </c>
      <c r="S497" s="42">
        <v>6</v>
      </c>
      <c r="T497" s="42" t="s">
        <v>45</v>
      </c>
      <c r="U497" s="42" t="s">
        <v>45</v>
      </c>
      <c r="V497" s="42">
        <v>2</v>
      </c>
      <c r="W497" s="42">
        <v>6</v>
      </c>
      <c r="X497" s="42">
        <v>2</v>
      </c>
      <c r="Y497" s="42">
        <v>5</v>
      </c>
      <c r="Z497" s="42" t="s">
        <v>45</v>
      </c>
      <c r="AA497" s="42" t="s">
        <v>45</v>
      </c>
      <c r="AB497" s="42" t="s">
        <v>45</v>
      </c>
      <c r="AC497" s="42" t="s">
        <v>45</v>
      </c>
      <c r="AD497" s="42" t="s">
        <v>45</v>
      </c>
      <c r="AE497" s="42" t="s">
        <v>45</v>
      </c>
      <c r="AF497" s="42" t="s">
        <v>45</v>
      </c>
      <c r="AG497" s="42" t="s">
        <v>45</v>
      </c>
      <c r="AH497" s="42" t="s">
        <v>45</v>
      </c>
      <c r="AI497" s="42" t="s">
        <v>45</v>
      </c>
      <c r="AJ497" s="42" t="s">
        <v>45</v>
      </c>
      <c r="AK497" s="42" t="s">
        <v>45</v>
      </c>
      <c r="AL497" s="42" t="s">
        <v>45</v>
      </c>
      <c r="AM497" s="42" t="s">
        <v>45</v>
      </c>
      <c r="AN497" s="42" t="s">
        <v>45</v>
      </c>
      <c r="AO497" s="43" t="s">
        <v>45</v>
      </c>
      <c r="AP497" s="42" t="s">
        <v>56</v>
      </c>
      <c r="AQ497" s="42">
        <v>7</v>
      </c>
      <c r="AR497" s="50" t="s">
        <v>14</v>
      </c>
      <c r="AS497" s="45" t="s">
        <v>717</v>
      </c>
      <c r="AT497" s="45" t="s">
        <v>47</v>
      </c>
      <c r="AU497" s="46">
        <f>($O$3*(L497-$O$1)/$O$2+$P$3*(M497-$P$1)/$P$2+$Q$3*(N497-$P$1)/$Q$2)/SUM($O$3:$Q$3)</f>
        <v>-2.5067929134584248</v>
      </c>
      <c r="AV497" s="46">
        <f>($O$3*(O497-$O$1)/$O$2+$P$3*(P497-$P$1)/$P$2+$Q$3*(Q497-$Q$1)/$Q$2)/SUM($O$3:$Q$3)</f>
        <v>-1.4295949476488956</v>
      </c>
      <c r="AW497" s="47">
        <f>COUNT(R497:AO497)/2</f>
        <v>3</v>
      </c>
      <c r="AX497" s="47">
        <f>IF(AND(S497&lt;&gt;"-",S497&gt;5),1,0)+IF(AND(U497&lt;&gt;"-",U497&gt;5),1,0)+IF(AND(W497&lt;&gt;"-",W497&gt;5),1,0)+IF(AND(Y497&lt;&gt;"-",Y497&gt;5),1,0)+IF(AND(AA497&lt;&gt;"-",AA497&gt;5),1,0)+IF(AND(AC497&lt;&gt;"-",AC497&gt;5),1,0)+IF(AND(AE497&lt;&gt;"-",AE497&gt;5),1,0)+IF(AND(AG497&lt;&gt;"-",AG497&gt;5),1,0)+IF(AND(AI497&lt;&gt;"-",AI497&gt;5),1,0)+IF(AND(AK497&lt;&gt;"-",AK497&gt;5),1,0)+IF(AND(AM497&lt;&gt;"-",AM497&gt;5),1,0)+IF(AND(AO497&lt;&gt;"-",AO497&gt;5),1,0)</f>
        <v>2</v>
      </c>
      <c r="AY497" s="48">
        <f>VLOOKUP(AP497,COND!$A$10:$B$32,2,FALSE)</f>
        <v>1</v>
      </c>
      <c r="AZ497" s="46">
        <f>($AU$3*AU497+$AV$3*AV497+$AW$3*AW497+$AX$3*AX497)*AY497*IF(AQ497&lt;5,0.95,IF(AQ497&lt;7,0.975,1))+$I$3*VLOOKUP(I497,COND!$A$2:$E$7,4,FALSE)+$J$3*VLOOKUP(J497,COND!$A$2:$E$7,2,FALSE)+$K$3*VLOOKUP(K497,COND!$A$2:$E$7,3,FALSE)+IF(BB497="SP",$BB$3,0)+IF($AW497&lt;3,-5,0)+IF(AND($B$2&gt;0,$E497&lt;20),$B$2*25,0)</f>
        <v>22.2067424643304</v>
      </c>
      <c r="BA497" s="49">
        <f>STANDARDIZE(AZ497,AVERAGE($AZ$5:$AZ$570),STDEVP($AZ$5:$AZ$570))</f>
        <v>-0.96431706356577762</v>
      </c>
      <c r="BB497" s="47" t="str">
        <f>IF(OR(AND(AQ497&gt;7,AX497&gt;1),AND(AQ497&gt;4,AW497&gt;2)),"SP","RP")</f>
        <v>SP</v>
      </c>
      <c r="BC497" s="47"/>
      <c r="BD497" s="47"/>
      <c r="BE497" s="47"/>
      <c r="BF497" s="47" t="str">
        <f>IF(AVERAGE($O497:$Q497)&gt;=6,"Likely",IF(AVERAGE($O497:$Q497)&gt;=4,"Possible","Unlikely"))</f>
        <v>Unlikely</v>
      </c>
      <c r="BG497" s="47"/>
      <c r="BH497" s="47" t="str">
        <f>INDEX(Table5[[#All],[Ovr]],MATCH(Table3[[#This Row],[PID]],Table5[[#All],[PID]],0))</f>
        <v/>
      </c>
      <c r="BI497" s="47" t="str">
        <f>INDEX(Table5[[#All],[Rnd]],MATCH(Table3[[#This Row],[PID]],Table5[[#All],[PID]],0))</f>
        <v/>
      </c>
      <c r="BJ497" s="47" t="str">
        <f>INDEX(Table5[[#All],[Pick]],MATCH(Table3[[#This Row],[PID]],Table5[[#All],[PID]],0))</f>
        <v/>
      </c>
      <c r="BK497" s="47" t="str">
        <f>INDEX(Table5[[#All],[Team]],MATCH(Table3[[#This Row],[PID]],Table5[[#All],[PID]],0))</f>
        <v/>
      </c>
      <c r="BL4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8" spans="1:64" ht="15" customHeight="1" x14ac:dyDescent="0.25">
      <c r="A498" s="42">
        <v>7105</v>
      </c>
      <c r="B498" s="42" t="s">
        <v>430</v>
      </c>
      <c r="C498" s="42" t="s">
        <v>469</v>
      </c>
      <c r="D498" s="42" t="s">
        <v>1742</v>
      </c>
      <c r="E498" s="42">
        <v>21</v>
      </c>
      <c r="F498" s="42" t="s">
        <v>42</v>
      </c>
      <c r="G498" s="42" t="s">
        <v>42</v>
      </c>
      <c r="H498" s="43" t="s">
        <v>721</v>
      </c>
      <c r="I498" s="44" t="s">
        <v>43</v>
      </c>
      <c r="J498" s="42" t="s">
        <v>44</v>
      </c>
      <c r="K498" s="43" t="s">
        <v>43</v>
      </c>
      <c r="L498" s="42">
        <v>3</v>
      </c>
      <c r="M498" s="42">
        <v>2</v>
      </c>
      <c r="N498" s="43">
        <v>1</v>
      </c>
      <c r="O498" s="42">
        <v>4</v>
      </c>
      <c r="P498" s="42">
        <v>2</v>
      </c>
      <c r="Q498" s="43">
        <v>2</v>
      </c>
      <c r="R498" s="42">
        <v>4</v>
      </c>
      <c r="S498" s="42">
        <v>5</v>
      </c>
      <c r="T498" s="42">
        <v>1</v>
      </c>
      <c r="U498" s="42">
        <v>4</v>
      </c>
      <c r="V498" s="42">
        <v>3</v>
      </c>
      <c r="W498" s="42">
        <v>5</v>
      </c>
      <c r="X498" s="42">
        <v>3</v>
      </c>
      <c r="Y498" s="42">
        <v>5</v>
      </c>
      <c r="Z498" s="42" t="s">
        <v>45</v>
      </c>
      <c r="AA498" s="42" t="s">
        <v>45</v>
      </c>
      <c r="AB498" s="42" t="s">
        <v>45</v>
      </c>
      <c r="AC498" s="42" t="s">
        <v>45</v>
      </c>
      <c r="AD498" s="42" t="s">
        <v>45</v>
      </c>
      <c r="AE498" s="42" t="s">
        <v>45</v>
      </c>
      <c r="AF498" s="42" t="s">
        <v>45</v>
      </c>
      <c r="AG498" s="42" t="s">
        <v>45</v>
      </c>
      <c r="AH498" s="42" t="s">
        <v>45</v>
      </c>
      <c r="AI498" s="42" t="s">
        <v>45</v>
      </c>
      <c r="AJ498" s="42" t="s">
        <v>45</v>
      </c>
      <c r="AK498" s="42" t="s">
        <v>45</v>
      </c>
      <c r="AL498" s="42" t="s">
        <v>45</v>
      </c>
      <c r="AM498" s="42" t="s">
        <v>45</v>
      </c>
      <c r="AN498" s="42" t="s">
        <v>45</v>
      </c>
      <c r="AO498" s="43" t="s">
        <v>45</v>
      </c>
      <c r="AP498" s="42" t="s">
        <v>57</v>
      </c>
      <c r="AQ498" s="42">
        <v>8</v>
      </c>
      <c r="AR498" s="50" t="s">
        <v>353</v>
      </c>
      <c r="AS498" s="45" t="s">
        <v>45</v>
      </c>
      <c r="AT498" s="45" t="s">
        <v>47</v>
      </c>
      <c r="AU498" s="46">
        <f>($O$3*(L498-$O$1)/$O$2+$P$3*(M498-$P$1)/$P$2+$Q$3*(N498-$P$1)/$Q$2)/SUM($O$3:$Q$3)</f>
        <v>-2.1166698725191955</v>
      </c>
      <c r="AV498" s="46">
        <f>($O$3*(O498-$O$1)/$O$2+$P$3*(P498-$P$1)/$P$2+$Q$3*(Q498-$Q$1)/$Q$2)/SUM($O$3:$Q$3)</f>
        <v>-1.23416323121884</v>
      </c>
      <c r="AW498" s="47">
        <f>COUNT(R498:AO498)/2</f>
        <v>4</v>
      </c>
      <c r="AX498" s="47">
        <f>IF(AND(S498&lt;&gt;"-",S498&gt;5),1,0)+IF(AND(U498&lt;&gt;"-",U498&gt;5),1,0)+IF(AND(W498&lt;&gt;"-",W498&gt;5),1,0)+IF(AND(Y498&lt;&gt;"-",Y498&gt;5),1,0)+IF(AND(AA498&lt;&gt;"-",AA498&gt;5),1,0)+IF(AND(AC498&lt;&gt;"-",AC498&gt;5),1,0)+IF(AND(AE498&lt;&gt;"-",AE498&gt;5),1,0)+IF(AND(AG498&lt;&gt;"-",AG498&gt;5),1,0)+IF(AND(AI498&lt;&gt;"-",AI498&gt;5),1,0)+IF(AND(AK498&lt;&gt;"-",AK498&gt;5),1,0)+IF(AND(AM498&lt;&gt;"-",AM498&gt;5),1,0)+IF(AND(AO498&lt;&gt;"-",AO498&gt;5),1,0)</f>
        <v>0</v>
      </c>
      <c r="AY498" s="48">
        <f>VLOOKUP(AP498,COND!$A$10:$B$32,2,FALSE)</f>
        <v>1</v>
      </c>
      <c r="AZ498" s="46">
        <f>($AU$3*AU498+$AV$3*AV498+$AW$3*AW498+$AX$3*AX498)*AY498*IF(AQ498&lt;5,0.95,IF(AQ498&lt;7,0.975,1))+$I$3*VLOOKUP(I498,COND!$A$2:$E$7,4,FALSE)+$J$3*VLOOKUP(J498,COND!$A$2:$E$7,2,FALSE)+$K$3*VLOOKUP(K498,COND!$A$2:$E$7,3,FALSE)+IF(BB498="SP",$BB$3,0)+IF($AW498&lt;3,-5,0)+IF(AND($B$2&gt;0,$E498&lt;20),$B$2*25,0)</f>
        <v>23.593401401119358</v>
      </c>
      <c r="BA498" s="49">
        <f>STANDARDIZE(AZ498,AVERAGE($AZ$5:$AZ$570),STDEVP($AZ$5:$AZ$570))</f>
        <v>-0.83715451235737226</v>
      </c>
      <c r="BB498" s="47" t="str">
        <f>IF(OR(AND(AQ498&gt;7,AX498&gt;1),AND(AQ498&gt;4,AW498&gt;2)),"SP","RP")</f>
        <v>SP</v>
      </c>
      <c r="BC498" s="47"/>
      <c r="BD498" s="47"/>
      <c r="BE498" s="47"/>
      <c r="BF498" s="47" t="str">
        <f>IF(AVERAGE($O498:$Q498)&gt;=6,"Likely",IF(AVERAGE($O498:$Q498)&gt;=4,"Possible","Unlikely"))</f>
        <v>Unlikely</v>
      </c>
      <c r="BG498" s="47"/>
      <c r="BH498" s="47" t="str">
        <f>INDEX(Table5[[#All],[Ovr]],MATCH(Table3[[#This Row],[PID]],Table5[[#All],[PID]],0))</f>
        <v/>
      </c>
      <c r="BI498" s="47" t="str">
        <f>INDEX(Table5[[#All],[Rnd]],MATCH(Table3[[#This Row],[PID]],Table5[[#All],[PID]],0))</f>
        <v/>
      </c>
      <c r="BJ498" s="47" t="str">
        <f>INDEX(Table5[[#All],[Pick]],MATCH(Table3[[#This Row],[PID]],Table5[[#All],[PID]],0))</f>
        <v/>
      </c>
      <c r="BK498" s="47" t="str">
        <f>INDEX(Table5[[#All],[Team]],MATCH(Table3[[#This Row],[PID]],Table5[[#All],[PID]],0))</f>
        <v/>
      </c>
      <c r="BL4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9" spans="1:64" ht="15" customHeight="1" x14ac:dyDescent="0.25">
      <c r="A499" s="42">
        <v>11151</v>
      </c>
      <c r="B499" s="42" t="s">
        <v>430</v>
      </c>
      <c r="C499" s="42" t="s">
        <v>1777</v>
      </c>
      <c r="D499" s="42" t="s">
        <v>552</v>
      </c>
      <c r="E499" s="42">
        <v>21</v>
      </c>
      <c r="F499" s="42" t="s">
        <v>53</v>
      </c>
      <c r="G499" s="42" t="s">
        <v>42</v>
      </c>
      <c r="H499" s="43" t="s">
        <v>721</v>
      </c>
      <c r="I499" s="44" t="s">
        <v>43</v>
      </c>
      <c r="J499" s="42" t="s">
        <v>43</v>
      </c>
      <c r="K499" s="43" t="s">
        <v>43</v>
      </c>
      <c r="L499" s="42">
        <v>1</v>
      </c>
      <c r="M499" s="42">
        <v>1</v>
      </c>
      <c r="N499" s="43">
        <v>2</v>
      </c>
      <c r="O499" s="42">
        <v>3</v>
      </c>
      <c r="P499" s="42">
        <v>1</v>
      </c>
      <c r="Q499" s="43">
        <v>3</v>
      </c>
      <c r="R499" s="42">
        <v>2</v>
      </c>
      <c r="S499" s="42">
        <v>3</v>
      </c>
      <c r="T499" s="42">
        <v>1</v>
      </c>
      <c r="U499" s="42">
        <v>1</v>
      </c>
      <c r="V499" s="42" t="s">
        <v>45</v>
      </c>
      <c r="W499" s="42" t="s">
        <v>45</v>
      </c>
      <c r="X499" s="42">
        <v>2</v>
      </c>
      <c r="Y499" s="42">
        <v>5</v>
      </c>
      <c r="Z499" s="42" t="s">
        <v>45</v>
      </c>
      <c r="AA499" s="42" t="s">
        <v>45</v>
      </c>
      <c r="AB499" s="42" t="s">
        <v>45</v>
      </c>
      <c r="AC499" s="42" t="s">
        <v>45</v>
      </c>
      <c r="AD499" s="42" t="s">
        <v>45</v>
      </c>
      <c r="AE499" s="42" t="s">
        <v>45</v>
      </c>
      <c r="AF499" s="42" t="s">
        <v>45</v>
      </c>
      <c r="AG499" s="42" t="s">
        <v>45</v>
      </c>
      <c r="AH499" s="42" t="s">
        <v>45</v>
      </c>
      <c r="AI499" s="42" t="s">
        <v>45</v>
      </c>
      <c r="AJ499" s="42" t="s">
        <v>45</v>
      </c>
      <c r="AK499" s="42" t="s">
        <v>45</v>
      </c>
      <c r="AL499" s="42" t="s">
        <v>45</v>
      </c>
      <c r="AM499" s="42" t="s">
        <v>45</v>
      </c>
      <c r="AN499" s="42" t="s">
        <v>45</v>
      </c>
      <c r="AO499" s="43" t="s">
        <v>45</v>
      </c>
      <c r="AP499" s="42" t="s">
        <v>67</v>
      </c>
      <c r="AQ499" s="42">
        <v>6</v>
      </c>
      <c r="AR499" s="50" t="s">
        <v>14</v>
      </c>
      <c r="AS499" s="45" t="s">
        <v>45</v>
      </c>
      <c r="AT499" s="45" t="s">
        <v>47</v>
      </c>
      <c r="AU499" s="46">
        <f>($O$3*(L499-$O$1)/$O$2+$P$3*(M499-$P$1)/$P$2+$Q$3*(N499-$P$1)/$Q$2)/SUM($O$3:$Q$3)</f>
        <v>-2.4591636719134877</v>
      </c>
      <c r="AV499" s="46">
        <f>($O$3*(O499-$O$1)/$O$2+$P$3*(P499-$P$1)/$P$2+$Q$3*(Q499-$Q$1)/$Q$2)/SUM($O$3:$Q$3)</f>
        <v>-1.3819657061039585</v>
      </c>
      <c r="AW499" s="47">
        <f>COUNT(R499:AO499)/2</f>
        <v>3</v>
      </c>
      <c r="AX499" s="47">
        <f>IF(AND(S499&lt;&gt;"-",S499&gt;5),1,0)+IF(AND(U499&lt;&gt;"-",U499&gt;5),1,0)+IF(AND(W499&lt;&gt;"-",W499&gt;5),1,0)+IF(AND(Y499&lt;&gt;"-",Y499&gt;5),1,0)+IF(AND(AA499&lt;&gt;"-",AA499&gt;5),1,0)+IF(AND(AC499&lt;&gt;"-",AC499&gt;5),1,0)+IF(AND(AE499&lt;&gt;"-",AE499&gt;5),1,0)+IF(AND(AG499&lt;&gt;"-",AG499&gt;5),1,0)+IF(AND(AI499&lt;&gt;"-",AI499&gt;5),1,0)+IF(AND(AK499&lt;&gt;"-",AK499&gt;5),1,0)+IF(AND(AM499&lt;&gt;"-",AM499&gt;5),1,0)+IF(AND(AO499&lt;&gt;"-",AO499&gt;5),1,0)</f>
        <v>0</v>
      </c>
      <c r="AY499" s="48">
        <f>VLOOKUP(AP499,COND!$A$10:$B$32,2,FALSE)</f>
        <v>0.9</v>
      </c>
      <c r="AZ499" s="46">
        <f>($AU$3*AU499+$AV$3*AV499+$AW$3*AW499+$AX$3*AX499)*AY499*IF(AQ499&lt;5,0.95,IF(AQ499&lt;7,0.975,1))+$I$3*VLOOKUP(I499,COND!$A$2:$E$7,4,FALSE)+$J$3*VLOOKUP(J499,COND!$A$2:$E$7,2,FALSE)+$K$3*VLOOKUP(K499,COND!$A$2:$E$7,3,FALSE)+IF(BB499="SP",$BB$3,0)+IF($AW499&lt;3,-5,0)+IF(AND($B$2&gt;0,$E499&lt;20),$B$2*25,0)</f>
        <v>23.63116863345471</v>
      </c>
      <c r="BA499" s="49">
        <f>STANDARDIZE(AZ499,AVERAGE($AZ$5:$AZ$676),STDEVP($AZ$5:$AZ$676))</f>
        <v>-0.59282123076407833</v>
      </c>
      <c r="BB499" s="47" t="str">
        <f>IF(OR(AND(AQ499&gt;7,AX499&gt;1),AND(AQ499&gt;4,AW499&gt;2)),"SP","RP")</f>
        <v>SP</v>
      </c>
      <c r="BC499" s="47"/>
      <c r="BD499" s="47"/>
      <c r="BE499" s="47"/>
      <c r="BF499" s="47" t="str">
        <f>IF(AVERAGE($O499:$Q499)&gt;=6,"Likely",IF(AVERAGE($O499:$Q499)&gt;=4,"Possible","Unlikely"))</f>
        <v>Unlikely</v>
      </c>
      <c r="BG499" s="47"/>
      <c r="BH499" s="47" t="str">
        <f>INDEX(Table5[[#All],[Ovr]],MATCH(Table3[[#This Row],[PID]],Table5[[#All],[PID]],0))</f>
        <v/>
      </c>
      <c r="BI499" s="47" t="str">
        <f>INDEX(Table5[[#All],[Rnd]],MATCH(Table3[[#This Row],[PID]],Table5[[#All],[PID]],0))</f>
        <v/>
      </c>
      <c r="BJ499" s="47" t="str">
        <f>INDEX(Table5[[#All],[Pick]],MATCH(Table3[[#This Row],[PID]],Table5[[#All],[PID]],0))</f>
        <v/>
      </c>
      <c r="BK499" s="47" t="str">
        <f>INDEX(Table5[[#All],[Team]],MATCH(Table3[[#This Row],[PID]],Table5[[#All],[PID]],0))</f>
        <v/>
      </c>
      <c r="BL4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0" spans="1:64" ht="15" customHeight="1" x14ac:dyDescent="0.25">
      <c r="A500" s="42">
        <v>12270</v>
      </c>
      <c r="B500" s="42" t="s">
        <v>49</v>
      </c>
      <c r="C500" s="42" t="s">
        <v>737</v>
      </c>
      <c r="D500" s="42" t="s">
        <v>367</v>
      </c>
      <c r="E500" s="42">
        <v>22</v>
      </c>
      <c r="F500" s="42" t="s">
        <v>53</v>
      </c>
      <c r="G500" s="42" t="s">
        <v>53</v>
      </c>
      <c r="H500" s="43" t="s">
        <v>721</v>
      </c>
      <c r="I500" s="44" t="s">
        <v>43</v>
      </c>
      <c r="J500" s="42" t="s">
        <v>44</v>
      </c>
      <c r="K500" s="43" t="s">
        <v>43</v>
      </c>
      <c r="L500" s="42">
        <v>4</v>
      </c>
      <c r="M500" s="42">
        <v>2</v>
      </c>
      <c r="N500" s="43">
        <v>2</v>
      </c>
      <c r="O500" s="42">
        <v>4</v>
      </c>
      <c r="P500" s="42">
        <v>2</v>
      </c>
      <c r="Q500" s="43">
        <v>2</v>
      </c>
      <c r="R500" s="42" t="s">
        <v>45</v>
      </c>
      <c r="S500" s="42" t="s">
        <v>45</v>
      </c>
      <c r="T500" s="42">
        <v>2</v>
      </c>
      <c r="U500" s="42">
        <v>2</v>
      </c>
      <c r="V500" s="42">
        <v>3</v>
      </c>
      <c r="W500" s="42">
        <v>4</v>
      </c>
      <c r="X500" s="42" t="s">
        <v>45</v>
      </c>
      <c r="Y500" s="42" t="s">
        <v>45</v>
      </c>
      <c r="Z500" s="42" t="s">
        <v>45</v>
      </c>
      <c r="AA500" s="42" t="s">
        <v>45</v>
      </c>
      <c r="AB500" s="42" t="s">
        <v>45</v>
      </c>
      <c r="AC500" s="42" t="s">
        <v>45</v>
      </c>
      <c r="AD500" s="42">
        <v>6</v>
      </c>
      <c r="AE500" s="42">
        <v>6</v>
      </c>
      <c r="AF500" s="42" t="s">
        <v>45</v>
      </c>
      <c r="AG500" s="42" t="s">
        <v>45</v>
      </c>
      <c r="AH500" s="42" t="s">
        <v>45</v>
      </c>
      <c r="AI500" s="42" t="s">
        <v>45</v>
      </c>
      <c r="AJ500" s="42" t="s">
        <v>45</v>
      </c>
      <c r="AK500" s="42" t="s">
        <v>45</v>
      </c>
      <c r="AL500" s="42" t="s">
        <v>45</v>
      </c>
      <c r="AM500" s="42" t="s">
        <v>45</v>
      </c>
      <c r="AN500" s="42" t="s">
        <v>45</v>
      </c>
      <c r="AO500" s="43" t="s">
        <v>45</v>
      </c>
      <c r="AP500" s="42" t="s">
        <v>56</v>
      </c>
      <c r="AQ500" s="42">
        <v>4</v>
      </c>
      <c r="AR500" s="50" t="s">
        <v>353</v>
      </c>
      <c r="AS500" s="45" t="s">
        <v>45</v>
      </c>
      <c r="AT500" s="45" t="s">
        <v>705</v>
      </c>
      <c r="AU500" s="46">
        <f>($O$3*(L500-$O$1)/$O$2+$P$3*(M500-$P$1)/$P$2+$Q$3*(N500-$P$1)/$Q$2)/SUM($O$3:$Q$3)</f>
        <v>-1.6796579819559116</v>
      </c>
      <c r="AV500" s="46">
        <f>($O$3*(O500-$O$1)/$O$2+$P$3*(P500-$P$1)/$P$2+$Q$3*(Q500-$Q$1)/$Q$2)/SUM($O$3:$Q$3)</f>
        <v>-1.23416323121884</v>
      </c>
      <c r="AW500" s="47">
        <f>COUNT(R500:AO500)/2</f>
        <v>3</v>
      </c>
      <c r="AX500" s="47">
        <f>IF(AND(S500&lt;&gt;"-",S500&gt;5),1,0)+IF(AND(U500&lt;&gt;"-",U500&gt;5),1,0)+IF(AND(W500&lt;&gt;"-",W500&gt;5),1,0)+IF(AND(Y500&lt;&gt;"-",Y500&gt;5),1,0)+IF(AND(AA500&lt;&gt;"-",AA500&gt;5),1,0)+IF(AND(AC500&lt;&gt;"-",AC500&gt;5),1,0)+IF(AND(AE500&lt;&gt;"-",AE500&gt;5),1,0)+IF(AND(AG500&lt;&gt;"-",AG500&gt;5),1,0)+IF(AND(AI500&lt;&gt;"-",AI500&gt;5),1,0)+IF(AND(AK500&lt;&gt;"-",AK500&gt;5),1,0)+IF(AND(AM500&lt;&gt;"-",AM500&gt;5),1,0)+IF(AND(AO500&lt;&gt;"-",AO500&gt;5),1,0)</f>
        <v>1</v>
      </c>
      <c r="AY500" s="48">
        <f>VLOOKUP(AP500,COND!$A$10:$B$32,2,FALSE)</f>
        <v>1</v>
      </c>
      <c r="AZ500" s="46">
        <f>($AU$3*AU500+$AV$3*AV500+$AW$3*AW500+$AX$3*AX500)*AY500*IF(AQ500&lt;5,0.95,IF(AQ500&lt;7,0.975,1))+$I$3*VLOOKUP(I500,COND!$A$2:$E$7,4,FALSE)+$J$3*VLOOKUP(J500,COND!$A$2:$E$7,2,FALSE)+$K$3*VLOOKUP(K500,COND!$A$2:$E$7,3,FALSE)+IF(BB500="SP",$BB$3,0)+IF($AW500&lt;3,-5,0)+IF(AND($B$2&gt;0,$E500&lt;20),$B$2*25,0)</f>
        <v>23.544263590270415</v>
      </c>
      <c r="BA500" s="49">
        <f>STANDARDIZE(AZ500,AVERAGE($AZ$5:$AZ$570),STDEVP($AZ$5:$AZ$570))</f>
        <v>-0.84166065963163794</v>
      </c>
      <c r="BB500" s="47" t="str">
        <f>IF(OR(AND(AQ500&gt;7,AX500&gt;1),AND(AQ500&gt;4,AW500&gt;2)),"SP","RP")</f>
        <v>RP</v>
      </c>
      <c r="BC500" s="47"/>
      <c r="BD500" s="47"/>
      <c r="BE500" s="47"/>
      <c r="BF500" s="47" t="str">
        <f>IF(AVERAGE($O500:$Q500)&gt;=6,"Likely",IF(AVERAGE($O500:$Q500)&gt;=4,"Possible","Unlikely"))</f>
        <v>Unlikely</v>
      </c>
      <c r="BG500" s="47"/>
      <c r="BH500" s="47" t="str">
        <f>INDEX(Table5[[#All],[Ovr]],MATCH(Table3[[#This Row],[PID]],Table5[[#All],[PID]],0))</f>
        <v/>
      </c>
      <c r="BI500" s="47" t="str">
        <f>INDEX(Table5[[#All],[Rnd]],MATCH(Table3[[#This Row],[PID]],Table5[[#All],[PID]],0))</f>
        <v/>
      </c>
      <c r="BJ500" s="47" t="str">
        <f>INDEX(Table5[[#All],[Pick]],MATCH(Table3[[#This Row],[PID]],Table5[[#All],[PID]],0))</f>
        <v/>
      </c>
      <c r="BK500" s="47" t="str">
        <f>INDEX(Table5[[#All],[Team]],MATCH(Table3[[#This Row],[PID]],Table5[[#All],[PID]],0))</f>
        <v/>
      </c>
      <c r="BL5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1" spans="1:64" ht="15" customHeight="1" x14ac:dyDescent="0.25">
      <c r="A501" s="42">
        <v>15751</v>
      </c>
      <c r="B501" s="42" t="s">
        <v>430</v>
      </c>
      <c r="C501" s="42" t="s">
        <v>558</v>
      </c>
      <c r="D501" s="42" t="s">
        <v>923</v>
      </c>
      <c r="E501" s="42">
        <v>22</v>
      </c>
      <c r="F501" s="42" t="s">
        <v>53</v>
      </c>
      <c r="G501" s="42" t="s">
        <v>42</v>
      </c>
      <c r="H501" s="43" t="s">
        <v>721</v>
      </c>
      <c r="I501" s="44" t="s">
        <v>44</v>
      </c>
      <c r="J501" s="42" t="s">
        <v>44</v>
      </c>
      <c r="K501" s="43" t="s">
        <v>43</v>
      </c>
      <c r="L501" s="42">
        <v>2</v>
      </c>
      <c r="M501" s="42">
        <v>2</v>
      </c>
      <c r="N501" s="43">
        <v>2</v>
      </c>
      <c r="O501" s="42">
        <v>4</v>
      </c>
      <c r="P501" s="42">
        <v>2</v>
      </c>
      <c r="Q501" s="43">
        <v>2</v>
      </c>
      <c r="R501" s="42">
        <v>4</v>
      </c>
      <c r="S501" s="42">
        <v>5</v>
      </c>
      <c r="T501" s="42" t="s">
        <v>45</v>
      </c>
      <c r="U501" s="42" t="s">
        <v>45</v>
      </c>
      <c r="V501" s="42">
        <v>2</v>
      </c>
      <c r="W501" s="42">
        <v>4</v>
      </c>
      <c r="X501" s="42">
        <v>3</v>
      </c>
      <c r="Y501" s="42">
        <v>5</v>
      </c>
      <c r="Z501" s="42" t="s">
        <v>45</v>
      </c>
      <c r="AA501" s="42" t="s">
        <v>45</v>
      </c>
      <c r="AB501" s="42" t="s">
        <v>45</v>
      </c>
      <c r="AC501" s="42" t="s">
        <v>45</v>
      </c>
      <c r="AD501" s="42" t="s">
        <v>45</v>
      </c>
      <c r="AE501" s="42" t="s">
        <v>45</v>
      </c>
      <c r="AF501" s="42" t="s">
        <v>45</v>
      </c>
      <c r="AG501" s="42" t="s">
        <v>45</v>
      </c>
      <c r="AH501" s="42" t="s">
        <v>45</v>
      </c>
      <c r="AI501" s="42" t="s">
        <v>45</v>
      </c>
      <c r="AJ501" s="42" t="s">
        <v>45</v>
      </c>
      <c r="AK501" s="42" t="s">
        <v>45</v>
      </c>
      <c r="AL501" s="42" t="s">
        <v>45</v>
      </c>
      <c r="AM501" s="42" t="s">
        <v>45</v>
      </c>
      <c r="AN501" s="42" t="s">
        <v>45</v>
      </c>
      <c r="AO501" s="43" t="s">
        <v>45</v>
      </c>
      <c r="AP501" s="42" t="s">
        <v>57</v>
      </c>
      <c r="AQ501" s="42">
        <v>6</v>
      </c>
      <c r="AR501" s="50" t="s">
        <v>353</v>
      </c>
      <c r="AS501" s="45" t="s">
        <v>45</v>
      </c>
      <c r="AT501" s="45" t="s">
        <v>705</v>
      </c>
      <c r="AU501" s="46">
        <f>($O$3*(L501-$O$1)/$O$2+$P$3*(M501-$P$1)/$P$2+$Q$3*(N501-$P$1)/$Q$2)/SUM($O$3:$Q$3)</f>
        <v>-2.0690406309742588</v>
      </c>
      <c r="AV501" s="46">
        <f>($O$3*(O501-$O$1)/$O$2+$P$3*(P501-$P$1)/$P$2+$Q$3*(Q501-$Q$1)/$Q$2)/SUM($O$3:$Q$3)</f>
        <v>-1.23416323121884</v>
      </c>
      <c r="AW501" s="47">
        <f>COUNT(R501:AO501)/2</f>
        <v>3</v>
      </c>
      <c r="AX501" s="47">
        <f>IF(AND(S501&lt;&gt;"-",S501&gt;5),1,0)+IF(AND(U501&lt;&gt;"-",U501&gt;5),1,0)+IF(AND(W501&lt;&gt;"-",W501&gt;5),1,0)+IF(AND(Y501&lt;&gt;"-",Y501&gt;5),1,0)+IF(AND(AA501&lt;&gt;"-",AA501&gt;5),1,0)+IF(AND(AC501&lt;&gt;"-",AC501&gt;5),1,0)+IF(AND(AE501&lt;&gt;"-",AE501&gt;5),1,0)+IF(AND(AG501&lt;&gt;"-",AG501&gt;5),1,0)+IF(AND(AI501&lt;&gt;"-",AI501&gt;5),1,0)+IF(AND(AK501&lt;&gt;"-",AK501&gt;5),1,0)+IF(AND(AM501&lt;&gt;"-",AM501&gt;5),1,0)+IF(AND(AO501&lt;&gt;"-",AO501&gt;5),1,0)</f>
        <v>0</v>
      </c>
      <c r="AY501" s="48">
        <f>VLOOKUP(AP501,COND!$A$10:$B$32,2,FALSE)</f>
        <v>1</v>
      </c>
      <c r="AZ501" s="46">
        <f>($AU$3*AU501+$AV$3*AV501+$AW$3*AW501+$AX$3*AX501)*AY501*IF(AQ501&lt;5,0.95,IF(AQ501&lt;7,0.975,1))+$I$3*VLOOKUP(I501,COND!$A$2:$E$7,4,FALSE)+$J$3*VLOOKUP(J501,COND!$A$2:$E$7,2,FALSE)+$K$3*VLOOKUP(K501,COND!$A$2:$E$7,3,FALSE)+IF(BB501="SP",$BB$3,0)+IF($AW501&lt;3,-5,0)+IF(AND($B$2&gt;0,$E501&lt;20),$B$2*25,0)</f>
        <v>23.542854068192639</v>
      </c>
      <c r="BA501" s="49">
        <f>STANDARDIZE(AZ501,AVERAGE($AZ$5:$AZ$570),STDEVP($AZ$5:$AZ$570))</f>
        <v>-0.84178991883059395</v>
      </c>
      <c r="BB501" s="47" t="str">
        <f>IF(OR(AND(AQ501&gt;7,AX501&gt;1),AND(AQ501&gt;4,AW501&gt;2)),"SP","RP")</f>
        <v>SP</v>
      </c>
      <c r="BC501" s="47"/>
      <c r="BD501" s="47"/>
      <c r="BE501" s="47"/>
      <c r="BF501" s="47" t="str">
        <f>IF(AVERAGE($O501:$Q501)&gt;=6,"Likely",IF(AVERAGE($O501:$Q501)&gt;=4,"Possible","Unlikely"))</f>
        <v>Unlikely</v>
      </c>
      <c r="BG501" s="47"/>
      <c r="BH501" s="47" t="str">
        <f>INDEX(Table5[[#All],[Ovr]],MATCH(Table3[[#This Row],[PID]],Table5[[#All],[PID]],0))</f>
        <v/>
      </c>
      <c r="BI501" s="47" t="str">
        <f>INDEX(Table5[[#All],[Rnd]],MATCH(Table3[[#This Row],[PID]],Table5[[#All],[PID]],0))</f>
        <v/>
      </c>
      <c r="BJ501" s="47" t="str">
        <f>INDEX(Table5[[#All],[Pick]],MATCH(Table3[[#This Row],[PID]],Table5[[#All],[PID]],0))</f>
        <v/>
      </c>
      <c r="BK501" s="47" t="str">
        <f>INDEX(Table5[[#All],[Team]],MATCH(Table3[[#This Row],[PID]],Table5[[#All],[PID]],0))</f>
        <v/>
      </c>
      <c r="BL5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2" spans="1:64" ht="15" customHeight="1" x14ac:dyDescent="0.25">
      <c r="A502" s="42">
        <v>11818</v>
      </c>
      <c r="B502" s="42" t="s">
        <v>430</v>
      </c>
      <c r="C502" s="42" t="s">
        <v>1516</v>
      </c>
      <c r="D502" s="42" t="s">
        <v>727</v>
      </c>
      <c r="E502" s="42">
        <v>21</v>
      </c>
      <c r="F502" s="42" t="s">
        <v>42</v>
      </c>
      <c r="G502" s="42" t="s">
        <v>42</v>
      </c>
      <c r="H502" s="43" t="s">
        <v>721</v>
      </c>
      <c r="I502" s="44" t="s">
        <v>43</v>
      </c>
      <c r="J502" s="42" t="s">
        <v>44</v>
      </c>
      <c r="K502" s="43" t="s">
        <v>43</v>
      </c>
      <c r="L502" s="42">
        <v>3</v>
      </c>
      <c r="M502" s="42">
        <v>1</v>
      </c>
      <c r="N502" s="43">
        <v>1</v>
      </c>
      <c r="O502" s="42">
        <v>5</v>
      </c>
      <c r="P502" s="42">
        <v>2</v>
      </c>
      <c r="Q502" s="43">
        <v>2</v>
      </c>
      <c r="R502" s="42">
        <v>5</v>
      </c>
      <c r="S502" s="42">
        <v>6</v>
      </c>
      <c r="T502" s="42" t="s">
        <v>45</v>
      </c>
      <c r="U502" s="42" t="s">
        <v>45</v>
      </c>
      <c r="V502" s="42" t="s">
        <v>45</v>
      </c>
      <c r="W502" s="42" t="s">
        <v>45</v>
      </c>
      <c r="X502" s="42">
        <v>3</v>
      </c>
      <c r="Y502" s="42">
        <v>7</v>
      </c>
      <c r="Z502" s="42" t="s">
        <v>45</v>
      </c>
      <c r="AA502" s="42" t="s">
        <v>45</v>
      </c>
      <c r="AB502" s="42" t="s">
        <v>45</v>
      </c>
      <c r="AC502" s="42" t="s">
        <v>45</v>
      </c>
      <c r="AD502" s="42" t="s">
        <v>45</v>
      </c>
      <c r="AE502" s="42" t="s">
        <v>45</v>
      </c>
      <c r="AF502" s="42" t="s">
        <v>45</v>
      </c>
      <c r="AG502" s="42" t="s">
        <v>45</v>
      </c>
      <c r="AH502" s="42" t="s">
        <v>45</v>
      </c>
      <c r="AI502" s="42" t="s">
        <v>45</v>
      </c>
      <c r="AJ502" s="42" t="s">
        <v>45</v>
      </c>
      <c r="AK502" s="42" t="s">
        <v>45</v>
      </c>
      <c r="AL502" s="42" t="s">
        <v>45</v>
      </c>
      <c r="AM502" s="42" t="s">
        <v>45</v>
      </c>
      <c r="AN502" s="42" t="s">
        <v>45</v>
      </c>
      <c r="AO502" s="43" t="s">
        <v>45</v>
      </c>
      <c r="AP502" s="42" t="s">
        <v>54</v>
      </c>
      <c r="AQ502" s="42">
        <v>8</v>
      </c>
      <c r="AR502" s="50" t="s">
        <v>14</v>
      </c>
      <c r="AS502" s="45" t="s">
        <v>45</v>
      </c>
      <c r="AT502" s="45" t="s">
        <v>47</v>
      </c>
      <c r="AU502" s="46">
        <f>($O$3*(L502-$O$1)/$O$2+$P$3*(M502-$P$1)/$P$2+$Q$3*(N502-$P$1)/$Q$2)/SUM($O$3:$Q$3)</f>
        <v>-2.3121015889492513</v>
      </c>
      <c r="AV502" s="46">
        <f>($O$3*(O502-$O$1)/$O$2+$P$3*(P502-$P$1)/$P$2+$Q$3*(Q502-$Q$1)/$Q$2)/SUM($O$3:$Q$3)</f>
        <v>-1.0394719067096667</v>
      </c>
      <c r="AW502" s="47">
        <f>COUNT(R502:AO502)/2</f>
        <v>2</v>
      </c>
      <c r="AX502" s="47">
        <f>IF(AND(S502&lt;&gt;"-",S502&gt;5),1,0)+IF(AND(U502&lt;&gt;"-",U502&gt;5),1,0)+IF(AND(W502&lt;&gt;"-",W502&gt;5),1,0)+IF(AND(Y502&lt;&gt;"-",Y502&gt;5),1,0)+IF(AND(AA502&lt;&gt;"-",AA502&gt;5),1,0)+IF(AND(AC502&lt;&gt;"-",AC502&gt;5),1,0)+IF(AND(AE502&lt;&gt;"-",AE502&gt;5),1,0)+IF(AND(AG502&lt;&gt;"-",AG502&gt;5),1,0)+IF(AND(AI502&lt;&gt;"-",AI502&gt;5),1,0)+IF(AND(AK502&lt;&gt;"-",AK502&gt;5),1,0)+IF(AND(AM502&lt;&gt;"-",AM502&gt;5),1,0)+IF(AND(AO502&lt;&gt;"-",AO502&gt;5),1,0)</f>
        <v>2</v>
      </c>
      <c r="AY502" s="48">
        <f>VLOOKUP(AP502,COND!$A$10:$B$32,2,FALSE)</f>
        <v>1.0249999999999999</v>
      </c>
      <c r="AZ502" s="46">
        <f>($AU$3*AU502+$AV$3*AV502+$AW$3*AW502+$AX$3*AX502)*AY502*IF(AQ502&lt;5,0.95,IF(AQ502&lt;7,0.975,1))+$I$3*VLOOKUP(I502,COND!$A$2:$E$7,4,FALSE)+$J$3*VLOOKUP(J502,COND!$A$2:$E$7,2,FALSE)+$K$3*VLOOKUP(K502,COND!$A$2:$E$7,3,FALSE)+IF(BB502="SP",$BB$3,0)+IF($AW502&lt;3,-5,0)+IF(AND($B$2&gt;0,$E502&lt;20),$B$2*25,0)</f>
        <v>23.50434508671724</v>
      </c>
      <c r="BA502" s="49">
        <f>STANDARDIZE(AZ502,AVERAGE($AZ$5:$AZ$570),STDEVP($AZ$5:$AZ$570))</f>
        <v>-0.84532135702273403</v>
      </c>
      <c r="BB502" s="47" t="str">
        <f>IF(OR(AND(AQ502&gt;7,AX502&gt;1),AND(AQ502&gt;4,AW502&gt;2)),"SP","RP")</f>
        <v>SP</v>
      </c>
      <c r="BC502" s="47"/>
      <c r="BD502" s="47"/>
      <c r="BE502" s="47"/>
      <c r="BF502" s="47" t="str">
        <f>IF(AVERAGE($O502:$Q502)&gt;=6,"Likely",IF(AVERAGE($O502:$Q502)&gt;=4,"Possible","Unlikely"))</f>
        <v>Unlikely</v>
      </c>
      <c r="BG502" s="47"/>
      <c r="BH502" s="47" t="str">
        <f>INDEX(Table5[[#All],[Ovr]],MATCH(Table3[[#This Row],[PID]],Table5[[#All],[PID]],0))</f>
        <v/>
      </c>
      <c r="BI502" s="47" t="str">
        <f>INDEX(Table5[[#All],[Rnd]],MATCH(Table3[[#This Row],[PID]],Table5[[#All],[PID]],0))</f>
        <v/>
      </c>
      <c r="BJ502" s="47" t="str">
        <f>INDEX(Table5[[#All],[Pick]],MATCH(Table3[[#This Row],[PID]],Table5[[#All],[PID]],0))</f>
        <v/>
      </c>
      <c r="BK502" s="47" t="str">
        <f>INDEX(Table5[[#All],[Team]],MATCH(Table3[[#This Row],[PID]],Table5[[#All],[PID]],0))</f>
        <v/>
      </c>
      <c r="BL5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3" spans="1:64" ht="15" customHeight="1" x14ac:dyDescent="0.25">
      <c r="A503" s="42">
        <v>5742</v>
      </c>
      <c r="B503" s="42" t="s">
        <v>430</v>
      </c>
      <c r="C503" s="42" t="s">
        <v>136</v>
      </c>
      <c r="D503" s="42" t="s">
        <v>938</v>
      </c>
      <c r="E503" s="42">
        <v>22</v>
      </c>
      <c r="F503" s="42" t="s">
        <v>42</v>
      </c>
      <c r="G503" s="42" t="s">
        <v>53</v>
      </c>
      <c r="H503" s="43" t="s">
        <v>721</v>
      </c>
      <c r="I503" s="44" t="s">
        <v>43</v>
      </c>
      <c r="J503" s="42" t="s">
        <v>43</v>
      </c>
      <c r="K503" s="43" t="s">
        <v>47</v>
      </c>
      <c r="L503" s="42">
        <v>2</v>
      </c>
      <c r="M503" s="42">
        <v>1</v>
      </c>
      <c r="N503" s="43">
        <v>1</v>
      </c>
      <c r="O503" s="42">
        <v>4</v>
      </c>
      <c r="P503" s="42">
        <v>1</v>
      </c>
      <c r="Q503" s="43">
        <v>2</v>
      </c>
      <c r="R503" s="42">
        <v>3</v>
      </c>
      <c r="S503" s="42">
        <v>3</v>
      </c>
      <c r="T503" s="42">
        <v>1</v>
      </c>
      <c r="U503" s="42">
        <v>1</v>
      </c>
      <c r="V503" s="42" t="s">
        <v>45</v>
      </c>
      <c r="W503" s="42" t="s">
        <v>45</v>
      </c>
      <c r="X503" s="42">
        <v>3</v>
      </c>
      <c r="Y503" s="42">
        <v>6</v>
      </c>
      <c r="Z503" s="42" t="s">
        <v>45</v>
      </c>
      <c r="AA503" s="42" t="s">
        <v>45</v>
      </c>
      <c r="AB503" s="42" t="s">
        <v>45</v>
      </c>
      <c r="AC503" s="42" t="s">
        <v>45</v>
      </c>
      <c r="AD503" s="42" t="s">
        <v>45</v>
      </c>
      <c r="AE503" s="42" t="s">
        <v>45</v>
      </c>
      <c r="AF503" s="42">
        <v>3</v>
      </c>
      <c r="AG503" s="42">
        <v>4</v>
      </c>
      <c r="AH503" s="42" t="s">
        <v>45</v>
      </c>
      <c r="AI503" s="42" t="s">
        <v>45</v>
      </c>
      <c r="AJ503" s="42" t="s">
        <v>45</v>
      </c>
      <c r="AK503" s="42" t="s">
        <v>45</v>
      </c>
      <c r="AL503" s="42" t="s">
        <v>45</v>
      </c>
      <c r="AM503" s="42" t="s">
        <v>45</v>
      </c>
      <c r="AN503" s="42" t="s">
        <v>45</v>
      </c>
      <c r="AO503" s="43" t="s">
        <v>45</v>
      </c>
      <c r="AP503" s="42" t="s">
        <v>356</v>
      </c>
      <c r="AQ503" s="42">
        <v>6</v>
      </c>
      <c r="AR503" s="50" t="s">
        <v>14</v>
      </c>
      <c r="AS503" s="45" t="s">
        <v>45</v>
      </c>
      <c r="AT503" s="45" t="s">
        <v>705</v>
      </c>
      <c r="AU503" s="46">
        <f>($O$3*(L503-$O$1)/$O$2+$P$3*(M503-$P$1)/$P$2+$Q$3*(N503-$P$1)/$Q$2)/SUM($O$3:$Q$3)</f>
        <v>-2.5067929134584248</v>
      </c>
      <c r="AV503" s="46">
        <f>($O$3*(O503-$O$1)/$O$2+$P$3*(P503-$P$1)/$P$2+$Q$3*(Q503-$Q$1)/$Q$2)/SUM($O$3:$Q$3)</f>
        <v>-1.4295949476488956</v>
      </c>
      <c r="AW503" s="47">
        <f>COUNT(R503:AO503)/2</f>
        <v>4</v>
      </c>
      <c r="AX503" s="47">
        <f>IF(AND(S503&lt;&gt;"-",S503&gt;5),1,0)+IF(AND(U503&lt;&gt;"-",U503&gt;5),1,0)+IF(AND(W503&lt;&gt;"-",W503&gt;5),1,0)+IF(AND(Y503&lt;&gt;"-",Y503&gt;5),1,0)+IF(AND(AA503&lt;&gt;"-",AA503&gt;5),1,0)+IF(AND(AC503&lt;&gt;"-",AC503&gt;5),1,0)+IF(AND(AE503&lt;&gt;"-",AE503&gt;5),1,0)+IF(AND(AG503&lt;&gt;"-",AG503&gt;5),1,0)+IF(AND(AI503&lt;&gt;"-",AI503&gt;5),1,0)+IF(AND(AK503&lt;&gt;"-",AK503&gt;5),1,0)+IF(AND(AM503&lt;&gt;"-",AM503&gt;5),1,0)+IF(AND(AO503&lt;&gt;"-",AO503&gt;5),1,0)</f>
        <v>1</v>
      </c>
      <c r="AY503" s="48">
        <f>VLOOKUP(AP503,COND!$A$10:$B$32,2,FALSE)</f>
        <v>1</v>
      </c>
      <c r="AZ503" s="46">
        <f>($AU$3*AU503+$AV$3*AV503+$AW$3*AW503+$AX$3*AX503)*AY503*IF(AQ503&lt;5,0.95,IF(AQ503&lt;7,0.975,1))+$I$3*VLOOKUP(I503,COND!$A$2:$E$7,4,FALSE)+$J$3*VLOOKUP(J503,COND!$A$2:$E$7,2,FALSE)+$K$3*VLOOKUP(K503,COND!$A$2:$E$7,3,FALSE)+IF(BB503="SP",$BB$3,0)+IF($AW503&lt;3,-5,0)+IF(AND($B$2&gt;0,$E503&lt;20),$B$2*25,0)</f>
        <v>22.10282390272214</v>
      </c>
      <c r="BA503" s="49">
        <f>STANDARDIZE(AZ503,AVERAGE($AZ$5:$AZ$570),STDEVP($AZ$5:$AZ$570))</f>
        <v>-0.97384683982252229</v>
      </c>
      <c r="BB503" s="47" t="str">
        <f>IF(OR(AND(AQ503&gt;7,AX503&gt;1),AND(AQ503&gt;4,AW503&gt;2)),"SP","RP")</f>
        <v>SP</v>
      </c>
      <c r="BC503" s="47"/>
      <c r="BD503" s="47"/>
      <c r="BE503" s="47"/>
      <c r="BF503" s="47" t="str">
        <f>IF(AVERAGE($O503:$Q503)&gt;=6,"Likely",IF(AVERAGE($O503:$Q503)&gt;=4,"Possible","Unlikely"))</f>
        <v>Unlikely</v>
      </c>
      <c r="BG503" s="47"/>
      <c r="BH503" s="47" t="str">
        <f>INDEX(Table5[[#All],[Ovr]],MATCH(Table3[[#This Row],[PID]],Table5[[#All],[PID]],0))</f>
        <v/>
      </c>
      <c r="BI503" s="47" t="str">
        <f>INDEX(Table5[[#All],[Rnd]],MATCH(Table3[[#This Row],[PID]],Table5[[#All],[PID]],0))</f>
        <v/>
      </c>
      <c r="BJ503" s="47" t="str">
        <f>INDEX(Table5[[#All],[Pick]],MATCH(Table3[[#This Row],[PID]],Table5[[#All],[PID]],0))</f>
        <v/>
      </c>
      <c r="BK503" s="47" t="str">
        <f>INDEX(Table5[[#All],[Team]],MATCH(Table3[[#This Row],[PID]],Table5[[#All],[PID]],0))</f>
        <v/>
      </c>
      <c r="BL5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4" spans="1:64" ht="15" customHeight="1" x14ac:dyDescent="0.25">
      <c r="A504" s="42">
        <v>12883</v>
      </c>
      <c r="B504" s="42" t="s">
        <v>430</v>
      </c>
      <c r="C504" s="42" t="s">
        <v>1534</v>
      </c>
      <c r="D504" s="42" t="s">
        <v>1583</v>
      </c>
      <c r="E504" s="42">
        <v>21</v>
      </c>
      <c r="F504" s="42" t="s">
        <v>42</v>
      </c>
      <c r="G504" s="42" t="s">
        <v>42</v>
      </c>
      <c r="H504" s="43" t="s">
        <v>721</v>
      </c>
      <c r="I504" s="44" t="s">
        <v>43</v>
      </c>
      <c r="J504" s="42" t="s">
        <v>43</v>
      </c>
      <c r="K504" s="43" t="s">
        <v>44</v>
      </c>
      <c r="L504" s="42">
        <v>3</v>
      </c>
      <c r="M504" s="42">
        <v>1</v>
      </c>
      <c r="N504" s="43">
        <v>1</v>
      </c>
      <c r="O504" s="42">
        <v>4</v>
      </c>
      <c r="P504" s="42">
        <v>2</v>
      </c>
      <c r="Q504" s="43">
        <v>2</v>
      </c>
      <c r="R504" s="42">
        <v>5</v>
      </c>
      <c r="S504" s="42">
        <v>7</v>
      </c>
      <c r="T504" s="42">
        <v>1</v>
      </c>
      <c r="U504" s="42">
        <v>4</v>
      </c>
      <c r="V504" s="42" t="s">
        <v>45</v>
      </c>
      <c r="W504" s="42" t="s">
        <v>45</v>
      </c>
      <c r="X504" s="42">
        <v>3</v>
      </c>
      <c r="Y504" s="42">
        <v>3</v>
      </c>
      <c r="Z504" s="42" t="s">
        <v>45</v>
      </c>
      <c r="AA504" s="42" t="s">
        <v>45</v>
      </c>
      <c r="AB504" s="42" t="s">
        <v>45</v>
      </c>
      <c r="AC504" s="42" t="s">
        <v>45</v>
      </c>
      <c r="AD504" s="42" t="s">
        <v>45</v>
      </c>
      <c r="AE504" s="42" t="s">
        <v>45</v>
      </c>
      <c r="AF504" s="42">
        <v>4</v>
      </c>
      <c r="AG504" s="42">
        <v>5</v>
      </c>
      <c r="AH504" s="42" t="s">
        <v>45</v>
      </c>
      <c r="AI504" s="42" t="s">
        <v>45</v>
      </c>
      <c r="AJ504" s="42" t="s">
        <v>45</v>
      </c>
      <c r="AK504" s="42" t="s">
        <v>45</v>
      </c>
      <c r="AL504" s="42" t="s">
        <v>45</v>
      </c>
      <c r="AM504" s="42" t="s">
        <v>45</v>
      </c>
      <c r="AN504" s="42" t="s">
        <v>45</v>
      </c>
      <c r="AO504" s="43" t="s">
        <v>45</v>
      </c>
      <c r="AP504" s="42" t="s">
        <v>54</v>
      </c>
      <c r="AQ504" s="42">
        <v>1</v>
      </c>
      <c r="AR504" s="50" t="s">
        <v>14</v>
      </c>
      <c r="AS504" s="45" t="s">
        <v>45</v>
      </c>
      <c r="AT504" s="45" t="s">
        <v>47</v>
      </c>
      <c r="AU504" s="46">
        <f>($O$3*(L504-$O$1)/$O$2+$P$3*(M504-$P$1)/$P$2+$Q$3*(N504-$P$1)/$Q$2)/SUM($O$3:$Q$3)</f>
        <v>-2.3121015889492513</v>
      </c>
      <c r="AV504" s="46">
        <f>($O$3*(O504-$O$1)/$O$2+$P$3*(P504-$P$1)/$P$2+$Q$3*(Q504-$Q$1)/$Q$2)/SUM($O$3:$Q$3)</f>
        <v>-1.23416323121884</v>
      </c>
      <c r="AW504" s="47">
        <f>COUNT(R504:AO504)/2</f>
        <v>4</v>
      </c>
      <c r="AX504" s="47">
        <f>IF(AND(S504&lt;&gt;"-",S504&gt;5),1,0)+IF(AND(U504&lt;&gt;"-",U504&gt;5),1,0)+IF(AND(W504&lt;&gt;"-",W504&gt;5),1,0)+IF(AND(Y504&lt;&gt;"-",Y504&gt;5),1,0)+IF(AND(AA504&lt;&gt;"-",AA504&gt;5),1,0)+IF(AND(AC504&lt;&gt;"-",AC504&gt;5),1,0)+IF(AND(AE504&lt;&gt;"-",AE504&gt;5),1,0)+IF(AND(AG504&lt;&gt;"-",AG504&gt;5),1,0)+IF(AND(AI504&lt;&gt;"-",AI504&gt;5),1,0)+IF(AND(AK504&lt;&gt;"-",AK504&gt;5),1,0)+IF(AND(AM504&lt;&gt;"-",AM504&gt;5),1,0)+IF(AND(AO504&lt;&gt;"-",AO504&gt;5),1,0)</f>
        <v>1</v>
      </c>
      <c r="AY504" s="48">
        <f>VLOOKUP(AP504,COND!$A$10:$B$32,2,FALSE)</f>
        <v>1.0249999999999999</v>
      </c>
      <c r="AZ504" s="46">
        <f>($AU$3*AU504+$AV$3*AV504+$AW$3*AW504+$AX$3*AX504)*AY504*IF(AQ504&lt;5,0.95,IF(AQ504&lt;7,0.975,1))+$I$3*VLOOKUP(I504,COND!$A$2:$E$7,4,FALSE)+$J$3*VLOOKUP(J504,COND!$A$2:$E$7,2,FALSE)+$K$3*VLOOKUP(K504,COND!$A$2:$E$7,3,FALSE)+IF(BB504="SP",$BB$3,0)+IF($AW504&lt;3,-5,0)+IF(AND($B$2&gt;0,$E504&lt;20),$B$2*25,0)</f>
        <v>23.379076787565225</v>
      </c>
      <c r="BA504" s="49">
        <f>STANDARDIZE(AZ504,AVERAGE($AZ$5:$AZ$570),STDEVP($AZ$5:$AZ$570))</f>
        <v>-0.85680899546293721</v>
      </c>
      <c r="BB504" s="47" t="str">
        <f>IF(OR(AND(AQ504&gt;7,AX504&gt;1),AND(AQ504&gt;4,AW504&gt;2)),"SP","RP")</f>
        <v>RP</v>
      </c>
      <c r="BC504" s="47"/>
      <c r="BD504" s="47"/>
      <c r="BE504" s="47"/>
      <c r="BF504" s="47" t="str">
        <f>IF(AVERAGE($O504:$Q504)&gt;=6,"Likely",IF(AVERAGE($O504:$Q504)&gt;=4,"Possible","Unlikely"))</f>
        <v>Unlikely</v>
      </c>
      <c r="BG504" s="47"/>
      <c r="BH504" s="47" t="str">
        <f>INDEX(Table5[[#All],[Ovr]],MATCH(Table3[[#This Row],[PID]],Table5[[#All],[PID]],0))</f>
        <v/>
      </c>
      <c r="BI504" s="47" t="str">
        <f>INDEX(Table5[[#All],[Rnd]],MATCH(Table3[[#This Row],[PID]],Table5[[#All],[PID]],0))</f>
        <v/>
      </c>
      <c r="BJ504" s="47" t="str">
        <f>INDEX(Table5[[#All],[Pick]],MATCH(Table3[[#This Row],[PID]],Table5[[#All],[PID]],0))</f>
        <v/>
      </c>
      <c r="BK504" s="47" t="str">
        <f>INDEX(Table5[[#All],[Team]],MATCH(Table3[[#This Row],[PID]],Table5[[#All],[PID]],0))</f>
        <v/>
      </c>
      <c r="BL5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5" spans="1:64" ht="15" customHeight="1" x14ac:dyDescent="0.25">
      <c r="A505" s="42">
        <v>16698</v>
      </c>
      <c r="B505" s="42" t="s">
        <v>430</v>
      </c>
      <c r="C505" s="42" t="s">
        <v>766</v>
      </c>
      <c r="D505" s="42" t="s">
        <v>742</v>
      </c>
      <c r="E505" s="42">
        <v>21</v>
      </c>
      <c r="F505" s="42" t="s">
        <v>42</v>
      </c>
      <c r="G505" s="42" t="s">
        <v>42</v>
      </c>
      <c r="H505" s="43" t="s">
        <v>721</v>
      </c>
      <c r="I505" s="44" t="s">
        <v>43</v>
      </c>
      <c r="J505" s="42" t="s">
        <v>43</v>
      </c>
      <c r="K505" s="43" t="s">
        <v>43</v>
      </c>
      <c r="L505" s="42">
        <v>2</v>
      </c>
      <c r="M505" s="42">
        <v>1</v>
      </c>
      <c r="N505" s="43">
        <v>1</v>
      </c>
      <c r="O505" s="42">
        <v>6</v>
      </c>
      <c r="P505" s="42">
        <v>1</v>
      </c>
      <c r="Q505" s="43">
        <v>2</v>
      </c>
      <c r="R505" s="42">
        <v>5</v>
      </c>
      <c r="S505" s="42">
        <v>8</v>
      </c>
      <c r="T505" s="42" t="s">
        <v>45</v>
      </c>
      <c r="U505" s="42" t="s">
        <v>45</v>
      </c>
      <c r="V505" s="42">
        <v>2</v>
      </c>
      <c r="W505" s="42">
        <v>6</v>
      </c>
      <c r="X505" s="42" t="s">
        <v>45</v>
      </c>
      <c r="Y505" s="42" t="s">
        <v>45</v>
      </c>
      <c r="Z505" s="42" t="s">
        <v>45</v>
      </c>
      <c r="AA505" s="42" t="s">
        <v>45</v>
      </c>
      <c r="AB505" s="42" t="s">
        <v>45</v>
      </c>
      <c r="AC505" s="42" t="s">
        <v>45</v>
      </c>
      <c r="AD505" s="42" t="s">
        <v>45</v>
      </c>
      <c r="AE505" s="42" t="s">
        <v>45</v>
      </c>
      <c r="AF505" s="42" t="s">
        <v>45</v>
      </c>
      <c r="AG505" s="42" t="s">
        <v>45</v>
      </c>
      <c r="AH505" s="42" t="s">
        <v>45</v>
      </c>
      <c r="AI505" s="42" t="s">
        <v>45</v>
      </c>
      <c r="AJ505" s="42" t="s">
        <v>45</v>
      </c>
      <c r="AK505" s="42" t="s">
        <v>45</v>
      </c>
      <c r="AL505" s="42" t="s">
        <v>45</v>
      </c>
      <c r="AM505" s="42" t="s">
        <v>45</v>
      </c>
      <c r="AN505" s="42" t="s">
        <v>45</v>
      </c>
      <c r="AO505" s="43" t="s">
        <v>45</v>
      </c>
      <c r="AP505" s="42" t="s">
        <v>60</v>
      </c>
      <c r="AQ505" s="42">
        <v>2</v>
      </c>
      <c r="AR505" s="50" t="s">
        <v>357</v>
      </c>
      <c r="AS505" s="45" t="s">
        <v>45</v>
      </c>
      <c r="AT505" s="45" t="s">
        <v>47</v>
      </c>
      <c r="AU505" s="46">
        <f>($O$3*(L505-$O$1)/$O$2+$P$3*(M505-$P$1)/$P$2+$Q$3*(N505-$P$1)/$Q$2)/SUM($O$3:$Q$3)</f>
        <v>-2.5067929134584248</v>
      </c>
      <c r="AV505" s="46">
        <f>($O$3*(O505-$O$1)/$O$2+$P$3*(P505-$P$1)/$P$2+$Q$3*(Q505-$Q$1)/$Q$2)/SUM($O$3:$Q$3)</f>
        <v>-1.0402122986305484</v>
      </c>
      <c r="AW505" s="47">
        <f>COUNT(R505:AO505)/2</f>
        <v>2</v>
      </c>
      <c r="AX505" s="47">
        <f>IF(AND(S505&lt;&gt;"-",S505&gt;5),1,0)+IF(AND(U505&lt;&gt;"-",U505&gt;5),1,0)+IF(AND(W505&lt;&gt;"-",W505&gt;5),1,0)+IF(AND(Y505&lt;&gt;"-",Y505&gt;5),1,0)+IF(AND(AA505&lt;&gt;"-",AA505&gt;5),1,0)+IF(AND(AC505&lt;&gt;"-",AC505&gt;5),1,0)+IF(AND(AE505&lt;&gt;"-",AE505&gt;5),1,0)+IF(AND(AG505&lt;&gt;"-",AG505&gt;5),1,0)+IF(AND(AI505&lt;&gt;"-",AI505&gt;5),1,0)+IF(AND(AK505&lt;&gt;"-",AK505&gt;5),1,0)+IF(AND(AM505&lt;&gt;"-",AM505&gt;5),1,0)+IF(AND(AO505&lt;&gt;"-",AO505&gt;5),1,0)</f>
        <v>2</v>
      </c>
      <c r="AY505" s="48">
        <f>VLOOKUP(AP505,COND!$A$10:$B$32,2,FALSE)</f>
        <v>1.0249999999999999</v>
      </c>
      <c r="AZ505" s="46">
        <f>($AU$3*AU505+$AV$3*AV505+$AW$3*AW505+$AX$3*AX505)*AY505*IF(AQ505&lt;5,0.95,IF(AQ505&lt;7,0.975,1))+$I$3*VLOOKUP(I505,COND!$A$2:$E$7,4,FALSE)+$J$3*VLOOKUP(J505,COND!$A$2:$E$7,2,FALSE)+$K$3*VLOOKUP(K505,COND!$A$2:$E$7,3,FALSE)+IF(BB505="SP",$BB$3,0)+IF($AW505&lt;3,-5,0)+IF(AND($B$2&gt;0,$E505&lt;20),$B$2*25,0)</f>
        <v>22.661792564274041</v>
      </c>
      <c r="BA505" s="49">
        <f>STANDARDIZE(AZ505,AVERAGE($AZ$5:$AZ$570),STDEVP($AZ$5:$AZ$570))</f>
        <v>-0.92258702447594187</v>
      </c>
      <c r="BB505" s="47" t="str">
        <f>IF(OR(AND(AQ505&gt;7,AX505&gt;1),AND(AQ505&gt;4,AW505&gt;2)),"SP","RP")</f>
        <v>RP</v>
      </c>
      <c r="BC505" s="47"/>
      <c r="BD505" s="47"/>
      <c r="BE505" s="47"/>
      <c r="BF505" s="47" t="str">
        <f>IF(AVERAGE($O505:$Q505)&gt;=6,"Likely",IF(AVERAGE($O505:$Q505)&gt;=4,"Possible","Unlikely"))</f>
        <v>Unlikely</v>
      </c>
      <c r="BG505" s="47"/>
      <c r="BH505" s="47" t="str">
        <f>INDEX(Table5[[#All],[Ovr]],MATCH(Table3[[#This Row],[PID]],Table5[[#All],[PID]],0))</f>
        <v/>
      </c>
      <c r="BI505" s="47" t="str">
        <f>INDEX(Table5[[#All],[Rnd]],MATCH(Table3[[#This Row],[PID]],Table5[[#All],[PID]],0))</f>
        <v/>
      </c>
      <c r="BJ505" s="47" t="str">
        <f>INDEX(Table5[[#All],[Pick]],MATCH(Table3[[#This Row],[PID]],Table5[[#All],[PID]],0))</f>
        <v/>
      </c>
      <c r="BK505" s="47" t="str">
        <f>INDEX(Table5[[#All],[Team]],MATCH(Table3[[#This Row],[PID]],Table5[[#All],[PID]],0))</f>
        <v/>
      </c>
      <c r="BL5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6" spans="1:64" ht="15" customHeight="1" x14ac:dyDescent="0.25">
      <c r="A506" s="42">
        <v>15406</v>
      </c>
      <c r="B506" s="42" t="s">
        <v>430</v>
      </c>
      <c r="C506" s="42" t="s">
        <v>1005</v>
      </c>
      <c r="D506" s="42" t="s">
        <v>1006</v>
      </c>
      <c r="E506" s="42">
        <v>22</v>
      </c>
      <c r="F506" s="42" t="s">
        <v>53</v>
      </c>
      <c r="G506" s="42" t="s">
        <v>53</v>
      </c>
      <c r="H506" s="43" t="s">
        <v>721</v>
      </c>
      <c r="I506" s="44" t="s">
        <v>43</v>
      </c>
      <c r="J506" s="42" t="s">
        <v>43</v>
      </c>
      <c r="K506" s="43" t="s">
        <v>43</v>
      </c>
      <c r="L506" s="42">
        <v>3</v>
      </c>
      <c r="M506" s="42">
        <v>2</v>
      </c>
      <c r="N506" s="43">
        <v>2</v>
      </c>
      <c r="O506" s="42">
        <v>4</v>
      </c>
      <c r="P506" s="42">
        <v>2</v>
      </c>
      <c r="Q506" s="43">
        <v>2</v>
      </c>
      <c r="R506" s="42" t="s">
        <v>45</v>
      </c>
      <c r="S506" s="42" t="s">
        <v>45</v>
      </c>
      <c r="T506" s="42" t="s">
        <v>45</v>
      </c>
      <c r="U506" s="42" t="s">
        <v>45</v>
      </c>
      <c r="V506" s="42" t="s">
        <v>45</v>
      </c>
      <c r="W506" s="42" t="s">
        <v>45</v>
      </c>
      <c r="X506" s="42">
        <v>4</v>
      </c>
      <c r="Y506" s="42">
        <v>5</v>
      </c>
      <c r="Z506" s="42" t="s">
        <v>45</v>
      </c>
      <c r="AA506" s="42" t="s">
        <v>45</v>
      </c>
      <c r="AB506" s="42">
        <v>3</v>
      </c>
      <c r="AC506" s="42">
        <v>3</v>
      </c>
      <c r="AD506" s="42">
        <v>4</v>
      </c>
      <c r="AE506" s="42">
        <v>5</v>
      </c>
      <c r="AF506" s="42" t="s">
        <v>45</v>
      </c>
      <c r="AG506" s="42" t="s">
        <v>45</v>
      </c>
      <c r="AH506" s="42" t="s">
        <v>45</v>
      </c>
      <c r="AI506" s="42" t="s">
        <v>45</v>
      </c>
      <c r="AJ506" s="42" t="s">
        <v>45</v>
      </c>
      <c r="AK506" s="42" t="s">
        <v>45</v>
      </c>
      <c r="AL506" s="42" t="s">
        <v>45</v>
      </c>
      <c r="AM506" s="42" t="s">
        <v>45</v>
      </c>
      <c r="AN506" s="42" t="s">
        <v>45</v>
      </c>
      <c r="AO506" s="43" t="s">
        <v>45</v>
      </c>
      <c r="AP506" s="42" t="s">
        <v>56</v>
      </c>
      <c r="AQ506" s="42">
        <v>4</v>
      </c>
      <c r="AR506" s="50" t="s">
        <v>353</v>
      </c>
      <c r="AS506" s="45" t="s">
        <v>45</v>
      </c>
      <c r="AT506" s="45" t="s">
        <v>47</v>
      </c>
      <c r="AU506" s="46">
        <f>($O$3*(L506-$O$1)/$O$2+$P$3*(M506-$P$1)/$P$2+$Q$3*(N506-$P$1)/$Q$2)/SUM($O$3:$Q$3)</f>
        <v>-1.8743493064650851</v>
      </c>
      <c r="AV506" s="46">
        <f>($O$3*(O506-$O$1)/$O$2+$P$3*(P506-$P$1)/$P$2+$Q$3*(Q506-$Q$1)/$Q$2)/SUM($O$3:$Q$3)</f>
        <v>-1.23416323121884</v>
      </c>
      <c r="AW506" s="47">
        <f>COUNT(R506:AO506)/2</f>
        <v>3</v>
      </c>
      <c r="AX506" s="47">
        <f>IF(AND(S506&lt;&gt;"-",S506&gt;5),1,0)+IF(AND(U506&lt;&gt;"-",U506&gt;5),1,0)+IF(AND(W506&lt;&gt;"-",W506&gt;5),1,0)+IF(AND(Y506&lt;&gt;"-",Y506&gt;5),1,0)+IF(AND(AA506&lt;&gt;"-",AA506&gt;5),1,0)+IF(AND(AC506&lt;&gt;"-",AC506&gt;5),1,0)+IF(AND(AE506&lt;&gt;"-",AE506&gt;5),1,0)+IF(AND(AG506&lt;&gt;"-",AG506&gt;5),1,0)+IF(AND(AI506&lt;&gt;"-",AI506&gt;5),1,0)+IF(AND(AK506&lt;&gt;"-",AK506&gt;5),1,0)+IF(AND(AM506&lt;&gt;"-",AM506&gt;5),1,0)+IF(AND(AO506&lt;&gt;"-",AO506&gt;5),1,0)</f>
        <v>0</v>
      </c>
      <c r="AY506" s="48">
        <f>VLOOKUP(AP506,COND!$A$10:$B$32,2,FALSE)</f>
        <v>1</v>
      </c>
      <c r="AZ506" s="46">
        <f>($AU$3*AU506+$AV$3*AV506+$AW$3*AW506+$AX$3*AX506)*AY506*IF(AQ506&lt;5,0.95,IF(AQ506&lt;7,0.975,1))+$I$3*VLOOKUP(I506,COND!$A$2:$E$7,4,FALSE)+$J$3*VLOOKUP(J506,COND!$A$2:$E$7,2,FALSE)+$K$3*VLOOKUP(K506,COND!$A$2:$E$7,3,FALSE)+IF(BB506="SP",$BB$3,0)+IF($AW506&lt;3,-5,0)+IF(AND($B$2&gt;0,$E506&lt;20),$B$2*25,0)</f>
        <v>22.619772238613674</v>
      </c>
      <c r="BA506" s="49">
        <f>STANDARDIZE(AZ506,AVERAGE($AZ$5:$AZ$570),STDEVP($AZ$5:$AZ$570))</f>
        <v>-0.92644046793764412</v>
      </c>
      <c r="BB506" s="47" t="str">
        <f>IF(OR(AND(AQ506&gt;7,AX506&gt;1),AND(AQ506&gt;4,AW506&gt;2)),"SP","RP")</f>
        <v>RP</v>
      </c>
      <c r="BC506" s="47"/>
      <c r="BD506" s="47"/>
      <c r="BE506" s="47"/>
      <c r="BF506" s="47" t="str">
        <f>IF(AVERAGE($O506:$Q506)&gt;=6,"Likely",IF(AVERAGE($O506:$Q506)&gt;=4,"Possible","Unlikely"))</f>
        <v>Unlikely</v>
      </c>
      <c r="BG506" s="47"/>
      <c r="BH506" s="47" t="str">
        <f>INDEX(Table5[[#All],[Ovr]],MATCH(Table3[[#This Row],[PID]],Table5[[#All],[PID]],0))</f>
        <v/>
      </c>
      <c r="BI506" s="47" t="str">
        <f>INDEX(Table5[[#All],[Rnd]],MATCH(Table3[[#This Row],[PID]],Table5[[#All],[PID]],0))</f>
        <v/>
      </c>
      <c r="BJ506" s="47" t="str">
        <f>INDEX(Table5[[#All],[Pick]],MATCH(Table3[[#This Row],[PID]],Table5[[#All],[PID]],0))</f>
        <v/>
      </c>
      <c r="BK506" s="47" t="str">
        <f>INDEX(Table5[[#All],[Team]],MATCH(Table3[[#This Row],[PID]],Table5[[#All],[PID]],0))</f>
        <v/>
      </c>
      <c r="BL5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7" spans="1:64" ht="15" customHeight="1" x14ac:dyDescent="0.25">
      <c r="A507" s="42">
        <v>10328</v>
      </c>
      <c r="B507" s="42" t="s">
        <v>430</v>
      </c>
      <c r="C507" s="42" t="s">
        <v>732</v>
      </c>
      <c r="D507" s="42" t="s">
        <v>813</v>
      </c>
      <c r="E507" s="42">
        <v>21</v>
      </c>
      <c r="F507" s="42" t="s">
        <v>42</v>
      </c>
      <c r="G507" s="42" t="s">
        <v>42</v>
      </c>
      <c r="H507" s="43" t="s">
        <v>721</v>
      </c>
      <c r="I507" s="44" t="s">
        <v>44</v>
      </c>
      <c r="J507" s="42" t="s">
        <v>43</v>
      </c>
      <c r="K507" s="43" t="s">
        <v>43</v>
      </c>
      <c r="L507" s="42">
        <v>2</v>
      </c>
      <c r="M507" s="42">
        <v>2</v>
      </c>
      <c r="N507" s="43">
        <v>2</v>
      </c>
      <c r="O507" s="42">
        <v>3</v>
      </c>
      <c r="P507" s="42">
        <v>2</v>
      </c>
      <c r="Q507" s="43">
        <v>3</v>
      </c>
      <c r="R507" s="42">
        <v>4</v>
      </c>
      <c r="S507" s="42">
        <v>4</v>
      </c>
      <c r="T507" s="42" t="s">
        <v>45</v>
      </c>
      <c r="U507" s="42" t="s">
        <v>45</v>
      </c>
      <c r="V507" s="42" t="s">
        <v>45</v>
      </c>
      <c r="W507" s="42" t="s">
        <v>45</v>
      </c>
      <c r="X507" s="42">
        <v>2</v>
      </c>
      <c r="Y507" s="42">
        <v>4</v>
      </c>
      <c r="Z507" s="42" t="s">
        <v>45</v>
      </c>
      <c r="AA507" s="42" t="s">
        <v>45</v>
      </c>
      <c r="AB507" s="42" t="s">
        <v>45</v>
      </c>
      <c r="AC507" s="42" t="s">
        <v>45</v>
      </c>
      <c r="AD507" s="42" t="s">
        <v>45</v>
      </c>
      <c r="AE507" s="42" t="s">
        <v>45</v>
      </c>
      <c r="AF507" s="42" t="s">
        <v>45</v>
      </c>
      <c r="AG507" s="42" t="s">
        <v>45</v>
      </c>
      <c r="AH507" s="42">
        <v>2</v>
      </c>
      <c r="AI507" s="42">
        <v>4</v>
      </c>
      <c r="AJ507" s="42" t="s">
        <v>45</v>
      </c>
      <c r="AK507" s="42" t="s">
        <v>45</v>
      </c>
      <c r="AL507" s="42" t="s">
        <v>45</v>
      </c>
      <c r="AM507" s="42" t="s">
        <v>45</v>
      </c>
      <c r="AN507" s="42" t="s">
        <v>45</v>
      </c>
      <c r="AO507" s="43" t="s">
        <v>45</v>
      </c>
      <c r="AP507" s="42" t="s">
        <v>57</v>
      </c>
      <c r="AQ507" s="42">
        <v>3</v>
      </c>
      <c r="AR507" s="50" t="s">
        <v>353</v>
      </c>
      <c r="AS507" s="45" t="s">
        <v>45</v>
      </c>
      <c r="AT507" s="45" t="s">
        <v>47</v>
      </c>
      <c r="AU507" s="46">
        <f>($O$3*(L507-$O$1)/$O$2+$P$3*(M507-$P$1)/$P$2+$Q$3*(N507-$P$1)/$Q$2)/SUM($O$3:$Q$3)</f>
        <v>-2.0690406309742588</v>
      </c>
      <c r="AV507" s="46">
        <f>($O$3*(O507-$O$1)/$O$2+$P$3*(P507-$P$1)/$P$2+$Q$3*(Q507-$Q$1)/$Q$2)/SUM($O$3:$Q$3)</f>
        <v>-1.1865339896739031</v>
      </c>
      <c r="AW507" s="47">
        <f>COUNT(R507:AO507)/2</f>
        <v>3</v>
      </c>
      <c r="AX507" s="47">
        <f>IF(AND(S507&lt;&gt;"-",S507&gt;5),1,0)+IF(AND(U507&lt;&gt;"-",U507&gt;5),1,0)+IF(AND(W507&lt;&gt;"-",W507&gt;5),1,0)+IF(AND(Y507&lt;&gt;"-",Y507&gt;5),1,0)+IF(AND(AA507&lt;&gt;"-",AA507&gt;5),1,0)+IF(AND(AC507&lt;&gt;"-",AC507&gt;5),1,0)+IF(AND(AE507&lt;&gt;"-",AE507&gt;5),1,0)+IF(AND(AG507&lt;&gt;"-",AG507&gt;5),1,0)+IF(AND(AI507&lt;&gt;"-",AI507&gt;5),1,0)+IF(AND(AK507&lt;&gt;"-",AK507&gt;5),1,0)+IF(AND(AM507&lt;&gt;"-",AM507&gt;5),1,0)+IF(AND(AO507&lt;&gt;"-",AO507&gt;5),1,0)</f>
        <v>0</v>
      </c>
      <c r="AY507" s="48">
        <f>VLOOKUP(AP507,COND!$A$10:$B$32,2,FALSE)</f>
        <v>1</v>
      </c>
      <c r="AZ507" s="46">
        <f>($AU$3*AU507+$AV$3*AV507+$AW$3*AW507+$AX$3*AX507)*AY507*IF(AQ507&lt;5,0.95,IF(AQ507&lt;7,0.975,1))+$I$3*VLOOKUP(I507,COND!$A$2:$E$7,4,FALSE)+$J$3*VLOOKUP(J507,COND!$A$2:$E$7,2,FALSE)+$K$3*VLOOKUP(K507,COND!$A$2:$E$7,3,FALSE)+IF(BB507="SP",$BB$3,0)+IF($AW507&lt;3,-5,0)+IF(AND($B$2&gt;0,$E507&lt;20),$B$2*25,0)</f>
        <v>23.337736476310731</v>
      </c>
      <c r="BA507" s="49">
        <f>STANDARDIZE(AZ507,AVERAGE($AZ$5:$AZ$676),STDEVP($AZ$5:$AZ$676))</f>
        <v>-0.61853838843188758</v>
      </c>
      <c r="BB507" s="47" t="str">
        <f>IF(OR(AND(AQ507&gt;7,AX507&gt;1),AND(AQ507&gt;4,AW507&gt;2)),"SP","RP")</f>
        <v>RP</v>
      </c>
      <c r="BC507" s="47"/>
      <c r="BD507" s="47"/>
      <c r="BE507" s="47"/>
      <c r="BF507" s="47" t="str">
        <f>IF(AVERAGE($O507:$Q507)&gt;=6,"Likely",IF(AVERAGE($O507:$Q507)&gt;=4,"Possible","Unlikely"))</f>
        <v>Unlikely</v>
      </c>
      <c r="BG507" s="47"/>
      <c r="BH507" s="47" t="str">
        <f>INDEX(Table5[[#All],[Ovr]],MATCH(Table3[[#This Row],[PID]],Table5[[#All],[PID]],0))</f>
        <v/>
      </c>
      <c r="BI507" s="47" t="str">
        <f>INDEX(Table5[[#All],[Rnd]],MATCH(Table3[[#This Row],[PID]],Table5[[#All],[PID]],0))</f>
        <v/>
      </c>
      <c r="BJ507" s="47" t="str">
        <f>INDEX(Table5[[#All],[Pick]],MATCH(Table3[[#This Row],[PID]],Table5[[#All],[PID]],0))</f>
        <v/>
      </c>
      <c r="BK507" s="47" t="str">
        <f>INDEX(Table5[[#All],[Team]],MATCH(Table3[[#This Row],[PID]],Table5[[#All],[PID]],0))</f>
        <v/>
      </c>
      <c r="BL5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8" spans="1:64" ht="15" customHeight="1" x14ac:dyDescent="0.25">
      <c r="A508" s="42">
        <v>8912</v>
      </c>
      <c r="B508" s="42" t="s">
        <v>430</v>
      </c>
      <c r="C508" s="42" t="s">
        <v>368</v>
      </c>
      <c r="D508" s="42" t="s">
        <v>298</v>
      </c>
      <c r="E508" s="42">
        <v>22</v>
      </c>
      <c r="F508" s="42" t="s">
        <v>42</v>
      </c>
      <c r="G508" s="42" t="s">
        <v>42</v>
      </c>
      <c r="H508" s="43" t="s">
        <v>721</v>
      </c>
      <c r="I508" s="44" t="s">
        <v>47</v>
      </c>
      <c r="J508" s="42" t="s">
        <v>47</v>
      </c>
      <c r="K508" s="43" t="s">
        <v>47</v>
      </c>
      <c r="L508" s="42">
        <v>2</v>
      </c>
      <c r="M508" s="42">
        <v>1</v>
      </c>
      <c r="N508" s="43">
        <v>2</v>
      </c>
      <c r="O508" s="42">
        <v>3</v>
      </c>
      <c r="P508" s="42">
        <v>1</v>
      </c>
      <c r="Q508" s="43">
        <v>3</v>
      </c>
      <c r="R508" s="42" t="s">
        <v>45</v>
      </c>
      <c r="S508" s="42" t="s">
        <v>45</v>
      </c>
      <c r="T508" s="42">
        <v>2</v>
      </c>
      <c r="U508" s="42">
        <v>3</v>
      </c>
      <c r="V508" s="42">
        <v>3</v>
      </c>
      <c r="W508" s="42">
        <v>4</v>
      </c>
      <c r="X508" s="42">
        <v>2</v>
      </c>
      <c r="Y508" s="42">
        <v>2</v>
      </c>
      <c r="Z508" s="42" t="s">
        <v>45</v>
      </c>
      <c r="AA508" s="42" t="s">
        <v>45</v>
      </c>
      <c r="AB508" s="42" t="s">
        <v>45</v>
      </c>
      <c r="AC508" s="42" t="s">
        <v>45</v>
      </c>
      <c r="AD508" s="42">
        <v>3</v>
      </c>
      <c r="AE508" s="42">
        <v>4</v>
      </c>
      <c r="AF508" s="42" t="s">
        <v>45</v>
      </c>
      <c r="AG508" s="42" t="s">
        <v>45</v>
      </c>
      <c r="AH508" s="42" t="s">
        <v>45</v>
      </c>
      <c r="AI508" s="42" t="s">
        <v>45</v>
      </c>
      <c r="AJ508" s="42" t="s">
        <v>45</v>
      </c>
      <c r="AK508" s="42" t="s">
        <v>45</v>
      </c>
      <c r="AL508" s="42" t="s">
        <v>45</v>
      </c>
      <c r="AM508" s="42" t="s">
        <v>45</v>
      </c>
      <c r="AN508" s="42" t="s">
        <v>45</v>
      </c>
      <c r="AO508" s="43" t="s">
        <v>45</v>
      </c>
      <c r="AP508" s="42" t="s">
        <v>356</v>
      </c>
      <c r="AQ508" s="42">
        <v>7</v>
      </c>
      <c r="AR508" s="50" t="s">
        <v>357</v>
      </c>
      <c r="AS508" s="45" t="s">
        <v>45</v>
      </c>
      <c r="AT508" s="45" t="s">
        <v>705</v>
      </c>
      <c r="AU508" s="46">
        <f>($O$3*(L508-$O$1)/$O$2+$P$3*(M508-$P$1)/$P$2+$Q$3*(N508-$P$1)/$Q$2)/SUM($O$3:$Q$3)</f>
        <v>-2.2644723474043147</v>
      </c>
      <c r="AV508" s="46">
        <f>($O$3*(O508-$O$1)/$O$2+$P$3*(P508-$P$1)/$P$2+$Q$3*(Q508-$Q$1)/$Q$2)/SUM($O$3:$Q$3)</f>
        <v>-1.3819657061039585</v>
      </c>
      <c r="AW508" s="47">
        <f>COUNT(R508:AO508)/2</f>
        <v>4</v>
      </c>
      <c r="AX508" s="47">
        <f>IF(AND(S508&lt;&gt;"-",S508&gt;5),1,0)+IF(AND(U508&lt;&gt;"-",U508&gt;5),1,0)+IF(AND(W508&lt;&gt;"-",W508&gt;5),1,0)+IF(AND(Y508&lt;&gt;"-",Y508&gt;5),1,0)+IF(AND(AA508&lt;&gt;"-",AA508&gt;5),1,0)+IF(AND(AC508&lt;&gt;"-",AC508&gt;5),1,0)+IF(AND(AE508&lt;&gt;"-",AE508&gt;5),1,0)+IF(AND(AG508&lt;&gt;"-",AG508&gt;5),1,0)+IF(AND(AI508&lt;&gt;"-",AI508&gt;5),1,0)+IF(AND(AK508&lt;&gt;"-",AK508&gt;5),1,0)+IF(AND(AM508&lt;&gt;"-",AM508&gt;5),1,0)+IF(AND(AO508&lt;&gt;"-",AO508&gt;5),1,0)</f>
        <v>0</v>
      </c>
      <c r="AY508" s="48">
        <f>VLOOKUP(AP508,COND!$A$10:$B$32,2,FALSE)</f>
        <v>1</v>
      </c>
      <c r="AZ508" s="46">
        <f>($AU$3*AU508+$AV$3*AV508+$AW$3*AW508+$AX$3*AX508)*AY508*IF(AQ508&lt;5,0.95,IF(AQ508&lt;7,0.975,1))+$I$3*VLOOKUP(I508,COND!$A$2:$E$7,4,FALSE)+$J$3*VLOOKUP(J508,COND!$A$2:$E$7,2,FALSE)+$K$3*VLOOKUP(K508,COND!$A$2:$E$7,3,FALSE)+IF(BB508="SP",$BB$3,0)+IF($AW508&lt;3,-5,0)+IF(AND($B$2&gt;0,$E508&lt;20),$B$2*25,0)</f>
        <v>21.732791408439965</v>
      </c>
      <c r="BA508" s="49">
        <f>STANDARDIZE(AZ508,AVERAGE($AZ$5:$AZ$676),STDEVP($AZ$5:$AZ$676))</f>
        <v>-0.75919994972884175</v>
      </c>
      <c r="BB508" s="47" t="str">
        <f>IF(OR(AND(AQ508&gt;7,AX508&gt;1),AND(AQ508&gt;4,AW508&gt;2)),"SP","RP")</f>
        <v>SP</v>
      </c>
      <c r="BC508" s="47"/>
      <c r="BD508" s="47"/>
      <c r="BE508" s="47"/>
      <c r="BF508" s="47" t="str">
        <f>IF(AVERAGE($O508:$Q508)&gt;=6,"Likely",IF(AVERAGE($O508:$Q508)&gt;=4,"Possible","Unlikely"))</f>
        <v>Unlikely</v>
      </c>
      <c r="BG508" s="47"/>
      <c r="BH508" s="47" t="str">
        <f>INDEX(Table5[[#All],[Ovr]],MATCH(Table3[[#This Row],[PID]],Table5[[#All],[PID]],0))</f>
        <v/>
      </c>
      <c r="BI508" s="47" t="str">
        <f>INDEX(Table5[[#All],[Rnd]],MATCH(Table3[[#This Row],[PID]],Table5[[#All],[PID]],0))</f>
        <v/>
      </c>
      <c r="BJ508" s="47" t="str">
        <f>INDEX(Table5[[#All],[Pick]],MATCH(Table3[[#This Row],[PID]],Table5[[#All],[PID]],0))</f>
        <v/>
      </c>
      <c r="BK508" s="47" t="str">
        <f>INDEX(Table5[[#All],[Team]],MATCH(Table3[[#This Row],[PID]],Table5[[#All],[PID]],0))</f>
        <v/>
      </c>
      <c r="BL5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9" spans="1:64" ht="15" customHeight="1" x14ac:dyDescent="0.25">
      <c r="A509" s="42">
        <v>3490</v>
      </c>
      <c r="B509" s="42" t="s">
        <v>24</v>
      </c>
      <c r="C509" s="42" t="s">
        <v>1219</v>
      </c>
      <c r="D509" s="42" t="s">
        <v>153</v>
      </c>
      <c r="E509" s="42">
        <v>21</v>
      </c>
      <c r="F509" s="42" t="s">
        <v>53</v>
      </c>
      <c r="G509" s="42" t="s">
        <v>53</v>
      </c>
      <c r="H509" s="43" t="s">
        <v>721</v>
      </c>
      <c r="I509" s="44" t="s">
        <v>44</v>
      </c>
      <c r="J509" s="42" t="s">
        <v>43</v>
      </c>
      <c r="K509" s="43" t="s">
        <v>43</v>
      </c>
      <c r="L509" s="42">
        <v>2</v>
      </c>
      <c r="M509" s="42">
        <v>1</v>
      </c>
      <c r="N509" s="43">
        <v>1</v>
      </c>
      <c r="O509" s="42">
        <v>4</v>
      </c>
      <c r="P509" s="42">
        <v>1</v>
      </c>
      <c r="Q509" s="43">
        <v>2</v>
      </c>
      <c r="R509" s="42">
        <v>4</v>
      </c>
      <c r="S509" s="42">
        <v>6</v>
      </c>
      <c r="T509" s="42">
        <v>3</v>
      </c>
      <c r="U509" s="42">
        <v>6</v>
      </c>
      <c r="V509" s="42" t="s">
        <v>45</v>
      </c>
      <c r="W509" s="42" t="s">
        <v>45</v>
      </c>
      <c r="X509" s="42" t="s">
        <v>45</v>
      </c>
      <c r="Y509" s="42" t="s">
        <v>45</v>
      </c>
      <c r="Z509" s="42" t="s">
        <v>45</v>
      </c>
      <c r="AA509" s="42" t="s">
        <v>45</v>
      </c>
      <c r="AB509" s="42">
        <v>3</v>
      </c>
      <c r="AC509" s="42">
        <v>5</v>
      </c>
      <c r="AD509" s="42" t="s">
        <v>45</v>
      </c>
      <c r="AE509" s="42" t="s">
        <v>45</v>
      </c>
      <c r="AF509" s="42" t="s">
        <v>45</v>
      </c>
      <c r="AG509" s="42" t="s">
        <v>45</v>
      </c>
      <c r="AH509" s="42" t="s">
        <v>45</v>
      </c>
      <c r="AI509" s="42" t="s">
        <v>45</v>
      </c>
      <c r="AJ509" s="42" t="s">
        <v>45</v>
      </c>
      <c r="AK509" s="42" t="s">
        <v>45</v>
      </c>
      <c r="AL509" s="42" t="s">
        <v>45</v>
      </c>
      <c r="AM509" s="42" t="s">
        <v>45</v>
      </c>
      <c r="AN509" s="42" t="s">
        <v>45</v>
      </c>
      <c r="AO509" s="43" t="s">
        <v>45</v>
      </c>
      <c r="AP509" s="42" t="s">
        <v>57</v>
      </c>
      <c r="AQ509" s="42">
        <v>6</v>
      </c>
      <c r="AR509" s="50" t="s">
        <v>357</v>
      </c>
      <c r="AS509" s="45" t="s">
        <v>717</v>
      </c>
      <c r="AT509" s="45" t="s">
        <v>47</v>
      </c>
      <c r="AU509" s="46">
        <f>($O$3*(L509-$O$1)/$O$2+$P$3*(M509-$P$1)/$P$2+$Q$3*(N509-$P$1)/$Q$2)/SUM($O$3:$Q$3)</f>
        <v>-2.5067929134584248</v>
      </c>
      <c r="AV509" s="46">
        <f>($O$3*(O509-$O$1)/$O$2+$P$3*(P509-$P$1)/$P$2+$Q$3*(Q509-$Q$1)/$Q$2)/SUM($O$3:$Q$3)</f>
        <v>-1.4295949476488956</v>
      </c>
      <c r="AW509" s="47">
        <f>COUNT(R509:AO509)/2</f>
        <v>3</v>
      </c>
      <c r="AX509" s="47">
        <f>IF(AND(S509&lt;&gt;"-",S509&gt;5),1,0)+IF(AND(U509&lt;&gt;"-",U509&gt;5),1,0)+IF(AND(W509&lt;&gt;"-",W509&gt;5),1,0)+IF(AND(Y509&lt;&gt;"-",Y509&gt;5),1,0)+IF(AND(AA509&lt;&gt;"-",AA509&gt;5),1,0)+IF(AND(AC509&lt;&gt;"-",AC509&gt;5),1,0)+IF(AND(AE509&lt;&gt;"-",AE509&gt;5),1,0)+IF(AND(AG509&lt;&gt;"-",AG509&gt;5),1,0)+IF(AND(AI509&lt;&gt;"-",AI509&gt;5),1,0)+IF(AND(AK509&lt;&gt;"-",AK509&gt;5),1,0)+IF(AND(AM509&lt;&gt;"-",AM509&gt;5),1,0)+IF(AND(AO509&lt;&gt;"-",AO509&gt;5),1,0)</f>
        <v>2</v>
      </c>
      <c r="AY509" s="48">
        <f>VLOOKUP(AP509,COND!$A$10:$B$32,2,FALSE)</f>
        <v>1</v>
      </c>
      <c r="AZ509" s="46">
        <f>($AU$3*AU509+$AV$3*AV509+$AW$3*AW509+$AX$3*AX509)*AY509*IF(AQ509&lt;5,0.95,IF(AQ509&lt;7,0.975,1))+$I$3*VLOOKUP(I509,COND!$A$2:$E$7,4,FALSE)+$J$3*VLOOKUP(J509,COND!$A$2:$E$7,2,FALSE)+$K$3*VLOOKUP(K509,COND!$A$2:$E$7,3,FALSE)+IF(BB509="SP",$BB$3,0)+IF($AW509&lt;3,-5,0)+IF(AND($B$2&gt;0,$E509&lt;20),$B$2*25,0)</f>
        <v>22.384073902722143</v>
      </c>
      <c r="BA509" s="49">
        <f>STANDARDIZE(AZ509,AVERAGE($AZ$5:$AZ$570),STDEVP($AZ$5:$AZ$570))</f>
        <v>-0.94805501273475756</v>
      </c>
      <c r="BB509" s="47" t="str">
        <f>IF(OR(AND(AQ509&gt;7,AX509&gt;1),AND(AQ509&gt;4,AW509&gt;2)),"SP","RP")</f>
        <v>SP</v>
      </c>
      <c r="BC509" s="47"/>
      <c r="BD509" s="47"/>
      <c r="BE509" s="47"/>
      <c r="BF509" s="47" t="str">
        <f>IF(AVERAGE($O509:$Q509)&gt;=6,"Likely",IF(AVERAGE($O509:$Q509)&gt;=4,"Possible","Unlikely"))</f>
        <v>Unlikely</v>
      </c>
      <c r="BG509" s="47"/>
      <c r="BH509" s="47" t="str">
        <f>INDEX(Table5[[#All],[Ovr]],MATCH(Table3[[#This Row],[PID]],Table5[[#All],[PID]],0))</f>
        <v/>
      </c>
      <c r="BI509" s="47" t="str">
        <f>INDEX(Table5[[#All],[Rnd]],MATCH(Table3[[#This Row],[PID]],Table5[[#All],[PID]],0))</f>
        <v/>
      </c>
      <c r="BJ509" s="47" t="str">
        <f>INDEX(Table5[[#All],[Pick]],MATCH(Table3[[#This Row],[PID]],Table5[[#All],[PID]],0))</f>
        <v/>
      </c>
      <c r="BK509" s="47" t="str">
        <f>INDEX(Table5[[#All],[Team]],MATCH(Table3[[#This Row],[PID]],Table5[[#All],[PID]],0))</f>
        <v/>
      </c>
      <c r="BL5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0" spans="1:64" ht="15" customHeight="1" x14ac:dyDescent="0.25">
      <c r="A510" s="42">
        <v>12338</v>
      </c>
      <c r="B510" s="42" t="s">
        <v>24</v>
      </c>
      <c r="C510" s="42" t="s">
        <v>724</v>
      </c>
      <c r="D510" s="42" t="s">
        <v>830</v>
      </c>
      <c r="E510" s="42">
        <v>21</v>
      </c>
      <c r="F510" s="42" t="s">
        <v>53</v>
      </c>
      <c r="G510" s="42" t="s">
        <v>53</v>
      </c>
      <c r="H510" s="43" t="s">
        <v>721</v>
      </c>
      <c r="I510" s="44" t="s">
        <v>43</v>
      </c>
      <c r="J510" s="42" t="s">
        <v>43</v>
      </c>
      <c r="K510" s="43" t="s">
        <v>47</v>
      </c>
      <c r="L510" s="42">
        <v>3</v>
      </c>
      <c r="M510" s="42">
        <v>1</v>
      </c>
      <c r="N510" s="43">
        <v>2</v>
      </c>
      <c r="O510" s="42">
        <v>4</v>
      </c>
      <c r="P510" s="42">
        <v>1</v>
      </c>
      <c r="Q510" s="43">
        <v>2</v>
      </c>
      <c r="R510" s="42">
        <v>5</v>
      </c>
      <c r="S510" s="42">
        <v>6</v>
      </c>
      <c r="T510" s="42">
        <v>3</v>
      </c>
      <c r="U510" s="42">
        <v>5</v>
      </c>
      <c r="V510" s="42" t="s">
        <v>45</v>
      </c>
      <c r="W510" s="42" t="s">
        <v>45</v>
      </c>
      <c r="X510" s="42">
        <v>4</v>
      </c>
      <c r="Y510" s="42">
        <v>6</v>
      </c>
      <c r="Z510" s="42" t="s">
        <v>45</v>
      </c>
      <c r="AA510" s="42" t="s">
        <v>45</v>
      </c>
      <c r="AB510" s="42" t="s">
        <v>45</v>
      </c>
      <c r="AC510" s="42" t="s">
        <v>45</v>
      </c>
      <c r="AD510" s="42" t="s">
        <v>45</v>
      </c>
      <c r="AE510" s="42" t="s">
        <v>45</v>
      </c>
      <c r="AF510" s="42" t="s">
        <v>45</v>
      </c>
      <c r="AG510" s="42" t="s">
        <v>45</v>
      </c>
      <c r="AH510" s="42" t="s">
        <v>45</v>
      </c>
      <c r="AI510" s="42" t="s">
        <v>45</v>
      </c>
      <c r="AJ510" s="42" t="s">
        <v>45</v>
      </c>
      <c r="AK510" s="42" t="s">
        <v>45</v>
      </c>
      <c r="AL510" s="42" t="s">
        <v>45</v>
      </c>
      <c r="AM510" s="42" t="s">
        <v>45</v>
      </c>
      <c r="AN510" s="42" t="s">
        <v>45</v>
      </c>
      <c r="AO510" s="43" t="s">
        <v>45</v>
      </c>
      <c r="AP510" s="42" t="s">
        <v>60</v>
      </c>
      <c r="AQ510" s="42">
        <v>7</v>
      </c>
      <c r="AR510" s="50" t="s">
        <v>14</v>
      </c>
      <c r="AS510" s="45" t="s">
        <v>45</v>
      </c>
      <c r="AT510" s="45" t="s">
        <v>705</v>
      </c>
      <c r="AU510" s="46">
        <f>($O$3*(L510-$O$1)/$O$2+$P$3*(M510-$P$1)/$P$2+$Q$3*(N510-$P$1)/$Q$2)/SUM($O$3:$Q$3)</f>
        <v>-2.0697810228951408</v>
      </c>
      <c r="AV510" s="46">
        <f>($O$3*(O510-$O$1)/$O$2+$P$3*(P510-$P$1)/$P$2+$Q$3*(Q510-$Q$1)/$Q$2)/SUM($O$3:$Q$3)</f>
        <v>-1.4295949476488956</v>
      </c>
      <c r="AW510" s="47">
        <f>COUNT(R510:AO510)/2</f>
        <v>3</v>
      </c>
      <c r="AX510" s="47">
        <f>IF(AND(S510&lt;&gt;"-",S510&gt;5),1,0)+IF(AND(U510&lt;&gt;"-",U510&gt;5),1,0)+IF(AND(W510&lt;&gt;"-",W510&gt;5),1,0)+IF(AND(Y510&lt;&gt;"-",Y510&gt;5),1,0)+IF(AND(AA510&lt;&gt;"-",AA510&gt;5),1,0)+IF(AND(AC510&lt;&gt;"-",AC510&gt;5),1,0)+IF(AND(AE510&lt;&gt;"-",AE510&gt;5),1,0)+IF(AND(AG510&lt;&gt;"-",AG510&gt;5),1,0)+IF(AND(AI510&lt;&gt;"-",AI510&gt;5),1,0)+IF(AND(AK510&lt;&gt;"-",AK510&gt;5),1,0)+IF(AND(AM510&lt;&gt;"-",AM510&gt;5),1,0)+IF(AND(AO510&lt;&gt;"-",AO510&gt;5),1,0)</f>
        <v>2</v>
      </c>
      <c r="AY510" s="48">
        <f>VLOOKUP(AP510,COND!$A$10:$B$32,2,FALSE)</f>
        <v>1.0249999999999999</v>
      </c>
      <c r="AZ510" s="46">
        <f>($AU$3*AU510+$AV$3*AV510+$AW$3*AW510+$AX$3*AX510)*AY510*IF(AQ510&lt;5,0.95,IF(AQ510&lt;7,0.975,1))+$I$3*VLOOKUP(I510,COND!$A$2:$E$7,4,FALSE)+$J$3*VLOOKUP(J510,COND!$A$2:$E$7,2,FALSE)+$K$3*VLOOKUP(K510,COND!$A$2:$E$7,3,FALSE)+IF(BB510="SP",$BB$3,0)+IF($AW510&lt;3,-5,0)+IF(AND($B$2&gt;0,$E510&lt;20),$B$2*25,0)</f>
        <v>21.668998463504135</v>
      </c>
      <c r="BA510" s="49">
        <f>STANDARDIZE(AZ510,AVERAGE($AZ$5:$AZ$570),STDEVP($AZ$5:$AZ$570))</f>
        <v>-1.0136304868077106</v>
      </c>
      <c r="BB510" s="47" t="str">
        <f>IF(OR(AND(AQ510&gt;7,AX510&gt;1),AND(AQ510&gt;4,AW510&gt;2)),"SP","RP")</f>
        <v>SP</v>
      </c>
      <c r="BC510" s="47"/>
      <c r="BD510" s="47"/>
      <c r="BE510" s="47"/>
      <c r="BF510" s="47" t="str">
        <f>IF(AVERAGE($O510:$Q510)&gt;=6,"Likely",IF(AVERAGE($O510:$Q510)&gt;=4,"Possible","Unlikely"))</f>
        <v>Unlikely</v>
      </c>
      <c r="BG510" s="47"/>
      <c r="BH510" s="47" t="str">
        <f>INDEX(Table5[[#All],[Ovr]],MATCH(Table3[[#This Row],[PID]],Table5[[#All],[PID]],0))</f>
        <v/>
      </c>
      <c r="BI510" s="47" t="str">
        <f>INDEX(Table5[[#All],[Rnd]],MATCH(Table3[[#This Row],[PID]],Table5[[#All],[PID]],0))</f>
        <v/>
      </c>
      <c r="BJ510" s="47" t="str">
        <f>INDEX(Table5[[#All],[Pick]],MATCH(Table3[[#This Row],[PID]],Table5[[#All],[PID]],0))</f>
        <v/>
      </c>
      <c r="BK510" s="47" t="str">
        <f>INDEX(Table5[[#All],[Team]],MATCH(Table3[[#This Row],[PID]],Table5[[#All],[PID]],0))</f>
        <v/>
      </c>
      <c r="BL5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1" spans="1:64" ht="15" customHeight="1" x14ac:dyDescent="0.25">
      <c r="A511" s="42">
        <v>13917</v>
      </c>
      <c r="B511" s="42" t="s">
        <v>430</v>
      </c>
      <c r="C511" s="42" t="s">
        <v>123</v>
      </c>
      <c r="D511" s="42" t="s">
        <v>1590</v>
      </c>
      <c r="E511" s="42">
        <v>21</v>
      </c>
      <c r="F511" s="42" t="s">
        <v>62</v>
      </c>
      <c r="G511" s="42" t="s">
        <v>42</v>
      </c>
      <c r="H511" s="43" t="s">
        <v>721</v>
      </c>
      <c r="I511" s="44" t="s">
        <v>43</v>
      </c>
      <c r="J511" s="42" t="s">
        <v>44</v>
      </c>
      <c r="K511" s="43" t="s">
        <v>43</v>
      </c>
      <c r="L511" s="42">
        <v>2</v>
      </c>
      <c r="M511" s="42">
        <v>2</v>
      </c>
      <c r="N511" s="43">
        <v>1</v>
      </c>
      <c r="O511" s="42">
        <v>4</v>
      </c>
      <c r="P511" s="42">
        <v>2</v>
      </c>
      <c r="Q511" s="43">
        <v>2</v>
      </c>
      <c r="R511" s="42">
        <v>3</v>
      </c>
      <c r="S511" s="42">
        <v>4</v>
      </c>
      <c r="T511" s="42">
        <v>1</v>
      </c>
      <c r="U511" s="42">
        <v>5</v>
      </c>
      <c r="V511" s="42" t="s">
        <v>45</v>
      </c>
      <c r="W511" s="42" t="s">
        <v>45</v>
      </c>
      <c r="X511" s="42">
        <v>2</v>
      </c>
      <c r="Y511" s="42">
        <v>4</v>
      </c>
      <c r="Z511" s="42" t="s">
        <v>45</v>
      </c>
      <c r="AA511" s="42" t="s">
        <v>45</v>
      </c>
      <c r="AB511" s="42" t="s">
        <v>45</v>
      </c>
      <c r="AC511" s="42" t="s">
        <v>45</v>
      </c>
      <c r="AD511" s="42" t="s">
        <v>45</v>
      </c>
      <c r="AE511" s="42" t="s">
        <v>45</v>
      </c>
      <c r="AF511" s="42" t="s">
        <v>45</v>
      </c>
      <c r="AG511" s="42" t="s">
        <v>45</v>
      </c>
      <c r="AH511" s="42" t="s">
        <v>45</v>
      </c>
      <c r="AI511" s="42" t="s">
        <v>45</v>
      </c>
      <c r="AJ511" s="42" t="s">
        <v>45</v>
      </c>
      <c r="AK511" s="42" t="s">
        <v>45</v>
      </c>
      <c r="AL511" s="42" t="s">
        <v>45</v>
      </c>
      <c r="AM511" s="42" t="s">
        <v>45</v>
      </c>
      <c r="AN511" s="42" t="s">
        <v>45</v>
      </c>
      <c r="AO511" s="43" t="s">
        <v>45</v>
      </c>
      <c r="AP511" s="42" t="s">
        <v>64</v>
      </c>
      <c r="AQ511" s="42">
        <v>7</v>
      </c>
      <c r="AR511" s="50" t="s">
        <v>353</v>
      </c>
      <c r="AS511" s="45" t="s">
        <v>45</v>
      </c>
      <c r="AT511" s="45" t="s">
        <v>47</v>
      </c>
      <c r="AU511" s="46">
        <f>($O$3*(L511-$O$1)/$O$2+$P$3*(M511-$P$1)/$P$2+$Q$3*(N511-$P$1)/$Q$2)/SUM($O$3:$Q$3)</f>
        <v>-2.311361197028369</v>
      </c>
      <c r="AV511" s="46">
        <f>($O$3*(O511-$O$1)/$O$2+$P$3*(P511-$P$1)/$P$2+$Q$3*(Q511-$Q$1)/$Q$2)/SUM($O$3:$Q$3)</f>
        <v>-1.23416323121884</v>
      </c>
      <c r="AW511" s="47">
        <f>COUNT(R511:AO511)/2</f>
        <v>3</v>
      </c>
      <c r="AX511" s="47">
        <f>IF(AND(S511&lt;&gt;"-",S511&gt;5),1,0)+IF(AND(U511&lt;&gt;"-",U511&gt;5),1,0)+IF(AND(W511&lt;&gt;"-",W511&gt;5),1,0)+IF(AND(Y511&lt;&gt;"-",Y511&gt;5),1,0)+IF(AND(AA511&lt;&gt;"-",AA511&gt;5),1,0)+IF(AND(AC511&lt;&gt;"-",AC511&gt;5),1,0)+IF(AND(AE511&lt;&gt;"-",AE511&gt;5),1,0)+IF(AND(AG511&lt;&gt;"-",AG511&gt;5),1,0)+IF(AND(AI511&lt;&gt;"-",AI511&gt;5),1,0)+IF(AND(AK511&lt;&gt;"-",AK511&gt;5),1,0)+IF(AND(AM511&lt;&gt;"-",AM511&gt;5),1,0)+IF(AND(AO511&lt;&gt;"-",AO511&gt;5),1,0)</f>
        <v>0</v>
      </c>
      <c r="AY511" s="48">
        <f>VLOOKUP(AP511,COND!$A$10:$B$32,2,FALSE)</f>
        <v>1</v>
      </c>
      <c r="AZ511" s="46">
        <f>($AU$3*AU511+$AV$3*AV511+$AW$3*AW511+$AX$3*AX511)*AY511*IF(AQ511&lt;5,0.95,IF(AQ511&lt;7,0.975,1))+$I$3*VLOOKUP(I511,COND!$A$2:$E$7,4,FALSE)+$J$3*VLOOKUP(J511,COND!$A$2:$E$7,2,FALSE)+$K$3*VLOOKUP(K511,COND!$A$2:$E$7,3,FALSE)+IF(BB511="SP",$BB$3,0)+IF($AW511&lt;3,-5,0)+IF(AND($B$2&gt;0,$E511&lt;20),$B$2*25,0)</f>
        <v>23.054463136217525</v>
      </c>
      <c r="BA511" s="49">
        <f>STANDARDIZE(AZ511,AVERAGE($AZ$5:$AZ$570),STDEVP($AZ$5:$AZ$570))</f>
        <v>-0.88657745471942684</v>
      </c>
      <c r="BB511" s="47" t="str">
        <f>IF(OR(AND(AQ511&gt;7,AX511&gt;1),AND(AQ511&gt;4,AW511&gt;2)),"SP","RP")</f>
        <v>SP</v>
      </c>
      <c r="BC511" s="47"/>
      <c r="BD511" s="47"/>
      <c r="BE511" s="47"/>
      <c r="BF511" s="47" t="str">
        <f>IF(AVERAGE($O511:$Q511)&gt;=6,"Likely",IF(AVERAGE($O511:$Q511)&gt;=4,"Possible","Unlikely"))</f>
        <v>Unlikely</v>
      </c>
      <c r="BG511" s="47"/>
      <c r="BH511" s="47" t="str">
        <f>INDEX(Table5[[#All],[Ovr]],MATCH(Table3[[#This Row],[PID]],Table5[[#All],[PID]],0))</f>
        <v/>
      </c>
      <c r="BI511" s="47" t="str">
        <f>INDEX(Table5[[#All],[Rnd]],MATCH(Table3[[#This Row],[PID]],Table5[[#All],[PID]],0))</f>
        <v/>
      </c>
      <c r="BJ511" s="47" t="str">
        <f>INDEX(Table5[[#All],[Pick]],MATCH(Table3[[#This Row],[PID]],Table5[[#All],[PID]],0))</f>
        <v/>
      </c>
      <c r="BK511" s="47" t="str">
        <f>INDEX(Table5[[#All],[Team]],MATCH(Table3[[#This Row],[PID]],Table5[[#All],[PID]],0))</f>
        <v/>
      </c>
      <c r="BL5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2" spans="1:64" ht="15" customHeight="1" x14ac:dyDescent="0.25">
      <c r="A512" s="42">
        <v>12868</v>
      </c>
      <c r="B512" s="42" t="s">
        <v>430</v>
      </c>
      <c r="C512" s="42" t="s">
        <v>1670</v>
      </c>
      <c r="D512" s="42" t="s">
        <v>1671</v>
      </c>
      <c r="E512" s="42">
        <v>21</v>
      </c>
      <c r="F512" s="42" t="s">
        <v>42</v>
      </c>
      <c r="G512" s="42" t="s">
        <v>42</v>
      </c>
      <c r="H512" s="43" t="s">
        <v>721</v>
      </c>
      <c r="I512" s="44" t="s">
        <v>44</v>
      </c>
      <c r="J512" s="42" t="s">
        <v>44</v>
      </c>
      <c r="K512" s="43" t="s">
        <v>44</v>
      </c>
      <c r="L512" s="42">
        <v>2</v>
      </c>
      <c r="M512" s="42">
        <v>2</v>
      </c>
      <c r="N512" s="43">
        <v>2</v>
      </c>
      <c r="O512" s="42">
        <v>4</v>
      </c>
      <c r="P512" s="42">
        <v>2</v>
      </c>
      <c r="Q512" s="43">
        <v>2</v>
      </c>
      <c r="R512" s="42">
        <v>3</v>
      </c>
      <c r="S512" s="42">
        <v>5</v>
      </c>
      <c r="T512" s="42" t="s">
        <v>45</v>
      </c>
      <c r="U512" s="42" t="s">
        <v>45</v>
      </c>
      <c r="V512" s="42" t="s">
        <v>45</v>
      </c>
      <c r="W512" s="42" t="s">
        <v>45</v>
      </c>
      <c r="X512" s="42">
        <v>2</v>
      </c>
      <c r="Y512" s="42">
        <v>5</v>
      </c>
      <c r="Z512" s="42" t="s">
        <v>45</v>
      </c>
      <c r="AA512" s="42" t="s">
        <v>45</v>
      </c>
      <c r="AB512" s="42" t="s">
        <v>45</v>
      </c>
      <c r="AC512" s="42" t="s">
        <v>45</v>
      </c>
      <c r="AD512" s="42">
        <v>2</v>
      </c>
      <c r="AE512" s="42">
        <v>4</v>
      </c>
      <c r="AF512" s="42">
        <v>2</v>
      </c>
      <c r="AG512" s="42">
        <v>2</v>
      </c>
      <c r="AH512" s="42" t="s">
        <v>45</v>
      </c>
      <c r="AI512" s="42" t="s">
        <v>45</v>
      </c>
      <c r="AJ512" s="42" t="s">
        <v>45</v>
      </c>
      <c r="AK512" s="42" t="s">
        <v>45</v>
      </c>
      <c r="AL512" s="42" t="s">
        <v>45</v>
      </c>
      <c r="AM512" s="42" t="s">
        <v>45</v>
      </c>
      <c r="AN512" s="42" t="s">
        <v>45</v>
      </c>
      <c r="AO512" s="43" t="s">
        <v>45</v>
      </c>
      <c r="AP512" s="42" t="s">
        <v>64</v>
      </c>
      <c r="AQ512" s="42">
        <v>6</v>
      </c>
      <c r="AR512" s="50" t="s">
        <v>353</v>
      </c>
      <c r="AS512" s="45" t="s">
        <v>45</v>
      </c>
      <c r="AT512" s="45" t="s">
        <v>47</v>
      </c>
      <c r="AU512" s="46">
        <f>($O$3*(L512-$O$1)/$O$2+$P$3*(M512-$P$1)/$P$2+$Q$3*(N512-$P$1)/$Q$2)/SUM($O$3:$Q$3)</f>
        <v>-2.0690406309742588</v>
      </c>
      <c r="AV512" s="46">
        <f>($O$3*(O512-$O$1)/$O$2+$P$3*(P512-$P$1)/$P$2+$Q$3*(Q512-$Q$1)/$Q$2)/SUM($O$3:$Q$3)</f>
        <v>-1.23416323121884</v>
      </c>
      <c r="AW512" s="47">
        <f>COUNT(R512:AO512)/2</f>
        <v>4</v>
      </c>
      <c r="AX512" s="47">
        <f>IF(AND(S512&lt;&gt;"-",S512&gt;5),1,0)+IF(AND(U512&lt;&gt;"-",U512&gt;5),1,0)+IF(AND(W512&lt;&gt;"-",W512&gt;5),1,0)+IF(AND(Y512&lt;&gt;"-",Y512&gt;5),1,0)+IF(AND(AA512&lt;&gt;"-",AA512&gt;5),1,0)+IF(AND(AC512&lt;&gt;"-",AC512&gt;5),1,0)+IF(AND(AE512&lt;&gt;"-",AE512&gt;5),1,0)+IF(AND(AG512&lt;&gt;"-",AG512&gt;5),1,0)+IF(AND(AI512&lt;&gt;"-",AI512&gt;5),1,0)+IF(AND(AK512&lt;&gt;"-",AK512&gt;5),1,0)+IF(AND(AM512&lt;&gt;"-",AM512&gt;5),1,0)+IF(AND(AO512&lt;&gt;"-",AO512&gt;5),1,0)</f>
        <v>0</v>
      </c>
      <c r="AY512" s="48">
        <f>VLOOKUP(AP512,COND!$A$10:$B$32,2,FALSE)</f>
        <v>1</v>
      </c>
      <c r="AZ512" s="46">
        <f>($AU$3*AU512+$AV$3*AV512+$AW$3*AW512+$AX$3*AX512)*AY512*IF(AQ512&lt;5,0.95,IF(AQ512&lt;7,0.975,1))+$I$3*VLOOKUP(I512,COND!$A$2:$E$7,4,FALSE)+$J$3*VLOOKUP(J512,COND!$A$2:$E$7,2,FALSE)+$K$3*VLOOKUP(K512,COND!$A$2:$E$7,3,FALSE)+IF(BB512="SP",$BB$3,0)+IF($AW512&lt;3,-5,0)+IF(AND($B$2&gt;0,$E512&lt;20),$B$2*25,0)</f>
        <v>23.730354068192639</v>
      </c>
      <c r="BA512" s="49">
        <f>STANDARDIZE(AZ512,AVERAGE($AZ$5:$AZ$570),STDEVP($AZ$5:$AZ$570))</f>
        <v>-0.82459536743875106</v>
      </c>
      <c r="BB512" s="47" t="str">
        <f>IF(OR(AND(AQ512&gt;7,AX512&gt;1),AND(AQ512&gt;4,AW512&gt;2)),"SP","RP")</f>
        <v>SP</v>
      </c>
      <c r="BC512" s="47"/>
      <c r="BD512" s="47"/>
      <c r="BE512" s="47"/>
      <c r="BF512" s="47" t="str">
        <f>IF(AVERAGE($O512:$Q512)&gt;=6,"Likely",IF(AVERAGE($O512:$Q512)&gt;=4,"Possible","Unlikely"))</f>
        <v>Unlikely</v>
      </c>
      <c r="BG512" s="47"/>
      <c r="BH512" s="47" t="str">
        <f>INDEX(Table5[[#All],[Ovr]],MATCH(Table3[[#This Row],[PID]],Table5[[#All],[PID]],0))</f>
        <v/>
      </c>
      <c r="BI512" s="47" t="str">
        <f>INDEX(Table5[[#All],[Rnd]],MATCH(Table3[[#This Row],[PID]],Table5[[#All],[PID]],0))</f>
        <v/>
      </c>
      <c r="BJ512" s="47" t="str">
        <f>INDEX(Table5[[#All],[Pick]],MATCH(Table3[[#This Row],[PID]],Table5[[#All],[PID]],0))</f>
        <v/>
      </c>
      <c r="BK512" s="47" t="str">
        <f>INDEX(Table5[[#All],[Team]],MATCH(Table3[[#This Row],[PID]],Table5[[#All],[PID]],0))</f>
        <v/>
      </c>
      <c r="BL5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3" spans="1:64" ht="15" customHeight="1" x14ac:dyDescent="0.25">
      <c r="A513" s="42">
        <v>10014</v>
      </c>
      <c r="B513" s="42" t="s">
        <v>430</v>
      </c>
      <c r="C513" s="42" t="s">
        <v>1429</v>
      </c>
      <c r="D513" s="42" t="s">
        <v>153</v>
      </c>
      <c r="E513" s="42">
        <v>21</v>
      </c>
      <c r="F513" s="42" t="s">
        <v>53</v>
      </c>
      <c r="G513" s="42" t="s">
        <v>42</v>
      </c>
      <c r="H513" s="43" t="s">
        <v>721</v>
      </c>
      <c r="I513" s="44" t="s">
        <v>43</v>
      </c>
      <c r="J513" s="42" t="s">
        <v>47</v>
      </c>
      <c r="K513" s="43" t="s">
        <v>43</v>
      </c>
      <c r="L513" s="42">
        <v>2</v>
      </c>
      <c r="M513" s="42">
        <v>1</v>
      </c>
      <c r="N513" s="43">
        <v>1</v>
      </c>
      <c r="O513" s="42">
        <v>4</v>
      </c>
      <c r="P513" s="42">
        <v>1</v>
      </c>
      <c r="Q513" s="43">
        <v>2</v>
      </c>
      <c r="R513" s="42">
        <v>4</v>
      </c>
      <c r="S513" s="42">
        <v>5</v>
      </c>
      <c r="T513" s="42" t="s">
        <v>45</v>
      </c>
      <c r="U513" s="42" t="s">
        <v>45</v>
      </c>
      <c r="V513" s="42">
        <v>2</v>
      </c>
      <c r="W513" s="42">
        <v>6</v>
      </c>
      <c r="X513" s="42">
        <v>2</v>
      </c>
      <c r="Y513" s="42">
        <v>4</v>
      </c>
      <c r="Z513" s="42" t="s">
        <v>45</v>
      </c>
      <c r="AA513" s="42" t="s">
        <v>45</v>
      </c>
      <c r="AB513" s="42" t="s">
        <v>45</v>
      </c>
      <c r="AC513" s="42" t="s">
        <v>45</v>
      </c>
      <c r="AD513" s="42" t="s">
        <v>45</v>
      </c>
      <c r="AE513" s="42" t="s">
        <v>45</v>
      </c>
      <c r="AF513" s="42" t="s">
        <v>45</v>
      </c>
      <c r="AG513" s="42" t="s">
        <v>45</v>
      </c>
      <c r="AH513" s="42" t="s">
        <v>45</v>
      </c>
      <c r="AI513" s="42" t="s">
        <v>45</v>
      </c>
      <c r="AJ513" s="42" t="s">
        <v>45</v>
      </c>
      <c r="AK513" s="42" t="s">
        <v>45</v>
      </c>
      <c r="AL513" s="42" t="s">
        <v>45</v>
      </c>
      <c r="AM513" s="42" t="s">
        <v>45</v>
      </c>
      <c r="AN513" s="42" t="s">
        <v>45</v>
      </c>
      <c r="AO513" s="43" t="s">
        <v>45</v>
      </c>
      <c r="AP513" s="42" t="s">
        <v>356</v>
      </c>
      <c r="AQ513" s="42">
        <v>6</v>
      </c>
      <c r="AR513" s="50" t="s">
        <v>357</v>
      </c>
      <c r="AS513" s="45" t="s">
        <v>45</v>
      </c>
      <c r="AT513" s="45" t="s">
        <v>47</v>
      </c>
      <c r="AU513" s="46">
        <f>($O$3*(L513-$O$1)/$O$2+$P$3*(M513-$P$1)/$P$2+$Q$3*(N513-$P$1)/$Q$2)/SUM($O$3:$Q$3)</f>
        <v>-2.5067929134584248</v>
      </c>
      <c r="AV513" s="46">
        <f>($O$3*(O513-$O$1)/$O$2+$P$3*(P513-$P$1)/$P$2+$Q$3*(Q513-$Q$1)/$Q$2)/SUM($O$3:$Q$3)</f>
        <v>-1.4295949476488956</v>
      </c>
      <c r="AW513" s="47">
        <f>COUNT(R513:AO513)/2</f>
        <v>3</v>
      </c>
      <c r="AX513" s="47">
        <f>IF(AND(S513&lt;&gt;"-",S513&gt;5),1,0)+IF(AND(U513&lt;&gt;"-",U513&gt;5),1,0)+IF(AND(W513&lt;&gt;"-",W513&gt;5),1,0)+IF(AND(Y513&lt;&gt;"-",Y513&gt;5),1,0)+IF(AND(AA513&lt;&gt;"-",AA513&gt;5),1,0)+IF(AND(AC513&lt;&gt;"-",AC513&gt;5),1,0)+IF(AND(AE513&lt;&gt;"-",AE513&gt;5),1,0)+IF(AND(AG513&lt;&gt;"-",AG513&gt;5),1,0)+IF(AND(AI513&lt;&gt;"-",AI513&gt;5),1,0)+IF(AND(AK513&lt;&gt;"-",AK513&gt;5),1,0)+IF(AND(AM513&lt;&gt;"-",AM513&gt;5),1,0)+IF(AND(AO513&lt;&gt;"-",AO513&gt;5),1,0)</f>
        <v>1</v>
      </c>
      <c r="AY513" s="48">
        <f>VLOOKUP(AP513,COND!$A$10:$B$32,2,FALSE)</f>
        <v>1</v>
      </c>
      <c r="AZ513" s="46">
        <f>($AU$3*AU513+$AV$3*AV513+$AW$3*AW513+$AX$3*AX513)*AY513*IF(AQ513&lt;5,0.95,IF(AQ513&lt;7,0.975,1))+$I$3*VLOOKUP(I513,COND!$A$2:$E$7,4,FALSE)+$J$3*VLOOKUP(J513,COND!$A$2:$E$7,2,FALSE)+$K$3*VLOOKUP(K513,COND!$A$2:$E$7,3,FALSE)+IF(BB513="SP",$BB$3,0)+IF($AW513&lt;3,-5,0)+IF(AND($B$2&gt;0,$E513&lt;20),$B$2*25,0)</f>
        <v>21.615323902722142</v>
      </c>
      <c r="BA513" s="49">
        <f>STANDARDIZE(AZ513,AVERAGE($AZ$5:$AZ$570),STDEVP($AZ$5:$AZ$570))</f>
        <v>-1.0185526734413135</v>
      </c>
      <c r="BB513" s="47" t="str">
        <f>IF(OR(AND(AQ513&gt;7,AX513&gt;1),AND(AQ513&gt;4,AW513&gt;2)),"SP","RP")</f>
        <v>SP</v>
      </c>
      <c r="BC513" s="47"/>
      <c r="BD513" s="47"/>
      <c r="BE513" s="47"/>
      <c r="BF513" s="47" t="str">
        <f>IF(AVERAGE($O513:$Q513)&gt;=6,"Likely",IF(AVERAGE($O513:$Q513)&gt;=4,"Possible","Unlikely"))</f>
        <v>Unlikely</v>
      </c>
      <c r="BG513" s="47"/>
      <c r="BH513" s="47" t="str">
        <f>INDEX(Table5[[#All],[Ovr]],MATCH(Table3[[#This Row],[PID]],Table5[[#All],[PID]],0))</f>
        <v/>
      </c>
      <c r="BI513" s="47" t="str">
        <f>INDEX(Table5[[#All],[Rnd]],MATCH(Table3[[#This Row],[PID]],Table5[[#All],[PID]],0))</f>
        <v/>
      </c>
      <c r="BJ513" s="47" t="str">
        <f>INDEX(Table5[[#All],[Pick]],MATCH(Table3[[#This Row],[PID]],Table5[[#All],[PID]],0))</f>
        <v/>
      </c>
      <c r="BK513" s="47" t="str">
        <f>INDEX(Table5[[#All],[Team]],MATCH(Table3[[#This Row],[PID]],Table5[[#All],[PID]],0))</f>
        <v/>
      </c>
      <c r="BL5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4" spans="1:64" ht="15" customHeight="1" x14ac:dyDescent="0.25">
      <c r="A514" s="42">
        <v>5951</v>
      </c>
      <c r="B514" s="42" t="s">
        <v>430</v>
      </c>
      <c r="C514" s="42" t="s">
        <v>147</v>
      </c>
      <c r="D514" s="42" t="s">
        <v>1775</v>
      </c>
      <c r="E514" s="42">
        <v>18</v>
      </c>
      <c r="F514" s="42" t="s">
        <v>42</v>
      </c>
      <c r="G514" s="42" t="s">
        <v>42</v>
      </c>
      <c r="H514" s="43" t="s">
        <v>721</v>
      </c>
      <c r="I514" s="44" t="s">
        <v>43</v>
      </c>
      <c r="J514" s="42" t="s">
        <v>47</v>
      </c>
      <c r="K514" s="43" t="s">
        <v>43</v>
      </c>
      <c r="L514" s="42">
        <v>1</v>
      </c>
      <c r="M514" s="42">
        <v>1</v>
      </c>
      <c r="N514" s="43">
        <v>1</v>
      </c>
      <c r="O514" s="42">
        <v>3</v>
      </c>
      <c r="P514" s="42">
        <v>1</v>
      </c>
      <c r="Q514" s="43">
        <v>2</v>
      </c>
      <c r="R514" s="42">
        <v>2</v>
      </c>
      <c r="S514" s="42">
        <v>4</v>
      </c>
      <c r="T514" s="42">
        <v>1</v>
      </c>
      <c r="U514" s="42">
        <v>1</v>
      </c>
      <c r="V514" s="42" t="s">
        <v>45</v>
      </c>
      <c r="W514" s="42" t="s">
        <v>45</v>
      </c>
      <c r="X514" s="42">
        <v>1</v>
      </c>
      <c r="Y514" s="42">
        <v>4</v>
      </c>
      <c r="Z514" s="42" t="s">
        <v>45</v>
      </c>
      <c r="AA514" s="42" t="s">
        <v>45</v>
      </c>
      <c r="AB514" s="42" t="s">
        <v>45</v>
      </c>
      <c r="AC514" s="42" t="s">
        <v>45</v>
      </c>
      <c r="AD514" s="42" t="s">
        <v>45</v>
      </c>
      <c r="AE514" s="42" t="s">
        <v>45</v>
      </c>
      <c r="AF514" s="42">
        <v>2</v>
      </c>
      <c r="AG514" s="42">
        <v>3</v>
      </c>
      <c r="AH514" s="42" t="s">
        <v>45</v>
      </c>
      <c r="AI514" s="42" t="s">
        <v>45</v>
      </c>
      <c r="AJ514" s="42" t="s">
        <v>45</v>
      </c>
      <c r="AK514" s="42" t="s">
        <v>45</v>
      </c>
      <c r="AL514" s="42" t="s">
        <v>45</v>
      </c>
      <c r="AM514" s="42" t="s">
        <v>45</v>
      </c>
      <c r="AN514" s="42" t="s">
        <v>45</v>
      </c>
      <c r="AO514" s="43" t="s">
        <v>45</v>
      </c>
      <c r="AP514" s="42" t="s">
        <v>65</v>
      </c>
      <c r="AQ514" s="42">
        <v>4</v>
      </c>
      <c r="AR514" s="50" t="s">
        <v>14</v>
      </c>
      <c r="AS514" s="45" t="s">
        <v>718</v>
      </c>
      <c r="AT514" s="45" t="s">
        <v>705</v>
      </c>
      <c r="AU514" s="46">
        <f>($O$3*(L514-$O$1)/$O$2+$P$3*(M514-$P$1)/$P$2+$Q$3*(N514-$P$1)/$Q$2)/SUM($O$3:$Q$3)</f>
        <v>-2.7014842379675978</v>
      </c>
      <c r="AV514" s="46">
        <f>($O$3*(O514-$O$1)/$O$2+$P$3*(P514-$P$1)/$P$2+$Q$3*(Q514-$Q$1)/$Q$2)/SUM($O$3:$Q$3)</f>
        <v>-1.6242862721580691</v>
      </c>
      <c r="AW514" s="47">
        <f>COUNT(R514:AO514)/2</f>
        <v>4</v>
      </c>
      <c r="AX514" s="47">
        <f>IF(AND(S514&lt;&gt;"-",S514&gt;5),1,0)+IF(AND(U514&lt;&gt;"-",U514&gt;5),1,0)+IF(AND(W514&lt;&gt;"-",W514&gt;5),1,0)+IF(AND(Y514&lt;&gt;"-",Y514&gt;5),1,0)+IF(AND(AA514&lt;&gt;"-",AA514&gt;5),1,0)+IF(AND(AC514&lt;&gt;"-",AC514&gt;5),1,0)+IF(AND(AE514&lt;&gt;"-",AE514&gt;5),1,0)+IF(AND(AG514&lt;&gt;"-",AG514&gt;5),1,0)+IF(AND(AI514&lt;&gt;"-",AI514&gt;5),1,0)+IF(AND(AK514&lt;&gt;"-",AK514&gt;5),1,0)+IF(AND(AM514&lt;&gt;"-",AM514&gt;5),1,0)+IF(AND(AO514&lt;&gt;"-",AO514&gt;5),1,0)</f>
        <v>0</v>
      </c>
      <c r="AY514" s="48">
        <f>VLOOKUP(AP514,COND!$A$10:$B$32,2,FALSE)</f>
        <v>0.95</v>
      </c>
      <c r="AZ514" s="46">
        <f>($AU$3*AU514+$AV$3*AV514+$AW$3*AW514+$AX$3*AX514)*AY514*IF(AQ514&lt;5,0.95,IF(AQ514&lt;7,0.975,1))+$I$3*VLOOKUP(I514,COND!$A$2:$E$7,4,FALSE)+$J$3*VLOOKUP(J514,COND!$A$2:$E$7,2,FALSE)+$K$3*VLOOKUP(K514,COND!$A$2:$E$7,3,FALSE)+IF(BB514="SP",$BB$3,0)+IF($AW514&lt;3,-5,0)+IF(AND($B$2&gt;0,$E514&lt;20),$B$2*25,0)</f>
        <v>22.299014882593706</v>
      </c>
      <c r="BA514" s="49">
        <f>STANDARDIZE(AZ514,AVERAGE($AZ$5:$AZ$676),STDEVP($AZ$5:$AZ$676))</f>
        <v>-0.70957465132338626</v>
      </c>
      <c r="BB514" s="47" t="str">
        <f>IF(OR(AND(AQ514&gt;7,AX514&gt;1),AND(AQ514&gt;4,AW514&gt;2)),"SP","RP")</f>
        <v>RP</v>
      </c>
      <c r="BC514" s="47"/>
      <c r="BD514" s="47"/>
      <c r="BE514" s="47"/>
      <c r="BF514" s="47" t="str">
        <f>IF(AVERAGE($O514:$Q514)&gt;=6,"Likely",IF(AVERAGE($O514:$Q514)&gt;=4,"Possible","Unlikely"))</f>
        <v>Unlikely</v>
      </c>
      <c r="BG514" s="47"/>
      <c r="BH514" s="47" t="str">
        <f>INDEX(Table5[[#All],[Ovr]],MATCH(Table3[[#This Row],[PID]],Table5[[#All],[PID]],0))</f>
        <v/>
      </c>
      <c r="BI514" s="47" t="str">
        <f>INDEX(Table5[[#All],[Rnd]],MATCH(Table3[[#This Row],[PID]],Table5[[#All],[PID]],0))</f>
        <v/>
      </c>
      <c r="BJ514" s="47" t="str">
        <f>INDEX(Table5[[#All],[Pick]],MATCH(Table3[[#This Row],[PID]],Table5[[#All],[PID]],0))</f>
        <v/>
      </c>
      <c r="BK514" s="47" t="str">
        <f>INDEX(Table5[[#All],[Team]],MATCH(Table3[[#This Row],[PID]],Table5[[#All],[PID]],0))</f>
        <v/>
      </c>
      <c r="BL5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5" spans="1:64" ht="15" customHeight="1" x14ac:dyDescent="0.25">
      <c r="A515" s="42">
        <v>13358</v>
      </c>
      <c r="B515" s="42" t="s">
        <v>430</v>
      </c>
      <c r="C515" s="42" t="s">
        <v>202</v>
      </c>
      <c r="D515" s="42" t="s">
        <v>931</v>
      </c>
      <c r="E515" s="42">
        <v>22</v>
      </c>
      <c r="F515" s="42" t="s">
        <v>42</v>
      </c>
      <c r="G515" s="42" t="s">
        <v>42</v>
      </c>
      <c r="H515" s="43" t="s">
        <v>721</v>
      </c>
      <c r="I515" s="44" t="s">
        <v>43</v>
      </c>
      <c r="J515" s="42" t="s">
        <v>44</v>
      </c>
      <c r="K515" s="43" t="s">
        <v>43</v>
      </c>
      <c r="L515" s="42">
        <v>3</v>
      </c>
      <c r="M515" s="42">
        <v>2</v>
      </c>
      <c r="N515" s="43">
        <v>2</v>
      </c>
      <c r="O515" s="42">
        <v>4</v>
      </c>
      <c r="P515" s="42">
        <v>2</v>
      </c>
      <c r="Q515" s="43">
        <v>2</v>
      </c>
      <c r="R515" s="42">
        <v>5</v>
      </c>
      <c r="S515" s="42">
        <v>6</v>
      </c>
      <c r="T515" s="42">
        <v>2</v>
      </c>
      <c r="U515" s="42">
        <v>4</v>
      </c>
      <c r="V515" s="42" t="s">
        <v>45</v>
      </c>
      <c r="W515" s="42" t="s">
        <v>45</v>
      </c>
      <c r="X515" s="42">
        <v>3</v>
      </c>
      <c r="Y515" s="42">
        <v>5</v>
      </c>
      <c r="Z515" s="42" t="s">
        <v>45</v>
      </c>
      <c r="AA515" s="42" t="s">
        <v>45</v>
      </c>
      <c r="AB515" s="42" t="s">
        <v>45</v>
      </c>
      <c r="AC515" s="42" t="s">
        <v>45</v>
      </c>
      <c r="AD515" s="42" t="s">
        <v>45</v>
      </c>
      <c r="AE515" s="42" t="s">
        <v>45</v>
      </c>
      <c r="AF515" s="42" t="s">
        <v>45</v>
      </c>
      <c r="AG515" s="42" t="s">
        <v>45</v>
      </c>
      <c r="AH515" s="42" t="s">
        <v>45</v>
      </c>
      <c r="AI515" s="42" t="s">
        <v>45</v>
      </c>
      <c r="AJ515" s="42" t="s">
        <v>45</v>
      </c>
      <c r="AK515" s="42" t="s">
        <v>45</v>
      </c>
      <c r="AL515" s="42" t="s">
        <v>45</v>
      </c>
      <c r="AM515" s="42" t="s">
        <v>45</v>
      </c>
      <c r="AN515" s="42" t="s">
        <v>45</v>
      </c>
      <c r="AO515" s="43" t="s">
        <v>45</v>
      </c>
      <c r="AP515" s="42" t="s">
        <v>60</v>
      </c>
      <c r="AQ515" s="42">
        <v>4</v>
      </c>
      <c r="AR515" s="50" t="s">
        <v>353</v>
      </c>
      <c r="AS515" s="45" t="s">
        <v>45</v>
      </c>
      <c r="AT515" s="45" t="s">
        <v>705</v>
      </c>
      <c r="AU515" s="46">
        <f>($O$3*(L515-$O$1)/$O$2+$P$3*(M515-$P$1)/$P$2+$Q$3*(N515-$P$1)/$Q$2)/SUM($O$3:$Q$3)</f>
        <v>-1.8743493064650851</v>
      </c>
      <c r="AV515" s="46">
        <f>($O$3*(O515-$O$1)/$O$2+$P$3*(P515-$P$1)/$P$2+$Q$3*(Q515-$Q$1)/$Q$2)/SUM($O$3:$Q$3)</f>
        <v>-1.23416323121884</v>
      </c>
      <c r="AW515" s="47">
        <f>COUNT(R515:AO515)/2</f>
        <v>3</v>
      </c>
      <c r="AX515" s="47">
        <f>IF(AND(S515&lt;&gt;"-",S515&gt;5),1,0)+IF(AND(U515&lt;&gt;"-",U515&gt;5),1,0)+IF(AND(W515&lt;&gt;"-",W515&gt;5),1,0)+IF(AND(Y515&lt;&gt;"-",Y515&gt;5),1,0)+IF(AND(AA515&lt;&gt;"-",AA515&gt;5),1,0)+IF(AND(AC515&lt;&gt;"-",AC515&gt;5),1,0)+IF(AND(AE515&lt;&gt;"-",AE515&gt;5),1,0)+IF(AND(AG515&lt;&gt;"-",AG515&gt;5),1,0)+IF(AND(AI515&lt;&gt;"-",AI515&gt;5),1,0)+IF(AND(AK515&lt;&gt;"-",AK515&gt;5),1,0)+IF(AND(AM515&lt;&gt;"-",AM515&gt;5),1,0)+IF(AND(AO515&lt;&gt;"-",AO515&gt;5),1,0)</f>
        <v>1</v>
      </c>
      <c r="AY515" s="48">
        <f>VLOOKUP(AP515,COND!$A$10:$B$32,2,FALSE)</f>
        <v>1.0249999999999999</v>
      </c>
      <c r="AZ515" s="46">
        <f>($AU$3*AU515+$AV$3*AV515+$AW$3*AW515+$AX$3*AX515)*AY515*IF(AQ515&lt;5,0.95,IF(AQ515&lt;7,0.975,1))+$I$3*VLOOKUP(I515,COND!$A$2:$E$7,4,FALSE)+$J$3*VLOOKUP(J515,COND!$A$2:$E$7,2,FALSE)+$K$3*VLOOKUP(K515,COND!$A$2:$E$7,3,FALSE)+IF(BB515="SP",$BB$3,0)+IF($AW515&lt;3,-5,0)+IF(AND($B$2&gt;0,$E515&lt;20),$B$2*25,0)</f>
        <v>22.977454044579016</v>
      </c>
      <c r="BA515" s="49">
        <f>STANDARDIZE(AZ515,AVERAGE($AZ$5:$AZ$570),STDEVP($AZ$5:$AZ$570))</f>
        <v>-0.89363951756645343</v>
      </c>
      <c r="BB515" s="47" t="str">
        <f>IF(OR(AND(AQ515&gt;7,AX515&gt;1),AND(AQ515&gt;4,AW515&gt;2)),"SP","RP")</f>
        <v>RP</v>
      </c>
      <c r="BC515" s="47"/>
      <c r="BD515" s="47"/>
      <c r="BE515" s="47"/>
      <c r="BF515" s="47" t="str">
        <f>IF(AVERAGE($O515:$Q515)&gt;=6,"Likely",IF(AVERAGE($O515:$Q515)&gt;=4,"Possible","Unlikely"))</f>
        <v>Unlikely</v>
      </c>
      <c r="BG515" s="47"/>
      <c r="BH515" s="47" t="str">
        <f>INDEX(Table5[[#All],[Ovr]],MATCH(Table3[[#This Row],[PID]],Table5[[#All],[PID]],0))</f>
        <v/>
      </c>
      <c r="BI515" s="47" t="str">
        <f>INDEX(Table5[[#All],[Rnd]],MATCH(Table3[[#This Row],[PID]],Table5[[#All],[PID]],0))</f>
        <v/>
      </c>
      <c r="BJ515" s="47" t="str">
        <f>INDEX(Table5[[#All],[Pick]],MATCH(Table3[[#This Row],[PID]],Table5[[#All],[PID]],0))</f>
        <v/>
      </c>
      <c r="BK515" s="47" t="str">
        <f>INDEX(Table5[[#All],[Team]],MATCH(Table3[[#This Row],[PID]],Table5[[#All],[PID]],0))</f>
        <v/>
      </c>
      <c r="BL5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6" spans="1:64" ht="15" customHeight="1" x14ac:dyDescent="0.25">
      <c r="A516" s="42">
        <v>7954</v>
      </c>
      <c r="B516" s="42" t="s">
        <v>430</v>
      </c>
      <c r="C516" s="42" t="s">
        <v>471</v>
      </c>
      <c r="D516" s="42" t="s">
        <v>1645</v>
      </c>
      <c r="E516" s="42">
        <v>18</v>
      </c>
      <c r="F516" s="42" t="s">
        <v>42</v>
      </c>
      <c r="G516" s="42" t="s">
        <v>42</v>
      </c>
      <c r="H516" s="43" t="s">
        <v>721</v>
      </c>
      <c r="I516" s="44" t="s">
        <v>44</v>
      </c>
      <c r="J516" s="42" t="s">
        <v>44</v>
      </c>
      <c r="K516" s="43" t="s">
        <v>43</v>
      </c>
      <c r="L516" s="42">
        <v>1</v>
      </c>
      <c r="M516" s="42">
        <v>1</v>
      </c>
      <c r="N516" s="43">
        <v>1</v>
      </c>
      <c r="O516" s="42">
        <v>3</v>
      </c>
      <c r="P516" s="42">
        <v>1</v>
      </c>
      <c r="Q516" s="43">
        <v>2</v>
      </c>
      <c r="R516" s="42">
        <v>2</v>
      </c>
      <c r="S516" s="42">
        <v>3</v>
      </c>
      <c r="T516" s="42">
        <v>1</v>
      </c>
      <c r="U516" s="42">
        <v>5</v>
      </c>
      <c r="V516" s="42">
        <v>1</v>
      </c>
      <c r="W516" s="42">
        <v>4</v>
      </c>
      <c r="X516" s="42">
        <v>1</v>
      </c>
      <c r="Y516" s="42">
        <v>2</v>
      </c>
      <c r="Z516" s="42" t="s">
        <v>45</v>
      </c>
      <c r="AA516" s="42" t="s">
        <v>45</v>
      </c>
      <c r="AB516" s="42" t="s">
        <v>45</v>
      </c>
      <c r="AC516" s="42" t="s">
        <v>45</v>
      </c>
      <c r="AD516" s="42" t="s">
        <v>45</v>
      </c>
      <c r="AE516" s="42" t="s">
        <v>45</v>
      </c>
      <c r="AF516" s="42" t="s">
        <v>45</v>
      </c>
      <c r="AG516" s="42" t="s">
        <v>45</v>
      </c>
      <c r="AH516" s="42" t="s">
        <v>45</v>
      </c>
      <c r="AI516" s="42" t="s">
        <v>45</v>
      </c>
      <c r="AJ516" s="42" t="s">
        <v>45</v>
      </c>
      <c r="AK516" s="42" t="s">
        <v>45</v>
      </c>
      <c r="AL516" s="42" t="s">
        <v>45</v>
      </c>
      <c r="AM516" s="42" t="s">
        <v>45</v>
      </c>
      <c r="AN516" s="42" t="s">
        <v>45</v>
      </c>
      <c r="AO516" s="43" t="s">
        <v>45</v>
      </c>
      <c r="AP516" s="42" t="s">
        <v>67</v>
      </c>
      <c r="AQ516" s="42">
        <v>8</v>
      </c>
      <c r="AR516" s="50" t="s">
        <v>14</v>
      </c>
      <c r="AS516" s="45" t="s">
        <v>730</v>
      </c>
      <c r="AT516" s="45" t="s">
        <v>47</v>
      </c>
      <c r="AU516" s="46">
        <f>($O$3*(L516-$O$1)/$O$2+$P$3*(M516-$P$1)/$P$2+$Q$3*(N516-$P$1)/$Q$2)/SUM($O$3:$Q$3)</f>
        <v>-2.7014842379675978</v>
      </c>
      <c r="AV516" s="46">
        <f>($O$3*(O516-$O$1)/$O$2+$P$3*(P516-$P$1)/$P$2+$Q$3*(Q516-$Q$1)/$Q$2)/SUM($O$3:$Q$3)</f>
        <v>-1.6242862721580691</v>
      </c>
      <c r="AW516" s="47">
        <f>COUNT(R516:AO516)/2</f>
        <v>4</v>
      </c>
      <c r="AX516" s="47">
        <f>IF(AND(S516&lt;&gt;"-",S516&gt;5),1,0)+IF(AND(U516&lt;&gt;"-",U516&gt;5),1,0)+IF(AND(W516&lt;&gt;"-",W516&gt;5),1,0)+IF(AND(Y516&lt;&gt;"-",Y516&gt;5),1,0)+IF(AND(AA516&lt;&gt;"-",AA516&gt;5),1,0)+IF(AND(AC516&lt;&gt;"-",AC516&gt;5),1,0)+IF(AND(AE516&lt;&gt;"-",AE516&gt;5),1,0)+IF(AND(AG516&lt;&gt;"-",AG516&gt;5),1,0)+IF(AND(AI516&lt;&gt;"-",AI516&gt;5),1,0)+IF(AND(AK516&lt;&gt;"-",AK516&gt;5),1,0)+IF(AND(AM516&lt;&gt;"-",AM516&gt;5),1,0)+IF(AND(AO516&lt;&gt;"-",AO516&gt;5),1,0)</f>
        <v>0</v>
      </c>
      <c r="AY516" s="48">
        <f>VLOOKUP(AP516,COND!$A$10:$B$32,2,FALSE)</f>
        <v>0.9</v>
      </c>
      <c r="AZ516" s="46">
        <f>($AU$3*AU516+$AV$3*AV516+$AW$3*AW516+$AX$3*AX516)*AY516*IF(AQ516&lt;5,0.95,IF(AQ516&lt;7,0.975,1))+$I$3*VLOOKUP(I516,COND!$A$2:$E$7,4,FALSE)+$J$3*VLOOKUP(J516,COND!$A$2:$E$7,2,FALSE)+$K$3*VLOOKUP(K516,COND!$A$2:$E$7,3,FALSE)+IF(BB516="SP",$BB$3,0)+IF($AW516&lt;3,-5,0)+IF(AND($B$2&gt;0,$E516&lt;20),$B$2*25,0)</f>
        <v>23.626579938320589</v>
      </c>
      <c r="BA516" s="49">
        <f>STANDARDIZE(AZ516,AVERAGE($AZ$5:$AZ$676),STDEVP($AZ$5:$AZ$676))</f>
        <v>-0.59322339594393547</v>
      </c>
      <c r="BB516" s="47" t="str">
        <f>IF(OR(AND(AQ516&gt;7,AX516&gt;1),AND(AQ516&gt;4,AW516&gt;2)),"SP","RP")</f>
        <v>SP</v>
      </c>
      <c r="BC516" s="47"/>
      <c r="BD516" s="47"/>
      <c r="BE516" s="47"/>
      <c r="BF516" s="47" t="str">
        <f>IF(AVERAGE($O516:$Q516)&gt;=6,"Likely",IF(AVERAGE($O516:$Q516)&gt;=4,"Possible","Unlikely"))</f>
        <v>Unlikely</v>
      </c>
      <c r="BG516" s="47"/>
      <c r="BH516" s="47" t="str">
        <f>INDEX(Table5[[#All],[Ovr]],MATCH(Table3[[#This Row],[PID]],Table5[[#All],[PID]],0))</f>
        <v/>
      </c>
      <c r="BI516" s="47" t="str">
        <f>INDEX(Table5[[#All],[Rnd]],MATCH(Table3[[#This Row],[PID]],Table5[[#All],[PID]],0))</f>
        <v/>
      </c>
      <c r="BJ516" s="47" t="str">
        <f>INDEX(Table5[[#All],[Pick]],MATCH(Table3[[#This Row],[PID]],Table5[[#All],[PID]],0))</f>
        <v/>
      </c>
      <c r="BK516" s="47" t="str">
        <f>INDEX(Table5[[#All],[Team]],MATCH(Table3[[#This Row],[PID]],Table5[[#All],[PID]],0))</f>
        <v/>
      </c>
      <c r="BL5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7" spans="1:64" ht="15" customHeight="1" x14ac:dyDescent="0.25">
      <c r="A517" s="42">
        <v>12214</v>
      </c>
      <c r="B517" s="42" t="s">
        <v>430</v>
      </c>
      <c r="C517" s="42" t="s">
        <v>961</v>
      </c>
      <c r="D517" s="42" t="s">
        <v>1732</v>
      </c>
      <c r="E517" s="42">
        <v>18</v>
      </c>
      <c r="F517" s="42" t="s">
        <v>53</v>
      </c>
      <c r="G517" s="42" t="s">
        <v>53</v>
      </c>
      <c r="H517" s="43" t="s">
        <v>721</v>
      </c>
      <c r="I517" s="44" t="s">
        <v>43</v>
      </c>
      <c r="J517" s="42" t="s">
        <v>44</v>
      </c>
      <c r="K517" s="43" t="s">
        <v>43</v>
      </c>
      <c r="L517" s="42">
        <v>2</v>
      </c>
      <c r="M517" s="42">
        <v>1</v>
      </c>
      <c r="N517" s="43">
        <v>1</v>
      </c>
      <c r="O517" s="42">
        <v>4</v>
      </c>
      <c r="P517" s="42">
        <v>2</v>
      </c>
      <c r="Q517" s="43">
        <v>2</v>
      </c>
      <c r="R517" s="42">
        <v>3</v>
      </c>
      <c r="S517" s="42">
        <v>5</v>
      </c>
      <c r="T517" s="42" t="s">
        <v>45</v>
      </c>
      <c r="U517" s="42" t="s">
        <v>45</v>
      </c>
      <c r="V517" s="42">
        <v>2</v>
      </c>
      <c r="W517" s="42">
        <v>5</v>
      </c>
      <c r="X517" s="42" t="s">
        <v>45</v>
      </c>
      <c r="Y517" s="42" t="s">
        <v>45</v>
      </c>
      <c r="Z517" s="42" t="s">
        <v>45</v>
      </c>
      <c r="AA517" s="42" t="s">
        <v>45</v>
      </c>
      <c r="AB517" s="42" t="s">
        <v>45</v>
      </c>
      <c r="AC517" s="42" t="s">
        <v>45</v>
      </c>
      <c r="AD517" s="42" t="s">
        <v>45</v>
      </c>
      <c r="AE517" s="42" t="s">
        <v>45</v>
      </c>
      <c r="AF517" s="42" t="s">
        <v>45</v>
      </c>
      <c r="AG517" s="42" t="s">
        <v>45</v>
      </c>
      <c r="AH517" s="42" t="s">
        <v>45</v>
      </c>
      <c r="AI517" s="42" t="s">
        <v>45</v>
      </c>
      <c r="AJ517" s="42" t="s">
        <v>45</v>
      </c>
      <c r="AK517" s="42" t="s">
        <v>45</v>
      </c>
      <c r="AL517" s="42" t="s">
        <v>45</v>
      </c>
      <c r="AM517" s="42" t="s">
        <v>45</v>
      </c>
      <c r="AN517" s="42" t="s">
        <v>45</v>
      </c>
      <c r="AO517" s="43" t="s">
        <v>45</v>
      </c>
      <c r="AP517" s="42" t="s">
        <v>68</v>
      </c>
      <c r="AQ517" s="42">
        <v>4</v>
      </c>
      <c r="AR517" s="50" t="s">
        <v>14</v>
      </c>
      <c r="AS517" s="45" t="s">
        <v>718</v>
      </c>
      <c r="AT517" s="45" t="s">
        <v>705</v>
      </c>
      <c r="AU517" s="46">
        <f>($O$3*(L517-$O$1)/$O$2+$P$3*(M517-$P$1)/$P$2+$Q$3*(N517-$P$1)/$Q$2)/SUM($O$3:$Q$3)</f>
        <v>-2.5067929134584248</v>
      </c>
      <c r="AV517" s="46">
        <f>($O$3*(O517-$O$1)/$O$2+$P$3*(P517-$P$1)/$P$2+$Q$3*(Q517-$Q$1)/$Q$2)/SUM($O$3:$Q$3)</f>
        <v>-1.23416323121884</v>
      </c>
      <c r="AW517" s="47">
        <f>COUNT(R517:AO517)/2</f>
        <v>2</v>
      </c>
      <c r="AX517" s="47">
        <f>IF(AND(S517&lt;&gt;"-",S517&gt;5),1,0)+IF(AND(U517&lt;&gt;"-",U517&gt;5),1,0)+IF(AND(W517&lt;&gt;"-",W517&gt;5),1,0)+IF(AND(Y517&lt;&gt;"-",Y517&gt;5),1,0)+IF(AND(AA517&lt;&gt;"-",AA517&gt;5),1,0)+IF(AND(AC517&lt;&gt;"-",AC517&gt;5),1,0)+IF(AND(AE517&lt;&gt;"-",AE517&gt;5),1,0)+IF(AND(AG517&lt;&gt;"-",AG517&gt;5),1,0)+IF(AND(AI517&lt;&gt;"-",AI517&gt;5),1,0)+IF(AND(AK517&lt;&gt;"-",AK517&gt;5),1,0)+IF(AND(AM517&lt;&gt;"-",AM517&gt;5),1,0)+IF(AND(AO517&lt;&gt;"-",AO517&gt;5),1,0)</f>
        <v>0</v>
      </c>
      <c r="AY517" s="48">
        <f>VLOOKUP(AP517,COND!$A$10:$B$32,2,FALSE)</f>
        <v>0.95</v>
      </c>
      <c r="AZ517" s="46">
        <f>($AU$3*AU517+$AV$3*AV517+$AW$3*AW517+$AX$3*AX517)*AY517*IF(AQ517&lt;5,0.95,IF(AQ517&lt;7,0.975,1))+$I$3*VLOOKUP(I517,COND!$A$2:$E$7,4,FALSE)+$J$3*VLOOKUP(J517,COND!$A$2:$E$7,2,FALSE)+$K$3*VLOOKUP(K517,COND!$A$2:$E$7,3,FALSE)+IF(BB517="SP",$BB$3,0)+IF($AW517&lt;3,-5,0)+IF(AND($B$2&gt;0,$E517&lt;20),$B$2*25,0)</f>
        <v>22.873377555620692</v>
      </c>
      <c r="BA517" s="49">
        <f>STANDARDIZE(AZ517,AVERAGE($AZ$5:$AZ$570),STDEVP($AZ$5:$AZ$570))</f>
        <v>-0.90318377643619452</v>
      </c>
      <c r="BB517" s="47" t="str">
        <f>IF(OR(AND(AQ517&gt;7,AX517&gt;1),AND(AQ517&gt;4,AW517&gt;2)),"SP","RP")</f>
        <v>RP</v>
      </c>
      <c r="BC517" s="47"/>
      <c r="BD517" s="47"/>
      <c r="BE517" s="47"/>
      <c r="BF517" s="47" t="str">
        <f>IF(AVERAGE($O517:$Q517)&gt;=6,"Likely",IF(AVERAGE($O517:$Q517)&gt;=4,"Possible","Unlikely"))</f>
        <v>Unlikely</v>
      </c>
      <c r="BG517" s="47"/>
      <c r="BH517" s="47" t="str">
        <f>INDEX(Table5[[#All],[Ovr]],MATCH(Table3[[#This Row],[PID]],Table5[[#All],[PID]],0))</f>
        <v/>
      </c>
      <c r="BI517" s="47" t="str">
        <f>INDEX(Table5[[#All],[Rnd]],MATCH(Table3[[#This Row],[PID]],Table5[[#All],[PID]],0))</f>
        <v/>
      </c>
      <c r="BJ517" s="47" t="str">
        <f>INDEX(Table5[[#All],[Pick]],MATCH(Table3[[#This Row],[PID]],Table5[[#All],[PID]],0))</f>
        <v/>
      </c>
      <c r="BK517" s="47" t="str">
        <f>INDEX(Table5[[#All],[Team]],MATCH(Table3[[#This Row],[PID]],Table5[[#All],[PID]],0))</f>
        <v/>
      </c>
      <c r="BL5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8" spans="1:64" ht="15" customHeight="1" x14ac:dyDescent="0.25">
      <c r="A518" s="42">
        <v>15686</v>
      </c>
      <c r="B518" s="42" t="s">
        <v>430</v>
      </c>
      <c r="C518" s="42" t="s">
        <v>203</v>
      </c>
      <c r="D518" s="42" t="s">
        <v>1736</v>
      </c>
      <c r="E518" s="42">
        <v>21</v>
      </c>
      <c r="F518" s="42" t="s">
        <v>42</v>
      </c>
      <c r="G518" s="42" t="s">
        <v>42</v>
      </c>
      <c r="H518" s="43" t="s">
        <v>721</v>
      </c>
      <c r="I518" s="44" t="s">
        <v>43</v>
      </c>
      <c r="J518" s="42" t="s">
        <v>44</v>
      </c>
      <c r="K518" s="43" t="s">
        <v>43</v>
      </c>
      <c r="L518" s="42">
        <v>2</v>
      </c>
      <c r="M518" s="42">
        <v>1</v>
      </c>
      <c r="N518" s="43">
        <v>2</v>
      </c>
      <c r="O518" s="42">
        <v>4</v>
      </c>
      <c r="P518" s="42">
        <v>1</v>
      </c>
      <c r="Q518" s="43">
        <v>2</v>
      </c>
      <c r="R518" s="42">
        <v>2</v>
      </c>
      <c r="S518" s="42">
        <v>4</v>
      </c>
      <c r="T518" s="42">
        <v>1</v>
      </c>
      <c r="U518" s="42">
        <v>1</v>
      </c>
      <c r="V518" s="42" t="s">
        <v>45</v>
      </c>
      <c r="W518" s="42" t="s">
        <v>45</v>
      </c>
      <c r="X518" s="42">
        <v>3</v>
      </c>
      <c r="Y518" s="42">
        <v>6</v>
      </c>
      <c r="Z518" s="42" t="s">
        <v>45</v>
      </c>
      <c r="AA518" s="42" t="s">
        <v>45</v>
      </c>
      <c r="AB518" s="42" t="s">
        <v>45</v>
      </c>
      <c r="AC518" s="42" t="s">
        <v>45</v>
      </c>
      <c r="AD518" s="42" t="s">
        <v>45</v>
      </c>
      <c r="AE518" s="42" t="s">
        <v>45</v>
      </c>
      <c r="AF518" s="42">
        <v>2</v>
      </c>
      <c r="AG518" s="42">
        <v>4</v>
      </c>
      <c r="AH518" s="42" t="s">
        <v>45</v>
      </c>
      <c r="AI518" s="42" t="s">
        <v>45</v>
      </c>
      <c r="AJ518" s="42" t="s">
        <v>45</v>
      </c>
      <c r="AK518" s="42" t="s">
        <v>45</v>
      </c>
      <c r="AL518" s="42" t="s">
        <v>45</v>
      </c>
      <c r="AM518" s="42" t="s">
        <v>45</v>
      </c>
      <c r="AN518" s="42" t="s">
        <v>45</v>
      </c>
      <c r="AO518" s="43" t="s">
        <v>45</v>
      </c>
      <c r="AP518" s="42" t="s">
        <v>65</v>
      </c>
      <c r="AQ518" s="42">
        <v>6</v>
      </c>
      <c r="AR518" s="50" t="s">
        <v>353</v>
      </c>
      <c r="AS518" s="45" t="s">
        <v>717</v>
      </c>
      <c r="AT518" s="45" t="s">
        <v>47</v>
      </c>
      <c r="AU518" s="46">
        <f>($O$3*(L518-$O$1)/$O$2+$P$3*(M518-$P$1)/$P$2+$Q$3*(N518-$P$1)/$Q$2)/SUM($O$3:$Q$3)</f>
        <v>-2.2644723474043147</v>
      </c>
      <c r="AV518" s="46">
        <f>($O$3*(O518-$O$1)/$O$2+$P$3*(P518-$P$1)/$P$2+$Q$3*(Q518-$Q$1)/$Q$2)/SUM($O$3:$Q$3)</f>
        <v>-1.4295949476488956</v>
      </c>
      <c r="AW518" s="47">
        <f>COUNT(R518:AO518)/2</f>
        <v>4</v>
      </c>
      <c r="AX518" s="47">
        <f>IF(AND(S518&lt;&gt;"-",S518&gt;5),1,0)+IF(AND(U518&lt;&gt;"-",U518&gt;5),1,0)+IF(AND(W518&lt;&gt;"-",W518&gt;5),1,0)+IF(AND(Y518&lt;&gt;"-",Y518&gt;5),1,0)+IF(AND(AA518&lt;&gt;"-",AA518&gt;5),1,0)+IF(AND(AC518&lt;&gt;"-",AC518&gt;5),1,0)+IF(AND(AE518&lt;&gt;"-",AE518&gt;5),1,0)+IF(AND(AG518&lt;&gt;"-",AG518&gt;5),1,0)+IF(AND(AI518&lt;&gt;"-",AI518&gt;5),1,0)+IF(AND(AK518&lt;&gt;"-",AK518&gt;5),1,0)+IF(AND(AM518&lt;&gt;"-",AM518&gt;5),1,0)+IF(AND(AO518&lt;&gt;"-",AO518&gt;5),1,0)</f>
        <v>1</v>
      </c>
      <c r="AY518" s="48">
        <f>VLOOKUP(AP518,COND!$A$10:$B$32,2,FALSE)</f>
        <v>0.95</v>
      </c>
      <c r="AZ518" s="46">
        <f>($AU$3*AU518+$AV$3*AV518+$AW$3*AW518+$AX$3*AX518)*AY518*IF(AQ518&lt;5,0.95,IF(AQ518&lt;7,0.975,1))+$I$3*VLOOKUP(I518,COND!$A$2:$E$7,4,FALSE)+$J$3*VLOOKUP(J518,COND!$A$2:$E$7,2,FALSE)+$K$3*VLOOKUP(K518,COND!$A$2:$E$7,3,FALSE)+IF(BB518="SP",$BB$3,0)+IF($AW518&lt;3,-5,0)+IF(AND($B$2&gt;0,$E518&lt;20),$B$2*25,0)</f>
        <v>22.80757259244756</v>
      </c>
      <c r="BA518" s="49">
        <f>STANDARDIZE(AZ518,AVERAGE($AZ$5:$AZ$570),STDEVP($AZ$5:$AZ$570))</f>
        <v>-0.90921837281549456</v>
      </c>
      <c r="BB518" s="47" t="str">
        <f>IF(OR(AND(AQ518&gt;7,AX518&gt;1),AND(AQ518&gt;4,AW518&gt;2)),"SP","RP")</f>
        <v>SP</v>
      </c>
      <c r="BC518" s="47"/>
      <c r="BD518" s="47"/>
      <c r="BE518" s="47"/>
      <c r="BF518" s="47" t="str">
        <f>IF(AVERAGE($O518:$Q518)&gt;=6,"Likely",IF(AVERAGE($O518:$Q518)&gt;=4,"Possible","Unlikely"))</f>
        <v>Unlikely</v>
      </c>
      <c r="BG518" s="47"/>
      <c r="BH518" s="47" t="str">
        <f>INDEX(Table5[[#All],[Ovr]],MATCH(Table3[[#This Row],[PID]],Table5[[#All],[PID]],0))</f>
        <v/>
      </c>
      <c r="BI518" s="47" t="str">
        <f>INDEX(Table5[[#All],[Rnd]],MATCH(Table3[[#This Row],[PID]],Table5[[#All],[PID]],0))</f>
        <v/>
      </c>
      <c r="BJ518" s="47" t="str">
        <f>INDEX(Table5[[#All],[Pick]],MATCH(Table3[[#This Row],[PID]],Table5[[#All],[PID]],0))</f>
        <v/>
      </c>
      <c r="BK518" s="47" t="str">
        <f>INDEX(Table5[[#All],[Team]],MATCH(Table3[[#This Row],[PID]],Table5[[#All],[PID]],0))</f>
        <v/>
      </c>
      <c r="BL5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9" spans="1:64" ht="15" customHeight="1" x14ac:dyDescent="0.25">
      <c r="A519" s="42">
        <v>17891</v>
      </c>
      <c r="B519" s="42" t="s">
        <v>430</v>
      </c>
      <c r="C519" s="42" t="s">
        <v>1511</v>
      </c>
      <c r="D519" s="42" t="s">
        <v>754</v>
      </c>
      <c r="E519" s="42">
        <v>18</v>
      </c>
      <c r="F519" s="42" t="s">
        <v>42</v>
      </c>
      <c r="G519" s="42" t="s">
        <v>42</v>
      </c>
      <c r="H519" s="43" t="s">
        <v>721</v>
      </c>
      <c r="I519" s="44" t="s">
        <v>43</v>
      </c>
      <c r="J519" s="42" t="s">
        <v>43</v>
      </c>
      <c r="K519" s="43" t="s">
        <v>44</v>
      </c>
      <c r="L519" s="42">
        <v>1</v>
      </c>
      <c r="M519" s="42">
        <v>1</v>
      </c>
      <c r="N519" s="43">
        <v>1</v>
      </c>
      <c r="O519" s="42">
        <v>2</v>
      </c>
      <c r="P519" s="42">
        <v>2</v>
      </c>
      <c r="Q519" s="43">
        <v>2</v>
      </c>
      <c r="R519" s="42">
        <v>2</v>
      </c>
      <c r="S519" s="42">
        <v>3</v>
      </c>
      <c r="T519" s="42">
        <v>1</v>
      </c>
      <c r="U519" s="42">
        <v>2</v>
      </c>
      <c r="V519" s="42" t="s">
        <v>45</v>
      </c>
      <c r="W519" s="42" t="s">
        <v>45</v>
      </c>
      <c r="X519" s="42">
        <v>1</v>
      </c>
      <c r="Y519" s="42">
        <v>3</v>
      </c>
      <c r="Z519" s="42" t="s">
        <v>45</v>
      </c>
      <c r="AA519" s="42" t="s">
        <v>45</v>
      </c>
      <c r="AB519" s="42" t="s">
        <v>45</v>
      </c>
      <c r="AC519" s="42" t="s">
        <v>45</v>
      </c>
      <c r="AD519" s="42">
        <v>2</v>
      </c>
      <c r="AE519" s="42">
        <v>3</v>
      </c>
      <c r="AF519" s="42">
        <v>2</v>
      </c>
      <c r="AG519" s="42">
        <v>3</v>
      </c>
      <c r="AH519" s="42" t="s">
        <v>45</v>
      </c>
      <c r="AI519" s="42" t="s">
        <v>45</v>
      </c>
      <c r="AJ519" s="42" t="s">
        <v>45</v>
      </c>
      <c r="AK519" s="42" t="s">
        <v>45</v>
      </c>
      <c r="AL519" s="42" t="s">
        <v>45</v>
      </c>
      <c r="AM519" s="42" t="s">
        <v>45</v>
      </c>
      <c r="AN519" s="42" t="s">
        <v>45</v>
      </c>
      <c r="AO519" s="43" t="s">
        <v>45</v>
      </c>
      <c r="AP519" s="42" t="s">
        <v>68</v>
      </c>
      <c r="AQ519" s="42">
        <v>6</v>
      </c>
      <c r="AR519" s="50" t="s">
        <v>14</v>
      </c>
      <c r="AS519" s="45" t="s">
        <v>718</v>
      </c>
      <c r="AT519" s="45" t="s">
        <v>47</v>
      </c>
      <c r="AU519" s="46">
        <f>($O$3*(L519-$O$1)/$O$2+$P$3*(M519-$P$1)/$P$2+$Q$3*(N519-$P$1)/$Q$2)/SUM($O$3:$Q$3)</f>
        <v>-2.7014842379675978</v>
      </c>
      <c r="AV519" s="46">
        <f>($O$3*(O519-$O$1)/$O$2+$P$3*(P519-$P$1)/$P$2+$Q$3*(Q519-$Q$1)/$Q$2)/SUM($O$3:$Q$3)</f>
        <v>-1.6235458802371869</v>
      </c>
      <c r="AW519" s="47">
        <f>COUNT(R519:AO519)/2</f>
        <v>5</v>
      </c>
      <c r="AX519" s="47">
        <f>IF(AND(S519&lt;&gt;"-",S519&gt;5),1,0)+IF(AND(U519&lt;&gt;"-",U519&gt;5),1,0)+IF(AND(W519&lt;&gt;"-",W519&gt;5),1,0)+IF(AND(Y519&lt;&gt;"-",Y519&gt;5),1,0)+IF(AND(AA519&lt;&gt;"-",AA519&gt;5),1,0)+IF(AND(AC519&lt;&gt;"-",AC519&gt;5),1,0)+IF(AND(AE519&lt;&gt;"-",AE519&gt;5),1,0)+IF(AND(AG519&lt;&gt;"-",AG519&gt;5),1,0)+IF(AND(AI519&lt;&gt;"-",AI519&gt;5),1,0)+IF(AND(AK519&lt;&gt;"-",AK519&gt;5),1,0)+IF(AND(AM519&lt;&gt;"-",AM519&gt;5),1,0)+IF(AND(AO519&lt;&gt;"-",AO519&gt;5),1,0)</f>
        <v>0</v>
      </c>
      <c r="AY519" s="48">
        <f>VLOOKUP(AP519,COND!$A$10:$B$32,2,FALSE)</f>
        <v>0.95</v>
      </c>
      <c r="AZ519" s="46">
        <f>($AU$3*AU519+$AV$3*AV519+$AW$3*AW519+$AX$3*AX519)*AY519*IF(AQ519&lt;5,0.95,IF(AQ519&lt;7,0.975,1))+$I$3*VLOOKUP(I519,COND!$A$2:$E$7,4,FALSE)+$J$3*VLOOKUP(J519,COND!$A$2:$E$7,2,FALSE)+$K$3*VLOOKUP(K519,COND!$A$2:$E$7,3,FALSE)+IF(BB519="SP",$BB$3,0)+IF($AW519&lt;3,-5,0)+IF(AND($B$2&gt;0,$E519&lt;20),$B$2*25,0)</f>
        <v>23.438987613522617</v>
      </c>
      <c r="BA519" s="49">
        <f>STANDARDIZE(AZ519,AVERAGE($AZ$5:$AZ$676),STDEVP($AZ$5:$AZ$676))</f>
        <v>-0.60966447534387724</v>
      </c>
      <c r="BB519" s="47" t="str">
        <f>IF(OR(AND(AQ519&gt;7,AX519&gt;1),AND(AQ519&gt;4,AW519&gt;2)),"SP","RP")</f>
        <v>SP</v>
      </c>
      <c r="BC519" s="47"/>
      <c r="BD519" s="47"/>
      <c r="BE519" s="47"/>
      <c r="BF519" s="47" t="str">
        <f>IF(AVERAGE($O519:$Q519)&gt;=6,"Likely",IF(AVERAGE($O519:$Q519)&gt;=4,"Possible","Unlikely"))</f>
        <v>Unlikely</v>
      </c>
      <c r="BG519" s="47"/>
      <c r="BH519" s="47" t="str">
        <f>INDEX(Table5[[#All],[Ovr]],MATCH(Table3[[#This Row],[PID]],Table5[[#All],[PID]],0))</f>
        <v/>
      </c>
      <c r="BI519" s="47" t="str">
        <f>INDEX(Table5[[#All],[Rnd]],MATCH(Table3[[#This Row],[PID]],Table5[[#All],[PID]],0))</f>
        <v/>
      </c>
      <c r="BJ519" s="47" t="str">
        <f>INDEX(Table5[[#All],[Pick]],MATCH(Table3[[#This Row],[PID]],Table5[[#All],[PID]],0))</f>
        <v/>
      </c>
      <c r="BK519" s="47" t="str">
        <f>INDEX(Table5[[#All],[Team]],MATCH(Table3[[#This Row],[PID]],Table5[[#All],[PID]],0))</f>
        <v/>
      </c>
      <c r="BL5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0" spans="1:64" ht="15" customHeight="1" x14ac:dyDescent="0.25">
      <c r="A520" s="42">
        <v>8897</v>
      </c>
      <c r="B520" s="42" t="s">
        <v>430</v>
      </c>
      <c r="C520" s="42" t="s">
        <v>126</v>
      </c>
      <c r="D520" s="42" t="s">
        <v>865</v>
      </c>
      <c r="E520" s="42">
        <v>18</v>
      </c>
      <c r="F520" s="42" t="s">
        <v>42</v>
      </c>
      <c r="G520" s="42" t="s">
        <v>42</v>
      </c>
      <c r="H520" s="43" t="s">
        <v>721</v>
      </c>
      <c r="I520" s="44" t="s">
        <v>43</v>
      </c>
      <c r="J520" s="42" t="s">
        <v>43</v>
      </c>
      <c r="K520" s="43" t="s">
        <v>43</v>
      </c>
      <c r="L520" s="42">
        <v>1</v>
      </c>
      <c r="M520" s="42">
        <v>2</v>
      </c>
      <c r="N520" s="43">
        <v>1</v>
      </c>
      <c r="O520" s="42">
        <v>3</v>
      </c>
      <c r="P520" s="42">
        <v>3</v>
      </c>
      <c r="Q520" s="43">
        <v>2</v>
      </c>
      <c r="R520" s="42">
        <v>2</v>
      </c>
      <c r="S520" s="42">
        <v>4</v>
      </c>
      <c r="T520" s="42" t="s">
        <v>45</v>
      </c>
      <c r="U520" s="42" t="s">
        <v>45</v>
      </c>
      <c r="V520" s="42">
        <v>1</v>
      </c>
      <c r="W520" s="42">
        <v>5</v>
      </c>
      <c r="X520" s="42" t="s">
        <v>45</v>
      </c>
      <c r="Y520" s="42" t="s">
        <v>45</v>
      </c>
      <c r="Z520" s="42" t="s">
        <v>45</v>
      </c>
      <c r="AA520" s="42" t="s">
        <v>45</v>
      </c>
      <c r="AB520" s="42" t="s">
        <v>45</v>
      </c>
      <c r="AC520" s="42" t="s">
        <v>45</v>
      </c>
      <c r="AD520" s="42" t="s">
        <v>45</v>
      </c>
      <c r="AE520" s="42" t="s">
        <v>45</v>
      </c>
      <c r="AF520" s="42" t="s">
        <v>45</v>
      </c>
      <c r="AG520" s="42" t="s">
        <v>45</v>
      </c>
      <c r="AH520" s="42" t="s">
        <v>45</v>
      </c>
      <c r="AI520" s="42" t="s">
        <v>45</v>
      </c>
      <c r="AJ520" s="42" t="s">
        <v>45</v>
      </c>
      <c r="AK520" s="42" t="s">
        <v>45</v>
      </c>
      <c r="AL520" s="42" t="s">
        <v>45</v>
      </c>
      <c r="AM520" s="42" t="s">
        <v>45</v>
      </c>
      <c r="AN520" s="42" t="s">
        <v>45</v>
      </c>
      <c r="AO520" s="43" t="s">
        <v>45</v>
      </c>
      <c r="AP520" s="42" t="s">
        <v>68</v>
      </c>
      <c r="AQ520" s="42">
        <v>8</v>
      </c>
      <c r="AR520" s="50" t="s">
        <v>353</v>
      </c>
      <c r="AS520" s="45" t="s">
        <v>615</v>
      </c>
      <c r="AT520" s="45" t="s">
        <v>705</v>
      </c>
      <c r="AU520" s="46">
        <f>($O$3*(L520-$O$1)/$O$2+$P$3*(M520-$P$1)/$P$2+$Q$3*(N520-$P$1)/$Q$2)/SUM($O$3:$Q$3)</f>
        <v>-2.5060525215375429</v>
      </c>
      <c r="AV520" s="46">
        <f>($O$3*(O520-$O$1)/$O$2+$P$3*(P520-$P$1)/$P$2+$Q$3*(Q520-$Q$1)/$Q$2)/SUM($O$3:$Q$3)</f>
        <v>-1.233422839297958</v>
      </c>
      <c r="AW520" s="47">
        <f>COUNT(R520:AO520)/2</f>
        <v>2</v>
      </c>
      <c r="AX520" s="47">
        <f>IF(AND(S520&lt;&gt;"-",S520&gt;5),1,0)+IF(AND(U520&lt;&gt;"-",U520&gt;5),1,0)+IF(AND(W520&lt;&gt;"-",W520&gt;5),1,0)+IF(AND(Y520&lt;&gt;"-",Y520&gt;5),1,0)+IF(AND(AA520&lt;&gt;"-",AA520&gt;5),1,0)+IF(AND(AC520&lt;&gt;"-",AC520&gt;5),1,0)+IF(AND(AE520&lt;&gt;"-",AE520&gt;5),1,0)+IF(AND(AG520&lt;&gt;"-",AG520&gt;5),1,0)+IF(AND(AI520&lt;&gt;"-",AI520&gt;5),1,0)+IF(AND(AK520&lt;&gt;"-",AK520&gt;5),1,0)+IF(AND(AM520&lt;&gt;"-",AM520&gt;5),1,0)+IF(AND(AO520&lt;&gt;"-",AO520&gt;5),1,0)</f>
        <v>0</v>
      </c>
      <c r="AY520" s="48">
        <f>VLOOKUP(AP520,COND!$A$10:$B$32,2,FALSE)</f>
        <v>0.95</v>
      </c>
      <c r="AZ520" s="46">
        <f>($AU$3*AU520+$AV$3*AV520+$AW$3*AW520+$AX$3*AX520)*AY520*IF(AQ520&lt;5,0.95,IF(AQ520&lt;7,0.975,1))+$I$3*VLOOKUP(I520,COND!$A$2:$E$7,4,FALSE)+$J$3*VLOOKUP(J520,COND!$A$2:$E$7,2,FALSE)+$K$3*VLOOKUP(K520,COND!$A$2:$E$7,3,FALSE)+IF(BB520="SP",$BB$3,0)+IF($AW520&lt;3,-5,0)+IF(AND($B$2&gt;0,$E520&lt;20),$B$2*25,0)</f>
        <v>22.038816074246665</v>
      </c>
      <c r="BA520" s="49">
        <f>STANDARDIZE(AZ520,AVERAGE($AZ$5:$AZ$570),STDEVP($AZ$5:$AZ$570))</f>
        <v>-0.97971663126893205</v>
      </c>
      <c r="BB520" s="47" t="str">
        <f>IF(OR(AND(AQ520&gt;7,AX520&gt;1),AND(AQ520&gt;4,AW520&gt;2)),"SP","RP")</f>
        <v>RP</v>
      </c>
      <c r="BC520" s="47"/>
      <c r="BD520" s="47"/>
      <c r="BE520" s="47"/>
      <c r="BF520" s="47" t="str">
        <f>IF(AVERAGE($O520:$Q520)&gt;=6,"Likely",IF(AVERAGE($O520:$Q520)&gt;=4,"Possible","Unlikely"))</f>
        <v>Unlikely</v>
      </c>
      <c r="BG520" s="47"/>
      <c r="BH520" s="47" t="str">
        <f>INDEX(Table5[[#All],[Ovr]],MATCH(Table3[[#This Row],[PID]],Table5[[#All],[PID]],0))</f>
        <v/>
      </c>
      <c r="BI520" s="47" t="str">
        <f>INDEX(Table5[[#All],[Rnd]],MATCH(Table3[[#This Row],[PID]],Table5[[#All],[PID]],0))</f>
        <v/>
      </c>
      <c r="BJ520" s="47" t="str">
        <f>INDEX(Table5[[#All],[Pick]],MATCH(Table3[[#This Row],[PID]],Table5[[#All],[PID]],0))</f>
        <v/>
      </c>
      <c r="BK520" s="47" t="str">
        <f>INDEX(Table5[[#All],[Team]],MATCH(Table3[[#This Row],[PID]],Table5[[#All],[PID]],0))</f>
        <v/>
      </c>
      <c r="BL5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1" spans="1:64" ht="15" customHeight="1" x14ac:dyDescent="0.25">
      <c r="A521" s="42">
        <v>9325</v>
      </c>
      <c r="B521" s="42" t="s">
        <v>430</v>
      </c>
      <c r="C521" s="42" t="s">
        <v>845</v>
      </c>
      <c r="D521" s="42" t="s">
        <v>555</v>
      </c>
      <c r="E521" s="42">
        <v>22</v>
      </c>
      <c r="F521" s="42" t="s">
        <v>53</v>
      </c>
      <c r="G521" s="42" t="s">
        <v>53</v>
      </c>
      <c r="H521" s="43" t="s">
        <v>721</v>
      </c>
      <c r="I521" s="44" t="s">
        <v>43</v>
      </c>
      <c r="J521" s="42" t="s">
        <v>43</v>
      </c>
      <c r="K521" s="43" t="s">
        <v>43</v>
      </c>
      <c r="L521" s="42">
        <v>2</v>
      </c>
      <c r="M521" s="42">
        <v>2</v>
      </c>
      <c r="N521" s="43">
        <v>2</v>
      </c>
      <c r="O521" s="42">
        <v>5</v>
      </c>
      <c r="P521" s="42">
        <v>2</v>
      </c>
      <c r="Q521" s="43">
        <v>2</v>
      </c>
      <c r="R521" s="42" t="s">
        <v>45</v>
      </c>
      <c r="S521" s="42" t="s">
        <v>45</v>
      </c>
      <c r="T521" s="42" t="s">
        <v>45</v>
      </c>
      <c r="U521" s="42" t="s">
        <v>45</v>
      </c>
      <c r="V521" s="42" t="s">
        <v>45</v>
      </c>
      <c r="W521" s="42" t="s">
        <v>45</v>
      </c>
      <c r="X521" s="42">
        <v>3</v>
      </c>
      <c r="Y521" s="42">
        <v>7</v>
      </c>
      <c r="Z521" s="42" t="s">
        <v>45</v>
      </c>
      <c r="AA521" s="42" t="s">
        <v>45</v>
      </c>
      <c r="AB521" s="42" t="s">
        <v>45</v>
      </c>
      <c r="AC521" s="42" t="s">
        <v>45</v>
      </c>
      <c r="AD521" s="42">
        <v>4</v>
      </c>
      <c r="AE521" s="42">
        <v>5</v>
      </c>
      <c r="AF521" s="42" t="s">
        <v>45</v>
      </c>
      <c r="AG521" s="42" t="s">
        <v>45</v>
      </c>
      <c r="AH521" s="42" t="s">
        <v>45</v>
      </c>
      <c r="AI521" s="42" t="s">
        <v>45</v>
      </c>
      <c r="AJ521" s="42" t="s">
        <v>45</v>
      </c>
      <c r="AK521" s="42" t="s">
        <v>45</v>
      </c>
      <c r="AL521" s="42" t="s">
        <v>45</v>
      </c>
      <c r="AM521" s="42" t="s">
        <v>45</v>
      </c>
      <c r="AN521" s="42" t="s">
        <v>45</v>
      </c>
      <c r="AO521" s="43" t="s">
        <v>45</v>
      </c>
      <c r="AP521" s="42" t="s">
        <v>356</v>
      </c>
      <c r="AQ521" s="42">
        <v>3</v>
      </c>
      <c r="AR521" s="50" t="s">
        <v>353</v>
      </c>
      <c r="AS521" s="45" t="s">
        <v>45</v>
      </c>
      <c r="AT521" s="45" t="s">
        <v>47</v>
      </c>
      <c r="AU521" s="46">
        <f>($O$3*(L521-$O$1)/$O$2+$P$3*(M521-$P$1)/$P$2+$Q$3*(N521-$P$1)/$Q$2)/SUM($O$3:$Q$3)</f>
        <v>-2.0690406309742588</v>
      </c>
      <c r="AV521" s="46">
        <f>($O$3*(O521-$O$1)/$O$2+$P$3*(P521-$P$1)/$P$2+$Q$3*(Q521-$Q$1)/$Q$2)/SUM($O$3:$Q$3)</f>
        <v>-1.0394719067096667</v>
      </c>
      <c r="AW521" s="47">
        <f>COUNT(R521:AO521)/2</f>
        <v>2</v>
      </c>
      <c r="AX521" s="47">
        <f>IF(AND(S521&lt;&gt;"-",S521&gt;5),1,0)+IF(AND(U521&lt;&gt;"-",U521&gt;5),1,0)+IF(AND(W521&lt;&gt;"-",W521&gt;5),1,0)+IF(AND(Y521&lt;&gt;"-",Y521&gt;5),1,0)+IF(AND(AA521&lt;&gt;"-",AA521&gt;5),1,0)+IF(AND(AC521&lt;&gt;"-",AC521&gt;5),1,0)+IF(AND(AE521&lt;&gt;"-",AE521&gt;5),1,0)+IF(AND(AG521&lt;&gt;"-",AG521&gt;5),1,0)+IF(AND(AI521&lt;&gt;"-",AI521&gt;5),1,0)+IF(AND(AK521&lt;&gt;"-",AK521&gt;5),1,0)+IF(AND(AM521&lt;&gt;"-",AM521&gt;5),1,0)+IF(AND(AO521&lt;&gt;"-",AO521&gt;5),1,0)</f>
        <v>1</v>
      </c>
      <c r="AY521" s="48">
        <f>VLOOKUP(AP521,COND!$A$10:$B$32,2,FALSE)</f>
        <v>1</v>
      </c>
      <c r="AZ521" s="46">
        <f>($AU$3*AU521+$AV$3*AV521+$AW$3*AW521+$AX$3*AX521)*AY521*IF(AQ521&lt;5,0.95,IF(AQ521&lt;7,0.975,1))+$I$3*VLOOKUP(I521,COND!$A$2:$E$7,4,FALSE)+$J$3*VLOOKUP(J521,COND!$A$2:$E$7,2,FALSE)+$K$3*VLOOKUP(K521,COND!$A$2:$E$7,3,FALSE)+IF(BB521="SP",$BB$3,0)+IF($AW521&lt;3,-5,0)+IF(AND($B$2&gt;0,$E521&lt;20),$B$2*25,0)</f>
        <v>21.994416052631227</v>
      </c>
      <c r="BA521" s="49">
        <f>STANDARDIZE(AZ521,AVERAGE($AZ$5:$AZ$570),STDEVP($AZ$5:$AZ$570))</f>
        <v>-0.98378830302074849</v>
      </c>
      <c r="BB521" s="47" t="str">
        <f>IF(OR(AND(AQ521&gt;7,AX521&gt;1),AND(AQ521&gt;4,AW521&gt;2)),"SP","RP")</f>
        <v>RP</v>
      </c>
      <c r="BC521" s="47"/>
      <c r="BD521" s="47"/>
      <c r="BE521" s="47"/>
      <c r="BF521" s="47" t="str">
        <f>IF(AVERAGE($O521:$Q521)&gt;=6,"Likely",IF(AVERAGE($O521:$Q521)&gt;=4,"Possible","Unlikely"))</f>
        <v>Unlikely</v>
      </c>
      <c r="BG521" s="47"/>
      <c r="BH521" s="47" t="str">
        <f>INDEX(Table5[[#All],[Ovr]],MATCH(Table3[[#This Row],[PID]],Table5[[#All],[PID]],0))</f>
        <v/>
      </c>
      <c r="BI521" s="47" t="str">
        <f>INDEX(Table5[[#All],[Rnd]],MATCH(Table3[[#This Row],[PID]],Table5[[#All],[PID]],0))</f>
        <v/>
      </c>
      <c r="BJ521" s="47" t="str">
        <f>INDEX(Table5[[#All],[Pick]],MATCH(Table3[[#This Row],[PID]],Table5[[#All],[PID]],0))</f>
        <v/>
      </c>
      <c r="BK521" s="47" t="str">
        <f>INDEX(Table5[[#All],[Team]],MATCH(Table3[[#This Row],[PID]],Table5[[#All],[PID]],0))</f>
        <v/>
      </c>
      <c r="BL5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2" spans="1:64" ht="15" customHeight="1" x14ac:dyDescent="0.25">
      <c r="A522" s="42">
        <v>13161</v>
      </c>
      <c r="B522" s="42" t="s">
        <v>24</v>
      </c>
      <c r="C522" s="42" t="s">
        <v>1001</v>
      </c>
      <c r="D522" s="42" t="s">
        <v>746</v>
      </c>
      <c r="E522" s="42">
        <v>22</v>
      </c>
      <c r="F522" s="42" t="s">
        <v>42</v>
      </c>
      <c r="G522" s="42" t="s">
        <v>42</v>
      </c>
      <c r="H522" s="43" t="s">
        <v>721</v>
      </c>
      <c r="I522" s="44" t="s">
        <v>44</v>
      </c>
      <c r="J522" s="42" t="s">
        <v>43</v>
      </c>
      <c r="K522" s="43" t="s">
        <v>47</v>
      </c>
      <c r="L522" s="42">
        <v>2</v>
      </c>
      <c r="M522" s="42">
        <v>1</v>
      </c>
      <c r="N522" s="43">
        <v>2</v>
      </c>
      <c r="O522" s="42">
        <v>4</v>
      </c>
      <c r="P522" s="42">
        <v>1</v>
      </c>
      <c r="Q522" s="43">
        <v>2</v>
      </c>
      <c r="R522" s="42">
        <v>4</v>
      </c>
      <c r="S522" s="42">
        <v>5</v>
      </c>
      <c r="T522" s="42">
        <v>1</v>
      </c>
      <c r="U522" s="42">
        <v>1</v>
      </c>
      <c r="V522" s="42">
        <v>2</v>
      </c>
      <c r="W522" s="42">
        <v>4</v>
      </c>
      <c r="X522" s="42" t="s">
        <v>45</v>
      </c>
      <c r="Y522" s="42" t="s">
        <v>45</v>
      </c>
      <c r="Z522" s="42" t="s">
        <v>45</v>
      </c>
      <c r="AA522" s="42" t="s">
        <v>45</v>
      </c>
      <c r="AB522" s="42" t="s">
        <v>45</v>
      </c>
      <c r="AC522" s="42" t="s">
        <v>45</v>
      </c>
      <c r="AD522" s="42">
        <v>3</v>
      </c>
      <c r="AE522" s="42">
        <v>5</v>
      </c>
      <c r="AF522" s="42">
        <v>3</v>
      </c>
      <c r="AG522" s="42">
        <v>5</v>
      </c>
      <c r="AH522" s="42" t="s">
        <v>45</v>
      </c>
      <c r="AI522" s="42" t="s">
        <v>45</v>
      </c>
      <c r="AJ522" s="42" t="s">
        <v>45</v>
      </c>
      <c r="AK522" s="42" t="s">
        <v>45</v>
      </c>
      <c r="AL522" s="42" t="s">
        <v>45</v>
      </c>
      <c r="AM522" s="42" t="s">
        <v>45</v>
      </c>
      <c r="AN522" s="42" t="s">
        <v>45</v>
      </c>
      <c r="AO522" s="43" t="s">
        <v>45</v>
      </c>
      <c r="AP522" s="42" t="s">
        <v>56</v>
      </c>
      <c r="AQ522" s="42">
        <v>6</v>
      </c>
      <c r="AR522" s="50" t="s">
        <v>14</v>
      </c>
      <c r="AS522" s="45" t="s">
        <v>45</v>
      </c>
      <c r="AT522" s="45" t="s">
        <v>705</v>
      </c>
      <c r="AU522" s="46">
        <f>($O$3*(L522-$O$1)/$O$2+$P$3*(M522-$P$1)/$P$2+$Q$3*(N522-$P$1)/$Q$2)/SUM($O$3:$Q$3)</f>
        <v>-2.2644723474043147</v>
      </c>
      <c r="AV522" s="46">
        <f>($O$3*(O522-$O$1)/$O$2+$P$3*(P522-$P$1)/$P$2+$Q$3*(Q522-$Q$1)/$Q$2)/SUM($O$3:$Q$3)</f>
        <v>-1.4295949476488956</v>
      </c>
      <c r="AW522" s="47">
        <f>COUNT(R522:AO522)/2</f>
        <v>5</v>
      </c>
      <c r="AX522" s="47">
        <f>IF(AND(S522&lt;&gt;"-",S522&gt;5),1,0)+IF(AND(U522&lt;&gt;"-",U522&gt;5),1,0)+IF(AND(W522&lt;&gt;"-",W522&gt;5),1,0)+IF(AND(Y522&lt;&gt;"-",Y522&gt;5),1,0)+IF(AND(AA522&lt;&gt;"-",AA522&gt;5),1,0)+IF(AND(AC522&lt;&gt;"-",AC522&gt;5),1,0)+IF(AND(AE522&lt;&gt;"-",AE522&gt;5),1,0)+IF(AND(AG522&lt;&gt;"-",AG522&gt;5),1,0)+IF(AND(AI522&lt;&gt;"-",AI522&gt;5),1,0)+IF(AND(AK522&lt;&gt;"-",AK522&gt;5),1,0)+IF(AND(AM522&lt;&gt;"-",AM522&gt;5),1,0)+IF(AND(AO522&lt;&gt;"-",AO522&gt;5),1,0)</f>
        <v>0</v>
      </c>
      <c r="AY522" s="48">
        <f>VLOOKUP(AP522,COND!$A$10:$B$32,2,FALSE)</f>
        <v>1</v>
      </c>
      <c r="AZ522" s="46">
        <f>($AU$3*AU522+$AV$3*AV522+$AW$3*AW522+$AX$3*AX522)*AY522*IF(AQ522&lt;5,0.95,IF(AQ522&lt;7,0.975,1))+$I$3*VLOOKUP(I522,COND!$A$2:$E$7,4,FALSE)+$J$3*VLOOKUP(J522,COND!$A$2:$E$7,2,FALSE)+$K$3*VLOOKUP(K522,COND!$A$2:$E$7,3,FALSE)+IF(BB522="SP",$BB$3,0)+IF($AW522&lt;3,-5,0)+IF(AND($B$2&gt;0,$E522&lt;20),$B$2*25,0)</f>
        <v>21.268826413102694</v>
      </c>
      <c r="BA522" s="49">
        <f>STANDARDIZE(AZ522,AVERAGE($AZ$5:$AZ$570),STDEVP($AZ$5:$AZ$570))</f>
        <v>-1.0503279742008131</v>
      </c>
      <c r="BB522" s="47" t="str">
        <f>IF(OR(AND(AQ522&gt;7,AX522&gt;1),AND(AQ522&gt;4,AW522&gt;2)),"SP","RP")</f>
        <v>SP</v>
      </c>
      <c r="BC522" s="47"/>
      <c r="BD522" s="47"/>
      <c r="BE522" s="47"/>
      <c r="BF522" s="47" t="str">
        <f>IF(AVERAGE($O522:$Q522)&gt;=6,"Likely",IF(AVERAGE($O522:$Q522)&gt;=4,"Possible","Unlikely"))</f>
        <v>Unlikely</v>
      </c>
      <c r="BG522" s="47"/>
      <c r="BH522" s="47" t="str">
        <f>INDEX(Table5[[#All],[Ovr]],MATCH(Table3[[#This Row],[PID]],Table5[[#All],[PID]],0))</f>
        <v/>
      </c>
      <c r="BI522" s="47" t="str">
        <f>INDEX(Table5[[#All],[Rnd]],MATCH(Table3[[#This Row],[PID]],Table5[[#All],[PID]],0))</f>
        <v/>
      </c>
      <c r="BJ522" s="47" t="str">
        <f>INDEX(Table5[[#All],[Pick]],MATCH(Table3[[#This Row],[PID]],Table5[[#All],[PID]],0))</f>
        <v/>
      </c>
      <c r="BK522" s="47" t="str">
        <f>INDEX(Table5[[#All],[Team]],MATCH(Table3[[#This Row],[PID]],Table5[[#All],[PID]],0))</f>
        <v/>
      </c>
      <c r="BL5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3" spans="1:64" ht="15" customHeight="1" x14ac:dyDescent="0.25">
      <c r="A523" s="42">
        <v>8015</v>
      </c>
      <c r="B523" s="42" t="s">
        <v>430</v>
      </c>
      <c r="C523" s="42" t="s">
        <v>163</v>
      </c>
      <c r="D523" s="42" t="s">
        <v>1801</v>
      </c>
      <c r="E523" s="42">
        <v>18</v>
      </c>
      <c r="F523" s="42" t="s">
        <v>42</v>
      </c>
      <c r="G523" s="42" t="s">
        <v>42</v>
      </c>
      <c r="H523" s="43" t="s">
        <v>721</v>
      </c>
      <c r="I523" s="44" t="s">
        <v>43</v>
      </c>
      <c r="J523" s="42" t="s">
        <v>44</v>
      </c>
      <c r="K523" s="43" t="s">
        <v>43</v>
      </c>
      <c r="L523" s="42">
        <v>1</v>
      </c>
      <c r="M523" s="42">
        <v>1</v>
      </c>
      <c r="N523" s="43">
        <v>1</v>
      </c>
      <c r="O523" s="42">
        <v>2</v>
      </c>
      <c r="P523" s="42">
        <v>2</v>
      </c>
      <c r="Q523" s="43">
        <v>2</v>
      </c>
      <c r="R523" s="42">
        <v>1</v>
      </c>
      <c r="S523" s="42">
        <v>2</v>
      </c>
      <c r="T523" s="42">
        <v>1</v>
      </c>
      <c r="U523" s="42">
        <v>3</v>
      </c>
      <c r="V523" s="42">
        <v>1</v>
      </c>
      <c r="W523" s="42">
        <v>4</v>
      </c>
      <c r="X523" s="42" t="s">
        <v>45</v>
      </c>
      <c r="Y523" s="42" t="s">
        <v>45</v>
      </c>
      <c r="Z523" s="42" t="s">
        <v>45</v>
      </c>
      <c r="AA523" s="42" t="s">
        <v>45</v>
      </c>
      <c r="AB523" s="42" t="s">
        <v>45</v>
      </c>
      <c r="AC523" s="42" t="s">
        <v>45</v>
      </c>
      <c r="AD523" s="42" t="s">
        <v>45</v>
      </c>
      <c r="AE523" s="42" t="s">
        <v>45</v>
      </c>
      <c r="AF523" s="42" t="s">
        <v>45</v>
      </c>
      <c r="AG523" s="42" t="s">
        <v>45</v>
      </c>
      <c r="AH523" s="42" t="s">
        <v>45</v>
      </c>
      <c r="AI523" s="42" t="s">
        <v>45</v>
      </c>
      <c r="AJ523" s="42" t="s">
        <v>45</v>
      </c>
      <c r="AK523" s="42" t="s">
        <v>45</v>
      </c>
      <c r="AL523" s="42" t="s">
        <v>45</v>
      </c>
      <c r="AM523" s="42" t="s">
        <v>45</v>
      </c>
      <c r="AN523" s="42" t="s">
        <v>45</v>
      </c>
      <c r="AO523" s="43" t="s">
        <v>45</v>
      </c>
      <c r="AP523" s="42" t="s">
        <v>70</v>
      </c>
      <c r="AQ523" s="42">
        <v>8</v>
      </c>
      <c r="AR523" s="50" t="s">
        <v>14</v>
      </c>
      <c r="AS523" s="45" t="s">
        <v>718</v>
      </c>
      <c r="AT523" s="45" t="s">
        <v>47</v>
      </c>
      <c r="AU523" s="46">
        <f>($O$3*(L523-$O$1)/$O$2+$P$3*(M523-$P$1)/$P$2+$Q$3*(N523-$P$1)/$Q$2)/SUM($O$3:$Q$3)</f>
        <v>-2.7014842379675978</v>
      </c>
      <c r="AV523" s="46">
        <f>($O$3*(O523-$O$1)/$O$2+$P$3*(P523-$P$1)/$P$2+$Q$3*(Q523-$Q$1)/$Q$2)/SUM($O$3:$Q$3)</f>
        <v>-1.6235458802371869</v>
      </c>
      <c r="AW523" s="47">
        <f>COUNT(R523:AO523)/2</f>
        <v>3</v>
      </c>
      <c r="AX523" s="47">
        <f>IF(AND(S523&lt;&gt;"-",S523&gt;5),1,0)+IF(AND(U523&lt;&gt;"-",U523&gt;5),1,0)+IF(AND(W523&lt;&gt;"-",W523&gt;5),1,0)+IF(AND(Y523&lt;&gt;"-",Y523&gt;5),1,0)+IF(AND(AA523&lt;&gt;"-",AA523&gt;5),1,0)+IF(AND(AC523&lt;&gt;"-",AC523&gt;5),1,0)+IF(AND(AE523&lt;&gt;"-",AE523&gt;5),1,0)+IF(AND(AG523&lt;&gt;"-",AG523&gt;5),1,0)+IF(AND(AI523&lt;&gt;"-",AI523&gt;5),1,0)+IF(AND(AK523&lt;&gt;"-",AK523&gt;5),1,0)+IF(AND(AM523&lt;&gt;"-",AM523&gt;5),1,0)+IF(AND(AO523&lt;&gt;"-",AO523&gt;5),1,0)</f>
        <v>0</v>
      </c>
      <c r="AY523" s="48">
        <f>VLOOKUP(AP523,COND!$A$10:$B$32,2,FALSE)</f>
        <v>0.9</v>
      </c>
      <c r="AZ523" s="46">
        <f>($AU$3*AU523+$AV$3*AV523+$AW$3*AW523+$AX$3*AX523)*AY523*IF(AQ523&lt;5,0.95,IF(AQ523&lt;7,0.975,1))+$I$3*VLOOKUP(I523,COND!$A$2:$E$7,4,FALSE)+$J$3*VLOOKUP(J523,COND!$A$2:$E$7,2,FALSE)+$K$3*VLOOKUP(K523,COND!$A$2:$E$7,3,FALSE)+IF(BB523="SP",$BB$3,0)+IF($AW523&lt;3,-5,0)+IF(AND($B$2&gt;0,$E523&lt;20),$B$2*25,0)</f>
        <v>23.339906992896466</v>
      </c>
      <c r="BA523" s="49">
        <f>STANDARDIZE(AZ523,AVERAGE($AZ$5:$AZ$676),STDEVP($AZ$5:$AZ$676))</f>
        <v>-0.61834815871133042</v>
      </c>
      <c r="BB523" s="47" t="str">
        <f>IF(OR(AND(AQ523&gt;7,AX523&gt;1),AND(AQ523&gt;4,AW523&gt;2)),"SP","RP")</f>
        <v>SP</v>
      </c>
      <c r="BC523" s="47"/>
      <c r="BD523" s="47"/>
      <c r="BE523" s="47"/>
      <c r="BF523" s="47" t="str">
        <f>IF(AVERAGE($O523:$Q523)&gt;=6,"Likely",IF(AVERAGE($O523:$Q523)&gt;=4,"Possible","Unlikely"))</f>
        <v>Unlikely</v>
      </c>
      <c r="BG523" s="47"/>
      <c r="BH523" s="47" t="str">
        <f>INDEX(Table5[[#All],[Ovr]],MATCH(Table3[[#This Row],[PID]],Table5[[#All],[PID]],0))</f>
        <v/>
      </c>
      <c r="BI523" s="47" t="str">
        <f>INDEX(Table5[[#All],[Rnd]],MATCH(Table3[[#This Row],[PID]],Table5[[#All],[PID]],0))</f>
        <v/>
      </c>
      <c r="BJ523" s="47" t="str">
        <f>INDEX(Table5[[#All],[Pick]],MATCH(Table3[[#This Row],[PID]],Table5[[#All],[PID]],0))</f>
        <v/>
      </c>
      <c r="BK523" s="47" t="str">
        <f>INDEX(Table5[[#All],[Team]],MATCH(Table3[[#This Row],[PID]],Table5[[#All],[PID]],0))</f>
        <v/>
      </c>
      <c r="BL5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4" spans="1:64" ht="15" customHeight="1" x14ac:dyDescent="0.25">
      <c r="A524" s="42">
        <v>7815</v>
      </c>
      <c r="B524" s="42" t="s">
        <v>430</v>
      </c>
      <c r="C524" s="42" t="s">
        <v>794</v>
      </c>
      <c r="D524" s="42" t="s">
        <v>1799</v>
      </c>
      <c r="E524" s="42">
        <v>18</v>
      </c>
      <c r="F524" s="42" t="s">
        <v>53</v>
      </c>
      <c r="G524" s="42" t="s">
        <v>42</v>
      </c>
      <c r="H524" s="43" t="s">
        <v>721</v>
      </c>
      <c r="I524" s="44" t="s">
        <v>43</v>
      </c>
      <c r="J524" s="42" t="s">
        <v>44</v>
      </c>
      <c r="K524" s="43" t="s">
        <v>43</v>
      </c>
      <c r="L524" s="42">
        <v>1</v>
      </c>
      <c r="M524" s="42">
        <v>1</v>
      </c>
      <c r="N524" s="43">
        <v>1</v>
      </c>
      <c r="O524" s="42">
        <v>3</v>
      </c>
      <c r="P524" s="42">
        <v>1</v>
      </c>
      <c r="Q524" s="43">
        <v>2</v>
      </c>
      <c r="R524" s="42">
        <v>2</v>
      </c>
      <c r="S524" s="42">
        <v>4</v>
      </c>
      <c r="T524" s="42">
        <v>1</v>
      </c>
      <c r="U524" s="42">
        <v>1</v>
      </c>
      <c r="V524" s="42">
        <v>1</v>
      </c>
      <c r="W524" s="42">
        <v>4</v>
      </c>
      <c r="X524" s="42" t="s">
        <v>45</v>
      </c>
      <c r="Y524" s="42" t="s">
        <v>45</v>
      </c>
      <c r="Z524" s="42" t="s">
        <v>45</v>
      </c>
      <c r="AA524" s="42" t="s">
        <v>45</v>
      </c>
      <c r="AB524" s="42" t="s">
        <v>45</v>
      </c>
      <c r="AC524" s="42" t="s">
        <v>45</v>
      </c>
      <c r="AD524" s="42" t="s">
        <v>45</v>
      </c>
      <c r="AE524" s="42" t="s">
        <v>45</v>
      </c>
      <c r="AF524" s="42" t="s">
        <v>45</v>
      </c>
      <c r="AG524" s="42" t="s">
        <v>45</v>
      </c>
      <c r="AH524" s="42" t="s">
        <v>45</v>
      </c>
      <c r="AI524" s="42" t="s">
        <v>45</v>
      </c>
      <c r="AJ524" s="42" t="s">
        <v>45</v>
      </c>
      <c r="AK524" s="42" t="s">
        <v>45</v>
      </c>
      <c r="AL524" s="42" t="s">
        <v>45</v>
      </c>
      <c r="AM524" s="42" t="s">
        <v>45</v>
      </c>
      <c r="AN524" s="42" t="s">
        <v>45</v>
      </c>
      <c r="AO524" s="43" t="s">
        <v>45</v>
      </c>
      <c r="AP524" s="42" t="s">
        <v>67</v>
      </c>
      <c r="AQ524" s="42">
        <v>8</v>
      </c>
      <c r="AR524" s="50" t="s">
        <v>14</v>
      </c>
      <c r="AS524" s="45" t="s">
        <v>718</v>
      </c>
      <c r="AT524" s="45" t="s">
        <v>47</v>
      </c>
      <c r="AU524" s="46">
        <f>($O$3*(L524-$O$1)/$O$2+$P$3*(M524-$P$1)/$P$2+$Q$3*(N524-$P$1)/$Q$2)/SUM($O$3:$Q$3)</f>
        <v>-2.7014842379675978</v>
      </c>
      <c r="AV524" s="46">
        <f>($O$3*(O524-$O$1)/$O$2+$P$3*(P524-$P$1)/$P$2+$Q$3*(Q524-$Q$1)/$Q$2)/SUM($O$3:$Q$3)</f>
        <v>-1.6242862721580691</v>
      </c>
      <c r="AW524" s="47">
        <f>COUNT(R524:AO524)/2</f>
        <v>3</v>
      </c>
      <c r="AX524" s="47">
        <f>IF(AND(S524&lt;&gt;"-",S524&gt;5),1,0)+IF(AND(U524&lt;&gt;"-",U524&gt;5),1,0)+IF(AND(W524&lt;&gt;"-",W524&gt;5),1,0)+IF(AND(Y524&lt;&gt;"-",Y524&gt;5),1,0)+IF(AND(AA524&lt;&gt;"-",AA524&gt;5),1,0)+IF(AND(AC524&lt;&gt;"-",AC524&gt;5),1,0)+IF(AND(AE524&lt;&gt;"-",AE524&gt;5),1,0)+IF(AND(AG524&lt;&gt;"-",AG524&gt;5),1,0)+IF(AND(AI524&lt;&gt;"-",AI524&gt;5),1,0)+IF(AND(AK524&lt;&gt;"-",AK524&gt;5),1,0)+IF(AND(AM524&lt;&gt;"-",AM524&gt;5),1,0)+IF(AND(AO524&lt;&gt;"-",AO524&gt;5),1,0)</f>
        <v>0</v>
      </c>
      <c r="AY524" s="48">
        <f>VLOOKUP(AP524,COND!$A$10:$B$32,2,FALSE)</f>
        <v>0.9</v>
      </c>
      <c r="AZ524" s="46">
        <f>($AU$3*AU524+$AV$3*AV524+$AW$3*AW524+$AX$3*AX524)*AY524*IF(AQ524&lt;5,0.95,IF(AQ524&lt;7,0.975,1))+$I$3*VLOOKUP(I524,COND!$A$2:$E$7,4,FALSE)+$J$3*VLOOKUP(J524,COND!$A$2:$E$7,2,FALSE)+$K$3*VLOOKUP(K524,COND!$A$2:$E$7,3,FALSE)+IF(BB524="SP",$BB$3,0)+IF($AW524&lt;3,-5,0)+IF(AND($B$2&gt;0,$E524&lt;20),$B$2*25,0)</f>
        <v>23.326579938320588</v>
      </c>
      <c r="BA524" s="49">
        <f>STANDARDIZE(AZ524,AVERAGE($AZ$5:$AZ$676),STDEVP($AZ$5:$AZ$676))</f>
        <v>-0.61951617644705259</v>
      </c>
      <c r="BB524" s="47" t="str">
        <f>IF(OR(AND(AQ524&gt;7,AX524&gt;1),AND(AQ524&gt;4,AW524&gt;2)),"SP","RP")</f>
        <v>SP</v>
      </c>
      <c r="BC524" s="47"/>
      <c r="BD524" s="47"/>
      <c r="BE524" s="47"/>
      <c r="BF524" s="47" t="str">
        <f>IF(AVERAGE($O524:$Q524)&gt;=6,"Likely",IF(AVERAGE($O524:$Q524)&gt;=4,"Possible","Unlikely"))</f>
        <v>Unlikely</v>
      </c>
      <c r="BG524" s="47"/>
      <c r="BH524" s="47" t="str">
        <f>INDEX(Table5[[#All],[Ovr]],MATCH(Table3[[#This Row],[PID]],Table5[[#All],[PID]],0))</f>
        <v/>
      </c>
      <c r="BI524" s="47" t="str">
        <f>INDEX(Table5[[#All],[Rnd]],MATCH(Table3[[#This Row],[PID]],Table5[[#All],[PID]],0))</f>
        <v/>
      </c>
      <c r="BJ524" s="47" t="str">
        <f>INDEX(Table5[[#All],[Pick]],MATCH(Table3[[#This Row],[PID]],Table5[[#All],[PID]],0))</f>
        <v/>
      </c>
      <c r="BK524" s="47" t="str">
        <f>INDEX(Table5[[#All],[Team]],MATCH(Table3[[#This Row],[PID]],Table5[[#All],[PID]],0))</f>
        <v/>
      </c>
      <c r="BL5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5" spans="1:64" ht="15" customHeight="1" x14ac:dyDescent="0.25">
      <c r="A525" s="42">
        <v>5564</v>
      </c>
      <c r="B525" s="42" t="s">
        <v>430</v>
      </c>
      <c r="C525" s="42" t="s">
        <v>1764</v>
      </c>
      <c r="D525" s="42" t="s">
        <v>201</v>
      </c>
      <c r="E525" s="42">
        <v>21</v>
      </c>
      <c r="F525" s="42" t="s">
        <v>42</v>
      </c>
      <c r="G525" s="42" t="s">
        <v>42</v>
      </c>
      <c r="H525" s="43" t="s">
        <v>721</v>
      </c>
      <c r="I525" s="44" t="s">
        <v>43</v>
      </c>
      <c r="J525" s="42" t="s">
        <v>44</v>
      </c>
      <c r="K525" s="43" t="s">
        <v>43</v>
      </c>
      <c r="L525" s="42">
        <v>1</v>
      </c>
      <c r="M525" s="42">
        <v>1</v>
      </c>
      <c r="N525" s="43">
        <v>1</v>
      </c>
      <c r="O525" s="42">
        <v>3</v>
      </c>
      <c r="P525" s="42">
        <v>1</v>
      </c>
      <c r="Q525" s="43">
        <v>3</v>
      </c>
      <c r="R525" s="42">
        <v>2</v>
      </c>
      <c r="S525" s="42">
        <v>4</v>
      </c>
      <c r="T525" s="42">
        <v>1</v>
      </c>
      <c r="U525" s="42">
        <v>1</v>
      </c>
      <c r="V525" s="42" t="s">
        <v>45</v>
      </c>
      <c r="W525" s="42" t="s">
        <v>45</v>
      </c>
      <c r="X525" s="42" t="s">
        <v>45</v>
      </c>
      <c r="Y525" s="42" t="s">
        <v>45</v>
      </c>
      <c r="Z525" s="42" t="s">
        <v>45</v>
      </c>
      <c r="AA525" s="42" t="s">
        <v>45</v>
      </c>
      <c r="AB525" s="42" t="s">
        <v>45</v>
      </c>
      <c r="AC525" s="42" t="s">
        <v>45</v>
      </c>
      <c r="AD525" s="42" t="s">
        <v>45</v>
      </c>
      <c r="AE525" s="42" t="s">
        <v>45</v>
      </c>
      <c r="AF525" s="42" t="s">
        <v>45</v>
      </c>
      <c r="AG525" s="42" t="s">
        <v>45</v>
      </c>
      <c r="AH525" s="42" t="s">
        <v>45</v>
      </c>
      <c r="AI525" s="42" t="s">
        <v>45</v>
      </c>
      <c r="AJ525" s="42" t="s">
        <v>45</v>
      </c>
      <c r="AK525" s="42" t="s">
        <v>45</v>
      </c>
      <c r="AL525" s="42">
        <v>2</v>
      </c>
      <c r="AM525" s="42">
        <v>5</v>
      </c>
      <c r="AN525" s="42" t="s">
        <v>45</v>
      </c>
      <c r="AO525" s="43" t="s">
        <v>45</v>
      </c>
      <c r="AP525" s="42" t="s">
        <v>67</v>
      </c>
      <c r="AQ525" s="42">
        <v>5</v>
      </c>
      <c r="AR525" s="50" t="s">
        <v>14</v>
      </c>
      <c r="AS525" s="45" t="s">
        <v>45</v>
      </c>
      <c r="AT525" s="45" t="s">
        <v>705</v>
      </c>
      <c r="AU525" s="46">
        <f>($O$3*(L525-$O$1)/$O$2+$P$3*(M525-$P$1)/$P$2+$Q$3*(N525-$P$1)/$Q$2)/SUM($O$3:$Q$3)</f>
        <v>-2.7014842379675978</v>
      </c>
      <c r="AV525" s="46">
        <f>($O$3*(O525-$O$1)/$O$2+$P$3*(P525-$P$1)/$P$2+$Q$3*(Q525-$Q$1)/$Q$2)/SUM($O$3:$Q$3)</f>
        <v>-1.3819657061039585</v>
      </c>
      <c r="AW525" s="47">
        <f>COUNT(R525:AO525)/2</f>
        <v>3</v>
      </c>
      <c r="AX525" s="47">
        <f>IF(AND(S525&lt;&gt;"-",S525&gt;5),1,0)+IF(AND(U525&lt;&gt;"-",U525&gt;5),1,0)+IF(AND(W525&lt;&gt;"-",W525&gt;5),1,0)+IF(AND(Y525&lt;&gt;"-",Y525&gt;5),1,0)+IF(AND(AA525&lt;&gt;"-",AA525&gt;5),1,0)+IF(AND(AC525&lt;&gt;"-",AC525&gt;5),1,0)+IF(AND(AE525&lt;&gt;"-",AE525&gt;5),1,0)+IF(AND(AG525&lt;&gt;"-",AG525&gt;5),1,0)+IF(AND(AI525&lt;&gt;"-",AI525&gt;5),1,0)+IF(AND(AK525&lt;&gt;"-",AK525&gt;5),1,0)+IF(AND(AM525&lt;&gt;"-",AM525&gt;5),1,0)+IF(AND(AO525&lt;&gt;"-",AO525&gt;5),1,0)</f>
        <v>0</v>
      </c>
      <c r="AY525" s="48">
        <f>VLOOKUP(AP525,COND!$A$10:$B$32,2,FALSE)</f>
        <v>0.9</v>
      </c>
      <c r="AZ525" s="46">
        <f>($AU$3*AU525+$AV$3*AV525+$AW$3*AW525+$AX$3*AX525)*AY525*IF(AQ525&lt;5,0.95,IF(AQ525&lt;7,0.975,1))+$I$3*VLOOKUP(I525,COND!$A$2:$E$7,4,FALSE)+$J$3*VLOOKUP(J525,COND!$A$2:$E$7,2,FALSE)+$K$3*VLOOKUP(K525,COND!$A$2:$E$7,3,FALSE)+IF(BB525="SP",$BB$3,0)+IF($AW525&lt;3,-5,0)+IF(AND($B$2&gt;0,$E525&lt;20),$B$2*25,0)</f>
        <v>23.288641374112213</v>
      </c>
      <c r="BA525" s="49">
        <f>STANDARDIZE(AZ525,AVERAGE($AZ$5:$AZ$676),STDEVP($AZ$5:$AZ$676))</f>
        <v>-0.62284121091816658</v>
      </c>
      <c r="BB525" s="47" t="str">
        <f>IF(OR(AND(AQ525&gt;7,AX525&gt;1),AND(AQ525&gt;4,AW525&gt;2)),"SP","RP")</f>
        <v>SP</v>
      </c>
      <c r="BC525" s="47"/>
      <c r="BD525" s="47"/>
      <c r="BE525" s="47"/>
      <c r="BF525" s="47" t="str">
        <f>IF(AVERAGE($O525:$Q525)&gt;=6,"Likely",IF(AVERAGE($O525:$Q525)&gt;=4,"Possible","Unlikely"))</f>
        <v>Unlikely</v>
      </c>
      <c r="BG525" s="47"/>
      <c r="BH525" s="47" t="str">
        <f>INDEX(Table5[[#All],[Ovr]],MATCH(Table3[[#This Row],[PID]],Table5[[#All],[PID]],0))</f>
        <v/>
      </c>
      <c r="BI525" s="47" t="str">
        <f>INDEX(Table5[[#All],[Rnd]],MATCH(Table3[[#This Row],[PID]],Table5[[#All],[PID]],0))</f>
        <v/>
      </c>
      <c r="BJ525" s="47" t="str">
        <f>INDEX(Table5[[#All],[Pick]],MATCH(Table3[[#This Row],[PID]],Table5[[#All],[PID]],0))</f>
        <v/>
      </c>
      <c r="BK525" s="47" t="str">
        <f>INDEX(Table5[[#All],[Team]],MATCH(Table3[[#This Row],[PID]],Table5[[#All],[PID]],0))</f>
        <v/>
      </c>
      <c r="BL5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6" spans="1:64" ht="15" customHeight="1" x14ac:dyDescent="0.25">
      <c r="A526" s="42">
        <v>6416</v>
      </c>
      <c r="B526" s="42" t="s">
        <v>430</v>
      </c>
      <c r="C526" s="42" t="s">
        <v>179</v>
      </c>
      <c r="D526" s="42" t="s">
        <v>991</v>
      </c>
      <c r="E526" s="42">
        <v>22</v>
      </c>
      <c r="F526" s="42" t="s">
        <v>53</v>
      </c>
      <c r="G526" s="42" t="s">
        <v>53</v>
      </c>
      <c r="H526" s="43" t="s">
        <v>721</v>
      </c>
      <c r="I526" s="44" t="s">
        <v>43</v>
      </c>
      <c r="J526" s="42" t="s">
        <v>47</v>
      </c>
      <c r="K526" s="43" t="s">
        <v>43</v>
      </c>
      <c r="L526" s="42">
        <v>4</v>
      </c>
      <c r="M526" s="42">
        <v>1</v>
      </c>
      <c r="N526" s="43">
        <v>2</v>
      </c>
      <c r="O526" s="42">
        <v>4</v>
      </c>
      <c r="P526" s="42">
        <v>1</v>
      </c>
      <c r="Q526" s="43">
        <v>2</v>
      </c>
      <c r="R526" s="42">
        <v>4</v>
      </c>
      <c r="S526" s="42">
        <v>4</v>
      </c>
      <c r="T526" s="42">
        <v>6</v>
      </c>
      <c r="U526" s="42">
        <v>6</v>
      </c>
      <c r="V526" s="42" t="s">
        <v>45</v>
      </c>
      <c r="W526" s="42" t="s">
        <v>45</v>
      </c>
      <c r="X526" s="42">
        <v>4</v>
      </c>
      <c r="Y526" s="42">
        <v>5</v>
      </c>
      <c r="Z526" s="42" t="s">
        <v>45</v>
      </c>
      <c r="AA526" s="42" t="s">
        <v>45</v>
      </c>
      <c r="AB526" s="42" t="s">
        <v>45</v>
      </c>
      <c r="AC526" s="42" t="s">
        <v>45</v>
      </c>
      <c r="AD526" s="42" t="s">
        <v>45</v>
      </c>
      <c r="AE526" s="42" t="s">
        <v>45</v>
      </c>
      <c r="AF526" s="42" t="s">
        <v>45</v>
      </c>
      <c r="AG526" s="42" t="s">
        <v>45</v>
      </c>
      <c r="AH526" s="42" t="s">
        <v>45</v>
      </c>
      <c r="AI526" s="42" t="s">
        <v>45</v>
      </c>
      <c r="AJ526" s="42" t="s">
        <v>45</v>
      </c>
      <c r="AK526" s="42" t="s">
        <v>45</v>
      </c>
      <c r="AL526" s="42" t="s">
        <v>45</v>
      </c>
      <c r="AM526" s="42" t="s">
        <v>45</v>
      </c>
      <c r="AN526" s="42" t="s">
        <v>45</v>
      </c>
      <c r="AO526" s="43" t="s">
        <v>45</v>
      </c>
      <c r="AP526" s="42" t="s">
        <v>64</v>
      </c>
      <c r="AQ526" s="42">
        <v>7</v>
      </c>
      <c r="AR526" s="50" t="s">
        <v>357</v>
      </c>
      <c r="AS526" s="45" t="s">
        <v>45</v>
      </c>
      <c r="AT526" s="45" t="s">
        <v>47</v>
      </c>
      <c r="AU526" s="46">
        <f>($O$3*(L526-$O$1)/$O$2+$P$3*(M526-$P$1)/$P$2+$Q$3*(N526-$P$1)/$Q$2)/SUM($O$3:$Q$3)</f>
        <v>-1.8750896983859671</v>
      </c>
      <c r="AV526" s="46">
        <f>($O$3*(O526-$O$1)/$O$2+$P$3*(P526-$P$1)/$P$2+$Q$3*(Q526-$Q$1)/$Q$2)/SUM($O$3:$Q$3)</f>
        <v>-1.4295949476488956</v>
      </c>
      <c r="AW526" s="47">
        <f>COUNT(R526:AO526)/2</f>
        <v>3</v>
      </c>
      <c r="AX526" s="47">
        <f>IF(AND(S526&lt;&gt;"-",S526&gt;5),1,0)+IF(AND(U526&lt;&gt;"-",U526&gt;5),1,0)+IF(AND(W526&lt;&gt;"-",W526&gt;5),1,0)+IF(AND(Y526&lt;&gt;"-",Y526&gt;5),1,0)+IF(AND(AA526&lt;&gt;"-",AA526&gt;5),1,0)+IF(AND(AC526&lt;&gt;"-",AC526&gt;5),1,0)+IF(AND(AE526&lt;&gt;"-",AE526&gt;5),1,0)+IF(AND(AG526&lt;&gt;"-",AG526&gt;5),1,0)+IF(AND(AI526&lt;&gt;"-",AI526&gt;5),1,0)+IF(AND(AK526&lt;&gt;"-",AK526&gt;5),1,0)+IF(AND(AM526&lt;&gt;"-",AM526&gt;5),1,0)+IF(AND(AO526&lt;&gt;"-",AO526&gt;5),1,0)</f>
        <v>1</v>
      </c>
      <c r="AY526" s="48">
        <f>VLOOKUP(AP526,COND!$A$10:$B$32,2,FALSE)</f>
        <v>1</v>
      </c>
      <c r="AZ526" s="46">
        <f>($AU$3*AU526+$AV$3*AV526+$AW$3*AW526+$AX$3*AX526)*AY526*IF(AQ526&lt;5,0.95,IF(AQ526&lt;7,0.975,1))+$I$3*VLOOKUP(I526,COND!$A$2:$E$7,4,FALSE)+$J$3*VLOOKUP(J526,COND!$A$2:$E$7,2,FALSE)+$K$3*VLOOKUP(K526,COND!$A$2:$E$7,3,FALSE)+IF(BB526="SP",$BB$3,0)+IF($AW526&lt;3,-5,0)+IF(AND($B$2&gt;0,$E526&lt;20),$B$2*25,0)</f>
        <v>21.083083107344894</v>
      </c>
      <c r="BA526" s="49">
        <f>STANDARDIZE(AZ526,AVERAGE($AZ$5:$AZ$570),STDEVP($AZ$5:$AZ$570))</f>
        <v>-1.0673614292223772</v>
      </c>
      <c r="BB526" s="47" t="str">
        <f>IF(OR(AND(AQ526&gt;7,AX526&gt;1),AND(AQ526&gt;4,AW526&gt;2)),"SP","RP")</f>
        <v>SP</v>
      </c>
      <c r="BC526" s="47"/>
      <c r="BD526" s="47"/>
      <c r="BE526" s="47"/>
      <c r="BF526" s="47" t="str">
        <f>IF(AVERAGE($O526:$Q526)&gt;=6,"Likely",IF(AVERAGE($O526:$Q526)&gt;=4,"Possible","Unlikely"))</f>
        <v>Unlikely</v>
      </c>
      <c r="BG526" s="47"/>
      <c r="BH526" s="47" t="str">
        <f>INDEX(Table5[[#All],[Ovr]],MATCH(Table3[[#This Row],[PID]],Table5[[#All],[PID]],0))</f>
        <v/>
      </c>
      <c r="BI526" s="47" t="str">
        <f>INDEX(Table5[[#All],[Rnd]],MATCH(Table3[[#This Row],[PID]],Table5[[#All],[PID]],0))</f>
        <v/>
      </c>
      <c r="BJ526" s="47" t="str">
        <f>INDEX(Table5[[#All],[Pick]],MATCH(Table3[[#This Row],[PID]],Table5[[#All],[PID]],0))</f>
        <v/>
      </c>
      <c r="BK526" s="47" t="str">
        <f>INDEX(Table5[[#All],[Team]],MATCH(Table3[[#This Row],[PID]],Table5[[#All],[PID]],0))</f>
        <v/>
      </c>
      <c r="BL5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7" spans="1:64" ht="15" customHeight="1" x14ac:dyDescent="0.25">
      <c r="A527" s="42">
        <v>9388</v>
      </c>
      <c r="B527" s="42" t="s">
        <v>430</v>
      </c>
      <c r="C527" s="42" t="s">
        <v>1730</v>
      </c>
      <c r="D527" s="42" t="s">
        <v>299</v>
      </c>
      <c r="E527" s="42">
        <v>21</v>
      </c>
      <c r="F527" s="42" t="s">
        <v>53</v>
      </c>
      <c r="G527" s="42" t="s">
        <v>53</v>
      </c>
      <c r="H527" s="43" t="s">
        <v>721</v>
      </c>
      <c r="I527" s="44" t="s">
        <v>43</v>
      </c>
      <c r="J527" s="42" t="s">
        <v>43</v>
      </c>
      <c r="K527" s="43" t="s">
        <v>47</v>
      </c>
      <c r="L527" s="42">
        <v>3</v>
      </c>
      <c r="M527" s="42">
        <v>1</v>
      </c>
      <c r="N527" s="43">
        <v>1</v>
      </c>
      <c r="O527" s="42">
        <v>4</v>
      </c>
      <c r="P527" s="42">
        <v>1</v>
      </c>
      <c r="Q527" s="43">
        <v>2</v>
      </c>
      <c r="R527" s="42">
        <v>4</v>
      </c>
      <c r="S527" s="42">
        <v>5</v>
      </c>
      <c r="T527" s="42">
        <v>1</v>
      </c>
      <c r="U527" s="42">
        <v>1</v>
      </c>
      <c r="V527" s="42">
        <v>3</v>
      </c>
      <c r="W527" s="42">
        <v>6</v>
      </c>
      <c r="X527" s="42" t="s">
        <v>45</v>
      </c>
      <c r="Y527" s="42" t="s">
        <v>45</v>
      </c>
      <c r="Z527" s="42" t="s">
        <v>45</v>
      </c>
      <c r="AA527" s="42" t="s">
        <v>45</v>
      </c>
      <c r="AB527" s="42" t="s">
        <v>45</v>
      </c>
      <c r="AC527" s="42" t="s">
        <v>45</v>
      </c>
      <c r="AD527" s="42" t="s">
        <v>45</v>
      </c>
      <c r="AE527" s="42" t="s">
        <v>45</v>
      </c>
      <c r="AF527" s="42" t="s">
        <v>45</v>
      </c>
      <c r="AG527" s="42" t="s">
        <v>45</v>
      </c>
      <c r="AH527" s="42" t="s">
        <v>45</v>
      </c>
      <c r="AI527" s="42" t="s">
        <v>45</v>
      </c>
      <c r="AJ527" s="42" t="s">
        <v>45</v>
      </c>
      <c r="AK527" s="42" t="s">
        <v>45</v>
      </c>
      <c r="AL527" s="42" t="s">
        <v>45</v>
      </c>
      <c r="AM527" s="42" t="s">
        <v>45</v>
      </c>
      <c r="AN527" s="42" t="s">
        <v>45</v>
      </c>
      <c r="AO527" s="43" t="s">
        <v>45</v>
      </c>
      <c r="AP527" s="42" t="s">
        <v>57</v>
      </c>
      <c r="AQ527" s="42">
        <v>7</v>
      </c>
      <c r="AR527" s="50" t="s">
        <v>357</v>
      </c>
      <c r="AS527" s="45" t="s">
        <v>717</v>
      </c>
      <c r="AT527" s="45" t="s">
        <v>47</v>
      </c>
      <c r="AU527" s="46">
        <f>($O$3*(L527-$O$1)/$O$2+$P$3*(M527-$P$1)/$P$2+$Q$3*(N527-$P$1)/$Q$2)/SUM($O$3:$Q$3)</f>
        <v>-2.3121015889492513</v>
      </c>
      <c r="AV527" s="46">
        <f>($O$3*(O527-$O$1)/$O$2+$P$3*(P527-$P$1)/$P$2+$Q$3*(Q527-$Q$1)/$Q$2)/SUM($O$3:$Q$3)</f>
        <v>-1.4295949476488956</v>
      </c>
      <c r="AW527" s="47">
        <f>COUNT(R527:AO527)/2</f>
        <v>3</v>
      </c>
      <c r="AX527" s="47">
        <f>IF(AND(S527&lt;&gt;"-",S527&gt;5),1,0)+IF(AND(U527&lt;&gt;"-",U527&gt;5),1,0)+IF(AND(W527&lt;&gt;"-",W527&gt;5),1,0)+IF(AND(Y527&lt;&gt;"-",Y527&gt;5),1,0)+IF(AND(AA527&lt;&gt;"-",AA527&gt;5),1,0)+IF(AND(AC527&lt;&gt;"-",AC527&gt;5),1,0)+IF(AND(AE527&lt;&gt;"-",AE527&gt;5),1,0)+IF(AND(AG527&lt;&gt;"-",AG527&gt;5),1,0)+IF(AND(AI527&lt;&gt;"-",AI527&gt;5),1,0)+IF(AND(AK527&lt;&gt;"-",AK527&gt;5),1,0)+IF(AND(AM527&lt;&gt;"-",AM527&gt;5),1,0)+IF(AND(AO527&lt;&gt;"-",AO527&gt;5),1,0)</f>
        <v>1</v>
      </c>
      <c r="AY527" s="48">
        <f>VLOOKUP(AP527,COND!$A$10:$B$32,2,FALSE)</f>
        <v>1</v>
      </c>
      <c r="AZ527" s="46">
        <f>($AU$3*AU527+$AV$3*AV527+$AW$3*AW527+$AX$3*AX527)*AY527*IF(AQ527&lt;5,0.95,IF(AQ527&lt;7,0.975,1))+$I$3*VLOOKUP(I527,COND!$A$2:$E$7,4,FALSE)+$J$3*VLOOKUP(J527,COND!$A$2:$E$7,2,FALSE)+$K$3*VLOOKUP(K527,COND!$A$2:$E$7,3,FALSE)+IF(BB527="SP",$BB$3,0)+IF($AW527&lt;3,-5,0)+IF(AND($B$2&gt;0,$E527&lt;20),$B$2*25,0)</f>
        <v>20.995680729232237</v>
      </c>
      <c r="BA527" s="49">
        <f>STANDARDIZE(AZ527,AVERAGE($AZ$5:$AZ$570),STDEVP($AZ$5:$AZ$570))</f>
        <v>-1.0753766008609231</v>
      </c>
      <c r="BB527" s="47" t="str">
        <f>IF(OR(AND(AQ527&gt;7,AX527&gt;1),AND(AQ527&gt;4,AW527&gt;2)),"SP","RP")</f>
        <v>SP</v>
      </c>
      <c r="BC527" s="47"/>
      <c r="BD527" s="47"/>
      <c r="BE527" s="47"/>
      <c r="BF527" s="47" t="str">
        <f>IF(AVERAGE($O527:$Q527)&gt;=6,"Likely",IF(AVERAGE($O527:$Q527)&gt;=4,"Possible","Unlikely"))</f>
        <v>Unlikely</v>
      </c>
      <c r="BG527" s="47"/>
      <c r="BH527" s="47" t="str">
        <f>INDEX(Table5[[#All],[Ovr]],MATCH(Table3[[#This Row],[PID]],Table5[[#All],[PID]],0))</f>
        <v/>
      </c>
      <c r="BI527" s="47" t="str">
        <f>INDEX(Table5[[#All],[Rnd]],MATCH(Table3[[#This Row],[PID]],Table5[[#All],[PID]],0))</f>
        <v/>
      </c>
      <c r="BJ527" s="47" t="str">
        <f>INDEX(Table5[[#All],[Pick]],MATCH(Table3[[#This Row],[PID]],Table5[[#All],[PID]],0))</f>
        <v/>
      </c>
      <c r="BK527" s="47" t="str">
        <f>INDEX(Table5[[#All],[Team]],MATCH(Table3[[#This Row],[PID]],Table5[[#All],[PID]],0))</f>
        <v/>
      </c>
      <c r="BL5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8" spans="1:64" ht="15" customHeight="1" x14ac:dyDescent="0.25">
      <c r="A528" s="42">
        <v>5447</v>
      </c>
      <c r="B528" s="42" t="s">
        <v>49</v>
      </c>
      <c r="C528" s="42" t="s">
        <v>449</v>
      </c>
      <c r="D528" s="42" t="s">
        <v>1013</v>
      </c>
      <c r="E528" s="42">
        <v>22</v>
      </c>
      <c r="F528" s="42" t="s">
        <v>42</v>
      </c>
      <c r="G528" s="42" t="s">
        <v>42</v>
      </c>
      <c r="H528" s="43" t="s">
        <v>721</v>
      </c>
      <c r="I528" s="44" t="s">
        <v>43</v>
      </c>
      <c r="J528" s="42" t="s">
        <v>44</v>
      </c>
      <c r="K528" s="43" t="s">
        <v>43</v>
      </c>
      <c r="L528" s="42">
        <v>2</v>
      </c>
      <c r="M528" s="42">
        <v>2</v>
      </c>
      <c r="N528" s="43">
        <v>1</v>
      </c>
      <c r="O528" s="42">
        <v>5</v>
      </c>
      <c r="P528" s="42">
        <v>2</v>
      </c>
      <c r="Q528" s="43">
        <v>2</v>
      </c>
      <c r="R528" s="42">
        <v>4</v>
      </c>
      <c r="S528" s="42">
        <v>6</v>
      </c>
      <c r="T528" s="42" t="s">
        <v>45</v>
      </c>
      <c r="U528" s="42" t="s">
        <v>45</v>
      </c>
      <c r="V528" s="42" t="s">
        <v>45</v>
      </c>
      <c r="W528" s="42" t="s">
        <v>45</v>
      </c>
      <c r="X528" s="42">
        <v>3</v>
      </c>
      <c r="Y528" s="42">
        <v>7</v>
      </c>
      <c r="Z528" s="42" t="s">
        <v>45</v>
      </c>
      <c r="AA528" s="42" t="s">
        <v>45</v>
      </c>
      <c r="AB528" s="42" t="s">
        <v>45</v>
      </c>
      <c r="AC528" s="42" t="s">
        <v>45</v>
      </c>
      <c r="AD528" s="42" t="s">
        <v>45</v>
      </c>
      <c r="AE528" s="42" t="s">
        <v>45</v>
      </c>
      <c r="AF528" s="42" t="s">
        <v>45</v>
      </c>
      <c r="AG528" s="42" t="s">
        <v>45</v>
      </c>
      <c r="AH528" s="42" t="s">
        <v>45</v>
      </c>
      <c r="AI528" s="42" t="s">
        <v>45</v>
      </c>
      <c r="AJ528" s="42" t="s">
        <v>45</v>
      </c>
      <c r="AK528" s="42" t="s">
        <v>45</v>
      </c>
      <c r="AL528" s="42" t="s">
        <v>45</v>
      </c>
      <c r="AM528" s="42" t="s">
        <v>45</v>
      </c>
      <c r="AN528" s="42" t="s">
        <v>45</v>
      </c>
      <c r="AO528" s="43" t="s">
        <v>45</v>
      </c>
      <c r="AP528" s="42" t="s">
        <v>57</v>
      </c>
      <c r="AQ528" s="42">
        <v>6</v>
      </c>
      <c r="AR528" s="50" t="s">
        <v>14</v>
      </c>
      <c r="AS528" s="45" t="s">
        <v>45</v>
      </c>
      <c r="AT528" s="45" t="s">
        <v>705</v>
      </c>
      <c r="AU528" s="46">
        <f>($O$3*(L528-$O$1)/$O$2+$P$3*(M528-$P$1)/$P$2+$Q$3*(N528-$P$1)/$Q$2)/SUM($O$3:$Q$3)</f>
        <v>-2.311361197028369</v>
      </c>
      <c r="AV528" s="46">
        <f>($O$3*(O528-$O$1)/$O$2+$P$3*(P528-$P$1)/$P$2+$Q$3*(Q528-$Q$1)/$Q$2)/SUM($O$3:$Q$3)</f>
        <v>-1.0394719067096667</v>
      </c>
      <c r="AW528" s="47">
        <f>COUNT(R528:AO528)/2</f>
        <v>2</v>
      </c>
      <c r="AX528" s="47">
        <f>IF(AND(S528&lt;&gt;"-",S528&gt;5),1,0)+IF(AND(U528&lt;&gt;"-",U528&gt;5),1,0)+IF(AND(W528&lt;&gt;"-",W528&gt;5),1,0)+IF(AND(Y528&lt;&gt;"-",Y528&gt;5),1,0)+IF(AND(AA528&lt;&gt;"-",AA528&gt;5),1,0)+IF(AND(AC528&lt;&gt;"-",AC528&gt;5),1,0)+IF(AND(AE528&lt;&gt;"-",AE528&gt;5),1,0)+IF(AND(AG528&lt;&gt;"-",AG528&gt;5),1,0)+IF(AND(AI528&lt;&gt;"-",AI528&gt;5),1,0)+IF(AND(AK528&lt;&gt;"-",AK528&gt;5),1,0)+IF(AND(AM528&lt;&gt;"-",AM528&gt;5),1,0)+IF(AND(AO528&lt;&gt;"-",AO528&gt;5),1,0)</f>
        <v>2</v>
      </c>
      <c r="AY528" s="48">
        <f>VLOOKUP(AP528,COND!$A$10:$B$32,2,FALSE)</f>
        <v>1</v>
      </c>
      <c r="AZ528" s="46">
        <f>($AU$3*AU528+$AV$3*AV528+$AW$3*AW528+$AX$3*AX528)*AY528*IF(AQ528&lt;5,0.95,IF(AQ528&lt;7,0.975,1))+$I$3*VLOOKUP(I528,COND!$A$2:$E$7,4,FALSE)+$J$3*VLOOKUP(J528,COND!$A$2:$E$7,2,FALSE)+$K$3*VLOOKUP(K528,COND!$A$2:$E$7,3,FALSE)+IF(BB528="SP",$BB$3,0)+IF($AW528&lt;3,-5,0)+IF(AND($B$2&gt;0,$E528&lt;20),$B$2*25,0)</f>
        <v>22.392082385740967</v>
      </c>
      <c r="BA528" s="49">
        <f>STANDARDIZE(AZ528,AVERAGE($AZ$5:$AZ$570),STDEVP($AZ$5:$AZ$570))</f>
        <v>-0.94732060061295564</v>
      </c>
      <c r="BB528" s="47" t="str">
        <f>IF(OR(AND(AQ528&gt;7,AX528&gt;1),AND(AQ528&gt;4,AW528&gt;2)),"SP","RP")</f>
        <v>RP</v>
      </c>
      <c r="BC528" s="47"/>
      <c r="BD528" s="47"/>
      <c r="BE528" s="47"/>
      <c r="BF528" s="47" t="str">
        <f>IF(AVERAGE($O528:$Q528)&gt;=6,"Likely",IF(AVERAGE($O528:$Q528)&gt;=4,"Possible","Unlikely"))</f>
        <v>Unlikely</v>
      </c>
      <c r="BG528" s="47"/>
      <c r="BH528" s="47" t="str">
        <f>INDEX(Table5[[#All],[Ovr]],MATCH(Table3[[#This Row],[PID]],Table5[[#All],[PID]],0))</f>
        <v/>
      </c>
      <c r="BI528" s="47" t="str">
        <f>INDEX(Table5[[#All],[Rnd]],MATCH(Table3[[#This Row],[PID]],Table5[[#All],[PID]],0))</f>
        <v/>
      </c>
      <c r="BJ528" s="47" t="str">
        <f>INDEX(Table5[[#All],[Pick]],MATCH(Table3[[#This Row],[PID]],Table5[[#All],[PID]],0))</f>
        <v/>
      </c>
      <c r="BK528" s="47" t="str">
        <f>INDEX(Table5[[#All],[Team]],MATCH(Table3[[#This Row],[PID]],Table5[[#All],[PID]],0))</f>
        <v/>
      </c>
      <c r="BL5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9" spans="1:64" ht="15" customHeight="1" x14ac:dyDescent="0.25">
      <c r="A529" s="42">
        <v>11657</v>
      </c>
      <c r="B529" s="42" t="s">
        <v>430</v>
      </c>
      <c r="C529" s="42" t="s">
        <v>331</v>
      </c>
      <c r="D529" s="42" t="s">
        <v>201</v>
      </c>
      <c r="E529" s="42">
        <v>20</v>
      </c>
      <c r="F529" s="42" t="s">
        <v>42</v>
      </c>
      <c r="G529" s="42" t="s">
        <v>42</v>
      </c>
      <c r="H529" s="43" t="s">
        <v>721</v>
      </c>
      <c r="I529" s="44" t="s">
        <v>43</v>
      </c>
      <c r="J529" s="42" t="s">
        <v>47</v>
      </c>
      <c r="K529" s="43" t="s">
        <v>43</v>
      </c>
      <c r="L529" s="42">
        <v>2</v>
      </c>
      <c r="M529" s="42">
        <v>1</v>
      </c>
      <c r="N529" s="43">
        <v>1</v>
      </c>
      <c r="O529" s="42">
        <v>4</v>
      </c>
      <c r="P529" s="42">
        <v>1</v>
      </c>
      <c r="Q529" s="43">
        <v>2</v>
      </c>
      <c r="R529" s="42">
        <v>3</v>
      </c>
      <c r="S529" s="42">
        <v>4</v>
      </c>
      <c r="T529" s="42">
        <v>1</v>
      </c>
      <c r="U529" s="42">
        <v>1</v>
      </c>
      <c r="V529" s="42" t="s">
        <v>45</v>
      </c>
      <c r="W529" s="42" t="s">
        <v>45</v>
      </c>
      <c r="X529" s="42" t="s">
        <v>45</v>
      </c>
      <c r="Y529" s="42" t="s">
        <v>45</v>
      </c>
      <c r="Z529" s="42" t="s">
        <v>45</v>
      </c>
      <c r="AA529" s="42" t="s">
        <v>45</v>
      </c>
      <c r="AB529" s="42" t="s">
        <v>45</v>
      </c>
      <c r="AC529" s="42" t="s">
        <v>45</v>
      </c>
      <c r="AD529" s="42" t="s">
        <v>45</v>
      </c>
      <c r="AE529" s="42" t="s">
        <v>45</v>
      </c>
      <c r="AF529" s="42" t="s">
        <v>45</v>
      </c>
      <c r="AG529" s="42" t="s">
        <v>45</v>
      </c>
      <c r="AH529" s="42" t="s">
        <v>45</v>
      </c>
      <c r="AI529" s="42" t="s">
        <v>45</v>
      </c>
      <c r="AJ529" s="42" t="s">
        <v>45</v>
      </c>
      <c r="AK529" s="42" t="s">
        <v>45</v>
      </c>
      <c r="AL529" s="42">
        <v>3</v>
      </c>
      <c r="AM529" s="42">
        <v>6</v>
      </c>
      <c r="AN529" s="42" t="s">
        <v>45</v>
      </c>
      <c r="AO529" s="43" t="s">
        <v>45</v>
      </c>
      <c r="AP529" s="42" t="s">
        <v>64</v>
      </c>
      <c r="AQ529" s="42">
        <v>8</v>
      </c>
      <c r="AR529" s="50" t="s">
        <v>14</v>
      </c>
      <c r="AS529" s="45" t="s">
        <v>717</v>
      </c>
      <c r="AT529" s="45" t="s">
        <v>705</v>
      </c>
      <c r="AU529" s="46">
        <f>($O$3*(L529-$O$1)/$O$2+$P$3*(M529-$P$1)/$P$2+$Q$3*(N529-$P$1)/$Q$2)/SUM($O$3:$Q$3)</f>
        <v>-2.5067929134584248</v>
      </c>
      <c r="AV529" s="46">
        <f>($O$3*(O529-$O$1)/$O$2+$P$3*(P529-$P$1)/$P$2+$Q$3*(Q529-$Q$1)/$Q$2)/SUM($O$3:$Q$3)</f>
        <v>-1.4295949476488956</v>
      </c>
      <c r="AW529" s="47">
        <f>COUNT(R529:AO529)/2</f>
        <v>3</v>
      </c>
      <c r="AX529" s="47">
        <f>IF(AND(S529&lt;&gt;"-",S529&gt;5),1,0)+IF(AND(U529&lt;&gt;"-",U529&gt;5),1,0)+IF(AND(W529&lt;&gt;"-",W529&gt;5),1,0)+IF(AND(Y529&lt;&gt;"-",Y529&gt;5),1,0)+IF(AND(AA529&lt;&gt;"-",AA529&gt;5),1,0)+IF(AND(AC529&lt;&gt;"-",AC529&gt;5),1,0)+IF(AND(AE529&lt;&gt;"-",AE529&gt;5),1,0)+IF(AND(AG529&lt;&gt;"-",AG529&gt;5),1,0)+IF(AND(AI529&lt;&gt;"-",AI529&gt;5),1,0)+IF(AND(AK529&lt;&gt;"-",AK529&gt;5),1,0)+IF(AND(AM529&lt;&gt;"-",AM529&gt;5),1,0)+IF(AND(AO529&lt;&gt;"-",AO529&gt;5),1,0)</f>
        <v>1</v>
      </c>
      <c r="AY529" s="48">
        <f>VLOOKUP(AP529,COND!$A$10:$B$32,2,FALSE)</f>
        <v>1</v>
      </c>
      <c r="AZ529" s="46">
        <f>($AU$3*AU529+$AV$3*AV529+$AW$3*AW529+$AX$3*AX529)*AY529*IF(AQ529&lt;5,0.95,IF(AQ529&lt;7,0.975,1))+$I$3*VLOOKUP(I529,COND!$A$2:$E$7,4,FALSE)+$J$3*VLOOKUP(J529,COND!$A$2:$E$7,2,FALSE)+$K$3*VLOOKUP(K529,COND!$A$2:$E$7,3,FALSE)+IF(BB529="SP",$BB$3,0)+IF($AW529&lt;3,-5,0)+IF(AND($B$2&gt;0,$E529&lt;20),$B$2*25,0)</f>
        <v>20.9567424643304</v>
      </c>
      <c r="BA529" s="49">
        <f>STANDARDIZE(AZ529,AVERAGE($AZ$5:$AZ$570),STDEVP($AZ$5:$AZ$570))</f>
        <v>-1.0789474061780637</v>
      </c>
      <c r="BB529" s="47" t="str">
        <f>IF(OR(AND(AQ529&gt;7,AX529&gt;1),AND(AQ529&gt;4,AW529&gt;2)),"SP","RP")</f>
        <v>SP</v>
      </c>
      <c r="BC529" s="47"/>
      <c r="BD529" s="47"/>
      <c r="BE529" s="47"/>
      <c r="BF529" s="47" t="str">
        <f>IF(AVERAGE($O529:$Q529)&gt;=6,"Likely",IF(AVERAGE($O529:$Q529)&gt;=4,"Possible","Unlikely"))</f>
        <v>Unlikely</v>
      </c>
      <c r="BG529" s="47"/>
      <c r="BH529" s="47" t="str">
        <f>INDEX(Table5[[#All],[Ovr]],MATCH(Table3[[#This Row],[PID]],Table5[[#All],[PID]],0))</f>
        <v/>
      </c>
      <c r="BI529" s="47" t="str">
        <f>INDEX(Table5[[#All],[Rnd]],MATCH(Table3[[#This Row],[PID]],Table5[[#All],[PID]],0))</f>
        <v/>
      </c>
      <c r="BJ529" s="47" t="str">
        <f>INDEX(Table5[[#All],[Pick]],MATCH(Table3[[#This Row],[PID]],Table5[[#All],[PID]],0))</f>
        <v/>
      </c>
      <c r="BK529" s="47" t="str">
        <f>INDEX(Table5[[#All],[Team]],MATCH(Table3[[#This Row],[PID]],Table5[[#All],[PID]],0))</f>
        <v/>
      </c>
      <c r="BL5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0" spans="1:64" ht="15" customHeight="1" x14ac:dyDescent="0.25">
      <c r="A530" s="42">
        <v>14492</v>
      </c>
      <c r="B530" s="42" t="s">
        <v>430</v>
      </c>
      <c r="C530" s="42" t="s">
        <v>128</v>
      </c>
      <c r="D530" s="42" t="s">
        <v>777</v>
      </c>
      <c r="E530" s="42">
        <v>21</v>
      </c>
      <c r="F530" s="42" t="s">
        <v>62</v>
      </c>
      <c r="G530" s="42" t="s">
        <v>42</v>
      </c>
      <c r="H530" s="43" t="s">
        <v>721</v>
      </c>
      <c r="I530" s="44" t="s">
        <v>44</v>
      </c>
      <c r="J530" s="42" t="s">
        <v>44</v>
      </c>
      <c r="K530" s="43" t="s">
        <v>43</v>
      </c>
      <c r="L530" s="42">
        <v>1</v>
      </c>
      <c r="M530" s="42">
        <v>1</v>
      </c>
      <c r="N530" s="43">
        <v>1</v>
      </c>
      <c r="O530" s="42">
        <v>3</v>
      </c>
      <c r="P530" s="42">
        <v>1</v>
      </c>
      <c r="Q530" s="43">
        <v>3</v>
      </c>
      <c r="R530" s="42">
        <v>2</v>
      </c>
      <c r="S530" s="42">
        <v>3</v>
      </c>
      <c r="T530" s="42">
        <v>1</v>
      </c>
      <c r="U530" s="42">
        <v>1</v>
      </c>
      <c r="V530" s="42">
        <v>2</v>
      </c>
      <c r="W530" s="42">
        <v>5</v>
      </c>
      <c r="X530" s="42">
        <v>2</v>
      </c>
      <c r="Y530" s="42">
        <v>4</v>
      </c>
      <c r="Z530" s="42" t="s">
        <v>45</v>
      </c>
      <c r="AA530" s="42" t="s">
        <v>45</v>
      </c>
      <c r="AB530" s="42" t="s">
        <v>45</v>
      </c>
      <c r="AC530" s="42" t="s">
        <v>45</v>
      </c>
      <c r="AD530" s="42" t="s">
        <v>45</v>
      </c>
      <c r="AE530" s="42" t="s">
        <v>45</v>
      </c>
      <c r="AF530" s="42" t="s">
        <v>45</v>
      </c>
      <c r="AG530" s="42" t="s">
        <v>45</v>
      </c>
      <c r="AH530" s="42" t="s">
        <v>45</v>
      </c>
      <c r="AI530" s="42" t="s">
        <v>45</v>
      </c>
      <c r="AJ530" s="42" t="s">
        <v>45</v>
      </c>
      <c r="AK530" s="42" t="s">
        <v>45</v>
      </c>
      <c r="AL530" s="42" t="s">
        <v>45</v>
      </c>
      <c r="AM530" s="42" t="s">
        <v>45</v>
      </c>
      <c r="AN530" s="42" t="s">
        <v>45</v>
      </c>
      <c r="AO530" s="43" t="s">
        <v>45</v>
      </c>
      <c r="AP530" s="42" t="s">
        <v>65</v>
      </c>
      <c r="AQ530" s="42">
        <v>6</v>
      </c>
      <c r="AR530" s="50" t="s">
        <v>14</v>
      </c>
      <c r="AS530" s="45" t="s">
        <v>45</v>
      </c>
      <c r="AT530" s="45" t="s">
        <v>705</v>
      </c>
      <c r="AU530" s="46">
        <f>($O$3*(L530-$O$1)/$O$2+$P$3*(M530-$P$1)/$P$2+$Q$3*(N530-$P$1)/$Q$2)/SUM($O$3:$Q$3)</f>
        <v>-2.7014842379675978</v>
      </c>
      <c r="AV530" s="46">
        <f>($O$3*(O530-$O$1)/$O$2+$P$3*(P530-$P$1)/$P$2+$Q$3*(Q530-$Q$1)/$Q$2)/SUM($O$3:$Q$3)</f>
        <v>-1.3819657061039585</v>
      </c>
      <c r="AW530" s="47">
        <f>COUNT(R530:AO530)/2</f>
        <v>4</v>
      </c>
      <c r="AX530" s="47">
        <f>IF(AND(S530&lt;&gt;"-",S530&gt;5),1,0)+IF(AND(U530&lt;&gt;"-",U530&gt;5),1,0)+IF(AND(W530&lt;&gt;"-",W530&gt;5),1,0)+IF(AND(Y530&lt;&gt;"-",Y530&gt;5),1,0)+IF(AND(AA530&lt;&gt;"-",AA530&gt;5),1,0)+IF(AND(AC530&lt;&gt;"-",AC530&gt;5),1,0)+IF(AND(AE530&lt;&gt;"-",AE530&gt;5),1,0)+IF(AND(AG530&lt;&gt;"-",AG530&gt;5),1,0)+IF(AND(AI530&lt;&gt;"-",AI530&gt;5),1,0)+IF(AND(AK530&lt;&gt;"-",AK530&gt;5),1,0)+IF(AND(AM530&lt;&gt;"-",AM530&gt;5),1,0)+IF(AND(AO530&lt;&gt;"-",AO530&gt;5),1,0)</f>
        <v>0</v>
      </c>
      <c r="AY530" s="48">
        <f>VLOOKUP(AP530,COND!$A$10:$B$32,2,FALSE)</f>
        <v>0.95</v>
      </c>
      <c r="AZ530" s="46">
        <f>($AU$3*AU530+$AV$3*AV530+$AW$3*AW530+$AX$3*AX530)*AY530*IF(AQ530&lt;5,0.95,IF(AQ530&lt;7,0.975,1))+$I$3*VLOOKUP(I530,COND!$A$2:$E$7,4,FALSE)+$J$3*VLOOKUP(J530,COND!$A$2:$E$7,2,FALSE)+$K$3*VLOOKUP(K530,COND!$A$2:$E$7,3,FALSE)+IF(BB530="SP",$BB$3,0)+IF($AW530&lt;3,-5,0)+IF(AND($B$2&gt;0,$E530&lt;20),$B$2*25,0)</f>
        <v>22.301135339340668</v>
      </c>
      <c r="BA530" s="49">
        <f>STANDARDIZE(AZ530,AVERAGE($AZ$5:$AZ$570),STDEVP($AZ$5:$AZ$570))</f>
        <v>-0.955660833483709</v>
      </c>
      <c r="BB530" s="47" t="str">
        <f>IF(OR(AND(AQ530&gt;7,AX530&gt;1),AND(AQ530&gt;4,AW530&gt;2)),"SP","RP")</f>
        <v>SP</v>
      </c>
      <c r="BC530" s="47"/>
      <c r="BD530" s="47"/>
      <c r="BE530" s="47"/>
      <c r="BF530" s="47" t="str">
        <f>IF(AVERAGE($O530:$Q530)&gt;=6,"Likely",IF(AVERAGE($O530:$Q530)&gt;=4,"Possible","Unlikely"))</f>
        <v>Unlikely</v>
      </c>
      <c r="BG530" s="47"/>
      <c r="BH530" s="47" t="str">
        <f>INDEX(Table5[[#All],[Ovr]],MATCH(Table3[[#This Row],[PID]],Table5[[#All],[PID]],0))</f>
        <v/>
      </c>
      <c r="BI530" s="47" t="str">
        <f>INDEX(Table5[[#All],[Rnd]],MATCH(Table3[[#This Row],[PID]],Table5[[#All],[PID]],0))</f>
        <v/>
      </c>
      <c r="BJ530" s="47" t="str">
        <f>INDEX(Table5[[#All],[Pick]],MATCH(Table3[[#This Row],[PID]],Table5[[#All],[PID]],0))</f>
        <v/>
      </c>
      <c r="BK530" s="47" t="str">
        <f>INDEX(Table5[[#All],[Team]],MATCH(Table3[[#This Row],[PID]],Table5[[#All],[PID]],0))</f>
        <v/>
      </c>
      <c r="BL5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1" spans="1:64" ht="15" customHeight="1" x14ac:dyDescent="0.25">
      <c r="A531" s="42">
        <v>13201</v>
      </c>
      <c r="B531" s="42" t="s">
        <v>430</v>
      </c>
      <c r="C531" s="42" t="s">
        <v>968</v>
      </c>
      <c r="D531" s="42" t="s">
        <v>969</v>
      </c>
      <c r="E531" s="42">
        <v>22</v>
      </c>
      <c r="F531" s="42" t="s">
        <v>42</v>
      </c>
      <c r="G531" s="42" t="s">
        <v>42</v>
      </c>
      <c r="H531" s="43" t="s">
        <v>721</v>
      </c>
      <c r="I531" s="44" t="s">
        <v>44</v>
      </c>
      <c r="J531" s="42" t="s">
        <v>47</v>
      </c>
      <c r="K531" s="43" t="s">
        <v>47</v>
      </c>
      <c r="L531" s="42">
        <v>3</v>
      </c>
      <c r="M531" s="42">
        <v>2</v>
      </c>
      <c r="N531" s="43">
        <v>1</v>
      </c>
      <c r="O531" s="42">
        <v>4</v>
      </c>
      <c r="P531" s="42">
        <v>2</v>
      </c>
      <c r="Q531" s="43">
        <v>1</v>
      </c>
      <c r="R531" s="42">
        <v>4</v>
      </c>
      <c r="S531" s="42">
        <v>5</v>
      </c>
      <c r="T531" s="42">
        <v>1</v>
      </c>
      <c r="U531" s="42">
        <v>2</v>
      </c>
      <c r="V531" s="42" t="s">
        <v>45</v>
      </c>
      <c r="W531" s="42" t="s">
        <v>45</v>
      </c>
      <c r="X531" s="42" t="s">
        <v>45</v>
      </c>
      <c r="Y531" s="42" t="s">
        <v>45</v>
      </c>
      <c r="Z531" s="42" t="s">
        <v>45</v>
      </c>
      <c r="AA531" s="42" t="s">
        <v>45</v>
      </c>
      <c r="AB531" s="42">
        <v>4</v>
      </c>
      <c r="AC531" s="42">
        <v>4</v>
      </c>
      <c r="AD531" s="42" t="s">
        <v>45</v>
      </c>
      <c r="AE531" s="42" t="s">
        <v>45</v>
      </c>
      <c r="AF531" s="42">
        <v>3</v>
      </c>
      <c r="AG531" s="42">
        <v>4</v>
      </c>
      <c r="AH531" s="42" t="s">
        <v>45</v>
      </c>
      <c r="AI531" s="42" t="s">
        <v>45</v>
      </c>
      <c r="AJ531" s="42" t="s">
        <v>45</v>
      </c>
      <c r="AK531" s="42" t="s">
        <v>45</v>
      </c>
      <c r="AL531" s="42" t="s">
        <v>45</v>
      </c>
      <c r="AM531" s="42" t="s">
        <v>45</v>
      </c>
      <c r="AN531" s="42" t="s">
        <v>45</v>
      </c>
      <c r="AO531" s="43" t="s">
        <v>45</v>
      </c>
      <c r="AP531" s="42" t="s">
        <v>57</v>
      </c>
      <c r="AQ531" s="42">
        <v>6</v>
      </c>
      <c r="AR531" s="50" t="s">
        <v>353</v>
      </c>
      <c r="AS531" s="45" t="s">
        <v>45</v>
      </c>
      <c r="AT531" s="45" t="s">
        <v>705</v>
      </c>
      <c r="AU531" s="46">
        <f>($O$3*(L531-$O$1)/$O$2+$P$3*(M531-$P$1)/$P$2+$Q$3*(N531-$P$1)/$Q$2)/SUM($O$3:$Q$3)</f>
        <v>-2.1166698725191955</v>
      </c>
      <c r="AV531" s="46">
        <f>($O$3*(O531-$O$1)/$O$2+$P$3*(P531-$P$1)/$P$2+$Q$3*(Q531-$Q$1)/$Q$2)/SUM($O$3:$Q$3)</f>
        <v>-1.4764837972729503</v>
      </c>
      <c r="AW531" s="47">
        <f>COUNT(R531:AO531)/2</f>
        <v>4</v>
      </c>
      <c r="AX531" s="47">
        <f>IF(AND(S531&lt;&gt;"-",S531&gt;5),1,0)+IF(AND(U531&lt;&gt;"-",U531&gt;5),1,0)+IF(AND(W531&lt;&gt;"-",W531&gt;5),1,0)+IF(AND(Y531&lt;&gt;"-",Y531&gt;5),1,0)+IF(AND(AA531&lt;&gt;"-",AA531&gt;5),1,0)+IF(AND(AC531&lt;&gt;"-",AC531&gt;5),1,0)+IF(AND(AE531&lt;&gt;"-",AE531&gt;5),1,0)+IF(AND(AG531&lt;&gt;"-",AG531&gt;5),1,0)+IF(AND(AI531&lt;&gt;"-",AI531&gt;5),1,0)+IF(AND(AK531&lt;&gt;"-",AK531&gt;5),1,0)+IF(AND(AM531&lt;&gt;"-",AM531&gt;5),1,0)+IF(AND(AO531&lt;&gt;"-",AO531&gt;5),1,0)</f>
        <v>0</v>
      </c>
      <c r="AY531" s="48">
        <f>VLOOKUP(AP531,COND!$A$10:$B$32,2,FALSE)</f>
        <v>1</v>
      </c>
      <c r="AZ531" s="46">
        <f>($AU$3*AU531+$AV$3*AV531+$AW$3*AW531+$AX$3*AX531)*AY531*IF(AQ531&lt;5,0.95,IF(AQ531&lt;7,0.975,1))+$I$3*VLOOKUP(I531,COND!$A$2:$E$7,4,FALSE)+$J$3*VLOOKUP(J531,COND!$A$2:$E$7,2,FALSE)+$K$3*VLOOKUP(K531,COND!$A$2:$E$7,3,FALSE)+IF(BB531="SP",$BB$3,0)+IF($AW531&lt;3,-5,0)+IF(AND($B$2&gt;0,$E531&lt;20),$B$2*25,0)</f>
        <v>20.195815328036225</v>
      </c>
      <c r="BA531" s="49">
        <f>STANDARDIZE(AZ531,AVERAGE($AZ$5:$AZ$570),STDEVP($AZ$5:$AZ$570))</f>
        <v>-1.1487276768471733</v>
      </c>
      <c r="BB531" s="47" t="str">
        <f>IF(OR(AND(AQ531&gt;7,AX531&gt;1),AND(AQ531&gt;4,AW531&gt;2)),"SP","RP")</f>
        <v>SP</v>
      </c>
      <c r="BC531" s="47"/>
      <c r="BD531" s="47"/>
      <c r="BE531" s="47"/>
      <c r="BF531" s="47" t="str">
        <f>IF(AVERAGE($O531:$Q531)&gt;=6,"Likely",IF(AVERAGE($O531:$Q531)&gt;=4,"Possible","Unlikely"))</f>
        <v>Unlikely</v>
      </c>
      <c r="BG531" s="47"/>
      <c r="BH531" s="47" t="str">
        <f>INDEX(Table5[[#All],[Ovr]],MATCH(Table3[[#This Row],[PID]],Table5[[#All],[PID]],0))</f>
        <v/>
      </c>
      <c r="BI531" s="47" t="str">
        <f>INDEX(Table5[[#All],[Rnd]],MATCH(Table3[[#This Row],[PID]],Table5[[#All],[PID]],0))</f>
        <v/>
      </c>
      <c r="BJ531" s="47" t="str">
        <f>INDEX(Table5[[#All],[Pick]],MATCH(Table3[[#This Row],[PID]],Table5[[#All],[PID]],0))</f>
        <v/>
      </c>
      <c r="BK531" s="47" t="str">
        <f>INDEX(Table5[[#All],[Team]],MATCH(Table3[[#This Row],[PID]],Table5[[#All],[PID]],0))</f>
        <v/>
      </c>
      <c r="BL5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2" spans="1:64" ht="15" customHeight="1" x14ac:dyDescent="0.25">
      <c r="A532" s="42">
        <v>15252</v>
      </c>
      <c r="B532" s="42" t="s">
        <v>430</v>
      </c>
      <c r="C532" s="42" t="s">
        <v>1810</v>
      </c>
      <c r="D532" s="42" t="s">
        <v>1811</v>
      </c>
      <c r="E532" s="42">
        <v>18</v>
      </c>
      <c r="F532" s="42" t="s">
        <v>42</v>
      </c>
      <c r="G532" s="42" t="s">
        <v>42</v>
      </c>
      <c r="H532" s="43" t="s">
        <v>721</v>
      </c>
      <c r="I532" s="44" t="s">
        <v>47</v>
      </c>
      <c r="J532" s="42" t="s">
        <v>47</v>
      </c>
      <c r="K532" s="43" t="s">
        <v>43</v>
      </c>
      <c r="L532" s="42">
        <v>1</v>
      </c>
      <c r="M532" s="42">
        <v>1</v>
      </c>
      <c r="N532" s="43">
        <v>1</v>
      </c>
      <c r="O532" s="42">
        <v>2</v>
      </c>
      <c r="P532" s="42">
        <v>1</v>
      </c>
      <c r="Q532" s="43">
        <v>2</v>
      </c>
      <c r="R532" s="42">
        <v>2</v>
      </c>
      <c r="S532" s="42">
        <v>3</v>
      </c>
      <c r="T532" s="42">
        <v>1</v>
      </c>
      <c r="U532" s="42">
        <v>2</v>
      </c>
      <c r="V532" s="42">
        <v>2</v>
      </c>
      <c r="W532" s="42">
        <v>4</v>
      </c>
      <c r="X532" s="42">
        <v>2</v>
      </c>
      <c r="Y532" s="42">
        <v>3</v>
      </c>
      <c r="Z532" s="42" t="s">
        <v>45</v>
      </c>
      <c r="AA532" s="42" t="s">
        <v>45</v>
      </c>
      <c r="AB532" s="42" t="s">
        <v>45</v>
      </c>
      <c r="AC532" s="42" t="s">
        <v>45</v>
      </c>
      <c r="AD532" s="42" t="s">
        <v>45</v>
      </c>
      <c r="AE532" s="42" t="s">
        <v>45</v>
      </c>
      <c r="AF532" s="42">
        <v>2</v>
      </c>
      <c r="AG532" s="42">
        <v>3</v>
      </c>
      <c r="AH532" s="42" t="s">
        <v>45</v>
      </c>
      <c r="AI532" s="42" t="s">
        <v>45</v>
      </c>
      <c r="AJ532" s="42" t="s">
        <v>45</v>
      </c>
      <c r="AK532" s="42" t="s">
        <v>45</v>
      </c>
      <c r="AL532" s="42" t="s">
        <v>45</v>
      </c>
      <c r="AM532" s="42" t="s">
        <v>45</v>
      </c>
      <c r="AN532" s="42" t="s">
        <v>45</v>
      </c>
      <c r="AO532" s="43" t="s">
        <v>45</v>
      </c>
      <c r="AP532" s="42" t="s">
        <v>70</v>
      </c>
      <c r="AQ532" s="42">
        <v>7</v>
      </c>
      <c r="AR532" s="50" t="s">
        <v>14</v>
      </c>
      <c r="AS532" s="45" t="s">
        <v>606</v>
      </c>
      <c r="AT532" s="45" t="s">
        <v>47</v>
      </c>
      <c r="AU532" s="46">
        <f>($O$3*(L532-$O$1)/$O$2+$P$3*(M532-$P$1)/$P$2+$Q$3*(N532-$P$1)/$Q$2)/SUM($O$3:$Q$3)</f>
        <v>-2.7014842379675978</v>
      </c>
      <c r="AV532" s="46">
        <f>($O$3*(O532-$O$1)/$O$2+$P$3*(P532-$P$1)/$P$2+$Q$3*(Q532-$Q$1)/$Q$2)/SUM($O$3:$Q$3)</f>
        <v>-1.8189775966672426</v>
      </c>
      <c r="AW532" s="47">
        <f>COUNT(R532:AO532)/2</f>
        <v>5</v>
      </c>
      <c r="AX532" s="47">
        <f>IF(AND(S532&lt;&gt;"-",S532&gt;5),1,0)+IF(AND(U532&lt;&gt;"-",U532&gt;5),1,0)+IF(AND(W532&lt;&gt;"-",W532&gt;5),1,0)+IF(AND(Y532&lt;&gt;"-",Y532&gt;5),1,0)+IF(AND(AA532&lt;&gt;"-",AA532&gt;5),1,0)+IF(AND(AC532&lt;&gt;"-",AC532&gt;5),1,0)+IF(AND(AE532&lt;&gt;"-",AE532&gt;5),1,0)+IF(AND(AG532&lt;&gt;"-",AG532&gt;5),1,0)+IF(AND(AI532&lt;&gt;"-",AI532&gt;5),1,0)+IF(AND(AK532&lt;&gt;"-",AK532&gt;5),1,0)+IF(AND(AM532&lt;&gt;"-",AM532&gt;5),1,0)+IF(AND(AO532&lt;&gt;"-",AO532&gt;5),1,0)</f>
        <v>0</v>
      </c>
      <c r="AY532" s="48">
        <f>VLOOKUP(AP532,COND!$A$10:$B$32,2,FALSE)</f>
        <v>0.9</v>
      </c>
      <c r="AZ532" s="46">
        <f>($AU$3*AU532+$AV$3*AV532+$AW$3*AW532+$AX$3*AX532)*AY532*IF(AQ532&lt;5,0.95,IF(AQ532&lt;7,0.975,1))+$I$3*VLOOKUP(I532,COND!$A$2:$E$7,4,FALSE)+$J$3*VLOOKUP(J532,COND!$A$2:$E$7,2,FALSE)+$K$3*VLOOKUP(K532,COND!$A$2:$E$7,3,FALSE)+IF(BB532="SP",$BB$3,0)+IF($AW532&lt;3,-5,0)+IF(AND($B$2&gt;0,$E532&lt;20),$B$2*25,0)</f>
        <v>21.54713609715547</v>
      </c>
      <c r="BA532" s="49">
        <f>STANDARDIZE(AZ532,AVERAGE($AZ$5:$AZ$676),STDEVP($AZ$5:$AZ$676))</f>
        <v>-0.77547126422497881</v>
      </c>
      <c r="BB532" s="47" t="str">
        <f>IF(OR(AND(AQ532&gt;7,AX532&gt;1),AND(AQ532&gt;4,AW532&gt;2)),"SP","RP")</f>
        <v>SP</v>
      </c>
      <c r="BC532" s="47"/>
      <c r="BD532" s="47"/>
      <c r="BE532" s="47"/>
      <c r="BF532" s="47" t="str">
        <f>IF(AVERAGE($O532:$Q532)&gt;=6,"Likely",IF(AVERAGE($O532:$Q532)&gt;=4,"Possible","Unlikely"))</f>
        <v>Unlikely</v>
      </c>
      <c r="BG532" s="47"/>
      <c r="BH532" s="47" t="str">
        <f>INDEX(Table5[[#All],[Ovr]],MATCH(Table3[[#This Row],[PID]],Table5[[#All],[PID]],0))</f>
        <v/>
      </c>
      <c r="BI532" s="47" t="str">
        <f>INDEX(Table5[[#All],[Rnd]],MATCH(Table3[[#This Row],[PID]],Table5[[#All],[PID]],0))</f>
        <v/>
      </c>
      <c r="BJ532" s="47" t="str">
        <f>INDEX(Table5[[#All],[Pick]],MATCH(Table3[[#This Row],[PID]],Table5[[#All],[PID]],0))</f>
        <v/>
      </c>
      <c r="BK532" s="47" t="str">
        <f>INDEX(Table5[[#All],[Team]],MATCH(Table3[[#This Row],[PID]],Table5[[#All],[PID]],0))</f>
        <v/>
      </c>
      <c r="BL5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3" spans="1:64" ht="15" customHeight="1" x14ac:dyDescent="0.25">
      <c r="A533" s="42">
        <v>12183</v>
      </c>
      <c r="B533" s="42" t="s">
        <v>430</v>
      </c>
      <c r="C533" s="42" t="s">
        <v>418</v>
      </c>
      <c r="D533" s="42" t="s">
        <v>196</v>
      </c>
      <c r="E533" s="42">
        <v>21</v>
      </c>
      <c r="F533" s="42" t="s">
        <v>42</v>
      </c>
      <c r="G533" s="42" t="s">
        <v>42</v>
      </c>
      <c r="H533" s="43" t="s">
        <v>721</v>
      </c>
      <c r="I533" s="44" t="s">
        <v>44</v>
      </c>
      <c r="J533" s="42" t="s">
        <v>44</v>
      </c>
      <c r="K533" s="43" t="s">
        <v>43</v>
      </c>
      <c r="L533" s="42">
        <v>2</v>
      </c>
      <c r="M533" s="42">
        <v>2</v>
      </c>
      <c r="N533" s="43">
        <v>1</v>
      </c>
      <c r="O533" s="42">
        <v>5</v>
      </c>
      <c r="P533" s="42">
        <v>2</v>
      </c>
      <c r="Q533" s="43">
        <v>2</v>
      </c>
      <c r="R533" s="42" t="s">
        <v>45</v>
      </c>
      <c r="S533" s="42" t="s">
        <v>45</v>
      </c>
      <c r="T533" s="42" t="s">
        <v>45</v>
      </c>
      <c r="U533" s="42" t="s">
        <v>45</v>
      </c>
      <c r="V533" s="42">
        <v>3</v>
      </c>
      <c r="W533" s="42">
        <v>6</v>
      </c>
      <c r="X533" s="42" t="s">
        <v>45</v>
      </c>
      <c r="Y533" s="42" t="s">
        <v>45</v>
      </c>
      <c r="Z533" s="42" t="s">
        <v>45</v>
      </c>
      <c r="AA533" s="42" t="s">
        <v>45</v>
      </c>
      <c r="AB533" s="42" t="s">
        <v>45</v>
      </c>
      <c r="AC533" s="42" t="s">
        <v>45</v>
      </c>
      <c r="AD533" s="42">
        <v>3</v>
      </c>
      <c r="AE533" s="42">
        <v>6</v>
      </c>
      <c r="AF533" s="42" t="s">
        <v>45</v>
      </c>
      <c r="AG533" s="42" t="s">
        <v>45</v>
      </c>
      <c r="AH533" s="42" t="s">
        <v>45</v>
      </c>
      <c r="AI533" s="42" t="s">
        <v>45</v>
      </c>
      <c r="AJ533" s="42" t="s">
        <v>45</v>
      </c>
      <c r="AK533" s="42" t="s">
        <v>45</v>
      </c>
      <c r="AL533" s="42" t="s">
        <v>45</v>
      </c>
      <c r="AM533" s="42" t="s">
        <v>45</v>
      </c>
      <c r="AN533" s="42" t="s">
        <v>45</v>
      </c>
      <c r="AO533" s="43" t="s">
        <v>45</v>
      </c>
      <c r="AP533" s="42" t="s">
        <v>58</v>
      </c>
      <c r="AQ533" s="42">
        <v>5</v>
      </c>
      <c r="AR533" s="50" t="s">
        <v>353</v>
      </c>
      <c r="AS533" s="45" t="s">
        <v>717</v>
      </c>
      <c r="AT533" s="45" t="s">
        <v>47</v>
      </c>
      <c r="AU533" s="46">
        <f>($O$3*(L533-$O$1)/$O$2+$P$3*(M533-$P$1)/$P$2+$Q$3*(N533-$P$1)/$Q$2)/SUM($O$3:$Q$3)</f>
        <v>-2.311361197028369</v>
      </c>
      <c r="AV533" s="46">
        <f>($O$3*(O533-$O$1)/$O$2+$P$3*(P533-$P$1)/$P$2+$Q$3*(Q533-$Q$1)/$Q$2)/SUM($O$3:$Q$3)</f>
        <v>-1.0394719067096667</v>
      </c>
      <c r="AW533" s="47">
        <f>COUNT(R533:AO533)/2</f>
        <v>2</v>
      </c>
      <c r="AX533" s="47">
        <f>IF(AND(S533&lt;&gt;"-",S533&gt;5),1,0)+IF(AND(U533&lt;&gt;"-",U533&gt;5),1,0)+IF(AND(W533&lt;&gt;"-",W533&gt;5),1,0)+IF(AND(Y533&lt;&gt;"-",Y533&gt;5),1,0)+IF(AND(AA533&lt;&gt;"-",AA533&gt;5),1,0)+IF(AND(AC533&lt;&gt;"-",AC533&gt;5),1,0)+IF(AND(AE533&lt;&gt;"-",AE533&gt;5),1,0)+IF(AND(AG533&lt;&gt;"-",AG533&gt;5),1,0)+IF(AND(AI533&lt;&gt;"-",AI533&gt;5),1,0)+IF(AND(AK533&lt;&gt;"-",AK533&gt;5),1,0)+IF(AND(AM533&lt;&gt;"-",AM533&gt;5),1,0)+IF(AND(AO533&lt;&gt;"-",AO533&gt;5),1,0)</f>
        <v>2</v>
      </c>
      <c r="AY533" s="48">
        <f>VLOOKUP(AP533,COND!$A$10:$B$32,2,FALSE)</f>
        <v>1</v>
      </c>
      <c r="AZ533" s="46">
        <f>($AU$3*AU533+$AV$3*AV533+$AW$3*AW533+$AX$3*AX533)*AY533*IF(AQ533&lt;5,0.95,IF(AQ533&lt;7,0.975,1))+$I$3*VLOOKUP(I533,COND!$A$2:$E$7,4,FALSE)+$J$3*VLOOKUP(J533,COND!$A$2:$E$7,2,FALSE)+$K$3*VLOOKUP(K533,COND!$A$2:$E$7,3,FALSE)+IF(BB533="SP",$BB$3,0)+IF($AW533&lt;3,-5,0)+IF(AND($B$2&gt;0,$E533&lt;20),$B$2*25,0)</f>
        <v>22.242082385740964</v>
      </c>
      <c r="BA533" s="49">
        <f>STANDARDIZE(AZ533,AVERAGE($AZ$5:$AZ$570),STDEVP($AZ$5:$AZ$570))</f>
        <v>-0.96107624172643014</v>
      </c>
      <c r="BB533" s="47" t="str">
        <f>IF(OR(AND(AQ533&gt;7,AX533&gt;1),AND(AQ533&gt;4,AW533&gt;2)),"SP","RP")</f>
        <v>RP</v>
      </c>
      <c r="BC533" s="47"/>
      <c r="BD533" s="47"/>
      <c r="BE533" s="47"/>
      <c r="BF533" s="47" t="str">
        <f>IF(AVERAGE($O533:$Q533)&gt;=6,"Likely",IF(AVERAGE($O533:$Q533)&gt;=4,"Possible","Unlikely"))</f>
        <v>Unlikely</v>
      </c>
      <c r="BG533" s="47"/>
      <c r="BH533" s="47" t="str">
        <f>INDEX(Table5[[#All],[Ovr]],MATCH(Table3[[#This Row],[PID]],Table5[[#All],[PID]],0))</f>
        <v/>
      </c>
      <c r="BI533" s="47" t="str">
        <f>INDEX(Table5[[#All],[Rnd]],MATCH(Table3[[#This Row],[PID]],Table5[[#All],[PID]],0))</f>
        <v/>
      </c>
      <c r="BJ533" s="47" t="str">
        <f>INDEX(Table5[[#All],[Pick]],MATCH(Table3[[#This Row],[PID]],Table5[[#All],[PID]],0))</f>
        <v/>
      </c>
      <c r="BK533" s="47" t="str">
        <f>INDEX(Table5[[#All],[Team]],MATCH(Table3[[#This Row],[PID]],Table5[[#All],[PID]],0))</f>
        <v/>
      </c>
      <c r="BL5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4" spans="1:64" ht="15" customHeight="1" x14ac:dyDescent="0.25">
      <c r="A534" s="42">
        <v>17932</v>
      </c>
      <c r="B534" s="42" t="s">
        <v>430</v>
      </c>
      <c r="C534" s="42" t="s">
        <v>1046</v>
      </c>
      <c r="D534" s="42" t="s">
        <v>387</v>
      </c>
      <c r="E534" s="42">
        <v>18</v>
      </c>
      <c r="F534" s="42" t="s">
        <v>42</v>
      </c>
      <c r="G534" s="42" t="s">
        <v>42</v>
      </c>
      <c r="H534" s="43" t="s">
        <v>721</v>
      </c>
      <c r="I534" s="44" t="s">
        <v>43</v>
      </c>
      <c r="J534" s="42" t="s">
        <v>44</v>
      </c>
      <c r="K534" s="43" t="s">
        <v>43</v>
      </c>
      <c r="L534" s="42">
        <v>1</v>
      </c>
      <c r="M534" s="42">
        <v>1</v>
      </c>
      <c r="N534" s="43">
        <v>1</v>
      </c>
      <c r="O534" s="42">
        <v>3</v>
      </c>
      <c r="P534" s="42">
        <v>1</v>
      </c>
      <c r="Q534" s="43">
        <v>2</v>
      </c>
      <c r="R534" s="42">
        <v>2</v>
      </c>
      <c r="S534" s="42">
        <v>4</v>
      </c>
      <c r="T534" s="42">
        <v>1</v>
      </c>
      <c r="U534" s="42">
        <v>5</v>
      </c>
      <c r="V534" s="42">
        <v>1</v>
      </c>
      <c r="W534" s="42">
        <v>4</v>
      </c>
      <c r="X534" s="42">
        <v>1</v>
      </c>
      <c r="Y534" s="42">
        <v>4</v>
      </c>
      <c r="Z534" s="42" t="s">
        <v>45</v>
      </c>
      <c r="AA534" s="42" t="s">
        <v>45</v>
      </c>
      <c r="AB534" s="42" t="s">
        <v>45</v>
      </c>
      <c r="AC534" s="42" t="s">
        <v>45</v>
      </c>
      <c r="AD534" s="42" t="s">
        <v>45</v>
      </c>
      <c r="AE534" s="42" t="s">
        <v>45</v>
      </c>
      <c r="AF534" s="42" t="s">
        <v>45</v>
      </c>
      <c r="AG534" s="42" t="s">
        <v>45</v>
      </c>
      <c r="AH534" s="42" t="s">
        <v>45</v>
      </c>
      <c r="AI534" s="42" t="s">
        <v>45</v>
      </c>
      <c r="AJ534" s="42" t="s">
        <v>45</v>
      </c>
      <c r="AK534" s="42" t="s">
        <v>45</v>
      </c>
      <c r="AL534" s="42" t="s">
        <v>45</v>
      </c>
      <c r="AM534" s="42" t="s">
        <v>45</v>
      </c>
      <c r="AN534" s="42" t="s">
        <v>45</v>
      </c>
      <c r="AO534" s="43" t="s">
        <v>45</v>
      </c>
      <c r="AP534" s="42" t="s">
        <v>68</v>
      </c>
      <c r="AQ534" s="42">
        <v>10</v>
      </c>
      <c r="AR534" s="50" t="s">
        <v>14</v>
      </c>
      <c r="AS534" s="45" t="s">
        <v>730</v>
      </c>
      <c r="AT534" s="45" t="s">
        <v>47</v>
      </c>
      <c r="AU534" s="46">
        <f>($O$3*(L534-$O$1)/$O$2+$P$3*(M534-$P$1)/$P$2+$Q$3*(N534-$P$1)/$Q$2)/SUM($O$3:$Q$3)</f>
        <v>-2.7014842379675978</v>
      </c>
      <c r="AV534" s="46">
        <f>($O$3*(O534-$O$1)/$O$2+$P$3*(P534-$P$1)/$P$2+$Q$3*(Q534-$Q$1)/$Q$2)/SUM($O$3:$Q$3)</f>
        <v>-1.6242862721580691</v>
      </c>
      <c r="AW534" s="47">
        <f>COUNT(R534:AO534)/2</f>
        <v>4</v>
      </c>
      <c r="AX534" s="47">
        <f>IF(AND(S534&lt;&gt;"-",S534&gt;5),1,0)+IF(AND(U534&lt;&gt;"-",U534&gt;5),1,0)+IF(AND(W534&lt;&gt;"-",W534&gt;5),1,0)+IF(AND(Y534&lt;&gt;"-",Y534&gt;5),1,0)+IF(AND(AA534&lt;&gt;"-",AA534&gt;5),1,0)+IF(AND(AC534&lt;&gt;"-",AC534&gt;5),1,0)+IF(AND(AE534&lt;&gt;"-",AE534&gt;5),1,0)+IF(AND(AG534&lt;&gt;"-",AG534&gt;5),1,0)+IF(AND(AI534&lt;&gt;"-",AI534&gt;5),1,0)+IF(AND(AK534&lt;&gt;"-",AK534&gt;5),1,0)+IF(AND(AM534&lt;&gt;"-",AM534&gt;5),1,0)+IF(AND(AO534&lt;&gt;"-",AO534&gt;5),1,0)</f>
        <v>0</v>
      </c>
      <c r="AY534" s="48">
        <f>VLOOKUP(AP534,COND!$A$10:$B$32,2,FALSE)</f>
        <v>0.95</v>
      </c>
      <c r="AZ534" s="46">
        <f>($AU$3*AU534+$AV$3*AV534+$AW$3*AW534+$AX$3*AX534)*AY534*IF(AQ534&lt;5,0.95,IF(AQ534&lt;7,0.975,1))+$I$3*VLOOKUP(I534,COND!$A$2:$E$7,4,FALSE)+$J$3*VLOOKUP(J534,COND!$A$2:$E$7,2,FALSE)+$K$3*VLOOKUP(K534,COND!$A$2:$E$7,3,FALSE)+IF(BB534="SP",$BB$3,0)+IF($AW534&lt;3,-5,0)+IF(AND($B$2&gt;0,$E534&lt;20),$B$2*25,0)</f>
        <v>22.225278823782844</v>
      </c>
      <c r="BA534" s="49">
        <f>STANDARDIZE(AZ534,AVERAGE($AZ$5:$AZ$570),STDEVP($AZ$5:$AZ$570))</f>
        <v>-0.96261720017792307</v>
      </c>
      <c r="BB534" s="47" t="str">
        <f>IF(OR(AND(AQ534&gt;7,AX534&gt;1),AND(AQ534&gt;4,AW534&gt;2)),"SP","RP")</f>
        <v>SP</v>
      </c>
      <c r="BC534" s="47"/>
      <c r="BD534" s="47"/>
      <c r="BE534" s="47"/>
      <c r="BF534" s="47" t="str">
        <f>IF(AVERAGE($O534:$Q534)&gt;=6,"Likely",IF(AVERAGE($O534:$Q534)&gt;=4,"Possible","Unlikely"))</f>
        <v>Unlikely</v>
      </c>
      <c r="BG534" s="47"/>
      <c r="BH534" s="47" t="str">
        <f>INDEX(Table5[[#All],[Ovr]],MATCH(Table3[[#This Row],[PID]],Table5[[#All],[PID]],0))</f>
        <v/>
      </c>
      <c r="BI534" s="47" t="str">
        <f>INDEX(Table5[[#All],[Rnd]],MATCH(Table3[[#This Row],[PID]],Table5[[#All],[PID]],0))</f>
        <v/>
      </c>
      <c r="BJ534" s="47" t="str">
        <f>INDEX(Table5[[#All],[Pick]],MATCH(Table3[[#This Row],[PID]],Table5[[#All],[PID]],0))</f>
        <v/>
      </c>
      <c r="BK534" s="47" t="str">
        <f>INDEX(Table5[[#All],[Team]],MATCH(Table3[[#This Row],[PID]],Table5[[#All],[PID]],0))</f>
        <v/>
      </c>
      <c r="BL5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5" spans="1:64" ht="15" customHeight="1" x14ac:dyDescent="0.25">
      <c r="A535" s="42">
        <v>8317</v>
      </c>
      <c r="B535" s="42" t="s">
        <v>430</v>
      </c>
      <c r="C535" s="42" t="s">
        <v>1632</v>
      </c>
      <c r="D535" s="42" t="s">
        <v>1633</v>
      </c>
      <c r="E535" s="42">
        <v>21</v>
      </c>
      <c r="F535" s="42" t="s">
        <v>62</v>
      </c>
      <c r="G535" s="42" t="s">
        <v>42</v>
      </c>
      <c r="H535" s="43" t="s">
        <v>721</v>
      </c>
      <c r="I535" s="44" t="s">
        <v>44</v>
      </c>
      <c r="J535" s="42" t="s">
        <v>44</v>
      </c>
      <c r="K535" s="43" t="s">
        <v>43</v>
      </c>
      <c r="L535" s="42">
        <v>2</v>
      </c>
      <c r="M535" s="42">
        <v>2</v>
      </c>
      <c r="N535" s="43">
        <v>1</v>
      </c>
      <c r="O535" s="42">
        <v>4</v>
      </c>
      <c r="P535" s="42">
        <v>2</v>
      </c>
      <c r="Q535" s="43">
        <v>2</v>
      </c>
      <c r="R535" s="42">
        <v>3</v>
      </c>
      <c r="S535" s="42">
        <v>5</v>
      </c>
      <c r="T535" s="42">
        <v>1</v>
      </c>
      <c r="U535" s="42">
        <v>1</v>
      </c>
      <c r="V535" s="42" t="s">
        <v>45</v>
      </c>
      <c r="W535" s="42" t="s">
        <v>45</v>
      </c>
      <c r="X535" s="42" t="s">
        <v>45</v>
      </c>
      <c r="Y535" s="42" t="s">
        <v>45</v>
      </c>
      <c r="Z535" s="42">
        <v>3</v>
      </c>
      <c r="AA535" s="42">
        <v>4</v>
      </c>
      <c r="AB535" s="42" t="s">
        <v>45</v>
      </c>
      <c r="AC535" s="42" t="s">
        <v>45</v>
      </c>
      <c r="AD535" s="42" t="s">
        <v>45</v>
      </c>
      <c r="AE535" s="42" t="s">
        <v>45</v>
      </c>
      <c r="AF535" s="42" t="s">
        <v>45</v>
      </c>
      <c r="AG535" s="42" t="s">
        <v>45</v>
      </c>
      <c r="AH535" s="42" t="s">
        <v>45</v>
      </c>
      <c r="AI535" s="42" t="s">
        <v>45</v>
      </c>
      <c r="AJ535" s="42" t="s">
        <v>45</v>
      </c>
      <c r="AK535" s="42" t="s">
        <v>45</v>
      </c>
      <c r="AL535" s="42" t="s">
        <v>45</v>
      </c>
      <c r="AM535" s="42" t="s">
        <v>45</v>
      </c>
      <c r="AN535" s="42" t="s">
        <v>45</v>
      </c>
      <c r="AO535" s="43" t="s">
        <v>45</v>
      </c>
      <c r="AP535" s="42" t="s">
        <v>64</v>
      </c>
      <c r="AQ535" s="42">
        <v>3</v>
      </c>
      <c r="AR535" s="50" t="s">
        <v>353</v>
      </c>
      <c r="AS535" s="45" t="s">
        <v>45</v>
      </c>
      <c r="AT535" s="45" t="s">
        <v>47</v>
      </c>
      <c r="AU535" s="46">
        <f>($O$3*(L535-$O$1)/$O$2+$P$3*(M535-$P$1)/$P$2+$Q$3*(N535-$P$1)/$Q$2)/SUM($O$3:$Q$3)</f>
        <v>-2.311361197028369</v>
      </c>
      <c r="AV535" s="46">
        <f>($O$3*(O535-$O$1)/$O$2+$P$3*(P535-$P$1)/$P$2+$Q$3*(Q535-$Q$1)/$Q$2)/SUM($O$3:$Q$3)</f>
        <v>-1.23416323121884</v>
      </c>
      <c r="AW535" s="47">
        <f>COUNT(R535:AO535)/2</f>
        <v>3</v>
      </c>
      <c r="AX535" s="47">
        <f>IF(AND(S535&lt;&gt;"-",S535&gt;5),1,0)+IF(AND(U535&lt;&gt;"-",U535&gt;5),1,0)+IF(AND(W535&lt;&gt;"-",W535&gt;5),1,0)+IF(AND(Y535&lt;&gt;"-",Y535&gt;5),1,0)+IF(AND(AA535&lt;&gt;"-",AA535&gt;5),1,0)+IF(AND(AC535&lt;&gt;"-",AC535&gt;5),1,0)+IF(AND(AE535&lt;&gt;"-",AE535&gt;5),1,0)+IF(AND(AG535&lt;&gt;"-",AG535&gt;5),1,0)+IF(AND(AI535&lt;&gt;"-",AI535&gt;5),1,0)+IF(AND(AK535&lt;&gt;"-",AK535&gt;5),1,0)+IF(AND(AM535&lt;&gt;"-",AM535&gt;5),1,0)+IF(AND(AO535&lt;&gt;"-",AO535&gt;5),1,0)</f>
        <v>0</v>
      </c>
      <c r="AY535" s="48">
        <f>VLOOKUP(AP535,COND!$A$10:$B$32,2,FALSE)</f>
        <v>1</v>
      </c>
      <c r="AZ535" s="46">
        <f>($AU$3*AU535+$AV$3*AV535+$AW$3*AW535+$AX$3*AX535)*AY535*IF(AQ535&lt;5,0.95,IF(AQ535&lt;7,0.975,1))+$I$3*VLOOKUP(I535,COND!$A$2:$E$7,4,FALSE)+$J$3*VLOOKUP(J535,COND!$A$2:$E$7,2,FALSE)+$K$3*VLOOKUP(K535,COND!$A$2:$E$7,3,FALSE)+IF(BB535="SP",$BB$3,0)+IF($AW535&lt;3,-5,0)+IF(AND($B$2&gt;0,$E535&lt;20),$B$2*25,0)</f>
        <v>22.086739979406651</v>
      </c>
      <c r="BA535" s="49">
        <f>STANDARDIZE(AZ535,AVERAGE($AZ$5:$AZ$570),STDEVP($AZ$5:$AZ$570))</f>
        <v>-0.97532180433468563</v>
      </c>
      <c r="BB535" s="47" t="str">
        <f>IF(OR(AND(AQ535&gt;7,AX535&gt;1),AND(AQ535&gt;4,AW535&gt;2)),"SP","RP")</f>
        <v>RP</v>
      </c>
      <c r="BC535" s="47"/>
      <c r="BD535" s="47"/>
      <c r="BE535" s="47"/>
      <c r="BF535" s="47" t="str">
        <f>IF(AVERAGE($O535:$Q535)&gt;=6,"Likely",IF(AVERAGE($O535:$Q535)&gt;=4,"Possible","Unlikely"))</f>
        <v>Unlikely</v>
      </c>
      <c r="BG535" s="47"/>
      <c r="BH535" s="47" t="str">
        <f>INDEX(Table5[[#All],[Ovr]],MATCH(Table3[[#This Row],[PID]],Table5[[#All],[PID]],0))</f>
        <v/>
      </c>
      <c r="BI535" s="47" t="str">
        <f>INDEX(Table5[[#All],[Rnd]],MATCH(Table3[[#This Row],[PID]],Table5[[#All],[PID]],0))</f>
        <v/>
      </c>
      <c r="BJ535" s="47" t="str">
        <f>INDEX(Table5[[#All],[Pick]],MATCH(Table3[[#This Row],[PID]],Table5[[#All],[PID]],0))</f>
        <v/>
      </c>
      <c r="BK535" s="47" t="str">
        <f>INDEX(Table5[[#All],[Team]],MATCH(Table3[[#This Row],[PID]],Table5[[#All],[PID]],0))</f>
        <v/>
      </c>
      <c r="BL5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6" spans="1:64" ht="15" customHeight="1" x14ac:dyDescent="0.25">
      <c r="A536" s="42">
        <v>9718</v>
      </c>
      <c r="B536" s="42" t="s">
        <v>430</v>
      </c>
      <c r="C536" s="42" t="s">
        <v>1664</v>
      </c>
      <c r="D536" s="42" t="s">
        <v>1665</v>
      </c>
      <c r="E536" s="42">
        <v>21</v>
      </c>
      <c r="F536" s="42" t="s">
        <v>42</v>
      </c>
      <c r="G536" s="42" t="s">
        <v>42</v>
      </c>
      <c r="H536" s="43" t="s">
        <v>721</v>
      </c>
      <c r="I536" s="44" t="s">
        <v>43</v>
      </c>
      <c r="J536" s="42" t="s">
        <v>43</v>
      </c>
      <c r="K536" s="43" t="s">
        <v>43</v>
      </c>
      <c r="L536" s="42">
        <v>2</v>
      </c>
      <c r="M536" s="42">
        <v>1</v>
      </c>
      <c r="N536" s="43">
        <v>2</v>
      </c>
      <c r="O536" s="42">
        <v>4</v>
      </c>
      <c r="P536" s="42">
        <v>1</v>
      </c>
      <c r="Q536" s="43">
        <v>2</v>
      </c>
      <c r="R536" s="42">
        <v>3</v>
      </c>
      <c r="S536" s="42">
        <v>4</v>
      </c>
      <c r="T536" s="42">
        <v>2</v>
      </c>
      <c r="U536" s="42">
        <v>6</v>
      </c>
      <c r="V536" s="42" t="s">
        <v>45</v>
      </c>
      <c r="W536" s="42" t="s">
        <v>45</v>
      </c>
      <c r="X536" s="42" t="s">
        <v>45</v>
      </c>
      <c r="Y536" s="42" t="s">
        <v>45</v>
      </c>
      <c r="Z536" s="42" t="s">
        <v>45</v>
      </c>
      <c r="AA536" s="42" t="s">
        <v>45</v>
      </c>
      <c r="AB536" s="42" t="s">
        <v>45</v>
      </c>
      <c r="AC536" s="42" t="s">
        <v>45</v>
      </c>
      <c r="AD536" s="42" t="s">
        <v>45</v>
      </c>
      <c r="AE536" s="42" t="s">
        <v>45</v>
      </c>
      <c r="AF536" s="42" t="s">
        <v>45</v>
      </c>
      <c r="AG536" s="42" t="s">
        <v>45</v>
      </c>
      <c r="AH536" s="42" t="s">
        <v>45</v>
      </c>
      <c r="AI536" s="42" t="s">
        <v>45</v>
      </c>
      <c r="AJ536" s="42" t="s">
        <v>45</v>
      </c>
      <c r="AK536" s="42" t="s">
        <v>45</v>
      </c>
      <c r="AL536" s="42">
        <v>2</v>
      </c>
      <c r="AM536" s="42">
        <v>5</v>
      </c>
      <c r="AN536" s="42" t="s">
        <v>45</v>
      </c>
      <c r="AO536" s="43" t="s">
        <v>45</v>
      </c>
      <c r="AP536" s="42" t="s">
        <v>355</v>
      </c>
      <c r="AQ536" s="42">
        <v>6</v>
      </c>
      <c r="AR536" s="50" t="s">
        <v>357</v>
      </c>
      <c r="AS536" s="45" t="s">
        <v>45</v>
      </c>
      <c r="AT536" s="45" t="s">
        <v>705</v>
      </c>
      <c r="AU536" s="46">
        <f>($O$3*(L536-$O$1)/$O$2+$P$3*(M536-$P$1)/$P$2+$Q$3*(N536-$P$1)/$Q$2)/SUM($O$3:$Q$3)</f>
        <v>-2.2644723474043147</v>
      </c>
      <c r="AV536" s="46">
        <f>($O$3*(O536-$O$1)/$O$2+$P$3*(P536-$P$1)/$P$2+$Q$3*(Q536-$Q$1)/$Q$2)/SUM($O$3:$Q$3)</f>
        <v>-1.4295949476488956</v>
      </c>
      <c r="AW536" s="47">
        <f>COUNT(R536:AO536)/2</f>
        <v>3</v>
      </c>
      <c r="AX536" s="47">
        <f>IF(AND(S536&lt;&gt;"-",S536&gt;5),1,0)+IF(AND(U536&lt;&gt;"-",U536&gt;5),1,0)+IF(AND(W536&lt;&gt;"-",W536&gt;5),1,0)+IF(AND(Y536&lt;&gt;"-",Y536&gt;5),1,0)+IF(AND(AA536&lt;&gt;"-",AA536&gt;5),1,0)+IF(AND(AC536&lt;&gt;"-",AC536&gt;5),1,0)+IF(AND(AE536&lt;&gt;"-",AE536&gt;5),1,0)+IF(AND(AG536&lt;&gt;"-",AG536&gt;5),1,0)+IF(AND(AI536&lt;&gt;"-",AI536&gt;5),1,0)+IF(AND(AK536&lt;&gt;"-",AK536&gt;5),1,0)+IF(AND(AM536&lt;&gt;"-",AM536&gt;5),1,0)+IF(AND(AO536&lt;&gt;"-",AO536&gt;5),1,0)</f>
        <v>1</v>
      </c>
      <c r="AY536" s="48">
        <f>VLOOKUP(AP536,COND!$A$10:$B$32,2,FALSE)</f>
        <v>1</v>
      </c>
      <c r="AZ536" s="46">
        <f>($AU$3*AU536+$AV$3*AV536+$AW$3*AW536+$AX$3*AX536)*AY536*IF(AQ536&lt;5,0.95,IF(AQ536&lt;7,0.975,1))+$I$3*VLOOKUP(I536,COND!$A$2:$E$7,4,FALSE)+$J$3*VLOOKUP(J536,COND!$A$2:$E$7,2,FALSE)+$K$3*VLOOKUP(K536,COND!$A$2:$E$7,3,FALSE)+IF(BB536="SP",$BB$3,0)+IF($AW536&lt;3,-5,0)+IF(AND($B$2&gt;0,$E536&lt;20),$B$2*25,0)</f>
        <v>21.362576413102694</v>
      </c>
      <c r="BA536" s="49">
        <f>STANDARDIZE(AZ536,AVERAGE($AZ$5:$AZ$570),STDEVP($AZ$5:$AZ$570))</f>
        <v>-1.0417306985048918</v>
      </c>
      <c r="BB536" s="47" t="str">
        <f>IF(OR(AND(AQ536&gt;7,AX536&gt;1),AND(AQ536&gt;4,AW536&gt;2)),"SP","RP")</f>
        <v>SP</v>
      </c>
      <c r="BC536" s="47"/>
      <c r="BD536" s="47"/>
      <c r="BE536" s="47"/>
      <c r="BF536" s="47" t="str">
        <f>IF(AVERAGE($O536:$Q536)&gt;=6,"Likely",IF(AVERAGE($O536:$Q536)&gt;=4,"Possible","Unlikely"))</f>
        <v>Unlikely</v>
      </c>
      <c r="BG536" s="47"/>
      <c r="BH536" s="47" t="str">
        <f>INDEX(Table5[[#All],[Ovr]],MATCH(Table3[[#This Row],[PID]],Table5[[#All],[PID]],0))</f>
        <v/>
      </c>
      <c r="BI536" s="47" t="str">
        <f>INDEX(Table5[[#All],[Rnd]],MATCH(Table3[[#This Row],[PID]],Table5[[#All],[PID]],0))</f>
        <v/>
      </c>
      <c r="BJ536" s="47" t="str">
        <f>INDEX(Table5[[#All],[Pick]],MATCH(Table3[[#This Row],[PID]],Table5[[#All],[PID]],0))</f>
        <v/>
      </c>
      <c r="BK536" s="47" t="str">
        <f>INDEX(Table5[[#All],[Team]],MATCH(Table3[[#This Row],[PID]],Table5[[#All],[PID]],0))</f>
        <v/>
      </c>
      <c r="BL5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7" spans="1:64" ht="15" customHeight="1" x14ac:dyDescent="0.25">
      <c r="A537" s="42">
        <v>7316</v>
      </c>
      <c r="B537" s="42" t="s">
        <v>430</v>
      </c>
      <c r="C537" s="42" t="s">
        <v>563</v>
      </c>
      <c r="D537" s="42" t="s">
        <v>165</v>
      </c>
      <c r="E537" s="42">
        <v>22</v>
      </c>
      <c r="F537" s="42" t="s">
        <v>42</v>
      </c>
      <c r="G537" s="42" t="s">
        <v>53</v>
      </c>
      <c r="H537" s="43" t="s">
        <v>721</v>
      </c>
      <c r="I537" s="44" t="s">
        <v>43</v>
      </c>
      <c r="J537" s="42" t="s">
        <v>43</v>
      </c>
      <c r="K537" s="43" t="s">
        <v>43</v>
      </c>
      <c r="L537" s="42">
        <v>3</v>
      </c>
      <c r="M537" s="42">
        <v>1</v>
      </c>
      <c r="N537" s="43">
        <v>1</v>
      </c>
      <c r="O537" s="42">
        <v>4</v>
      </c>
      <c r="P537" s="42">
        <v>1</v>
      </c>
      <c r="Q537" s="43">
        <v>2</v>
      </c>
      <c r="R537" s="42">
        <v>4</v>
      </c>
      <c r="S537" s="42">
        <v>5</v>
      </c>
      <c r="T537" s="42">
        <v>3</v>
      </c>
      <c r="U537" s="42">
        <v>7</v>
      </c>
      <c r="V537" s="42">
        <v>3</v>
      </c>
      <c r="W537" s="42">
        <v>5</v>
      </c>
      <c r="X537" s="42" t="s">
        <v>45</v>
      </c>
      <c r="Y537" s="42" t="s">
        <v>45</v>
      </c>
      <c r="Z537" s="42" t="s">
        <v>45</v>
      </c>
      <c r="AA537" s="42" t="s">
        <v>45</v>
      </c>
      <c r="AB537" s="42" t="s">
        <v>45</v>
      </c>
      <c r="AC537" s="42" t="s">
        <v>45</v>
      </c>
      <c r="AD537" s="42" t="s">
        <v>45</v>
      </c>
      <c r="AE537" s="42" t="s">
        <v>45</v>
      </c>
      <c r="AF537" s="42" t="s">
        <v>45</v>
      </c>
      <c r="AG537" s="42" t="s">
        <v>45</v>
      </c>
      <c r="AH537" s="42" t="s">
        <v>45</v>
      </c>
      <c r="AI537" s="42" t="s">
        <v>45</v>
      </c>
      <c r="AJ537" s="42" t="s">
        <v>45</v>
      </c>
      <c r="AK537" s="42" t="s">
        <v>45</v>
      </c>
      <c r="AL537" s="42" t="s">
        <v>45</v>
      </c>
      <c r="AM537" s="42" t="s">
        <v>45</v>
      </c>
      <c r="AN537" s="42" t="s">
        <v>45</v>
      </c>
      <c r="AO537" s="43" t="s">
        <v>45</v>
      </c>
      <c r="AP537" s="42" t="s">
        <v>356</v>
      </c>
      <c r="AQ537" s="42">
        <v>6</v>
      </c>
      <c r="AR537" s="50" t="s">
        <v>14</v>
      </c>
      <c r="AS537" s="45" t="s">
        <v>45</v>
      </c>
      <c r="AT537" s="45" t="s">
        <v>705</v>
      </c>
      <c r="AU537" s="46">
        <f>($O$3*(L537-$O$1)/$O$2+$P$3*(M537-$P$1)/$P$2+$Q$3*(N537-$P$1)/$Q$2)/SUM($O$3:$Q$3)</f>
        <v>-2.3121015889492513</v>
      </c>
      <c r="AV537" s="46">
        <f>($O$3*(O537-$O$1)/$O$2+$P$3*(P537-$P$1)/$P$2+$Q$3*(Q537-$Q$1)/$Q$2)/SUM($O$3:$Q$3)</f>
        <v>-1.4295949476488956</v>
      </c>
      <c r="AW537" s="47">
        <f>COUNT(R537:AO537)/2</f>
        <v>3</v>
      </c>
      <c r="AX537" s="47">
        <f>IF(AND(S537&lt;&gt;"-",S537&gt;5),1,0)+IF(AND(U537&lt;&gt;"-",U537&gt;5),1,0)+IF(AND(W537&lt;&gt;"-",W537&gt;5),1,0)+IF(AND(Y537&lt;&gt;"-",Y537&gt;5),1,0)+IF(AND(AA537&lt;&gt;"-",AA537&gt;5),1,0)+IF(AND(AC537&lt;&gt;"-",AC537&gt;5),1,0)+IF(AND(AE537&lt;&gt;"-",AE537&gt;5),1,0)+IF(AND(AG537&lt;&gt;"-",AG537&gt;5),1,0)+IF(AND(AI537&lt;&gt;"-",AI537&gt;5),1,0)+IF(AND(AK537&lt;&gt;"-",AK537&gt;5),1,0)+IF(AND(AM537&lt;&gt;"-",AM537&gt;5),1,0)+IF(AND(AO537&lt;&gt;"-",AO537&gt;5),1,0)</f>
        <v>1</v>
      </c>
      <c r="AY537" s="48">
        <f>VLOOKUP(AP537,COND!$A$10:$B$32,2,FALSE)</f>
        <v>1</v>
      </c>
      <c r="AZ537" s="46">
        <f>($AU$3*AU537+$AV$3*AV537+$AW$3*AW537+$AX$3*AX537)*AY537*IF(AQ537&lt;5,0.95,IF(AQ537&lt;7,0.975,1))+$I$3*VLOOKUP(I537,COND!$A$2:$E$7,4,FALSE)+$J$3*VLOOKUP(J537,COND!$A$2:$E$7,2,FALSE)+$K$3*VLOOKUP(K537,COND!$A$2:$E$7,3,FALSE)+IF(BB537="SP",$BB$3,0)+IF($AW537&lt;3,-5,0)+IF(AND($B$2&gt;0,$E537&lt;20),$B$2*25,0)</f>
        <v>21.353288711001433</v>
      </c>
      <c r="BA537" s="49">
        <f>STANDARDIZE(AZ537,AVERAGE($AZ$5:$AZ$570),STDEVP($AZ$5:$AZ$570))</f>
        <v>-1.0425824204840504</v>
      </c>
      <c r="BB537" s="47" t="str">
        <f>IF(OR(AND(AQ537&gt;7,AX537&gt;1),AND(AQ537&gt;4,AW537&gt;2)),"SP","RP")</f>
        <v>SP</v>
      </c>
      <c r="BC537" s="47"/>
      <c r="BD537" s="47"/>
      <c r="BE537" s="47"/>
      <c r="BF537" s="47" t="str">
        <f>IF(AVERAGE($O537:$Q537)&gt;=6,"Likely",IF(AVERAGE($O537:$Q537)&gt;=4,"Possible","Unlikely"))</f>
        <v>Unlikely</v>
      </c>
      <c r="BG537" s="47"/>
      <c r="BH537" s="47" t="str">
        <f>INDEX(Table5[[#All],[Ovr]],MATCH(Table3[[#This Row],[PID]],Table5[[#All],[PID]],0))</f>
        <v/>
      </c>
      <c r="BI537" s="47" t="str">
        <f>INDEX(Table5[[#All],[Rnd]],MATCH(Table3[[#This Row],[PID]],Table5[[#All],[PID]],0))</f>
        <v/>
      </c>
      <c r="BJ537" s="47" t="str">
        <f>INDEX(Table5[[#All],[Pick]],MATCH(Table3[[#This Row],[PID]],Table5[[#All],[PID]],0))</f>
        <v/>
      </c>
      <c r="BK537" s="47" t="str">
        <f>INDEX(Table5[[#All],[Team]],MATCH(Table3[[#This Row],[PID]],Table5[[#All],[PID]],0))</f>
        <v/>
      </c>
      <c r="BL5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8" spans="1:64" ht="15" customHeight="1" x14ac:dyDescent="0.25">
      <c r="A538" s="42">
        <v>12587</v>
      </c>
      <c r="B538" s="42" t="s">
        <v>430</v>
      </c>
      <c r="C538" s="42" t="s">
        <v>1230</v>
      </c>
      <c r="D538" s="42" t="s">
        <v>1019</v>
      </c>
      <c r="E538" s="42">
        <v>21</v>
      </c>
      <c r="F538" s="42" t="s">
        <v>53</v>
      </c>
      <c r="G538" s="42" t="s">
        <v>42</v>
      </c>
      <c r="H538" s="43" t="s">
        <v>721</v>
      </c>
      <c r="I538" s="44" t="s">
        <v>43</v>
      </c>
      <c r="J538" s="42" t="s">
        <v>43</v>
      </c>
      <c r="K538" s="43" t="s">
        <v>43</v>
      </c>
      <c r="L538" s="42">
        <v>2</v>
      </c>
      <c r="M538" s="42">
        <v>2</v>
      </c>
      <c r="N538" s="43">
        <v>1</v>
      </c>
      <c r="O538" s="42">
        <v>3</v>
      </c>
      <c r="P538" s="42">
        <v>2</v>
      </c>
      <c r="Q538" s="43">
        <v>2</v>
      </c>
      <c r="R538" s="42">
        <v>3</v>
      </c>
      <c r="S538" s="42">
        <v>4</v>
      </c>
      <c r="T538" s="42">
        <v>3</v>
      </c>
      <c r="U538" s="42">
        <v>4</v>
      </c>
      <c r="V538" s="42">
        <v>2</v>
      </c>
      <c r="W538" s="42">
        <v>3</v>
      </c>
      <c r="X538" s="42" t="s">
        <v>45</v>
      </c>
      <c r="Y538" s="42" t="s">
        <v>45</v>
      </c>
      <c r="Z538" s="42" t="s">
        <v>45</v>
      </c>
      <c r="AA538" s="42" t="s">
        <v>45</v>
      </c>
      <c r="AB538" s="42" t="s">
        <v>45</v>
      </c>
      <c r="AC538" s="42" t="s">
        <v>45</v>
      </c>
      <c r="AD538" s="42" t="s">
        <v>45</v>
      </c>
      <c r="AE538" s="42" t="s">
        <v>45</v>
      </c>
      <c r="AF538" s="42">
        <v>2</v>
      </c>
      <c r="AG538" s="42">
        <v>3</v>
      </c>
      <c r="AH538" s="42" t="s">
        <v>45</v>
      </c>
      <c r="AI538" s="42" t="s">
        <v>45</v>
      </c>
      <c r="AJ538" s="42" t="s">
        <v>45</v>
      </c>
      <c r="AK538" s="42" t="s">
        <v>45</v>
      </c>
      <c r="AL538" s="42" t="s">
        <v>45</v>
      </c>
      <c r="AM538" s="42" t="s">
        <v>45</v>
      </c>
      <c r="AN538" s="42" t="s">
        <v>45</v>
      </c>
      <c r="AO538" s="43" t="s">
        <v>45</v>
      </c>
      <c r="AP538" s="42" t="s">
        <v>68</v>
      </c>
      <c r="AQ538" s="42">
        <v>6</v>
      </c>
      <c r="AR538" s="50" t="s">
        <v>353</v>
      </c>
      <c r="AS538" s="45" t="s">
        <v>45</v>
      </c>
      <c r="AT538" s="45" t="s">
        <v>47</v>
      </c>
      <c r="AU538" s="46">
        <f>($O$3*(L538-$O$1)/$O$2+$P$3*(M538-$P$1)/$P$2+$Q$3*(N538-$P$1)/$Q$2)/SUM($O$3:$Q$3)</f>
        <v>-2.311361197028369</v>
      </c>
      <c r="AV538" s="46">
        <f>($O$3*(O538-$O$1)/$O$2+$P$3*(P538-$P$1)/$P$2+$Q$3*(Q538-$Q$1)/$Q$2)/SUM($O$3:$Q$3)</f>
        <v>-1.4288545557280135</v>
      </c>
      <c r="AW538" s="47">
        <f>COUNT(R538:AO538)/2</f>
        <v>4</v>
      </c>
      <c r="AX538" s="47">
        <f>IF(AND(S538&lt;&gt;"-",S538&gt;5),1,0)+IF(AND(U538&lt;&gt;"-",U538&gt;5),1,0)+IF(AND(W538&lt;&gt;"-",W538&gt;5),1,0)+IF(AND(Y538&lt;&gt;"-",Y538&gt;5),1,0)+IF(AND(AA538&lt;&gt;"-",AA538&gt;5),1,0)+IF(AND(AC538&lt;&gt;"-",AC538&gt;5),1,0)+IF(AND(AE538&lt;&gt;"-",AE538&gt;5),1,0)+IF(AND(AG538&lt;&gt;"-",AG538&gt;5),1,0)+IF(AND(AI538&lt;&gt;"-",AI538&gt;5),1,0)+IF(AND(AK538&lt;&gt;"-",AK538&gt;5),1,0)+IF(AND(AM538&lt;&gt;"-",AM538&gt;5),1,0)+IF(AND(AO538&lt;&gt;"-",AO538&gt;5),1,0)</f>
        <v>0</v>
      </c>
      <c r="AY538" s="48">
        <f>VLOOKUP(AP538,COND!$A$10:$B$32,2,FALSE)</f>
        <v>0.95</v>
      </c>
      <c r="AZ538" s="46">
        <f>($AU$3*AU538+$AV$3*AV538+$AW$3*AW538+$AX$3*AX538)*AY538*IF(AQ538&lt;5,0.95,IF(AQ538&lt;7,0.975,1))+$I$3*VLOOKUP(I538,COND!$A$2:$E$7,4,FALSE)+$J$3*VLOOKUP(J538,COND!$A$2:$E$7,2,FALSE)+$K$3*VLOOKUP(K538,COND!$A$2:$E$7,3,FALSE)+IF(BB538="SP",$BB$3,0)+IF($AW538&lt;3,-5,0)+IF(AND($B$2&gt;0,$E538&lt;20),$B$2*25,0)</f>
        <v>21.954789693389049</v>
      </c>
      <c r="BA538" s="49">
        <f>STANDARDIZE(AZ538,AVERAGE($AZ$5:$AZ$676),STDEVP($AZ$5:$AZ$676))</f>
        <v>-0.73974344246805945</v>
      </c>
      <c r="BB538" s="47" t="str">
        <f>IF(OR(AND(AQ538&gt;7,AX538&gt;1),AND(AQ538&gt;4,AW538&gt;2)),"SP","RP")</f>
        <v>SP</v>
      </c>
      <c r="BC538" s="47"/>
      <c r="BD538" s="47"/>
      <c r="BE538" s="47"/>
      <c r="BF538" s="47" t="str">
        <f>IF(AVERAGE($O538:$Q538)&gt;=6,"Likely",IF(AVERAGE($O538:$Q538)&gt;=4,"Possible","Unlikely"))</f>
        <v>Unlikely</v>
      </c>
      <c r="BG538" s="47"/>
      <c r="BH538" s="47" t="str">
        <f>INDEX(Table5[[#All],[Ovr]],MATCH(Table3[[#This Row],[PID]],Table5[[#All],[PID]],0))</f>
        <v/>
      </c>
      <c r="BI538" s="47" t="str">
        <f>INDEX(Table5[[#All],[Rnd]],MATCH(Table3[[#This Row],[PID]],Table5[[#All],[PID]],0))</f>
        <v/>
      </c>
      <c r="BJ538" s="47" t="str">
        <f>INDEX(Table5[[#All],[Pick]],MATCH(Table3[[#This Row],[PID]],Table5[[#All],[PID]],0))</f>
        <v/>
      </c>
      <c r="BK538" s="47" t="str">
        <f>INDEX(Table5[[#All],[Team]],MATCH(Table3[[#This Row],[PID]],Table5[[#All],[PID]],0))</f>
        <v/>
      </c>
      <c r="BL5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9" spans="1:64" ht="15" customHeight="1" x14ac:dyDescent="0.25">
      <c r="A539" s="42">
        <v>17944</v>
      </c>
      <c r="B539" s="42" t="s">
        <v>430</v>
      </c>
      <c r="C539" s="42" t="s">
        <v>1807</v>
      </c>
      <c r="D539" s="42" t="s">
        <v>1302</v>
      </c>
      <c r="E539" s="42">
        <v>18</v>
      </c>
      <c r="F539" s="42" t="s">
        <v>42</v>
      </c>
      <c r="G539" s="42" t="s">
        <v>42</v>
      </c>
      <c r="H539" s="43" t="s">
        <v>721</v>
      </c>
      <c r="I539" s="44" t="s">
        <v>47</v>
      </c>
      <c r="J539" s="42" t="s">
        <v>43</v>
      </c>
      <c r="K539" s="43" t="s">
        <v>43</v>
      </c>
      <c r="L539" s="42">
        <v>1</v>
      </c>
      <c r="M539" s="42">
        <v>2</v>
      </c>
      <c r="N539" s="43">
        <v>1</v>
      </c>
      <c r="O539" s="42">
        <v>2</v>
      </c>
      <c r="P539" s="42">
        <v>2</v>
      </c>
      <c r="Q539" s="43">
        <v>2</v>
      </c>
      <c r="R539" s="42">
        <v>3</v>
      </c>
      <c r="S539" s="42">
        <v>3</v>
      </c>
      <c r="T539" s="42">
        <v>1</v>
      </c>
      <c r="U539" s="42">
        <v>4</v>
      </c>
      <c r="V539" s="42" t="s">
        <v>45</v>
      </c>
      <c r="W539" s="42" t="s">
        <v>45</v>
      </c>
      <c r="X539" s="42">
        <v>2</v>
      </c>
      <c r="Y539" s="42">
        <v>4</v>
      </c>
      <c r="Z539" s="42" t="s">
        <v>45</v>
      </c>
      <c r="AA539" s="42" t="s">
        <v>45</v>
      </c>
      <c r="AB539" s="42" t="s">
        <v>45</v>
      </c>
      <c r="AC539" s="42" t="s">
        <v>45</v>
      </c>
      <c r="AD539" s="42" t="s">
        <v>45</v>
      </c>
      <c r="AE539" s="42" t="s">
        <v>45</v>
      </c>
      <c r="AF539" s="42" t="s">
        <v>45</v>
      </c>
      <c r="AG539" s="42" t="s">
        <v>45</v>
      </c>
      <c r="AH539" s="42" t="s">
        <v>45</v>
      </c>
      <c r="AI539" s="42" t="s">
        <v>45</v>
      </c>
      <c r="AJ539" s="42" t="s">
        <v>45</v>
      </c>
      <c r="AK539" s="42" t="s">
        <v>45</v>
      </c>
      <c r="AL539" s="42" t="s">
        <v>45</v>
      </c>
      <c r="AM539" s="42" t="s">
        <v>45</v>
      </c>
      <c r="AN539" s="42" t="s">
        <v>45</v>
      </c>
      <c r="AO539" s="43" t="s">
        <v>45</v>
      </c>
      <c r="AP539" s="42" t="s">
        <v>65</v>
      </c>
      <c r="AQ539" s="42">
        <v>4</v>
      </c>
      <c r="AR539" s="50" t="s">
        <v>353</v>
      </c>
      <c r="AS539" s="45" t="s">
        <v>758</v>
      </c>
      <c r="AT539" s="45" t="s">
        <v>47</v>
      </c>
      <c r="AU539" s="46">
        <f>($O$3*(L539-$O$1)/$O$2+$P$3*(M539-$P$1)/$P$2+$Q$3*(N539-$P$1)/$Q$2)/SUM($O$3:$Q$3)</f>
        <v>-2.5060525215375429</v>
      </c>
      <c r="AV539" s="46">
        <f>($O$3*(O539-$O$1)/$O$2+$P$3*(P539-$P$1)/$P$2+$Q$3*(Q539-$Q$1)/$Q$2)/SUM($O$3:$Q$3)</f>
        <v>-1.6235458802371869</v>
      </c>
      <c r="AW539" s="47">
        <f>COUNT(R539:AO539)/2</f>
        <v>3</v>
      </c>
      <c r="AX539" s="47">
        <f>IF(AND(S539&lt;&gt;"-",S539&gt;5),1,0)+IF(AND(U539&lt;&gt;"-",U539&gt;5),1,0)+IF(AND(W539&lt;&gt;"-",W539&gt;5),1,0)+IF(AND(Y539&lt;&gt;"-",Y539&gt;5),1,0)+IF(AND(AA539&lt;&gt;"-",AA539&gt;5),1,0)+IF(AND(AC539&lt;&gt;"-",AC539&gt;5),1,0)+IF(AND(AE539&lt;&gt;"-",AE539&gt;5),1,0)+IF(AND(AG539&lt;&gt;"-",AG539&gt;5),1,0)+IF(AND(AI539&lt;&gt;"-",AI539&gt;5),1,0)+IF(AND(AK539&lt;&gt;"-",AK539&gt;5),1,0)+IF(AND(AM539&lt;&gt;"-",AM539&gt;5),1,0)+IF(AND(AO539&lt;&gt;"-",AO539&gt;5),1,0)</f>
        <v>0</v>
      </c>
      <c r="AY539" s="48">
        <f>VLOOKUP(AP539,COND!$A$10:$B$32,2,FALSE)</f>
        <v>0.95</v>
      </c>
      <c r="AZ539" s="46">
        <f>($AU$3*AU539+$AV$3*AV539+$AW$3*AW539+$AX$3*AX539)*AY539*IF(AQ539&lt;5,0.95,IF(AQ539&lt;7,0.975,1))+$I$3*VLOOKUP(I539,COND!$A$2:$E$7,4,FALSE)+$J$3*VLOOKUP(J539,COND!$A$2:$E$7,2,FALSE)+$K$3*VLOOKUP(K539,COND!$A$2:$E$7,3,FALSE)+IF(BB539="SP",$BB$3,0)+IF($AW539&lt;3,-5,0)+IF(AND($B$2&gt;0,$E539&lt;20),$B$2*25,0)</f>
        <v>21.82140438158125</v>
      </c>
      <c r="BA539" s="49">
        <f>STANDARDIZE(AZ539,AVERAGE($AZ$5:$AZ$676),STDEVP($AZ$5:$AZ$676))</f>
        <v>-0.75143367822040041</v>
      </c>
      <c r="BB539" s="47" t="str">
        <f>IF(OR(AND(AQ539&gt;7,AX539&gt;1),AND(AQ539&gt;4,AW539&gt;2)),"SP","RP")</f>
        <v>RP</v>
      </c>
      <c r="BC539" s="47"/>
      <c r="BD539" s="47"/>
      <c r="BE539" s="47"/>
      <c r="BF539" s="47" t="str">
        <f>IF(AVERAGE($O539:$Q539)&gt;=6,"Likely",IF(AVERAGE($O539:$Q539)&gt;=4,"Possible","Unlikely"))</f>
        <v>Unlikely</v>
      </c>
      <c r="BG539" s="47"/>
      <c r="BH539" s="47" t="str">
        <f>INDEX(Table5[[#All],[Ovr]],MATCH(Table3[[#This Row],[PID]],Table5[[#All],[PID]],0))</f>
        <v/>
      </c>
      <c r="BI539" s="47" t="str">
        <f>INDEX(Table5[[#All],[Rnd]],MATCH(Table3[[#This Row],[PID]],Table5[[#All],[PID]],0))</f>
        <v/>
      </c>
      <c r="BJ539" s="47" t="str">
        <f>INDEX(Table5[[#All],[Pick]],MATCH(Table3[[#This Row],[PID]],Table5[[#All],[PID]],0))</f>
        <v/>
      </c>
      <c r="BK539" s="47" t="str">
        <f>INDEX(Table5[[#All],[Team]],MATCH(Table3[[#This Row],[PID]],Table5[[#All],[PID]],0))</f>
        <v/>
      </c>
      <c r="BL5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0" spans="1:64" ht="15" customHeight="1" x14ac:dyDescent="0.25">
      <c r="A540" s="42">
        <v>8218</v>
      </c>
      <c r="B540" s="42" t="s">
        <v>430</v>
      </c>
      <c r="C540" s="42" t="s">
        <v>176</v>
      </c>
      <c r="D540" s="42" t="s">
        <v>1646</v>
      </c>
      <c r="E540" s="42">
        <v>18</v>
      </c>
      <c r="F540" s="42" t="s">
        <v>53</v>
      </c>
      <c r="G540" s="42" t="s">
        <v>53</v>
      </c>
      <c r="H540" s="43" t="s">
        <v>721</v>
      </c>
      <c r="I540" s="44" t="s">
        <v>43</v>
      </c>
      <c r="J540" s="42" t="s">
        <v>44</v>
      </c>
      <c r="K540" s="43" t="s">
        <v>44</v>
      </c>
      <c r="L540" s="42">
        <v>1</v>
      </c>
      <c r="M540" s="42">
        <v>2</v>
      </c>
      <c r="N540" s="43">
        <v>1</v>
      </c>
      <c r="O540" s="42">
        <v>3</v>
      </c>
      <c r="P540" s="42">
        <v>2</v>
      </c>
      <c r="Q540" s="43">
        <v>2</v>
      </c>
      <c r="R540" s="42" t="s">
        <v>45</v>
      </c>
      <c r="S540" s="42" t="s">
        <v>45</v>
      </c>
      <c r="T540" s="42" t="s">
        <v>45</v>
      </c>
      <c r="U540" s="42" t="s">
        <v>45</v>
      </c>
      <c r="V540" s="42">
        <v>1</v>
      </c>
      <c r="W540" s="42">
        <v>4</v>
      </c>
      <c r="X540" s="42">
        <v>2</v>
      </c>
      <c r="Y540" s="42">
        <v>4</v>
      </c>
      <c r="Z540" s="42" t="s">
        <v>45</v>
      </c>
      <c r="AA540" s="42" t="s">
        <v>45</v>
      </c>
      <c r="AB540" s="42" t="s">
        <v>45</v>
      </c>
      <c r="AC540" s="42" t="s">
        <v>45</v>
      </c>
      <c r="AD540" s="42">
        <v>2</v>
      </c>
      <c r="AE540" s="42">
        <v>4</v>
      </c>
      <c r="AF540" s="42" t="s">
        <v>45</v>
      </c>
      <c r="AG540" s="42" t="s">
        <v>45</v>
      </c>
      <c r="AH540" s="42" t="s">
        <v>45</v>
      </c>
      <c r="AI540" s="42" t="s">
        <v>45</v>
      </c>
      <c r="AJ540" s="42" t="s">
        <v>45</v>
      </c>
      <c r="AK540" s="42" t="s">
        <v>45</v>
      </c>
      <c r="AL540" s="42" t="s">
        <v>45</v>
      </c>
      <c r="AM540" s="42" t="s">
        <v>45</v>
      </c>
      <c r="AN540" s="42" t="s">
        <v>45</v>
      </c>
      <c r="AO540" s="43" t="s">
        <v>45</v>
      </c>
      <c r="AP540" s="42" t="s">
        <v>64</v>
      </c>
      <c r="AQ540" s="42">
        <v>1</v>
      </c>
      <c r="AR540" s="50" t="s">
        <v>353</v>
      </c>
      <c r="AS540" s="45" t="s">
        <v>718</v>
      </c>
      <c r="AT540" s="45" t="s">
        <v>705</v>
      </c>
      <c r="AU540" s="46">
        <f>($O$3*(L540-$O$1)/$O$2+$P$3*(M540-$P$1)/$P$2+$Q$3*(N540-$P$1)/$Q$2)/SUM($O$3:$Q$3)</f>
        <v>-2.5060525215375429</v>
      </c>
      <c r="AV540" s="46">
        <f>($O$3*(O540-$O$1)/$O$2+$P$3*(P540-$P$1)/$P$2+$Q$3*(Q540-$Q$1)/$Q$2)/SUM($O$3:$Q$3)</f>
        <v>-1.4288545557280135</v>
      </c>
      <c r="AW540" s="47">
        <f>COUNT(R540:AO540)/2</f>
        <v>3</v>
      </c>
      <c r="AX540" s="47">
        <f>IF(AND(S540&lt;&gt;"-",S540&gt;5),1,0)+IF(AND(U540&lt;&gt;"-",U540&gt;5),1,0)+IF(AND(W540&lt;&gt;"-",W540&gt;5),1,0)+IF(AND(Y540&lt;&gt;"-",Y540&gt;5),1,0)+IF(AND(AA540&lt;&gt;"-",AA540&gt;5),1,0)+IF(AND(AC540&lt;&gt;"-",AC540&gt;5),1,0)+IF(AND(AE540&lt;&gt;"-",AE540&gt;5),1,0)+IF(AND(AG540&lt;&gt;"-",AG540&gt;5),1,0)+IF(AND(AI540&lt;&gt;"-",AI540&gt;5),1,0)+IF(AND(AK540&lt;&gt;"-",AK540&gt;5),1,0)+IF(AND(AM540&lt;&gt;"-",AM540&gt;5),1,0)+IF(AND(AO540&lt;&gt;"-",AO540&gt;5),1,0)</f>
        <v>0</v>
      </c>
      <c r="AY540" s="48">
        <f>VLOOKUP(AP540,COND!$A$10:$B$32,2,FALSE)</f>
        <v>1</v>
      </c>
      <c r="AZ540" s="46">
        <f>($AU$3*AU540+$AV$3*AV540+$AW$3*AW540+$AX$3*AX540)*AY540*IF(AQ540&lt;5,0.95,IF(AQ540&lt;7,0.975,1))+$I$3*VLOOKUP(I540,COND!$A$2:$E$7,4,FALSE)+$J$3*VLOOKUP(J540,COND!$A$2:$E$7,2,FALSE)+$K$3*VLOOKUP(K540,COND!$A$2:$E$7,3,FALSE)+IF(BB540="SP",$BB$3,0)+IF($AW540&lt;3,-5,0)+IF(AND($B$2&gt;0,$E540&lt;20),$B$2*25,0)</f>
        <v>23.200613462075612</v>
      </c>
      <c r="BA540" s="49">
        <f>STANDARDIZE(AZ540,AVERAGE($AZ$5:$AZ$676),STDEVP($AZ$5:$AZ$676))</f>
        <v>-0.63055620614925345</v>
      </c>
      <c r="BB540" s="47" t="str">
        <f>IF(OR(AND(AQ540&gt;7,AX540&gt;1),AND(AQ540&gt;4,AW540&gt;2)),"SP","RP")</f>
        <v>RP</v>
      </c>
      <c r="BC540" s="47"/>
      <c r="BD540" s="47"/>
      <c r="BE540" s="47"/>
      <c r="BF540" s="47" t="str">
        <f>IF(AVERAGE($O540:$Q540)&gt;=6,"Likely",IF(AVERAGE($O540:$Q540)&gt;=4,"Possible","Unlikely"))</f>
        <v>Unlikely</v>
      </c>
      <c r="BG540" s="47"/>
      <c r="BH540" s="47" t="str">
        <f>INDEX(Table5[[#All],[Ovr]],MATCH(Table3[[#This Row],[PID]],Table5[[#All],[PID]],0))</f>
        <v/>
      </c>
      <c r="BI540" s="47" t="str">
        <f>INDEX(Table5[[#All],[Rnd]],MATCH(Table3[[#This Row],[PID]],Table5[[#All],[PID]],0))</f>
        <v/>
      </c>
      <c r="BJ540" s="47" t="str">
        <f>INDEX(Table5[[#All],[Pick]],MATCH(Table3[[#This Row],[PID]],Table5[[#All],[PID]],0))</f>
        <v/>
      </c>
      <c r="BK540" s="47" t="str">
        <f>INDEX(Table5[[#All],[Team]],MATCH(Table3[[#This Row],[PID]],Table5[[#All],[PID]],0))</f>
        <v/>
      </c>
      <c r="BL5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1" spans="1:64" ht="15" customHeight="1" x14ac:dyDescent="0.25">
      <c r="A541" s="42">
        <v>17605</v>
      </c>
      <c r="B541" s="42" t="s">
        <v>430</v>
      </c>
      <c r="C541" s="42" t="s">
        <v>140</v>
      </c>
      <c r="D541" s="42" t="s">
        <v>669</v>
      </c>
      <c r="E541" s="42">
        <v>18</v>
      </c>
      <c r="F541" s="42" t="s">
        <v>42</v>
      </c>
      <c r="G541" s="42" t="s">
        <v>42</v>
      </c>
      <c r="H541" s="43" t="s">
        <v>721</v>
      </c>
      <c r="I541" s="44" t="s">
        <v>43</v>
      </c>
      <c r="J541" s="42" t="s">
        <v>43</v>
      </c>
      <c r="K541" s="43" t="s">
        <v>43</v>
      </c>
      <c r="L541" s="42">
        <v>1</v>
      </c>
      <c r="M541" s="42">
        <v>1</v>
      </c>
      <c r="N541" s="43">
        <v>1</v>
      </c>
      <c r="O541" s="42">
        <v>3</v>
      </c>
      <c r="P541" s="42">
        <v>1</v>
      </c>
      <c r="Q541" s="43">
        <v>2</v>
      </c>
      <c r="R541" s="42">
        <v>3</v>
      </c>
      <c r="S541" s="42">
        <v>3</v>
      </c>
      <c r="T541" s="42">
        <v>1</v>
      </c>
      <c r="U541" s="42">
        <v>4</v>
      </c>
      <c r="V541" s="42" t="s">
        <v>45</v>
      </c>
      <c r="W541" s="42" t="s">
        <v>45</v>
      </c>
      <c r="X541" s="42">
        <v>2</v>
      </c>
      <c r="Y541" s="42">
        <v>2</v>
      </c>
      <c r="Z541" s="42" t="s">
        <v>45</v>
      </c>
      <c r="AA541" s="42" t="s">
        <v>45</v>
      </c>
      <c r="AB541" s="42" t="s">
        <v>45</v>
      </c>
      <c r="AC541" s="42" t="s">
        <v>45</v>
      </c>
      <c r="AD541" s="42" t="s">
        <v>45</v>
      </c>
      <c r="AE541" s="42" t="s">
        <v>45</v>
      </c>
      <c r="AF541" s="42">
        <v>2</v>
      </c>
      <c r="AG541" s="42">
        <v>3</v>
      </c>
      <c r="AH541" s="42" t="s">
        <v>45</v>
      </c>
      <c r="AI541" s="42" t="s">
        <v>45</v>
      </c>
      <c r="AJ541" s="42" t="s">
        <v>45</v>
      </c>
      <c r="AK541" s="42" t="s">
        <v>45</v>
      </c>
      <c r="AL541" s="42" t="s">
        <v>45</v>
      </c>
      <c r="AM541" s="42" t="s">
        <v>45</v>
      </c>
      <c r="AN541" s="42" t="s">
        <v>45</v>
      </c>
      <c r="AO541" s="43" t="s">
        <v>45</v>
      </c>
      <c r="AP541" s="42" t="s">
        <v>64</v>
      </c>
      <c r="AQ541" s="42">
        <v>6</v>
      </c>
      <c r="AR541" s="50" t="s">
        <v>14</v>
      </c>
      <c r="AS541" s="45" t="s">
        <v>733</v>
      </c>
      <c r="AT541" s="45" t="s">
        <v>47</v>
      </c>
      <c r="AU541" s="46">
        <f>($O$3*(L541-$O$1)/$O$2+$P$3*(M541-$P$1)/$P$2+$Q$3*(N541-$P$1)/$Q$2)/SUM($O$3:$Q$3)</f>
        <v>-2.7014842379675978</v>
      </c>
      <c r="AV541" s="46">
        <f>($O$3*(O541-$O$1)/$O$2+$P$3*(P541-$P$1)/$P$2+$Q$3*(Q541-$Q$1)/$Q$2)/SUM($O$3:$Q$3)</f>
        <v>-1.6242862721580691</v>
      </c>
      <c r="AW541" s="47">
        <f>COUNT(R541:AO541)/2</f>
        <v>4</v>
      </c>
      <c r="AX541" s="47">
        <f>IF(AND(S541&lt;&gt;"-",S541&gt;5),1,0)+IF(AND(U541&lt;&gt;"-",U541&gt;5),1,0)+IF(AND(W541&lt;&gt;"-",W541&gt;5),1,0)+IF(AND(Y541&lt;&gt;"-",Y541&gt;5),1,0)+IF(AND(AA541&lt;&gt;"-",AA541&gt;5),1,0)+IF(AND(AC541&lt;&gt;"-",AC541&gt;5),1,0)+IF(AND(AE541&lt;&gt;"-",AE541&gt;5),1,0)+IF(AND(AG541&lt;&gt;"-",AG541&gt;5),1,0)+IF(AND(AI541&lt;&gt;"-",AI541&gt;5),1,0)+IF(AND(AK541&lt;&gt;"-",AK541&gt;5),1,0)+IF(AND(AM541&lt;&gt;"-",AM541&gt;5),1,0)+IF(AND(AO541&lt;&gt;"-",AO541&gt;5),1,0)</f>
        <v>0</v>
      </c>
      <c r="AY541" s="48">
        <f>VLOOKUP(AP541,COND!$A$10:$B$32,2,FALSE)</f>
        <v>1</v>
      </c>
      <c r="AZ541" s="46">
        <f>($AU$3*AU541+$AV$3*AV541+$AW$3*AW541+$AX$3*AX541)*AY541*IF(AQ541&lt;5,0.95,IF(AQ541&lt;7,0.975,1))+$I$3*VLOOKUP(I541,COND!$A$2:$E$7,4,FALSE)+$J$3*VLOOKUP(J541,COND!$A$2:$E$7,2,FALSE)+$K$3*VLOOKUP(K541,COND!$A$2:$E$7,3,FALSE)+IF(BB541="SP",$BB$3,0)+IF($AW541&lt;3,-5,0)+IF(AND($B$2&gt;0,$E541&lt;20),$B$2*25,0)</f>
        <v>21.74962826651397</v>
      </c>
      <c r="BA541" s="49">
        <f>STANDARDIZE(AZ541,AVERAGE($AZ$5:$AZ$676),STDEVP($AZ$5:$AZ$676))</f>
        <v>-0.75772432368316867</v>
      </c>
      <c r="BB541" s="47" t="str">
        <f>IF(OR(AND(AQ541&gt;7,AX541&gt;1),AND(AQ541&gt;4,AW541&gt;2)),"SP","RP")</f>
        <v>SP</v>
      </c>
      <c r="BC541" s="47"/>
      <c r="BD541" s="47"/>
      <c r="BE541" s="47"/>
      <c r="BF541" s="47" t="str">
        <f>IF(AVERAGE($O541:$Q541)&gt;=6,"Likely",IF(AVERAGE($O541:$Q541)&gt;=4,"Possible","Unlikely"))</f>
        <v>Unlikely</v>
      </c>
      <c r="BG541" s="47"/>
      <c r="BH541" s="47" t="str">
        <f>INDEX(Table5[[#All],[Ovr]],MATCH(Table3[[#This Row],[PID]],Table5[[#All],[PID]],0))</f>
        <v/>
      </c>
      <c r="BI541" s="47" t="str">
        <f>INDEX(Table5[[#All],[Rnd]],MATCH(Table3[[#This Row],[PID]],Table5[[#All],[PID]],0))</f>
        <v/>
      </c>
      <c r="BJ541" s="47" t="str">
        <f>INDEX(Table5[[#All],[Pick]],MATCH(Table3[[#This Row],[PID]],Table5[[#All],[PID]],0))</f>
        <v/>
      </c>
      <c r="BK541" s="47" t="str">
        <f>INDEX(Table5[[#All],[Team]],MATCH(Table3[[#This Row],[PID]],Table5[[#All],[PID]],0))</f>
        <v/>
      </c>
      <c r="BL5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2" spans="1:64" ht="15" customHeight="1" x14ac:dyDescent="0.25">
      <c r="A542" s="42">
        <v>17603</v>
      </c>
      <c r="B542" s="42" t="s">
        <v>430</v>
      </c>
      <c r="C542" s="42" t="s">
        <v>1753</v>
      </c>
      <c r="D542" s="42" t="s">
        <v>1754</v>
      </c>
      <c r="E542" s="42">
        <v>18</v>
      </c>
      <c r="F542" s="42" t="s">
        <v>53</v>
      </c>
      <c r="G542" s="42" t="s">
        <v>53</v>
      </c>
      <c r="H542" s="43" t="s">
        <v>721</v>
      </c>
      <c r="I542" s="44" t="s">
        <v>43</v>
      </c>
      <c r="J542" s="42" t="s">
        <v>44</v>
      </c>
      <c r="K542" s="43" t="s">
        <v>43</v>
      </c>
      <c r="L542" s="42">
        <v>1</v>
      </c>
      <c r="M542" s="42">
        <v>1</v>
      </c>
      <c r="N542" s="43">
        <v>1</v>
      </c>
      <c r="O542" s="42">
        <v>3</v>
      </c>
      <c r="P542" s="42">
        <v>1</v>
      </c>
      <c r="Q542" s="43">
        <v>2</v>
      </c>
      <c r="R542" s="42">
        <v>2</v>
      </c>
      <c r="S542" s="42">
        <v>3</v>
      </c>
      <c r="T542" s="42">
        <v>1</v>
      </c>
      <c r="U542" s="42">
        <v>4</v>
      </c>
      <c r="V542" s="42" t="s">
        <v>45</v>
      </c>
      <c r="W542" s="42" t="s">
        <v>45</v>
      </c>
      <c r="X542" s="42" t="s">
        <v>45</v>
      </c>
      <c r="Y542" s="42" t="s">
        <v>45</v>
      </c>
      <c r="Z542" s="42" t="s">
        <v>45</v>
      </c>
      <c r="AA542" s="42" t="s">
        <v>45</v>
      </c>
      <c r="AB542" s="42">
        <v>2</v>
      </c>
      <c r="AC542" s="42">
        <v>3</v>
      </c>
      <c r="AD542" s="42" t="s">
        <v>45</v>
      </c>
      <c r="AE542" s="42" t="s">
        <v>45</v>
      </c>
      <c r="AF542" s="42" t="s">
        <v>45</v>
      </c>
      <c r="AG542" s="42" t="s">
        <v>45</v>
      </c>
      <c r="AH542" s="42" t="s">
        <v>45</v>
      </c>
      <c r="AI542" s="42" t="s">
        <v>45</v>
      </c>
      <c r="AJ542" s="42" t="s">
        <v>45</v>
      </c>
      <c r="AK542" s="42" t="s">
        <v>45</v>
      </c>
      <c r="AL542" s="42" t="s">
        <v>45</v>
      </c>
      <c r="AM542" s="42" t="s">
        <v>45</v>
      </c>
      <c r="AN542" s="42" t="s">
        <v>45</v>
      </c>
      <c r="AO542" s="43" t="s">
        <v>45</v>
      </c>
      <c r="AP542" s="42" t="s">
        <v>65</v>
      </c>
      <c r="AQ542" s="42">
        <v>7</v>
      </c>
      <c r="AR542" s="50" t="s">
        <v>353</v>
      </c>
      <c r="AS542" s="45" t="s">
        <v>745</v>
      </c>
      <c r="AT542" s="45" t="s">
        <v>47</v>
      </c>
      <c r="AU542" s="46">
        <f>($O$3*(L542-$O$1)/$O$2+$P$3*(M542-$P$1)/$P$2+$Q$3*(N542-$P$1)/$Q$2)/SUM($O$3:$Q$3)</f>
        <v>-2.7014842379675978</v>
      </c>
      <c r="AV542" s="46">
        <f>($O$3*(O542-$O$1)/$O$2+$P$3*(P542-$P$1)/$P$2+$Q$3*(Q542-$Q$1)/$Q$2)/SUM($O$3:$Q$3)</f>
        <v>-1.6242862721580691</v>
      </c>
      <c r="AW542" s="47">
        <f>COUNT(R542:AO542)/2</f>
        <v>3</v>
      </c>
      <c r="AX542" s="47">
        <f>IF(AND(S542&lt;&gt;"-",S542&gt;5),1,0)+IF(AND(U542&lt;&gt;"-",U542&gt;5),1,0)+IF(AND(W542&lt;&gt;"-",W542&gt;5),1,0)+IF(AND(Y542&lt;&gt;"-",Y542&gt;5),1,0)+IF(AND(AA542&lt;&gt;"-",AA542&gt;5),1,0)+IF(AND(AC542&lt;&gt;"-",AC542&gt;5),1,0)+IF(AND(AE542&lt;&gt;"-",AE542&gt;5),1,0)+IF(AND(AG542&lt;&gt;"-",AG542&gt;5),1,0)+IF(AND(AI542&lt;&gt;"-",AI542&gt;5),1,0)+IF(AND(AK542&lt;&gt;"-",AK542&gt;5),1,0)+IF(AND(AM542&lt;&gt;"-",AM542&gt;5),1,0)+IF(AND(AO542&lt;&gt;"-",AO542&gt;5),1,0)</f>
        <v>0</v>
      </c>
      <c r="AY542" s="48">
        <f>VLOOKUP(AP542,COND!$A$10:$B$32,2,FALSE)</f>
        <v>0.95</v>
      </c>
      <c r="AZ542" s="46">
        <f>($AU$3*AU542+$AV$3*AV542+$AW$3*AW542+$AX$3*AX542)*AY542*IF(AQ542&lt;5,0.95,IF(AQ542&lt;7,0.975,1))+$I$3*VLOOKUP(I542,COND!$A$2:$E$7,4,FALSE)+$J$3*VLOOKUP(J542,COND!$A$2:$E$7,2,FALSE)+$K$3*VLOOKUP(K542,COND!$A$2:$E$7,3,FALSE)+IF(BB542="SP",$BB$3,0)+IF($AW542&lt;3,-5,0)+IF(AND($B$2&gt;0,$E542&lt;20),$B$2*25,0)</f>
        <v>21.750278823782843</v>
      </c>
      <c r="BA542" s="49">
        <f>STANDARDIZE(AZ542,AVERAGE($AZ$5:$AZ$570),STDEVP($AZ$5:$AZ$570))</f>
        <v>-1.006176730370592</v>
      </c>
      <c r="BB542" s="47" t="str">
        <f>IF(OR(AND(AQ542&gt;7,AX542&gt;1),AND(AQ542&gt;4,AW542&gt;2)),"SP","RP")</f>
        <v>SP</v>
      </c>
      <c r="BC542" s="47"/>
      <c r="BD542" s="47"/>
      <c r="BE542" s="47"/>
      <c r="BF542" s="47" t="str">
        <f>IF(AVERAGE($O542:$Q542)&gt;=6,"Likely",IF(AVERAGE($O542:$Q542)&gt;=4,"Possible","Unlikely"))</f>
        <v>Unlikely</v>
      </c>
      <c r="BG542" s="47"/>
      <c r="BH542" s="47" t="str">
        <f>INDEX(Table5[[#All],[Ovr]],MATCH(Table3[[#This Row],[PID]],Table5[[#All],[PID]],0))</f>
        <v/>
      </c>
      <c r="BI542" s="47" t="str">
        <f>INDEX(Table5[[#All],[Rnd]],MATCH(Table3[[#This Row],[PID]],Table5[[#All],[PID]],0))</f>
        <v/>
      </c>
      <c r="BJ542" s="47" t="str">
        <f>INDEX(Table5[[#All],[Pick]],MATCH(Table3[[#This Row],[PID]],Table5[[#All],[PID]],0))</f>
        <v/>
      </c>
      <c r="BK542" s="47" t="str">
        <f>INDEX(Table5[[#All],[Team]],MATCH(Table3[[#This Row],[PID]],Table5[[#All],[PID]],0))</f>
        <v/>
      </c>
      <c r="BL5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3" spans="1:64" ht="15" customHeight="1" x14ac:dyDescent="0.25">
      <c r="A543" s="42">
        <v>17617</v>
      </c>
      <c r="B543" s="42" t="s">
        <v>430</v>
      </c>
      <c r="C543" s="42" t="s">
        <v>156</v>
      </c>
      <c r="D543" s="42" t="s">
        <v>565</v>
      </c>
      <c r="E543" s="42">
        <v>18</v>
      </c>
      <c r="F543" s="42" t="s">
        <v>53</v>
      </c>
      <c r="G543" s="42" t="s">
        <v>42</v>
      </c>
      <c r="H543" s="43" t="s">
        <v>721</v>
      </c>
      <c r="I543" s="44" t="s">
        <v>44</v>
      </c>
      <c r="J543" s="42" t="s">
        <v>44</v>
      </c>
      <c r="K543" s="43" t="s">
        <v>43</v>
      </c>
      <c r="L543" s="42">
        <v>1</v>
      </c>
      <c r="M543" s="42">
        <v>1</v>
      </c>
      <c r="N543" s="43">
        <v>1</v>
      </c>
      <c r="O543" s="42">
        <v>4</v>
      </c>
      <c r="P543" s="42">
        <v>1</v>
      </c>
      <c r="Q543" s="43">
        <v>1</v>
      </c>
      <c r="R543" s="42">
        <v>2</v>
      </c>
      <c r="S543" s="42">
        <v>3</v>
      </c>
      <c r="T543" s="42">
        <v>1</v>
      </c>
      <c r="U543" s="42">
        <v>5</v>
      </c>
      <c r="V543" s="42" t="s">
        <v>45</v>
      </c>
      <c r="W543" s="42" t="s">
        <v>45</v>
      </c>
      <c r="X543" s="42">
        <v>1</v>
      </c>
      <c r="Y543" s="42">
        <v>3</v>
      </c>
      <c r="Z543" s="42" t="s">
        <v>45</v>
      </c>
      <c r="AA543" s="42" t="s">
        <v>45</v>
      </c>
      <c r="AB543" s="42">
        <v>2</v>
      </c>
      <c r="AC543" s="42">
        <v>2</v>
      </c>
      <c r="AD543" s="42" t="s">
        <v>45</v>
      </c>
      <c r="AE543" s="42" t="s">
        <v>45</v>
      </c>
      <c r="AF543" s="42">
        <v>2</v>
      </c>
      <c r="AG543" s="42">
        <v>5</v>
      </c>
      <c r="AH543" s="42" t="s">
        <v>45</v>
      </c>
      <c r="AI543" s="42" t="s">
        <v>45</v>
      </c>
      <c r="AJ543" s="42" t="s">
        <v>45</v>
      </c>
      <c r="AK543" s="42" t="s">
        <v>45</v>
      </c>
      <c r="AL543" s="42" t="s">
        <v>45</v>
      </c>
      <c r="AM543" s="42" t="s">
        <v>45</v>
      </c>
      <c r="AN543" s="42" t="s">
        <v>45</v>
      </c>
      <c r="AO543" s="43" t="s">
        <v>45</v>
      </c>
      <c r="AP543" s="42" t="s">
        <v>68</v>
      </c>
      <c r="AQ543" s="42">
        <v>8</v>
      </c>
      <c r="AR543" s="50" t="s">
        <v>14</v>
      </c>
      <c r="AS543" s="45" t="s">
        <v>718</v>
      </c>
      <c r="AT543" s="45" t="s">
        <v>47</v>
      </c>
      <c r="AU543" s="46">
        <f>($O$3*(L543-$O$1)/$O$2+$P$3*(M543-$P$1)/$P$2+$Q$3*(N543-$P$1)/$Q$2)/SUM($O$3:$Q$3)</f>
        <v>-2.7014842379675978</v>
      </c>
      <c r="AV543" s="46">
        <f>($O$3*(O543-$O$1)/$O$2+$P$3*(P543-$P$1)/$P$2+$Q$3*(Q543-$Q$1)/$Q$2)/SUM($O$3:$Q$3)</f>
        <v>-1.671915513703006</v>
      </c>
      <c r="AW543" s="47">
        <f>COUNT(R543:AO543)/2</f>
        <v>5</v>
      </c>
      <c r="AX543" s="47">
        <f>IF(AND(S543&lt;&gt;"-",S543&gt;5),1,0)+IF(AND(U543&lt;&gt;"-",U543&gt;5),1,0)+IF(AND(W543&lt;&gt;"-",W543&gt;5),1,0)+IF(AND(Y543&lt;&gt;"-",Y543&gt;5),1,0)+IF(AND(AA543&lt;&gt;"-",AA543&gt;5),1,0)+IF(AND(AC543&lt;&gt;"-",AC543&gt;5),1,0)+IF(AND(AE543&lt;&gt;"-",AE543&gt;5),1,0)+IF(AND(AG543&lt;&gt;"-",AG543&gt;5),1,0)+IF(AND(AI543&lt;&gt;"-",AI543&gt;5),1,0)+IF(AND(AK543&lt;&gt;"-",AK543&gt;5),1,0)+IF(AND(AM543&lt;&gt;"-",AM543&gt;5),1,0)+IF(AND(AO543&lt;&gt;"-",AO543&gt;5),1,0)</f>
        <v>0</v>
      </c>
      <c r="AY543" s="48">
        <f>VLOOKUP(AP543,COND!$A$10:$B$32,2,FALSE)</f>
        <v>0.95</v>
      </c>
      <c r="AZ543" s="46">
        <f>($AU$3*AU543+$AV$3*AV543+$AW$3*AW543+$AX$3*AX543)*AY543*IF(AQ543&lt;5,0.95,IF(AQ543&lt;7,0.975,1))+$I$3*VLOOKUP(I543,COND!$A$2:$E$7,4,FALSE)+$J$3*VLOOKUP(J543,COND!$A$2:$E$7,2,FALSE)+$K$3*VLOOKUP(K543,COND!$A$2:$E$7,3,FALSE)+IF(BB543="SP",$BB$3,0)+IF($AW543&lt;3,-5,0)+IF(AND($B$2&gt;0,$E543&lt;20),$B$2*25,0)</f>
        <v>21.645323234429043</v>
      </c>
      <c r="BA543" s="49">
        <f>STANDARDIZE(AZ543,AVERAGE($AZ$5:$AZ$570),STDEVP($AZ$5:$AZ$570))</f>
        <v>-1.0158016065039523</v>
      </c>
      <c r="BB543" s="47" t="str">
        <f>IF(OR(AND(AQ543&gt;7,AX543&gt;1),AND(AQ543&gt;4,AW543&gt;2)),"SP","RP")</f>
        <v>SP</v>
      </c>
      <c r="BC543" s="47"/>
      <c r="BD543" s="47"/>
      <c r="BE543" s="47"/>
      <c r="BF543" s="47" t="str">
        <f>IF(AVERAGE($O543:$Q543)&gt;=6,"Likely",IF(AVERAGE($O543:$Q543)&gt;=4,"Possible","Unlikely"))</f>
        <v>Unlikely</v>
      </c>
      <c r="BG543" s="47"/>
      <c r="BH543" s="47" t="str">
        <f>INDEX(Table5[[#All],[Ovr]],MATCH(Table3[[#This Row],[PID]],Table5[[#All],[PID]],0))</f>
        <v/>
      </c>
      <c r="BI543" s="47" t="str">
        <f>INDEX(Table5[[#All],[Rnd]],MATCH(Table3[[#This Row],[PID]],Table5[[#All],[PID]],0))</f>
        <v/>
      </c>
      <c r="BJ543" s="47" t="str">
        <f>INDEX(Table5[[#All],[Pick]],MATCH(Table3[[#This Row],[PID]],Table5[[#All],[PID]],0))</f>
        <v/>
      </c>
      <c r="BK543" s="47" t="str">
        <f>INDEX(Table5[[#All],[Team]],MATCH(Table3[[#This Row],[PID]],Table5[[#All],[PID]],0))</f>
        <v/>
      </c>
      <c r="BL5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4" spans="1:64" ht="15" customHeight="1" x14ac:dyDescent="0.25">
      <c r="A544" s="42">
        <v>9829</v>
      </c>
      <c r="B544" s="42" t="s">
        <v>24</v>
      </c>
      <c r="C544" s="42" t="s">
        <v>173</v>
      </c>
      <c r="D544" s="42" t="s">
        <v>950</v>
      </c>
      <c r="E544" s="42">
        <v>21</v>
      </c>
      <c r="F544" s="42" t="s">
        <v>42</v>
      </c>
      <c r="G544" s="42" t="s">
        <v>42</v>
      </c>
      <c r="H544" s="43" t="s">
        <v>721</v>
      </c>
      <c r="I544" s="44" t="s">
        <v>43</v>
      </c>
      <c r="J544" s="42" t="s">
        <v>44</v>
      </c>
      <c r="K544" s="43" t="s">
        <v>43</v>
      </c>
      <c r="L544" s="42">
        <v>2</v>
      </c>
      <c r="M544" s="42">
        <v>1</v>
      </c>
      <c r="N544" s="43">
        <v>1</v>
      </c>
      <c r="O544" s="42">
        <v>4</v>
      </c>
      <c r="P544" s="42">
        <v>1</v>
      </c>
      <c r="Q544" s="43">
        <v>2</v>
      </c>
      <c r="R544" s="42">
        <v>4</v>
      </c>
      <c r="S544" s="42">
        <v>6</v>
      </c>
      <c r="T544" s="42" t="s">
        <v>45</v>
      </c>
      <c r="U544" s="42" t="s">
        <v>45</v>
      </c>
      <c r="V544" s="42">
        <v>2</v>
      </c>
      <c r="W544" s="42">
        <v>6</v>
      </c>
      <c r="X544" s="42" t="s">
        <v>45</v>
      </c>
      <c r="Y544" s="42" t="s">
        <v>45</v>
      </c>
      <c r="Z544" s="42" t="s">
        <v>45</v>
      </c>
      <c r="AA544" s="42" t="s">
        <v>45</v>
      </c>
      <c r="AB544" s="42">
        <v>3</v>
      </c>
      <c r="AC544" s="42">
        <v>5</v>
      </c>
      <c r="AD544" s="42" t="s">
        <v>45</v>
      </c>
      <c r="AE544" s="42" t="s">
        <v>45</v>
      </c>
      <c r="AF544" s="42" t="s">
        <v>45</v>
      </c>
      <c r="AG544" s="42" t="s">
        <v>45</v>
      </c>
      <c r="AH544" s="42" t="s">
        <v>45</v>
      </c>
      <c r="AI544" s="42" t="s">
        <v>45</v>
      </c>
      <c r="AJ544" s="42" t="s">
        <v>45</v>
      </c>
      <c r="AK544" s="42" t="s">
        <v>45</v>
      </c>
      <c r="AL544" s="42" t="s">
        <v>45</v>
      </c>
      <c r="AM544" s="42" t="s">
        <v>45</v>
      </c>
      <c r="AN544" s="42" t="s">
        <v>45</v>
      </c>
      <c r="AO544" s="43" t="s">
        <v>45</v>
      </c>
      <c r="AP544" s="42" t="s">
        <v>56</v>
      </c>
      <c r="AQ544" s="42">
        <v>7</v>
      </c>
      <c r="AR544" s="50" t="s">
        <v>14</v>
      </c>
      <c r="AS544" s="45" t="s">
        <v>45</v>
      </c>
      <c r="AT544" s="45" t="s">
        <v>705</v>
      </c>
      <c r="AU544" s="46">
        <f>($O$3*(L544-$O$1)/$O$2+$P$3*(M544-$P$1)/$P$2+$Q$3*(N544-$P$1)/$Q$2)/SUM($O$3:$Q$3)</f>
        <v>-2.5067929134584248</v>
      </c>
      <c r="AV544" s="46">
        <f>($O$3*(O544-$O$1)/$O$2+$P$3*(P544-$P$1)/$P$2+$Q$3*(Q544-$Q$1)/$Q$2)/SUM($O$3:$Q$3)</f>
        <v>-1.4295949476488956</v>
      </c>
      <c r="AW544" s="47">
        <f>COUNT(R544:AO544)/2</f>
        <v>3</v>
      </c>
      <c r="AX544" s="47">
        <f>IF(AND(S544&lt;&gt;"-",S544&gt;5),1,0)+IF(AND(U544&lt;&gt;"-",U544&gt;5),1,0)+IF(AND(W544&lt;&gt;"-",W544&gt;5),1,0)+IF(AND(Y544&lt;&gt;"-",Y544&gt;5),1,0)+IF(AND(AA544&lt;&gt;"-",AA544&gt;5),1,0)+IF(AND(AC544&lt;&gt;"-",AC544&gt;5),1,0)+IF(AND(AE544&lt;&gt;"-",AE544&gt;5),1,0)+IF(AND(AG544&lt;&gt;"-",AG544&gt;5),1,0)+IF(AND(AI544&lt;&gt;"-",AI544&gt;5),1,0)+IF(AND(AK544&lt;&gt;"-",AK544&gt;5),1,0)+IF(AND(AM544&lt;&gt;"-",AM544&gt;5),1,0)+IF(AND(AO544&lt;&gt;"-",AO544&gt;5),1,0)</f>
        <v>2</v>
      </c>
      <c r="AY544" s="48">
        <f>VLOOKUP(AP544,COND!$A$10:$B$32,2,FALSE)</f>
        <v>1</v>
      </c>
      <c r="AZ544" s="46">
        <f>($AU$3*AU544+$AV$3*AV544+$AW$3*AW544+$AX$3*AX544)*AY544*IF(AQ544&lt;5,0.95,IF(AQ544&lt;7,0.975,1))+$I$3*VLOOKUP(I544,COND!$A$2:$E$7,4,FALSE)+$J$3*VLOOKUP(J544,COND!$A$2:$E$7,2,FALSE)+$K$3*VLOOKUP(K544,COND!$A$2:$E$7,3,FALSE)+IF(BB544="SP",$BB$3,0)+IF($AW544&lt;3,-5,0)+IF(AND($B$2&gt;0,$E544&lt;20),$B$2*25,0)</f>
        <v>21.606742464330399</v>
      </c>
      <c r="BA544" s="49">
        <f>STANDARDIZE(AZ544,AVERAGE($AZ$5:$AZ$570),STDEVP($AZ$5:$AZ$570))</f>
        <v>-1.0193396280196751</v>
      </c>
      <c r="BB544" s="47" t="str">
        <f>IF(OR(AND(AQ544&gt;7,AX544&gt;1),AND(AQ544&gt;4,AW544&gt;2)),"SP","RP")</f>
        <v>SP</v>
      </c>
      <c r="BC544" s="47"/>
      <c r="BD544" s="47"/>
      <c r="BE544" s="47"/>
      <c r="BF544" s="47" t="str">
        <f>IF(AVERAGE($O544:$Q544)&gt;=6,"Likely",IF(AVERAGE($O544:$Q544)&gt;=4,"Possible","Unlikely"))</f>
        <v>Unlikely</v>
      </c>
      <c r="BG544" s="47"/>
      <c r="BH544" s="47" t="str">
        <f>INDEX(Table5[[#All],[Ovr]],MATCH(Table3[[#This Row],[PID]],Table5[[#All],[PID]],0))</f>
        <v/>
      </c>
      <c r="BI544" s="47" t="str">
        <f>INDEX(Table5[[#All],[Rnd]],MATCH(Table3[[#This Row],[PID]],Table5[[#All],[PID]],0))</f>
        <v/>
      </c>
      <c r="BJ544" s="47" t="str">
        <f>INDEX(Table5[[#All],[Pick]],MATCH(Table3[[#This Row],[PID]],Table5[[#All],[PID]],0))</f>
        <v/>
      </c>
      <c r="BK544" s="47" t="str">
        <f>INDEX(Table5[[#All],[Team]],MATCH(Table3[[#This Row],[PID]],Table5[[#All],[PID]],0))</f>
        <v/>
      </c>
      <c r="BL5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5" spans="1:64" ht="15" customHeight="1" x14ac:dyDescent="0.25">
      <c r="A545" s="42">
        <v>12688</v>
      </c>
      <c r="B545" s="42" t="s">
        <v>430</v>
      </c>
      <c r="C545" s="42" t="s">
        <v>1247</v>
      </c>
      <c r="D545" s="42" t="s">
        <v>1248</v>
      </c>
      <c r="E545" s="42">
        <v>21</v>
      </c>
      <c r="F545" s="42" t="s">
        <v>42</v>
      </c>
      <c r="G545" s="42" t="s">
        <v>42</v>
      </c>
      <c r="H545" s="43" t="s">
        <v>721</v>
      </c>
      <c r="I545" s="44" t="s">
        <v>43</v>
      </c>
      <c r="J545" s="42" t="s">
        <v>47</v>
      </c>
      <c r="K545" s="43" t="s">
        <v>43</v>
      </c>
      <c r="L545" s="42">
        <v>2</v>
      </c>
      <c r="M545" s="42">
        <v>1</v>
      </c>
      <c r="N545" s="43">
        <v>1</v>
      </c>
      <c r="O545" s="42">
        <v>4</v>
      </c>
      <c r="P545" s="42">
        <v>1</v>
      </c>
      <c r="Q545" s="43">
        <v>2</v>
      </c>
      <c r="R545" s="42" t="s">
        <v>45</v>
      </c>
      <c r="S545" s="42" t="s">
        <v>45</v>
      </c>
      <c r="T545" s="42">
        <v>2</v>
      </c>
      <c r="U545" s="42">
        <v>5</v>
      </c>
      <c r="V545" s="42">
        <v>3</v>
      </c>
      <c r="W545" s="42">
        <v>4</v>
      </c>
      <c r="X545" s="42" t="s">
        <v>45</v>
      </c>
      <c r="Y545" s="42" t="s">
        <v>45</v>
      </c>
      <c r="Z545" s="42" t="s">
        <v>45</v>
      </c>
      <c r="AA545" s="42" t="s">
        <v>45</v>
      </c>
      <c r="AB545" s="42" t="s">
        <v>45</v>
      </c>
      <c r="AC545" s="42" t="s">
        <v>45</v>
      </c>
      <c r="AD545" s="42">
        <v>3</v>
      </c>
      <c r="AE545" s="42">
        <v>5</v>
      </c>
      <c r="AF545" s="42" t="s">
        <v>45</v>
      </c>
      <c r="AG545" s="42" t="s">
        <v>45</v>
      </c>
      <c r="AH545" s="42">
        <v>1</v>
      </c>
      <c r="AI545" s="42">
        <v>4</v>
      </c>
      <c r="AJ545" s="42" t="s">
        <v>45</v>
      </c>
      <c r="AK545" s="42" t="s">
        <v>45</v>
      </c>
      <c r="AL545" s="42" t="s">
        <v>45</v>
      </c>
      <c r="AM545" s="42" t="s">
        <v>45</v>
      </c>
      <c r="AN545" s="42" t="s">
        <v>45</v>
      </c>
      <c r="AO545" s="43" t="s">
        <v>45</v>
      </c>
      <c r="AP545" s="42" t="s">
        <v>57</v>
      </c>
      <c r="AQ545" s="42">
        <v>10</v>
      </c>
      <c r="AR545" s="50" t="s">
        <v>14</v>
      </c>
      <c r="AS545" s="45" t="s">
        <v>45</v>
      </c>
      <c r="AT545" s="45" t="s">
        <v>47</v>
      </c>
      <c r="AU545" s="46">
        <f>($O$3*(L545-$O$1)/$O$2+$P$3*(M545-$P$1)/$P$2+$Q$3*(N545-$P$1)/$Q$2)/SUM($O$3:$Q$3)</f>
        <v>-2.5067929134584248</v>
      </c>
      <c r="AV545" s="46">
        <f>($O$3*(O545-$O$1)/$O$2+$P$3*(P545-$P$1)/$P$2+$Q$3*(Q545-$Q$1)/$Q$2)/SUM($O$3:$Q$3)</f>
        <v>-1.4295949476488956</v>
      </c>
      <c r="AW545" s="47">
        <f>COUNT(R545:AO545)/2</f>
        <v>4</v>
      </c>
      <c r="AX545" s="47">
        <f>IF(AND(S545&lt;&gt;"-",S545&gt;5),1,0)+IF(AND(U545&lt;&gt;"-",U545&gt;5),1,0)+IF(AND(W545&lt;&gt;"-",W545&gt;5),1,0)+IF(AND(Y545&lt;&gt;"-",Y545&gt;5),1,0)+IF(AND(AA545&lt;&gt;"-",AA545&gt;5),1,0)+IF(AND(AC545&lt;&gt;"-",AC545&gt;5),1,0)+IF(AND(AE545&lt;&gt;"-",AE545&gt;5),1,0)+IF(AND(AG545&lt;&gt;"-",AG545&gt;5),1,0)+IF(AND(AI545&lt;&gt;"-",AI545&gt;5),1,0)+IF(AND(AK545&lt;&gt;"-",AK545&gt;5),1,0)+IF(AND(AM545&lt;&gt;"-",AM545&gt;5),1,0)+IF(AND(AO545&lt;&gt;"-",AO545&gt;5),1,0)</f>
        <v>0</v>
      </c>
      <c r="AY545" s="48">
        <f>VLOOKUP(AP545,COND!$A$10:$B$32,2,FALSE)</f>
        <v>1</v>
      </c>
      <c r="AZ545" s="46">
        <f>($AU$3*AU545+$AV$3*AV545+$AW$3*AW545+$AX$3*AX545)*AY545*IF(AQ545&lt;5,0.95,IF(AQ545&lt;7,0.975,1))+$I$3*VLOOKUP(I545,COND!$A$2:$E$7,4,FALSE)+$J$3*VLOOKUP(J545,COND!$A$2:$E$7,2,FALSE)+$K$3*VLOOKUP(K545,COND!$A$2:$E$7,3,FALSE)+IF(BB545="SP",$BB$3,0)+IF($AW545&lt;3,-5,0)+IF(AND($B$2&gt;0,$E545&lt;20),$B$2*25,0)</f>
        <v>20.2067424643304</v>
      </c>
      <c r="BA545" s="49">
        <f>STANDARDIZE(AZ545,AVERAGE($AZ$5:$AZ$570),STDEVP($AZ$5:$AZ$570))</f>
        <v>-1.1477256117454353</v>
      </c>
      <c r="BB545" s="47" t="str">
        <f>IF(OR(AND(AQ545&gt;7,AX545&gt;1),AND(AQ545&gt;4,AW545&gt;2)),"SP","RP")</f>
        <v>SP</v>
      </c>
      <c r="BC545" s="47"/>
      <c r="BD545" s="47"/>
      <c r="BE545" s="47"/>
      <c r="BF545" s="47" t="str">
        <f>IF(AVERAGE($O545:$Q545)&gt;=6,"Likely",IF(AVERAGE($O545:$Q545)&gt;=4,"Possible","Unlikely"))</f>
        <v>Unlikely</v>
      </c>
      <c r="BG545" s="47"/>
      <c r="BH545" s="47" t="str">
        <f>INDEX(Table5[[#All],[Ovr]],MATCH(Table3[[#This Row],[PID]],Table5[[#All],[PID]],0))</f>
        <v/>
      </c>
      <c r="BI545" s="47" t="str">
        <f>INDEX(Table5[[#All],[Rnd]],MATCH(Table3[[#This Row],[PID]],Table5[[#All],[PID]],0))</f>
        <v/>
      </c>
      <c r="BJ545" s="47" t="str">
        <f>INDEX(Table5[[#All],[Pick]],MATCH(Table3[[#This Row],[PID]],Table5[[#All],[PID]],0))</f>
        <v/>
      </c>
      <c r="BK545" s="47" t="str">
        <f>INDEX(Table5[[#All],[Team]],MATCH(Table3[[#This Row],[PID]],Table5[[#All],[PID]],0))</f>
        <v/>
      </c>
      <c r="BL5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6" spans="1:64" ht="15" customHeight="1" x14ac:dyDescent="0.25">
      <c r="A546" s="42">
        <v>12613</v>
      </c>
      <c r="B546" s="42" t="s">
        <v>430</v>
      </c>
      <c r="C546" s="42" t="s">
        <v>1778</v>
      </c>
      <c r="D546" s="42" t="s">
        <v>1779</v>
      </c>
      <c r="E546" s="42">
        <v>21</v>
      </c>
      <c r="F546" s="42" t="s">
        <v>42</v>
      </c>
      <c r="G546" s="42" t="s">
        <v>42</v>
      </c>
      <c r="H546" s="43" t="s">
        <v>721</v>
      </c>
      <c r="I546" s="44" t="s">
        <v>43</v>
      </c>
      <c r="J546" s="42" t="s">
        <v>47</v>
      </c>
      <c r="K546" s="43" t="s">
        <v>43</v>
      </c>
      <c r="L546" s="42">
        <v>2</v>
      </c>
      <c r="M546" s="42">
        <v>2</v>
      </c>
      <c r="N546" s="43">
        <v>1</v>
      </c>
      <c r="O546" s="42">
        <v>3</v>
      </c>
      <c r="P546" s="42">
        <v>2</v>
      </c>
      <c r="Q546" s="43">
        <v>2</v>
      </c>
      <c r="R546" s="42">
        <v>3</v>
      </c>
      <c r="S546" s="42">
        <v>4</v>
      </c>
      <c r="T546" s="42">
        <v>1</v>
      </c>
      <c r="U546" s="42">
        <v>2</v>
      </c>
      <c r="V546" s="42">
        <v>2</v>
      </c>
      <c r="W546" s="42">
        <v>4</v>
      </c>
      <c r="X546" s="42">
        <v>2</v>
      </c>
      <c r="Y546" s="42">
        <v>4</v>
      </c>
      <c r="Z546" s="42" t="s">
        <v>45</v>
      </c>
      <c r="AA546" s="42" t="s">
        <v>45</v>
      </c>
      <c r="AB546" s="42" t="s">
        <v>45</v>
      </c>
      <c r="AC546" s="42" t="s">
        <v>45</v>
      </c>
      <c r="AD546" s="42" t="s">
        <v>45</v>
      </c>
      <c r="AE546" s="42" t="s">
        <v>45</v>
      </c>
      <c r="AF546" s="42">
        <v>3</v>
      </c>
      <c r="AG546" s="42">
        <v>4</v>
      </c>
      <c r="AH546" s="42" t="s">
        <v>45</v>
      </c>
      <c r="AI546" s="42" t="s">
        <v>45</v>
      </c>
      <c r="AJ546" s="42" t="s">
        <v>45</v>
      </c>
      <c r="AK546" s="42" t="s">
        <v>45</v>
      </c>
      <c r="AL546" s="42" t="s">
        <v>45</v>
      </c>
      <c r="AM546" s="42" t="s">
        <v>45</v>
      </c>
      <c r="AN546" s="42" t="s">
        <v>45</v>
      </c>
      <c r="AO546" s="43" t="s">
        <v>45</v>
      </c>
      <c r="AP546" s="42" t="s">
        <v>356</v>
      </c>
      <c r="AQ546" s="42">
        <v>7</v>
      </c>
      <c r="AR546" s="50" t="s">
        <v>353</v>
      </c>
      <c r="AS546" s="45" t="s">
        <v>45</v>
      </c>
      <c r="AT546" s="45" t="s">
        <v>705</v>
      </c>
      <c r="AU546" s="46">
        <f>($O$3*(L546-$O$1)/$O$2+$P$3*(M546-$P$1)/$P$2+$Q$3*(N546-$P$1)/$Q$2)/SUM($O$3:$Q$3)</f>
        <v>-2.311361197028369</v>
      </c>
      <c r="AV546" s="46">
        <f>($O$3*(O546-$O$1)/$O$2+$P$3*(P546-$P$1)/$P$2+$Q$3*(Q546-$Q$1)/$Q$2)/SUM($O$3:$Q$3)</f>
        <v>-1.4288545557280135</v>
      </c>
      <c r="AW546" s="47">
        <f>COUNT(R546:AO546)/2</f>
        <v>5</v>
      </c>
      <c r="AX546" s="47">
        <f>IF(AND(S546&lt;&gt;"-",S546&gt;5),1,0)+IF(AND(U546&lt;&gt;"-",U546&gt;5),1,0)+IF(AND(W546&lt;&gt;"-",W546&gt;5),1,0)+IF(AND(Y546&lt;&gt;"-",Y546&gt;5),1,0)+IF(AND(AA546&lt;&gt;"-",AA546&gt;5),1,0)+IF(AND(AC546&lt;&gt;"-",AC546&gt;5),1,0)+IF(AND(AE546&lt;&gt;"-",AE546&gt;5),1,0)+IF(AND(AG546&lt;&gt;"-",AG546&gt;5),1,0)+IF(AND(AI546&lt;&gt;"-",AI546&gt;5),1,0)+IF(AND(AK546&lt;&gt;"-",AK546&gt;5),1,0)+IF(AND(AM546&lt;&gt;"-",AM546&gt;5),1,0)+IF(AND(AO546&lt;&gt;"-",AO546&gt;5),1,0)</f>
        <v>0</v>
      </c>
      <c r="AY546" s="48">
        <f>VLOOKUP(AP546,COND!$A$10:$B$32,2,FALSE)</f>
        <v>1</v>
      </c>
      <c r="AZ546" s="46">
        <f>($AU$3*AU546+$AV$3*AV546+$AW$3*AW546+$AX$3*AX546)*AY546*IF(AQ546&lt;5,0.95,IF(AQ546&lt;7,0.975,1))+$I$3*VLOOKUP(I546,COND!$A$2:$E$7,4,FALSE)+$J$3*VLOOKUP(J546,COND!$A$2:$E$7,2,FALSE)+$K$3*VLOOKUP(K546,COND!$A$2:$E$7,3,FALSE)+IF(BB546="SP",$BB$3,0)+IF($AW546&lt;3,-5,0)+IF(AND($B$2&gt;0,$E546&lt;20),$B$2*25,0)</f>
        <v>20.760636646034058</v>
      </c>
      <c r="BA546" s="49">
        <f>STANDARDIZE(AZ546,AVERAGE($AZ$5:$AZ$676),STDEVP($AZ$5:$AZ$676))</f>
        <v>-0.84440212233883627</v>
      </c>
      <c r="BB546" s="47" t="str">
        <f>IF(OR(AND(AQ546&gt;7,AX546&gt;1),AND(AQ546&gt;4,AW546&gt;2)),"SP","RP")</f>
        <v>SP</v>
      </c>
      <c r="BC546" s="47"/>
      <c r="BD546" s="47"/>
      <c r="BE546" s="47"/>
      <c r="BF546" s="47" t="str">
        <f>IF(AVERAGE($O546:$Q546)&gt;=6,"Likely",IF(AVERAGE($O546:$Q546)&gt;=4,"Possible","Unlikely"))</f>
        <v>Unlikely</v>
      </c>
      <c r="BG546" s="47"/>
      <c r="BH546" s="47" t="str">
        <f>INDEX(Table5[[#All],[Ovr]],MATCH(Table3[[#This Row],[PID]],Table5[[#All],[PID]],0))</f>
        <v/>
      </c>
      <c r="BI546" s="47" t="str">
        <f>INDEX(Table5[[#All],[Rnd]],MATCH(Table3[[#This Row],[PID]],Table5[[#All],[PID]],0))</f>
        <v/>
      </c>
      <c r="BJ546" s="47" t="str">
        <f>INDEX(Table5[[#All],[Pick]],MATCH(Table3[[#This Row],[PID]],Table5[[#All],[PID]],0))</f>
        <v/>
      </c>
      <c r="BK546" s="47" t="str">
        <f>INDEX(Table5[[#All],[Team]],MATCH(Table3[[#This Row],[PID]],Table5[[#All],[PID]],0))</f>
        <v/>
      </c>
      <c r="BL5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7" spans="1:64" ht="15" customHeight="1" x14ac:dyDescent="0.25">
      <c r="A547" s="42">
        <v>8488</v>
      </c>
      <c r="B547" s="42" t="s">
        <v>430</v>
      </c>
      <c r="C547" s="42" t="s">
        <v>463</v>
      </c>
      <c r="D547" s="42" t="s">
        <v>1683</v>
      </c>
      <c r="E547" s="42">
        <v>21</v>
      </c>
      <c r="F547" s="42" t="s">
        <v>42</v>
      </c>
      <c r="G547" s="42" t="s">
        <v>42</v>
      </c>
      <c r="H547" s="43" t="s">
        <v>721</v>
      </c>
      <c r="I547" s="44" t="s">
        <v>44</v>
      </c>
      <c r="J547" s="42" t="s">
        <v>44</v>
      </c>
      <c r="K547" s="43" t="s">
        <v>43</v>
      </c>
      <c r="L547" s="42">
        <v>2</v>
      </c>
      <c r="M547" s="42">
        <v>1</v>
      </c>
      <c r="N547" s="43">
        <v>1</v>
      </c>
      <c r="O547" s="42">
        <v>4</v>
      </c>
      <c r="P547" s="42">
        <v>1</v>
      </c>
      <c r="Q547" s="43">
        <v>2</v>
      </c>
      <c r="R547" s="42">
        <v>3</v>
      </c>
      <c r="S547" s="42">
        <v>5</v>
      </c>
      <c r="T547" s="42">
        <v>1</v>
      </c>
      <c r="U547" s="42">
        <v>1</v>
      </c>
      <c r="V547" s="42">
        <v>3</v>
      </c>
      <c r="W547" s="42">
        <v>7</v>
      </c>
      <c r="X547" s="42" t="s">
        <v>45</v>
      </c>
      <c r="Y547" s="42" t="s">
        <v>45</v>
      </c>
      <c r="Z547" s="42" t="s">
        <v>45</v>
      </c>
      <c r="AA547" s="42" t="s">
        <v>45</v>
      </c>
      <c r="AB547" s="42" t="s">
        <v>45</v>
      </c>
      <c r="AC547" s="42" t="s">
        <v>45</v>
      </c>
      <c r="AD547" s="42" t="s">
        <v>45</v>
      </c>
      <c r="AE547" s="42" t="s">
        <v>45</v>
      </c>
      <c r="AF547" s="42" t="s">
        <v>45</v>
      </c>
      <c r="AG547" s="42" t="s">
        <v>45</v>
      </c>
      <c r="AH547" s="42" t="s">
        <v>45</v>
      </c>
      <c r="AI547" s="42" t="s">
        <v>45</v>
      </c>
      <c r="AJ547" s="42" t="s">
        <v>45</v>
      </c>
      <c r="AK547" s="42" t="s">
        <v>45</v>
      </c>
      <c r="AL547" s="42" t="s">
        <v>45</v>
      </c>
      <c r="AM547" s="42" t="s">
        <v>45</v>
      </c>
      <c r="AN547" s="42" t="s">
        <v>45</v>
      </c>
      <c r="AO547" s="43" t="s">
        <v>45</v>
      </c>
      <c r="AP547" s="42" t="s">
        <v>65</v>
      </c>
      <c r="AQ547" s="42">
        <v>7</v>
      </c>
      <c r="AR547" s="50" t="s">
        <v>14</v>
      </c>
      <c r="AS547" s="45" t="s">
        <v>717</v>
      </c>
      <c r="AT547" s="45" t="s">
        <v>47</v>
      </c>
      <c r="AU547" s="46">
        <f>($O$3*(L547-$O$1)/$O$2+$P$3*(M547-$P$1)/$P$2+$Q$3*(N547-$P$1)/$Q$2)/SUM($O$3:$Q$3)</f>
        <v>-2.5067929134584248</v>
      </c>
      <c r="AV547" s="46">
        <f>($O$3*(O547-$O$1)/$O$2+$P$3*(P547-$P$1)/$P$2+$Q$3*(Q547-$Q$1)/$Q$2)/SUM($O$3:$Q$3)</f>
        <v>-1.4295949476488956</v>
      </c>
      <c r="AW547" s="47">
        <f>COUNT(R547:AO547)/2</f>
        <v>3</v>
      </c>
      <c r="AX547" s="47">
        <f>IF(AND(S547&lt;&gt;"-",S547&gt;5),1,0)+IF(AND(U547&lt;&gt;"-",U547&gt;5),1,0)+IF(AND(W547&lt;&gt;"-",W547&gt;5),1,0)+IF(AND(Y547&lt;&gt;"-",Y547&gt;5),1,0)+IF(AND(AA547&lt;&gt;"-",AA547&gt;5),1,0)+IF(AND(AC547&lt;&gt;"-",AC547&gt;5),1,0)+IF(AND(AE547&lt;&gt;"-",AE547&gt;5),1,0)+IF(AND(AG547&lt;&gt;"-",AG547&gt;5),1,0)+IF(AND(AI547&lt;&gt;"-",AI547&gt;5),1,0)+IF(AND(AK547&lt;&gt;"-",AK547&gt;5),1,0)+IF(AND(AM547&lt;&gt;"-",AM547&gt;5),1,0)+IF(AND(AO547&lt;&gt;"-",AO547&gt;5),1,0)</f>
        <v>1</v>
      </c>
      <c r="AY547" s="48">
        <f>VLOOKUP(AP547,COND!$A$10:$B$32,2,FALSE)</f>
        <v>0.95</v>
      </c>
      <c r="AZ547" s="46">
        <f>($AU$3*AU547+$AV$3*AV547+$AW$3*AW547+$AX$3*AX547)*AY547*IF(AQ547&lt;5,0.95,IF(AQ547&lt;7,0.975,1))+$I$3*VLOOKUP(I547,COND!$A$2:$E$7,4,FALSE)+$J$3*VLOOKUP(J547,COND!$A$2:$E$7,2,FALSE)+$K$3*VLOOKUP(K547,COND!$A$2:$E$7,3,FALSE)+IF(BB547="SP",$BB$3,0)+IF($AW547&lt;3,-5,0)+IF(AND($B$2&gt;0,$E547&lt;20),$B$2*25,0)</f>
        <v>21.523905341113881</v>
      </c>
      <c r="BA547" s="49">
        <f>STANDARDIZE(AZ547,AVERAGE($AZ$5:$AZ$570),STDEVP($AZ$5:$AZ$570))</f>
        <v>-1.0269361462719355</v>
      </c>
      <c r="BB547" s="47" t="str">
        <f>IF(OR(AND(AQ547&gt;7,AX547&gt;1),AND(AQ547&gt;4,AW547&gt;2)),"SP","RP")</f>
        <v>SP</v>
      </c>
      <c r="BC547" s="47"/>
      <c r="BD547" s="47"/>
      <c r="BE547" s="47"/>
      <c r="BF547" s="47" t="str">
        <f>IF(AVERAGE($O547:$Q547)&gt;=6,"Likely",IF(AVERAGE($O547:$Q547)&gt;=4,"Possible","Unlikely"))</f>
        <v>Unlikely</v>
      </c>
      <c r="BG547" s="47"/>
      <c r="BH547" s="47" t="str">
        <f>INDEX(Table5[[#All],[Ovr]],MATCH(Table3[[#This Row],[PID]],Table5[[#All],[PID]],0))</f>
        <v/>
      </c>
      <c r="BI547" s="47" t="str">
        <f>INDEX(Table5[[#All],[Rnd]],MATCH(Table3[[#This Row],[PID]],Table5[[#All],[PID]],0))</f>
        <v/>
      </c>
      <c r="BJ547" s="47" t="str">
        <f>INDEX(Table5[[#All],[Pick]],MATCH(Table3[[#This Row],[PID]],Table5[[#All],[PID]],0))</f>
        <v/>
      </c>
      <c r="BK547" s="47" t="str">
        <f>INDEX(Table5[[#All],[Team]],MATCH(Table3[[#This Row],[PID]],Table5[[#All],[PID]],0))</f>
        <v/>
      </c>
      <c r="BL5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8" spans="1:64" ht="15" customHeight="1" x14ac:dyDescent="0.25">
      <c r="A548" s="42">
        <v>6138</v>
      </c>
      <c r="B548" s="42" t="s">
        <v>430</v>
      </c>
      <c r="C548" s="42" t="s">
        <v>163</v>
      </c>
      <c r="D548" s="42" t="s">
        <v>1223</v>
      </c>
      <c r="E548" s="42">
        <v>21</v>
      </c>
      <c r="F548" s="42" t="s">
        <v>42</v>
      </c>
      <c r="G548" s="42" t="s">
        <v>42</v>
      </c>
      <c r="H548" s="43" t="s">
        <v>721</v>
      </c>
      <c r="I548" s="44" t="s">
        <v>43</v>
      </c>
      <c r="J548" s="42" t="s">
        <v>44</v>
      </c>
      <c r="K548" s="43" t="s">
        <v>43</v>
      </c>
      <c r="L548" s="42">
        <v>1</v>
      </c>
      <c r="M548" s="42">
        <v>2</v>
      </c>
      <c r="N548" s="43">
        <v>1</v>
      </c>
      <c r="O548" s="42">
        <v>3</v>
      </c>
      <c r="P548" s="42">
        <v>2</v>
      </c>
      <c r="Q548" s="43">
        <v>2</v>
      </c>
      <c r="R548" s="42">
        <v>2</v>
      </c>
      <c r="S548" s="42">
        <v>4</v>
      </c>
      <c r="T548" s="42">
        <v>2</v>
      </c>
      <c r="U548" s="42">
        <v>5</v>
      </c>
      <c r="V548" s="42">
        <v>1</v>
      </c>
      <c r="W548" s="42">
        <v>3</v>
      </c>
      <c r="X548" s="42" t="s">
        <v>45</v>
      </c>
      <c r="Y548" s="42" t="s">
        <v>45</v>
      </c>
      <c r="Z548" s="42" t="s">
        <v>45</v>
      </c>
      <c r="AA548" s="42" t="s">
        <v>45</v>
      </c>
      <c r="AB548" s="42">
        <v>2</v>
      </c>
      <c r="AC548" s="42">
        <v>3</v>
      </c>
      <c r="AD548" s="42" t="s">
        <v>45</v>
      </c>
      <c r="AE548" s="42" t="s">
        <v>45</v>
      </c>
      <c r="AF548" s="42">
        <v>2</v>
      </c>
      <c r="AG548" s="42">
        <v>3</v>
      </c>
      <c r="AH548" s="42" t="s">
        <v>45</v>
      </c>
      <c r="AI548" s="42" t="s">
        <v>45</v>
      </c>
      <c r="AJ548" s="42" t="s">
        <v>45</v>
      </c>
      <c r="AK548" s="42" t="s">
        <v>45</v>
      </c>
      <c r="AL548" s="42" t="s">
        <v>45</v>
      </c>
      <c r="AM548" s="42" t="s">
        <v>45</v>
      </c>
      <c r="AN548" s="42" t="s">
        <v>45</v>
      </c>
      <c r="AO548" s="43" t="s">
        <v>45</v>
      </c>
      <c r="AP548" s="42" t="s">
        <v>65</v>
      </c>
      <c r="AQ548" s="42">
        <v>6</v>
      </c>
      <c r="AR548" s="50" t="s">
        <v>353</v>
      </c>
      <c r="AS548" s="45" t="s">
        <v>45</v>
      </c>
      <c r="AT548" s="45" t="s">
        <v>47</v>
      </c>
      <c r="AU548" s="46">
        <f>($O$3*(L548-$O$1)/$O$2+$P$3*(M548-$P$1)/$P$2+$Q$3*(N548-$P$1)/$Q$2)/SUM($O$3:$Q$3)</f>
        <v>-2.5060525215375429</v>
      </c>
      <c r="AV548" s="46">
        <f>($O$3*(O548-$O$1)/$O$2+$P$3*(P548-$P$1)/$P$2+$Q$3*(Q548-$Q$1)/$Q$2)/SUM($O$3:$Q$3)</f>
        <v>-1.4288545557280135</v>
      </c>
      <c r="AW548" s="47">
        <f>COUNT(R548:AO548)/2</f>
        <v>5</v>
      </c>
      <c r="AX548" s="47">
        <f>IF(AND(S548&lt;&gt;"-",S548&gt;5),1,0)+IF(AND(U548&lt;&gt;"-",U548&gt;5),1,0)+IF(AND(W548&lt;&gt;"-",W548&gt;5),1,0)+IF(AND(Y548&lt;&gt;"-",Y548&gt;5),1,0)+IF(AND(AA548&lt;&gt;"-",AA548&gt;5),1,0)+IF(AND(AC548&lt;&gt;"-",AC548&gt;5),1,0)+IF(AND(AE548&lt;&gt;"-",AE548&gt;5),1,0)+IF(AND(AG548&lt;&gt;"-",AG548&gt;5),1,0)+IF(AND(AI548&lt;&gt;"-",AI548&gt;5),1,0)+IF(AND(AK548&lt;&gt;"-",AK548&gt;5),1,0)+IF(AND(AM548&lt;&gt;"-",AM548&gt;5),1,0)+IF(AND(AO548&lt;&gt;"-",AO548&gt;5),1,0)</f>
        <v>0</v>
      </c>
      <c r="AY548" s="48">
        <f>VLOOKUP(AP548,COND!$A$10:$B$32,2,FALSE)</f>
        <v>0.95</v>
      </c>
      <c r="AZ548" s="46">
        <f>($AU$3*AU548+$AV$3*AV548+$AW$3*AW548+$AX$3*AX548)*AY548*IF(AQ548&lt;5,0.95,IF(AQ548&lt;7,0.975,1))+$I$3*VLOOKUP(I548,COND!$A$2:$E$7,4,FALSE)+$J$3*VLOOKUP(J548,COND!$A$2:$E$7,2,FALSE)+$K$3*VLOOKUP(K548,COND!$A$2:$E$7,3,FALSE)+IF(BB548="SP",$BB$3,0)+IF($AW548&lt;3,-5,0)+IF(AND($B$2&gt;0,$E548&lt;20),$B$2*25,0)</f>
        <v>22.081848125523724</v>
      </c>
      <c r="BA548" s="49">
        <f>STANDARDIZE(AZ548,AVERAGE($AZ$5:$AZ$676),STDEVP($AZ$5:$AZ$676))</f>
        <v>-0.72860771091076881</v>
      </c>
      <c r="BB548" s="47" t="str">
        <f>IF(OR(AND(AQ548&gt;7,AX548&gt;1),AND(AQ548&gt;4,AW548&gt;2)),"SP","RP")</f>
        <v>SP</v>
      </c>
      <c r="BC548" s="47"/>
      <c r="BD548" s="47"/>
      <c r="BE548" s="47"/>
      <c r="BF548" s="47" t="str">
        <f>IF(AVERAGE($O548:$Q548)&gt;=6,"Likely",IF(AVERAGE($O548:$Q548)&gt;=4,"Possible","Unlikely"))</f>
        <v>Unlikely</v>
      </c>
      <c r="BG548" s="47"/>
      <c r="BH548" s="47" t="str">
        <f>INDEX(Table5[[#All],[Ovr]],MATCH(Table3[[#This Row],[PID]],Table5[[#All],[PID]],0))</f>
        <v/>
      </c>
      <c r="BI548" s="47" t="str">
        <f>INDEX(Table5[[#All],[Rnd]],MATCH(Table3[[#This Row],[PID]],Table5[[#All],[PID]],0))</f>
        <v/>
      </c>
      <c r="BJ548" s="47" t="str">
        <f>INDEX(Table5[[#All],[Pick]],MATCH(Table3[[#This Row],[PID]],Table5[[#All],[PID]],0))</f>
        <v/>
      </c>
      <c r="BK548" s="47" t="str">
        <f>INDEX(Table5[[#All],[Team]],MATCH(Table3[[#This Row],[PID]],Table5[[#All],[PID]],0))</f>
        <v/>
      </c>
      <c r="BL5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9" spans="1:64" ht="15" customHeight="1" x14ac:dyDescent="0.25">
      <c r="A549" s="42">
        <v>17816</v>
      </c>
      <c r="B549" s="42" t="s">
        <v>430</v>
      </c>
      <c r="C549" s="42" t="s">
        <v>1743</v>
      </c>
      <c r="D549" s="42" t="s">
        <v>1744</v>
      </c>
      <c r="E549" s="42">
        <v>21</v>
      </c>
      <c r="F549" s="42" t="s">
        <v>42</v>
      </c>
      <c r="G549" s="42" t="s">
        <v>53</v>
      </c>
      <c r="H549" s="43" t="s">
        <v>721</v>
      </c>
      <c r="I549" s="44" t="s">
        <v>47</v>
      </c>
      <c r="J549" s="42" t="s">
        <v>47</v>
      </c>
      <c r="K549" s="43" t="s">
        <v>43</v>
      </c>
      <c r="L549" s="42">
        <v>3</v>
      </c>
      <c r="M549" s="42">
        <v>1</v>
      </c>
      <c r="N549" s="43">
        <v>2</v>
      </c>
      <c r="O549" s="42">
        <v>4</v>
      </c>
      <c r="P549" s="42">
        <v>1</v>
      </c>
      <c r="Q549" s="43">
        <v>2</v>
      </c>
      <c r="R549" s="42">
        <v>4</v>
      </c>
      <c r="S549" s="42">
        <v>5</v>
      </c>
      <c r="T549" s="42">
        <v>5</v>
      </c>
      <c r="U549" s="42">
        <v>5</v>
      </c>
      <c r="V549" s="42">
        <v>3</v>
      </c>
      <c r="W549" s="42">
        <v>5</v>
      </c>
      <c r="X549" s="42" t="s">
        <v>45</v>
      </c>
      <c r="Y549" s="42" t="s">
        <v>45</v>
      </c>
      <c r="Z549" s="42" t="s">
        <v>45</v>
      </c>
      <c r="AA549" s="42" t="s">
        <v>45</v>
      </c>
      <c r="AB549" s="42" t="s">
        <v>45</v>
      </c>
      <c r="AC549" s="42" t="s">
        <v>45</v>
      </c>
      <c r="AD549" s="42" t="s">
        <v>45</v>
      </c>
      <c r="AE549" s="42" t="s">
        <v>45</v>
      </c>
      <c r="AF549" s="42" t="s">
        <v>45</v>
      </c>
      <c r="AG549" s="42" t="s">
        <v>45</v>
      </c>
      <c r="AH549" s="42" t="s">
        <v>45</v>
      </c>
      <c r="AI549" s="42" t="s">
        <v>45</v>
      </c>
      <c r="AJ549" s="42" t="s">
        <v>45</v>
      </c>
      <c r="AK549" s="42" t="s">
        <v>45</v>
      </c>
      <c r="AL549" s="42" t="s">
        <v>45</v>
      </c>
      <c r="AM549" s="42" t="s">
        <v>45</v>
      </c>
      <c r="AN549" s="42" t="s">
        <v>45</v>
      </c>
      <c r="AO549" s="43" t="s">
        <v>45</v>
      </c>
      <c r="AP549" s="42" t="s">
        <v>355</v>
      </c>
      <c r="AQ549" s="42">
        <v>7</v>
      </c>
      <c r="AR549" s="50" t="s">
        <v>14</v>
      </c>
      <c r="AS549" s="45" t="s">
        <v>45</v>
      </c>
      <c r="AT549" s="45" t="s">
        <v>705</v>
      </c>
      <c r="AU549" s="46">
        <f>($O$3*(L549-$O$1)/$O$2+$P$3*(M549-$P$1)/$P$2+$Q$3*(N549-$P$1)/$Q$2)/SUM($O$3:$Q$3)</f>
        <v>-2.0697810228951408</v>
      </c>
      <c r="AV549" s="46">
        <f>($O$3*(O549-$O$1)/$O$2+$P$3*(P549-$P$1)/$P$2+$Q$3*(Q549-$Q$1)/$Q$2)/SUM($O$3:$Q$3)</f>
        <v>-1.4295949476488956</v>
      </c>
      <c r="AW549" s="47">
        <f>COUNT(R549:AO549)/2</f>
        <v>3</v>
      </c>
      <c r="AX549" s="47">
        <f>IF(AND(S549&lt;&gt;"-",S549&gt;5),1,0)+IF(AND(U549&lt;&gt;"-",U549&gt;5),1,0)+IF(AND(W549&lt;&gt;"-",W549&gt;5),1,0)+IF(AND(Y549&lt;&gt;"-",Y549&gt;5),1,0)+IF(AND(AA549&lt;&gt;"-",AA549&gt;5),1,0)+IF(AND(AC549&lt;&gt;"-",AC549&gt;5),1,0)+IF(AND(AE549&lt;&gt;"-",AE549&gt;5),1,0)+IF(AND(AG549&lt;&gt;"-",AG549&gt;5),1,0)+IF(AND(AI549&lt;&gt;"-",AI549&gt;5),1,0)+IF(AND(AK549&lt;&gt;"-",AK549&gt;5),1,0)+IF(AND(AM549&lt;&gt;"-",AM549&gt;5),1,0)+IF(AND(AO549&lt;&gt;"-",AO549&gt;5),1,0)</f>
        <v>0</v>
      </c>
      <c r="AY549" s="48">
        <f>VLOOKUP(AP549,COND!$A$10:$B$32,2,FALSE)</f>
        <v>1</v>
      </c>
      <c r="AZ549" s="46">
        <f>($AU$3*AU549+$AV$3*AV549+$AW$3*AW549+$AX$3*AX549)*AY549*IF(AQ549&lt;5,0.95,IF(AQ549&lt;7,0.975,1))+$I$3*VLOOKUP(I549,COND!$A$2:$E$7,4,FALSE)+$J$3*VLOOKUP(J549,COND!$A$2:$E$7,2,FALSE)+$K$3*VLOOKUP(K549,COND!$A$2:$E$7,3,FALSE)+IF(BB549="SP",$BB$3,0)+IF($AW549&lt;3,-5,0)+IF(AND($B$2&gt;0,$E549&lt;20),$B$2*25,0)</f>
        <v>20.019144842443055</v>
      </c>
      <c r="BA549" s="49">
        <f>STANDARDIZE(AZ549,AVERAGE($AZ$5:$AZ$570),STDEVP($AZ$5:$AZ$570))</f>
        <v>-1.1649291154815926</v>
      </c>
      <c r="BB549" s="47" t="str">
        <f>IF(OR(AND(AQ549&gt;7,AX549&gt;1),AND(AQ549&gt;4,AW549&gt;2)),"SP","RP")</f>
        <v>SP</v>
      </c>
      <c r="BC549" s="47"/>
      <c r="BD549" s="47"/>
      <c r="BE549" s="47"/>
      <c r="BF549" s="47" t="str">
        <f>IF(AVERAGE($O549:$Q549)&gt;=6,"Likely",IF(AVERAGE($O549:$Q549)&gt;=4,"Possible","Unlikely"))</f>
        <v>Unlikely</v>
      </c>
      <c r="BG549" s="47"/>
      <c r="BH549" s="47" t="str">
        <f>INDEX(Table5[[#All],[Ovr]],MATCH(Table3[[#This Row],[PID]],Table5[[#All],[PID]],0))</f>
        <v/>
      </c>
      <c r="BI549" s="47" t="str">
        <f>INDEX(Table5[[#All],[Rnd]],MATCH(Table3[[#This Row],[PID]],Table5[[#All],[PID]],0))</f>
        <v/>
      </c>
      <c r="BJ549" s="47" t="str">
        <f>INDEX(Table5[[#All],[Pick]],MATCH(Table3[[#This Row],[PID]],Table5[[#All],[PID]],0))</f>
        <v/>
      </c>
      <c r="BK549" s="47" t="str">
        <f>INDEX(Table5[[#All],[Team]],MATCH(Table3[[#This Row],[PID]],Table5[[#All],[PID]],0))</f>
        <v/>
      </c>
      <c r="BL5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0" spans="1:64" ht="15" customHeight="1" x14ac:dyDescent="0.25">
      <c r="A550" s="42">
        <v>14043</v>
      </c>
      <c r="B550" s="42" t="s">
        <v>430</v>
      </c>
      <c r="C550" s="42" t="s">
        <v>866</v>
      </c>
      <c r="D550" s="42" t="s">
        <v>650</v>
      </c>
      <c r="E550" s="42">
        <v>21</v>
      </c>
      <c r="F550" s="42" t="s">
        <v>42</v>
      </c>
      <c r="G550" s="42" t="s">
        <v>42</v>
      </c>
      <c r="H550" s="43" t="s">
        <v>721</v>
      </c>
      <c r="I550" s="44" t="s">
        <v>43</v>
      </c>
      <c r="J550" s="42" t="s">
        <v>44</v>
      </c>
      <c r="K550" s="43" t="s">
        <v>44</v>
      </c>
      <c r="L550" s="42">
        <v>2</v>
      </c>
      <c r="M550" s="42">
        <v>1</v>
      </c>
      <c r="N550" s="43">
        <v>1</v>
      </c>
      <c r="O550" s="42">
        <v>3</v>
      </c>
      <c r="P550" s="42">
        <v>2</v>
      </c>
      <c r="Q550" s="43">
        <v>2</v>
      </c>
      <c r="R550" s="42">
        <v>2</v>
      </c>
      <c r="S550" s="42">
        <v>4</v>
      </c>
      <c r="T550" s="42">
        <v>1</v>
      </c>
      <c r="U550" s="42">
        <v>2</v>
      </c>
      <c r="V550" s="42" t="s">
        <v>45</v>
      </c>
      <c r="W550" s="42" t="s">
        <v>45</v>
      </c>
      <c r="X550" s="42">
        <v>4</v>
      </c>
      <c r="Y550" s="42">
        <v>6</v>
      </c>
      <c r="Z550" s="42" t="s">
        <v>45</v>
      </c>
      <c r="AA550" s="42" t="s">
        <v>45</v>
      </c>
      <c r="AB550" s="42" t="s">
        <v>45</v>
      </c>
      <c r="AC550" s="42" t="s">
        <v>45</v>
      </c>
      <c r="AD550" s="42" t="s">
        <v>45</v>
      </c>
      <c r="AE550" s="42" t="s">
        <v>45</v>
      </c>
      <c r="AF550" s="42" t="s">
        <v>45</v>
      </c>
      <c r="AG550" s="42" t="s">
        <v>45</v>
      </c>
      <c r="AH550" s="42" t="s">
        <v>45</v>
      </c>
      <c r="AI550" s="42" t="s">
        <v>45</v>
      </c>
      <c r="AJ550" s="42" t="s">
        <v>45</v>
      </c>
      <c r="AK550" s="42" t="s">
        <v>45</v>
      </c>
      <c r="AL550" s="42" t="s">
        <v>45</v>
      </c>
      <c r="AM550" s="42" t="s">
        <v>45</v>
      </c>
      <c r="AN550" s="42" t="s">
        <v>45</v>
      </c>
      <c r="AO550" s="43" t="s">
        <v>45</v>
      </c>
      <c r="AP550" s="42" t="s">
        <v>67</v>
      </c>
      <c r="AQ550" s="42">
        <v>9</v>
      </c>
      <c r="AR550" s="50" t="s">
        <v>14</v>
      </c>
      <c r="AS550" s="45" t="s">
        <v>45</v>
      </c>
      <c r="AT550" s="45" t="s">
        <v>47</v>
      </c>
      <c r="AU550" s="46">
        <f>($O$3*(L550-$O$1)/$O$2+$P$3*(M550-$P$1)/$P$2+$Q$3*(N550-$P$1)/$Q$2)/SUM($O$3:$Q$3)</f>
        <v>-2.5067929134584248</v>
      </c>
      <c r="AV550" s="46">
        <f>($O$3*(O550-$O$1)/$O$2+$P$3*(P550-$P$1)/$P$2+$Q$3*(Q550-$Q$1)/$Q$2)/SUM($O$3:$Q$3)</f>
        <v>-1.4288545557280135</v>
      </c>
      <c r="AW550" s="47">
        <f>COUNT(R550:AO550)/2</f>
        <v>3</v>
      </c>
      <c r="AX550" s="47">
        <f>IF(AND(S550&lt;&gt;"-",S550&gt;5),1,0)+IF(AND(U550&lt;&gt;"-",U550&gt;5),1,0)+IF(AND(W550&lt;&gt;"-",W550&gt;5),1,0)+IF(AND(Y550&lt;&gt;"-",Y550&gt;5),1,0)+IF(AND(AA550&lt;&gt;"-",AA550&gt;5),1,0)+IF(AND(AC550&lt;&gt;"-",AC550&gt;5),1,0)+IF(AND(AE550&lt;&gt;"-",AE550&gt;5),1,0)+IF(AND(AG550&lt;&gt;"-",AG550&gt;5),1,0)+IF(AND(AI550&lt;&gt;"-",AI550&gt;5),1,0)+IF(AND(AK550&lt;&gt;"-",AK550&gt;5),1,0)+IF(AND(AM550&lt;&gt;"-",AM550&gt;5),1,0)+IF(AND(AO550&lt;&gt;"-",AO550&gt;5),1,0)</f>
        <v>1</v>
      </c>
      <c r="AY550" s="48">
        <f>VLOOKUP(AP550,COND!$A$10:$B$32,2,FALSE)</f>
        <v>0.9</v>
      </c>
      <c r="AZ550" s="46">
        <f>($AU$3*AU550+$AV$3*AV550+$AW$3*AW550+$AX$3*AX550)*AY550*IF(AQ550&lt;5,0.95,IF(AQ550&lt;7,0.975,1))+$I$3*VLOOKUP(I550,COND!$A$2:$E$7,4,FALSE)+$J$3*VLOOKUP(J550,COND!$A$2:$E$7,2,FALSE)+$K$3*VLOOKUP(K550,COND!$A$2:$E$7,3,FALSE)+IF(BB550="SP",$BB$3,0)+IF($AW550&lt;3,-5,0)+IF(AND($B$2&gt;0,$E550&lt;20),$B$2*25,0)</f>
        <v>22.704395272473239</v>
      </c>
      <c r="BA550" s="49">
        <f>STANDARDIZE(AZ550,AVERAGE($AZ$5:$AZ$676),STDEVP($AZ$5:$AZ$676))</f>
        <v>-0.67404605928548444</v>
      </c>
      <c r="BB550" s="47" t="str">
        <f>IF(OR(AND(AQ550&gt;7,AX550&gt;1),AND(AQ550&gt;4,AW550&gt;2)),"SP","RP")</f>
        <v>SP</v>
      </c>
      <c r="BC550" s="47"/>
      <c r="BD550" s="47"/>
      <c r="BE550" s="47"/>
      <c r="BF550" s="47" t="str">
        <f>IF(AVERAGE($O550:$Q550)&gt;=6,"Likely",IF(AVERAGE($O550:$Q550)&gt;=4,"Possible","Unlikely"))</f>
        <v>Unlikely</v>
      </c>
      <c r="BG550" s="47"/>
      <c r="BH550" s="47" t="str">
        <f>INDEX(Table5[[#All],[Ovr]],MATCH(Table3[[#This Row],[PID]],Table5[[#All],[PID]],0))</f>
        <v/>
      </c>
      <c r="BI550" s="47" t="str">
        <f>INDEX(Table5[[#All],[Rnd]],MATCH(Table3[[#This Row],[PID]],Table5[[#All],[PID]],0))</f>
        <v/>
      </c>
      <c r="BJ550" s="47" t="str">
        <f>INDEX(Table5[[#All],[Pick]],MATCH(Table3[[#This Row],[PID]],Table5[[#All],[PID]],0))</f>
        <v/>
      </c>
      <c r="BK550" s="47" t="str">
        <f>INDEX(Table5[[#All],[Team]],MATCH(Table3[[#This Row],[PID]],Table5[[#All],[PID]],0))</f>
        <v/>
      </c>
      <c r="BL5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1" spans="1:64" ht="15" customHeight="1" x14ac:dyDescent="0.25">
      <c r="A551" s="42">
        <v>9972</v>
      </c>
      <c r="B551" s="42" t="s">
        <v>430</v>
      </c>
      <c r="C551" s="42" t="s">
        <v>848</v>
      </c>
      <c r="D551" s="42" t="s">
        <v>960</v>
      </c>
      <c r="E551" s="42">
        <v>22</v>
      </c>
      <c r="F551" s="42" t="s">
        <v>42</v>
      </c>
      <c r="G551" s="42" t="s">
        <v>42</v>
      </c>
      <c r="H551" s="43" t="s">
        <v>721</v>
      </c>
      <c r="I551" s="44" t="s">
        <v>43</v>
      </c>
      <c r="J551" s="42" t="s">
        <v>43</v>
      </c>
      <c r="K551" s="43" t="s">
        <v>43</v>
      </c>
      <c r="L551" s="42">
        <v>3</v>
      </c>
      <c r="M551" s="42">
        <v>1</v>
      </c>
      <c r="N551" s="43">
        <v>1</v>
      </c>
      <c r="O551" s="42">
        <v>4</v>
      </c>
      <c r="P551" s="42">
        <v>1</v>
      </c>
      <c r="Q551" s="43">
        <v>2</v>
      </c>
      <c r="R551" s="42">
        <v>4</v>
      </c>
      <c r="S551" s="42">
        <v>5</v>
      </c>
      <c r="T551" s="42">
        <v>5</v>
      </c>
      <c r="U551" s="42">
        <v>6</v>
      </c>
      <c r="V551" s="42" t="s">
        <v>45</v>
      </c>
      <c r="W551" s="42" t="s">
        <v>45</v>
      </c>
      <c r="X551" s="42">
        <v>3</v>
      </c>
      <c r="Y551" s="42">
        <v>3</v>
      </c>
      <c r="Z551" s="42" t="s">
        <v>45</v>
      </c>
      <c r="AA551" s="42" t="s">
        <v>45</v>
      </c>
      <c r="AB551" s="42" t="s">
        <v>45</v>
      </c>
      <c r="AC551" s="42" t="s">
        <v>45</v>
      </c>
      <c r="AD551" s="42" t="s">
        <v>45</v>
      </c>
      <c r="AE551" s="42" t="s">
        <v>45</v>
      </c>
      <c r="AF551" s="42" t="s">
        <v>45</v>
      </c>
      <c r="AG551" s="42" t="s">
        <v>45</v>
      </c>
      <c r="AH551" s="42" t="s">
        <v>45</v>
      </c>
      <c r="AI551" s="42" t="s">
        <v>45</v>
      </c>
      <c r="AJ551" s="42" t="s">
        <v>45</v>
      </c>
      <c r="AK551" s="42" t="s">
        <v>45</v>
      </c>
      <c r="AL551" s="42" t="s">
        <v>45</v>
      </c>
      <c r="AM551" s="42" t="s">
        <v>45</v>
      </c>
      <c r="AN551" s="42" t="s">
        <v>45</v>
      </c>
      <c r="AO551" s="43" t="s">
        <v>45</v>
      </c>
      <c r="AP551" s="42" t="s">
        <v>57</v>
      </c>
      <c r="AQ551" s="42">
        <v>7</v>
      </c>
      <c r="AR551" s="50" t="s">
        <v>353</v>
      </c>
      <c r="AS551" s="45" t="s">
        <v>45</v>
      </c>
      <c r="AT551" s="45" t="s">
        <v>47</v>
      </c>
      <c r="AU551" s="46">
        <f>($O$3*(L551-$O$1)/$O$2+$P$3*(M551-$P$1)/$P$2+$Q$3*(N551-$P$1)/$Q$2)/SUM($O$3:$Q$3)</f>
        <v>-2.3121015889492513</v>
      </c>
      <c r="AV551" s="46">
        <f>($O$3*(O551-$O$1)/$O$2+$P$3*(P551-$P$1)/$P$2+$Q$3*(Q551-$Q$1)/$Q$2)/SUM($O$3:$Q$3)</f>
        <v>-1.4295949476488956</v>
      </c>
      <c r="AW551" s="47">
        <f>COUNT(R551:AO551)/2</f>
        <v>3</v>
      </c>
      <c r="AX551" s="47">
        <f>IF(AND(S551&lt;&gt;"-",S551&gt;5),1,0)+IF(AND(U551&lt;&gt;"-",U551&gt;5),1,0)+IF(AND(W551&lt;&gt;"-",W551&gt;5),1,0)+IF(AND(Y551&lt;&gt;"-",Y551&gt;5),1,0)+IF(AND(AA551&lt;&gt;"-",AA551&gt;5),1,0)+IF(AND(AC551&lt;&gt;"-",AC551&gt;5),1,0)+IF(AND(AE551&lt;&gt;"-",AE551&gt;5),1,0)+IF(AND(AG551&lt;&gt;"-",AG551&gt;5),1,0)+IF(AND(AI551&lt;&gt;"-",AI551&gt;5),1,0)+IF(AND(AK551&lt;&gt;"-",AK551&gt;5),1,0)+IF(AND(AM551&lt;&gt;"-",AM551&gt;5),1,0)+IF(AND(AO551&lt;&gt;"-",AO551&gt;5),1,0)</f>
        <v>1</v>
      </c>
      <c r="AY551" s="48">
        <f>VLOOKUP(AP551,COND!$A$10:$B$32,2,FALSE)</f>
        <v>1</v>
      </c>
      <c r="AZ551" s="46">
        <f>($AU$3*AU551+$AV$3*AV551+$AW$3*AW551+$AX$3*AX551)*AY551*IF(AQ551&lt;5,0.95,IF(AQ551&lt;7,0.975,1))+$I$3*VLOOKUP(I551,COND!$A$2:$E$7,4,FALSE)+$J$3*VLOOKUP(J551,COND!$A$2:$E$7,2,FALSE)+$K$3*VLOOKUP(K551,COND!$A$2:$E$7,3,FALSE)+IF(BB551="SP",$BB$3,0)+IF($AW551&lt;3,-5,0)+IF(AND($B$2&gt;0,$E551&lt;20),$B$2*25,0)</f>
        <v>20.695680729232237</v>
      </c>
      <c r="BA551" s="49">
        <f>STANDARDIZE(AZ551,AVERAGE($AZ$5:$AZ$570),STDEVP($AZ$5:$AZ$570))</f>
        <v>-1.1028878830878719</v>
      </c>
      <c r="BB551" s="47" t="str">
        <f>IF(OR(AND(AQ551&gt;7,AX551&gt;1),AND(AQ551&gt;4,AW551&gt;2)),"SP","RP")</f>
        <v>SP</v>
      </c>
      <c r="BC551" s="47"/>
      <c r="BD551" s="47"/>
      <c r="BE551" s="47"/>
      <c r="BF551" s="47" t="str">
        <f>IF(AVERAGE($O551:$Q551)&gt;=6,"Likely",IF(AVERAGE($O551:$Q551)&gt;=4,"Possible","Unlikely"))</f>
        <v>Unlikely</v>
      </c>
      <c r="BG551" s="47"/>
      <c r="BH551" s="47" t="str">
        <f>INDEX(Table5[[#All],[Ovr]],MATCH(Table3[[#This Row],[PID]],Table5[[#All],[PID]],0))</f>
        <v/>
      </c>
      <c r="BI551" s="47" t="str">
        <f>INDEX(Table5[[#All],[Rnd]],MATCH(Table3[[#This Row],[PID]],Table5[[#All],[PID]],0))</f>
        <v/>
      </c>
      <c r="BJ551" s="47" t="str">
        <f>INDEX(Table5[[#All],[Pick]],MATCH(Table3[[#This Row],[PID]],Table5[[#All],[PID]],0))</f>
        <v/>
      </c>
      <c r="BK551" s="47" t="str">
        <f>INDEX(Table5[[#All],[Team]],MATCH(Table3[[#This Row],[PID]],Table5[[#All],[PID]],0))</f>
        <v/>
      </c>
      <c r="BL5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2" spans="1:64" ht="15" customHeight="1" x14ac:dyDescent="0.25">
      <c r="A552" s="42">
        <v>5367</v>
      </c>
      <c r="B552" s="42" t="s">
        <v>430</v>
      </c>
      <c r="C552" s="42" t="s">
        <v>1016</v>
      </c>
      <c r="D552" s="42" t="s">
        <v>336</v>
      </c>
      <c r="E552" s="42">
        <v>22</v>
      </c>
      <c r="F552" s="42" t="s">
        <v>42</v>
      </c>
      <c r="G552" s="42" t="s">
        <v>42</v>
      </c>
      <c r="H552" s="43" t="s">
        <v>721</v>
      </c>
      <c r="I552" s="44" t="s">
        <v>43</v>
      </c>
      <c r="J552" s="42" t="s">
        <v>43</v>
      </c>
      <c r="K552" s="43" t="s">
        <v>43</v>
      </c>
      <c r="L552" s="42">
        <v>3</v>
      </c>
      <c r="M552" s="42">
        <v>1</v>
      </c>
      <c r="N552" s="43">
        <v>1</v>
      </c>
      <c r="O552" s="42">
        <v>4</v>
      </c>
      <c r="P552" s="42">
        <v>1</v>
      </c>
      <c r="Q552" s="43">
        <v>2</v>
      </c>
      <c r="R552" s="42">
        <v>4</v>
      </c>
      <c r="S552" s="42">
        <v>5</v>
      </c>
      <c r="T552" s="42">
        <v>1</v>
      </c>
      <c r="U552" s="42">
        <v>1</v>
      </c>
      <c r="V552" s="42">
        <v>3</v>
      </c>
      <c r="W552" s="42">
        <v>6</v>
      </c>
      <c r="X552" s="42" t="s">
        <v>45</v>
      </c>
      <c r="Y552" s="42" t="s">
        <v>45</v>
      </c>
      <c r="Z552" s="42" t="s">
        <v>45</v>
      </c>
      <c r="AA552" s="42" t="s">
        <v>45</v>
      </c>
      <c r="AB552" s="42" t="s">
        <v>45</v>
      </c>
      <c r="AC552" s="42" t="s">
        <v>45</v>
      </c>
      <c r="AD552" s="42" t="s">
        <v>45</v>
      </c>
      <c r="AE552" s="42" t="s">
        <v>45</v>
      </c>
      <c r="AF552" s="42" t="s">
        <v>45</v>
      </c>
      <c r="AG552" s="42" t="s">
        <v>45</v>
      </c>
      <c r="AH552" s="42" t="s">
        <v>45</v>
      </c>
      <c r="AI552" s="42" t="s">
        <v>45</v>
      </c>
      <c r="AJ552" s="42" t="s">
        <v>45</v>
      </c>
      <c r="AK552" s="42" t="s">
        <v>45</v>
      </c>
      <c r="AL552" s="42" t="s">
        <v>45</v>
      </c>
      <c r="AM552" s="42" t="s">
        <v>45</v>
      </c>
      <c r="AN552" s="42" t="s">
        <v>45</v>
      </c>
      <c r="AO552" s="43" t="s">
        <v>45</v>
      </c>
      <c r="AP552" s="42" t="s">
        <v>64</v>
      </c>
      <c r="AQ552" s="42">
        <v>7</v>
      </c>
      <c r="AR552" s="50" t="s">
        <v>14</v>
      </c>
      <c r="AS552" s="45" t="s">
        <v>45</v>
      </c>
      <c r="AT552" s="45" t="s">
        <v>705</v>
      </c>
      <c r="AU552" s="46">
        <f>($O$3*(L552-$O$1)/$O$2+$P$3*(M552-$P$1)/$P$2+$Q$3*(N552-$P$1)/$Q$2)/SUM($O$3:$Q$3)</f>
        <v>-2.3121015889492513</v>
      </c>
      <c r="AV552" s="46">
        <f>($O$3*(O552-$O$1)/$O$2+$P$3*(P552-$P$1)/$P$2+$Q$3*(Q552-$Q$1)/$Q$2)/SUM($O$3:$Q$3)</f>
        <v>-1.4295949476488956</v>
      </c>
      <c r="AW552" s="47">
        <f>COUNT(R552:AO552)/2</f>
        <v>3</v>
      </c>
      <c r="AX552" s="47">
        <f>IF(AND(S552&lt;&gt;"-",S552&gt;5),1,0)+IF(AND(U552&lt;&gt;"-",U552&gt;5),1,0)+IF(AND(W552&lt;&gt;"-",W552&gt;5),1,0)+IF(AND(Y552&lt;&gt;"-",Y552&gt;5),1,0)+IF(AND(AA552&lt;&gt;"-",AA552&gt;5),1,0)+IF(AND(AC552&lt;&gt;"-",AC552&gt;5),1,0)+IF(AND(AE552&lt;&gt;"-",AE552&gt;5),1,0)+IF(AND(AG552&lt;&gt;"-",AG552&gt;5),1,0)+IF(AND(AI552&lt;&gt;"-",AI552&gt;5),1,0)+IF(AND(AK552&lt;&gt;"-",AK552&gt;5),1,0)+IF(AND(AM552&lt;&gt;"-",AM552&gt;5),1,0)+IF(AND(AO552&lt;&gt;"-",AO552&gt;5),1,0)</f>
        <v>1</v>
      </c>
      <c r="AY552" s="48">
        <f>VLOOKUP(AP552,COND!$A$10:$B$32,2,FALSE)</f>
        <v>1</v>
      </c>
      <c r="AZ552" s="46">
        <f>($AU$3*AU552+$AV$3*AV552+$AW$3*AW552+$AX$3*AX552)*AY552*IF(AQ552&lt;5,0.95,IF(AQ552&lt;7,0.975,1))+$I$3*VLOOKUP(I552,COND!$A$2:$E$7,4,FALSE)+$J$3*VLOOKUP(J552,COND!$A$2:$E$7,2,FALSE)+$K$3*VLOOKUP(K552,COND!$A$2:$E$7,3,FALSE)+IF(BB552="SP",$BB$3,0)+IF($AW552&lt;3,-5,0)+IF(AND($B$2&gt;0,$E552&lt;20),$B$2*25,0)</f>
        <v>20.695680729232237</v>
      </c>
      <c r="BA552" s="49">
        <f>STANDARDIZE(AZ552,AVERAGE($AZ$5:$AZ$570),STDEVP($AZ$5:$AZ$570))</f>
        <v>-1.1028878830878719</v>
      </c>
      <c r="BB552" s="47" t="str">
        <f>IF(OR(AND(AQ552&gt;7,AX552&gt;1),AND(AQ552&gt;4,AW552&gt;2)),"SP","RP")</f>
        <v>SP</v>
      </c>
      <c r="BC552" s="47"/>
      <c r="BD552" s="47"/>
      <c r="BE552" s="47"/>
      <c r="BF552" s="47" t="str">
        <f>IF(AVERAGE($O552:$Q552)&gt;=6,"Likely",IF(AVERAGE($O552:$Q552)&gt;=4,"Possible","Unlikely"))</f>
        <v>Unlikely</v>
      </c>
      <c r="BG552" s="47"/>
      <c r="BH552" s="47" t="str">
        <f>INDEX(Table5[[#All],[Ovr]],MATCH(Table3[[#This Row],[PID]],Table5[[#All],[PID]],0))</f>
        <v/>
      </c>
      <c r="BI552" s="47" t="str">
        <f>INDEX(Table5[[#All],[Rnd]],MATCH(Table3[[#This Row],[PID]],Table5[[#All],[PID]],0))</f>
        <v/>
      </c>
      <c r="BJ552" s="47" t="str">
        <f>INDEX(Table5[[#All],[Pick]],MATCH(Table3[[#This Row],[PID]],Table5[[#All],[PID]],0))</f>
        <v/>
      </c>
      <c r="BK552" s="47" t="str">
        <f>INDEX(Table5[[#All],[Team]],MATCH(Table3[[#This Row],[PID]],Table5[[#All],[PID]],0))</f>
        <v/>
      </c>
      <c r="BL5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3" spans="1:64" ht="15" customHeight="1" x14ac:dyDescent="0.25">
      <c r="A553" s="42">
        <v>5507</v>
      </c>
      <c r="B553" s="42" t="s">
        <v>430</v>
      </c>
      <c r="C553" s="42" t="s">
        <v>1785</v>
      </c>
      <c r="D553" s="42" t="s">
        <v>329</v>
      </c>
      <c r="E553" s="42">
        <v>18</v>
      </c>
      <c r="F553" s="42" t="s">
        <v>42</v>
      </c>
      <c r="G553" s="42" t="s">
        <v>42</v>
      </c>
      <c r="H553" s="43" t="s">
        <v>721</v>
      </c>
      <c r="I553" s="44" t="s">
        <v>43</v>
      </c>
      <c r="J553" s="42" t="s">
        <v>43</v>
      </c>
      <c r="K553" s="43" t="s">
        <v>43</v>
      </c>
      <c r="L553" s="42">
        <v>1</v>
      </c>
      <c r="M553" s="42">
        <v>1</v>
      </c>
      <c r="N553" s="43">
        <v>1</v>
      </c>
      <c r="O553" s="42">
        <v>3</v>
      </c>
      <c r="P553" s="42">
        <v>1</v>
      </c>
      <c r="Q553" s="43">
        <v>2</v>
      </c>
      <c r="R553" s="42">
        <v>3</v>
      </c>
      <c r="S553" s="42">
        <v>4</v>
      </c>
      <c r="T553" s="42" t="s">
        <v>45</v>
      </c>
      <c r="U553" s="42" t="s">
        <v>45</v>
      </c>
      <c r="V553" s="42">
        <v>1</v>
      </c>
      <c r="W553" s="42">
        <v>4</v>
      </c>
      <c r="X553" s="42">
        <v>2</v>
      </c>
      <c r="Y553" s="42">
        <v>5</v>
      </c>
      <c r="Z553" s="42" t="s">
        <v>45</v>
      </c>
      <c r="AA553" s="42" t="s">
        <v>45</v>
      </c>
      <c r="AB553" s="42" t="s">
        <v>45</v>
      </c>
      <c r="AC553" s="42" t="s">
        <v>45</v>
      </c>
      <c r="AD553" s="42" t="s">
        <v>45</v>
      </c>
      <c r="AE553" s="42" t="s">
        <v>45</v>
      </c>
      <c r="AF553" s="42" t="s">
        <v>45</v>
      </c>
      <c r="AG553" s="42" t="s">
        <v>45</v>
      </c>
      <c r="AH553" s="42" t="s">
        <v>45</v>
      </c>
      <c r="AI553" s="42" t="s">
        <v>45</v>
      </c>
      <c r="AJ553" s="42" t="s">
        <v>45</v>
      </c>
      <c r="AK553" s="42" t="s">
        <v>45</v>
      </c>
      <c r="AL553" s="42" t="s">
        <v>45</v>
      </c>
      <c r="AM553" s="42" t="s">
        <v>45</v>
      </c>
      <c r="AN553" s="42" t="s">
        <v>45</v>
      </c>
      <c r="AO553" s="43" t="s">
        <v>45</v>
      </c>
      <c r="AP553" s="42" t="s">
        <v>64</v>
      </c>
      <c r="AQ553" s="42">
        <v>6</v>
      </c>
      <c r="AR553" s="50" t="s">
        <v>14</v>
      </c>
      <c r="AS553" s="45" t="s">
        <v>730</v>
      </c>
      <c r="AT553" s="45" t="s">
        <v>47</v>
      </c>
      <c r="AU553" s="46">
        <f>($O$3*(L553-$O$1)/$O$2+$P$3*(M553-$P$1)/$P$2+$Q$3*(N553-$P$1)/$Q$2)/SUM($O$3:$Q$3)</f>
        <v>-2.7014842379675978</v>
      </c>
      <c r="AV553" s="46">
        <f>($O$3*(O553-$O$1)/$O$2+$P$3*(P553-$P$1)/$P$2+$Q$3*(Q553-$Q$1)/$Q$2)/SUM($O$3:$Q$3)</f>
        <v>-1.6242862721580691</v>
      </c>
      <c r="AW553" s="47">
        <f>COUNT(R553:AO553)/2</f>
        <v>3</v>
      </c>
      <c r="AX553" s="47">
        <f>IF(AND(S553&lt;&gt;"-",S553&gt;5),1,0)+IF(AND(U553&lt;&gt;"-",U553&gt;5),1,0)+IF(AND(W553&lt;&gt;"-",W553&gt;5),1,0)+IF(AND(Y553&lt;&gt;"-",Y553&gt;5),1,0)+IF(AND(AA553&lt;&gt;"-",AA553&gt;5),1,0)+IF(AND(AC553&lt;&gt;"-",AC553&gt;5),1,0)+IF(AND(AE553&lt;&gt;"-",AE553&gt;5),1,0)+IF(AND(AG553&lt;&gt;"-",AG553&gt;5),1,0)+IF(AND(AI553&lt;&gt;"-",AI553&gt;5),1,0)+IF(AND(AK553&lt;&gt;"-",AK553&gt;5),1,0)+IF(AND(AM553&lt;&gt;"-",AM553&gt;5),1,0)+IF(AND(AO553&lt;&gt;"-",AO553&gt;5),1,0)</f>
        <v>0</v>
      </c>
      <c r="AY553" s="48">
        <f>VLOOKUP(AP553,COND!$A$10:$B$32,2,FALSE)</f>
        <v>1</v>
      </c>
      <c r="AZ553" s="46">
        <f>($AU$3*AU553+$AV$3*AV553+$AW$3*AW553+$AX$3*AX553)*AY553*IF(AQ553&lt;5,0.95,IF(AQ553&lt;7,0.975,1))+$I$3*VLOOKUP(I553,COND!$A$2:$E$7,4,FALSE)+$J$3*VLOOKUP(J553,COND!$A$2:$E$7,2,FALSE)+$K$3*VLOOKUP(K553,COND!$A$2:$E$7,3,FALSE)+IF(BB553="SP",$BB$3,0)+IF($AW553&lt;3,-5,0)+IF(AND($B$2&gt;0,$E553&lt;20),$B$2*25,0)</f>
        <v>21.262128266513972</v>
      </c>
      <c r="BA553" s="49">
        <f>STANDARDIZE(AZ553,AVERAGE($AZ$5:$AZ$676),STDEVP($AZ$5:$AZ$676))</f>
        <v>-0.80045009200073347</v>
      </c>
      <c r="BB553" s="47" t="str">
        <f>IF(OR(AND(AQ553&gt;7,AX553&gt;1),AND(AQ553&gt;4,AW553&gt;2)),"SP","RP")</f>
        <v>SP</v>
      </c>
      <c r="BC553" s="47"/>
      <c r="BD553" s="47"/>
      <c r="BE553" s="47"/>
      <c r="BF553" s="47" t="str">
        <f>IF(AVERAGE($O553:$Q553)&gt;=6,"Likely",IF(AVERAGE($O553:$Q553)&gt;=4,"Possible","Unlikely"))</f>
        <v>Unlikely</v>
      </c>
      <c r="BG553" s="47"/>
      <c r="BH553" s="47" t="str">
        <f>INDEX(Table5[[#All],[Ovr]],MATCH(Table3[[#This Row],[PID]],Table5[[#All],[PID]],0))</f>
        <v/>
      </c>
      <c r="BI553" s="47" t="str">
        <f>INDEX(Table5[[#All],[Rnd]],MATCH(Table3[[#This Row],[PID]],Table5[[#All],[PID]],0))</f>
        <v/>
      </c>
      <c r="BJ553" s="47" t="str">
        <f>INDEX(Table5[[#All],[Pick]],MATCH(Table3[[#This Row],[PID]],Table5[[#All],[PID]],0))</f>
        <v/>
      </c>
      <c r="BK553" s="47" t="str">
        <f>INDEX(Table5[[#All],[Team]],MATCH(Table3[[#This Row],[PID]],Table5[[#All],[PID]],0))</f>
        <v/>
      </c>
      <c r="BL5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4" spans="1:64" ht="15" customHeight="1" x14ac:dyDescent="0.25">
      <c r="A554" s="42">
        <v>7590</v>
      </c>
      <c r="B554" s="42" t="s">
        <v>430</v>
      </c>
      <c r="C554" s="42" t="s">
        <v>197</v>
      </c>
      <c r="D554" s="42" t="s">
        <v>816</v>
      </c>
      <c r="E554" s="42">
        <v>18</v>
      </c>
      <c r="F554" s="42" t="s">
        <v>42</v>
      </c>
      <c r="G554" s="42" t="s">
        <v>42</v>
      </c>
      <c r="H554" s="43" t="s">
        <v>721</v>
      </c>
      <c r="I554" s="44" t="s">
        <v>47</v>
      </c>
      <c r="J554" s="42" t="s">
        <v>43</v>
      </c>
      <c r="K554" s="43" t="s">
        <v>43</v>
      </c>
      <c r="L554" s="42">
        <v>1</v>
      </c>
      <c r="M554" s="42">
        <v>1</v>
      </c>
      <c r="N554" s="43">
        <v>1</v>
      </c>
      <c r="O554" s="42">
        <v>2</v>
      </c>
      <c r="P554" s="42">
        <v>1</v>
      </c>
      <c r="Q554" s="43">
        <v>2</v>
      </c>
      <c r="R554" s="42">
        <v>2</v>
      </c>
      <c r="S554" s="42">
        <v>3</v>
      </c>
      <c r="T554" s="42">
        <v>1</v>
      </c>
      <c r="U554" s="42">
        <v>3</v>
      </c>
      <c r="V554" s="42" t="s">
        <v>45</v>
      </c>
      <c r="W554" s="42" t="s">
        <v>45</v>
      </c>
      <c r="X554" s="42" t="s">
        <v>45</v>
      </c>
      <c r="Y554" s="42" t="s">
        <v>45</v>
      </c>
      <c r="Z554" s="42" t="s">
        <v>45</v>
      </c>
      <c r="AA554" s="42" t="s">
        <v>45</v>
      </c>
      <c r="AB554" s="42">
        <v>2</v>
      </c>
      <c r="AC554" s="42">
        <v>3</v>
      </c>
      <c r="AD554" s="42" t="s">
        <v>45</v>
      </c>
      <c r="AE554" s="42" t="s">
        <v>45</v>
      </c>
      <c r="AF554" s="42">
        <v>2</v>
      </c>
      <c r="AG554" s="42">
        <v>3</v>
      </c>
      <c r="AH554" s="42">
        <v>1</v>
      </c>
      <c r="AI554" s="42">
        <v>1</v>
      </c>
      <c r="AJ554" s="42" t="s">
        <v>45</v>
      </c>
      <c r="AK554" s="42" t="s">
        <v>45</v>
      </c>
      <c r="AL554" s="42" t="s">
        <v>45</v>
      </c>
      <c r="AM554" s="42" t="s">
        <v>45</v>
      </c>
      <c r="AN554" s="42" t="s">
        <v>45</v>
      </c>
      <c r="AO554" s="43" t="s">
        <v>45</v>
      </c>
      <c r="AP554" s="42" t="s">
        <v>67</v>
      </c>
      <c r="AQ554" s="42">
        <v>8</v>
      </c>
      <c r="AR554" s="50" t="s">
        <v>14</v>
      </c>
      <c r="AS554" s="45" t="s">
        <v>739</v>
      </c>
      <c r="AT554" s="45" t="s">
        <v>705</v>
      </c>
      <c r="AU554" s="46">
        <f>($O$3*(L554-$O$1)/$O$2+$P$3*(M554-$P$1)/$P$2+$Q$3*(N554-$P$1)/$Q$2)/SUM($O$3:$Q$3)</f>
        <v>-2.7014842379675978</v>
      </c>
      <c r="AV554" s="46">
        <f>($O$3*(O554-$O$1)/$O$2+$P$3*(P554-$P$1)/$P$2+$Q$3*(Q554-$Q$1)/$Q$2)/SUM($O$3:$Q$3)</f>
        <v>-1.8189775966672426</v>
      </c>
      <c r="AW554" s="47">
        <f>COUNT(R554:AO554)/2</f>
        <v>5</v>
      </c>
      <c r="AX554" s="47">
        <f>IF(AND(S554&lt;&gt;"-",S554&gt;5),1,0)+IF(AND(U554&lt;&gt;"-",U554&gt;5),1,0)+IF(AND(W554&lt;&gt;"-",W554&gt;5),1,0)+IF(AND(Y554&lt;&gt;"-",Y554&gt;5),1,0)+IF(AND(AA554&lt;&gt;"-",AA554&gt;5),1,0)+IF(AND(AC554&lt;&gt;"-",AC554&gt;5),1,0)+IF(AND(AE554&lt;&gt;"-",AE554&gt;5),1,0)+IF(AND(AG554&lt;&gt;"-",AG554&gt;5),1,0)+IF(AND(AI554&lt;&gt;"-",AI554&gt;5),1,0)+IF(AND(AK554&lt;&gt;"-",AK554&gt;5),1,0)+IF(AND(AM554&lt;&gt;"-",AM554&gt;5),1,0)+IF(AND(AO554&lt;&gt;"-",AO554&gt;5),1,0)</f>
        <v>0</v>
      </c>
      <c r="AY554" s="48">
        <f>VLOOKUP(AP554,COND!$A$10:$B$32,2,FALSE)</f>
        <v>0.9</v>
      </c>
      <c r="AZ554" s="46">
        <f>($AU$3*AU554+$AV$3*AV554+$AW$3*AW554+$AX$3*AX554)*AY554*IF(AQ554&lt;5,0.95,IF(AQ554&lt;7,0.975,1))+$I$3*VLOOKUP(I554,COND!$A$2:$E$7,4,FALSE)+$J$3*VLOOKUP(J554,COND!$A$2:$E$7,2,FALSE)+$K$3*VLOOKUP(K554,COND!$A$2:$E$7,3,FALSE)+IF(BB554="SP",$BB$3,0)+IF($AW554&lt;3,-5,0)+IF(AND($B$2&gt;0,$E554&lt;20),$B$2*25,0)</f>
        <v>21.247136097155469</v>
      </c>
      <c r="BA554" s="49">
        <f>STANDARDIZE(AZ554,AVERAGE($AZ$5:$AZ$676),STDEVP($AZ$5:$AZ$676))</f>
        <v>-0.80176404472809581</v>
      </c>
      <c r="BB554" s="47" t="str">
        <f>IF(OR(AND(AQ554&gt;7,AX554&gt;1),AND(AQ554&gt;4,AW554&gt;2)),"SP","RP")</f>
        <v>SP</v>
      </c>
      <c r="BC554" s="47"/>
      <c r="BD554" s="47"/>
      <c r="BE554" s="47"/>
      <c r="BF554" s="47" t="str">
        <f>IF(AVERAGE($O554:$Q554)&gt;=6,"Likely",IF(AVERAGE($O554:$Q554)&gt;=4,"Possible","Unlikely"))</f>
        <v>Unlikely</v>
      </c>
      <c r="BG554" s="47"/>
      <c r="BH554" s="47" t="str">
        <f>INDEX(Table5[[#All],[Ovr]],MATCH(Table3[[#This Row],[PID]],Table5[[#All],[PID]],0))</f>
        <v/>
      </c>
      <c r="BI554" s="47" t="str">
        <f>INDEX(Table5[[#All],[Rnd]],MATCH(Table3[[#This Row],[PID]],Table5[[#All],[PID]],0))</f>
        <v/>
      </c>
      <c r="BJ554" s="47" t="str">
        <f>INDEX(Table5[[#All],[Pick]],MATCH(Table3[[#This Row],[PID]],Table5[[#All],[PID]],0))</f>
        <v/>
      </c>
      <c r="BK554" s="47" t="str">
        <f>INDEX(Table5[[#All],[Team]],MATCH(Table3[[#This Row],[PID]],Table5[[#All],[PID]],0))</f>
        <v/>
      </c>
      <c r="BL5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5" spans="1:64" ht="15" customHeight="1" x14ac:dyDescent="0.25">
      <c r="A555" s="42">
        <v>8205</v>
      </c>
      <c r="B555" s="42" t="s">
        <v>430</v>
      </c>
      <c r="C555" s="42" t="s">
        <v>909</v>
      </c>
      <c r="D555" s="42" t="s">
        <v>927</v>
      </c>
      <c r="E555" s="42">
        <v>22</v>
      </c>
      <c r="F555" s="42" t="s">
        <v>53</v>
      </c>
      <c r="G555" s="42" t="s">
        <v>53</v>
      </c>
      <c r="H555" s="43" t="s">
        <v>721</v>
      </c>
      <c r="I555" s="44" t="s">
        <v>43</v>
      </c>
      <c r="J555" s="42" t="s">
        <v>43</v>
      </c>
      <c r="K555" s="43" t="s">
        <v>43</v>
      </c>
      <c r="L555" s="42">
        <v>2</v>
      </c>
      <c r="M555" s="42">
        <v>2</v>
      </c>
      <c r="N555" s="43">
        <v>1</v>
      </c>
      <c r="O555" s="42">
        <v>3</v>
      </c>
      <c r="P555" s="42">
        <v>2</v>
      </c>
      <c r="Q555" s="43">
        <v>2</v>
      </c>
      <c r="R555" s="42">
        <v>3</v>
      </c>
      <c r="S555" s="42">
        <v>4</v>
      </c>
      <c r="T555" s="42">
        <v>3</v>
      </c>
      <c r="U555" s="42">
        <v>5</v>
      </c>
      <c r="V555" s="42" t="s">
        <v>45</v>
      </c>
      <c r="W555" s="42" t="s">
        <v>45</v>
      </c>
      <c r="X555" s="42" t="s">
        <v>45</v>
      </c>
      <c r="Y555" s="42" t="s">
        <v>45</v>
      </c>
      <c r="Z555" s="42" t="s">
        <v>45</v>
      </c>
      <c r="AA555" s="42" t="s">
        <v>45</v>
      </c>
      <c r="AB555" s="42">
        <v>3</v>
      </c>
      <c r="AC555" s="42">
        <v>3</v>
      </c>
      <c r="AD555" s="42" t="s">
        <v>45</v>
      </c>
      <c r="AE555" s="42" t="s">
        <v>45</v>
      </c>
      <c r="AF555" s="42">
        <v>2</v>
      </c>
      <c r="AG555" s="42">
        <v>2</v>
      </c>
      <c r="AH555" s="42" t="s">
        <v>45</v>
      </c>
      <c r="AI555" s="42" t="s">
        <v>45</v>
      </c>
      <c r="AJ555" s="42" t="s">
        <v>45</v>
      </c>
      <c r="AK555" s="42" t="s">
        <v>45</v>
      </c>
      <c r="AL555" s="42" t="s">
        <v>45</v>
      </c>
      <c r="AM555" s="42" t="s">
        <v>45</v>
      </c>
      <c r="AN555" s="42" t="s">
        <v>45</v>
      </c>
      <c r="AO555" s="43" t="s">
        <v>45</v>
      </c>
      <c r="AP555" s="42" t="s">
        <v>68</v>
      </c>
      <c r="AQ555" s="42">
        <v>4</v>
      </c>
      <c r="AR555" s="50" t="s">
        <v>353</v>
      </c>
      <c r="AS555" s="45" t="s">
        <v>45</v>
      </c>
      <c r="AT555" s="45" t="s">
        <v>47</v>
      </c>
      <c r="AU555" s="46">
        <f>($O$3*(L555-$O$1)/$O$2+$P$3*(M555-$P$1)/$P$2+$Q$3*(N555-$P$1)/$Q$2)/SUM($O$3:$Q$3)</f>
        <v>-2.311361197028369</v>
      </c>
      <c r="AV555" s="46">
        <f>($O$3*(O555-$O$1)/$O$2+$P$3*(P555-$P$1)/$P$2+$Q$3*(Q555-$Q$1)/$Q$2)/SUM($O$3:$Q$3)</f>
        <v>-1.4288545557280135</v>
      </c>
      <c r="AW555" s="47">
        <f>COUNT(R555:AO555)/2</f>
        <v>4</v>
      </c>
      <c r="AX555" s="47">
        <f>IF(AND(S555&lt;&gt;"-",S555&gt;5),1,0)+IF(AND(U555&lt;&gt;"-",U555&gt;5),1,0)+IF(AND(W555&lt;&gt;"-",W555&gt;5),1,0)+IF(AND(Y555&lt;&gt;"-",Y555&gt;5),1,0)+IF(AND(AA555&lt;&gt;"-",AA555&gt;5),1,0)+IF(AND(AC555&lt;&gt;"-",AC555&gt;5),1,0)+IF(AND(AE555&lt;&gt;"-",AE555&gt;5),1,0)+IF(AND(AG555&lt;&gt;"-",AG555&gt;5),1,0)+IF(AND(AI555&lt;&gt;"-",AI555&gt;5),1,0)+IF(AND(AK555&lt;&gt;"-",AK555&gt;5),1,0)+IF(AND(AM555&lt;&gt;"-",AM555&gt;5),1,0)+IF(AND(AO555&lt;&gt;"-",AO555&gt;5),1,0)</f>
        <v>0</v>
      </c>
      <c r="AY555" s="48">
        <f>VLOOKUP(AP555,COND!$A$10:$B$32,2,FALSE)</f>
        <v>0.95</v>
      </c>
      <c r="AZ555" s="46">
        <f>($AU$3*AU555+$AV$3*AV555+$AW$3*AW555+$AX$3*AX555)*AY555*IF(AQ555&lt;5,0.95,IF(AQ555&lt;7,0.975,1))+$I$3*VLOOKUP(I555,COND!$A$2:$E$7,4,FALSE)+$J$3*VLOOKUP(J555,COND!$A$2:$E$7,2,FALSE)+$K$3*VLOOKUP(K555,COND!$A$2:$E$7,3,FALSE)+IF(BB555="SP",$BB$3,0)+IF($AW555&lt;3,-5,0)+IF(AND($B$2&gt;0,$E555&lt;20),$B$2*25,0)</f>
        <v>20.596974573045738</v>
      </c>
      <c r="BA555" s="49">
        <f>STANDARDIZE(AZ555,AVERAGE($AZ$5:$AZ$570),STDEVP($AZ$5:$AZ$570))</f>
        <v>-1.111939659489152</v>
      </c>
      <c r="BB555" s="47" t="str">
        <f>IF(OR(AND(AQ555&gt;7,AX555&gt;1),AND(AQ555&gt;4,AW555&gt;2)),"SP","RP")</f>
        <v>RP</v>
      </c>
      <c r="BC555" s="47"/>
      <c r="BD555" s="47"/>
      <c r="BE555" s="47"/>
      <c r="BF555" s="47" t="str">
        <f>IF(AVERAGE($O555:$Q555)&gt;=6,"Likely",IF(AVERAGE($O555:$Q555)&gt;=4,"Possible","Unlikely"))</f>
        <v>Unlikely</v>
      </c>
      <c r="BG555" s="47"/>
      <c r="BH555" s="47" t="str">
        <f>INDEX(Table5[[#All],[Ovr]],MATCH(Table3[[#This Row],[PID]],Table5[[#All],[PID]],0))</f>
        <v/>
      </c>
      <c r="BI555" s="47" t="str">
        <f>INDEX(Table5[[#All],[Rnd]],MATCH(Table3[[#This Row],[PID]],Table5[[#All],[PID]],0))</f>
        <v/>
      </c>
      <c r="BJ555" s="47" t="str">
        <f>INDEX(Table5[[#All],[Pick]],MATCH(Table3[[#This Row],[PID]],Table5[[#All],[PID]],0))</f>
        <v/>
      </c>
      <c r="BK555" s="47" t="str">
        <f>INDEX(Table5[[#All],[Team]],MATCH(Table3[[#This Row],[PID]],Table5[[#All],[PID]],0))</f>
        <v/>
      </c>
      <c r="BL5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6" spans="1:64" ht="15" customHeight="1" x14ac:dyDescent="0.25">
      <c r="A556" s="42">
        <v>12726</v>
      </c>
      <c r="B556" s="42" t="s">
        <v>24</v>
      </c>
      <c r="C556" s="42" t="s">
        <v>1262</v>
      </c>
      <c r="D556" s="42" t="s">
        <v>1261</v>
      </c>
      <c r="E556" s="42">
        <v>21</v>
      </c>
      <c r="F556" s="42" t="s">
        <v>53</v>
      </c>
      <c r="G556" s="42" t="s">
        <v>53</v>
      </c>
      <c r="H556" s="43" t="s">
        <v>721</v>
      </c>
      <c r="I556" s="44" t="s">
        <v>43</v>
      </c>
      <c r="J556" s="42" t="s">
        <v>44</v>
      </c>
      <c r="K556" s="43" t="s">
        <v>44</v>
      </c>
      <c r="L556" s="42">
        <v>2</v>
      </c>
      <c r="M556" s="42">
        <v>1</v>
      </c>
      <c r="N556" s="43">
        <v>1</v>
      </c>
      <c r="O556" s="42">
        <v>4</v>
      </c>
      <c r="P556" s="42">
        <v>1</v>
      </c>
      <c r="Q556" s="43">
        <v>2</v>
      </c>
      <c r="R556" s="42">
        <v>5</v>
      </c>
      <c r="S556" s="42">
        <v>7</v>
      </c>
      <c r="T556" s="42">
        <v>1</v>
      </c>
      <c r="U556" s="42">
        <v>5</v>
      </c>
      <c r="V556" s="42">
        <v>2</v>
      </c>
      <c r="W556" s="42">
        <v>6</v>
      </c>
      <c r="X556" s="42" t="s">
        <v>45</v>
      </c>
      <c r="Y556" s="42" t="s">
        <v>45</v>
      </c>
      <c r="Z556" s="42" t="s">
        <v>45</v>
      </c>
      <c r="AA556" s="42" t="s">
        <v>45</v>
      </c>
      <c r="AB556" s="42" t="s">
        <v>45</v>
      </c>
      <c r="AC556" s="42" t="s">
        <v>45</v>
      </c>
      <c r="AD556" s="42" t="s">
        <v>45</v>
      </c>
      <c r="AE556" s="42" t="s">
        <v>45</v>
      </c>
      <c r="AF556" s="42" t="s">
        <v>45</v>
      </c>
      <c r="AG556" s="42" t="s">
        <v>45</v>
      </c>
      <c r="AH556" s="42" t="s">
        <v>45</v>
      </c>
      <c r="AI556" s="42" t="s">
        <v>45</v>
      </c>
      <c r="AJ556" s="42" t="s">
        <v>45</v>
      </c>
      <c r="AK556" s="42" t="s">
        <v>45</v>
      </c>
      <c r="AL556" s="42" t="s">
        <v>45</v>
      </c>
      <c r="AM556" s="42" t="s">
        <v>45</v>
      </c>
      <c r="AN556" s="42" t="s">
        <v>45</v>
      </c>
      <c r="AO556" s="43" t="s">
        <v>45</v>
      </c>
      <c r="AP556" s="42" t="s">
        <v>56</v>
      </c>
      <c r="AQ556" s="42">
        <v>6</v>
      </c>
      <c r="AR556" s="50" t="s">
        <v>357</v>
      </c>
      <c r="AS556" s="45" t="s">
        <v>717</v>
      </c>
      <c r="AT556" s="45" t="s">
        <v>47</v>
      </c>
      <c r="AU556" s="46">
        <f>($O$3*(L556-$O$1)/$O$2+$P$3*(M556-$P$1)/$P$2+$Q$3*(N556-$P$1)/$Q$2)/SUM($O$3:$Q$3)</f>
        <v>-2.5067929134584248</v>
      </c>
      <c r="AV556" s="46">
        <f>($O$3*(O556-$O$1)/$O$2+$P$3*(P556-$P$1)/$P$2+$Q$3*(Q556-$Q$1)/$Q$2)/SUM($O$3:$Q$3)</f>
        <v>-1.4295949476488956</v>
      </c>
      <c r="AW556" s="47">
        <f>COUNT(R556:AO556)/2</f>
        <v>3</v>
      </c>
      <c r="AX556" s="47">
        <f>IF(AND(S556&lt;&gt;"-",S556&gt;5),1,0)+IF(AND(U556&lt;&gt;"-",U556&gt;5),1,0)+IF(AND(W556&lt;&gt;"-",W556&gt;5),1,0)+IF(AND(Y556&lt;&gt;"-",Y556&gt;5),1,0)+IF(AND(AA556&lt;&gt;"-",AA556&gt;5),1,0)+IF(AND(AC556&lt;&gt;"-",AC556&gt;5),1,0)+IF(AND(AE556&lt;&gt;"-",AE556&gt;5),1,0)+IF(AND(AG556&lt;&gt;"-",AG556&gt;5),1,0)+IF(AND(AI556&lt;&gt;"-",AI556&gt;5),1,0)+IF(AND(AK556&lt;&gt;"-",AK556&gt;5),1,0)+IF(AND(AM556&lt;&gt;"-",AM556&gt;5),1,0)+IF(AND(AO556&lt;&gt;"-",AO556&gt;5),1,0)</f>
        <v>2</v>
      </c>
      <c r="AY556" s="48">
        <f>VLOOKUP(AP556,COND!$A$10:$B$32,2,FALSE)</f>
        <v>1</v>
      </c>
      <c r="AZ556" s="46">
        <f>($AU$3*AU556+$AV$3*AV556+$AW$3*AW556+$AX$3*AX556)*AY556*IF(AQ556&lt;5,0.95,IF(AQ556&lt;7,0.975,1))+$I$3*VLOOKUP(I556,COND!$A$2:$E$7,4,FALSE)+$J$3*VLOOKUP(J556,COND!$A$2:$E$7,2,FALSE)+$K$3*VLOOKUP(K556,COND!$A$2:$E$7,3,FALSE)+IF(BB556="SP",$BB$3,0)+IF($AW556&lt;3,-5,0)+IF(AND($B$2&gt;0,$E556&lt;20),$B$2*25,0)</f>
        <v>21.93407390272214</v>
      </c>
      <c r="BA556" s="49">
        <f>STANDARDIZE(AZ556,AVERAGE($AZ$5:$AZ$570),STDEVP($AZ$5:$AZ$570))</f>
        <v>-0.98932193607518082</v>
      </c>
      <c r="BB556" s="47" t="str">
        <f>IF(OR(AND(AQ556&gt;7,AX556&gt;1),AND(AQ556&gt;4,AW556&gt;2)),"SP","RP")</f>
        <v>SP</v>
      </c>
      <c r="BC556" s="47"/>
      <c r="BD556" s="47"/>
      <c r="BE556" s="47"/>
      <c r="BF556" s="47" t="str">
        <f>IF(AVERAGE($O556:$Q556)&gt;=6,"Likely",IF(AVERAGE($O556:$Q556)&gt;=4,"Possible","Unlikely"))</f>
        <v>Unlikely</v>
      </c>
      <c r="BG556" s="47"/>
      <c r="BH556" s="47" t="str">
        <f>INDEX(Table5[[#All],[Ovr]],MATCH(Table3[[#This Row],[PID]],Table5[[#All],[PID]],0))</f>
        <v/>
      </c>
      <c r="BI556" s="47" t="str">
        <f>INDEX(Table5[[#All],[Rnd]],MATCH(Table3[[#This Row],[PID]],Table5[[#All],[PID]],0))</f>
        <v/>
      </c>
      <c r="BJ556" s="47" t="str">
        <f>INDEX(Table5[[#All],[Pick]],MATCH(Table3[[#This Row],[PID]],Table5[[#All],[PID]],0))</f>
        <v/>
      </c>
      <c r="BK556" s="47" t="str">
        <f>INDEX(Table5[[#All],[Team]],MATCH(Table3[[#This Row],[PID]],Table5[[#All],[PID]],0))</f>
        <v/>
      </c>
      <c r="BL5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7" spans="1:64" ht="15" customHeight="1" x14ac:dyDescent="0.25">
      <c r="A557" s="42">
        <v>9847</v>
      </c>
      <c r="B557" s="42" t="s">
        <v>24</v>
      </c>
      <c r="C557" s="42" t="s">
        <v>183</v>
      </c>
      <c r="D557" s="42" t="s">
        <v>1792</v>
      </c>
      <c r="E557" s="42">
        <v>21</v>
      </c>
      <c r="F557" s="42" t="s">
        <v>53</v>
      </c>
      <c r="G557" s="42" t="s">
        <v>42</v>
      </c>
      <c r="H557" s="43" t="s">
        <v>721</v>
      </c>
      <c r="I557" s="44" t="s">
        <v>43</v>
      </c>
      <c r="J557" s="42" t="s">
        <v>47</v>
      </c>
      <c r="K557" s="43" t="s">
        <v>43</v>
      </c>
      <c r="L557" s="42">
        <v>1</v>
      </c>
      <c r="M557" s="42">
        <v>2</v>
      </c>
      <c r="N557" s="43">
        <v>1</v>
      </c>
      <c r="O557" s="42">
        <v>3</v>
      </c>
      <c r="P557" s="42">
        <v>2</v>
      </c>
      <c r="Q557" s="43">
        <v>2</v>
      </c>
      <c r="R557" s="42">
        <v>3</v>
      </c>
      <c r="S557" s="42">
        <v>5</v>
      </c>
      <c r="T557" s="42">
        <v>1</v>
      </c>
      <c r="U557" s="42">
        <v>5</v>
      </c>
      <c r="V557" s="42">
        <v>2</v>
      </c>
      <c r="W557" s="42">
        <v>5</v>
      </c>
      <c r="X557" s="42" t="s">
        <v>45</v>
      </c>
      <c r="Y557" s="42" t="s">
        <v>45</v>
      </c>
      <c r="Z557" s="42" t="s">
        <v>45</v>
      </c>
      <c r="AA557" s="42" t="s">
        <v>45</v>
      </c>
      <c r="AB557" s="42" t="s">
        <v>45</v>
      </c>
      <c r="AC557" s="42" t="s">
        <v>45</v>
      </c>
      <c r="AD557" s="42" t="s">
        <v>45</v>
      </c>
      <c r="AE557" s="42" t="s">
        <v>45</v>
      </c>
      <c r="AF557" s="42" t="s">
        <v>45</v>
      </c>
      <c r="AG557" s="42" t="s">
        <v>45</v>
      </c>
      <c r="AH557" s="42" t="s">
        <v>45</v>
      </c>
      <c r="AI557" s="42" t="s">
        <v>45</v>
      </c>
      <c r="AJ557" s="42" t="s">
        <v>45</v>
      </c>
      <c r="AK557" s="42" t="s">
        <v>45</v>
      </c>
      <c r="AL557" s="42" t="s">
        <v>45</v>
      </c>
      <c r="AM557" s="42" t="s">
        <v>45</v>
      </c>
      <c r="AN557" s="42" t="s">
        <v>45</v>
      </c>
      <c r="AO557" s="43" t="s">
        <v>45</v>
      </c>
      <c r="AP557" s="42" t="s">
        <v>356</v>
      </c>
      <c r="AQ557" s="42">
        <v>6</v>
      </c>
      <c r="AR557" s="50" t="s">
        <v>353</v>
      </c>
      <c r="AS557" s="45" t="s">
        <v>45</v>
      </c>
      <c r="AT557" s="45" t="s">
        <v>47</v>
      </c>
      <c r="AU557" s="46">
        <f>($O$3*(L557-$O$1)/$O$2+$P$3*(M557-$P$1)/$P$2+$Q$3*(N557-$P$1)/$Q$2)/SUM($O$3:$Q$3)</f>
        <v>-2.5060525215375429</v>
      </c>
      <c r="AV557" s="46">
        <f>($O$3*(O557-$O$1)/$O$2+$P$3*(P557-$P$1)/$P$2+$Q$3*(Q557-$Q$1)/$Q$2)/SUM($O$3:$Q$3)</f>
        <v>-1.4288545557280135</v>
      </c>
      <c r="AW557" s="47">
        <f>COUNT(R557:AO557)/2</f>
        <v>3</v>
      </c>
      <c r="AX557" s="47">
        <f>IF(AND(S557&lt;&gt;"-",S557&gt;5),1,0)+IF(AND(U557&lt;&gt;"-",U557&gt;5),1,0)+IF(AND(W557&lt;&gt;"-",W557&gt;5),1,0)+IF(AND(Y557&lt;&gt;"-",Y557&gt;5),1,0)+IF(AND(AA557&lt;&gt;"-",AA557&gt;5),1,0)+IF(AND(AC557&lt;&gt;"-",AC557&gt;5),1,0)+IF(AND(AE557&lt;&gt;"-",AE557&gt;5),1,0)+IF(AND(AG557&lt;&gt;"-",AG557&gt;5),1,0)+IF(AND(AI557&lt;&gt;"-",AI557&gt;5),1,0)+IF(AND(AK557&lt;&gt;"-",AK557&gt;5),1,0)+IF(AND(AM557&lt;&gt;"-",AM557&gt;5),1,0)+IF(AND(AO557&lt;&gt;"-",AO557&gt;5),1,0)</f>
        <v>0</v>
      </c>
      <c r="AY557" s="48">
        <f>VLOOKUP(AP557,COND!$A$10:$B$32,2,FALSE)</f>
        <v>1</v>
      </c>
      <c r="AZ557" s="46">
        <f>($AU$3*AU557+$AV$3*AV557+$AW$3*AW557+$AX$3*AX557)*AY557*IF(AQ557&lt;5,0.95,IF(AQ557&lt;7,0.975,1))+$I$3*VLOOKUP(I557,COND!$A$2:$E$7,4,FALSE)+$J$3*VLOOKUP(J557,COND!$A$2:$E$7,2,FALSE)+$K$3*VLOOKUP(K557,COND!$A$2:$E$7,3,FALSE)+IF(BB557="SP",$BB$3,0)+IF($AW557&lt;3,-5,0)+IF(AND($B$2&gt;0,$E557&lt;20),$B$2*25,0)</f>
        <v>20.411155921603921</v>
      </c>
      <c r="BA557" s="49">
        <f>STANDARDIZE(AZ557,AVERAGE($AZ$5:$AZ$676),STDEVP($AZ$5:$AZ$676))</f>
        <v>-0.87503152226387604</v>
      </c>
      <c r="BB557" s="47" t="str">
        <f>IF(OR(AND(AQ557&gt;7,AX557&gt;1),AND(AQ557&gt;4,AW557&gt;2)),"SP","RP")</f>
        <v>SP</v>
      </c>
      <c r="BC557" s="47"/>
      <c r="BD557" s="47"/>
      <c r="BE557" s="47"/>
      <c r="BF557" s="47" t="str">
        <f>IF(AVERAGE($O557:$Q557)&gt;=6,"Likely",IF(AVERAGE($O557:$Q557)&gt;=4,"Possible","Unlikely"))</f>
        <v>Unlikely</v>
      </c>
      <c r="BG557" s="47"/>
      <c r="BH557" s="47" t="str">
        <f>INDEX(Table5[[#All],[Ovr]],MATCH(Table3[[#This Row],[PID]],Table5[[#All],[PID]],0))</f>
        <v/>
      </c>
      <c r="BI557" s="47" t="str">
        <f>INDEX(Table5[[#All],[Rnd]],MATCH(Table3[[#This Row],[PID]],Table5[[#All],[PID]],0))</f>
        <v/>
      </c>
      <c r="BJ557" s="47" t="str">
        <f>INDEX(Table5[[#All],[Pick]],MATCH(Table3[[#This Row],[PID]],Table5[[#All],[PID]],0))</f>
        <v/>
      </c>
      <c r="BK557" s="47" t="str">
        <f>INDEX(Table5[[#All],[Team]],MATCH(Table3[[#This Row],[PID]],Table5[[#All],[PID]],0))</f>
        <v/>
      </c>
      <c r="BL5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8" spans="1:64" ht="15" customHeight="1" x14ac:dyDescent="0.25">
      <c r="A558" s="42">
        <v>14487</v>
      </c>
      <c r="B558" s="42" t="s">
        <v>430</v>
      </c>
      <c r="C558" s="42" t="s">
        <v>1601</v>
      </c>
      <c r="D558" s="42" t="s">
        <v>777</v>
      </c>
      <c r="E558" s="42">
        <v>18</v>
      </c>
      <c r="F558" s="42" t="s">
        <v>42</v>
      </c>
      <c r="G558" s="42" t="s">
        <v>42</v>
      </c>
      <c r="H558" s="43" t="s">
        <v>721</v>
      </c>
      <c r="I558" s="44" t="s">
        <v>44</v>
      </c>
      <c r="J558" s="42" t="s">
        <v>44</v>
      </c>
      <c r="K558" s="43" t="s">
        <v>43</v>
      </c>
      <c r="L558" s="42">
        <v>2</v>
      </c>
      <c r="M558" s="42">
        <v>1</v>
      </c>
      <c r="N558" s="43">
        <v>1</v>
      </c>
      <c r="O558" s="42">
        <v>4</v>
      </c>
      <c r="P558" s="42">
        <v>1</v>
      </c>
      <c r="Q558" s="43">
        <v>1</v>
      </c>
      <c r="R558" s="42">
        <v>3</v>
      </c>
      <c r="S558" s="42">
        <v>5</v>
      </c>
      <c r="T558" s="42">
        <v>1</v>
      </c>
      <c r="U558" s="42">
        <v>1</v>
      </c>
      <c r="V558" s="42">
        <v>2</v>
      </c>
      <c r="W558" s="42">
        <v>6</v>
      </c>
      <c r="X558" s="42" t="s">
        <v>45</v>
      </c>
      <c r="Y558" s="42" t="s">
        <v>45</v>
      </c>
      <c r="Z558" s="42" t="s">
        <v>45</v>
      </c>
      <c r="AA558" s="42" t="s">
        <v>45</v>
      </c>
      <c r="AB558" s="42" t="s">
        <v>45</v>
      </c>
      <c r="AC558" s="42" t="s">
        <v>45</v>
      </c>
      <c r="AD558" s="42" t="s">
        <v>45</v>
      </c>
      <c r="AE558" s="42" t="s">
        <v>45</v>
      </c>
      <c r="AF558" s="42" t="s">
        <v>45</v>
      </c>
      <c r="AG558" s="42" t="s">
        <v>45</v>
      </c>
      <c r="AH558" s="42" t="s">
        <v>45</v>
      </c>
      <c r="AI558" s="42" t="s">
        <v>45</v>
      </c>
      <c r="AJ558" s="42" t="s">
        <v>45</v>
      </c>
      <c r="AK558" s="42" t="s">
        <v>45</v>
      </c>
      <c r="AL558" s="42" t="s">
        <v>45</v>
      </c>
      <c r="AM558" s="42" t="s">
        <v>45</v>
      </c>
      <c r="AN558" s="42" t="s">
        <v>45</v>
      </c>
      <c r="AO558" s="43" t="s">
        <v>45</v>
      </c>
      <c r="AP558" s="42" t="s">
        <v>355</v>
      </c>
      <c r="AQ558" s="42">
        <v>6</v>
      </c>
      <c r="AR558" s="50" t="s">
        <v>14</v>
      </c>
      <c r="AS558" s="45" t="s">
        <v>593</v>
      </c>
      <c r="AT558" s="45" t="s">
        <v>47</v>
      </c>
      <c r="AU558" s="46">
        <f>($O$3*(L558-$O$1)/$O$2+$P$3*(M558-$P$1)/$P$2+$Q$3*(N558-$P$1)/$Q$2)/SUM($O$3:$Q$3)</f>
        <v>-2.5067929134584248</v>
      </c>
      <c r="AV558" s="46">
        <f>($O$3*(O558-$O$1)/$O$2+$P$3*(P558-$P$1)/$P$2+$Q$3*(Q558-$Q$1)/$Q$2)/SUM($O$3:$Q$3)</f>
        <v>-1.671915513703006</v>
      </c>
      <c r="AW558" s="47">
        <f>COUNT(R558:AO558)/2</f>
        <v>3</v>
      </c>
      <c r="AX558" s="47">
        <f>IF(AND(S558&lt;&gt;"-",S558&gt;5),1,0)+IF(AND(U558&lt;&gt;"-",U558&gt;5),1,0)+IF(AND(W558&lt;&gt;"-",W558&gt;5),1,0)+IF(AND(Y558&lt;&gt;"-",Y558&gt;5),1,0)+IF(AND(AA558&lt;&gt;"-",AA558&gt;5),1,0)+IF(AND(AC558&lt;&gt;"-",AC558&gt;5),1,0)+IF(AND(AE558&lt;&gt;"-",AE558&gt;5),1,0)+IF(AND(AG558&lt;&gt;"-",AG558&gt;5),1,0)+IF(AND(AI558&lt;&gt;"-",AI558&gt;5),1,0)+IF(AND(AK558&lt;&gt;"-",AK558&gt;5),1,0)+IF(AND(AM558&lt;&gt;"-",AM558&gt;5),1,0)+IF(AND(AO558&lt;&gt;"-",AO558&gt;5),1,0)</f>
        <v>1</v>
      </c>
      <c r="AY558" s="48">
        <f>VLOOKUP(AP558,COND!$A$10:$B$32,2,FALSE)</f>
        <v>1</v>
      </c>
      <c r="AZ558" s="46">
        <f>($AU$3*AU558+$AV$3*AV558+$AW$3*AW558+$AX$3*AX558)*AY558*IF(AQ558&lt;5,0.95,IF(AQ558&lt;7,0.975,1))+$I$3*VLOOKUP(I558,COND!$A$2:$E$7,4,FALSE)+$J$3*VLOOKUP(J558,COND!$A$2:$E$7,2,FALSE)+$K$3*VLOOKUP(K558,COND!$A$2:$E$7,3,FALSE)+IF(BB558="SP",$BB$3,0)+IF($AW558&lt;3,-5,0)+IF(AND($B$2&gt;0,$E558&lt;20),$B$2*25,0)</f>
        <v>21.140072864666983</v>
      </c>
      <c r="BA558" s="49">
        <f>STANDARDIZE(AZ558,AVERAGE($AZ$5:$AZ$570),STDEVP($AZ$5:$AZ$570))</f>
        <v>-1.0621352248965996</v>
      </c>
      <c r="BB558" s="47" t="str">
        <f>IF(OR(AND(AQ558&gt;7,AX558&gt;1),AND(AQ558&gt;4,AW558&gt;2)),"SP","RP")</f>
        <v>SP</v>
      </c>
      <c r="BC558" s="47"/>
      <c r="BD558" s="47"/>
      <c r="BE558" s="47"/>
      <c r="BF558" s="47" t="str">
        <f>IF(AVERAGE($O558:$Q558)&gt;=6,"Likely",IF(AVERAGE($O558:$Q558)&gt;=4,"Possible","Unlikely"))</f>
        <v>Unlikely</v>
      </c>
      <c r="BG558" s="47"/>
      <c r="BH558" s="47" t="str">
        <f>INDEX(Table5[[#All],[Ovr]],MATCH(Table3[[#This Row],[PID]],Table5[[#All],[PID]],0))</f>
        <v/>
      </c>
      <c r="BI558" s="47" t="str">
        <f>INDEX(Table5[[#All],[Rnd]],MATCH(Table3[[#This Row],[PID]],Table5[[#All],[PID]],0))</f>
        <v/>
      </c>
      <c r="BJ558" s="47" t="str">
        <f>INDEX(Table5[[#All],[Pick]],MATCH(Table3[[#This Row],[PID]],Table5[[#All],[PID]],0))</f>
        <v/>
      </c>
      <c r="BK558" s="47" t="str">
        <f>INDEX(Table5[[#All],[Team]],MATCH(Table3[[#This Row],[PID]],Table5[[#All],[PID]],0))</f>
        <v/>
      </c>
      <c r="BL5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9" spans="1:64" ht="15" customHeight="1" x14ac:dyDescent="0.25">
      <c r="A559" s="42">
        <v>15739</v>
      </c>
      <c r="B559" s="42" t="s">
        <v>430</v>
      </c>
      <c r="C559" s="42" t="s">
        <v>1244</v>
      </c>
      <c r="D559" s="42" t="s">
        <v>648</v>
      </c>
      <c r="E559" s="42">
        <v>21</v>
      </c>
      <c r="F559" s="42" t="s">
        <v>62</v>
      </c>
      <c r="G559" s="42" t="s">
        <v>42</v>
      </c>
      <c r="H559" s="43" t="s">
        <v>721</v>
      </c>
      <c r="I559" s="44" t="s">
        <v>43</v>
      </c>
      <c r="J559" s="42" t="s">
        <v>43</v>
      </c>
      <c r="K559" s="43" t="s">
        <v>43</v>
      </c>
      <c r="L559" s="42">
        <v>2</v>
      </c>
      <c r="M559" s="42">
        <v>2</v>
      </c>
      <c r="N559" s="43">
        <v>1</v>
      </c>
      <c r="O559" s="42">
        <v>4</v>
      </c>
      <c r="P559" s="42">
        <v>2</v>
      </c>
      <c r="Q559" s="43">
        <v>1</v>
      </c>
      <c r="R559" s="42">
        <v>3</v>
      </c>
      <c r="S559" s="42">
        <v>4</v>
      </c>
      <c r="T559" s="42">
        <v>1</v>
      </c>
      <c r="U559" s="42">
        <v>2</v>
      </c>
      <c r="V559" s="42">
        <v>1</v>
      </c>
      <c r="W559" s="42">
        <v>5</v>
      </c>
      <c r="X559" s="42">
        <v>2</v>
      </c>
      <c r="Y559" s="42">
        <v>5</v>
      </c>
      <c r="Z559" s="42" t="s">
        <v>45</v>
      </c>
      <c r="AA559" s="42" t="s">
        <v>45</v>
      </c>
      <c r="AB559" s="42" t="s">
        <v>45</v>
      </c>
      <c r="AC559" s="42" t="s">
        <v>45</v>
      </c>
      <c r="AD559" s="42" t="s">
        <v>45</v>
      </c>
      <c r="AE559" s="42" t="s">
        <v>45</v>
      </c>
      <c r="AF559" s="42" t="s">
        <v>45</v>
      </c>
      <c r="AG559" s="42" t="s">
        <v>45</v>
      </c>
      <c r="AH559" s="42" t="s">
        <v>45</v>
      </c>
      <c r="AI559" s="42" t="s">
        <v>45</v>
      </c>
      <c r="AJ559" s="42" t="s">
        <v>45</v>
      </c>
      <c r="AK559" s="42" t="s">
        <v>45</v>
      </c>
      <c r="AL559" s="42" t="s">
        <v>45</v>
      </c>
      <c r="AM559" s="42" t="s">
        <v>45</v>
      </c>
      <c r="AN559" s="42" t="s">
        <v>45</v>
      </c>
      <c r="AO559" s="43" t="s">
        <v>45</v>
      </c>
      <c r="AP559" s="42" t="s">
        <v>68</v>
      </c>
      <c r="AQ559" s="42">
        <v>9</v>
      </c>
      <c r="AR559" s="50" t="s">
        <v>353</v>
      </c>
      <c r="AS559" s="45" t="s">
        <v>717</v>
      </c>
      <c r="AT559" s="45" t="s">
        <v>47</v>
      </c>
      <c r="AU559" s="46">
        <f>($O$3*(L559-$O$1)/$O$2+$P$3*(M559-$P$1)/$P$2+$Q$3*(N559-$P$1)/$Q$2)/SUM($O$3:$Q$3)</f>
        <v>-2.311361197028369</v>
      </c>
      <c r="AV559" s="46">
        <f>($O$3*(O559-$O$1)/$O$2+$P$3*(P559-$P$1)/$P$2+$Q$3*(Q559-$Q$1)/$Q$2)/SUM($O$3:$Q$3)</f>
        <v>-1.4764837972729503</v>
      </c>
      <c r="AW559" s="47">
        <f>COUNT(R559:AO559)/2</f>
        <v>4</v>
      </c>
      <c r="AX559" s="47">
        <f>IF(AND(S559&lt;&gt;"-",S559&gt;5),1,0)+IF(AND(U559&lt;&gt;"-",U559&gt;5),1,0)+IF(AND(W559&lt;&gt;"-",W559&gt;5),1,0)+IF(AND(Y559&lt;&gt;"-",Y559&gt;5),1,0)+IF(AND(AA559&lt;&gt;"-",AA559&gt;5),1,0)+IF(AND(AC559&lt;&gt;"-",AC559&gt;5),1,0)+IF(AND(AE559&lt;&gt;"-",AE559&gt;5),1,0)+IF(AND(AG559&lt;&gt;"-",AG559&gt;5),1,0)+IF(AND(AI559&lt;&gt;"-",AI559&gt;5),1,0)+IF(AND(AK559&lt;&gt;"-",AK559&gt;5),1,0)+IF(AND(AM559&lt;&gt;"-",AM559&gt;5),1,0)+IF(AND(AO559&lt;&gt;"-",AO559&gt;5),1,0)</f>
        <v>0</v>
      </c>
      <c r="AY559" s="48">
        <f>VLOOKUP(AP559,COND!$A$10:$B$32,2,FALSE)</f>
        <v>0.95</v>
      </c>
      <c r="AZ559" s="46">
        <f>($AU$3*AU559+$AV$3*AV559+$AW$3*AW559+$AX$3*AX559)*AY559*IF(AQ559&lt;5,0.95,IF(AQ559&lt;7,0.975,1))+$I$3*VLOOKUP(I559,COND!$A$2:$E$7,4,FALSE)+$J$3*VLOOKUP(J559,COND!$A$2:$E$7,2,FALSE)+$K$3*VLOOKUP(K559,COND!$A$2:$E$7,3,FALSE)+IF(BB559="SP",$BB$3,0)+IF($AW559&lt;3,-5,0)+IF(AND($B$2&gt;0,$E559&lt;20),$B$2*25,0)</f>
        <v>20.407649224378556</v>
      </c>
      <c r="BA559" s="49">
        <f>STANDARDIZE(AZ559,AVERAGE($AZ$5:$AZ$570),STDEVP($AZ$5:$AZ$570))</f>
        <v>-1.1293016031554799</v>
      </c>
      <c r="BB559" s="47" t="str">
        <f>IF(OR(AND(AQ559&gt;7,AX559&gt;1),AND(AQ559&gt;4,AW559&gt;2)),"SP","RP")</f>
        <v>SP</v>
      </c>
      <c r="BC559" s="47"/>
      <c r="BD559" s="47"/>
      <c r="BE559" s="47"/>
      <c r="BF559" s="47" t="str">
        <f>IF(AVERAGE($O559:$Q559)&gt;=6,"Likely",IF(AVERAGE($O559:$Q559)&gt;=4,"Possible","Unlikely"))</f>
        <v>Unlikely</v>
      </c>
      <c r="BG559" s="47"/>
      <c r="BH559" s="47" t="str">
        <f>INDEX(Table5[[#All],[Ovr]],MATCH(Table3[[#This Row],[PID]],Table5[[#All],[PID]],0))</f>
        <v/>
      </c>
      <c r="BI559" s="47" t="str">
        <f>INDEX(Table5[[#All],[Rnd]],MATCH(Table3[[#This Row],[PID]],Table5[[#All],[PID]],0))</f>
        <v/>
      </c>
      <c r="BJ559" s="47" t="str">
        <f>INDEX(Table5[[#All],[Pick]],MATCH(Table3[[#This Row],[PID]],Table5[[#All],[PID]],0))</f>
        <v/>
      </c>
      <c r="BK559" s="47" t="str">
        <f>INDEX(Table5[[#All],[Team]],MATCH(Table3[[#This Row],[PID]],Table5[[#All],[PID]],0))</f>
        <v/>
      </c>
      <c r="BL5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0" spans="1:64" ht="15" customHeight="1" x14ac:dyDescent="0.25">
      <c r="A560" s="42">
        <v>11999</v>
      </c>
      <c r="B560" s="42" t="s">
        <v>24</v>
      </c>
      <c r="C560" s="42" t="s">
        <v>1694</v>
      </c>
      <c r="D560" s="42" t="s">
        <v>687</v>
      </c>
      <c r="E560" s="42">
        <v>21</v>
      </c>
      <c r="F560" s="42" t="s">
        <v>42</v>
      </c>
      <c r="G560" s="42" t="s">
        <v>42</v>
      </c>
      <c r="H560" s="43" t="s">
        <v>721</v>
      </c>
      <c r="I560" s="44" t="s">
        <v>43</v>
      </c>
      <c r="J560" s="42" t="s">
        <v>43</v>
      </c>
      <c r="K560" s="43" t="s">
        <v>43</v>
      </c>
      <c r="L560" s="42">
        <v>2</v>
      </c>
      <c r="M560" s="42">
        <v>1</v>
      </c>
      <c r="N560" s="43">
        <v>1</v>
      </c>
      <c r="O560" s="42">
        <v>4</v>
      </c>
      <c r="P560" s="42">
        <v>1</v>
      </c>
      <c r="Q560" s="43">
        <v>2</v>
      </c>
      <c r="R560" s="42">
        <v>4</v>
      </c>
      <c r="S560" s="42">
        <v>5</v>
      </c>
      <c r="T560" s="42">
        <v>1</v>
      </c>
      <c r="U560" s="42">
        <v>4</v>
      </c>
      <c r="V560" s="42">
        <v>2</v>
      </c>
      <c r="W560" s="42">
        <v>5</v>
      </c>
      <c r="X560" s="42">
        <v>2</v>
      </c>
      <c r="Y560" s="42">
        <v>2</v>
      </c>
      <c r="Z560" s="42" t="s">
        <v>45</v>
      </c>
      <c r="AA560" s="42" t="s">
        <v>45</v>
      </c>
      <c r="AB560" s="42" t="s">
        <v>45</v>
      </c>
      <c r="AC560" s="42" t="s">
        <v>45</v>
      </c>
      <c r="AD560" s="42" t="s">
        <v>45</v>
      </c>
      <c r="AE560" s="42" t="s">
        <v>45</v>
      </c>
      <c r="AF560" s="42">
        <v>3</v>
      </c>
      <c r="AG560" s="42">
        <v>5</v>
      </c>
      <c r="AH560" s="42" t="s">
        <v>45</v>
      </c>
      <c r="AI560" s="42" t="s">
        <v>45</v>
      </c>
      <c r="AJ560" s="42" t="s">
        <v>45</v>
      </c>
      <c r="AK560" s="42" t="s">
        <v>45</v>
      </c>
      <c r="AL560" s="42" t="s">
        <v>45</v>
      </c>
      <c r="AM560" s="42" t="s">
        <v>45</v>
      </c>
      <c r="AN560" s="42" t="s">
        <v>45</v>
      </c>
      <c r="AO560" s="43" t="s">
        <v>45</v>
      </c>
      <c r="AP560" s="42" t="s">
        <v>56</v>
      </c>
      <c r="AQ560" s="42">
        <v>8</v>
      </c>
      <c r="AR560" s="50" t="s">
        <v>14</v>
      </c>
      <c r="AS560" s="45" t="s">
        <v>45</v>
      </c>
      <c r="AT560" s="45" t="s">
        <v>47</v>
      </c>
      <c r="AU560" s="46">
        <f>($O$3*(L560-$O$1)/$O$2+$P$3*(M560-$P$1)/$P$2+$Q$3*(N560-$P$1)/$Q$2)/SUM($O$3:$Q$3)</f>
        <v>-2.5067929134584248</v>
      </c>
      <c r="AV560" s="46">
        <f>($O$3*(O560-$O$1)/$O$2+$P$3*(P560-$P$1)/$P$2+$Q$3*(Q560-$Q$1)/$Q$2)/SUM($O$3:$Q$3)</f>
        <v>-1.4295949476488956</v>
      </c>
      <c r="AW560" s="47">
        <f>COUNT(R560:AO560)/2</f>
        <v>5</v>
      </c>
      <c r="AX560" s="47">
        <f>IF(AND(S560&lt;&gt;"-",S560&gt;5),1,0)+IF(AND(U560&lt;&gt;"-",U560&gt;5),1,0)+IF(AND(W560&lt;&gt;"-",W560&gt;5),1,0)+IF(AND(Y560&lt;&gt;"-",Y560&gt;5),1,0)+IF(AND(AA560&lt;&gt;"-",AA560&gt;5),1,0)+IF(AND(AC560&lt;&gt;"-",AC560&gt;5),1,0)+IF(AND(AE560&lt;&gt;"-",AE560&gt;5),1,0)+IF(AND(AG560&lt;&gt;"-",AG560&gt;5),1,0)+IF(AND(AI560&lt;&gt;"-",AI560&gt;5),1,0)+IF(AND(AK560&lt;&gt;"-",AK560&gt;5),1,0)+IF(AND(AM560&lt;&gt;"-",AM560&gt;5),1,0)+IF(AND(AO560&lt;&gt;"-",AO560&gt;5),1,0)</f>
        <v>0</v>
      </c>
      <c r="AY560" s="48">
        <f>VLOOKUP(AP560,COND!$A$10:$B$32,2,FALSE)</f>
        <v>1</v>
      </c>
      <c r="AZ560" s="46">
        <f>($AU$3*AU560+$AV$3*AV560+$AW$3*AW560+$AX$3*AX560)*AY560*IF(AQ560&lt;5,0.95,IF(AQ560&lt;7,0.975,1))+$I$3*VLOOKUP(I560,COND!$A$2:$E$7,4,FALSE)+$J$3*VLOOKUP(J560,COND!$A$2:$E$7,2,FALSE)+$K$3*VLOOKUP(K560,COND!$A$2:$E$7,3,FALSE)+IF(BB560="SP",$BB$3,0)+IF($AW560&lt;3,-5,0)+IF(AND($B$2&gt;0,$E560&lt;20),$B$2*25,0)</f>
        <v>20.406742464330399</v>
      </c>
      <c r="BA560" s="49">
        <f>STANDARDIZE(AZ560,AVERAGE($AZ$5:$AZ$570),STDEVP($AZ$5:$AZ$570))</f>
        <v>-1.1293847569274695</v>
      </c>
      <c r="BB560" s="47" t="str">
        <f>IF(OR(AND(AQ560&gt;7,AX560&gt;1),AND(AQ560&gt;4,AW560&gt;2)),"SP","RP")</f>
        <v>SP</v>
      </c>
      <c r="BC560" s="47"/>
      <c r="BD560" s="47"/>
      <c r="BE560" s="47"/>
      <c r="BF560" s="47" t="str">
        <f>IF(AVERAGE($O560:$Q560)&gt;=6,"Likely",IF(AVERAGE($O560:$Q560)&gt;=4,"Possible","Unlikely"))</f>
        <v>Unlikely</v>
      </c>
      <c r="BG560" s="47"/>
      <c r="BH560" s="47" t="str">
        <f>INDEX(Table5[[#All],[Ovr]],MATCH(Table3[[#This Row],[PID]],Table5[[#All],[PID]],0))</f>
        <v/>
      </c>
      <c r="BI560" s="47" t="str">
        <f>INDEX(Table5[[#All],[Rnd]],MATCH(Table3[[#This Row],[PID]],Table5[[#All],[PID]],0))</f>
        <v/>
      </c>
      <c r="BJ560" s="47" t="str">
        <f>INDEX(Table5[[#All],[Pick]],MATCH(Table3[[#This Row],[PID]],Table5[[#All],[PID]],0))</f>
        <v/>
      </c>
      <c r="BK560" s="47" t="str">
        <f>INDEX(Table5[[#All],[Team]],MATCH(Table3[[#This Row],[PID]],Table5[[#All],[PID]],0))</f>
        <v/>
      </c>
      <c r="BL5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1" spans="1:64" ht="15" customHeight="1" x14ac:dyDescent="0.25">
      <c r="A561" s="42">
        <v>12304</v>
      </c>
      <c r="B561" s="42" t="s">
        <v>430</v>
      </c>
      <c r="C561" s="42" t="s">
        <v>370</v>
      </c>
      <c r="D561" s="42" t="s">
        <v>952</v>
      </c>
      <c r="E561" s="42">
        <v>22</v>
      </c>
      <c r="F561" s="42" t="s">
        <v>62</v>
      </c>
      <c r="G561" s="42" t="s">
        <v>53</v>
      </c>
      <c r="H561" s="43" t="s">
        <v>721</v>
      </c>
      <c r="I561" s="44" t="s">
        <v>43</v>
      </c>
      <c r="J561" s="42" t="s">
        <v>44</v>
      </c>
      <c r="K561" s="43" t="s">
        <v>43</v>
      </c>
      <c r="L561" s="42">
        <v>3</v>
      </c>
      <c r="M561" s="42">
        <v>1</v>
      </c>
      <c r="N561" s="43">
        <v>2</v>
      </c>
      <c r="O561" s="42">
        <v>4</v>
      </c>
      <c r="P561" s="42">
        <v>1</v>
      </c>
      <c r="Q561" s="43">
        <v>2</v>
      </c>
      <c r="R561" s="42">
        <v>4</v>
      </c>
      <c r="S561" s="42">
        <v>5</v>
      </c>
      <c r="T561" s="42">
        <v>2</v>
      </c>
      <c r="U561" s="42">
        <v>2</v>
      </c>
      <c r="V561" s="42">
        <v>5</v>
      </c>
      <c r="W561" s="42">
        <v>6</v>
      </c>
      <c r="X561" s="42" t="s">
        <v>45</v>
      </c>
      <c r="Y561" s="42" t="s">
        <v>45</v>
      </c>
      <c r="Z561" s="42" t="s">
        <v>45</v>
      </c>
      <c r="AA561" s="42" t="s">
        <v>45</v>
      </c>
      <c r="AB561" s="42" t="s">
        <v>45</v>
      </c>
      <c r="AC561" s="42" t="s">
        <v>45</v>
      </c>
      <c r="AD561" s="42" t="s">
        <v>45</v>
      </c>
      <c r="AE561" s="42" t="s">
        <v>45</v>
      </c>
      <c r="AF561" s="42" t="s">
        <v>45</v>
      </c>
      <c r="AG561" s="42" t="s">
        <v>45</v>
      </c>
      <c r="AH561" s="42" t="s">
        <v>45</v>
      </c>
      <c r="AI561" s="42" t="s">
        <v>45</v>
      </c>
      <c r="AJ561" s="42" t="s">
        <v>45</v>
      </c>
      <c r="AK561" s="42" t="s">
        <v>45</v>
      </c>
      <c r="AL561" s="42" t="s">
        <v>45</v>
      </c>
      <c r="AM561" s="42" t="s">
        <v>45</v>
      </c>
      <c r="AN561" s="42" t="s">
        <v>45</v>
      </c>
      <c r="AO561" s="43" t="s">
        <v>45</v>
      </c>
      <c r="AP561" s="42" t="s">
        <v>64</v>
      </c>
      <c r="AQ561" s="42">
        <v>6</v>
      </c>
      <c r="AR561" s="50" t="s">
        <v>14</v>
      </c>
      <c r="AS561" s="45" t="s">
        <v>45</v>
      </c>
      <c r="AT561" s="45" t="s">
        <v>705</v>
      </c>
      <c r="AU561" s="46">
        <f>($O$3*(L561-$O$1)/$O$2+$P$3*(M561-$P$1)/$P$2+$Q$3*(N561-$P$1)/$Q$2)/SUM($O$3:$Q$3)</f>
        <v>-2.0697810228951408</v>
      </c>
      <c r="AV561" s="46">
        <f>($O$3*(O561-$O$1)/$O$2+$P$3*(P561-$P$1)/$P$2+$Q$3*(Q561-$Q$1)/$Q$2)/SUM($O$3:$Q$3)</f>
        <v>-1.4295949476488956</v>
      </c>
      <c r="AW561" s="47">
        <f>COUNT(R561:AO561)/2</f>
        <v>3</v>
      </c>
      <c r="AX561" s="47">
        <f>IF(AND(S561&lt;&gt;"-",S561&gt;5),1,0)+IF(AND(U561&lt;&gt;"-",U561&gt;5),1,0)+IF(AND(W561&lt;&gt;"-",W561&gt;5),1,0)+IF(AND(Y561&lt;&gt;"-",Y561&gt;5),1,0)+IF(AND(AA561&lt;&gt;"-",AA561&gt;5),1,0)+IF(AND(AC561&lt;&gt;"-",AC561&gt;5),1,0)+IF(AND(AE561&lt;&gt;"-",AE561&gt;5),1,0)+IF(AND(AG561&lt;&gt;"-",AG561&gt;5),1,0)+IF(AND(AI561&lt;&gt;"-",AI561&gt;5),1,0)+IF(AND(AK561&lt;&gt;"-",AK561&gt;5),1,0)+IF(AND(AM561&lt;&gt;"-",AM561&gt;5),1,0)+IF(AND(AO561&lt;&gt;"-",AO561&gt;5),1,0)</f>
        <v>1</v>
      </c>
      <c r="AY561" s="48">
        <f>VLOOKUP(AP561,COND!$A$10:$B$32,2,FALSE)</f>
        <v>1</v>
      </c>
      <c r="AZ561" s="46">
        <f>($AU$3*AU561+$AV$3*AV561+$AW$3*AW561+$AX$3*AX561)*AY561*IF(AQ561&lt;5,0.95,IF(AQ561&lt;7,0.975,1))+$I$3*VLOOKUP(I561,COND!$A$2:$E$7,4,FALSE)+$J$3*VLOOKUP(J561,COND!$A$2:$E$7,2,FALSE)+$K$3*VLOOKUP(K561,COND!$A$2:$E$7,3,FALSE)+IF(BB561="SP",$BB$3,0)+IF($AW561&lt;3,-5,0)+IF(AND($B$2&gt;0,$E561&lt;20),$B$2*25,0)</f>
        <v>21.100541221381981</v>
      </c>
      <c r="BA561" s="49">
        <f>STANDARDIZE(AZ561,AVERAGE($AZ$5:$AZ$570),STDEVP($AZ$5:$AZ$570))</f>
        <v>-1.0657604455476288</v>
      </c>
      <c r="BB561" s="47" t="str">
        <f>IF(OR(AND(AQ561&gt;7,AX561&gt;1),AND(AQ561&gt;4,AW561&gt;2)),"SP","RP")</f>
        <v>SP</v>
      </c>
      <c r="BC561" s="47"/>
      <c r="BD561" s="47"/>
      <c r="BE561" s="47"/>
      <c r="BF561" s="47" t="str">
        <f>IF(AVERAGE($O561:$Q561)&gt;=6,"Likely",IF(AVERAGE($O561:$Q561)&gt;=4,"Possible","Unlikely"))</f>
        <v>Unlikely</v>
      </c>
      <c r="BG561" s="47"/>
      <c r="BH561" s="47" t="str">
        <f>INDEX(Table5[[#All],[Ovr]],MATCH(Table3[[#This Row],[PID]],Table5[[#All],[PID]],0))</f>
        <v/>
      </c>
      <c r="BI561" s="47" t="str">
        <f>INDEX(Table5[[#All],[Rnd]],MATCH(Table3[[#This Row],[PID]],Table5[[#All],[PID]],0))</f>
        <v/>
      </c>
      <c r="BJ561" s="47" t="str">
        <f>INDEX(Table5[[#All],[Pick]],MATCH(Table3[[#This Row],[PID]],Table5[[#All],[PID]],0))</f>
        <v/>
      </c>
      <c r="BK561" s="47" t="str">
        <f>INDEX(Table5[[#All],[Team]],MATCH(Table3[[#This Row],[PID]],Table5[[#All],[PID]],0))</f>
        <v/>
      </c>
      <c r="BL5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2" spans="1:64" ht="15" customHeight="1" x14ac:dyDescent="0.25">
      <c r="A562" s="42">
        <v>4784</v>
      </c>
      <c r="B562" s="42" t="s">
        <v>430</v>
      </c>
      <c r="C562" s="42" t="s">
        <v>181</v>
      </c>
      <c r="D562" s="42" t="s">
        <v>207</v>
      </c>
      <c r="E562" s="42">
        <v>21</v>
      </c>
      <c r="F562" s="42" t="s">
        <v>62</v>
      </c>
      <c r="G562" s="42" t="s">
        <v>42</v>
      </c>
      <c r="H562" s="43" t="s">
        <v>721</v>
      </c>
      <c r="I562" s="44" t="s">
        <v>44</v>
      </c>
      <c r="J562" s="42" t="s">
        <v>44</v>
      </c>
      <c r="K562" s="43" t="s">
        <v>44</v>
      </c>
      <c r="L562" s="42">
        <v>2</v>
      </c>
      <c r="M562" s="42">
        <v>2</v>
      </c>
      <c r="N562" s="43">
        <v>1</v>
      </c>
      <c r="O562" s="42">
        <v>4</v>
      </c>
      <c r="P562" s="42">
        <v>2</v>
      </c>
      <c r="Q562" s="43">
        <v>2</v>
      </c>
      <c r="R562" s="42">
        <v>3</v>
      </c>
      <c r="S562" s="42">
        <v>5</v>
      </c>
      <c r="T562" s="42">
        <v>1</v>
      </c>
      <c r="U562" s="42">
        <v>5</v>
      </c>
      <c r="V562" s="42" t="s">
        <v>45</v>
      </c>
      <c r="W562" s="42" t="s">
        <v>45</v>
      </c>
      <c r="X562" s="42">
        <v>2</v>
      </c>
      <c r="Y562" s="42">
        <v>4</v>
      </c>
      <c r="Z562" s="42" t="s">
        <v>45</v>
      </c>
      <c r="AA562" s="42" t="s">
        <v>45</v>
      </c>
      <c r="AB562" s="42" t="s">
        <v>45</v>
      </c>
      <c r="AC562" s="42" t="s">
        <v>45</v>
      </c>
      <c r="AD562" s="42" t="s">
        <v>45</v>
      </c>
      <c r="AE562" s="42" t="s">
        <v>45</v>
      </c>
      <c r="AF562" s="42" t="s">
        <v>45</v>
      </c>
      <c r="AG562" s="42" t="s">
        <v>45</v>
      </c>
      <c r="AH562" s="42" t="s">
        <v>45</v>
      </c>
      <c r="AI562" s="42" t="s">
        <v>45</v>
      </c>
      <c r="AJ562" s="42" t="s">
        <v>45</v>
      </c>
      <c r="AK562" s="42" t="s">
        <v>45</v>
      </c>
      <c r="AL562" s="42" t="s">
        <v>45</v>
      </c>
      <c r="AM562" s="42" t="s">
        <v>45</v>
      </c>
      <c r="AN562" s="42" t="s">
        <v>45</v>
      </c>
      <c r="AO562" s="43" t="s">
        <v>45</v>
      </c>
      <c r="AP562" s="42" t="s">
        <v>356</v>
      </c>
      <c r="AQ562" s="42">
        <v>4</v>
      </c>
      <c r="AR562" s="50" t="s">
        <v>353</v>
      </c>
      <c r="AS562" s="45" t="s">
        <v>45</v>
      </c>
      <c r="AT562" s="45" t="s">
        <v>47</v>
      </c>
      <c r="AU562" s="46">
        <f>($O$3*(L562-$O$1)/$O$2+$P$3*(M562-$P$1)/$P$2+$Q$3*(N562-$P$1)/$Q$2)/SUM($O$3:$Q$3)</f>
        <v>-2.311361197028369</v>
      </c>
      <c r="AV562" s="46">
        <f>($O$3*(O562-$O$1)/$O$2+$P$3*(P562-$P$1)/$P$2+$Q$3*(Q562-$Q$1)/$Q$2)/SUM($O$3:$Q$3)</f>
        <v>-1.23416323121884</v>
      </c>
      <c r="AW562" s="47">
        <f>COUNT(R562:AO562)/2</f>
        <v>3</v>
      </c>
      <c r="AX562" s="47">
        <f>IF(AND(S562&lt;&gt;"-",S562&gt;5),1,0)+IF(AND(U562&lt;&gt;"-",U562&gt;5),1,0)+IF(AND(W562&lt;&gt;"-",W562&gt;5),1,0)+IF(AND(Y562&lt;&gt;"-",Y562&gt;5),1,0)+IF(AND(AA562&lt;&gt;"-",AA562&gt;5),1,0)+IF(AND(AC562&lt;&gt;"-",AC562&gt;5),1,0)+IF(AND(AE562&lt;&gt;"-",AE562&gt;5),1,0)+IF(AND(AG562&lt;&gt;"-",AG562&gt;5),1,0)+IF(AND(AI562&lt;&gt;"-",AI562&gt;5),1,0)+IF(AND(AK562&lt;&gt;"-",AK562&gt;5),1,0)+IF(AND(AM562&lt;&gt;"-",AM562&gt;5),1,0)+IF(AND(AO562&lt;&gt;"-",AO562&gt;5),1,0)</f>
        <v>0</v>
      </c>
      <c r="AY562" s="48">
        <f>VLOOKUP(AP562,COND!$A$10:$B$32,2,FALSE)</f>
        <v>1</v>
      </c>
      <c r="AZ562" s="46">
        <f>($AU$3*AU562+$AV$3*AV562+$AW$3*AW562+$AX$3*AX562)*AY562*IF(AQ562&lt;5,0.95,IF(AQ562&lt;7,0.975,1))+$I$3*VLOOKUP(I562,COND!$A$2:$E$7,4,FALSE)+$J$3*VLOOKUP(J562,COND!$A$2:$E$7,2,FALSE)+$K$3*VLOOKUP(K562,COND!$A$2:$E$7,3,FALSE)+IF(BB562="SP",$BB$3,0)+IF($AW562&lt;3,-5,0)+IF(AND($B$2&gt;0,$E562&lt;20),$B$2*25,0)</f>
        <v>21.786739979406647</v>
      </c>
      <c r="BA562" s="49">
        <f>STANDARDIZE(AZ562,AVERAGE($AZ$5:$AZ$570),STDEVP($AZ$5:$AZ$570))</f>
        <v>-1.0028330865616346</v>
      </c>
      <c r="BB562" s="47" t="str">
        <f>IF(OR(AND(AQ562&gt;7,AX562&gt;1),AND(AQ562&gt;4,AW562&gt;2)),"SP","RP")</f>
        <v>RP</v>
      </c>
      <c r="BC562" s="47"/>
      <c r="BD562" s="47"/>
      <c r="BE562" s="47"/>
      <c r="BF562" s="47" t="str">
        <f>IF(AVERAGE($O562:$Q562)&gt;=6,"Likely",IF(AVERAGE($O562:$Q562)&gt;=4,"Possible","Unlikely"))</f>
        <v>Unlikely</v>
      </c>
      <c r="BG562" s="47"/>
      <c r="BH562" s="47" t="str">
        <f>INDEX(Table5[[#All],[Ovr]],MATCH(Table3[[#This Row],[PID]],Table5[[#All],[PID]],0))</f>
        <v/>
      </c>
      <c r="BI562" s="47" t="str">
        <f>INDEX(Table5[[#All],[Rnd]],MATCH(Table3[[#This Row],[PID]],Table5[[#All],[PID]],0))</f>
        <v/>
      </c>
      <c r="BJ562" s="47" t="str">
        <f>INDEX(Table5[[#All],[Pick]],MATCH(Table3[[#This Row],[PID]],Table5[[#All],[PID]],0))</f>
        <v/>
      </c>
      <c r="BK562" s="47" t="str">
        <f>INDEX(Table5[[#All],[Team]],MATCH(Table3[[#This Row],[PID]],Table5[[#All],[PID]],0))</f>
        <v/>
      </c>
      <c r="BL5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3" spans="1:64" ht="15" customHeight="1" x14ac:dyDescent="0.25">
      <c r="A563" s="42">
        <v>9785</v>
      </c>
      <c r="B563" s="42" t="s">
        <v>430</v>
      </c>
      <c r="C563" s="42" t="s">
        <v>123</v>
      </c>
      <c r="D563" s="42" t="s">
        <v>793</v>
      </c>
      <c r="E563" s="42">
        <v>22</v>
      </c>
      <c r="F563" s="42" t="s">
        <v>42</v>
      </c>
      <c r="G563" s="42" t="s">
        <v>42</v>
      </c>
      <c r="H563" s="43" t="s">
        <v>721</v>
      </c>
      <c r="I563" s="44" t="s">
        <v>43</v>
      </c>
      <c r="J563" s="42" t="s">
        <v>43</v>
      </c>
      <c r="K563" s="43" t="s">
        <v>44</v>
      </c>
      <c r="L563" s="42">
        <v>2</v>
      </c>
      <c r="M563" s="42">
        <v>1</v>
      </c>
      <c r="N563" s="43">
        <v>2</v>
      </c>
      <c r="O563" s="42">
        <v>4</v>
      </c>
      <c r="P563" s="42">
        <v>1</v>
      </c>
      <c r="Q563" s="43">
        <v>2</v>
      </c>
      <c r="R563" s="42" t="s">
        <v>45</v>
      </c>
      <c r="S563" s="42" t="s">
        <v>45</v>
      </c>
      <c r="T563" s="42">
        <v>2</v>
      </c>
      <c r="U563" s="42">
        <v>6</v>
      </c>
      <c r="V563" s="42">
        <v>2</v>
      </c>
      <c r="W563" s="42">
        <v>2</v>
      </c>
      <c r="X563" s="42" t="s">
        <v>45</v>
      </c>
      <c r="Y563" s="42" t="s">
        <v>45</v>
      </c>
      <c r="Z563" s="42" t="s">
        <v>45</v>
      </c>
      <c r="AA563" s="42" t="s">
        <v>45</v>
      </c>
      <c r="AB563" s="42" t="s">
        <v>45</v>
      </c>
      <c r="AC563" s="42" t="s">
        <v>45</v>
      </c>
      <c r="AD563" s="42">
        <v>4</v>
      </c>
      <c r="AE563" s="42">
        <v>5</v>
      </c>
      <c r="AF563" s="42" t="s">
        <v>45</v>
      </c>
      <c r="AG563" s="42" t="s">
        <v>45</v>
      </c>
      <c r="AH563" s="42" t="s">
        <v>45</v>
      </c>
      <c r="AI563" s="42" t="s">
        <v>45</v>
      </c>
      <c r="AJ563" s="42" t="s">
        <v>45</v>
      </c>
      <c r="AK563" s="42" t="s">
        <v>45</v>
      </c>
      <c r="AL563" s="42" t="s">
        <v>45</v>
      </c>
      <c r="AM563" s="42" t="s">
        <v>45</v>
      </c>
      <c r="AN563" s="42" t="s">
        <v>45</v>
      </c>
      <c r="AO563" s="43" t="s">
        <v>45</v>
      </c>
      <c r="AP563" s="42" t="s">
        <v>56</v>
      </c>
      <c r="AQ563" s="42">
        <v>6</v>
      </c>
      <c r="AR563" s="50" t="s">
        <v>14</v>
      </c>
      <c r="AS563" s="45" t="s">
        <v>45</v>
      </c>
      <c r="AT563" s="45" t="s">
        <v>705</v>
      </c>
      <c r="AU563" s="46">
        <f>($O$3*(L563-$O$1)/$O$2+$P$3*(M563-$P$1)/$P$2+$Q$3*(N563-$P$1)/$Q$2)/SUM($O$3:$Q$3)</f>
        <v>-2.2644723474043147</v>
      </c>
      <c r="AV563" s="46">
        <f>($O$3*(O563-$O$1)/$O$2+$P$3*(P563-$P$1)/$P$2+$Q$3*(Q563-$Q$1)/$Q$2)/SUM($O$3:$Q$3)</f>
        <v>-1.4295949476488956</v>
      </c>
      <c r="AW563" s="47">
        <f>COUNT(R563:AO563)/2</f>
        <v>3</v>
      </c>
      <c r="AX563" s="47">
        <f>IF(AND(S563&lt;&gt;"-",S563&gt;5),1,0)+IF(AND(U563&lt;&gt;"-",U563&gt;5),1,0)+IF(AND(W563&lt;&gt;"-",W563&gt;5),1,0)+IF(AND(Y563&lt;&gt;"-",Y563&gt;5),1,0)+IF(AND(AA563&lt;&gt;"-",AA563&gt;5),1,0)+IF(AND(AC563&lt;&gt;"-",AC563&gt;5),1,0)+IF(AND(AE563&lt;&gt;"-",AE563&gt;5),1,0)+IF(AND(AG563&lt;&gt;"-",AG563&gt;5),1,0)+IF(AND(AI563&lt;&gt;"-",AI563&gt;5),1,0)+IF(AND(AK563&lt;&gt;"-",AK563&gt;5),1,0)+IF(AND(AM563&lt;&gt;"-",AM563&gt;5),1,0)+IF(AND(AO563&lt;&gt;"-",AO563&gt;5),1,0)</f>
        <v>1</v>
      </c>
      <c r="AY563" s="48">
        <f>VLOOKUP(AP563,COND!$A$10:$B$32,2,FALSE)</f>
        <v>1</v>
      </c>
      <c r="AZ563" s="46">
        <f>($AU$3*AU563+$AV$3*AV563+$AW$3*AW563+$AX$3*AX563)*AY563*IF(AQ563&lt;5,0.95,IF(AQ563&lt;7,0.975,1))+$I$3*VLOOKUP(I563,COND!$A$2:$E$7,4,FALSE)+$J$3*VLOOKUP(J563,COND!$A$2:$E$7,2,FALSE)+$K$3*VLOOKUP(K563,COND!$A$2:$E$7,3,FALSE)+IF(BB563="SP",$BB$3,0)+IF($AW563&lt;3,-5,0)+IF(AND($B$2&gt;0,$E563&lt;20),$B$2*25,0)</f>
        <v>21.062576413102693</v>
      </c>
      <c r="BA563" s="49">
        <f>STANDARDIZE(AZ563,AVERAGE($AZ$5:$AZ$570),STDEVP($AZ$5:$AZ$570))</f>
        <v>-1.0692419807318403</v>
      </c>
      <c r="BB563" s="47" t="str">
        <f>IF(OR(AND(AQ563&gt;7,AX563&gt;1),AND(AQ563&gt;4,AW563&gt;2)),"SP","RP")</f>
        <v>SP</v>
      </c>
      <c r="BC563" s="47"/>
      <c r="BD563" s="47"/>
      <c r="BE563" s="47"/>
      <c r="BF563" s="47" t="str">
        <f>IF(AVERAGE($O563:$Q563)&gt;=6,"Likely",IF(AVERAGE($O563:$Q563)&gt;=4,"Possible","Unlikely"))</f>
        <v>Unlikely</v>
      </c>
      <c r="BG563" s="47"/>
      <c r="BH563" s="47" t="str">
        <f>INDEX(Table5[[#All],[Ovr]],MATCH(Table3[[#This Row],[PID]],Table5[[#All],[PID]],0))</f>
        <v/>
      </c>
      <c r="BI563" s="47" t="str">
        <f>INDEX(Table5[[#All],[Rnd]],MATCH(Table3[[#This Row],[PID]],Table5[[#All],[PID]],0))</f>
        <v/>
      </c>
      <c r="BJ563" s="47" t="str">
        <f>INDEX(Table5[[#All],[Pick]],MATCH(Table3[[#This Row],[PID]],Table5[[#All],[PID]],0))</f>
        <v/>
      </c>
      <c r="BK563" s="47" t="str">
        <f>INDEX(Table5[[#All],[Team]],MATCH(Table3[[#This Row],[PID]],Table5[[#All],[PID]],0))</f>
        <v/>
      </c>
      <c r="BL5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4" spans="1:64" ht="15" customHeight="1" x14ac:dyDescent="0.25">
      <c r="A564" s="42">
        <v>5562</v>
      </c>
      <c r="B564" s="42" t="s">
        <v>24</v>
      </c>
      <c r="C564" s="42" t="s">
        <v>398</v>
      </c>
      <c r="D564" s="42" t="s">
        <v>980</v>
      </c>
      <c r="E564" s="42">
        <v>22</v>
      </c>
      <c r="F564" s="42" t="s">
        <v>42</v>
      </c>
      <c r="G564" s="42" t="s">
        <v>53</v>
      </c>
      <c r="H564" s="43" t="s">
        <v>721</v>
      </c>
      <c r="I564" s="44" t="s">
        <v>44</v>
      </c>
      <c r="J564" s="42" t="s">
        <v>44</v>
      </c>
      <c r="K564" s="43" t="s">
        <v>44</v>
      </c>
      <c r="L564" s="42">
        <v>3</v>
      </c>
      <c r="M564" s="42">
        <v>1</v>
      </c>
      <c r="N564" s="43">
        <v>2</v>
      </c>
      <c r="O564" s="42">
        <v>4</v>
      </c>
      <c r="P564" s="42">
        <v>1</v>
      </c>
      <c r="Q564" s="43">
        <v>2</v>
      </c>
      <c r="R564" s="42">
        <v>4</v>
      </c>
      <c r="S564" s="42">
        <v>6</v>
      </c>
      <c r="T564" s="42">
        <v>4</v>
      </c>
      <c r="U564" s="42">
        <v>6</v>
      </c>
      <c r="V564" s="42" t="s">
        <v>45</v>
      </c>
      <c r="W564" s="42" t="s">
        <v>45</v>
      </c>
      <c r="X564" s="42">
        <v>4</v>
      </c>
      <c r="Y564" s="42">
        <v>5</v>
      </c>
      <c r="Z564" s="42" t="s">
        <v>45</v>
      </c>
      <c r="AA564" s="42" t="s">
        <v>45</v>
      </c>
      <c r="AB564" s="42">
        <v>3</v>
      </c>
      <c r="AC564" s="42">
        <v>5</v>
      </c>
      <c r="AD564" s="42" t="s">
        <v>45</v>
      </c>
      <c r="AE564" s="42" t="s">
        <v>45</v>
      </c>
      <c r="AF564" s="42" t="s">
        <v>45</v>
      </c>
      <c r="AG564" s="42" t="s">
        <v>45</v>
      </c>
      <c r="AH564" s="42" t="s">
        <v>45</v>
      </c>
      <c r="AI564" s="42" t="s">
        <v>45</v>
      </c>
      <c r="AJ564" s="42" t="s">
        <v>45</v>
      </c>
      <c r="AK564" s="42" t="s">
        <v>45</v>
      </c>
      <c r="AL564" s="42" t="s">
        <v>45</v>
      </c>
      <c r="AM564" s="42" t="s">
        <v>45</v>
      </c>
      <c r="AN564" s="42" t="s">
        <v>45</v>
      </c>
      <c r="AO564" s="43" t="s">
        <v>45</v>
      </c>
      <c r="AP564" s="42" t="s">
        <v>58</v>
      </c>
      <c r="AQ564" s="42">
        <v>8</v>
      </c>
      <c r="AR564" s="50" t="s">
        <v>14</v>
      </c>
      <c r="AS564" s="45" t="s">
        <v>45</v>
      </c>
      <c r="AT564" s="45" t="s">
        <v>705</v>
      </c>
      <c r="AU564" s="46">
        <f>($O$3*(L564-$O$1)/$O$2+$P$3*(M564-$P$1)/$P$2+$Q$3*(N564-$P$1)/$Q$2)/SUM($O$3:$Q$3)</f>
        <v>-2.0697810228951408</v>
      </c>
      <c r="AV564" s="46">
        <f>($O$3*(O564-$O$1)/$O$2+$P$3*(P564-$P$1)/$P$2+$Q$3*(Q564-$Q$1)/$Q$2)/SUM($O$3:$Q$3)</f>
        <v>-1.4295949476488956</v>
      </c>
      <c r="AW564" s="47">
        <f>COUNT(R564:AO564)/2</f>
        <v>4</v>
      </c>
      <c r="AX564" s="47">
        <f>IF(AND(S564&lt;&gt;"-",S564&gt;5),1,0)+IF(AND(U564&lt;&gt;"-",U564&gt;5),1,0)+IF(AND(W564&lt;&gt;"-",W564&gt;5),1,0)+IF(AND(Y564&lt;&gt;"-",Y564&gt;5),1,0)+IF(AND(AA564&lt;&gt;"-",AA564&gt;5),1,0)+IF(AND(AC564&lt;&gt;"-",AC564&gt;5),1,0)+IF(AND(AE564&lt;&gt;"-",AE564&gt;5),1,0)+IF(AND(AG564&lt;&gt;"-",AG564&gt;5),1,0)+IF(AND(AI564&lt;&gt;"-",AI564&gt;5),1,0)+IF(AND(AK564&lt;&gt;"-",AK564&gt;5),1,0)+IF(AND(AM564&lt;&gt;"-",AM564&gt;5),1,0)+IF(AND(AO564&lt;&gt;"-",AO564&gt;5),1,0)</f>
        <v>2</v>
      </c>
      <c r="AY564" s="48">
        <f>VLOOKUP(AP564,COND!$A$10:$B$32,2,FALSE)</f>
        <v>1</v>
      </c>
      <c r="AZ564" s="46">
        <f>($AU$3*AU564+$AV$3*AV564+$AW$3*AW564+$AX$3*AX564)*AY564*IF(AQ564&lt;5,0.95,IF(AQ564&lt;7,0.975,1))+$I$3*VLOOKUP(I564,COND!$A$2:$E$7,4,FALSE)+$J$3*VLOOKUP(J564,COND!$A$2:$E$7,2,FALSE)+$K$3*VLOOKUP(K564,COND!$A$2:$E$7,3,FALSE)+IF(BB564="SP",$BB$3,0)+IF($AW564&lt;3,-5,0)+IF(AND($B$2&gt;0,$E564&lt;20),$B$2*25,0)</f>
        <v>21.744144842443056</v>
      </c>
      <c r="BA564" s="49">
        <f>STANDARDIZE(AZ564,AVERAGE($AZ$5:$AZ$570),STDEVP($AZ$5:$AZ$570))</f>
        <v>-1.0067392426766375</v>
      </c>
      <c r="BB564" s="47" t="str">
        <f>IF(OR(AND(AQ564&gt;7,AX564&gt;1),AND(AQ564&gt;4,AW564&gt;2)),"SP","RP")</f>
        <v>SP</v>
      </c>
      <c r="BC564" s="47"/>
      <c r="BD564" s="47"/>
      <c r="BE564" s="47"/>
      <c r="BF564" s="47" t="str">
        <f>IF(AVERAGE($O564:$Q564)&gt;=6,"Likely",IF(AVERAGE($O564:$Q564)&gt;=4,"Possible","Unlikely"))</f>
        <v>Unlikely</v>
      </c>
      <c r="BG564" s="47"/>
      <c r="BH564" s="47" t="str">
        <f>INDEX(Table5[[#All],[Ovr]],MATCH(Table3[[#This Row],[PID]],Table5[[#All],[PID]],0))</f>
        <v/>
      </c>
      <c r="BI564" s="47" t="str">
        <f>INDEX(Table5[[#All],[Rnd]],MATCH(Table3[[#This Row],[PID]],Table5[[#All],[PID]],0))</f>
        <v/>
      </c>
      <c r="BJ564" s="47" t="str">
        <f>INDEX(Table5[[#All],[Pick]],MATCH(Table3[[#This Row],[PID]],Table5[[#All],[PID]],0))</f>
        <v/>
      </c>
      <c r="BK564" s="47" t="str">
        <f>INDEX(Table5[[#All],[Team]],MATCH(Table3[[#This Row],[PID]],Table5[[#All],[PID]],0))</f>
        <v/>
      </c>
      <c r="BL5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5" spans="1:64" ht="15" customHeight="1" x14ac:dyDescent="0.25">
      <c r="A565" s="42">
        <v>8888</v>
      </c>
      <c r="B565" s="42" t="s">
        <v>430</v>
      </c>
      <c r="C565" s="42" t="s">
        <v>958</v>
      </c>
      <c r="D565" s="42" t="s">
        <v>959</v>
      </c>
      <c r="E565" s="42">
        <v>22</v>
      </c>
      <c r="F565" s="42" t="s">
        <v>42</v>
      </c>
      <c r="G565" s="42" t="s">
        <v>42</v>
      </c>
      <c r="H565" s="43" t="s">
        <v>721</v>
      </c>
      <c r="I565" s="44" t="s">
        <v>43</v>
      </c>
      <c r="J565" s="42" t="s">
        <v>43</v>
      </c>
      <c r="K565" s="43" t="s">
        <v>43</v>
      </c>
      <c r="L565" s="42">
        <v>3</v>
      </c>
      <c r="M565" s="42">
        <v>1</v>
      </c>
      <c r="N565" s="43">
        <v>1</v>
      </c>
      <c r="O565" s="42">
        <v>5</v>
      </c>
      <c r="P565" s="42">
        <v>1</v>
      </c>
      <c r="Q565" s="43">
        <v>2</v>
      </c>
      <c r="R565" s="42">
        <v>5</v>
      </c>
      <c r="S565" s="42">
        <v>6</v>
      </c>
      <c r="T565" s="42">
        <v>4</v>
      </c>
      <c r="U565" s="42">
        <v>6</v>
      </c>
      <c r="V565" s="42" t="s">
        <v>45</v>
      </c>
      <c r="W565" s="42" t="s">
        <v>45</v>
      </c>
      <c r="X565" s="42" t="s">
        <v>45</v>
      </c>
      <c r="Y565" s="42" t="s">
        <v>45</v>
      </c>
      <c r="Z565" s="42" t="s">
        <v>45</v>
      </c>
      <c r="AA565" s="42" t="s">
        <v>45</v>
      </c>
      <c r="AB565" s="42" t="s">
        <v>45</v>
      </c>
      <c r="AC565" s="42" t="s">
        <v>45</v>
      </c>
      <c r="AD565" s="42" t="s">
        <v>45</v>
      </c>
      <c r="AE565" s="42" t="s">
        <v>45</v>
      </c>
      <c r="AF565" s="42" t="s">
        <v>45</v>
      </c>
      <c r="AG565" s="42" t="s">
        <v>45</v>
      </c>
      <c r="AH565" s="42" t="s">
        <v>45</v>
      </c>
      <c r="AI565" s="42" t="s">
        <v>45</v>
      </c>
      <c r="AJ565" s="42" t="s">
        <v>45</v>
      </c>
      <c r="AK565" s="42" t="s">
        <v>45</v>
      </c>
      <c r="AL565" s="42" t="s">
        <v>45</v>
      </c>
      <c r="AM565" s="42" t="s">
        <v>45</v>
      </c>
      <c r="AN565" s="42" t="s">
        <v>45</v>
      </c>
      <c r="AO565" s="43" t="s">
        <v>45</v>
      </c>
      <c r="AP565" s="42" t="s">
        <v>58</v>
      </c>
      <c r="AQ565" s="42">
        <v>8</v>
      </c>
      <c r="AR565" s="50" t="s">
        <v>14</v>
      </c>
      <c r="AS565" s="45" t="s">
        <v>45</v>
      </c>
      <c r="AT565" s="45" t="s">
        <v>47</v>
      </c>
      <c r="AU565" s="46">
        <f>($O$3*(L565-$O$1)/$O$2+$P$3*(M565-$P$1)/$P$2+$Q$3*(N565-$P$1)/$Q$2)/SUM($O$3:$Q$3)</f>
        <v>-2.3121015889492513</v>
      </c>
      <c r="AV565" s="46">
        <f>($O$3*(O565-$O$1)/$O$2+$P$3*(P565-$P$1)/$P$2+$Q$3*(Q565-$Q$1)/$Q$2)/SUM($O$3:$Q$3)</f>
        <v>-1.2349036231397219</v>
      </c>
      <c r="AW565" s="47">
        <f>COUNT(R565:AO565)/2</f>
        <v>2</v>
      </c>
      <c r="AX565" s="47">
        <f>IF(AND(S565&lt;&gt;"-",S565&gt;5),1,0)+IF(AND(U565&lt;&gt;"-",U565&gt;5),1,0)+IF(AND(W565&lt;&gt;"-",W565&gt;5),1,0)+IF(AND(Y565&lt;&gt;"-",Y565&gt;5),1,0)+IF(AND(AA565&lt;&gt;"-",AA565&gt;5),1,0)+IF(AND(AC565&lt;&gt;"-",AC565&gt;5),1,0)+IF(AND(AE565&lt;&gt;"-",AE565&gt;5),1,0)+IF(AND(AG565&lt;&gt;"-",AG565&gt;5),1,0)+IF(AND(AI565&lt;&gt;"-",AI565&gt;5),1,0)+IF(AND(AK565&lt;&gt;"-",AK565&gt;5),1,0)+IF(AND(AM565&lt;&gt;"-",AM565&gt;5),1,0)+IF(AND(AO565&lt;&gt;"-",AO565&gt;5),1,0)</f>
        <v>2</v>
      </c>
      <c r="AY565" s="48">
        <f>VLOOKUP(AP565,COND!$A$10:$B$32,2,FALSE)</f>
        <v>1</v>
      </c>
      <c r="AZ565" s="46">
        <f>($AU$3*AU565+$AV$3*AV565+$AW$3*AW565+$AX$3*AX565)*AY565*IF(AQ565&lt;5,0.95,IF(AQ565&lt;7,0.975,1))+$I$3*VLOOKUP(I565,COND!$A$2:$E$7,4,FALSE)+$J$3*VLOOKUP(J565,COND!$A$2:$E$7,2,FALSE)+$K$3*VLOOKUP(K565,COND!$A$2:$E$7,3,FALSE)+IF(BB565="SP",$BB$3,0)+IF($AW565&lt;3,-5,0)+IF(AND($B$2&gt;0,$E565&lt;20),$B$2*25,0)</f>
        <v>20.339507219415712</v>
      </c>
      <c r="BA565" s="49">
        <f>STANDARDIZE(AZ565,AVERAGE($AZ$5:$AZ$570),STDEVP($AZ$5:$AZ$570))</f>
        <v>-1.135550516255623</v>
      </c>
      <c r="BB565" s="47" t="str">
        <f>IF(OR(AND(AQ565&gt;7,AX565&gt;1),AND(AQ565&gt;4,AW565&gt;2)),"SP","RP")</f>
        <v>SP</v>
      </c>
      <c r="BC565" s="47"/>
      <c r="BD565" s="47"/>
      <c r="BE565" s="47"/>
      <c r="BF565" s="47" t="str">
        <f>IF(AVERAGE($O565:$Q565)&gt;=6,"Likely",IF(AVERAGE($O565:$Q565)&gt;=4,"Possible","Unlikely"))</f>
        <v>Unlikely</v>
      </c>
      <c r="BG565" s="47"/>
      <c r="BH565" s="47" t="str">
        <f>INDEX(Table5[[#All],[Ovr]],MATCH(Table3[[#This Row],[PID]],Table5[[#All],[PID]],0))</f>
        <v/>
      </c>
      <c r="BI565" s="47" t="str">
        <f>INDEX(Table5[[#All],[Rnd]],MATCH(Table3[[#This Row],[PID]],Table5[[#All],[PID]],0))</f>
        <v/>
      </c>
      <c r="BJ565" s="47" t="str">
        <f>INDEX(Table5[[#All],[Pick]],MATCH(Table3[[#This Row],[PID]],Table5[[#All],[PID]],0))</f>
        <v/>
      </c>
      <c r="BK565" s="47" t="str">
        <f>INDEX(Table5[[#All],[Team]],MATCH(Table3[[#This Row],[PID]],Table5[[#All],[PID]],0))</f>
        <v/>
      </c>
      <c r="BL5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6" spans="1:64" ht="15" customHeight="1" x14ac:dyDescent="0.25">
      <c r="A566" s="42">
        <v>8609</v>
      </c>
      <c r="B566" s="42" t="s">
        <v>24</v>
      </c>
      <c r="C566" s="42" t="s">
        <v>161</v>
      </c>
      <c r="D566" s="42" t="s">
        <v>1690</v>
      </c>
      <c r="E566" s="42">
        <v>21</v>
      </c>
      <c r="F566" s="42" t="s">
        <v>42</v>
      </c>
      <c r="G566" s="42" t="s">
        <v>42</v>
      </c>
      <c r="H566" s="43" t="s">
        <v>721</v>
      </c>
      <c r="I566" s="44" t="s">
        <v>43</v>
      </c>
      <c r="J566" s="42" t="s">
        <v>43</v>
      </c>
      <c r="K566" s="43" t="s">
        <v>43</v>
      </c>
      <c r="L566" s="42">
        <v>2</v>
      </c>
      <c r="M566" s="42">
        <v>2</v>
      </c>
      <c r="N566" s="43">
        <v>1</v>
      </c>
      <c r="O566" s="42">
        <v>4</v>
      </c>
      <c r="P566" s="42">
        <v>2</v>
      </c>
      <c r="Q566" s="43">
        <v>1</v>
      </c>
      <c r="R566" s="42">
        <v>4</v>
      </c>
      <c r="S566" s="42">
        <v>5</v>
      </c>
      <c r="T566" s="42">
        <v>1</v>
      </c>
      <c r="U566" s="42">
        <v>7</v>
      </c>
      <c r="V566" s="42" t="s">
        <v>45</v>
      </c>
      <c r="W566" s="42" t="s">
        <v>45</v>
      </c>
      <c r="X566" s="42">
        <v>3</v>
      </c>
      <c r="Y566" s="42">
        <v>6</v>
      </c>
      <c r="Z566" s="42" t="s">
        <v>45</v>
      </c>
      <c r="AA566" s="42" t="s">
        <v>45</v>
      </c>
      <c r="AB566" s="42" t="s">
        <v>45</v>
      </c>
      <c r="AC566" s="42" t="s">
        <v>45</v>
      </c>
      <c r="AD566" s="42" t="s">
        <v>45</v>
      </c>
      <c r="AE566" s="42" t="s">
        <v>45</v>
      </c>
      <c r="AF566" s="42" t="s">
        <v>45</v>
      </c>
      <c r="AG566" s="42" t="s">
        <v>45</v>
      </c>
      <c r="AH566" s="42" t="s">
        <v>45</v>
      </c>
      <c r="AI566" s="42" t="s">
        <v>45</v>
      </c>
      <c r="AJ566" s="42" t="s">
        <v>45</v>
      </c>
      <c r="AK566" s="42" t="s">
        <v>45</v>
      </c>
      <c r="AL566" s="42" t="s">
        <v>45</v>
      </c>
      <c r="AM566" s="42" t="s">
        <v>45</v>
      </c>
      <c r="AN566" s="42" t="s">
        <v>45</v>
      </c>
      <c r="AO566" s="43" t="s">
        <v>45</v>
      </c>
      <c r="AP566" s="42" t="s">
        <v>57</v>
      </c>
      <c r="AQ566" s="42">
        <v>4</v>
      </c>
      <c r="AR566" s="50" t="s">
        <v>353</v>
      </c>
      <c r="AS566" s="45" t="s">
        <v>45</v>
      </c>
      <c r="AT566" s="45" t="s">
        <v>47</v>
      </c>
      <c r="AU566" s="46">
        <f>($O$3*(L566-$O$1)/$O$2+$P$3*(M566-$P$1)/$P$2+$Q$3*(N566-$P$1)/$Q$2)/SUM($O$3:$Q$3)</f>
        <v>-2.311361197028369</v>
      </c>
      <c r="AV566" s="46">
        <f>($O$3*(O566-$O$1)/$O$2+$P$3*(P566-$P$1)/$P$2+$Q$3*(Q566-$Q$1)/$Q$2)/SUM($O$3:$Q$3)</f>
        <v>-1.4764837972729503</v>
      </c>
      <c r="AW566" s="47">
        <f>COUNT(R566:AO566)/2</f>
        <v>3</v>
      </c>
      <c r="AX566" s="47">
        <f>IF(AND(S566&lt;&gt;"-",S566&gt;5),1,0)+IF(AND(U566&lt;&gt;"-",U566&gt;5),1,0)+IF(AND(W566&lt;&gt;"-",W566&gt;5),1,0)+IF(AND(Y566&lt;&gt;"-",Y566&gt;5),1,0)+IF(AND(AA566&lt;&gt;"-",AA566&gt;5),1,0)+IF(AND(AC566&lt;&gt;"-",AC566&gt;5),1,0)+IF(AND(AE566&lt;&gt;"-",AE566&gt;5),1,0)+IF(AND(AG566&lt;&gt;"-",AG566&gt;5),1,0)+IF(AND(AI566&lt;&gt;"-",AI566&gt;5),1,0)+IF(AND(AK566&lt;&gt;"-",AK566&gt;5),1,0)+IF(AND(AM566&lt;&gt;"-",AM566&gt;5),1,0)+IF(AND(AO566&lt;&gt;"-",AO566&gt;5),1,0)</f>
        <v>2</v>
      </c>
      <c r="AY566" s="48">
        <f>VLOOKUP(AP566,COND!$A$10:$B$32,2,FALSE)</f>
        <v>1</v>
      </c>
      <c r="AZ566" s="46">
        <f>($AU$3*AU566+$AV$3*AV566+$AW$3*AW566+$AX$3*AX566)*AY566*IF(AQ566&lt;5,0.95,IF(AQ566&lt;7,0.975,1))+$I$3*VLOOKUP(I566,COND!$A$2:$E$7,4,FALSE)+$J$3*VLOOKUP(J566,COND!$A$2:$E$7,2,FALSE)+$K$3*VLOOKUP(K566,COND!$A$2:$E$7,3,FALSE)+IF(BB566="SP",$BB$3,0)+IF($AW566&lt;3,-5,0)+IF(AND($B$2&gt;0,$E566&lt;20),$B$2*25,0)</f>
        <v>20.307649224378554</v>
      </c>
      <c r="BA566" s="49">
        <f>STANDARDIZE(AZ566,AVERAGE($AZ$5:$AZ$570),STDEVP($AZ$5:$AZ$570))</f>
        <v>-1.1384720305644629</v>
      </c>
      <c r="BB566" s="47" t="str">
        <f>IF(OR(AND(AQ566&gt;7,AX566&gt;1),AND(AQ566&gt;4,AW566&gt;2)),"SP","RP")</f>
        <v>RP</v>
      </c>
      <c r="BC566" s="47"/>
      <c r="BD566" s="47"/>
      <c r="BE566" s="47"/>
      <c r="BF566" s="47" t="str">
        <f>IF(AVERAGE($O566:$Q566)&gt;=6,"Likely",IF(AVERAGE($O566:$Q566)&gt;=4,"Possible","Unlikely"))</f>
        <v>Unlikely</v>
      </c>
      <c r="BG566" s="47"/>
      <c r="BH566" s="47" t="str">
        <f>INDEX(Table5[[#All],[Ovr]],MATCH(Table3[[#This Row],[PID]],Table5[[#All],[PID]],0))</f>
        <v/>
      </c>
      <c r="BI566" s="47" t="str">
        <f>INDEX(Table5[[#All],[Rnd]],MATCH(Table3[[#This Row],[PID]],Table5[[#All],[PID]],0))</f>
        <v/>
      </c>
      <c r="BJ566" s="47" t="str">
        <f>INDEX(Table5[[#All],[Pick]],MATCH(Table3[[#This Row],[PID]],Table5[[#All],[PID]],0))</f>
        <v/>
      </c>
      <c r="BK566" s="47" t="str">
        <f>INDEX(Table5[[#All],[Team]],MATCH(Table3[[#This Row],[PID]],Table5[[#All],[PID]],0))</f>
        <v/>
      </c>
      <c r="BL5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7" spans="1:64" ht="15" customHeight="1" x14ac:dyDescent="0.25">
      <c r="A567" s="42">
        <v>17809</v>
      </c>
      <c r="B567" s="42" t="s">
        <v>430</v>
      </c>
      <c r="C567" s="42" t="s">
        <v>1696</v>
      </c>
      <c r="D567" s="42" t="s">
        <v>1276</v>
      </c>
      <c r="E567" s="42">
        <v>21</v>
      </c>
      <c r="F567" s="42" t="s">
        <v>42</v>
      </c>
      <c r="G567" s="42" t="s">
        <v>42</v>
      </c>
      <c r="H567" s="43" t="s">
        <v>721</v>
      </c>
      <c r="I567" s="44" t="s">
        <v>43</v>
      </c>
      <c r="J567" s="42" t="s">
        <v>44</v>
      </c>
      <c r="K567" s="43" t="s">
        <v>43</v>
      </c>
      <c r="L567" s="42">
        <v>3</v>
      </c>
      <c r="M567" s="42">
        <v>1</v>
      </c>
      <c r="N567" s="43">
        <v>2</v>
      </c>
      <c r="O567" s="42">
        <v>4</v>
      </c>
      <c r="P567" s="42">
        <v>1</v>
      </c>
      <c r="Q567" s="43">
        <v>2</v>
      </c>
      <c r="R567" s="42">
        <v>4</v>
      </c>
      <c r="S567" s="42">
        <v>5</v>
      </c>
      <c r="T567" s="42">
        <v>3</v>
      </c>
      <c r="U567" s="42">
        <v>5</v>
      </c>
      <c r="V567" s="42">
        <v>3</v>
      </c>
      <c r="W567" s="42">
        <v>5</v>
      </c>
      <c r="X567" s="42">
        <v>3</v>
      </c>
      <c r="Y567" s="42">
        <v>6</v>
      </c>
      <c r="Z567" s="42" t="s">
        <v>45</v>
      </c>
      <c r="AA567" s="42" t="s">
        <v>45</v>
      </c>
      <c r="AB567" s="42" t="s">
        <v>45</v>
      </c>
      <c r="AC567" s="42" t="s">
        <v>45</v>
      </c>
      <c r="AD567" s="42" t="s">
        <v>45</v>
      </c>
      <c r="AE567" s="42" t="s">
        <v>45</v>
      </c>
      <c r="AF567" s="42" t="s">
        <v>45</v>
      </c>
      <c r="AG567" s="42" t="s">
        <v>45</v>
      </c>
      <c r="AH567" s="42" t="s">
        <v>45</v>
      </c>
      <c r="AI567" s="42" t="s">
        <v>45</v>
      </c>
      <c r="AJ567" s="42" t="s">
        <v>45</v>
      </c>
      <c r="AK567" s="42" t="s">
        <v>45</v>
      </c>
      <c r="AL567" s="42" t="s">
        <v>45</v>
      </c>
      <c r="AM567" s="42" t="s">
        <v>45</v>
      </c>
      <c r="AN567" s="42" t="s">
        <v>45</v>
      </c>
      <c r="AO567" s="43" t="s">
        <v>45</v>
      </c>
      <c r="AP567" s="42" t="s">
        <v>355</v>
      </c>
      <c r="AQ567" s="42">
        <v>7</v>
      </c>
      <c r="AR567" s="50" t="s">
        <v>14</v>
      </c>
      <c r="AS567" s="45" t="s">
        <v>45</v>
      </c>
      <c r="AT567" s="45" t="s">
        <v>47</v>
      </c>
      <c r="AU567" s="46">
        <f>($O$3*(L567-$O$1)/$O$2+$P$3*(M567-$P$1)/$P$2+$Q$3*(N567-$P$1)/$Q$2)/SUM($O$3:$Q$3)</f>
        <v>-2.0697810228951408</v>
      </c>
      <c r="AV567" s="46">
        <f>($O$3*(O567-$O$1)/$O$2+$P$3*(P567-$P$1)/$P$2+$Q$3*(Q567-$Q$1)/$Q$2)/SUM($O$3:$Q$3)</f>
        <v>-1.4295949476488956</v>
      </c>
      <c r="AW567" s="47">
        <f>COUNT(R567:AO567)/2</f>
        <v>4</v>
      </c>
      <c r="AX567" s="47">
        <f>IF(AND(S567&lt;&gt;"-",S567&gt;5),1,0)+IF(AND(U567&lt;&gt;"-",U567&gt;5),1,0)+IF(AND(W567&lt;&gt;"-",W567&gt;5),1,0)+IF(AND(Y567&lt;&gt;"-",Y567&gt;5),1,0)+IF(AND(AA567&lt;&gt;"-",AA567&gt;5),1,0)+IF(AND(AC567&lt;&gt;"-",AC567&gt;5),1,0)+IF(AND(AE567&lt;&gt;"-",AE567&gt;5),1,0)+IF(AND(AG567&lt;&gt;"-",AG567&gt;5),1,0)+IF(AND(AI567&lt;&gt;"-",AI567&gt;5),1,0)+IF(AND(AK567&lt;&gt;"-",AK567&gt;5),1,0)+IF(AND(AM567&lt;&gt;"-",AM567&gt;5),1,0)+IF(AND(AO567&lt;&gt;"-",AO567&gt;5),1,0)</f>
        <v>1</v>
      </c>
      <c r="AY567" s="48">
        <f>VLOOKUP(AP567,COND!$A$10:$B$32,2,FALSE)</f>
        <v>1</v>
      </c>
      <c r="AZ567" s="46">
        <f>($AU$3*AU567+$AV$3*AV567+$AW$3*AW567+$AX$3*AX567)*AY567*IF(AQ567&lt;5,0.95,IF(AQ567&lt;7,0.975,1))+$I$3*VLOOKUP(I567,COND!$A$2:$E$7,4,FALSE)+$J$3*VLOOKUP(J567,COND!$A$2:$E$7,2,FALSE)+$K$3*VLOOKUP(K567,COND!$A$2:$E$7,3,FALSE)+IF(BB567="SP",$BB$3,0)+IF($AW567&lt;3,-5,0)+IF(AND($B$2&gt;0,$E567&lt;20),$B$2*25,0)</f>
        <v>20.944144842443055</v>
      </c>
      <c r="BA567" s="49">
        <f>STANDARDIZE(AZ567,AVERAGE($AZ$5:$AZ$570),STDEVP($AZ$5:$AZ$570))</f>
        <v>-1.0801026619485008</v>
      </c>
      <c r="BB567" s="47" t="str">
        <f>IF(OR(AND(AQ567&gt;7,AX567&gt;1),AND(AQ567&gt;4,AW567&gt;2)),"SP","RP")</f>
        <v>SP</v>
      </c>
      <c r="BC567" s="47"/>
      <c r="BD567" s="47"/>
      <c r="BE567" s="47"/>
      <c r="BF567" s="47" t="str">
        <f>IF(AVERAGE($O567:$Q567)&gt;=6,"Likely",IF(AVERAGE($O567:$Q567)&gt;=4,"Possible","Unlikely"))</f>
        <v>Unlikely</v>
      </c>
      <c r="BG567" s="47"/>
      <c r="BH567" s="47" t="str">
        <f>INDEX(Table5[[#All],[Ovr]],MATCH(Table3[[#This Row],[PID]],Table5[[#All],[PID]],0))</f>
        <v/>
      </c>
      <c r="BI567" s="47" t="str">
        <f>INDEX(Table5[[#All],[Rnd]],MATCH(Table3[[#This Row],[PID]],Table5[[#All],[PID]],0))</f>
        <v/>
      </c>
      <c r="BJ567" s="47" t="str">
        <f>INDEX(Table5[[#All],[Pick]],MATCH(Table3[[#This Row],[PID]],Table5[[#All],[PID]],0))</f>
        <v/>
      </c>
      <c r="BK567" s="47" t="str">
        <f>INDEX(Table5[[#All],[Team]],MATCH(Table3[[#This Row],[PID]],Table5[[#All],[PID]],0))</f>
        <v/>
      </c>
      <c r="BL5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8" spans="1:64" ht="15" customHeight="1" x14ac:dyDescent="0.25">
      <c r="A568" s="42">
        <v>15256</v>
      </c>
      <c r="B568" s="42" t="s">
        <v>430</v>
      </c>
      <c r="C568" s="42" t="s">
        <v>1205</v>
      </c>
      <c r="D568" s="42" t="s">
        <v>1206</v>
      </c>
      <c r="E568" s="42">
        <v>18</v>
      </c>
      <c r="F568" s="42" t="s">
        <v>53</v>
      </c>
      <c r="G568" s="42" t="s">
        <v>42</v>
      </c>
      <c r="H568" s="43" t="s">
        <v>721</v>
      </c>
      <c r="I568" s="44" t="s">
        <v>43</v>
      </c>
      <c r="J568" s="42" t="s">
        <v>44</v>
      </c>
      <c r="K568" s="43" t="s">
        <v>44</v>
      </c>
      <c r="L568" s="42">
        <v>1</v>
      </c>
      <c r="M568" s="42">
        <v>1</v>
      </c>
      <c r="N568" s="43">
        <v>1</v>
      </c>
      <c r="O568" s="42">
        <v>3</v>
      </c>
      <c r="P568" s="42">
        <v>1</v>
      </c>
      <c r="Q568" s="43">
        <v>2</v>
      </c>
      <c r="R568" s="42">
        <v>2</v>
      </c>
      <c r="S568" s="42">
        <v>4</v>
      </c>
      <c r="T568" s="42">
        <v>1</v>
      </c>
      <c r="U568" s="42">
        <v>5</v>
      </c>
      <c r="V568" s="42" t="s">
        <v>45</v>
      </c>
      <c r="W568" s="42" t="s">
        <v>45</v>
      </c>
      <c r="X568" s="42">
        <v>2</v>
      </c>
      <c r="Y568" s="42">
        <v>4</v>
      </c>
      <c r="Z568" s="42" t="s">
        <v>45</v>
      </c>
      <c r="AA568" s="42" t="s">
        <v>45</v>
      </c>
      <c r="AB568" s="42" t="s">
        <v>45</v>
      </c>
      <c r="AC568" s="42" t="s">
        <v>45</v>
      </c>
      <c r="AD568" s="42" t="s">
        <v>45</v>
      </c>
      <c r="AE568" s="42" t="s">
        <v>45</v>
      </c>
      <c r="AF568" s="42" t="s">
        <v>45</v>
      </c>
      <c r="AG568" s="42" t="s">
        <v>45</v>
      </c>
      <c r="AH568" s="42" t="s">
        <v>45</v>
      </c>
      <c r="AI568" s="42" t="s">
        <v>45</v>
      </c>
      <c r="AJ568" s="42" t="s">
        <v>45</v>
      </c>
      <c r="AK568" s="42" t="s">
        <v>45</v>
      </c>
      <c r="AL568" s="42" t="s">
        <v>45</v>
      </c>
      <c r="AM568" s="42" t="s">
        <v>45</v>
      </c>
      <c r="AN568" s="42" t="s">
        <v>45</v>
      </c>
      <c r="AO568" s="43" t="s">
        <v>45</v>
      </c>
      <c r="AP568" s="42" t="s">
        <v>65</v>
      </c>
      <c r="AQ568" s="42">
        <v>5</v>
      </c>
      <c r="AR568" s="50" t="s">
        <v>14</v>
      </c>
      <c r="AS568" s="45" t="s">
        <v>730</v>
      </c>
      <c r="AT568" s="45" t="s">
        <v>47</v>
      </c>
      <c r="AU568" s="46">
        <f>($O$3*(L568-$O$1)/$O$2+$P$3*(M568-$P$1)/$P$2+$Q$3*(N568-$P$1)/$Q$2)/SUM($O$3:$Q$3)</f>
        <v>-2.7014842379675978</v>
      </c>
      <c r="AV568" s="46">
        <f>($O$3*(O568-$O$1)/$O$2+$P$3*(P568-$P$1)/$P$2+$Q$3*(Q568-$Q$1)/$Q$2)/SUM($O$3:$Q$3)</f>
        <v>-1.6242862721580691</v>
      </c>
      <c r="AW568" s="47">
        <f>COUNT(R568:AO568)/2</f>
        <v>3</v>
      </c>
      <c r="AX568" s="47">
        <f>IF(AND(S568&lt;&gt;"-",S568&gt;5),1,0)+IF(AND(U568&lt;&gt;"-",U568&gt;5),1,0)+IF(AND(W568&lt;&gt;"-",W568&gt;5),1,0)+IF(AND(Y568&lt;&gt;"-",Y568&gt;5),1,0)+IF(AND(AA568&lt;&gt;"-",AA568&gt;5),1,0)+IF(AND(AC568&lt;&gt;"-",AC568&gt;5),1,0)+IF(AND(AE568&lt;&gt;"-",AE568&gt;5),1,0)+IF(AND(AG568&lt;&gt;"-",AG568&gt;5),1,0)+IF(AND(AI568&lt;&gt;"-",AI568&gt;5),1,0)+IF(AND(AK568&lt;&gt;"-",AK568&gt;5),1,0)+IF(AND(AM568&lt;&gt;"-",AM568&gt;5),1,0)+IF(AND(AO568&lt;&gt;"-",AO568&gt;5),1,0)</f>
        <v>0</v>
      </c>
      <c r="AY568" s="48">
        <f>VLOOKUP(AP568,COND!$A$10:$B$32,2,FALSE)</f>
        <v>0.95</v>
      </c>
      <c r="AZ568" s="46">
        <f>($AU$3*AU568+$AV$3*AV568+$AW$3*AW568+$AX$3*AX568)*AY568*IF(AQ568&lt;5,0.95,IF(AQ568&lt;7,0.975,1))+$I$3*VLOOKUP(I568,COND!$A$2:$E$7,4,FALSE)+$J$3*VLOOKUP(J568,COND!$A$2:$E$7,2,FALSE)+$K$3*VLOOKUP(K568,COND!$A$2:$E$7,3,FALSE)+IF(BB568="SP",$BB$3,0)+IF($AW568&lt;3,-5,0)+IF(AND($B$2&gt;0,$E568&lt;20),$B$2*25,0)</f>
        <v>22.19902185318827</v>
      </c>
      <c r="BA568" s="49">
        <f>STANDARDIZE(AZ568,AVERAGE($AZ$5:$AZ$676),STDEVP($AZ$5:$AZ$676))</f>
        <v>-0.71833830057004899</v>
      </c>
      <c r="BB568" s="47" t="str">
        <f>IF(OR(AND(AQ568&gt;7,AX568&gt;1),AND(AQ568&gt;4,AW568&gt;2)),"SP","RP")</f>
        <v>SP</v>
      </c>
      <c r="BC568" s="47"/>
      <c r="BD568" s="47"/>
      <c r="BE568" s="47"/>
      <c r="BF568" s="47" t="str">
        <f>IF(AVERAGE($O568:$Q568)&gt;=6,"Likely",IF(AVERAGE($O568:$Q568)&gt;=4,"Possible","Unlikely"))</f>
        <v>Unlikely</v>
      </c>
      <c r="BG568" s="47"/>
      <c r="BH568" s="47" t="str">
        <f>INDEX(Table5[[#All],[Ovr]],MATCH(Table3[[#This Row],[PID]],Table5[[#All],[PID]],0))</f>
        <v/>
      </c>
      <c r="BI568" s="47" t="str">
        <f>INDEX(Table5[[#All],[Rnd]],MATCH(Table3[[#This Row],[PID]],Table5[[#All],[PID]],0))</f>
        <v/>
      </c>
      <c r="BJ568" s="47" t="str">
        <f>INDEX(Table5[[#All],[Pick]],MATCH(Table3[[#This Row],[PID]],Table5[[#All],[PID]],0))</f>
        <v/>
      </c>
      <c r="BK568" s="47" t="str">
        <f>INDEX(Table5[[#All],[Team]],MATCH(Table3[[#This Row],[PID]],Table5[[#All],[PID]],0))</f>
        <v/>
      </c>
      <c r="BL5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9" spans="1:64" ht="15" customHeight="1" x14ac:dyDescent="0.25">
      <c r="A569" s="42">
        <v>17591</v>
      </c>
      <c r="B569" s="42" t="s">
        <v>430</v>
      </c>
      <c r="C569" s="42" t="s">
        <v>861</v>
      </c>
      <c r="D569" s="42" t="s">
        <v>413</v>
      </c>
      <c r="E569" s="42">
        <v>18</v>
      </c>
      <c r="F569" s="42" t="s">
        <v>53</v>
      </c>
      <c r="G569" s="42" t="s">
        <v>53</v>
      </c>
      <c r="H569" s="43" t="s">
        <v>721</v>
      </c>
      <c r="I569" s="44" t="s">
        <v>43</v>
      </c>
      <c r="J569" s="42" t="s">
        <v>44</v>
      </c>
      <c r="K569" s="43" t="s">
        <v>43</v>
      </c>
      <c r="L569" s="42">
        <v>2</v>
      </c>
      <c r="M569" s="42">
        <v>1</v>
      </c>
      <c r="N569" s="43">
        <v>1</v>
      </c>
      <c r="O569" s="42">
        <v>3</v>
      </c>
      <c r="P569" s="42">
        <v>1</v>
      </c>
      <c r="Q569" s="43">
        <v>2</v>
      </c>
      <c r="R569" s="42">
        <v>3</v>
      </c>
      <c r="S569" s="42">
        <v>4</v>
      </c>
      <c r="T569" s="42">
        <v>1</v>
      </c>
      <c r="U569" s="42">
        <v>2</v>
      </c>
      <c r="V569" s="42" t="s">
        <v>45</v>
      </c>
      <c r="W569" s="42" t="s">
        <v>45</v>
      </c>
      <c r="X569" s="42" t="s">
        <v>45</v>
      </c>
      <c r="Y569" s="42" t="s">
        <v>45</v>
      </c>
      <c r="Z569" s="42" t="s">
        <v>45</v>
      </c>
      <c r="AA569" s="42" t="s">
        <v>45</v>
      </c>
      <c r="AB569" s="42" t="s">
        <v>45</v>
      </c>
      <c r="AC569" s="42" t="s">
        <v>45</v>
      </c>
      <c r="AD569" s="42">
        <v>2</v>
      </c>
      <c r="AE569" s="42">
        <v>3</v>
      </c>
      <c r="AF569" s="42">
        <v>2</v>
      </c>
      <c r="AG569" s="42">
        <v>4</v>
      </c>
      <c r="AH569" s="42" t="s">
        <v>45</v>
      </c>
      <c r="AI569" s="42" t="s">
        <v>45</v>
      </c>
      <c r="AJ569" s="42" t="s">
        <v>45</v>
      </c>
      <c r="AK569" s="42" t="s">
        <v>45</v>
      </c>
      <c r="AL569" s="42" t="s">
        <v>45</v>
      </c>
      <c r="AM569" s="42" t="s">
        <v>45</v>
      </c>
      <c r="AN569" s="42" t="s">
        <v>45</v>
      </c>
      <c r="AO569" s="43" t="s">
        <v>45</v>
      </c>
      <c r="AP569" s="42" t="s">
        <v>64</v>
      </c>
      <c r="AQ569" s="42">
        <v>5</v>
      </c>
      <c r="AR569" s="50" t="s">
        <v>357</v>
      </c>
      <c r="AS569" s="45" t="s">
        <v>718</v>
      </c>
      <c r="AT569" s="45" t="s">
        <v>47</v>
      </c>
      <c r="AU569" s="46">
        <f>($O$3*(L569-$O$1)/$O$2+$P$3*(M569-$P$1)/$P$2+$Q$3*(N569-$P$1)/$Q$2)/SUM($O$3:$Q$3)</f>
        <v>-2.5067929134584248</v>
      </c>
      <c r="AV569" s="46">
        <f>($O$3*(O569-$O$1)/$O$2+$P$3*(P569-$P$1)/$P$2+$Q$3*(Q569-$Q$1)/$Q$2)/SUM($O$3:$Q$3)</f>
        <v>-1.6242862721580691</v>
      </c>
      <c r="AW569" s="47">
        <f>COUNT(R569:AO569)/2</f>
        <v>4</v>
      </c>
      <c r="AX569" s="47">
        <f>IF(AND(S569&lt;&gt;"-",S569&gt;5),1,0)+IF(AND(U569&lt;&gt;"-",U569&gt;5),1,0)+IF(AND(W569&lt;&gt;"-",W569&gt;5),1,0)+IF(AND(Y569&lt;&gt;"-",Y569&gt;5),1,0)+IF(AND(AA569&lt;&gt;"-",AA569&gt;5),1,0)+IF(AND(AC569&lt;&gt;"-",AC569&gt;5),1,0)+IF(AND(AE569&lt;&gt;"-",AE569&gt;5),1,0)+IF(AND(AG569&lt;&gt;"-",AG569&gt;5),1,0)+IF(AND(AI569&lt;&gt;"-",AI569&gt;5),1,0)+IF(AND(AK569&lt;&gt;"-",AK569&gt;5),1,0)+IF(AND(AM569&lt;&gt;"-",AM569&gt;5),1,0)+IF(AND(AO569&lt;&gt;"-",AO569&gt;5),1,0)</f>
        <v>0</v>
      </c>
      <c r="AY569" s="48">
        <f>VLOOKUP(AP569,COND!$A$10:$B$32,2,FALSE)</f>
        <v>1</v>
      </c>
      <c r="AZ569" s="46">
        <f>($AU$3*AU569+$AV$3*AV569+$AW$3*AW569+$AX$3*AX569)*AY569*IF(AQ569&lt;5,0.95,IF(AQ569&lt;7,0.975,1))+$I$3*VLOOKUP(I569,COND!$A$2:$E$7,4,FALSE)+$J$3*VLOOKUP(J569,COND!$A$2:$E$7,2,FALSE)+$K$3*VLOOKUP(K569,COND!$A$2:$E$7,3,FALSE)+IF(BB569="SP",$BB$3,0)+IF($AW569&lt;3,-5,0)+IF(AND($B$2&gt;0,$E569&lt;20),$B$2*25,0)</f>
        <v>21.487593074793256</v>
      </c>
      <c r="BA569" s="49">
        <f>STANDARDIZE(AZ569,AVERAGE($AZ$5:$AZ$676),STDEVP($AZ$5:$AZ$676))</f>
        <v>-0.78068976961651826</v>
      </c>
      <c r="BB569" s="47" t="str">
        <f>IF(OR(AND(AQ569&gt;7,AX569&gt;1),AND(AQ569&gt;4,AW569&gt;2)),"SP","RP")</f>
        <v>SP</v>
      </c>
      <c r="BC569" s="47"/>
      <c r="BD569" s="47"/>
      <c r="BE569" s="47"/>
      <c r="BF569" s="47" t="str">
        <f>IF(AVERAGE($O569:$Q569)&gt;=6,"Likely",IF(AVERAGE($O569:$Q569)&gt;=4,"Possible","Unlikely"))</f>
        <v>Unlikely</v>
      </c>
      <c r="BG569" s="47"/>
      <c r="BH569" s="47" t="str">
        <f>INDEX(Table5[[#All],[Ovr]],MATCH(Table3[[#This Row],[PID]],Table5[[#All],[PID]],0))</f>
        <v/>
      </c>
      <c r="BI569" s="47" t="str">
        <f>INDEX(Table5[[#All],[Rnd]],MATCH(Table3[[#This Row],[PID]],Table5[[#All],[PID]],0))</f>
        <v/>
      </c>
      <c r="BJ569" s="47" t="str">
        <f>INDEX(Table5[[#All],[Pick]],MATCH(Table3[[#This Row],[PID]],Table5[[#All],[PID]],0))</f>
        <v/>
      </c>
      <c r="BK569" s="47" t="str">
        <f>INDEX(Table5[[#All],[Team]],MATCH(Table3[[#This Row],[PID]],Table5[[#All],[PID]],0))</f>
        <v/>
      </c>
      <c r="BL5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0" spans="1:64" ht="15" customHeight="1" x14ac:dyDescent="0.25">
      <c r="A570" s="42">
        <v>9845</v>
      </c>
      <c r="B570" s="42" t="s">
        <v>430</v>
      </c>
      <c r="C570" s="42" t="s">
        <v>143</v>
      </c>
      <c r="D570" s="42" t="s">
        <v>298</v>
      </c>
      <c r="E570" s="42">
        <v>21</v>
      </c>
      <c r="F570" s="42" t="s">
        <v>42</v>
      </c>
      <c r="G570" s="42" t="s">
        <v>42</v>
      </c>
      <c r="H570" s="43" t="s">
        <v>721</v>
      </c>
      <c r="I570" s="44" t="s">
        <v>43</v>
      </c>
      <c r="J570" s="42" t="s">
        <v>47</v>
      </c>
      <c r="K570" s="43" t="s">
        <v>43</v>
      </c>
      <c r="L570" s="42">
        <v>2</v>
      </c>
      <c r="M570" s="42">
        <v>1</v>
      </c>
      <c r="N570" s="43">
        <v>1</v>
      </c>
      <c r="O570" s="42">
        <v>4</v>
      </c>
      <c r="P570" s="42">
        <v>2</v>
      </c>
      <c r="Q570" s="43">
        <v>1</v>
      </c>
      <c r="R570" s="42">
        <v>4</v>
      </c>
      <c r="S570" s="42">
        <v>5</v>
      </c>
      <c r="T570" s="42">
        <v>2</v>
      </c>
      <c r="U570" s="42">
        <v>4</v>
      </c>
      <c r="V570" s="42" t="s">
        <v>45</v>
      </c>
      <c r="W570" s="42" t="s">
        <v>45</v>
      </c>
      <c r="X570" s="42" t="s">
        <v>45</v>
      </c>
      <c r="Y570" s="42" t="s">
        <v>45</v>
      </c>
      <c r="Z570" s="42" t="s">
        <v>45</v>
      </c>
      <c r="AA570" s="42" t="s">
        <v>45</v>
      </c>
      <c r="AB570" s="42" t="s">
        <v>45</v>
      </c>
      <c r="AC570" s="42" t="s">
        <v>45</v>
      </c>
      <c r="AD570" s="42">
        <v>3</v>
      </c>
      <c r="AE570" s="42">
        <v>4</v>
      </c>
      <c r="AF570" s="42" t="s">
        <v>45</v>
      </c>
      <c r="AG570" s="42" t="s">
        <v>45</v>
      </c>
      <c r="AH570" s="42" t="s">
        <v>45</v>
      </c>
      <c r="AI570" s="42" t="s">
        <v>45</v>
      </c>
      <c r="AJ570" s="42" t="s">
        <v>45</v>
      </c>
      <c r="AK570" s="42" t="s">
        <v>45</v>
      </c>
      <c r="AL570" s="42" t="s">
        <v>45</v>
      </c>
      <c r="AM570" s="42" t="s">
        <v>45</v>
      </c>
      <c r="AN570" s="42" t="s">
        <v>45</v>
      </c>
      <c r="AO570" s="43" t="s">
        <v>45</v>
      </c>
      <c r="AP570" s="42" t="s">
        <v>356</v>
      </c>
      <c r="AQ570" s="42">
        <v>6</v>
      </c>
      <c r="AR570" s="50" t="s">
        <v>14</v>
      </c>
      <c r="AS570" s="45" t="s">
        <v>45</v>
      </c>
      <c r="AT570" s="45" t="s">
        <v>47</v>
      </c>
      <c r="AU570" s="46">
        <f>($O$3*(L570-$O$1)/$O$2+$P$3*(M570-$P$1)/$P$2+$Q$3*(N570-$P$1)/$Q$2)/SUM($O$3:$Q$3)</f>
        <v>-2.5067929134584248</v>
      </c>
      <c r="AV570" s="46">
        <f>($O$3*(O570-$O$1)/$O$2+$P$3*(P570-$P$1)/$P$2+$Q$3*(Q570-$Q$1)/$Q$2)/SUM($O$3:$Q$3)</f>
        <v>-1.4764837972729503</v>
      </c>
      <c r="AW570" s="47">
        <f>COUNT(R570:AO570)/2</f>
        <v>3</v>
      </c>
      <c r="AX570" s="47">
        <f>IF(AND(S570&lt;&gt;"-",S570&gt;5),1,0)+IF(AND(U570&lt;&gt;"-",U570&gt;5),1,0)+IF(AND(W570&lt;&gt;"-",W570&gt;5),1,0)+IF(AND(Y570&lt;&gt;"-",Y570&gt;5),1,0)+IF(AND(AA570&lt;&gt;"-",AA570&gt;5),1,0)+IF(AND(AC570&lt;&gt;"-",AC570&gt;5),1,0)+IF(AND(AE570&lt;&gt;"-",AE570&gt;5),1,0)+IF(AND(AG570&lt;&gt;"-",AG570&gt;5),1,0)+IF(AND(AI570&lt;&gt;"-",AI570&gt;5),1,0)+IF(AND(AK570&lt;&gt;"-",AK570&gt;5),1,0)+IF(AND(AM570&lt;&gt;"-",AM570&gt;5),1,0)+IF(AND(AO570&lt;&gt;"-",AO570&gt;5),1,0)</f>
        <v>0</v>
      </c>
      <c r="AY570" s="48">
        <f>VLOOKUP(AP570,COND!$A$10:$B$32,2,FALSE)</f>
        <v>1</v>
      </c>
      <c r="AZ570" s="46">
        <f>($AU$3*AU570+$AV$3*AV570+$AW$3*AW570+$AX$3*AX570)*AY570*IF(AQ570&lt;5,0.95,IF(AQ570&lt;7,0.975,1))+$I$3*VLOOKUP(I570,COND!$A$2:$E$7,4,FALSE)+$J$3*VLOOKUP(J570,COND!$A$2:$E$7,2,FALSE)+$K$3*VLOOKUP(K570,COND!$A$2:$E$7,3,FALSE)+IF(BB570="SP",$BB$3,0)+IF($AW570&lt;3,-5,0)+IF(AND($B$2&gt;0,$E570&lt;20),$B$2*25,0)</f>
        <v>19.482241335053079</v>
      </c>
      <c r="BA570" s="49">
        <f>STANDARDIZE(AZ570,AVERAGE($AZ$5:$AZ$570),STDEVP($AZ$5:$AZ$570))</f>
        <v>-1.2141654618830733</v>
      </c>
      <c r="BB570" s="47" t="str">
        <f>IF(OR(AND(AQ570&gt;7,AX570&gt;1),AND(AQ570&gt;4,AW570&gt;2)),"SP","RP")</f>
        <v>SP</v>
      </c>
      <c r="BC570" s="47"/>
      <c r="BD570" s="47"/>
      <c r="BE570" s="47"/>
      <c r="BF570" s="47" t="str">
        <f>IF(AVERAGE($O570:$Q570)&gt;=6,"Likely",IF(AVERAGE($O570:$Q570)&gt;=4,"Possible","Unlikely"))</f>
        <v>Unlikely</v>
      </c>
      <c r="BG570" s="47"/>
      <c r="BH570" s="47" t="str">
        <f>INDEX(Table5[[#All],[Ovr]],MATCH(Table3[[#This Row],[PID]],Table5[[#All],[PID]],0))</f>
        <v/>
      </c>
      <c r="BI570" s="47" t="str">
        <f>INDEX(Table5[[#All],[Rnd]],MATCH(Table3[[#This Row],[PID]],Table5[[#All],[PID]],0))</f>
        <v/>
      </c>
      <c r="BJ570" s="47" t="str">
        <f>INDEX(Table5[[#All],[Pick]],MATCH(Table3[[#This Row],[PID]],Table5[[#All],[PID]],0))</f>
        <v/>
      </c>
      <c r="BK570" s="47" t="str">
        <f>INDEX(Table5[[#All],[Team]],MATCH(Table3[[#This Row],[PID]],Table5[[#All],[PID]],0))</f>
        <v/>
      </c>
      <c r="BL5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1" spans="1:64" ht="15" customHeight="1" x14ac:dyDescent="0.25">
      <c r="A571" s="42">
        <v>2734</v>
      </c>
      <c r="B571" s="42" t="s">
        <v>430</v>
      </c>
      <c r="C571" s="42" t="s">
        <v>341</v>
      </c>
      <c r="D571" s="42" t="s">
        <v>1727</v>
      </c>
      <c r="E571" s="42">
        <v>21</v>
      </c>
      <c r="F571" s="42" t="s">
        <v>42</v>
      </c>
      <c r="G571" s="42" t="s">
        <v>42</v>
      </c>
      <c r="H571" s="43" t="s">
        <v>721</v>
      </c>
      <c r="I571" s="44" t="s">
        <v>43</v>
      </c>
      <c r="J571" s="42" t="s">
        <v>43</v>
      </c>
      <c r="K571" s="43" t="s">
        <v>43</v>
      </c>
      <c r="L571" s="42">
        <v>3</v>
      </c>
      <c r="M571" s="42">
        <v>1</v>
      </c>
      <c r="N571" s="43">
        <v>2</v>
      </c>
      <c r="O571" s="42">
        <v>4</v>
      </c>
      <c r="P571" s="42">
        <v>1</v>
      </c>
      <c r="Q571" s="43">
        <v>2</v>
      </c>
      <c r="R571" s="42">
        <v>5</v>
      </c>
      <c r="S571" s="42">
        <v>5</v>
      </c>
      <c r="T571" s="42" t="s">
        <v>45</v>
      </c>
      <c r="U571" s="42" t="s">
        <v>45</v>
      </c>
      <c r="V571" s="42" t="s">
        <v>45</v>
      </c>
      <c r="W571" s="42" t="s">
        <v>45</v>
      </c>
      <c r="X571" s="42">
        <v>3</v>
      </c>
      <c r="Y571" s="42">
        <v>5</v>
      </c>
      <c r="Z571" s="42" t="s">
        <v>45</v>
      </c>
      <c r="AA571" s="42" t="s">
        <v>45</v>
      </c>
      <c r="AB571" s="42" t="s">
        <v>45</v>
      </c>
      <c r="AC571" s="42" t="s">
        <v>45</v>
      </c>
      <c r="AD571" s="42" t="s">
        <v>45</v>
      </c>
      <c r="AE571" s="42" t="s">
        <v>45</v>
      </c>
      <c r="AF571" s="42" t="s">
        <v>45</v>
      </c>
      <c r="AG571" s="42" t="s">
        <v>45</v>
      </c>
      <c r="AH571" s="42">
        <v>2</v>
      </c>
      <c r="AI571" s="42">
        <v>5</v>
      </c>
      <c r="AJ571" s="42" t="s">
        <v>45</v>
      </c>
      <c r="AK571" s="42" t="s">
        <v>45</v>
      </c>
      <c r="AL571" s="42" t="s">
        <v>45</v>
      </c>
      <c r="AM571" s="42" t="s">
        <v>45</v>
      </c>
      <c r="AN571" s="42" t="s">
        <v>45</v>
      </c>
      <c r="AO571" s="43" t="s">
        <v>45</v>
      </c>
      <c r="AP571" s="42" t="s">
        <v>56</v>
      </c>
      <c r="AQ571" s="42">
        <v>6</v>
      </c>
      <c r="AR571" s="50" t="s">
        <v>357</v>
      </c>
      <c r="AS571" s="45" t="s">
        <v>45</v>
      </c>
      <c r="AT571" s="45" t="s">
        <v>47</v>
      </c>
      <c r="AU571" s="46">
        <f>($O$3*(L571-$O$1)/$O$2+$P$3*(M571-$P$1)/$P$2+$Q$3*(N571-$P$1)/$Q$2)/SUM($O$3:$Q$3)</f>
        <v>-2.0697810228951408</v>
      </c>
      <c r="AV571" s="46">
        <f>($O$3*(O571-$O$1)/$O$2+$P$3*(P571-$P$1)/$P$2+$Q$3*(Q571-$Q$1)/$Q$2)/SUM($O$3:$Q$3)</f>
        <v>-1.4295949476488956</v>
      </c>
      <c r="AW571" s="47">
        <f>COUNT(R571:AO571)/2</f>
        <v>3</v>
      </c>
      <c r="AX571" s="47">
        <f>IF(AND(S571&lt;&gt;"-",S571&gt;5),1,0)+IF(AND(U571&lt;&gt;"-",U571&gt;5),1,0)+IF(AND(W571&lt;&gt;"-",W571&gt;5),1,0)+IF(AND(Y571&lt;&gt;"-",Y571&gt;5),1,0)+IF(AND(AA571&lt;&gt;"-",AA571&gt;5),1,0)+IF(AND(AC571&lt;&gt;"-",AC571&gt;5),1,0)+IF(AND(AE571&lt;&gt;"-",AE571&gt;5),1,0)+IF(AND(AG571&lt;&gt;"-",AG571&gt;5),1,0)+IF(AND(AI571&lt;&gt;"-",AI571&gt;5),1,0)+IF(AND(AK571&lt;&gt;"-",AK571&gt;5),1,0)+IF(AND(AM571&lt;&gt;"-",AM571&gt;5),1,0)+IF(AND(AO571&lt;&gt;"-",AO571&gt;5),1,0)</f>
        <v>0</v>
      </c>
      <c r="AY571" s="48">
        <f>VLOOKUP(AP571,COND!$A$10:$B$32,2,FALSE)</f>
        <v>1</v>
      </c>
      <c r="AZ571" s="46">
        <f>($AU$3*AU571+$AV$3*AV571+$AW$3*AW571+$AX$3*AX571)*AY571*IF(AQ571&lt;5,0.95,IF(AQ571&lt;7,0.975,1))+$I$3*VLOOKUP(I571,COND!$A$2:$E$7,4,FALSE)+$J$3*VLOOKUP(J571,COND!$A$2:$E$7,2,FALSE)+$K$3*VLOOKUP(K571,COND!$A$2:$E$7,3,FALSE)+IF(BB571="SP",$BB$3,0)+IF($AW571&lt;3,-5,0)+IF(AND($B$2&gt;0,$E571&lt;20),$B$2*25,0)</f>
        <v>20.181791221381982</v>
      </c>
      <c r="BA571" s="49">
        <f>STANDARDIZE(AZ571,AVERAGE($AZ$5:$AZ$570),STDEVP($AZ$5:$AZ$570))</f>
        <v>-1.150013747367659</v>
      </c>
      <c r="BB571" s="47" t="str">
        <f>IF(OR(AND(AQ571&gt;7,AX571&gt;1),AND(AQ571&gt;4,AW571&gt;2)),"SP","RP")</f>
        <v>SP</v>
      </c>
      <c r="BC571" s="47"/>
      <c r="BD571" s="47"/>
      <c r="BE571" s="47"/>
      <c r="BF571" s="47" t="str">
        <f>IF(AVERAGE($O571:$Q571)&gt;=6,"Likely",IF(AVERAGE($O571:$Q571)&gt;=4,"Possible","Unlikely"))</f>
        <v>Unlikely</v>
      </c>
      <c r="BG571" s="47"/>
      <c r="BH571" s="47" t="str">
        <f>INDEX(Table5[[#All],[Ovr]],MATCH(Table3[[#This Row],[PID]],Table5[[#All],[PID]],0))</f>
        <v/>
      </c>
      <c r="BI571" s="47" t="str">
        <f>INDEX(Table5[[#All],[Rnd]],MATCH(Table3[[#This Row],[PID]],Table5[[#All],[PID]],0))</f>
        <v/>
      </c>
      <c r="BJ571" s="47" t="str">
        <f>INDEX(Table5[[#All],[Pick]],MATCH(Table3[[#This Row],[PID]],Table5[[#All],[PID]],0))</f>
        <v/>
      </c>
      <c r="BK571" s="47" t="str">
        <f>INDEX(Table5[[#All],[Team]],MATCH(Table3[[#This Row],[PID]],Table5[[#All],[PID]],0))</f>
        <v/>
      </c>
      <c r="BL5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2" spans="1:64" ht="15" customHeight="1" x14ac:dyDescent="0.25">
      <c r="A572" s="42">
        <v>11701</v>
      </c>
      <c r="B572" s="42" t="s">
        <v>24</v>
      </c>
      <c r="C572" s="42" t="s">
        <v>125</v>
      </c>
      <c r="D572" s="42" t="s">
        <v>158</v>
      </c>
      <c r="E572" s="42">
        <v>22</v>
      </c>
      <c r="F572" s="42" t="s">
        <v>42</v>
      </c>
      <c r="G572" s="42" t="s">
        <v>42</v>
      </c>
      <c r="H572" s="43" t="s">
        <v>721</v>
      </c>
      <c r="I572" s="44" t="s">
        <v>43</v>
      </c>
      <c r="J572" s="42" t="s">
        <v>44</v>
      </c>
      <c r="K572" s="43" t="s">
        <v>43</v>
      </c>
      <c r="L572" s="42">
        <v>2</v>
      </c>
      <c r="M572" s="42">
        <v>1</v>
      </c>
      <c r="N572" s="43">
        <v>1</v>
      </c>
      <c r="O572" s="42">
        <v>4</v>
      </c>
      <c r="P572" s="42">
        <v>1</v>
      </c>
      <c r="Q572" s="43">
        <v>2</v>
      </c>
      <c r="R572" s="42">
        <v>4</v>
      </c>
      <c r="S572" s="42">
        <v>5</v>
      </c>
      <c r="T572" s="42">
        <v>1</v>
      </c>
      <c r="U572" s="42">
        <v>3</v>
      </c>
      <c r="V572" s="42">
        <v>2</v>
      </c>
      <c r="W572" s="42">
        <v>5</v>
      </c>
      <c r="X572" s="42">
        <v>3</v>
      </c>
      <c r="Y572" s="42">
        <v>6</v>
      </c>
      <c r="Z572" s="42" t="s">
        <v>45</v>
      </c>
      <c r="AA572" s="42" t="s">
        <v>45</v>
      </c>
      <c r="AB572" s="42" t="s">
        <v>45</v>
      </c>
      <c r="AC572" s="42" t="s">
        <v>45</v>
      </c>
      <c r="AD572" s="42" t="s">
        <v>45</v>
      </c>
      <c r="AE572" s="42" t="s">
        <v>45</v>
      </c>
      <c r="AF572" s="42" t="s">
        <v>45</v>
      </c>
      <c r="AG572" s="42" t="s">
        <v>45</v>
      </c>
      <c r="AH572" s="42" t="s">
        <v>45</v>
      </c>
      <c r="AI572" s="42" t="s">
        <v>45</v>
      </c>
      <c r="AJ572" s="42" t="s">
        <v>45</v>
      </c>
      <c r="AK572" s="42" t="s">
        <v>45</v>
      </c>
      <c r="AL572" s="42" t="s">
        <v>45</v>
      </c>
      <c r="AM572" s="42" t="s">
        <v>45</v>
      </c>
      <c r="AN572" s="42" t="s">
        <v>45</v>
      </c>
      <c r="AO572" s="43" t="s">
        <v>45</v>
      </c>
      <c r="AP572" s="42" t="s">
        <v>57</v>
      </c>
      <c r="AQ572" s="42">
        <v>8</v>
      </c>
      <c r="AR572" s="50" t="s">
        <v>14</v>
      </c>
      <c r="AS572" s="45" t="s">
        <v>45</v>
      </c>
      <c r="AT572" s="45" t="s">
        <v>47</v>
      </c>
      <c r="AU572" s="46">
        <f>($O$3*(L572-$O$1)/$O$2+$P$3*(M572-$P$1)/$P$2+$Q$3*(N572-$P$1)/$Q$2)/SUM($O$3:$Q$3)</f>
        <v>-2.5067929134584248</v>
      </c>
      <c r="AV572" s="46">
        <f>($O$3*(O572-$O$1)/$O$2+$P$3*(P572-$P$1)/$P$2+$Q$3*(Q572-$Q$1)/$Q$2)/SUM($O$3:$Q$3)</f>
        <v>-1.4295949476488956</v>
      </c>
      <c r="AW572" s="47">
        <f>COUNT(R572:AO572)/2</f>
        <v>4</v>
      </c>
      <c r="AX572" s="47">
        <f>IF(AND(S572&lt;&gt;"-",S572&gt;5),1,0)+IF(AND(U572&lt;&gt;"-",U572&gt;5),1,0)+IF(AND(W572&lt;&gt;"-",W572&gt;5),1,0)+IF(AND(Y572&lt;&gt;"-",Y572&gt;5),1,0)+IF(AND(AA572&lt;&gt;"-",AA572&gt;5),1,0)+IF(AND(AC572&lt;&gt;"-",AC572&gt;5),1,0)+IF(AND(AE572&lt;&gt;"-",AE572&gt;5),1,0)+IF(AND(AG572&lt;&gt;"-",AG572&gt;5),1,0)+IF(AND(AI572&lt;&gt;"-",AI572&gt;5),1,0)+IF(AND(AK572&lt;&gt;"-",AK572&gt;5),1,0)+IF(AND(AM572&lt;&gt;"-",AM572&gt;5),1,0)+IF(AND(AO572&lt;&gt;"-",AO572&gt;5),1,0)</f>
        <v>1</v>
      </c>
      <c r="AY572" s="48">
        <f>VLOOKUP(AP572,COND!$A$10:$B$32,2,FALSE)</f>
        <v>1</v>
      </c>
      <c r="AZ572" s="46">
        <f>($AU$3*AU572+$AV$3*AV572+$AW$3*AW572+$AX$3*AX572)*AY572*IF(AQ572&lt;5,0.95,IF(AQ572&lt;7,0.975,1))+$I$3*VLOOKUP(I572,COND!$A$2:$E$7,4,FALSE)+$J$3*VLOOKUP(J572,COND!$A$2:$E$7,2,FALSE)+$K$3*VLOOKUP(K572,COND!$A$2:$E$7,3,FALSE)+IF(BB572="SP",$BB$3,0)+IF($AW572&lt;3,-5,0)+IF(AND($B$2&gt;0,$E572&lt;20),$B$2*25,0)</f>
        <v>20.856742464330399</v>
      </c>
      <c r="BA572" s="49">
        <f>STANDARDIZE(AZ572,AVERAGE($AZ$5:$AZ$570),STDEVP($AZ$5:$AZ$570))</f>
        <v>-1.0881178335870467</v>
      </c>
      <c r="BB572" s="47" t="str">
        <f>IF(OR(AND(AQ572&gt;7,AX572&gt;1),AND(AQ572&gt;4,AW572&gt;2)),"SP","RP")</f>
        <v>SP</v>
      </c>
      <c r="BC572" s="47"/>
      <c r="BD572" s="47"/>
      <c r="BE572" s="47"/>
      <c r="BF572" s="47" t="str">
        <f>IF(AVERAGE($O572:$Q572)&gt;=6,"Likely",IF(AVERAGE($O572:$Q572)&gt;=4,"Possible","Unlikely"))</f>
        <v>Unlikely</v>
      </c>
      <c r="BG572" s="47"/>
      <c r="BH572" s="47" t="str">
        <f>INDEX(Table5[[#All],[Ovr]],MATCH(Table3[[#This Row],[PID]],Table5[[#All],[PID]],0))</f>
        <v/>
      </c>
      <c r="BI572" s="47" t="str">
        <f>INDEX(Table5[[#All],[Rnd]],MATCH(Table3[[#This Row],[PID]],Table5[[#All],[PID]],0))</f>
        <v/>
      </c>
      <c r="BJ572" s="47" t="str">
        <f>INDEX(Table5[[#All],[Pick]],MATCH(Table3[[#This Row],[PID]],Table5[[#All],[PID]],0))</f>
        <v/>
      </c>
      <c r="BK572" s="47" t="str">
        <f>INDEX(Table5[[#All],[Team]],MATCH(Table3[[#This Row],[PID]],Table5[[#All],[PID]],0))</f>
        <v/>
      </c>
      <c r="BL5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3" spans="1:64" ht="15" customHeight="1" x14ac:dyDescent="0.25">
      <c r="A573" s="42">
        <v>9421</v>
      </c>
      <c r="B573" s="42" t="s">
        <v>24</v>
      </c>
      <c r="C573" s="42" t="s">
        <v>132</v>
      </c>
      <c r="D573" s="42" t="s">
        <v>1103</v>
      </c>
      <c r="E573" s="42">
        <v>21</v>
      </c>
      <c r="F573" s="42" t="s">
        <v>53</v>
      </c>
      <c r="G573" s="42" t="s">
        <v>53</v>
      </c>
      <c r="H573" s="43" t="s">
        <v>721</v>
      </c>
      <c r="I573" s="44" t="s">
        <v>43</v>
      </c>
      <c r="J573" s="42" t="s">
        <v>44</v>
      </c>
      <c r="K573" s="43" t="s">
        <v>43</v>
      </c>
      <c r="L573" s="42">
        <v>2</v>
      </c>
      <c r="M573" s="42">
        <v>1</v>
      </c>
      <c r="N573" s="43">
        <v>1</v>
      </c>
      <c r="O573" s="42">
        <v>4</v>
      </c>
      <c r="P573" s="42">
        <v>1</v>
      </c>
      <c r="Q573" s="43">
        <v>2</v>
      </c>
      <c r="R573" s="42">
        <v>4</v>
      </c>
      <c r="S573" s="42">
        <v>6</v>
      </c>
      <c r="T573" s="42">
        <v>1</v>
      </c>
      <c r="U573" s="42">
        <v>2</v>
      </c>
      <c r="V573" s="42">
        <v>3</v>
      </c>
      <c r="W573" s="42">
        <v>5</v>
      </c>
      <c r="X573" s="42" t="s">
        <v>45</v>
      </c>
      <c r="Y573" s="42" t="s">
        <v>45</v>
      </c>
      <c r="Z573" s="42" t="s">
        <v>45</v>
      </c>
      <c r="AA573" s="42" t="s">
        <v>45</v>
      </c>
      <c r="AB573" s="42" t="s">
        <v>45</v>
      </c>
      <c r="AC573" s="42" t="s">
        <v>45</v>
      </c>
      <c r="AD573" s="42" t="s">
        <v>45</v>
      </c>
      <c r="AE573" s="42" t="s">
        <v>45</v>
      </c>
      <c r="AF573" s="42">
        <v>3</v>
      </c>
      <c r="AG573" s="42">
        <v>5</v>
      </c>
      <c r="AH573" s="42" t="s">
        <v>45</v>
      </c>
      <c r="AI573" s="42" t="s">
        <v>45</v>
      </c>
      <c r="AJ573" s="42" t="s">
        <v>45</v>
      </c>
      <c r="AK573" s="42" t="s">
        <v>45</v>
      </c>
      <c r="AL573" s="42" t="s">
        <v>45</v>
      </c>
      <c r="AM573" s="42" t="s">
        <v>45</v>
      </c>
      <c r="AN573" s="42" t="s">
        <v>45</v>
      </c>
      <c r="AO573" s="43" t="s">
        <v>45</v>
      </c>
      <c r="AP573" s="42" t="s">
        <v>57</v>
      </c>
      <c r="AQ573" s="42">
        <v>8</v>
      </c>
      <c r="AR573" s="50" t="s">
        <v>14</v>
      </c>
      <c r="AS573" s="45" t="s">
        <v>45</v>
      </c>
      <c r="AT573" s="45" t="s">
        <v>47</v>
      </c>
      <c r="AU573" s="46">
        <f>($O$3*(L573-$O$1)/$O$2+$P$3*(M573-$P$1)/$P$2+$Q$3*(N573-$P$1)/$Q$2)/SUM($O$3:$Q$3)</f>
        <v>-2.5067929134584248</v>
      </c>
      <c r="AV573" s="46">
        <f>($O$3*(O573-$O$1)/$O$2+$P$3*(P573-$P$1)/$P$2+$Q$3*(Q573-$Q$1)/$Q$2)/SUM($O$3:$Q$3)</f>
        <v>-1.4295949476488956</v>
      </c>
      <c r="AW573" s="47">
        <f>COUNT(R573:AO573)/2</f>
        <v>4</v>
      </c>
      <c r="AX573" s="47">
        <f>IF(AND(S573&lt;&gt;"-",S573&gt;5),1,0)+IF(AND(U573&lt;&gt;"-",U573&gt;5),1,0)+IF(AND(W573&lt;&gt;"-",W573&gt;5),1,0)+IF(AND(Y573&lt;&gt;"-",Y573&gt;5),1,0)+IF(AND(AA573&lt;&gt;"-",AA573&gt;5),1,0)+IF(AND(AC573&lt;&gt;"-",AC573&gt;5),1,0)+IF(AND(AE573&lt;&gt;"-",AE573&gt;5),1,0)+IF(AND(AG573&lt;&gt;"-",AG573&gt;5),1,0)+IF(AND(AI573&lt;&gt;"-",AI573&gt;5),1,0)+IF(AND(AK573&lt;&gt;"-",AK573&gt;5),1,0)+IF(AND(AM573&lt;&gt;"-",AM573&gt;5),1,0)+IF(AND(AO573&lt;&gt;"-",AO573&gt;5),1,0)</f>
        <v>1</v>
      </c>
      <c r="AY573" s="48">
        <f>VLOOKUP(AP573,COND!$A$10:$B$32,2,FALSE)</f>
        <v>1</v>
      </c>
      <c r="AZ573" s="46">
        <f>($AU$3*AU573+$AV$3*AV573+$AW$3*AW573+$AX$3*AX573)*AY573*IF(AQ573&lt;5,0.95,IF(AQ573&lt;7,0.975,1))+$I$3*VLOOKUP(I573,COND!$A$2:$E$7,4,FALSE)+$J$3*VLOOKUP(J573,COND!$A$2:$E$7,2,FALSE)+$K$3*VLOOKUP(K573,COND!$A$2:$E$7,3,FALSE)+IF(BB573="SP",$BB$3,0)+IF($AW573&lt;3,-5,0)+IF(AND($B$2&gt;0,$E573&lt;20),$B$2*25,0)</f>
        <v>20.856742464330399</v>
      </c>
      <c r="BA573" s="49">
        <f>STANDARDIZE(AZ573,AVERAGE($AZ$5:$AZ$570),STDEVP($AZ$5:$AZ$570))</f>
        <v>-1.0881178335870467</v>
      </c>
      <c r="BB573" s="47" t="str">
        <f>IF(OR(AND(AQ573&gt;7,AX573&gt;1),AND(AQ573&gt;4,AW573&gt;2)),"SP","RP")</f>
        <v>SP</v>
      </c>
      <c r="BC573" s="47"/>
      <c r="BD573" s="47"/>
      <c r="BE573" s="47"/>
      <c r="BF573" s="47" t="str">
        <f>IF(AVERAGE($O573:$Q573)&gt;=6,"Likely",IF(AVERAGE($O573:$Q573)&gt;=4,"Possible","Unlikely"))</f>
        <v>Unlikely</v>
      </c>
      <c r="BG573" s="47"/>
      <c r="BH573" s="47" t="str">
        <f>INDEX(Table5[[#All],[Ovr]],MATCH(Table3[[#This Row],[PID]],Table5[[#All],[PID]],0))</f>
        <v/>
      </c>
      <c r="BI573" s="47" t="str">
        <f>INDEX(Table5[[#All],[Rnd]],MATCH(Table3[[#This Row],[PID]],Table5[[#All],[PID]],0))</f>
        <v/>
      </c>
      <c r="BJ573" s="47" t="str">
        <f>INDEX(Table5[[#All],[Pick]],MATCH(Table3[[#This Row],[PID]],Table5[[#All],[PID]],0))</f>
        <v/>
      </c>
      <c r="BK573" s="47" t="str">
        <f>INDEX(Table5[[#All],[Team]],MATCH(Table3[[#This Row],[PID]],Table5[[#All],[PID]],0))</f>
        <v/>
      </c>
      <c r="BL5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4" spans="1:64" ht="15" customHeight="1" x14ac:dyDescent="0.25">
      <c r="A574" s="42">
        <v>10186</v>
      </c>
      <c r="B574" s="42" t="s">
        <v>430</v>
      </c>
      <c r="C574" s="42" t="s">
        <v>143</v>
      </c>
      <c r="D574" s="42" t="s">
        <v>1799</v>
      </c>
      <c r="E574" s="42">
        <v>21</v>
      </c>
      <c r="F574" s="42" t="s">
        <v>42</v>
      </c>
      <c r="G574" s="42" t="s">
        <v>42</v>
      </c>
      <c r="H574" s="43" t="s">
        <v>721</v>
      </c>
      <c r="I574" s="44" t="s">
        <v>44</v>
      </c>
      <c r="J574" s="42" t="s">
        <v>43</v>
      </c>
      <c r="K574" s="43" t="s">
        <v>43</v>
      </c>
      <c r="L574" s="42">
        <v>2</v>
      </c>
      <c r="M574" s="42">
        <v>1</v>
      </c>
      <c r="N574" s="43">
        <v>1</v>
      </c>
      <c r="O574" s="42">
        <v>3</v>
      </c>
      <c r="P574" s="42">
        <v>1</v>
      </c>
      <c r="Q574" s="43">
        <v>3</v>
      </c>
      <c r="R574" s="42">
        <v>3</v>
      </c>
      <c r="S574" s="42">
        <v>4</v>
      </c>
      <c r="T574" s="42">
        <v>2</v>
      </c>
      <c r="U574" s="42">
        <v>4</v>
      </c>
      <c r="V574" s="42" t="s">
        <v>45</v>
      </c>
      <c r="W574" s="42" t="s">
        <v>45</v>
      </c>
      <c r="X574" s="42">
        <v>2</v>
      </c>
      <c r="Y574" s="42">
        <v>4</v>
      </c>
      <c r="Z574" s="42" t="s">
        <v>45</v>
      </c>
      <c r="AA574" s="42" t="s">
        <v>45</v>
      </c>
      <c r="AB574" s="42" t="s">
        <v>45</v>
      </c>
      <c r="AC574" s="42" t="s">
        <v>45</v>
      </c>
      <c r="AD574" s="42" t="s">
        <v>45</v>
      </c>
      <c r="AE574" s="42" t="s">
        <v>45</v>
      </c>
      <c r="AF574" s="42">
        <v>2</v>
      </c>
      <c r="AG574" s="42">
        <v>3</v>
      </c>
      <c r="AH574" s="42" t="s">
        <v>45</v>
      </c>
      <c r="AI574" s="42" t="s">
        <v>45</v>
      </c>
      <c r="AJ574" s="42" t="s">
        <v>45</v>
      </c>
      <c r="AK574" s="42" t="s">
        <v>45</v>
      </c>
      <c r="AL574" s="42" t="s">
        <v>45</v>
      </c>
      <c r="AM574" s="42" t="s">
        <v>45</v>
      </c>
      <c r="AN574" s="42" t="s">
        <v>45</v>
      </c>
      <c r="AO574" s="43" t="s">
        <v>45</v>
      </c>
      <c r="AP574" s="42" t="s">
        <v>64</v>
      </c>
      <c r="AQ574" s="42">
        <v>9</v>
      </c>
      <c r="AR574" s="50" t="s">
        <v>353</v>
      </c>
      <c r="AS574" s="45" t="s">
        <v>45</v>
      </c>
      <c r="AT574" s="45" t="s">
        <v>705</v>
      </c>
      <c r="AU574" s="46">
        <f>($O$3*(L574-$O$1)/$O$2+$P$3*(M574-$P$1)/$P$2+$Q$3*(N574-$P$1)/$Q$2)/SUM($O$3:$Q$3)</f>
        <v>-2.5067929134584248</v>
      </c>
      <c r="AV574" s="46">
        <f>($O$3*(O574-$O$1)/$O$2+$P$3*(P574-$P$1)/$P$2+$Q$3*(Q574-$Q$1)/$Q$2)/SUM($O$3:$Q$3)</f>
        <v>-1.3819657061039585</v>
      </c>
      <c r="AW574" s="47">
        <f>COUNT(R574:AO574)/2</f>
        <v>4</v>
      </c>
      <c r="AX574" s="47">
        <f>IF(AND(S574&lt;&gt;"-",S574&gt;5),1,0)+IF(AND(U574&lt;&gt;"-",U574&gt;5),1,0)+IF(AND(W574&lt;&gt;"-",W574&gt;5),1,0)+IF(AND(Y574&lt;&gt;"-",Y574&gt;5),1,0)+IF(AND(AA574&lt;&gt;"-",AA574&gt;5),1,0)+IF(AND(AC574&lt;&gt;"-",AC574&gt;5),1,0)+IF(AND(AE574&lt;&gt;"-",AE574&gt;5),1,0)+IF(AND(AG574&lt;&gt;"-",AG574&gt;5),1,0)+IF(AND(AI574&lt;&gt;"-",AI574&gt;5),1,0)+IF(AND(AK574&lt;&gt;"-",AK574&gt;5),1,0)+IF(AND(AM574&lt;&gt;"-",AM574&gt;5),1,0)+IF(AND(AO574&lt;&gt;"-",AO574&gt;5),1,0)</f>
        <v>0</v>
      </c>
      <c r="AY574" s="48">
        <f>VLOOKUP(AP574,COND!$A$10:$B$32,2,FALSE)</f>
        <v>1</v>
      </c>
      <c r="AZ574" s="46">
        <f>($AU$3*AU574+$AV$3*AV574+$AW$3*AW574+$AX$3*AX574)*AY574*IF(AQ574&lt;5,0.95,IF(AQ574&lt;7,0.975,1))+$I$3*VLOOKUP(I574,COND!$A$2:$E$7,4,FALSE)+$J$3*VLOOKUP(J574,COND!$A$2:$E$7,2,FALSE)+$K$3*VLOOKUP(K574,COND!$A$2:$E$7,3,FALSE)+IF(BB574="SP",$BB$3,0)+IF($AW574&lt;3,-5,0)+IF(AND($B$2&gt;0,$E574&lt;20),$B$2*25,0)</f>
        <v>20.709327295229144</v>
      </c>
      <c r="BA574" s="49">
        <f>STANDARDIZE(AZ574,AVERAGE($AZ$5:$AZ$676),STDEVP($AZ$5:$AZ$676))</f>
        <v>-0.8488990073337398</v>
      </c>
      <c r="BB574" s="47" t="str">
        <f>IF(OR(AND(AQ574&gt;7,AX574&gt;1),AND(AQ574&gt;4,AW574&gt;2)),"SP","RP")</f>
        <v>SP</v>
      </c>
      <c r="BC574" s="47"/>
      <c r="BD574" s="47"/>
      <c r="BE574" s="47"/>
      <c r="BF574" s="47" t="str">
        <f>IF(AVERAGE($O574:$Q574)&gt;=6,"Likely",IF(AVERAGE($O574:$Q574)&gt;=4,"Possible","Unlikely"))</f>
        <v>Unlikely</v>
      </c>
      <c r="BG574" s="47"/>
      <c r="BH574" s="47" t="str">
        <f>INDEX(Table5[[#All],[Ovr]],MATCH(Table3[[#This Row],[PID]],Table5[[#All],[PID]],0))</f>
        <v/>
      </c>
      <c r="BI574" s="47" t="str">
        <f>INDEX(Table5[[#All],[Rnd]],MATCH(Table3[[#This Row],[PID]],Table5[[#All],[PID]],0))</f>
        <v/>
      </c>
      <c r="BJ574" s="47" t="str">
        <f>INDEX(Table5[[#All],[Pick]],MATCH(Table3[[#This Row],[PID]],Table5[[#All],[PID]],0))</f>
        <v/>
      </c>
      <c r="BK574" s="47" t="str">
        <f>INDEX(Table5[[#All],[Team]],MATCH(Table3[[#This Row],[PID]],Table5[[#All],[PID]],0))</f>
        <v/>
      </c>
      <c r="BL5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5" spans="1:64" ht="15" customHeight="1" x14ac:dyDescent="0.25">
      <c r="A575" s="42">
        <v>17615</v>
      </c>
      <c r="B575" s="42" t="s">
        <v>430</v>
      </c>
      <c r="C575" s="42" t="s">
        <v>125</v>
      </c>
      <c r="D575" s="42" t="s">
        <v>350</v>
      </c>
      <c r="E575" s="42">
        <v>18</v>
      </c>
      <c r="F575" s="42" t="s">
        <v>42</v>
      </c>
      <c r="G575" s="42" t="s">
        <v>42</v>
      </c>
      <c r="H575" s="43" t="s">
        <v>721</v>
      </c>
      <c r="I575" s="44" t="s">
        <v>43</v>
      </c>
      <c r="J575" s="42" t="s">
        <v>43</v>
      </c>
      <c r="K575" s="43" t="s">
        <v>43</v>
      </c>
      <c r="L575" s="42">
        <v>2</v>
      </c>
      <c r="M575" s="42">
        <v>1</v>
      </c>
      <c r="N575" s="43">
        <v>1</v>
      </c>
      <c r="O575" s="42">
        <v>4</v>
      </c>
      <c r="P575" s="42">
        <v>1</v>
      </c>
      <c r="Q575" s="43">
        <v>1</v>
      </c>
      <c r="R575" s="42">
        <v>3</v>
      </c>
      <c r="S575" s="42">
        <v>4</v>
      </c>
      <c r="T575" s="42">
        <v>1</v>
      </c>
      <c r="U575" s="42">
        <v>2</v>
      </c>
      <c r="V575" s="42" t="s">
        <v>45</v>
      </c>
      <c r="W575" s="42" t="s">
        <v>45</v>
      </c>
      <c r="X575" s="42" t="s">
        <v>45</v>
      </c>
      <c r="Y575" s="42" t="s">
        <v>45</v>
      </c>
      <c r="Z575" s="42" t="s">
        <v>45</v>
      </c>
      <c r="AA575" s="42" t="s">
        <v>45</v>
      </c>
      <c r="AB575" s="42">
        <v>3</v>
      </c>
      <c r="AC575" s="42">
        <v>4</v>
      </c>
      <c r="AD575" s="42">
        <v>3</v>
      </c>
      <c r="AE575" s="42">
        <v>4</v>
      </c>
      <c r="AF575" s="42">
        <v>3</v>
      </c>
      <c r="AG575" s="42">
        <v>4</v>
      </c>
      <c r="AH575" s="42" t="s">
        <v>45</v>
      </c>
      <c r="AI575" s="42" t="s">
        <v>45</v>
      </c>
      <c r="AJ575" s="42" t="s">
        <v>45</v>
      </c>
      <c r="AK575" s="42" t="s">
        <v>45</v>
      </c>
      <c r="AL575" s="42" t="s">
        <v>45</v>
      </c>
      <c r="AM575" s="42" t="s">
        <v>45</v>
      </c>
      <c r="AN575" s="42" t="s">
        <v>45</v>
      </c>
      <c r="AO575" s="43" t="s">
        <v>45</v>
      </c>
      <c r="AP575" s="42" t="s">
        <v>356</v>
      </c>
      <c r="AQ575" s="42">
        <v>4</v>
      </c>
      <c r="AR575" s="50" t="s">
        <v>353</v>
      </c>
      <c r="AS575" s="45" t="s">
        <v>745</v>
      </c>
      <c r="AT575" s="45" t="s">
        <v>47</v>
      </c>
      <c r="AU575" s="46">
        <f>($O$3*(L575-$O$1)/$O$2+$P$3*(M575-$P$1)/$P$2+$Q$3*(N575-$P$1)/$Q$2)/SUM($O$3:$Q$3)</f>
        <v>-2.5067929134584248</v>
      </c>
      <c r="AV575" s="46">
        <f>($O$3*(O575-$O$1)/$O$2+$P$3*(P575-$P$1)/$P$2+$Q$3*(Q575-$Q$1)/$Q$2)/SUM($O$3:$Q$3)</f>
        <v>-1.671915513703006</v>
      </c>
      <c r="AW575" s="47">
        <f>COUNT(R575:AO575)/2</f>
        <v>5</v>
      </c>
      <c r="AX575" s="47">
        <f>IF(AND(S575&lt;&gt;"-",S575&gt;5),1,0)+IF(AND(U575&lt;&gt;"-",U575&gt;5),1,0)+IF(AND(W575&lt;&gt;"-",W575&gt;5),1,0)+IF(AND(Y575&lt;&gt;"-",Y575&gt;5),1,0)+IF(AND(AA575&lt;&gt;"-",AA575&gt;5),1,0)+IF(AND(AC575&lt;&gt;"-",AC575&gt;5),1,0)+IF(AND(AE575&lt;&gt;"-",AE575&gt;5),1,0)+IF(AND(AG575&lt;&gt;"-",AG575&gt;5),1,0)+IF(AND(AI575&lt;&gt;"-",AI575&gt;5),1,0)+IF(AND(AK575&lt;&gt;"-",AK575&gt;5),1,0)+IF(AND(AM575&lt;&gt;"-",AM575&gt;5),1,0)+IF(AND(AO575&lt;&gt;"-",AO575&gt;5),1,0)</f>
        <v>0</v>
      </c>
      <c r="AY575" s="48">
        <f>VLOOKUP(AP575,COND!$A$10:$B$32,2,FALSE)</f>
        <v>1</v>
      </c>
      <c r="AZ575" s="46">
        <f>($AU$3*AU575+$AV$3*AV575+$AW$3*AW575+$AX$3*AX575)*AY575*IF(AQ575&lt;5,0.95,IF(AQ575&lt;7,0.975,1))+$I$3*VLOOKUP(I575,COND!$A$2:$E$7,4,FALSE)+$J$3*VLOOKUP(J575,COND!$A$2:$E$7,2,FALSE)+$K$3*VLOOKUP(K575,COND!$A$2:$E$7,3,FALSE)+IF(BB575="SP",$BB$3,0)+IF($AW575&lt;3,-5,0)+IF(AND($B$2&gt;0,$E575&lt;20),$B$2*25,0)</f>
        <v>20.132314586085784</v>
      </c>
      <c r="BA575" s="49">
        <f>STANDARDIZE(AZ575,AVERAGE($AZ$5:$AZ$570),STDEVP($AZ$5:$AZ$570))</f>
        <v>-1.154550966291904</v>
      </c>
      <c r="BB575" s="47" t="str">
        <f>IF(OR(AND(AQ575&gt;7,AX575&gt;1),AND(AQ575&gt;4,AW575&gt;2)),"SP","RP")</f>
        <v>RP</v>
      </c>
      <c r="BC575" s="47"/>
      <c r="BD575" s="47"/>
      <c r="BE575" s="47"/>
      <c r="BF575" s="47" t="str">
        <f>IF(AVERAGE($O575:$Q575)&gt;=6,"Likely",IF(AVERAGE($O575:$Q575)&gt;=4,"Possible","Unlikely"))</f>
        <v>Unlikely</v>
      </c>
      <c r="BG575" s="47"/>
      <c r="BH575" s="47" t="str">
        <f>INDEX(Table5[[#All],[Ovr]],MATCH(Table3[[#This Row],[PID]],Table5[[#All],[PID]],0))</f>
        <v/>
      </c>
      <c r="BI575" s="47" t="str">
        <f>INDEX(Table5[[#All],[Rnd]],MATCH(Table3[[#This Row],[PID]],Table5[[#All],[PID]],0))</f>
        <v/>
      </c>
      <c r="BJ575" s="47" t="str">
        <f>INDEX(Table5[[#All],[Pick]],MATCH(Table3[[#This Row],[PID]],Table5[[#All],[PID]],0))</f>
        <v/>
      </c>
      <c r="BK575" s="47" t="str">
        <f>INDEX(Table5[[#All],[Team]],MATCH(Table3[[#This Row],[PID]],Table5[[#All],[PID]],0))</f>
        <v/>
      </c>
      <c r="BL5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6" spans="1:64" ht="15" customHeight="1" x14ac:dyDescent="0.25">
      <c r="A576" s="42">
        <v>15591</v>
      </c>
      <c r="B576" s="42" t="s">
        <v>430</v>
      </c>
      <c r="C576" s="42" t="s">
        <v>1586</v>
      </c>
      <c r="D576" s="42" t="s">
        <v>772</v>
      </c>
      <c r="E576" s="42">
        <v>18</v>
      </c>
      <c r="F576" s="42" t="s">
        <v>53</v>
      </c>
      <c r="G576" s="42" t="s">
        <v>42</v>
      </c>
      <c r="H576" s="43" t="s">
        <v>721</v>
      </c>
      <c r="I576" s="44" t="s">
        <v>43</v>
      </c>
      <c r="J576" s="42" t="s">
        <v>43</v>
      </c>
      <c r="K576" s="43" t="s">
        <v>43</v>
      </c>
      <c r="L576" s="42">
        <v>1</v>
      </c>
      <c r="M576" s="42">
        <v>1</v>
      </c>
      <c r="N576" s="43">
        <v>1</v>
      </c>
      <c r="O576" s="42">
        <v>4</v>
      </c>
      <c r="P576" s="42">
        <v>1</v>
      </c>
      <c r="Q576" s="43">
        <v>2</v>
      </c>
      <c r="R576" s="42">
        <v>3</v>
      </c>
      <c r="S576" s="42">
        <v>4</v>
      </c>
      <c r="T576" s="42">
        <v>2</v>
      </c>
      <c r="U576" s="42">
        <v>6</v>
      </c>
      <c r="V576" s="42" t="s">
        <v>45</v>
      </c>
      <c r="W576" s="42" t="s">
        <v>45</v>
      </c>
      <c r="X576" s="42" t="s">
        <v>45</v>
      </c>
      <c r="Y576" s="42" t="s">
        <v>45</v>
      </c>
      <c r="Z576" s="42" t="s">
        <v>45</v>
      </c>
      <c r="AA576" s="42" t="s">
        <v>45</v>
      </c>
      <c r="AB576" s="42" t="s">
        <v>45</v>
      </c>
      <c r="AC576" s="42" t="s">
        <v>45</v>
      </c>
      <c r="AD576" s="42" t="s">
        <v>45</v>
      </c>
      <c r="AE576" s="42" t="s">
        <v>45</v>
      </c>
      <c r="AF576" s="42" t="s">
        <v>45</v>
      </c>
      <c r="AG576" s="42" t="s">
        <v>45</v>
      </c>
      <c r="AH576" s="42" t="s">
        <v>45</v>
      </c>
      <c r="AI576" s="42" t="s">
        <v>45</v>
      </c>
      <c r="AJ576" s="42" t="s">
        <v>45</v>
      </c>
      <c r="AK576" s="42" t="s">
        <v>45</v>
      </c>
      <c r="AL576" s="42" t="s">
        <v>45</v>
      </c>
      <c r="AM576" s="42" t="s">
        <v>45</v>
      </c>
      <c r="AN576" s="42" t="s">
        <v>45</v>
      </c>
      <c r="AO576" s="43" t="s">
        <v>45</v>
      </c>
      <c r="AP576" s="42" t="s">
        <v>65</v>
      </c>
      <c r="AQ576" s="42">
        <v>6</v>
      </c>
      <c r="AR576" s="50" t="s">
        <v>14</v>
      </c>
      <c r="AS576" s="45" t="s">
        <v>718</v>
      </c>
      <c r="AT576" s="45" t="s">
        <v>47</v>
      </c>
      <c r="AU576" s="46">
        <f>($O$3*(L576-$O$1)/$O$2+$P$3*(M576-$P$1)/$P$2+$Q$3*(N576-$P$1)/$Q$2)/SUM($O$3:$Q$3)</f>
        <v>-2.7014842379675978</v>
      </c>
      <c r="AV576" s="46">
        <f>($O$3*(O576-$O$1)/$O$2+$P$3*(P576-$P$1)/$P$2+$Q$3*(Q576-$Q$1)/$Q$2)/SUM($O$3:$Q$3)</f>
        <v>-1.4295949476488956</v>
      </c>
      <c r="AW576" s="47">
        <f>COUNT(R576:AO576)/2</f>
        <v>2</v>
      </c>
      <c r="AX576" s="47">
        <f>IF(AND(S576&lt;&gt;"-",S576&gt;5),1,0)+IF(AND(U576&lt;&gt;"-",U576&gt;5),1,0)+IF(AND(W576&lt;&gt;"-",W576&gt;5),1,0)+IF(AND(Y576&lt;&gt;"-",Y576&gt;5),1,0)+IF(AND(AA576&lt;&gt;"-",AA576&gt;5),1,0)+IF(AND(AC576&lt;&gt;"-",AC576&gt;5),1,0)+IF(AND(AE576&lt;&gt;"-",AE576&gt;5),1,0)+IF(AND(AG576&lt;&gt;"-",AG576&gt;5),1,0)+IF(AND(AI576&lt;&gt;"-",AI576&gt;5),1,0)+IF(AND(AK576&lt;&gt;"-",AK576&gt;5),1,0)+IF(AND(AM576&lt;&gt;"-",AM576&gt;5),1,0)+IF(AND(AO576&lt;&gt;"-",AO576&gt;5),1,0)</f>
        <v>1</v>
      </c>
      <c r="AY576" s="48">
        <f>VLOOKUP(AP576,COND!$A$10:$B$32,2,FALSE)</f>
        <v>0.95</v>
      </c>
      <c r="AZ576" s="46">
        <f>($AU$3*AU576+$AV$3*AV576+$AW$3*AW576+$AX$3*AX576)*AY576*IF(AQ576&lt;5,0.95,IF(AQ576&lt;7,0.975,1))+$I$3*VLOOKUP(I576,COND!$A$2:$E$7,4,FALSE)+$J$3*VLOOKUP(J576,COND!$A$2:$E$7,2,FALSE)+$K$3*VLOOKUP(K576,COND!$A$2:$E$7,3,FALSE)+IF(BB576="SP",$BB$3,0)+IF($AW576&lt;3,-5,0)+IF(AND($B$2&gt;0,$E576&lt;20),$B$2*25,0)</f>
        <v>20.100366139720709</v>
      </c>
      <c r="BA576" s="49">
        <f>STANDARDIZE(AZ576,AVERAGE($AZ$5:$AZ$570),STDEVP($AZ$5:$AZ$570))</f>
        <v>-1.157480775374111</v>
      </c>
      <c r="BB576" s="47" t="str">
        <f>IF(OR(AND(AQ576&gt;7,AX576&gt;1),AND(AQ576&gt;4,AW576&gt;2)),"SP","RP")</f>
        <v>RP</v>
      </c>
      <c r="BC576" s="47"/>
      <c r="BD576" s="47"/>
      <c r="BE576" s="47"/>
      <c r="BF576" s="47" t="str">
        <f>IF(AVERAGE($O576:$Q576)&gt;=6,"Likely",IF(AVERAGE($O576:$Q576)&gt;=4,"Possible","Unlikely"))</f>
        <v>Unlikely</v>
      </c>
      <c r="BG576" s="47"/>
      <c r="BH576" s="47" t="str">
        <f>INDEX(Table5[[#All],[Ovr]],MATCH(Table3[[#This Row],[PID]],Table5[[#All],[PID]],0))</f>
        <v/>
      </c>
      <c r="BI576" s="47" t="str">
        <f>INDEX(Table5[[#All],[Rnd]],MATCH(Table3[[#This Row],[PID]],Table5[[#All],[PID]],0))</f>
        <v/>
      </c>
      <c r="BJ576" s="47" t="str">
        <f>INDEX(Table5[[#All],[Pick]],MATCH(Table3[[#This Row],[PID]],Table5[[#All],[PID]],0))</f>
        <v/>
      </c>
      <c r="BK576" s="47" t="str">
        <f>INDEX(Table5[[#All],[Team]],MATCH(Table3[[#This Row],[PID]],Table5[[#All],[PID]],0))</f>
        <v/>
      </c>
      <c r="BL5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7" spans="1:64" ht="15" customHeight="1" x14ac:dyDescent="0.25">
      <c r="A577" s="42">
        <v>8884</v>
      </c>
      <c r="B577" s="42" t="s">
        <v>430</v>
      </c>
      <c r="C577" s="42" t="s">
        <v>173</v>
      </c>
      <c r="D577" s="42" t="s">
        <v>1165</v>
      </c>
      <c r="E577" s="42">
        <v>18</v>
      </c>
      <c r="F577" s="42" t="s">
        <v>42</v>
      </c>
      <c r="G577" s="42" t="s">
        <v>42</v>
      </c>
      <c r="H577" s="43" t="s">
        <v>721</v>
      </c>
      <c r="I577" s="44" t="s">
        <v>43</v>
      </c>
      <c r="J577" s="42" t="s">
        <v>43</v>
      </c>
      <c r="K577" s="43" t="s">
        <v>43</v>
      </c>
      <c r="L577" s="42">
        <v>2</v>
      </c>
      <c r="M577" s="42">
        <v>1</v>
      </c>
      <c r="N577" s="43">
        <v>1</v>
      </c>
      <c r="O577" s="42">
        <v>3</v>
      </c>
      <c r="P577" s="42">
        <v>1</v>
      </c>
      <c r="Q577" s="43">
        <v>2</v>
      </c>
      <c r="R577" s="42">
        <v>3</v>
      </c>
      <c r="S577" s="42">
        <v>4</v>
      </c>
      <c r="T577" s="42">
        <v>1</v>
      </c>
      <c r="U577" s="42">
        <v>1</v>
      </c>
      <c r="V577" s="42" t="s">
        <v>45</v>
      </c>
      <c r="W577" s="42" t="s">
        <v>45</v>
      </c>
      <c r="X577" s="42" t="s">
        <v>45</v>
      </c>
      <c r="Y577" s="42" t="s">
        <v>45</v>
      </c>
      <c r="Z577" s="42">
        <v>2</v>
      </c>
      <c r="AA577" s="42">
        <v>3</v>
      </c>
      <c r="AB577" s="42" t="s">
        <v>45</v>
      </c>
      <c r="AC577" s="42" t="s">
        <v>45</v>
      </c>
      <c r="AD577" s="42" t="s">
        <v>45</v>
      </c>
      <c r="AE577" s="42" t="s">
        <v>45</v>
      </c>
      <c r="AF577" s="42" t="s">
        <v>45</v>
      </c>
      <c r="AG577" s="42" t="s">
        <v>45</v>
      </c>
      <c r="AH577" s="42" t="s">
        <v>45</v>
      </c>
      <c r="AI577" s="42" t="s">
        <v>45</v>
      </c>
      <c r="AJ577" s="42" t="s">
        <v>45</v>
      </c>
      <c r="AK577" s="42" t="s">
        <v>45</v>
      </c>
      <c r="AL577" s="42" t="s">
        <v>45</v>
      </c>
      <c r="AM577" s="42" t="s">
        <v>45</v>
      </c>
      <c r="AN577" s="42" t="s">
        <v>45</v>
      </c>
      <c r="AO577" s="43" t="s">
        <v>45</v>
      </c>
      <c r="AP577" s="42" t="s">
        <v>64</v>
      </c>
      <c r="AQ577" s="42">
        <v>3</v>
      </c>
      <c r="AR577" s="50" t="s">
        <v>353</v>
      </c>
      <c r="AS577" s="45" t="s">
        <v>429</v>
      </c>
      <c r="AT577" s="45" t="s">
        <v>705</v>
      </c>
      <c r="AU577" s="46">
        <f>($O$3*(L577-$O$1)/$O$2+$P$3*(M577-$P$1)/$P$2+$Q$3*(N577-$P$1)/$Q$2)/SUM($O$3:$Q$3)</f>
        <v>-2.5067929134584248</v>
      </c>
      <c r="AV577" s="46">
        <f>($O$3*(O577-$O$1)/$O$2+$P$3*(P577-$P$1)/$P$2+$Q$3*(Q577-$Q$1)/$Q$2)/SUM($O$3:$Q$3)</f>
        <v>-1.6242862721580691</v>
      </c>
      <c r="AW577" s="47">
        <f>COUNT(R577:AO577)/2</f>
        <v>3</v>
      </c>
      <c r="AX577" s="47">
        <f>IF(AND(S577&lt;&gt;"-",S577&gt;5),1,0)+IF(AND(U577&lt;&gt;"-",U577&gt;5),1,0)+IF(AND(W577&lt;&gt;"-",W577&gt;5),1,0)+IF(AND(Y577&lt;&gt;"-",Y577&gt;5),1,0)+IF(AND(AA577&lt;&gt;"-",AA577&gt;5),1,0)+IF(AND(AC577&lt;&gt;"-",AC577&gt;5),1,0)+IF(AND(AE577&lt;&gt;"-",AE577&gt;5),1,0)+IF(AND(AG577&lt;&gt;"-",AG577&gt;5),1,0)+IF(AND(AI577&lt;&gt;"-",AI577&gt;5),1,0)+IF(AND(AK577&lt;&gt;"-",AK577&gt;5),1,0)+IF(AND(AM577&lt;&gt;"-",AM577&gt;5),1,0)+IF(AND(AO577&lt;&gt;"-",AO577&gt;5),1,0)</f>
        <v>0</v>
      </c>
      <c r="AY577" s="48">
        <f>VLOOKUP(AP577,COND!$A$10:$B$32,2,FALSE)</f>
        <v>1</v>
      </c>
      <c r="AZ577" s="46">
        <f>($AU$3*AU577+$AV$3*AV577+$AW$3*AW577+$AX$3*AX577)*AY577*IF(AQ577&lt;5,0.95,IF(AQ577&lt;7,0.975,1))+$I$3*VLOOKUP(I577,COND!$A$2:$E$7,4,FALSE)+$J$3*VLOOKUP(J577,COND!$A$2:$E$7,2,FALSE)+$K$3*VLOOKUP(K577,COND!$A$2:$E$7,3,FALSE)+IF(BB577="SP",$BB$3,0)+IF($AW577&lt;3,-5,0)+IF(AND($B$2&gt;0,$E577&lt;20),$B$2*25,0)</f>
        <v>20.087270175439581</v>
      </c>
      <c r="BA577" s="49">
        <f>STANDARDIZE(AZ577,AVERAGE($AZ$5:$AZ$570),STDEVP($AZ$5:$AZ$570))</f>
        <v>-1.1586817312720181</v>
      </c>
      <c r="BB577" s="47" t="str">
        <f>IF(OR(AND(AQ577&gt;7,AX577&gt;1),AND(AQ577&gt;4,AW577&gt;2)),"SP","RP")</f>
        <v>RP</v>
      </c>
      <c r="BC577" s="47"/>
      <c r="BD577" s="47"/>
      <c r="BE577" s="47"/>
      <c r="BF577" s="47" t="str">
        <f>IF(AVERAGE($O577:$Q577)&gt;=6,"Likely",IF(AVERAGE($O577:$Q577)&gt;=4,"Possible","Unlikely"))</f>
        <v>Unlikely</v>
      </c>
      <c r="BG577" s="47"/>
      <c r="BH577" s="47" t="str">
        <f>INDEX(Table5[[#All],[Ovr]],MATCH(Table3[[#This Row],[PID]],Table5[[#All],[PID]],0))</f>
        <v/>
      </c>
      <c r="BI577" s="47" t="str">
        <f>INDEX(Table5[[#All],[Rnd]],MATCH(Table3[[#This Row],[PID]],Table5[[#All],[PID]],0))</f>
        <v/>
      </c>
      <c r="BJ577" s="47" t="str">
        <f>INDEX(Table5[[#All],[Pick]],MATCH(Table3[[#This Row],[PID]],Table5[[#All],[PID]],0))</f>
        <v/>
      </c>
      <c r="BK577" s="47" t="str">
        <f>INDEX(Table5[[#All],[Team]],MATCH(Table3[[#This Row],[PID]],Table5[[#All],[PID]],0))</f>
        <v/>
      </c>
      <c r="BL5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8" spans="1:64" ht="15" customHeight="1" x14ac:dyDescent="0.25">
      <c r="A578" s="42">
        <v>12519</v>
      </c>
      <c r="B578" s="42" t="s">
        <v>430</v>
      </c>
      <c r="C578" s="42" t="s">
        <v>1786</v>
      </c>
      <c r="D578" s="42" t="s">
        <v>378</v>
      </c>
      <c r="E578" s="42">
        <v>21</v>
      </c>
      <c r="F578" s="42" t="s">
        <v>53</v>
      </c>
      <c r="G578" s="42" t="s">
        <v>42</v>
      </c>
      <c r="H578" s="43" t="s">
        <v>721</v>
      </c>
      <c r="I578" s="44" t="s">
        <v>43</v>
      </c>
      <c r="J578" s="42" t="s">
        <v>43</v>
      </c>
      <c r="K578" s="43" t="s">
        <v>43</v>
      </c>
      <c r="L578" s="42">
        <v>2</v>
      </c>
      <c r="M578" s="42">
        <v>2</v>
      </c>
      <c r="N578" s="43">
        <v>1</v>
      </c>
      <c r="O578" s="42">
        <v>3</v>
      </c>
      <c r="P578" s="42">
        <v>2</v>
      </c>
      <c r="Q578" s="43">
        <v>2</v>
      </c>
      <c r="R578" s="42">
        <v>4</v>
      </c>
      <c r="S578" s="42">
        <v>5</v>
      </c>
      <c r="T578" s="42">
        <v>1</v>
      </c>
      <c r="U578" s="42">
        <v>1</v>
      </c>
      <c r="V578" s="42" t="s">
        <v>45</v>
      </c>
      <c r="W578" s="42" t="s">
        <v>45</v>
      </c>
      <c r="X578" s="42" t="s">
        <v>45</v>
      </c>
      <c r="Y578" s="42" t="s">
        <v>45</v>
      </c>
      <c r="Z578" s="42" t="s">
        <v>45</v>
      </c>
      <c r="AA578" s="42" t="s">
        <v>45</v>
      </c>
      <c r="AB578" s="42" t="s">
        <v>45</v>
      </c>
      <c r="AC578" s="42" t="s">
        <v>45</v>
      </c>
      <c r="AD578" s="42">
        <v>3</v>
      </c>
      <c r="AE578" s="42">
        <v>4</v>
      </c>
      <c r="AF578" s="42">
        <v>3</v>
      </c>
      <c r="AG578" s="42">
        <v>4</v>
      </c>
      <c r="AH578" s="42" t="s">
        <v>45</v>
      </c>
      <c r="AI578" s="42" t="s">
        <v>45</v>
      </c>
      <c r="AJ578" s="42" t="s">
        <v>45</v>
      </c>
      <c r="AK578" s="42" t="s">
        <v>45</v>
      </c>
      <c r="AL578" s="42" t="s">
        <v>45</v>
      </c>
      <c r="AM578" s="42" t="s">
        <v>45</v>
      </c>
      <c r="AN578" s="42" t="s">
        <v>45</v>
      </c>
      <c r="AO578" s="43" t="s">
        <v>45</v>
      </c>
      <c r="AP578" s="42" t="s">
        <v>356</v>
      </c>
      <c r="AQ578" s="42">
        <v>5</v>
      </c>
      <c r="AR578" s="50" t="s">
        <v>353</v>
      </c>
      <c r="AS578" s="45" t="s">
        <v>45</v>
      </c>
      <c r="AT578" s="45" t="s">
        <v>47</v>
      </c>
      <c r="AU578" s="46">
        <f>($O$3*(L578-$O$1)/$O$2+$P$3*(M578-$P$1)/$P$2+$Q$3*(N578-$P$1)/$Q$2)/SUM($O$3:$Q$3)</f>
        <v>-2.311361197028369</v>
      </c>
      <c r="AV578" s="46">
        <f>($O$3*(O578-$O$1)/$O$2+$P$3*(P578-$P$1)/$P$2+$Q$3*(Q578-$Q$1)/$Q$2)/SUM($O$3:$Q$3)</f>
        <v>-1.4288545557280135</v>
      </c>
      <c r="AW578" s="47">
        <f>COUNT(R578:AO578)/2</f>
        <v>4</v>
      </c>
      <c r="AX578" s="47">
        <f>IF(AND(S578&lt;&gt;"-",S578&gt;5),1,0)+IF(AND(U578&lt;&gt;"-",U578&gt;5),1,0)+IF(AND(W578&lt;&gt;"-",W578&gt;5),1,0)+IF(AND(Y578&lt;&gt;"-",Y578&gt;5),1,0)+IF(AND(AA578&lt;&gt;"-",AA578&gt;5),1,0)+IF(AND(AC578&lt;&gt;"-",AC578&gt;5),1,0)+IF(AND(AE578&lt;&gt;"-",AE578&gt;5),1,0)+IF(AND(AG578&lt;&gt;"-",AG578&gt;5),1,0)+IF(AND(AI578&lt;&gt;"-",AI578&gt;5),1,0)+IF(AND(AK578&lt;&gt;"-",AK578&gt;5),1,0)+IF(AND(AM578&lt;&gt;"-",AM578&gt;5),1,0)+IF(AND(AO578&lt;&gt;"-",AO578&gt;5),1,0)</f>
        <v>0</v>
      </c>
      <c r="AY578" s="48">
        <f>VLOOKUP(AP578,COND!$A$10:$B$32,2,FALSE)</f>
        <v>1</v>
      </c>
      <c r="AZ578" s="46">
        <f>($AU$3*AU578+$AV$3*AV578+$AW$3*AW578+$AX$3*AX578)*AY578*IF(AQ578&lt;5,0.95,IF(AQ578&lt;7,0.975,1))+$I$3*VLOOKUP(I578,COND!$A$2:$E$7,4,FALSE)+$J$3*VLOOKUP(J578,COND!$A$2:$E$7,2,FALSE)+$K$3*VLOOKUP(K578,COND!$A$2:$E$7,3,FALSE)+IF(BB578="SP",$BB$3,0)+IF($AW578&lt;3,-5,0)+IF(AND($B$2&gt;0,$E578&lt;20),$B$2*25,0)</f>
        <v>20.636620729883205</v>
      </c>
      <c r="BA578" s="49">
        <f>STANDARDIZE(AZ578,AVERAGE($AZ$5:$AZ$676),STDEVP($AZ$5:$AZ$676))</f>
        <v>-0.85527119987966083</v>
      </c>
      <c r="BB578" s="47" t="str">
        <f>IF(OR(AND(AQ578&gt;7,AX578&gt;1),AND(AQ578&gt;4,AW578&gt;2)),"SP","RP")</f>
        <v>SP</v>
      </c>
      <c r="BC578" s="47"/>
      <c r="BD578" s="47"/>
      <c r="BE578" s="47"/>
      <c r="BF578" s="47" t="str">
        <f>IF(AVERAGE($O578:$Q578)&gt;=6,"Likely",IF(AVERAGE($O578:$Q578)&gt;=4,"Possible","Unlikely"))</f>
        <v>Unlikely</v>
      </c>
      <c r="BG578" s="47"/>
      <c r="BH578" s="47" t="str">
        <f>INDEX(Table5[[#All],[Ovr]],MATCH(Table3[[#This Row],[PID]],Table5[[#All],[PID]],0))</f>
        <v/>
      </c>
      <c r="BI578" s="47" t="str">
        <f>INDEX(Table5[[#All],[Rnd]],MATCH(Table3[[#This Row],[PID]],Table5[[#All],[PID]],0))</f>
        <v/>
      </c>
      <c r="BJ578" s="47" t="str">
        <f>INDEX(Table5[[#All],[Pick]],MATCH(Table3[[#This Row],[PID]],Table5[[#All],[PID]],0))</f>
        <v/>
      </c>
      <c r="BK578" s="47" t="str">
        <f>INDEX(Table5[[#All],[Team]],MATCH(Table3[[#This Row],[PID]],Table5[[#All],[PID]],0))</f>
        <v/>
      </c>
      <c r="BL5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9" spans="1:64" ht="15" customHeight="1" x14ac:dyDescent="0.25">
      <c r="A579" s="42">
        <v>5977</v>
      </c>
      <c r="B579" s="42" t="s">
        <v>24</v>
      </c>
      <c r="C579" s="42" t="s">
        <v>1292</v>
      </c>
      <c r="D579" s="42" t="s">
        <v>1225</v>
      </c>
      <c r="E579" s="42">
        <v>18</v>
      </c>
      <c r="F579" s="42" t="s">
        <v>42</v>
      </c>
      <c r="G579" s="42" t="s">
        <v>42</v>
      </c>
      <c r="H579" s="43" t="s">
        <v>721</v>
      </c>
      <c r="I579" s="44" t="s">
        <v>43</v>
      </c>
      <c r="J579" s="42" t="s">
        <v>44</v>
      </c>
      <c r="K579" s="43" t="s">
        <v>44</v>
      </c>
      <c r="L579" s="42">
        <v>1</v>
      </c>
      <c r="M579" s="42">
        <v>1</v>
      </c>
      <c r="N579" s="43">
        <v>1</v>
      </c>
      <c r="O579" s="42">
        <v>3</v>
      </c>
      <c r="P579" s="42">
        <v>1</v>
      </c>
      <c r="Q579" s="43">
        <v>2</v>
      </c>
      <c r="R579" s="42">
        <v>4</v>
      </c>
      <c r="S579" s="42">
        <v>5</v>
      </c>
      <c r="T579" s="42">
        <v>1</v>
      </c>
      <c r="U579" s="42">
        <v>6</v>
      </c>
      <c r="V579" s="42" t="s">
        <v>45</v>
      </c>
      <c r="W579" s="42" t="s">
        <v>45</v>
      </c>
      <c r="X579" s="42">
        <v>2</v>
      </c>
      <c r="Y579" s="42">
        <v>4</v>
      </c>
      <c r="Z579" s="42" t="s">
        <v>45</v>
      </c>
      <c r="AA579" s="42" t="s">
        <v>45</v>
      </c>
      <c r="AB579" s="42" t="s">
        <v>45</v>
      </c>
      <c r="AC579" s="42" t="s">
        <v>45</v>
      </c>
      <c r="AD579" s="42" t="s">
        <v>45</v>
      </c>
      <c r="AE579" s="42" t="s">
        <v>45</v>
      </c>
      <c r="AF579" s="42" t="s">
        <v>45</v>
      </c>
      <c r="AG579" s="42" t="s">
        <v>45</v>
      </c>
      <c r="AH579" s="42" t="s">
        <v>45</v>
      </c>
      <c r="AI579" s="42" t="s">
        <v>45</v>
      </c>
      <c r="AJ579" s="42" t="s">
        <v>45</v>
      </c>
      <c r="AK579" s="42" t="s">
        <v>45</v>
      </c>
      <c r="AL579" s="42" t="s">
        <v>45</v>
      </c>
      <c r="AM579" s="42" t="s">
        <v>45</v>
      </c>
      <c r="AN579" s="42" t="s">
        <v>45</v>
      </c>
      <c r="AO579" s="43" t="s">
        <v>45</v>
      </c>
      <c r="AP579" s="42" t="s">
        <v>56</v>
      </c>
      <c r="AQ579" s="42">
        <v>6</v>
      </c>
      <c r="AR579" s="50" t="s">
        <v>14</v>
      </c>
      <c r="AS579" s="45" t="s">
        <v>45</v>
      </c>
      <c r="AT579" s="45" t="s">
        <v>47</v>
      </c>
      <c r="AU579" s="46">
        <f>($O$3*(L579-$O$1)/$O$2+$P$3*(M579-$P$1)/$P$2+$Q$3*(N579-$P$1)/$Q$2)/SUM($O$3:$Q$3)</f>
        <v>-2.7014842379675978</v>
      </c>
      <c r="AV579" s="46">
        <f>($O$3*(O579-$O$1)/$O$2+$P$3*(P579-$P$1)/$P$2+$Q$3*(Q579-$Q$1)/$Q$2)/SUM($O$3:$Q$3)</f>
        <v>-1.6242862721580691</v>
      </c>
      <c r="AW579" s="47">
        <f>COUNT(R579:AO579)/2</f>
        <v>3</v>
      </c>
      <c r="AX579" s="47">
        <f>IF(AND(S579&lt;&gt;"-",S579&gt;5),1,0)+IF(AND(U579&lt;&gt;"-",U579&gt;5),1,0)+IF(AND(W579&lt;&gt;"-",W579&gt;5),1,0)+IF(AND(Y579&lt;&gt;"-",Y579&gt;5),1,0)+IF(AND(AA579&lt;&gt;"-",AA579&gt;5),1,0)+IF(AND(AC579&lt;&gt;"-",AC579&gt;5),1,0)+IF(AND(AE579&lt;&gt;"-",AE579&gt;5),1,0)+IF(AND(AG579&lt;&gt;"-",AG579&gt;5),1,0)+IF(AND(AI579&lt;&gt;"-",AI579&gt;5),1,0)+IF(AND(AK579&lt;&gt;"-",AK579&gt;5),1,0)+IF(AND(AM579&lt;&gt;"-",AM579&gt;5),1,0)+IF(AND(AO579&lt;&gt;"-",AO579&gt;5),1,0)</f>
        <v>1</v>
      </c>
      <c r="AY579" s="48">
        <f>VLOOKUP(AP579,COND!$A$10:$B$32,2,FALSE)</f>
        <v>1</v>
      </c>
      <c r="AZ579" s="46">
        <f>($AU$3*AU579+$AV$3*AV579+$AW$3*AW579+$AX$3*AX579)*AY579*IF(AQ579&lt;5,0.95,IF(AQ579&lt;7,0.975,1))+$I$3*VLOOKUP(I579,COND!$A$2:$E$7,4,FALSE)+$J$3*VLOOKUP(J579,COND!$A$2:$E$7,2,FALSE)+$K$3*VLOOKUP(K579,COND!$A$2:$E$7,3,FALSE)+IF(BB579="SP",$BB$3,0)+IF($AW579&lt;3,-5,0)+IF(AND($B$2&gt;0,$E579&lt;20),$B$2*25,0)</f>
        <v>21.880878266513971</v>
      </c>
      <c r="BA579" s="49">
        <f>STANDARDIZE(AZ579,AVERAGE($AZ$5:$AZ$676),STDEVP($AZ$5:$AZ$676))</f>
        <v>-0.74622123221305481</v>
      </c>
      <c r="BB579" s="47" t="str">
        <f>IF(OR(AND(AQ579&gt;7,AX579&gt;1),AND(AQ579&gt;4,AW579&gt;2)),"SP","RP")</f>
        <v>SP</v>
      </c>
      <c r="BC579" s="47"/>
      <c r="BD579" s="47"/>
      <c r="BE579" s="47"/>
      <c r="BF579" s="47" t="str">
        <f>IF(AVERAGE($O579:$Q579)&gt;=6,"Likely",IF(AVERAGE($O579:$Q579)&gt;=4,"Possible","Unlikely"))</f>
        <v>Unlikely</v>
      </c>
      <c r="BG579" s="47"/>
      <c r="BH579" s="47" t="str">
        <f>INDEX(Table5[[#All],[Ovr]],MATCH(Table3[[#This Row],[PID]],Table5[[#All],[PID]],0))</f>
        <v/>
      </c>
      <c r="BI579" s="47" t="str">
        <f>INDEX(Table5[[#All],[Rnd]],MATCH(Table3[[#This Row],[PID]],Table5[[#All],[PID]],0))</f>
        <v/>
      </c>
      <c r="BJ579" s="47" t="str">
        <f>INDEX(Table5[[#All],[Pick]],MATCH(Table3[[#This Row],[PID]],Table5[[#All],[PID]],0))</f>
        <v/>
      </c>
      <c r="BK579" s="47" t="str">
        <f>INDEX(Table5[[#All],[Team]],MATCH(Table3[[#This Row],[PID]],Table5[[#All],[PID]],0))</f>
        <v/>
      </c>
      <c r="BL5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0" spans="1:64" ht="15" customHeight="1" x14ac:dyDescent="0.25">
      <c r="A580" s="42">
        <v>12949</v>
      </c>
      <c r="B580" s="42" t="s">
        <v>430</v>
      </c>
      <c r="C580" s="42" t="s">
        <v>1576</v>
      </c>
      <c r="D580" s="42" t="s">
        <v>1577</v>
      </c>
      <c r="E580" s="42">
        <v>21</v>
      </c>
      <c r="F580" s="42" t="s">
        <v>62</v>
      </c>
      <c r="G580" s="42" t="s">
        <v>42</v>
      </c>
      <c r="H580" s="43" t="s">
        <v>721</v>
      </c>
      <c r="I580" s="44" t="s">
        <v>43</v>
      </c>
      <c r="J580" s="42" t="s">
        <v>43</v>
      </c>
      <c r="K580" s="43" t="s">
        <v>43</v>
      </c>
      <c r="L580" s="42">
        <v>2</v>
      </c>
      <c r="M580" s="42">
        <v>1</v>
      </c>
      <c r="N580" s="43">
        <v>1</v>
      </c>
      <c r="O580" s="42">
        <v>4</v>
      </c>
      <c r="P580" s="42">
        <v>1</v>
      </c>
      <c r="Q580" s="43">
        <v>2</v>
      </c>
      <c r="R580" s="42">
        <v>3</v>
      </c>
      <c r="S580" s="42">
        <v>5</v>
      </c>
      <c r="T580" s="42">
        <v>1</v>
      </c>
      <c r="U580" s="42">
        <v>5</v>
      </c>
      <c r="V580" s="42" t="s">
        <v>45</v>
      </c>
      <c r="W580" s="42" t="s">
        <v>45</v>
      </c>
      <c r="X580" s="42">
        <v>2</v>
      </c>
      <c r="Y580" s="42">
        <v>4</v>
      </c>
      <c r="Z580" s="42" t="s">
        <v>45</v>
      </c>
      <c r="AA580" s="42" t="s">
        <v>45</v>
      </c>
      <c r="AB580" s="42">
        <v>3</v>
      </c>
      <c r="AC580" s="42">
        <v>3</v>
      </c>
      <c r="AD580" s="42" t="s">
        <v>45</v>
      </c>
      <c r="AE580" s="42" t="s">
        <v>45</v>
      </c>
      <c r="AF580" s="42" t="s">
        <v>45</v>
      </c>
      <c r="AG580" s="42" t="s">
        <v>45</v>
      </c>
      <c r="AH580" s="42" t="s">
        <v>45</v>
      </c>
      <c r="AI580" s="42" t="s">
        <v>45</v>
      </c>
      <c r="AJ580" s="42" t="s">
        <v>45</v>
      </c>
      <c r="AK580" s="42" t="s">
        <v>45</v>
      </c>
      <c r="AL580" s="42" t="s">
        <v>45</v>
      </c>
      <c r="AM580" s="42" t="s">
        <v>45</v>
      </c>
      <c r="AN580" s="42" t="s">
        <v>45</v>
      </c>
      <c r="AO580" s="43" t="s">
        <v>45</v>
      </c>
      <c r="AP580" s="42" t="s">
        <v>355</v>
      </c>
      <c r="AQ580" s="42">
        <v>10</v>
      </c>
      <c r="AR580" s="50" t="s">
        <v>14</v>
      </c>
      <c r="AS580" s="45" t="s">
        <v>717</v>
      </c>
      <c r="AT580" s="45" t="s">
        <v>47</v>
      </c>
      <c r="AU580" s="46">
        <f>($O$3*(L580-$O$1)/$O$2+$P$3*(M580-$P$1)/$P$2+$Q$3*(N580-$P$1)/$Q$2)/SUM($O$3:$Q$3)</f>
        <v>-2.5067929134584248</v>
      </c>
      <c r="AV580" s="46">
        <f>($O$3*(O580-$O$1)/$O$2+$P$3*(P580-$P$1)/$P$2+$Q$3*(Q580-$Q$1)/$Q$2)/SUM($O$3:$Q$3)</f>
        <v>-1.4295949476488956</v>
      </c>
      <c r="AW580" s="47">
        <f>COUNT(R580:AO580)/2</f>
        <v>4</v>
      </c>
      <c r="AX580" s="47">
        <f>IF(AND(S580&lt;&gt;"-",S580&gt;5),1,0)+IF(AND(U580&lt;&gt;"-",U580&gt;5),1,0)+IF(AND(W580&lt;&gt;"-",W580&gt;5),1,0)+IF(AND(Y580&lt;&gt;"-",Y580&gt;5),1,0)+IF(AND(AA580&lt;&gt;"-",AA580&gt;5),1,0)+IF(AND(AC580&lt;&gt;"-",AC580&gt;5),1,0)+IF(AND(AE580&lt;&gt;"-",AE580&gt;5),1,0)+IF(AND(AG580&lt;&gt;"-",AG580&gt;5),1,0)+IF(AND(AI580&lt;&gt;"-",AI580&gt;5),1,0)+IF(AND(AK580&lt;&gt;"-",AK580&gt;5),1,0)+IF(AND(AM580&lt;&gt;"-",AM580&gt;5),1,0)+IF(AND(AO580&lt;&gt;"-",AO580&gt;5),1,0)</f>
        <v>0</v>
      </c>
      <c r="AY580" s="48">
        <f>VLOOKUP(AP580,COND!$A$10:$B$32,2,FALSE)</f>
        <v>1</v>
      </c>
      <c r="AZ580" s="46">
        <f>($AU$3*AU580+$AV$3*AV580+$AW$3*AW580+$AX$3*AX580)*AY580*IF(AQ580&lt;5,0.95,IF(AQ580&lt;7,0.975,1))+$I$3*VLOOKUP(I580,COND!$A$2:$E$7,4,FALSE)+$J$3*VLOOKUP(J580,COND!$A$2:$E$7,2,FALSE)+$K$3*VLOOKUP(K580,COND!$A$2:$E$7,3,FALSE)+IF(BB580="SP",$BB$3,0)+IF($AW580&lt;3,-5,0)+IF(AND($B$2&gt;0,$E580&lt;20),$B$2*25,0)</f>
        <v>19.906742464330399</v>
      </c>
      <c r="BA580" s="49">
        <f>STANDARDIZE(AZ580,AVERAGE($AZ$5:$AZ$570),STDEVP($AZ$5:$AZ$570))</f>
        <v>-1.1752368939723841</v>
      </c>
      <c r="BB580" s="47" t="str">
        <f>IF(OR(AND(AQ580&gt;7,AX580&gt;1),AND(AQ580&gt;4,AW580&gt;2)),"SP","RP")</f>
        <v>SP</v>
      </c>
      <c r="BC580" s="47"/>
      <c r="BD580" s="47"/>
      <c r="BE580" s="47"/>
      <c r="BF580" s="47" t="str">
        <f>IF(AVERAGE($O580:$Q580)&gt;=6,"Likely",IF(AVERAGE($O580:$Q580)&gt;=4,"Possible","Unlikely"))</f>
        <v>Unlikely</v>
      </c>
      <c r="BG580" s="47"/>
      <c r="BH580" s="47" t="str">
        <f>INDEX(Table5[[#All],[Ovr]],MATCH(Table3[[#This Row],[PID]],Table5[[#All],[PID]],0))</f>
        <v/>
      </c>
      <c r="BI580" s="47" t="str">
        <f>INDEX(Table5[[#All],[Rnd]],MATCH(Table3[[#This Row],[PID]],Table5[[#All],[PID]],0))</f>
        <v/>
      </c>
      <c r="BJ580" s="47" t="str">
        <f>INDEX(Table5[[#All],[Pick]],MATCH(Table3[[#This Row],[PID]],Table5[[#All],[PID]],0))</f>
        <v/>
      </c>
      <c r="BK580" s="47" t="str">
        <f>INDEX(Table5[[#All],[Team]],MATCH(Table3[[#This Row],[PID]],Table5[[#All],[PID]],0))</f>
        <v/>
      </c>
      <c r="BL5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1" spans="1:64" ht="15" customHeight="1" x14ac:dyDescent="0.25">
      <c r="A581" s="42">
        <v>4469</v>
      </c>
      <c r="B581" s="42" t="s">
        <v>430</v>
      </c>
      <c r="C581" s="42" t="s">
        <v>639</v>
      </c>
      <c r="D581" s="42" t="s">
        <v>1645</v>
      </c>
      <c r="E581" s="42">
        <v>20</v>
      </c>
      <c r="F581" s="42" t="s">
        <v>42</v>
      </c>
      <c r="G581" s="42" t="s">
        <v>42</v>
      </c>
      <c r="H581" s="43" t="s">
        <v>721</v>
      </c>
      <c r="I581" s="44" t="s">
        <v>43</v>
      </c>
      <c r="J581" s="42" t="s">
        <v>47</v>
      </c>
      <c r="K581" s="43" t="s">
        <v>44</v>
      </c>
      <c r="L581" s="42">
        <v>2</v>
      </c>
      <c r="M581" s="42">
        <v>1</v>
      </c>
      <c r="N581" s="43">
        <v>1</v>
      </c>
      <c r="O581" s="42">
        <v>4</v>
      </c>
      <c r="P581" s="42">
        <v>1</v>
      </c>
      <c r="Q581" s="43">
        <v>2</v>
      </c>
      <c r="R581" s="42">
        <v>3</v>
      </c>
      <c r="S581" s="42">
        <v>4</v>
      </c>
      <c r="T581" s="42">
        <v>1</v>
      </c>
      <c r="U581" s="42">
        <v>1</v>
      </c>
      <c r="V581" s="42">
        <v>2</v>
      </c>
      <c r="W581" s="42">
        <v>5</v>
      </c>
      <c r="X581" s="42">
        <v>3</v>
      </c>
      <c r="Y581" s="42">
        <v>5</v>
      </c>
      <c r="Z581" s="42" t="s">
        <v>45</v>
      </c>
      <c r="AA581" s="42" t="s">
        <v>45</v>
      </c>
      <c r="AB581" s="42" t="s">
        <v>45</v>
      </c>
      <c r="AC581" s="42" t="s">
        <v>45</v>
      </c>
      <c r="AD581" s="42" t="s">
        <v>45</v>
      </c>
      <c r="AE581" s="42" t="s">
        <v>45</v>
      </c>
      <c r="AF581" s="42" t="s">
        <v>45</v>
      </c>
      <c r="AG581" s="42" t="s">
        <v>45</v>
      </c>
      <c r="AH581" s="42" t="s">
        <v>45</v>
      </c>
      <c r="AI581" s="42" t="s">
        <v>45</v>
      </c>
      <c r="AJ581" s="42" t="s">
        <v>45</v>
      </c>
      <c r="AK581" s="42" t="s">
        <v>45</v>
      </c>
      <c r="AL581" s="42" t="s">
        <v>45</v>
      </c>
      <c r="AM581" s="42" t="s">
        <v>45</v>
      </c>
      <c r="AN581" s="42" t="s">
        <v>45</v>
      </c>
      <c r="AO581" s="43" t="s">
        <v>45</v>
      </c>
      <c r="AP581" s="42" t="s">
        <v>64</v>
      </c>
      <c r="AQ581" s="42">
        <v>7</v>
      </c>
      <c r="AR581" s="50" t="s">
        <v>357</v>
      </c>
      <c r="AS581" s="45" t="s">
        <v>45</v>
      </c>
      <c r="AT581" s="45" t="s">
        <v>47</v>
      </c>
      <c r="AU581" s="46">
        <f>($O$3*(L581-$O$1)/$O$2+$P$3*(M581-$P$1)/$P$2+$Q$3*(N581-$P$1)/$Q$2)/SUM($O$3:$Q$3)</f>
        <v>-2.5067929134584248</v>
      </c>
      <c r="AV581" s="46">
        <f>($O$3*(O581-$O$1)/$O$2+$P$3*(P581-$P$1)/$P$2+$Q$3*(Q581-$Q$1)/$Q$2)/SUM($O$3:$Q$3)</f>
        <v>-1.4295949476488956</v>
      </c>
      <c r="AW581" s="47">
        <f>COUNT(R581:AO581)/2</f>
        <v>4</v>
      </c>
      <c r="AX581" s="47">
        <f>IF(AND(S581&lt;&gt;"-",S581&gt;5),1,0)+IF(AND(U581&lt;&gt;"-",U581&gt;5),1,0)+IF(AND(W581&lt;&gt;"-",W581&gt;5),1,0)+IF(AND(Y581&lt;&gt;"-",Y581&gt;5),1,0)+IF(AND(AA581&lt;&gt;"-",AA581&gt;5),1,0)+IF(AND(AC581&lt;&gt;"-",AC581&gt;5),1,0)+IF(AND(AE581&lt;&gt;"-",AE581&gt;5),1,0)+IF(AND(AG581&lt;&gt;"-",AG581&gt;5),1,0)+IF(AND(AI581&lt;&gt;"-",AI581&gt;5),1,0)+IF(AND(AK581&lt;&gt;"-",AK581&gt;5),1,0)+IF(AND(AM581&lt;&gt;"-",AM581&gt;5),1,0)+IF(AND(AO581&lt;&gt;"-",AO581&gt;5),1,0)</f>
        <v>0</v>
      </c>
      <c r="AY581" s="48">
        <f>VLOOKUP(AP581,COND!$A$10:$B$32,2,FALSE)</f>
        <v>1</v>
      </c>
      <c r="AZ581" s="46">
        <f>($AU$3*AU581+$AV$3*AV581+$AW$3*AW581+$AX$3*AX581)*AY581*IF(AQ581&lt;5,0.95,IF(AQ581&lt;7,0.975,1))+$I$3*VLOOKUP(I581,COND!$A$2:$E$7,4,FALSE)+$J$3*VLOOKUP(J581,COND!$A$2:$E$7,2,FALSE)+$K$3*VLOOKUP(K581,COND!$A$2:$E$7,3,FALSE)+IF(BB581="SP",$BB$3,0)+IF($AW581&lt;3,-5,0)+IF(AND($B$2&gt;0,$E581&lt;20),$B$2*25,0)</f>
        <v>19.906742464330399</v>
      </c>
      <c r="BA581" s="49">
        <f>STANDARDIZE(AZ581,AVERAGE($AZ$5:$AZ$570),STDEVP($AZ$5:$AZ$570))</f>
        <v>-1.1752368939723841</v>
      </c>
      <c r="BB581" s="47" t="str">
        <f>IF(OR(AND(AQ581&gt;7,AX581&gt;1),AND(AQ581&gt;4,AW581&gt;2)),"SP","RP")</f>
        <v>SP</v>
      </c>
      <c r="BC581" s="47"/>
      <c r="BD581" s="47"/>
      <c r="BE581" s="47"/>
      <c r="BF581" s="47" t="str">
        <f>IF(AVERAGE($O581:$Q581)&gt;=6,"Likely",IF(AVERAGE($O581:$Q581)&gt;=4,"Possible","Unlikely"))</f>
        <v>Unlikely</v>
      </c>
      <c r="BG581" s="47"/>
      <c r="BH581" s="47" t="str">
        <f>INDEX(Table5[[#All],[Ovr]],MATCH(Table3[[#This Row],[PID]],Table5[[#All],[PID]],0))</f>
        <v/>
      </c>
      <c r="BI581" s="47" t="str">
        <f>INDEX(Table5[[#All],[Rnd]],MATCH(Table3[[#This Row],[PID]],Table5[[#All],[PID]],0))</f>
        <v/>
      </c>
      <c r="BJ581" s="47" t="str">
        <f>INDEX(Table5[[#All],[Pick]],MATCH(Table3[[#This Row],[PID]],Table5[[#All],[PID]],0))</f>
        <v/>
      </c>
      <c r="BK581" s="47" t="str">
        <f>INDEX(Table5[[#All],[Team]],MATCH(Table3[[#This Row],[PID]],Table5[[#All],[PID]],0))</f>
        <v/>
      </c>
      <c r="BL5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2" spans="1:64" ht="15" customHeight="1" x14ac:dyDescent="0.25">
      <c r="A582" s="42">
        <v>9088</v>
      </c>
      <c r="B582" s="42" t="s">
        <v>430</v>
      </c>
      <c r="C582" s="42" t="s">
        <v>342</v>
      </c>
      <c r="D582" s="42" t="s">
        <v>415</v>
      </c>
      <c r="E582" s="42">
        <v>21</v>
      </c>
      <c r="F582" s="42" t="s">
        <v>53</v>
      </c>
      <c r="G582" s="42" t="s">
        <v>53</v>
      </c>
      <c r="H582" s="43" t="s">
        <v>721</v>
      </c>
      <c r="I582" s="44" t="s">
        <v>43</v>
      </c>
      <c r="J582" s="42" t="s">
        <v>47</v>
      </c>
      <c r="K582" s="43" t="s">
        <v>44</v>
      </c>
      <c r="L582" s="42">
        <v>2</v>
      </c>
      <c r="M582" s="42">
        <v>1</v>
      </c>
      <c r="N582" s="43">
        <v>1</v>
      </c>
      <c r="O582" s="42">
        <v>4</v>
      </c>
      <c r="P582" s="42">
        <v>1</v>
      </c>
      <c r="Q582" s="43">
        <v>2</v>
      </c>
      <c r="R582" s="42">
        <v>3</v>
      </c>
      <c r="S582" s="42">
        <v>4</v>
      </c>
      <c r="T582" s="42">
        <v>2</v>
      </c>
      <c r="U582" s="42">
        <v>4</v>
      </c>
      <c r="V582" s="42" t="s">
        <v>45</v>
      </c>
      <c r="W582" s="42" t="s">
        <v>45</v>
      </c>
      <c r="X582" s="42" t="s">
        <v>45</v>
      </c>
      <c r="Y582" s="42" t="s">
        <v>45</v>
      </c>
      <c r="Z582" s="42" t="s">
        <v>45</v>
      </c>
      <c r="AA582" s="42" t="s">
        <v>45</v>
      </c>
      <c r="AB582" s="42" t="s">
        <v>45</v>
      </c>
      <c r="AC582" s="42" t="s">
        <v>45</v>
      </c>
      <c r="AD582" s="42">
        <v>3</v>
      </c>
      <c r="AE582" s="42">
        <v>4</v>
      </c>
      <c r="AF582" s="42">
        <v>3</v>
      </c>
      <c r="AG582" s="42">
        <v>4</v>
      </c>
      <c r="AH582" s="42" t="s">
        <v>45</v>
      </c>
      <c r="AI582" s="42" t="s">
        <v>45</v>
      </c>
      <c r="AJ582" s="42" t="s">
        <v>45</v>
      </c>
      <c r="AK582" s="42" t="s">
        <v>45</v>
      </c>
      <c r="AL582" s="42" t="s">
        <v>45</v>
      </c>
      <c r="AM582" s="42" t="s">
        <v>45</v>
      </c>
      <c r="AN582" s="42" t="s">
        <v>45</v>
      </c>
      <c r="AO582" s="43" t="s">
        <v>45</v>
      </c>
      <c r="AP582" s="42" t="s">
        <v>64</v>
      </c>
      <c r="AQ582" s="42">
        <v>9</v>
      </c>
      <c r="AR582" s="50" t="s">
        <v>357</v>
      </c>
      <c r="AS582" s="45" t="s">
        <v>45</v>
      </c>
      <c r="AT582" s="45" t="s">
        <v>47</v>
      </c>
      <c r="AU582" s="46">
        <f>($O$3*(L582-$O$1)/$O$2+$P$3*(M582-$P$1)/$P$2+$Q$3*(N582-$P$1)/$Q$2)/SUM($O$3:$Q$3)</f>
        <v>-2.5067929134584248</v>
      </c>
      <c r="AV582" s="46">
        <f>($O$3*(O582-$O$1)/$O$2+$P$3*(P582-$P$1)/$P$2+$Q$3*(Q582-$Q$1)/$Q$2)/SUM($O$3:$Q$3)</f>
        <v>-1.4295949476488956</v>
      </c>
      <c r="AW582" s="47">
        <f>COUNT(R582:AO582)/2</f>
        <v>4</v>
      </c>
      <c r="AX582" s="47">
        <f>IF(AND(S582&lt;&gt;"-",S582&gt;5),1,0)+IF(AND(U582&lt;&gt;"-",U582&gt;5),1,0)+IF(AND(W582&lt;&gt;"-",W582&gt;5),1,0)+IF(AND(Y582&lt;&gt;"-",Y582&gt;5),1,0)+IF(AND(AA582&lt;&gt;"-",AA582&gt;5),1,0)+IF(AND(AC582&lt;&gt;"-",AC582&gt;5),1,0)+IF(AND(AE582&lt;&gt;"-",AE582&gt;5),1,0)+IF(AND(AG582&lt;&gt;"-",AG582&gt;5),1,0)+IF(AND(AI582&lt;&gt;"-",AI582&gt;5),1,0)+IF(AND(AK582&lt;&gt;"-",AK582&gt;5),1,0)+IF(AND(AM582&lt;&gt;"-",AM582&gt;5),1,0)+IF(AND(AO582&lt;&gt;"-",AO582&gt;5),1,0)</f>
        <v>0</v>
      </c>
      <c r="AY582" s="48">
        <f>VLOOKUP(AP582,COND!$A$10:$B$32,2,FALSE)</f>
        <v>1</v>
      </c>
      <c r="AZ582" s="46">
        <f>($AU$3*AU582+$AV$3*AV582+$AW$3*AW582+$AX$3*AX582)*AY582*IF(AQ582&lt;5,0.95,IF(AQ582&lt;7,0.975,1))+$I$3*VLOOKUP(I582,COND!$A$2:$E$7,4,FALSE)+$J$3*VLOOKUP(J582,COND!$A$2:$E$7,2,FALSE)+$K$3*VLOOKUP(K582,COND!$A$2:$E$7,3,FALSE)+IF(BB582="SP",$BB$3,0)+IF($AW582&lt;3,-5,0)+IF(AND($B$2&gt;0,$E582&lt;20),$B$2*25,0)</f>
        <v>19.906742464330399</v>
      </c>
      <c r="BA582" s="49">
        <f>STANDARDIZE(AZ582,AVERAGE($AZ$5:$AZ$570),STDEVP($AZ$5:$AZ$570))</f>
        <v>-1.1752368939723841</v>
      </c>
      <c r="BB582" s="47" t="str">
        <f>IF(OR(AND(AQ582&gt;7,AX582&gt;1),AND(AQ582&gt;4,AW582&gt;2)),"SP","RP")</f>
        <v>SP</v>
      </c>
      <c r="BC582" s="47"/>
      <c r="BD582" s="47"/>
      <c r="BE582" s="47"/>
      <c r="BF582" s="47" t="str">
        <f>IF(AVERAGE($O582:$Q582)&gt;=6,"Likely",IF(AVERAGE($O582:$Q582)&gt;=4,"Possible","Unlikely"))</f>
        <v>Unlikely</v>
      </c>
      <c r="BG582" s="47"/>
      <c r="BH582" s="47" t="str">
        <f>INDEX(Table5[[#All],[Ovr]],MATCH(Table3[[#This Row],[PID]],Table5[[#All],[PID]],0))</f>
        <v/>
      </c>
      <c r="BI582" s="47" t="str">
        <f>INDEX(Table5[[#All],[Rnd]],MATCH(Table3[[#This Row],[PID]],Table5[[#All],[PID]],0))</f>
        <v/>
      </c>
      <c r="BJ582" s="47" t="str">
        <f>INDEX(Table5[[#All],[Pick]],MATCH(Table3[[#This Row],[PID]],Table5[[#All],[PID]],0))</f>
        <v/>
      </c>
      <c r="BK582" s="47" t="str">
        <f>INDEX(Table5[[#All],[Team]],MATCH(Table3[[#This Row],[PID]],Table5[[#All],[PID]],0))</f>
        <v/>
      </c>
      <c r="BL5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3" spans="1:64" ht="15" customHeight="1" x14ac:dyDescent="0.25">
      <c r="A583" s="42">
        <v>8565</v>
      </c>
      <c r="B583" s="42" t="s">
        <v>430</v>
      </c>
      <c r="C583" s="42" t="s">
        <v>145</v>
      </c>
      <c r="D583" s="42" t="s">
        <v>209</v>
      </c>
      <c r="E583" s="42">
        <v>22</v>
      </c>
      <c r="F583" s="42" t="s">
        <v>42</v>
      </c>
      <c r="G583" s="42" t="s">
        <v>42</v>
      </c>
      <c r="H583" s="43" t="s">
        <v>721</v>
      </c>
      <c r="I583" s="44" t="s">
        <v>44</v>
      </c>
      <c r="J583" s="42" t="s">
        <v>43</v>
      </c>
      <c r="K583" s="43" t="s">
        <v>43</v>
      </c>
      <c r="L583" s="42">
        <v>2</v>
      </c>
      <c r="M583" s="42">
        <v>1</v>
      </c>
      <c r="N583" s="43">
        <v>2</v>
      </c>
      <c r="O583" s="42">
        <v>4</v>
      </c>
      <c r="P583" s="42">
        <v>1</v>
      </c>
      <c r="Q583" s="43">
        <v>2</v>
      </c>
      <c r="R583" s="42">
        <v>3</v>
      </c>
      <c r="S583" s="42">
        <v>3</v>
      </c>
      <c r="T583" s="42">
        <v>1</v>
      </c>
      <c r="U583" s="42">
        <v>2</v>
      </c>
      <c r="V583" s="42" t="s">
        <v>45</v>
      </c>
      <c r="W583" s="42" t="s">
        <v>45</v>
      </c>
      <c r="X583" s="42">
        <v>3</v>
      </c>
      <c r="Y583" s="42">
        <v>7</v>
      </c>
      <c r="Z583" s="42" t="s">
        <v>45</v>
      </c>
      <c r="AA583" s="42" t="s">
        <v>45</v>
      </c>
      <c r="AB583" s="42" t="s">
        <v>45</v>
      </c>
      <c r="AC583" s="42" t="s">
        <v>45</v>
      </c>
      <c r="AD583" s="42" t="s">
        <v>45</v>
      </c>
      <c r="AE583" s="42" t="s">
        <v>45</v>
      </c>
      <c r="AF583" s="42" t="s">
        <v>45</v>
      </c>
      <c r="AG583" s="42" t="s">
        <v>45</v>
      </c>
      <c r="AH583" s="42" t="s">
        <v>45</v>
      </c>
      <c r="AI583" s="42" t="s">
        <v>45</v>
      </c>
      <c r="AJ583" s="42" t="s">
        <v>45</v>
      </c>
      <c r="AK583" s="42" t="s">
        <v>45</v>
      </c>
      <c r="AL583" s="42" t="s">
        <v>45</v>
      </c>
      <c r="AM583" s="42" t="s">
        <v>45</v>
      </c>
      <c r="AN583" s="42" t="s">
        <v>45</v>
      </c>
      <c r="AO583" s="43" t="s">
        <v>45</v>
      </c>
      <c r="AP583" s="42" t="s">
        <v>64</v>
      </c>
      <c r="AQ583" s="42">
        <v>2</v>
      </c>
      <c r="AR583" s="50" t="s">
        <v>14</v>
      </c>
      <c r="AS583" s="45" t="s">
        <v>45</v>
      </c>
      <c r="AT583" s="45" t="s">
        <v>47</v>
      </c>
      <c r="AU583" s="46">
        <f>($O$3*(L583-$O$1)/$O$2+$P$3*(M583-$P$1)/$P$2+$Q$3*(N583-$P$1)/$Q$2)/SUM($O$3:$Q$3)</f>
        <v>-2.2644723474043147</v>
      </c>
      <c r="AV583" s="46">
        <f>($O$3*(O583-$O$1)/$O$2+$P$3*(P583-$P$1)/$P$2+$Q$3*(Q583-$Q$1)/$Q$2)/SUM($O$3:$Q$3)</f>
        <v>-1.4295949476488956</v>
      </c>
      <c r="AW583" s="47">
        <f>COUNT(R583:AO583)/2</f>
        <v>3</v>
      </c>
      <c r="AX583" s="47">
        <f>IF(AND(S583&lt;&gt;"-",S583&gt;5),1,0)+IF(AND(U583&lt;&gt;"-",U583&gt;5),1,0)+IF(AND(W583&lt;&gt;"-",W583&gt;5),1,0)+IF(AND(Y583&lt;&gt;"-",Y583&gt;5),1,0)+IF(AND(AA583&lt;&gt;"-",AA583&gt;5),1,0)+IF(AND(AC583&lt;&gt;"-",AC583&gt;5),1,0)+IF(AND(AE583&lt;&gt;"-",AE583&gt;5),1,0)+IF(AND(AG583&lt;&gt;"-",AG583&gt;5),1,0)+IF(AND(AI583&lt;&gt;"-",AI583&gt;5),1,0)+IF(AND(AK583&lt;&gt;"-",AK583&gt;5),1,0)+IF(AND(AM583&lt;&gt;"-",AM583&gt;5),1,0)+IF(AND(AO583&lt;&gt;"-",AO583&gt;5),1,0)</f>
        <v>1</v>
      </c>
      <c r="AY583" s="48">
        <f>VLOOKUP(AP583,COND!$A$10:$B$32,2,FALSE)</f>
        <v>1</v>
      </c>
      <c r="AZ583" s="46">
        <f>($AU$3*AU583+$AV$3*AV583+$AW$3*AW583+$AX$3*AX583)*AY583*IF(AQ583&lt;5,0.95,IF(AQ583&lt;7,0.975,1))+$I$3*VLOOKUP(I583,COND!$A$2:$E$7,4,FALSE)+$J$3*VLOOKUP(J583,COND!$A$2:$E$7,2,FALSE)+$K$3*VLOOKUP(K583,COND!$A$2:$E$7,3,FALSE)+IF(BB583="SP",$BB$3,0)+IF($AW583&lt;3,-5,0)+IF(AND($B$2&gt;0,$E583&lt;20),$B$2*25,0)</f>
        <v>19.869946248664164</v>
      </c>
      <c r="BA583" s="49">
        <f>STANDARDIZE(AZ583,AVERAGE($AZ$5:$AZ$570),STDEVP($AZ$5:$AZ$570))</f>
        <v>-1.178611264219309</v>
      </c>
      <c r="BB583" s="47" t="str">
        <f>IF(OR(AND(AQ583&gt;7,AX583&gt;1),AND(AQ583&gt;4,AW583&gt;2)),"SP","RP")</f>
        <v>RP</v>
      </c>
      <c r="BC583" s="47"/>
      <c r="BD583" s="47"/>
      <c r="BE583" s="47"/>
      <c r="BF583" s="47" t="str">
        <f>IF(AVERAGE($O583:$Q583)&gt;=6,"Likely",IF(AVERAGE($O583:$Q583)&gt;=4,"Possible","Unlikely"))</f>
        <v>Unlikely</v>
      </c>
      <c r="BG583" s="47"/>
      <c r="BH583" s="47" t="str">
        <f>INDEX(Table5[[#All],[Ovr]],MATCH(Table3[[#This Row],[PID]],Table5[[#All],[PID]],0))</f>
        <v/>
      </c>
      <c r="BI583" s="47" t="str">
        <f>INDEX(Table5[[#All],[Rnd]],MATCH(Table3[[#This Row],[PID]],Table5[[#All],[PID]],0))</f>
        <v/>
      </c>
      <c r="BJ583" s="47" t="str">
        <f>INDEX(Table5[[#All],[Pick]],MATCH(Table3[[#This Row],[PID]],Table5[[#All],[PID]],0))</f>
        <v/>
      </c>
      <c r="BK583" s="47" t="str">
        <f>INDEX(Table5[[#All],[Team]],MATCH(Table3[[#This Row],[PID]],Table5[[#All],[PID]],0))</f>
        <v/>
      </c>
      <c r="BL5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4" spans="1:64" ht="15" customHeight="1" x14ac:dyDescent="0.25">
      <c r="A584" s="42">
        <v>12221</v>
      </c>
      <c r="B584" s="42" t="s">
        <v>24</v>
      </c>
      <c r="C584" s="42" t="s">
        <v>1125</v>
      </c>
      <c r="D584" s="42" t="s">
        <v>1126</v>
      </c>
      <c r="E584" s="42">
        <v>21</v>
      </c>
      <c r="F584" s="42" t="s">
        <v>53</v>
      </c>
      <c r="G584" s="42" t="s">
        <v>53</v>
      </c>
      <c r="H584" s="43" t="s">
        <v>721</v>
      </c>
      <c r="I584" s="44" t="s">
        <v>43</v>
      </c>
      <c r="J584" s="42" t="s">
        <v>43</v>
      </c>
      <c r="K584" s="43" t="s">
        <v>43</v>
      </c>
      <c r="L584" s="42">
        <v>2</v>
      </c>
      <c r="M584" s="42">
        <v>1</v>
      </c>
      <c r="N584" s="43">
        <v>2</v>
      </c>
      <c r="O584" s="42">
        <v>3</v>
      </c>
      <c r="P584" s="42">
        <v>1</v>
      </c>
      <c r="Q584" s="43">
        <v>3</v>
      </c>
      <c r="R584" s="42">
        <v>4</v>
      </c>
      <c r="S584" s="42">
        <v>5</v>
      </c>
      <c r="T584" s="42" t="s">
        <v>45</v>
      </c>
      <c r="U584" s="42" t="s">
        <v>45</v>
      </c>
      <c r="V584" s="42">
        <v>2</v>
      </c>
      <c r="W584" s="42">
        <v>5</v>
      </c>
      <c r="X584" s="42">
        <v>2</v>
      </c>
      <c r="Y584" s="42">
        <v>5</v>
      </c>
      <c r="Z584" s="42" t="s">
        <v>45</v>
      </c>
      <c r="AA584" s="42" t="s">
        <v>45</v>
      </c>
      <c r="AB584" s="42" t="s">
        <v>45</v>
      </c>
      <c r="AC584" s="42" t="s">
        <v>45</v>
      </c>
      <c r="AD584" s="42" t="s">
        <v>45</v>
      </c>
      <c r="AE584" s="42" t="s">
        <v>45</v>
      </c>
      <c r="AF584" s="42" t="s">
        <v>45</v>
      </c>
      <c r="AG584" s="42" t="s">
        <v>45</v>
      </c>
      <c r="AH584" s="42" t="s">
        <v>45</v>
      </c>
      <c r="AI584" s="42" t="s">
        <v>45</v>
      </c>
      <c r="AJ584" s="42" t="s">
        <v>45</v>
      </c>
      <c r="AK584" s="42" t="s">
        <v>45</v>
      </c>
      <c r="AL584" s="42" t="s">
        <v>45</v>
      </c>
      <c r="AM584" s="42" t="s">
        <v>45</v>
      </c>
      <c r="AN584" s="42" t="s">
        <v>45</v>
      </c>
      <c r="AO584" s="43" t="s">
        <v>45</v>
      </c>
      <c r="AP584" s="42" t="s">
        <v>356</v>
      </c>
      <c r="AQ584" s="42">
        <v>8</v>
      </c>
      <c r="AR584" s="50" t="s">
        <v>14</v>
      </c>
      <c r="AS584" s="45" t="s">
        <v>717</v>
      </c>
      <c r="AT584" s="45" t="s">
        <v>705</v>
      </c>
      <c r="AU584" s="46">
        <f>($O$3*(L584-$O$1)/$O$2+$P$3*(M584-$P$1)/$P$2+$Q$3*(N584-$P$1)/$Q$2)/SUM($O$3:$Q$3)</f>
        <v>-2.2644723474043147</v>
      </c>
      <c r="AV584" s="46">
        <f>($O$3*(O584-$O$1)/$O$2+$P$3*(P584-$P$1)/$P$2+$Q$3*(Q584-$Q$1)/$Q$2)/SUM($O$3:$Q$3)</f>
        <v>-1.3819657061039585</v>
      </c>
      <c r="AW584" s="47">
        <f>COUNT(R584:AO584)/2</f>
        <v>3</v>
      </c>
      <c r="AX584" s="47">
        <f>IF(AND(S584&lt;&gt;"-",S584&gt;5),1,0)+IF(AND(U584&lt;&gt;"-",U584&gt;5),1,0)+IF(AND(W584&lt;&gt;"-",W584&gt;5),1,0)+IF(AND(Y584&lt;&gt;"-",Y584&gt;5),1,0)+IF(AND(AA584&lt;&gt;"-",AA584&gt;5),1,0)+IF(AND(AC584&lt;&gt;"-",AC584&gt;5),1,0)+IF(AND(AE584&lt;&gt;"-",AE584&gt;5),1,0)+IF(AND(AG584&lt;&gt;"-",AG584&gt;5),1,0)+IF(AND(AI584&lt;&gt;"-",AI584&gt;5),1,0)+IF(AND(AK584&lt;&gt;"-",AK584&gt;5),1,0)+IF(AND(AM584&lt;&gt;"-",AM584&gt;5),1,0)+IF(AND(AO584&lt;&gt;"-",AO584&gt;5),1,0)</f>
        <v>0</v>
      </c>
      <c r="AY584" s="48">
        <f>VLOOKUP(AP584,COND!$A$10:$B$32,2,FALSE)</f>
        <v>1</v>
      </c>
      <c r="AZ584" s="46">
        <f>($AU$3*AU584+$AV$3*AV584+$AW$3*AW584+$AX$3*AX584)*AY584*IF(AQ584&lt;5,0.95,IF(AQ584&lt;7,0.975,1))+$I$3*VLOOKUP(I584,COND!$A$2:$E$7,4,FALSE)+$J$3*VLOOKUP(J584,COND!$A$2:$E$7,2,FALSE)+$K$3*VLOOKUP(K584,COND!$A$2:$E$7,3,FALSE)+IF(BB584="SP",$BB$3,0)+IF($AW584&lt;3,-5,0)+IF(AND($B$2&gt;0,$E584&lt;20),$B$2*25,0)</f>
        <v>20.407791408439966</v>
      </c>
      <c r="BA584" s="49">
        <f>STANDARDIZE(AZ584,AVERAGE($AZ$5:$AZ$676),STDEVP($AZ$5:$AZ$676))</f>
        <v>-0.87532639695094172</v>
      </c>
      <c r="BB584" s="47" t="str">
        <f>IF(OR(AND(AQ584&gt;7,AX584&gt;1),AND(AQ584&gt;4,AW584&gt;2)),"SP","RP")</f>
        <v>SP</v>
      </c>
      <c r="BC584" s="47"/>
      <c r="BD584" s="47"/>
      <c r="BE584" s="47"/>
      <c r="BF584" s="47" t="str">
        <f>IF(AVERAGE($O584:$Q584)&gt;=6,"Likely",IF(AVERAGE($O584:$Q584)&gt;=4,"Possible","Unlikely"))</f>
        <v>Unlikely</v>
      </c>
      <c r="BG584" s="47"/>
      <c r="BH584" s="47" t="str">
        <f>INDEX(Table5[[#All],[Ovr]],MATCH(Table3[[#This Row],[PID]],Table5[[#All],[PID]],0))</f>
        <v/>
      </c>
      <c r="BI584" s="47" t="str">
        <f>INDEX(Table5[[#All],[Rnd]],MATCH(Table3[[#This Row],[PID]],Table5[[#All],[PID]],0))</f>
        <v/>
      </c>
      <c r="BJ584" s="47" t="str">
        <f>INDEX(Table5[[#All],[Pick]],MATCH(Table3[[#This Row],[PID]],Table5[[#All],[PID]],0))</f>
        <v/>
      </c>
      <c r="BK584" s="47" t="str">
        <f>INDEX(Table5[[#All],[Team]],MATCH(Table3[[#This Row],[PID]],Table5[[#All],[PID]],0))</f>
        <v/>
      </c>
      <c r="BL5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5" spans="1:64" ht="15" customHeight="1" x14ac:dyDescent="0.25">
      <c r="A585" s="42">
        <v>16308</v>
      </c>
      <c r="B585" s="42" t="s">
        <v>430</v>
      </c>
      <c r="C585" s="42" t="s">
        <v>838</v>
      </c>
      <c r="D585" s="42" t="s">
        <v>572</v>
      </c>
      <c r="E585" s="42">
        <v>21</v>
      </c>
      <c r="F585" s="42" t="s">
        <v>53</v>
      </c>
      <c r="G585" s="42" t="s">
        <v>53</v>
      </c>
      <c r="H585" s="43" t="s">
        <v>721</v>
      </c>
      <c r="I585" s="44" t="s">
        <v>43</v>
      </c>
      <c r="J585" s="42" t="s">
        <v>43</v>
      </c>
      <c r="K585" s="43" t="s">
        <v>47</v>
      </c>
      <c r="L585" s="42">
        <v>2</v>
      </c>
      <c r="M585" s="42">
        <v>2</v>
      </c>
      <c r="N585" s="43">
        <v>1</v>
      </c>
      <c r="O585" s="42">
        <v>4</v>
      </c>
      <c r="P585" s="42">
        <v>2</v>
      </c>
      <c r="Q585" s="43">
        <v>2</v>
      </c>
      <c r="R585" s="42" t="s">
        <v>45</v>
      </c>
      <c r="S585" s="42" t="s">
        <v>45</v>
      </c>
      <c r="T585" s="42" t="s">
        <v>45</v>
      </c>
      <c r="U585" s="42" t="s">
        <v>45</v>
      </c>
      <c r="V585" s="42">
        <v>3</v>
      </c>
      <c r="W585" s="42">
        <v>6</v>
      </c>
      <c r="X585" s="42" t="s">
        <v>45</v>
      </c>
      <c r="Y585" s="42" t="s">
        <v>45</v>
      </c>
      <c r="Z585" s="42" t="s">
        <v>45</v>
      </c>
      <c r="AA585" s="42" t="s">
        <v>45</v>
      </c>
      <c r="AB585" s="42" t="s">
        <v>45</v>
      </c>
      <c r="AC585" s="42" t="s">
        <v>45</v>
      </c>
      <c r="AD585" s="42">
        <v>3</v>
      </c>
      <c r="AE585" s="42">
        <v>5</v>
      </c>
      <c r="AF585" s="42" t="s">
        <v>45</v>
      </c>
      <c r="AG585" s="42" t="s">
        <v>45</v>
      </c>
      <c r="AH585" s="42" t="s">
        <v>45</v>
      </c>
      <c r="AI585" s="42" t="s">
        <v>45</v>
      </c>
      <c r="AJ585" s="42" t="s">
        <v>45</v>
      </c>
      <c r="AK585" s="42" t="s">
        <v>45</v>
      </c>
      <c r="AL585" s="42" t="s">
        <v>45</v>
      </c>
      <c r="AM585" s="42" t="s">
        <v>45</v>
      </c>
      <c r="AN585" s="42" t="s">
        <v>45</v>
      </c>
      <c r="AO585" s="43" t="s">
        <v>45</v>
      </c>
      <c r="AP585" s="42" t="s">
        <v>68</v>
      </c>
      <c r="AQ585" s="42">
        <v>6</v>
      </c>
      <c r="AR585" s="50" t="s">
        <v>353</v>
      </c>
      <c r="AS585" s="45" t="s">
        <v>45</v>
      </c>
      <c r="AT585" s="45" t="s">
        <v>47</v>
      </c>
      <c r="AU585" s="46">
        <f>($O$3*(L585-$O$1)/$O$2+$P$3*(M585-$P$1)/$P$2+$Q$3*(N585-$P$1)/$Q$2)/SUM($O$3:$Q$3)</f>
        <v>-2.311361197028369</v>
      </c>
      <c r="AV585" s="46">
        <f>($O$3*(O585-$O$1)/$O$2+$P$3*(P585-$P$1)/$P$2+$Q$3*(Q585-$Q$1)/$Q$2)/SUM($O$3:$Q$3)</f>
        <v>-1.23416323121884</v>
      </c>
      <c r="AW585" s="47">
        <f>COUNT(R585:AO585)/2</f>
        <v>2</v>
      </c>
      <c r="AX585" s="47">
        <f>IF(AND(S585&lt;&gt;"-",S585&gt;5),1,0)+IF(AND(U585&lt;&gt;"-",U585&gt;5),1,0)+IF(AND(W585&lt;&gt;"-",W585&gt;5),1,0)+IF(AND(Y585&lt;&gt;"-",Y585&gt;5),1,0)+IF(AND(AA585&lt;&gt;"-",AA585&gt;5),1,0)+IF(AND(AC585&lt;&gt;"-",AC585&gt;5),1,0)+IF(AND(AE585&lt;&gt;"-",AE585&gt;5),1,0)+IF(AND(AG585&lt;&gt;"-",AG585&gt;5),1,0)+IF(AND(AI585&lt;&gt;"-",AI585&gt;5),1,0)+IF(AND(AK585&lt;&gt;"-",AK585&gt;5),1,0)+IF(AND(AM585&lt;&gt;"-",AM585&gt;5),1,0)+IF(AND(AO585&lt;&gt;"-",AO585&gt;5),1,0)</f>
        <v>1</v>
      </c>
      <c r="AY585" s="48">
        <f>VLOOKUP(AP585,COND!$A$10:$B$32,2,FALSE)</f>
        <v>0.95</v>
      </c>
      <c r="AZ585" s="46">
        <f>($AU$3*AU585+$AV$3*AV585+$AW$3*AW585+$AX$3*AX585)*AY585*IF(AQ585&lt;5,0.95,IF(AQ585&lt;7,0.975,1))+$I$3*VLOOKUP(I585,COND!$A$2:$E$7,4,FALSE)+$J$3*VLOOKUP(J585,COND!$A$2:$E$7,2,FALSE)+$K$3*VLOOKUP(K585,COND!$A$2:$E$7,3,FALSE)+IF(BB585="SP",$BB$3,0)+IF($AW585&lt;3,-5,0)+IF(AND($B$2&gt;0,$E585&lt;20),$B$2*25,0)</f>
        <v>19.093008979921485</v>
      </c>
      <c r="BA585" s="49">
        <f>STANDARDIZE(AZ585,AVERAGE($AZ$5:$AZ$570),STDEVP($AZ$5:$AZ$570))</f>
        <v>-1.2498597324626906</v>
      </c>
      <c r="BB585" s="47" t="str">
        <f>IF(OR(AND(AQ585&gt;7,AX585&gt;1),AND(AQ585&gt;4,AW585&gt;2)),"SP","RP")</f>
        <v>RP</v>
      </c>
      <c r="BC585" s="47"/>
      <c r="BD585" s="47"/>
      <c r="BE585" s="47"/>
      <c r="BF585" s="47" t="str">
        <f>IF(AVERAGE($O585:$Q585)&gt;=6,"Likely",IF(AVERAGE($O585:$Q585)&gt;=4,"Possible","Unlikely"))</f>
        <v>Unlikely</v>
      </c>
      <c r="BG585" s="47"/>
      <c r="BH585" s="47" t="str">
        <f>INDEX(Table5[[#All],[Ovr]],MATCH(Table3[[#This Row],[PID]],Table5[[#All],[PID]],0))</f>
        <v/>
      </c>
      <c r="BI585" s="47" t="str">
        <f>INDEX(Table5[[#All],[Rnd]],MATCH(Table3[[#This Row],[PID]],Table5[[#All],[PID]],0))</f>
        <v/>
      </c>
      <c r="BJ585" s="47" t="str">
        <f>INDEX(Table5[[#All],[Pick]],MATCH(Table3[[#This Row],[PID]],Table5[[#All],[PID]],0))</f>
        <v/>
      </c>
      <c r="BK585" s="47" t="str">
        <f>INDEX(Table5[[#All],[Team]],MATCH(Table3[[#This Row],[PID]],Table5[[#All],[PID]],0))</f>
        <v/>
      </c>
      <c r="BL5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6" spans="1:64" ht="15" customHeight="1" x14ac:dyDescent="0.25">
      <c r="A586" s="42">
        <v>7737</v>
      </c>
      <c r="B586" s="42" t="s">
        <v>430</v>
      </c>
      <c r="C586" s="42" t="s">
        <v>188</v>
      </c>
      <c r="D586" s="42" t="s">
        <v>375</v>
      </c>
      <c r="E586" s="42">
        <v>18</v>
      </c>
      <c r="F586" s="42" t="s">
        <v>42</v>
      </c>
      <c r="G586" s="42" t="s">
        <v>42</v>
      </c>
      <c r="H586" s="43" t="s">
        <v>721</v>
      </c>
      <c r="I586" s="44" t="s">
        <v>44</v>
      </c>
      <c r="J586" s="42" t="s">
        <v>44</v>
      </c>
      <c r="K586" s="43" t="s">
        <v>43</v>
      </c>
      <c r="L586" s="42">
        <v>1</v>
      </c>
      <c r="M586" s="42">
        <v>1</v>
      </c>
      <c r="N586" s="43">
        <v>1</v>
      </c>
      <c r="O586" s="42">
        <v>2</v>
      </c>
      <c r="P586" s="42">
        <v>1</v>
      </c>
      <c r="Q586" s="43">
        <v>2</v>
      </c>
      <c r="R586" s="42">
        <v>2</v>
      </c>
      <c r="S586" s="42">
        <v>3</v>
      </c>
      <c r="T586" s="42">
        <v>1</v>
      </c>
      <c r="U586" s="42">
        <v>4</v>
      </c>
      <c r="V586" s="42">
        <v>1</v>
      </c>
      <c r="W586" s="42">
        <v>2</v>
      </c>
      <c r="X586" s="42" t="s">
        <v>45</v>
      </c>
      <c r="Y586" s="42" t="s">
        <v>45</v>
      </c>
      <c r="Z586" s="42" t="s">
        <v>45</v>
      </c>
      <c r="AA586" s="42" t="s">
        <v>45</v>
      </c>
      <c r="AB586" s="42">
        <v>2</v>
      </c>
      <c r="AC586" s="42">
        <v>3</v>
      </c>
      <c r="AD586" s="42" t="s">
        <v>45</v>
      </c>
      <c r="AE586" s="42" t="s">
        <v>45</v>
      </c>
      <c r="AF586" s="42">
        <v>2</v>
      </c>
      <c r="AG586" s="42">
        <v>3</v>
      </c>
      <c r="AH586" s="42">
        <v>1</v>
      </c>
      <c r="AI586" s="42">
        <v>4</v>
      </c>
      <c r="AJ586" s="42" t="s">
        <v>45</v>
      </c>
      <c r="AK586" s="42" t="s">
        <v>45</v>
      </c>
      <c r="AL586" s="42" t="s">
        <v>45</v>
      </c>
      <c r="AM586" s="42" t="s">
        <v>45</v>
      </c>
      <c r="AN586" s="42" t="s">
        <v>45</v>
      </c>
      <c r="AO586" s="43" t="s">
        <v>45</v>
      </c>
      <c r="AP586" s="42" t="s">
        <v>67</v>
      </c>
      <c r="AQ586" s="42">
        <v>7</v>
      </c>
      <c r="AR586" s="50" t="s">
        <v>357</v>
      </c>
      <c r="AS586" s="45" t="s">
        <v>593</v>
      </c>
      <c r="AT586" s="45" t="s">
        <v>47</v>
      </c>
      <c r="AU586" s="46">
        <f>($O$3*(L586-$O$1)/$O$2+$P$3*(M586-$P$1)/$P$2+$Q$3*(N586-$P$1)/$Q$2)/SUM($O$3:$Q$3)</f>
        <v>-2.7014842379675978</v>
      </c>
      <c r="AV586" s="46">
        <f>($O$3*(O586-$O$1)/$O$2+$P$3*(P586-$P$1)/$P$2+$Q$3*(Q586-$Q$1)/$Q$2)/SUM($O$3:$Q$3)</f>
        <v>-1.8189775966672426</v>
      </c>
      <c r="AW586" s="47">
        <f>COUNT(R586:AO586)/2</f>
        <v>6</v>
      </c>
      <c r="AX586" s="47">
        <f>IF(AND(S586&lt;&gt;"-",S586&gt;5),1,0)+IF(AND(U586&lt;&gt;"-",U586&gt;5),1,0)+IF(AND(W586&lt;&gt;"-",W586&gt;5),1,0)+IF(AND(Y586&lt;&gt;"-",Y586&gt;5),1,0)+IF(AND(AA586&lt;&gt;"-",AA586&gt;5),1,0)+IF(AND(AC586&lt;&gt;"-",AC586&gt;5),1,0)+IF(AND(AE586&lt;&gt;"-",AE586&gt;5),1,0)+IF(AND(AG586&lt;&gt;"-",AG586&gt;5),1,0)+IF(AND(AI586&lt;&gt;"-",AI586&gt;5),1,0)+IF(AND(AK586&lt;&gt;"-",AK586&gt;5),1,0)+IF(AND(AM586&lt;&gt;"-",AM586&gt;5),1,0)+IF(AND(AO586&lt;&gt;"-",AO586&gt;5),1,0)</f>
        <v>0</v>
      </c>
      <c r="AY586" s="48">
        <f>VLOOKUP(AP586,COND!$A$10:$B$32,2,FALSE)</f>
        <v>0.9</v>
      </c>
      <c r="AZ586" s="46">
        <f>($AU$3*AU586+$AV$3*AV586+$AW$3*AW586+$AX$3*AX586)*AY586*IF(AQ586&lt;5,0.95,IF(AQ586&lt;7,0.975,1))+$I$3*VLOOKUP(I586,COND!$A$2:$E$7,4,FALSE)+$J$3*VLOOKUP(J586,COND!$A$2:$E$7,2,FALSE)+$K$3*VLOOKUP(K586,COND!$A$2:$E$7,3,FALSE)+IF(BB586="SP",$BB$3,0)+IF($AW586&lt;3,-5,0)+IF(AND($B$2&gt;0,$E586&lt;20),$B$2*25,0)</f>
        <v>21.022136097155467</v>
      </c>
      <c r="BA586" s="49">
        <f>STANDARDIZE(AZ586,AVERAGE($AZ$5:$AZ$676),STDEVP($AZ$5:$AZ$676))</f>
        <v>-0.82148363010543368</v>
      </c>
      <c r="BB586" s="47" t="str">
        <f>IF(OR(AND(AQ586&gt;7,AX586&gt;1),AND(AQ586&gt;4,AW586&gt;2)),"SP","RP")</f>
        <v>SP</v>
      </c>
      <c r="BC586" s="47"/>
      <c r="BD586" s="47"/>
      <c r="BE586" s="47"/>
      <c r="BF586" s="47" t="str">
        <f>IF(AVERAGE($O586:$Q586)&gt;=6,"Likely",IF(AVERAGE($O586:$Q586)&gt;=4,"Possible","Unlikely"))</f>
        <v>Unlikely</v>
      </c>
      <c r="BG586" s="47"/>
      <c r="BH586" s="47" t="str">
        <f>INDEX(Table5[[#All],[Ovr]],MATCH(Table3[[#This Row],[PID]],Table5[[#All],[PID]],0))</f>
        <v/>
      </c>
      <c r="BI586" s="47" t="str">
        <f>INDEX(Table5[[#All],[Rnd]],MATCH(Table3[[#This Row],[PID]],Table5[[#All],[PID]],0))</f>
        <v/>
      </c>
      <c r="BJ586" s="47" t="str">
        <f>INDEX(Table5[[#All],[Pick]],MATCH(Table3[[#This Row],[PID]],Table5[[#All],[PID]],0))</f>
        <v/>
      </c>
      <c r="BK586" s="47" t="str">
        <f>INDEX(Table5[[#All],[Team]],MATCH(Table3[[#This Row],[PID]],Table5[[#All],[PID]],0))</f>
        <v/>
      </c>
      <c r="BL5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7" spans="1:64" ht="15" customHeight="1" x14ac:dyDescent="0.25">
      <c r="A587" s="42">
        <v>17897</v>
      </c>
      <c r="B587" s="42" t="s">
        <v>430</v>
      </c>
      <c r="C587" s="42" t="s">
        <v>1624</v>
      </c>
      <c r="D587" s="42" t="s">
        <v>1625</v>
      </c>
      <c r="E587" s="42">
        <v>18</v>
      </c>
      <c r="F587" s="42" t="s">
        <v>42</v>
      </c>
      <c r="G587" s="42" t="s">
        <v>42</v>
      </c>
      <c r="H587" s="43" t="s">
        <v>721</v>
      </c>
      <c r="I587" s="44" t="s">
        <v>44</v>
      </c>
      <c r="J587" s="42" t="s">
        <v>44</v>
      </c>
      <c r="K587" s="43" t="s">
        <v>43</v>
      </c>
      <c r="L587" s="42">
        <v>2</v>
      </c>
      <c r="M587" s="42">
        <v>1</v>
      </c>
      <c r="N587" s="43">
        <v>1</v>
      </c>
      <c r="O587" s="42">
        <v>4</v>
      </c>
      <c r="P587" s="42">
        <v>1</v>
      </c>
      <c r="Q587" s="43">
        <v>1</v>
      </c>
      <c r="R587" s="42">
        <v>3</v>
      </c>
      <c r="S587" s="42">
        <v>5</v>
      </c>
      <c r="T587" s="42">
        <v>1</v>
      </c>
      <c r="U587" s="42">
        <v>2</v>
      </c>
      <c r="V587" s="42">
        <v>2</v>
      </c>
      <c r="W587" s="42">
        <v>4</v>
      </c>
      <c r="X587" s="42">
        <v>2</v>
      </c>
      <c r="Y587" s="42">
        <v>4</v>
      </c>
      <c r="Z587" s="42" t="s">
        <v>45</v>
      </c>
      <c r="AA587" s="42" t="s">
        <v>45</v>
      </c>
      <c r="AB587" s="42" t="s">
        <v>45</v>
      </c>
      <c r="AC587" s="42" t="s">
        <v>45</v>
      </c>
      <c r="AD587" s="42" t="s">
        <v>45</v>
      </c>
      <c r="AE587" s="42" t="s">
        <v>45</v>
      </c>
      <c r="AF587" s="42" t="s">
        <v>45</v>
      </c>
      <c r="AG587" s="42" t="s">
        <v>45</v>
      </c>
      <c r="AH587" s="42" t="s">
        <v>45</v>
      </c>
      <c r="AI587" s="42" t="s">
        <v>45</v>
      </c>
      <c r="AJ587" s="42" t="s">
        <v>45</v>
      </c>
      <c r="AK587" s="42" t="s">
        <v>45</v>
      </c>
      <c r="AL587" s="42" t="s">
        <v>45</v>
      </c>
      <c r="AM587" s="42" t="s">
        <v>45</v>
      </c>
      <c r="AN587" s="42" t="s">
        <v>45</v>
      </c>
      <c r="AO587" s="43" t="s">
        <v>45</v>
      </c>
      <c r="AP587" s="42" t="s">
        <v>356</v>
      </c>
      <c r="AQ587" s="42">
        <v>6</v>
      </c>
      <c r="AR587" s="50" t="s">
        <v>14</v>
      </c>
      <c r="AS587" s="45" t="s">
        <v>606</v>
      </c>
      <c r="AT587" s="45" t="s">
        <v>705</v>
      </c>
      <c r="AU587" s="46">
        <f>($O$3*(L587-$O$1)/$O$2+$P$3*(M587-$P$1)/$P$2+$Q$3*(N587-$P$1)/$Q$2)/SUM($O$3:$Q$3)</f>
        <v>-2.5067929134584248</v>
      </c>
      <c r="AV587" s="46">
        <f>($O$3*(O587-$O$1)/$O$2+$P$3*(P587-$P$1)/$P$2+$Q$3*(Q587-$Q$1)/$Q$2)/SUM($O$3:$Q$3)</f>
        <v>-1.671915513703006</v>
      </c>
      <c r="AW587" s="47">
        <f>COUNT(R587:AO587)/2</f>
        <v>4</v>
      </c>
      <c r="AX587" s="47">
        <f>IF(AND(S587&lt;&gt;"-",S587&gt;5),1,0)+IF(AND(U587&lt;&gt;"-",U587&gt;5),1,0)+IF(AND(W587&lt;&gt;"-",W587&gt;5),1,0)+IF(AND(Y587&lt;&gt;"-",Y587&gt;5),1,0)+IF(AND(AA587&lt;&gt;"-",AA587&gt;5),1,0)+IF(AND(AC587&lt;&gt;"-",AC587&gt;5),1,0)+IF(AND(AE587&lt;&gt;"-",AE587&gt;5),1,0)+IF(AND(AG587&lt;&gt;"-",AG587&gt;5),1,0)+IF(AND(AI587&lt;&gt;"-",AI587&gt;5),1,0)+IF(AND(AK587&lt;&gt;"-",AK587&gt;5),1,0)+IF(AND(AM587&lt;&gt;"-",AM587&gt;5),1,0)+IF(AND(AO587&lt;&gt;"-",AO587&gt;5),1,0)</f>
        <v>0</v>
      </c>
      <c r="AY587" s="48">
        <f>VLOOKUP(AP587,COND!$A$10:$B$32,2,FALSE)</f>
        <v>1</v>
      </c>
      <c r="AZ587" s="46">
        <f>($AU$3*AU587+$AV$3*AV587+$AW$3*AW587+$AX$3*AX587)*AY587*IF(AQ587&lt;5,0.95,IF(AQ587&lt;7,0.975,1))+$I$3*VLOOKUP(I587,COND!$A$2:$E$7,4,FALSE)+$J$3*VLOOKUP(J587,COND!$A$2:$E$7,2,FALSE)+$K$3*VLOOKUP(K587,COND!$A$2:$E$7,3,FALSE)+IF(BB587="SP",$BB$3,0)+IF($AW587&lt;3,-5,0)+IF(AND($B$2&gt;0,$E587&lt;20),$B$2*25,0)</f>
        <v>20.408822864666984</v>
      </c>
      <c r="BA587" s="49">
        <f>STANDARDIZE(AZ587,AVERAGE($AZ$5:$AZ$570),STDEVP($AZ$5:$AZ$570))</f>
        <v>-1.1291939753247868</v>
      </c>
      <c r="BB587" s="47" t="str">
        <f>IF(OR(AND(AQ587&gt;7,AX587&gt;1),AND(AQ587&gt;4,AW587&gt;2)),"SP","RP")</f>
        <v>SP</v>
      </c>
      <c r="BC587" s="47"/>
      <c r="BD587" s="47"/>
      <c r="BE587" s="47"/>
      <c r="BF587" s="47" t="str">
        <f>IF(AVERAGE($O587:$Q587)&gt;=6,"Likely",IF(AVERAGE($O587:$Q587)&gt;=4,"Possible","Unlikely"))</f>
        <v>Unlikely</v>
      </c>
      <c r="BG587" s="47"/>
      <c r="BH587" s="47" t="str">
        <f>INDEX(Table5[[#All],[Ovr]],MATCH(Table3[[#This Row],[PID]],Table5[[#All],[PID]],0))</f>
        <v/>
      </c>
      <c r="BI587" s="47" t="str">
        <f>INDEX(Table5[[#All],[Rnd]],MATCH(Table3[[#This Row],[PID]],Table5[[#All],[PID]],0))</f>
        <v/>
      </c>
      <c r="BJ587" s="47" t="str">
        <f>INDEX(Table5[[#All],[Pick]],MATCH(Table3[[#This Row],[PID]],Table5[[#All],[PID]],0))</f>
        <v/>
      </c>
      <c r="BK587" s="47" t="str">
        <f>INDEX(Table5[[#All],[Team]],MATCH(Table3[[#This Row],[PID]],Table5[[#All],[PID]],0))</f>
        <v/>
      </c>
      <c r="BL5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8" spans="1:64" ht="15" customHeight="1" x14ac:dyDescent="0.25">
      <c r="A588" s="42">
        <v>9256</v>
      </c>
      <c r="B588" s="42" t="s">
        <v>49</v>
      </c>
      <c r="C588" s="42" t="s">
        <v>177</v>
      </c>
      <c r="D588" s="42" t="s">
        <v>1573</v>
      </c>
      <c r="E588" s="42">
        <v>21</v>
      </c>
      <c r="F588" s="42" t="s">
        <v>42</v>
      </c>
      <c r="G588" s="42" t="s">
        <v>42</v>
      </c>
      <c r="H588" s="43" t="s">
        <v>721</v>
      </c>
      <c r="I588" s="44" t="s">
        <v>43</v>
      </c>
      <c r="J588" s="42" t="s">
        <v>44</v>
      </c>
      <c r="K588" s="43" t="s">
        <v>43</v>
      </c>
      <c r="L588" s="42">
        <v>2</v>
      </c>
      <c r="M588" s="42">
        <v>1</v>
      </c>
      <c r="N588" s="43">
        <v>1</v>
      </c>
      <c r="O588" s="42">
        <v>4</v>
      </c>
      <c r="P588" s="42">
        <v>1</v>
      </c>
      <c r="Q588" s="43">
        <v>2</v>
      </c>
      <c r="R588" s="42">
        <v>4</v>
      </c>
      <c r="S588" s="42">
        <v>5</v>
      </c>
      <c r="T588" s="42">
        <v>1</v>
      </c>
      <c r="U588" s="42">
        <v>2</v>
      </c>
      <c r="V588" s="42">
        <v>3</v>
      </c>
      <c r="W588" s="42">
        <v>6</v>
      </c>
      <c r="X588" s="42" t="s">
        <v>45</v>
      </c>
      <c r="Y588" s="42" t="s">
        <v>45</v>
      </c>
      <c r="Z588" s="42" t="s">
        <v>45</v>
      </c>
      <c r="AA588" s="42" t="s">
        <v>45</v>
      </c>
      <c r="AB588" s="42" t="s">
        <v>45</v>
      </c>
      <c r="AC588" s="42" t="s">
        <v>45</v>
      </c>
      <c r="AD588" s="42" t="s">
        <v>45</v>
      </c>
      <c r="AE588" s="42" t="s">
        <v>45</v>
      </c>
      <c r="AF588" s="42" t="s">
        <v>45</v>
      </c>
      <c r="AG588" s="42" t="s">
        <v>45</v>
      </c>
      <c r="AH588" s="42" t="s">
        <v>45</v>
      </c>
      <c r="AI588" s="42" t="s">
        <v>45</v>
      </c>
      <c r="AJ588" s="42" t="s">
        <v>45</v>
      </c>
      <c r="AK588" s="42" t="s">
        <v>45</v>
      </c>
      <c r="AL588" s="42" t="s">
        <v>45</v>
      </c>
      <c r="AM588" s="42" t="s">
        <v>45</v>
      </c>
      <c r="AN588" s="42" t="s">
        <v>45</v>
      </c>
      <c r="AO588" s="43" t="s">
        <v>45</v>
      </c>
      <c r="AP588" s="42" t="s">
        <v>57</v>
      </c>
      <c r="AQ588" s="42">
        <v>7</v>
      </c>
      <c r="AR588" s="50" t="s">
        <v>353</v>
      </c>
      <c r="AS588" s="45" t="s">
        <v>717</v>
      </c>
      <c r="AT588" s="45" t="s">
        <v>47</v>
      </c>
      <c r="AU588" s="46">
        <f>($O$3*(L588-$O$1)/$O$2+$P$3*(M588-$P$1)/$P$2+$Q$3*(N588-$P$1)/$Q$2)/SUM($O$3:$Q$3)</f>
        <v>-2.5067929134584248</v>
      </c>
      <c r="AV588" s="46">
        <f>($O$3*(O588-$O$1)/$O$2+$P$3*(P588-$P$1)/$P$2+$Q$3*(Q588-$Q$1)/$Q$2)/SUM($O$3:$Q$3)</f>
        <v>-1.4295949476488956</v>
      </c>
      <c r="AW588" s="47">
        <f>COUNT(R588:AO588)/2</f>
        <v>3</v>
      </c>
      <c r="AX588" s="47">
        <f>IF(AND(S588&lt;&gt;"-",S588&gt;5),1,0)+IF(AND(U588&lt;&gt;"-",U588&gt;5),1,0)+IF(AND(W588&lt;&gt;"-",W588&gt;5),1,0)+IF(AND(Y588&lt;&gt;"-",Y588&gt;5),1,0)+IF(AND(AA588&lt;&gt;"-",AA588&gt;5),1,0)+IF(AND(AC588&lt;&gt;"-",AC588&gt;5),1,0)+IF(AND(AE588&lt;&gt;"-",AE588&gt;5),1,0)+IF(AND(AG588&lt;&gt;"-",AG588&gt;5),1,0)+IF(AND(AI588&lt;&gt;"-",AI588&gt;5),1,0)+IF(AND(AK588&lt;&gt;"-",AK588&gt;5),1,0)+IF(AND(AM588&lt;&gt;"-",AM588&gt;5),1,0)+IF(AND(AO588&lt;&gt;"-",AO588&gt;5),1,0)</f>
        <v>1</v>
      </c>
      <c r="AY588" s="48">
        <f>VLOOKUP(AP588,COND!$A$10:$B$32,2,FALSE)</f>
        <v>1</v>
      </c>
      <c r="AZ588" s="46">
        <f>($AU$3*AU588+$AV$3*AV588+$AW$3*AW588+$AX$3*AX588)*AY588*IF(AQ588&lt;5,0.95,IF(AQ588&lt;7,0.975,1))+$I$3*VLOOKUP(I588,COND!$A$2:$E$7,4,FALSE)+$J$3*VLOOKUP(J588,COND!$A$2:$E$7,2,FALSE)+$K$3*VLOOKUP(K588,COND!$A$2:$E$7,3,FALSE)+IF(BB588="SP",$BB$3,0)+IF($AW588&lt;3,-5,0)+IF(AND($B$2&gt;0,$E588&lt;20),$B$2*25,0)</f>
        <v>20.356742464330399</v>
      </c>
      <c r="BA588" s="49">
        <f>STANDARDIZE(AZ588,AVERAGE($AZ$5:$AZ$570),STDEVP($AZ$5:$AZ$570))</f>
        <v>-1.133969970631961</v>
      </c>
      <c r="BB588" s="47" t="str">
        <f>IF(OR(AND(AQ588&gt;7,AX588&gt;1),AND(AQ588&gt;4,AW588&gt;2)),"SP","RP")</f>
        <v>SP</v>
      </c>
      <c r="BC588" s="47"/>
      <c r="BD588" s="47"/>
      <c r="BE588" s="47"/>
      <c r="BF588" s="47" t="str">
        <f>IF(AVERAGE($O588:$Q588)&gt;=6,"Likely",IF(AVERAGE($O588:$Q588)&gt;=4,"Possible","Unlikely"))</f>
        <v>Unlikely</v>
      </c>
      <c r="BG588" s="47"/>
      <c r="BH588" s="47" t="str">
        <f>INDEX(Table5[[#All],[Ovr]],MATCH(Table3[[#This Row],[PID]],Table5[[#All],[PID]],0))</f>
        <v/>
      </c>
      <c r="BI588" s="47" t="str">
        <f>INDEX(Table5[[#All],[Rnd]],MATCH(Table3[[#This Row],[PID]],Table5[[#All],[PID]],0))</f>
        <v/>
      </c>
      <c r="BJ588" s="47" t="str">
        <f>INDEX(Table5[[#All],[Pick]],MATCH(Table3[[#This Row],[PID]],Table5[[#All],[PID]],0))</f>
        <v/>
      </c>
      <c r="BK588" s="47" t="str">
        <f>INDEX(Table5[[#All],[Team]],MATCH(Table3[[#This Row],[PID]],Table5[[#All],[PID]],0))</f>
        <v/>
      </c>
      <c r="BL5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9" spans="1:64" ht="15" customHeight="1" x14ac:dyDescent="0.25">
      <c r="A589" s="42">
        <v>4681</v>
      </c>
      <c r="B589" s="42" t="s">
        <v>430</v>
      </c>
      <c r="C589" s="42" t="s">
        <v>1021</v>
      </c>
      <c r="D589" s="42" t="s">
        <v>912</v>
      </c>
      <c r="E589" s="42">
        <v>22</v>
      </c>
      <c r="F589" s="42" t="s">
        <v>53</v>
      </c>
      <c r="G589" s="42" t="s">
        <v>53</v>
      </c>
      <c r="H589" s="43" t="s">
        <v>721</v>
      </c>
      <c r="I589" s="44" t="s">
        <v>43</v>
      </c>
      <c r="J589" s="42" t="s">
        <v>44</v>
      </c>
      <c r="K589" s="43" t="s">
        <v>43</v>
      </c>
      <c r="L589" s="42">
        <v>2</v>
      </c>
      <c r="M589" s="42">
        <v>1</v>
      </c>
      <c r="N589" s="43">
        <v>2</v>
      </c>
      <c r="O589" s="42">
        <v>4</v>
      </c>
      <c r="P589" s="42">
        <v>1</v>
      </c>
      <c r="Q589" s="43">
        <v>2</v>
      </c>
      <c r="R589" s="42">
        <v>3</v>
      </c>
      <c r="S589" s="42">
        <v>5</v>
      </c>
      <c r="T589" s="42">
        <v>2</v>
      </c>
      <c r="U589" s="42">
        <v>5</v>
      </c>
      <c r="V589" s="42">
        <v>3</v>
      </c>
      <c r="W589" s="42">
        <v>5</v>
      </c>
      <c r="X589" s="42" t="s">
        <v>45</v>
      </c>
      <c r="Y589" s="42" t="s">
        <v>45</v>
      </c>
      <c r="Z589" s="42" t="s">
        <v>45</v>
      </c>
      <c r="AA589" s="42" t="s">
        <v>45</v>
      </c>
      <c r="AB589" s="42" t="s">
        <v>45</v>
      </c>
      <c r="AC589" s="42" t="s">
        <v>45</v>
      </c>
      <c r="AD589" s="42" t="s">
        <v>45</v>
      </c>
      <c r="AE589" s="42" t="s">
        <v>45</v>
      </c>
      <c r="AF589" s="42">
        <v>3</v>
      </c>
      <c r="AG589" s="42">
        <v>4</v>
      </c>
      <c r="AH589" s="42" t="s">
        <v>45</v>
      </c>
      <c r="AI589" s="42" t="s">
        <v>45</v>
      </c>
      <c r="AJ589" s="42" t="s">
        <v>45</v>
      </c>
      <c r="AK589" s="42" t="s">
        <v>45</v>
      </c>
      <c r="AL589" s="42" t="s">
        <v>45</v>
      </c>
      <c r="AM589" s="42" t="s">
        <v>45</v>
      </c>
      <c r="AN589" s="42" t="s">
        <v>45</v>
      </c>
      <c r="AO589" s="43" t="s">
        <v>45</v>
      </c>
      <c r="AP589" s="42" t="s">
        <v>355</v>
      </c>
      <c r="AQ589" s="42">
        <v>6</v>
      </c>
      <c r="AR589" s="50" t="s">
        <v>14</v>
      </c>
      <c r="AS589" s="45" t="s">
        <v>45</v>
      </c>
      <c r="AT589" s="45" t="s">
        <v>705</v>
      </c>
      <c r="AU589" s="46">
        <f>($O$3*(L589-$O$1)/$O$2+$P$3*(M589-$P$1)/$P$2+$Q$3*(N589-$P$1)/$Q$2)/SUM($O$3:$Q$3)</f>
        <v>-2.2644723474043147</v>
      </c>
      <c r="AV589" s="46">
        <f>($O$3*(O589-$O$1)/$O$2+$P$3*(P589-$P$1)/$P$2+$Q$3*(Q589-$Q$1)/$Q$2)/SUM($O$3:$Q$3)</f>
        <v>-1.4295949476488956</v>
      </c>
      <c r="AW589" s="47">
        <f>COUNT(R589:AO589)/2</f>
        <v>4</v>
      </c>
      <c r="AX589" s="47">
        <f>IF(AND(S589&lt;&gt;"-",S589&gt;5),1,0)+IF(AND(U589&lt;&gt;"-",U589&gt;5),1,0)+IF(AND(W589&lt;&gt;"-",W589&gt;5),1,0)+IF(AND(Y589&lt;&gt;"-",Y589&gt;5),1,0)+IF(AND(AA589&lt;&gt;"-",AA589&gt;5),1,0)+IF(AND(AC589&lt;&gt;"-",AC589&gt;5),1,0)+IF(AND(AE589&lt;&gt;"-",AE589&gt;5),1,0)+IF(AND(AG589&lt;&gt;"-",AG589&gt;5),1,0)+IF(AND(AI589&lt;&gt;"-",AI589&gt;5),1,0)+IF(AND(AK589&lt;&gt;"-",AK589&gt;5),1,0)+IF(AND(AM589&lt;&gt;"-",AM589&gt;5),1,0)+IF(AND(AO589&lt;&gt;"-",AO589&gt;5),1,0)</f>
        <v>0</v>
      </c>
      <c r="AY589" s="48">
        <f>VLOOKUP(AP589,COND!$A$10:$B$32,2,FALSE)</f>
        <v>1</v>
      </c>
      <c r="AZ589" s="46">
        <f>($AU$3*AU589+$AV$3*AV589+$AW$3*AW589+$AX$3*AX589)*AY589*IF(AQ589&lt;5,0.95,IF(AQ589&lt;7,0.975,1))+$I$3*VLOOKUP(I589,COND!$A$2:$E$7,4,FALSE)+$J$3*VLOOKUP(J589,COND!$A$2:$E$7,2,FALSE)+$K$3*VLOOKUP(K589,COND!$A$2:$E$7,3,FALSE)+IF(BB589="SP",$BB$3,0)+IF($AW589&lt;3,-5,0)+IF(AND($B$2&gt;0,$E589&lt;20),$B$2*25,0)</f>
        <v>20.331326413102691</v>
      </c>
      <c r="BA589" s="49">
        <f>STANDARDIZE(AZ589,AVERAGE($AZ$5:$AZ$570),STDEVP($AZ$5:$AZ$570))</f>
        <v>-1.1363007311600279</v>
      </c>
      <c r="BB589" s="47" t="str">
        <f>IF(OR(AND(AQ589&gt;7,AX589&gt;1),AND(AQ589&gt;4,AW589&gt;2)),"SP","RP")</f>
        <v>SP</v>
      </c>
      <c r="BC589" s="47"/>
      <c r="BD589" s="47"/>
      <c r="BE589" s="47"/>
      <c r="BF589" s="47" t="str">
        <f>IF(AVERAGE($O589:$Q589)&gt;=6,"Likely",IF(AVERAGE($O589:$Q589)&gt;=4,"Possible","Unlikely"))</f>
        <v>Unlikely</v>
      </c>
      <c r="BG589" s="47"/>
      <c r="BH589" s="47" t="str">
        <f>INDEX(Table5[[#All],[Ovr]],MATCH(Table3[[#This Row],[PID]],Table5[[#All],[PID]],0))</f>
        <v/>
      </c>
      <c r="BI589" s="47" t="str">
        <f>INDEX(Table5[[#All],[Rnd]],MATCH(Table3[[#This Row],[PID]],Table5[[#All],[PID]],0))</f>
        <v/>
      </c>
      <c r="BJ589" s="47" t="str">
        <f>INDEX(Table5[[#All],[Pick]],MATCH(Table3[[#This Row],[PID]],Table5[[#All],[PID]],0))</f>
        <v/>
      </c>
      <c r="BK589" s="47" t="str">
        <f>INDEX(Table5[[#All],[Team]],MATCH(Table3[[#This Row],[PID]],Table5[[#All],[PID]],0))</f>
        <v/>
      </c>
      <c r="BL5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0" spans="1:64" ht="15" customHeight="1" x14ac:dyDescent="0.25">
      <c r="A590" s="42">
        <v>11938</v>
      </c>
      <c r="B590" s="42" t="s">
        <v>430</v>
      </c>
      <c r="C590" s="42" t="s">
        <v>175</v>
      </c>
      <c r="D590" s="42" t="s">
        <v>207</v>
      </c>
      <c r="E590" s="42">
        <v>21</v>
      </c>
      <c r="F590" s="42" t="s">
        <v>42</v>
      </c>
      <c r="G590" s="42" t="s">
        <v>42</v>
      </c>
      <c r="H590" s="43" t="s">
        <v>721</v>
      </c>
      <c r="I590" s="44" t="s">
        <v>47</v>
      </c>
      <c r="J590" s="42" t="s">
        <v>43</v>
      </c>
      <c r="K590" s="43" t="s">
        <v>43</v>
      </c>
      <c r="L590" s="42">
        <v>2</v>
      </c>
      <c r="M590" s="42">
        <v>1</v>
      </c>
      <c r="N590" s="43">
        <v>1</v>
      </c>
      <c r="O590" s="42">
        <v>3</v>
      </c>
      <c r="P590" s="42">
        <v>2</v>
      </c>
      <c r="Q590" s="43">
        <v>2</v>
      </c>
      <c r="R590" s="42">
        <v>4</v>
      </c>
      <c r="S590" s="42">
        <v>5</v>
      </c>
      <c r="T590" s="42">
        <v>1</v>
      </c>
      <c r="U590" s="42">
        <v>1</v>
      </c>
      <c r="V590" s="42">
        <v>2</v>
      </c>
      <c r="W590" s="42">
        <v>4</v>
      </c>
      <c r="X590" s="42" t="s">
        <v>45</v>
      </c>
      <c r="Y590" s="42" t="s">
        <v>45</v>
      </c>
      <c r="Z590" s="42" t="s">
        <v>45</v>
      </c>
      <c r="AA590" s="42" t="s">
        <v>45</v>
      </c>
      <c r="AB590" s="42" t="s">
        <v>45</v>
      </c>
      <c r="AC590" s="42" t="s">
        <v>45</v>
      </c>
      <c r="AD590" s="42" t="s">
        <v>45</v>
      </c>
      <c r="AE590" s="42" t="s">
        <v>45</v>
      </c>
      <c r="AF590" s="42" t="s">
        <v>45</v>
      </c>
      <c r="AG590" s="42" t="s">
        <v>45</v>
      </c>
      <c r="AH590" s="42">
        <v>1</v>
      </c>
      <c r="AI590" s="42">
        <v>3</v>
      </c>
      <c r="AJ590" s="42" t="s">
        <v>45</v>
      </c>
      <c r="AK590" s="42" t="s">
        <v>45</v>
      </c>
      <c r="AL590" s="42" t="s">
        <v>45</v>
      </c>
      <c r="AM590" s="42" t="s">
        <v>45</v>
      </c>
      <c r="AN590" s="42" t="s">
        <v>45</v>
      </c>
      <c r="AO590" s="43" t="s">
        <v>45</v>
      </c>
      <c r="AP590" s="42" t="s">
        <v>356</v>
      </c>
      <c r="AQ590" s="42">
        <v>7</v>
      </c>
      <c r="AR590" s="50" t="s">
        <v>357</v>
      </c>
      <c r="AS590" s="45" t="s">
        <v>45</v>
      </c>
      <c r="AT590" s="45" t="s">
        <v>705</v>
      </c>
      <c r="AU590" s="46">
        <f>($O$3*(L590-$O$1)/$O$2+$P$3*(M590-$P$1)/$P$2+$Q$3*(N590-$P$1)/$Q$2)/SUM($O$3:$Q$3)</f>
        <v>-2.5067929134584248</v>
      </c>
      <c r="AV590" s="46">
        <f>($O$3*(O590-$O$1)/$O$2+$P$3*(P590-$P$1)/$P$2+$Q$3*(Q590-$Q$1)/$Q$2)/SUM($O$3:$Q$3)</f>
        <v>-1.4288545557280135</v>
      </c>
      <c r="AW590" s="47">
        <f>COUNT(R590:AO590)/2</f>
        <v>4</v>
      </c>
      <c r="AX590" s="47">
        <f>IF(AND(S590&lt;&gt;"-",S590&gt;5),1,0)+IF(AND(U590&lt;&gt;"-",U590&gt;5),1,0)+IF(AND(W590&lt;&gt;"-",W590&gt;5),1,0)+IF(AND(Y590&lt;&gt;"-",Y590&gt;5),1,0)+IF(AND(AA590&lt;&gt;"-",AA590&gt;5),1,0)+IF(AND(AC590&lt;&gt;"-",AC590&gt;5),1,0)+IF(AND(AE590&lt;&gt;"-",AE590&gt;5),1,0)+IF(AND(AG590&lt;&gt;"-",AG590&gt;5),1,0)+IF(AND(AI590&lt;&gt;"-",AI590&gt;5),1,0)+IF(AND(AK590&lt;&gt;"-",AK590&gt;5),1,0)+IF(AND(AM590&lt;&gt;"-",AM590&gt;5),1,0)+IF(AND(AO590&lt;&gt;"-",AO590&gt;5),1,0)</f>
        <v>0</v>
      </c>
      <c r="AY590" s="48">
        <f>VLOOKUP(AP590,COND!$A$10:$B$32,2,FALSE)</f>
        <v>1</v>
      </c>
      <c r="AZ590" s="46">
        <f>($AU$3*AU590+$AV$3*AV590+$AW$3*AW590+$AX$3*AX590)*AY590*IF(AQ590&lt;5,0.95,IF(AQ590&lt;7,0.975,1))+$I$3*VLOOKUP(I590,COND!$A$2:$E$7,4,FALSE)+$J$3*VLOOKUP(J590,COND!$A$2:$E$7,2,FALSE)+$K$3*VLOOKUP(K590,COND!$A$2:$E$7,3,FALSE)+IF(BB590="SP",$BB$3,0)+IF($AW590&lt;3,-5,0)+IF(AND($B$2&gt;0,$E590&lt;20),$B$2*25,0)</f>
        <v>20.146550302748043</v>
      </c>
      <c r="BA590" s="49">
        <f>STANDARDIZE(AZ590,AVERAGE($AZ$5:$AZ$676),STDEVP($AZ$5:$AZ$676))</f>
        <v>-0.89822224711877285</v>
      </c>
      <c r="BB590" s="47" t="str">
        <f>IF(OR(AND(AQ590&gt;7,AX590&gt;1),AND(AQ590&gt;4,AW590&gt;2)),"SP","RP")</f>
        <v>SP</v>
      </c>
      <c r="BC590" s="47"/>
      <c r="BD590" s="47"/>
      <c r="BE590" s="47"/>
      <c r="BF590" s="47" t="str">
        <f>IF(AVERAGE($O590:$Q590)&gt;=6,"Likely",IF(AVERAGE($O590:$Q590)&gt;=4,"Possible","Unlikely"))</f>
        <v>Unlikely</v>
      </c>
      <c r="BG590" s="47"/>
      <c r="BH590" s="47" t="str">
        <f>INDEX(Table5[[#All],[Ovr]],MATCH(Table3[[#This Row],[PID]],Table5[[#All],[PID]],0))</f>
        <v/>
      </c>
      <c r="BI590" s="47" t="str">
        <f>INDEX(Table5[[#All],[Rnd]],MATCH(Table3[[#This Row],[PID]],Table5[[#All],[PID]],0))</f>
        <v/>
      </c>
      <c r="BJ590" s="47" t="str">
        <f>INDEX(Table5[[#All],[Pick]],MATCH(Table3[[#This Row],[PID]],Table5[[#All],[PID]],0))</f>
        <v/>
      </c>
      <c r="BK590" s="47" t="str">
        <f>INDEX(Table5[[#All],[Team]],MATCH(Table3[[#This Row],[PID]],Table5[[#All],[PID]],0))</f>
        <v/>
      </c>
      <c r="BL5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1" spans="1:64" ht="15" customHeight="1" x14ac:dyDescent="0.25">
      <c r="A591" s="42">
        <v>8915</v>
      </c>
      <c r="B591" s="42" t="s">
        <v>24</v>
      </c>
      <c r="C591" s="42" t="s">
        <v>126</v>
      </c>
      <c r="D591" s="42" t="s">
        <v>392</v>
      </c>
      <c r="E591" s="42">
        <v>22</v>
      </c>
      <c r="F591" s="42" t="s">
        <v>42</v>
      </c>
      <c r="G591" s="42" t="s">
        <v>42</v>
      </c>
      <c r="H591" s="43" t="s">
        <v>721</v>
      </c>
      <c r="I591" s="44" t="s">
        <v>43</v>
      </c>
      <c r="J591" s="42" t="s">
        <v>43</v>
      </c>
      <c r="K591" s="43" t="s">
        <v>44</v>
      </c>
      <c r="L591" s="42">
        <v>3</v>
      </c>
      <c r="M591" s="42">
        <v>1</v>
      </c>
      <c r="N591" s="43">
        <v>2</v>
      </c>
      <c r="O591" s="42">
        <v>4</v>
      </c>
      <c r="P591" s="42">
        <v>1</v>
      </c>
      <c r="Q591" s="43">
        <v>2</v>
      </c>
      <c r="R591" s="42" t="s">
        <v>45</v>
      </c>
      <c r="S591" s="42" t="s">
        <v>45</v>
      </c>
      <c r="T591" s="42">
        <v>2</v>
      </c>
      <c r="U591" s="42">
        <v>4</v>
      </c>
      <c r="V591" s="42" t="s">
        <v>45</v>
      </c>
      <c r="W591" s="42" t="s">
        <v>45</v>
      </c>
      <c r="X591" s="42">
        <v>3</v>
      </c>
      <c r="Y591" s="42">
        <v>3</v>
      </c>
      <c r="Z591" s="42" t="s">
        <v>45</v>
      </c>
      <c r="AA591" s="42" t="s">
        <v>45</v>
      </c>
      <c r="AB591" s="42">
        <v>4</v>
      </c>
      <c r="AC591" s="42">
        <v>5</v>
      </c>
      <c r="AD591" s="42">
        <v>4</v>
      </c>
      <c r="AE591" s="42">
        <v>5</v>
      </c>
      <c r="AF591" s="42">
        <v>4</v>
      </c>
      <c r="AG591" s="42">
        <v>5</v>
      </c>
      <c r="AH591" s="42" t="s">
        <v>45</v>
      </c>
      <c r="AI591" s="42" t="s">
        <v>45</v>
      </c>
      <c r="AJ591" s="42" t="s">
        <v>45</v>
      </c>
      <c r="AK591" s="42" t="s">
        <v>45</v>
      </c>
      <c r="AL591" s="42" t="s">
        <v>45</v>
      </c>
      <c r="AM591" s="42" t="s">
        <v>45</v>
      </c>
      <c r="AN591" s="42" t="s">
        <v>45</v>
      </c>
      <c r="AO591" s="43" t="s">
        <v>45</v>
      </c>
      <c r="AP591" s="42" t="s">
        <v>54</v>
      </c>
      <c r="AQ591" s="42">
        <v>6</v>
      </c>
      <c r="AR591" s="50" t="s">
        <v>14</v>
      </c>
      <c r="AS591" s="45" t="s">
        <v>45</v>
      </c>
      <c r="AT591" s="45" t="s">
        <v>47</v>
      </c>
      <c r="AU591" s="46">
        <f>($O$3*(L591-$O$1)/$O$2+$P$3*(M591-$P$1)/$P$2+$Q$3*(N591-$P$1)/$Q$2)/SUM($O$3:$Q$3)</f>
        <v>-2.0697810228951408</v>
      </c>
      <c r="AV591" s="46">
        <f>($O$3*(O591-$O$1)/$O$2+$P$3*(P591-$P$1)/$P$2+$Q$3*(Q591-$Q$1)/$Q$2)/SUM($O$3:$Q$3)</f>
        <v>-1.4295949476488956</v>
      </c>
      <c r="AW591" s="47">
        <f>COUNT(R591:AO591)/2</f>
        <v>5</v>
      </c>
      <c r="AX591" s="47">
        <f>IF(AND(S591&lt;&gt;"-",S591&gt;5),1,0)+IF(AND(U591&lt;&gt;"-",U591&gt;5),1,0)+IF(AND(W591&lt;&gt;"-",W591&gt;5),1,0)+IF(AND(Y591&lt;&gt;"-",Y591&gt;5),1,0)+IF(AND(AA591&lt;&gt;"-",AA591&gt;5),1,0)+IF(AND(AC591&lt;&gt;"-",AC591&gt;5),1,0)+IF(AND(AE591&lt;&gt;"-",AE591&gt;5),1,0)+IF(AND(AG591&lt;&gt;"-",AG591&gt;5),1,0)+IF(AND(AI591&lt;&gt;"-",AI591&gt;5),1,0)+IF(AND(AK591&lt;&gt;"-",AK591&gt;5),1,0)+IF(AND(AM591&lt;&gt;"-",AM591&gt;5),1,0)+IF(AND(AO591&lt;&gt;"-",AO591&gt;5),1,0)</f>
        <v>0</v>
      </c>
      <c r="AY591" s="48">
        <f>VLOOKUP(AP591,COND!$A$10:$B$32,2,FALSE)</f>
        <v>1.0249999999999999</v>
      </c>
      <c r="AZ591" s="46">
        <f>($AU$3*AU591+$AV$3*AV591+$AW$3*AW591+$AX$3*AX591)*AY591*IF(AQ591&lt;5,0.95,IF(AQ591&lt;7,0.975,1))+$I$3*VLOOKUP(I591,COND!$A$2:$E$7,4,FALSE)+$J$3*VLOOKUP(J591,COND!$A$2:$E$7,2,FALSE)+$K$3*VLOOKUP(K591,COND!$A$2:$E$7,3,FALSE)+IF(BB591="SP",$BB$3,0)+IF($AW591&lt;3,-5,0)+IF(AND($B$2&gt;0,$E591&lt;20),$B$2*25,0)</f>
        <v>20.210711001916533</v>
      </c>
      <c r="BA591" s="49">
        <f>STANDARDIZE(AZ591,AVERAGE($AZ$5:$AZ$570),STDEVP($AZ$5:$AZ$570))</f>
        <v>-1.1473616798869009</v>
      </c>
      <c r="BB591" s="47" t="str">
        <f>IF(OR(AND(AQ591&gt;7,AX591&gt;1),AND(AQ591&gt;4,AW591&gt;2)),"SP","RP")</f>
        <v>SP</v>
      </c>
      <c r="BC591" s="47"/>
      <c r="BD591" s="47"/>
      <c r="BE591" s="47"/>
      <c r="BF591" s="47" t="str">
        <f>IF(AVERAGE($O591:$Q591)&gt;=6,"Likely",IF(AVERAGE($O591:$Q591)&gt;=4,"Possible","Unlikely"))</f>
        <v>Unlikely</v>
      </c>
      <c r="BG591" s="47"/>
      <c r="BH591" s="47" t="str">
        <f>INDEX(Table5[[#All],[Ovr]],MATCH(Table3[[#This Row],[PID]],Table5[[#All],[PID]],0))</f>
        <v/>
      </c>
      <c r="BI591" s="47" t="str">
        <f>INDEX(Table5[[#All],[Rnd]],MATCH(Table3[[#This Row],[PID]],Table5[[#All],[PID]],0))</f>
        <v/>
      </c>
      <c r="BJ591" s="47" t="str">
        <f>INDEX(Table5[[#All],[Pick]],MATCH(Table3[[#This Row],[PID]],Table5[[#All],[PID]],0))</f>
        <v/>
      </c>
      <c r="BK591" s="47" t="str">
        <f>INDEX(Table5[[#All],[Team]],MATCH(Table3[[#This Row],[PID]],Table5[[#All],[PID]],0))</f>
        <v/>
      </c>
      <c r="BL5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2" spans="1:64" ht="15" customHeight="1" x14ac:dyDescent="0.25">
      <c r="A592" s="42">
        <v>9751</v>
      </c>
      <c r="B592" s="42" t="s">
        <v>430</v>
      </c>
      <c r="C592" s="42" t="s">
        <v>184</v>
      </c>
      <c r="D592" s="42" t="s">
        <v>927</v>
      </c>
      <c r="E592" s="42">
        <v>21</v>
      </c>
      <c r="F592" s="42" t="s">
        <v>53</v>
      </c>
      <c r="G592" s="42" t="s">
        <v>53</v>
      </c>
      <c r="H592" s="43" t="s">
        <v>721</v>
      </c>
      <c r="I592" s="44" t="s">
        <v>43</v>
      </c>
      <c r="J592" s="42" t="s">
        <v>43</v>
      </c>
      <c r="K592" s="43" t="s">
        <v>43</v>
      </c>
      <c r="L592" s="42">
        <v>2</v>
      </c>
      <c r="M592" s="42">
        <v>2</v>
      </c>
      <c r="N592" s="43">
        <v>1</v>
      </c>
      <c r="O592" s="42">
        <v>3</v>
      </c>
      <c r="P592" s="42">
        <v>2</v>
      </c>
      <c r="Q592" s="43">
        <v>2</v>
      </c>
      <c r="R592" s="42">
        <v>3</v>
      </c>
      <c r="S592" s="42">
        <v>4</v>
      </c>
      <c r="T592" s="42" t="s">
        <v>45</v>
      </c>
      <c r="U592" s="42" t="s">
        <v>45</v>
      </c>
      <c r="V592" s="42">
        <v>2</v>
      </c>
      <c r="W592" s="42">
        <v>5</v>
      </c>
      <c r="X592" s="42" t="s">
        <v>45</v>
      </c>
      <c r="Y592" s="42" t="s">
        <v>45</v>
      </c>
      <c r="Z592" s="42" t="s">
        <v>45</v>
      </c>
      <c r="AA592" s="42" t="s">
        <v>45</v>
      </c>
      <c r="AB592" s="42">
        <v>3</v>
      </c>
      <c r="AC592" s="42">
        <v>4</v>
      </c>
      <c r="AD592" s="42" t="s">
        <v>45</v>
      </c>
      <c r="AE592" s="42" t="s">
        <v>45</v>
      </c>
      <c r="AF592" s="42" t="s">
        <v>45</v>
      </c>
      <c r="AG592" s="42" t="s">
        <v>45</v>
      </c>
      <c r="AH592" s="42" t="s">
        <v>45</v>
      </c>
      <c r="AI592" s="42" t="s">
        <v>45</v>
      </c>
      <c r="AJ592" s="42" t="s">
        <v>45</v>
      </c>
      <c r="AK592" s="42" t="s">
        <v>45</v>
      </c>
      <c r="AL592" s="42" t="s">
        <v>45</v>
      </c>
      <c r="AM592" s="42" t="s">
        <v>45</v>
      </c>
      <c r="AN592" s="42" t="s">
        <v>45</v>
      </c>
      <c r="AO592" s="43" t="s">
        <v>45</v>
      </c>
      <c r="AP592" s="42" t="s">
        <v>356</v>
      </c>
      <c r="AQ592" s="42">
        <v>9</v>
      </c>
      <c r="AR592" s="50" t="s">
        <v>353</v>
      </c>
      <c r="AS592" s="45" t="s">
        <v>45</v>
      </c>
      <c r="AT592" s="45" t="s">
        <v>47</v>
      </c>
      <c r="AU592" s="46">
        <f>($O$3*(L592-$O$1)/$O$2+$P$3*(M592-$P$1)/$P$2+$Q$3*(N592-$P$1)/$Q$2)/SUM($O$3:$Q$3)</f>
        <v>-2.311361197028369</v>
      </c>
      <c r="AV592" s="46">
        <f>($O$3*(O592-$O$1)/$O$2+$P$3*(P592-$P$1)/$P$2+$Q$3*(Q592-$Q$1)/$Q$2)/SUM($O$3:$Q$3)</f>
        <v>-1.4288545557280135</v>
      </c>
      <c r="AW592" s="47">
        <f>COUNT(R592:AO592)/2</f>
        <v>3</v>
      </c>
      <c r="AX592" s="47">
        <f>IF(AND(S592&lt;&gt;"-",S592&gt;5),1,0)+IF(AND(U592&lt;&gt;"-",U592&gt;5),1,0)+IF(AND(W592&lt;&gt;"-",W592&gt;5),1,0)+IF(AND(Y592&lt;&gt;"-",Y592&gt;5),1,0)+IF(AND(AA592&lt;&gt;"-",AA592&gt;5),1,0)+IF(AND(AC592&lt;&gt;"-",AC592&gt;5),1,0)+IF(AND(AE592&lt;&gt;"-",AE592&gt;5),1,0)+IF(AND(AG592&lt;&gt;"-",AG592&gt;5),1,0)+IF(AND(AI592&lt;&gt;"-",AI592&gt;5),1,0)+IF(AND(AK592&lt;&gt;"-",AK592&gt;5),1,0)+IF(AND(AM592&lt;&gt;"-",AM592&gt;5),1,0)+IF(AND(AO592&lt;&gt;"-",AO592&gt;5),1,0)</f>
        <v>0</v>
      </c>
      <c r="AY592" s="48">
        <f>VLOOKUP(AP592,COND!$A$10:$B$32,2,FALSE)</f>
        <v>1</v>
      </c>
      <c r="AZ592" s="46">
        <f>($AU$3*AU592+$AV$3*AV592+$AW$3*AW592+$AX$3*AX592)*AY592*IF(AQ592&lt;5,0.95,IF(AQ592&lt;7,0.975,1))+$I$3*VLOOKUP(I592,COND!$A$2:$E$7,4,FALSE)+$J$3*VLOOKUP(J592,COND!$A$2:$E$7,2,FALSE)+$K$3*VLOOKUP(K592,COND!$A$2:$E$7,3,FALSE)+IF(BB592="SP",$BB$3,0)+IF($AW592&lt;3,-5,0)+IF(AND($B$2&gt;0,$E592&lt;20),$B$2*25,0)</f>
        <v>19.460636646034057</v>
      </c>
      <c r="BA592" s="49">
        <f>STANDARDIZE(AZ592,AVERAGE($AZ$5:$AZ$570),STDEVP($AZ$5:$AZ$570))</f>
        <v>-1.2161467042064993</v>
      </c>
      <c r="BB592" s="47" t="str">
        <f>IF(OR(AND(AQ592&gt;7,AX592&gt;1),AND(AQ592&gt;4,AW592&gt;2)),"SP","RP")</f>
        <v>SP</v>
      </c>
      <c r="BC592" s="47"/>
      <c r="BD592" s="47"/>
      <c r="BE592" s="47"/>
      <c r="BF592" s="47" t="str">
        <f>IF(AVERAGE($O592:$Q592)&gt;=6,"Likely",IF(AVERAGE($O592:$Q592)&gt;=4,"Possible","Unlikely"))</f>
        <v>Unlikely</v>
      </c>
      <c r="BG592" s="47"/>
      <c r="BH592" s="47" t="str">
        <f>INDEX(Table5[[#All],[Ovr]],MATCH(Table3[[#This Row],[PID]],Table5[[#All],[PID]],0))</f>
        <v/>
      </c>
      <c r="BI592" s="47" t="str">
        <f>INDEX(Table5[[#All],[Rnd]],MATCH(Table3[[#This Row],[PID]],Table5[[#All],[PID]],0))</f>
        <v/>
      </c>
      <c r="BJ592" s="47" t="str">
        <f>INDEX(Table5[[#All],[Pick]],MATCH(Table3[[#This Row],[PID]],Table5[[#All],[PID]],0))</f>
        <v/>
      </c>
      <c r="BK592" s="47" t="str">
        <f>INDEX(Table5[[#All],[Team]],MATCH(Table3[[#This Row],[PID]],Table5[[#All],[PID]],0))</f>
        <v/>
      </c>
      <c r="BL5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3" spans="1:64" ht="15" customHeight="1" x14ac:dyDescent="0.25">
      <c r="A593" s="42">
        <v>6227</v>
      </c>
      <c r="B593" s="42" t="s">
        <v>430</v>
      </c>
      <c r="C593" s="42" t="s">
        <v>928</v>
      </c>
      <c r="D593" s="42" t="s">
        <v>405</v>
      </c>
      <c r="E593" s="42">
        <v>18</v>
      </c>
      <c r="F593" s="42" t="s">
        <v>42</v>
      </c>
      <c r="G593" s="42" t="s">
        <v>42</v>
      </c>
      <c r="H593" s="43" t="s">
        <v>721</v>
      </c>
      <c r="I593" s="44" t="s">
        <v>44</v>
      </c>
      <c r="J593" s="42" t="s">
        <v>43</v>
      </c>
      <c r="K593" s="43" t="s">
        <v>44</v>
      </c>
      <c r="L593" s="42">
        <v>1</v>
      </c>
      <c r="M593" s="42">
        <v>1</v>
      </c>
      <c r="N593" s="43">
        <v>1</v>
      </c>
      <c r="O593" s="42">
        <v>2</v>
      </c>
      <c r="P593" s="42">
        <v>1</v>
      </c>
      <c r="Q593" s="43">
        <v>2</v>
      </c>
      <c r="R593" s="42">
        <v>2</v>
      </c>
      <c r="S593" s="42">
        <v>3</v>
      </c>
      <c r="T593" s="42">
        <v>1</v>
      </c>
      <c r="U593" s="42">
        <v>3</v>
      </c>
      <c r="V593" s="42">
        <v>1</v>
      </c>
      <c r="W593" s="42">
        <v>3</v>
      </c>
      <c r="X593" s="42" t="s">
        <v>45</v>
      </c>
      <c r="Y593" s="42" t="s">
        <v>45</v>
      </c>
      <c r="Z593" s="42" t="s">
        <v>45</v>
      </c>
      <c r="AA593" s="42" t="s">
        <v>45</v>
      </c>
      <c r="AB593" s="42" t="s">
        <v>45</v>
      </c>
      <c r="AC593" s="42" t="s">
        <v>45</v>
      </c>
      <c r="AD593" s="42">
        <v>2</v>
      </c>
      <c r="AE593" s="42">
        <v>2</v>
      </c>
      <c r="AF593" s="42">
        <v>2</v>
      </c>
      <c r="AG593" s="42">
        <v>3</v>
      </c>
      <c r="AH593" s="42" t="s">
        <v>45</v>
      </c>
      <c r="AI593" s="42" t="s">
        <v>45</v>
      </c>
      <c r="AJ593" s="42" t="s">
        <v>45</v>
      </c>
      <c r="AK593" s="42" t="s">
        <v>45</v>
      </c>
      <c r="AL593" s="42" t="s">
        <v>45</v>
      </c>
      <c r="AM593" s="42" t="s">
        <v>45</v>
      </c>
      <c r="AN593" s="42" t="s">
        <v>45</v>
      </c>
      <c r="AO593" s="43" t="s">
        <v>45</v>
      </c>
      <c r="AP593" s="42" t="s">
        <v>67</v>
      </c>
      <c r="AQ593" s="42">
        <v>9</v>
      </c>
      <c r="AR593" s="50" t="s">
        <v>14</v>
      </c>
      <c r="AS593" s="45" t="s">
        <v>718</v>
      </c>
      <c r="AT593" s="45" t="s">
        <v>705</v>
      </c>
      <c r="AU593" s="46">
        <f>($O$3*(L593-$O$1)/$O$2+$P$3*(M593-$P$1)/$P$2+$Q$3*(N593-$P$1)/$Q$2)/SUM($O$3:$Q$3)</f>
        <v>-2.7014842379675978</v>
      </c>
      <c r="AV593" s="46">
        <f>($O$3*(O593-$O$1)/$O$2+$P$3*(P593-$P$1)/$P$2+$Q$3*(Q593-$Q$1)/$Q$2)/SUM($O$3:$Q$3)</f>
        <v>-1.8189775966672426</v>
      </c>
      <c r="AW593" s="47">
        <f>COUNT(R593:AO593)/2</f>
        <v>5</v>
      </c>
      <c r="AX593" s="47">
        <f>IF(AND(S593&lt;&gt;"-",S593&gt;5),1,0)+IF(AND(U593&lt;&gt;"-",U593&gt;5),1,0)+IF(AND(W593&lt;&gt;"-",W593&gt;5),1,0)+IF(AND(Y593&lt;&gt;"-",Y593&gt;5),1,0)+IF(AND(AA593&lt;&gt;"-",AA593&gt;5),1,0)+IF(AND(AC593&lt;&gt;"-",AC593&gt;5),1,0)+IF(AND(AE593&lt;&gt;"-",AE593&gt;5),1,0)+IF(AND(AG593&lt;&gt;"-",AG593&gt;5),1,0)+IF(AND(AI593&lt;&gt;"-",AI593&gt;5),1,0)+IF(AND(AK593&lt;&gt;"-",AK593&gt;5),1,0)+IF(AND(AM593&lt;&gt;"-",AM593&gt;5),1,0)+IF(AND(AO593&lt;&gt;"-",AO593&gt;5),1,0)</f>
        <v>0</v>
      </c>
      <c r="AY593" s="48">
        <f>VLOOKUP(AP593,COND!$A$10:$B$32,2,FALSE)</f>
        <v>0.9</v>
      </c>
      <c r="AZ593" s="46">
        <f>($AU$3*AU593+$AV$3*AV593+$AW$3*AW593+$AX$3*AX593)*AY593*IF(AQ593&lt;5,0.95,IF(AQ593&lt;7,0.975,1))+$I$3*VLOOKUP(I593,COND!$A$2:$E$7,4,FALSE)+$J$3*VLOOKUP(J593,COND!$A$2:$E$7,2,FALSE)+$K$3*VLOOKUP(K593,COND!$A$2:$E$7,3,FALSE)+IF(BB593="SP",$BB$3,0)+IF($AW593&lt;3,-5,0)+IF(AND($B$2&gt;0,$E593&lt;20),$B$2*25,0)</f>
        <v>20.572136097155468</v>
      </c>
      <c r="BA593" s="49">
        <f>STANDARDIZE(AZ593,AVERAGE($AZ$5:$AZ$676),STDEVP($AZ$5:$AZ$676))</f>
        <v>-0.86092280086010908</v>
      </c>
      <c r="BB593" s="47" t="str">
        <f>IF(OR(AND(AQ593&gt;7,AX593&gt;1),AND(AQ593&gt;4,AW593&gt;2)),"SP","RP")</f>
        <v>SP</v>
      </c>
      <c r="BC593" s="47"/>
      <c r="BD593" s="47"/>
      <c r="BE593" s="47"/>
      <c r="BF593" s="47" t="str">
        <f>IF(AVERAGE($O593:$Q593)&gt;=6,"Likely",IF(AVERAGE($O593:$Q593)&gt;=4,"Possible","Unlikely"))</f>
        <v>Unlikely</v>
      </c>
      <c r="BG593" s="47"/>
      <c r="BH593" s="47" t="str">
        <f>INDEX(Table5[[#All],[Ovr]],MATCH(Table3[[#This Row],[PID]],Table5[[#All],[PID]],0))</f>
        <v/>
      </c>
      <c r="BI593" s="47" t="str">
        <f>INDEX(Table5[[#All],[Rnd]],MATCH(Table3[[#This Row],[PID]],Table5[[#All],[PID]],0))</f>
        <v/>
      </c>
      <c r="BJ593" s="47" t="str">
        <f>INDEX(Table5[[#All],[Pick]],MATCH(Table3[[#This Row],[PID]],Table5[[#All],[PID]],0))</f>
        <v/>
      </c>
      <c r="BK593" s="47" t="str">
        <f>INDEX(Table5[[#All],[Team]],MATCH(Table3[[#This Row],[PID]],Table5[[#All],[PID]],0))</f>
        <v/>
      </c>
      <c r="BL5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4" spans="1:64" ht="15" customHeight="1" x14ac:dyDescent="0.25">
      <c r="A594" s="42">
        <v>10548</v>
      </c>
      <c r="B594" s="42" t="s">
        <v>430</v>
      </c>
      <c r="C594" s="42" t="s">
        <v>170</v>
      </c>
      <c r="D594" s="42" t="s">
        <v>1173</v>
      </c>
      <c r="E594" s="42">
        <v>21</v>
      </c>
      <c r="F594" s="42" t="s">
        <v>42</v>
      </c>
      <c r="G594" s="42" t="s">
        <v>42</v>
      </c>
      <c r="H594" s="43" t="s">
        <v>721</v>
      </c>
      <c r="I594" s="44" t="s">
        <v>43</v>
      </c>
      <c r="J594" s="42" t="s">
        <v>44</v>
      </c>
      <c r="K594" s="43" t="s">
        <v>44</v>
      </c>
      <c r="L594" s="42">
        <v>2</v>
      </c>
      <c r="M594" s="42">
        <v>1</v>
      </c>
      <c r="N594" s="43">
        <v>1</v>
      </c>
      <c r="O594" s="42">
        <v>4</v>
      </c>
      <c r="P594" s="42">
        <v>1</v>
      </c>
      <c r="Q594" s="43">
        <v>2</v>
      </c>
      <c r="R594" s="42">
        <v>4</v>
      </c>
      <c r="S594" s="42">
        <v>5</v>
      </c>
      <c r="T594" s="42" t="s">
        <v>45</v>
      </c>
      <c r="U594" s="42" t="s">
        <v>45</v>
      </c>
      <c r="V594" s="42" t="s">
        <v>45</v>
      </c>
      <c r="W594" s="42" t="s">
        <v>45</v>
      </c>
      <c r="X594" s="42">
        <v>3</v>
      </c>
      <c r="Y594" s="42">
        <v>5</v>
      </c>
      <c r="Z594" s="42" t="s">
        <v>45</v>
      </c>
      <c r="AA594" s="42" t="s">
        <v>45</v>
      </c>
      <c r="AB594" s="42" t="s">
        <v>45</v>
      </c>
      <c r="AC594" s="42" t="s">
        <v>45</v>
      </c>
      <c r="AD594" s="42" t="s">
        <v>45</v>
      </c>
      <c r="AE594" s="42" t="s">
        <v>45</v>
      </c>
      <c r="AF594" s="42" t="s">
        <v>45</v>
      </c>
      <c r="AG594" s="42" t="s">
        <v>45</v>
      </c>
      <c r="AH594" s="42">
        <v>3</v>
      </c>
      <c r="AI594" s="42">
        <v>6</v>
      </c>
      <c r="AJ594" s="42" t="s">
        <v>45</v>
      </c>
      <c r="AK594" s="42" t="s">
        <v>45</v>
      </c>
      <c r="AL594" s="42" t="s">
        <v>45</v>
      </c>
      <c r="AM594" s="42" t="s">
        <v>45</v>
      </c>
      <c r="AN594" s="42" t="s">
        <v>45</v>
      </c>
      <c r="AO594" s="43" t="s">
        <v>45</v>
      </c>
      <c r="AP594" s="42" t="s">
        <v>356</v>
      </c>
      <c r="AQ594" s="42">
        <v>6</v>
      </c>
      <c r="AR594" s="50" t="s">
        <v>14</v>
      </c>
      <c r="AS594" s="45" t="s">
        <v>45</v>
      </c>
      <c r="AT594" s="45" t="s">
        <v>47</v>
      </c>
      <c r="AU594" s="46">
        <f>($O$3*(L594-$O$1)/$O$2+$P$3*(M594-$P$1)/$P$2+$Q$3*(N594-$P$1)/$Q$2)/SUM($O$3:$Q$3)</f>
        <v>-2.5067929134584248</v>
      </c>
      <c r="AV594" s="46">
        <f>($O$3*(O594-$O$1)/$O$2+$P$3*(P594-$P$1)/$P$2+$Q$3*(Q594-$Q$1)/$Q$2)/SUM($O$3:$Q$3)</f>
        <v>-1.4295949476488956</v>
      </c>
      <c r="AW594" s="47">
        <f>COUNT(R594:AO594)/2</f>
        <v>3</v>
      </c>
      <c r="AX594" s="47">
        <f>IF(AND(S594&lt;&gt;"-",S594&gt;5),1,0)+IF(AND(U594&lt;&gt;"-",U594&gt;5),1,0)+IF(AND(W594&lt;&gt;"-",W594&gt;5),1,0)+IF(AND(Y594&lt;&gt;"-",Y594&gt;5),1,0)+IF(AND(AA594&lt;&gt;"-",AA594&gt;5),1,0)+IF(AND(AC594&lt;&gt;"-",AC594&gt;5),1,0)+IF(AND(AE594&lt;&gt;"-",AE594&gt;5),1,0)+IF(AND(AG594&lt;&gt;"-",AG594&gt;5),1,0)+IF(AND(AI594&lt;&gt;"-",AI594&gt;5),1,0)+IF(AND(AK594&lt;&gt;"-",AK594&gt;5),1,0)+IF(AND(AM594&lt;&gt;"-",AM594&gt;5),1,0)+IF(AND(AO594&lt;&gt;"-",AO594&gt;5),1,0)</f>
        <v>1</v>
      </c>
      <c r="AY594" s="48">
        <f>VLOOKUP(AP594,COND!$A$10:$B$32,2,FALSE)</f>
        <v>1</v>
      </c>
      <c r="AZ594" s="46">
        <f>($AU$3*AU594+$AV$3*AV594+$AW$3*AW594+$AX$3*AX594)*AY594*IF(AQ594&lt;5,0.95,IF(AQ594&lt;7,0.975,1))+$I$3*VLOOKUP(I594,COND!$A$2:$E$7,4,FALSE)+$J$3*VLOOKUP(J594,COND!$A$2:$E$7,2,FALSE)+$K$3*VLOOKUP(K594,COND!$A$2:$E$7,3,FALSE)+IF(BB594="SP",$BB$3,0)+IF($AW594&lt;3,-5,0)+IF(AND($B$2&gt;0,$E594&lt;20),$B$2*25,0)</f>
        <v>20.71532390272214</v>
      </c>
      <c r="BA594" s="49">
        <f>STANDARDIZE(AZ594,AVERAGE($AZ$5:$AZ$570),STDEVP($AZ$5:$AZ$570))</f>
        <v>-1.1010865201221598</v>
      </c>
      <c r="BB594" s="47" t="str">
        <f>IF(OR(AND(AQ594&gt;7,AX594&gt;1),AND(AQ594&gt;4,AW594&gt;2)),"SP","RP")</f>
        <v>SP</v>
      </c>
      <c r="BC594" s="47"/>
      <c r="BD594" s="47"/>
      <c r="BE594" s="47"/>
      <c r="BF594" s="47" t="str">
        <f>IF(AVERAGE($O594:$Q594)&gt;=6,"Likely",IF(AVERAGE($O594:$Q594)&gt;=4,"Possible","Unlikely"))</f>
        <v>Unlikely</v>
      </c>
      <c r="BG594" s="47"/>
      <c r="BH594" s="47" t="str">
        <f>INDEX(Table5[[#All],[Ovr]],MATCH(Table3[[#This Row],[PID]],Table5[[#All],[PID]],0))</f>
        <v/>
      </c>
      <c r="BI594" s="47" t="str">
        <f>INDEX(Table5[[#All],[Rnd]],MATCH(Table3[[#This Row],[PID]],Table5[[#All],[PID]],0))</f>
        <v/>
      </c>
      <c r="BJ594" s="47" t="str">
        <f>INDEX(Table5[[#All],[Pick]],MATCH(Table3[[#This Row],[PID]],Table5[[#All],[PID]],0))</f>
        <v/>
      </c>
      <c r="BK594" s="47" t="str">
        <f>INDEX(Table5[[#All],[Team]],MATCH(Table3[[#This Row],[PID]],Table5[[#All],[PID]],0))</f>
        <v/>
      </c>
      <c r="BL5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5" spans="1:64" ht="15" customHeight="1" x14ac:dyDescent="0.25">
      <c r="A595" s="42">
        <v>9065</v>
      </c>
      <c r="B595" s="42" t="s">
        <v>430</v>
      </c>
      <c r="C595" s="42" t="s">
        <v>1788</v>
      </c>
      <c r="D595" s="42" t="s">
        <v>618</v>
      </c>
      <c r="E595" s="42">
        <v>21</v>
      </c>
      <c r="F595" s="42" t="s">
        <v>62</v>
      </c>
      <c r="G595" s="42" t="s">
        <v>42</v>
      </c>
      <c r="H595" s="43" t="s">
        <v>721</v>
      </c>
      <c r="I595" s="44" t="s">
        <v>43</v>
      </c>
      <c r="J595" s="42" t="s">
        <v>44</v>
      </c>
      <c r="K595" s="43" t="s">
        <v>43</v>
      </c>
      <c r="L595" s="42">
        <v>1</v>
      </c>
      <c r="M595" s="42">
        <v>2</v>
      </c>
      <c r="N595" s="43">
        <v>1</v>
      </c>
      <c r="O595" s="42">
        <v>3</v>
      </c>
      <c r="P595" s="42">
        <v>2</v>
      </c>
      <c r="Q595" s="43">
        <v>2</v>
      </c>
      <c r="R595" s="42">
        <v>3</v>
      </c>
      <c r="S595" s="42">
        <v>4</v>
      </c>
      <c r="T595" s="42">
        <v>1</v>
      </c>
      <c r="U595" s="42">
        <v>1</v>
      </c>
      <c r="V595" s="42">
        <v>2</v>
      </c>
      <c r="W595" s="42">
        <v>4</v>
      </c>
      <c r="X595" s="42" t="s">
        <v>45</v>
      </c>
      <c r="Y595" s="42" t="s">
        <v>45</v>
      </c>
      <c r="Z595" s="42" t="s">
        <v>45</v>
      </c>
      <c r="AA595" s="42" t="s">
        <v>45</v>
      </c>
      <c r="AB595" s="42" t="s">
        <v>45</v>
      </c>
      <c r="AC595" s="42" t="s">
        <v>45</v>
      </c>
      <c r="AD595" s="42" t="s">
        <v>45</v>
      </c>
      <c r="AE595" s="42" t="s">
        <v>45</v>
      </c>
      <c r="AF595" s="42" t="s">
        <v>45</v>
      </c>
      <c r="AG595" s="42" t="s">
        <v>45</v>
      </c>
      <c r="AH595" s="42" t="s">
        <v>45</v>
      </c>
      <c r="AI595" s="42" t="s">
        <v>45</v>
      </c>
      <c r="AJ595" s="42" t="s">
        <v>45</v>
      </c>
      <c r="AK595" s="42" t="s">
        <v>45</v>
      </c>
      <c r="AL595" s="42" t="s">
        <v>45</v>
      </c>
      <c r="AM595" s="42" t="s">
        <v>45</v>
      </c>
      <c r="AN595" s="42" t="s">
        <v>45</v>
      </c>
      <c r="AO595" s="43" t="s">
        <v>45</v>
      </c>
      <c r="AP595" s="42" t="s">
        <v>65</v>
      </c>
      <c r="AQ595" s="42">
        <v>7</v>
      </c>
      <c r="AR595" s="50" t="s">
        <v>353</v>
      </c>
      <c r="AS595" s="45" t="s">
        <v>45</v>
      </c>
      <c r="AT595" s="45" t="s">
        <v>47</v>
      </c>
      <c r="AU595" s="46">
        <f>($O$3*(L595-$O$1)/$O$2+$P$3*(M595-$P$1)/$P$2+$Q$3*(N595-$P$1)/$Q$2)/SUM($O$3:$Q$3)</f>
        <v>-2.5060525215375429</v>
      </c>
      <c r="AV595" s="46">
        <f>($O$3*(O595-$O$1)/$O$2+$P$3*(P595-$P$1)/$P$2+$Q$3*(Q595-$Q$1)/$Q$2)/SUM($O$3:$Q$3)</f>
        <v>-1.4288545557280135</v>
      </c>
      <c r="AW595" s="47">
        <f>COUNT(R595:AO595)/2</f>
        <v>3</v>
      </c>
      <c r="AX595" s="47">
        <f>IF(AND(S595&lt;&gt;"-",S595&gt;5),1,0)+IF(AND(U595&lt;&gt;"-",U595&gt;5),1,0)+IF(AND(W595&lt;&gt;"-",W595&gt;5),1,0)+IF(AND(Y595&lt;&gt;"-",Y595&gt;5),1,0)+IF(AND(AA595&lt;&gt;"-",AA595&gt;5),1,0)+IF(AND(AC595&lt;&gt;"-",AC595&gt;5),1,0)+IF(AND(AE595&lt;&gt;"-",AE595&gt;5),1,0)+IF(AND(AG595&lt;&gt;"-",AG595&gt;5),1,0)+IF(AND(AI595&lt;&gt;"-",AI595&gt;5),1,0)+IF(AND(AK595&lt;&gt;"-",AK595&gt;5),1,0)+IF(AND(AM595&lt;&gt;"-",AM595&gt;5),1,0)+IF(AND(AO595&lt;&gt;"-",AO595&gt;5),1,0)</f>
        <v>0</v>
      </c>
      <c r="AY595" s="48">
        <f>VLOOKUP(AP595,COND!$A$10:$B$32,2,FALSE)</f>
        <v>0.95</v>
      </c>
      <c r="AZ595" s="46">
        <f>($AU$3*AU595+$AV$3*AV595+$AW$3*AW595+$AX$3*AX595)*AY595*IF(AQ595&lt;5,0.95,IF(AQ595&lt;7,0.975,1))+$I$3*VLOOKUP(I595,COND!$A$2:$E$7,4,FALSE)+$J$3*VLOOKUP(J595,COND!$A$2:$E$7,2,FALSE)+$K$3*VLOOKUP(K595,COND!$A$2:$E$7,3,FALSE)+IF(BB595="SP",$BB$3,0)+IF($AW595&lt;3,-5,0)+IF(AND($B$2&gt;0,$E595&lt;20),$B$2*25,0)</f>
        <v>20.500613462075613</v>
      </c>
      <c r="BA595" s="49">
        <f>STANDARDIZE(AZ595,AVERAGE($AZ$5:$AZ$676),STDEVP($AZ$5:$AZ$676))</f>
        <v>-0.86719123067730641</v>
      </c>
      <c r="BB595" s="47" t="str">
        <f>IF(OR(AND(AQ595&gt;7,AX595&gt;1),AND(AQ595&gt;4,AW595&gt;2)),"SP","RP")</f>
        <v>SP</v>
      </c>
      <c r="BC595" s="47"/>
      <c r="BD595" s="47"/>
      <c r="BE595" s="47"/>
      <c r="BF595" s="47" t="str">
        <f>IF(AVERAGE($O595:$Q595)&gt;=6,"Likely",IF(AVERAGE($O595:$Q595)&gt;=4,"Possible","Unlikely"))</f>
        <v>Unlikely</v>
      </c>
      <c r="BG595" s="47"/>
      <c r="BH595" s="47" t="str">
        <f>INDEX(Table5[[#All],[Ovr]],MATCH(Table3[[#This Row],[PID]],Table5[[#All],[PID]],0))</f>
        <v/>
      </c>
      <c r="BI595" s="47" t="str">
        <f>INDEX(Table5[[#All],[Rnd]],MATCH(Table3[[#This Row],[PID]],Table5[[#All],[PID]],0))</f>
        <v/>
      </c>
      <c r="BJ595" s="47" t="str">
        <f>INDEX(Table5[[#All],[Pick]],MATCH(Table3[[#This Row],[PID]],Table5[[#All],[PID]],0))</f>
        <v/>
      </c>
      <c r="BK595" s="47" t="str">
        <f>INDEX(Table5[[#All],[Team]],MATCH(Table3[[#This Row],[PID]],Table5[[#All],[PID]],0))</f>
        <v/>
      </c>
      <c r="BL5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6" spans="1:64" ht="15" customHeight="1" x14ac:dyDescent="0.25">
      <c r="A596" s="42">
        <v>8097</v>
      </c>
      <c r="B596" s="42" t="s">
        <v>430</v>
      </c>
      <c r="C596" s="42" t="s">
        <v>426</v>
      </c>
      <c r="D596" s="42" t="s">
        <v>1768</v>
      </c>
      <c r="E596" s="42">
        <v>21</v>
      </c>
      <c r="F596" s="42" t="s">
        <v>53</v>
      </c>
      <c r="G596" s="42" t="s">
        <v>53</v>
      </c>
      <c r="H596" s="43" t="s">
        <v>721</v>
      </c>
      <c r="I596" s="44" t="s">
        <v>43</v>
      </c>
      <c r="J596" s="42" t="s">
        <v>44</v>
      </c>
      <c r="K596" s="43" t="s">
        <v>47</v>
      </c>
      <c r="L596" s="42">
        <v>1</v>
      </c>
      <c r="M596" s="42">
        <v>1</v>
      </c>
      <c r="N596" s="43">
        <v>1</v>
      </c>
      <c r="O596" s="42">
        <v>3</v>
      </c>
      <c r="P596" s="42">
        <v>1</v>
      </c>
      <c r="Q596" s="43">
        <v>2</v>
      </c>
      <c r="R596" s="42">
        <v>2</v>
      </c>
      <c r="S596" s="42">
        <v>4</v>
      </c>
      <c r="T596" s="42">
        <v>1</v>
      </c>
      <c r="U596" s="42">
        <v>1</v>
      </c>
      <c r="V596" s="42">
        <v>2</v>
      </c>
      <c r="W596" s="42">
        <v>6</v>
      </c>
      <c r="X596" s="42" t="s">
        <v>45</v>
      </c>
      <c r="Y596" s="42" t="s">
        <v>45</v>
      </c>
      <c r="Z596" s="42" t="s">
        <v>45</v>
      </c>
      <c r="AA596" s="42" t="s">
        <v>45</v>
      </c>
      <c r="AB596" s="42" t="s">
        <v>45</v>
      </c>
      <c r="AC596" s="42" t="s">
        <v>45</v>
      </c>
      <c r="AD596" s="42" t="s">
        <v>45</v>
      </c>
      <c r="AE596" s="42" t="s">
        <v>45</v>
      </c>
      <c r="AF596" s="42" t="s">
        <v>45</v>
      </c>
      <c r="AG596" s="42" t="s">
        <v>45</v>
      </c>
      <c r="AH596" s="42" t="s">
        <v>45</v>
      </c>
      <c r="AI596" s="42" t="s">
        <v>45</v>
      </c>
      <c r="AJ596" s="42" t="s">
        <v>45</v>
      </c>
      <c r="AK596" s="42" t="s">
        <v>45</v>
      </c>
      <c r="AL596" s="42" t="s">
        <v>45</v>
      </c>
      <c r="AM596" s="42" t="s">
        <v>45</v>
      </c>
      <c r="AN596" s="42" t="s">
        <v>45</v>
      </c>
      <c r="AO596" s="43" t="s">
        <v>45</v>
      </c>
      <c r="AP596" s="42" t="s">
        <v>67</v>
      </c>
      <c r="AQ596" s="42">
        <v>7</v>
      </c>
      <c r="AR596" s="50" t="s">
        <v>14</v>
      </c>
      <c r="AS596" s="45" t="s">
        <v>45</v>
      </c>
      <c r="AT596" s="45" t="s">
        <v>47</v>
      </c>
      <c r="AU596" s="46">
        <f>($O$3*(L596-$O$1)/$O$2+$P$3*(M596-$P$1)/$P$2+$Q$3*(N596-$P$1)/$Q$2)/SUM($O$3:$Q$3)</f>
        <v>-2.7014842379675978</v>
      </c>
      <c r="AV596" s="46">
        <f>($O$3*(O596-$O$1)/$O$2+$P$3*(P596-$P$1)/$P$2+$Q$3*(Q596-$Q$1)/$Q$2)/SUM($O$3:$Q$3)</f>
        <v>-1.6242862721580691</v>
      </c>
      <c r="AW596" s="47">
        <f>COUNT(R596:AO596)/2</f>
        <v>3</v>
      </c>
      <c r="AX596" s="47">
        <f>IF(AND(S596&lt;&gt;"-",S596&gt;5),1,0)+IF(AND(U596&lt;&gt;"-",U596&gt;5),1,0)+IF(AND(W596&lt;&gt;"-",W596&gt;5),1,0)+IF(AND(Y596&lt;&gt;"-",Y596&gt;5),1,0)+IF(AND(AA596&lt;&gt;"-",AA596&gt;5),1,0)+IF(AND(AC596&lt;&gt;"-",AC596&gt;5),1,0)+IF(AND(AE596&lt;&gt;"-",AE596&gt;5),1,0)+IF(AND(AG596&lt;&gt;"-",AG596&gt;5),1,0)+IF(AND(AI596&lt;&gt;"-",AI596&gt;5),1,0)+IF(AND(AK596&lt;&gt;"-",AK596&gt;5),1,0)+IF(AND(AM596&lt;&gt;"-",AM596&gt;5),1,0)+IF(AND(AO596&lt;&gt;"-",AO596&gt;5),1,0)</f>
        <v>1</v>
      </c>
      <c r="AY596" s="48">
        <f>VLOOKUP(AP596,COND!$A$10:$B$32,2,FALSE)</f>
        <v>0.9</v>
      </c>
      <c r="AZ596" s="46">
        <f>($AU$3*AU596+$AV$3*AV596+$AW$3*AW596+$AX$3*AX596)*AY596*IF(AQ596&lt;5,0.95,IF(AQ596&lt;7,0.975,1))+$I$3*VLOOKUP(I596,COND!$A$2:$E$7,4,FALSE)+$J$3*VLOOKUP(J596,COND!$A$2:$E$7,2,FALSE)+$K$3*VLOOKUP(K596,COND!$A$2:$E$7,3,FALSE)+IF(BB596="SP",$BB$3,0)+IF($AW596&lt;3,-5,0)+IF(AND($B$2&gt;0,$E596&lt;20),$B$2*25,0)</f>
        <v>19.751579938320589</v>
      </c>
      <c r="BA596" s="49">
        <f>STANDARDIZE(AZ596,AVERAGE($AZ$5:$AZ$676),STDEVP($AZ$5:$AZ$676))</f>
        <v>-0.93283847744253012</v>
      </c>
      <c r="BB596" s="47" t="str">
        <f>IF(OR(AND(AQ596&gt;7,AX596&gt;1),AND(AQ596&gt;4,AW596&gt;2)),"SP","RP")</f>
        <v>SP</v>
      </c>
      <c r="BC596" s="47"/>
      <c r="BD596" s="47"/>
      <c r="BE596" s="47"/>
      <c r="BF596" s="47" t="str">
        <f>IF(AVERAGE($O596:$Q596)&gt;=6,"Likely",IF(AVERAGE($O596:$Q596)&gt;=4,"Possible","Unlikely"))</f>
        <v>Unlikely</v>
      </c>
      <c r="BG596" s="47"/>
      <c r="BH596" s="47" t="str">
        <f>INDEX(Table5[[#All],[Ovr]],MATCH(Table3[[#This Row],[PID]],Table5[[#All],[PID]],0))</f>
        <v/>
      </c>
      <c r="BI596" s="47" t="str">
        <f>INDEX(Table5[[#All],[Rnd]],MATCH(Table3[[#This Row],[PID]],Table5[[#All],[PID]],0))</f>
        <v/>
      </c>
      <c r="BJ596" s="47" t="str">
        <f>INDEX(Table5[[#All],[Pick]],MATCH(Table3[[#This Row],[PID]],Table5[[#All],[PID]],0))</f>
        <v/>
      </c>
      <c r="BK596" s="47" t="str">
        <f>INDEX(Table5[[#All],[Team]],MATCH(Table3[[#This Row],[PID]],Table5[[#All],[PID]],0))</f>
        <v/>
      </c>
      <c r="BL5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7" spans="1:64" ht="15" customHeight="1" x14ac:dyDescent="0.25">
      <c r="A597" s="42">
        <v>7163</v>
      </c>
      <c r="B597" s="42" t="s">
        <v>430</v>
      </c>
      <c r="C597" s="42" t="s">
        <v>779</v>
      </c>
      <c r="D597" s="42" t="s">
        <v>810</v>
      </c>
      <c r="E597" s="42">
        <v>21</v>
      </c>
      <c r="F597" s="42" t="s">
        <v>53</v>
      </c>
      <c r="G597" s="42" t="s">
        <v>53</v>
      </c>
      <c r="H597" s="43" t="s">
        <v>721</v>
      </c>
      <c r="I597" s="44" t="s">
        <v>44</v>
      </c>
      <c r="J597" s="42" t="s">
        <v>43</v>
      </c>
      <c r="K597" s="43" t="s">
        <v>43</v>
      </c>
      <c r="L597" s="42">
        <v>3</v>
      </c>
      <c r="M597" s="42">
        <v>1</v>
      </c>
      <c r="N597" s="43">
        <v>2</v>
      </c>
      <c r="O597" s="42">
        <v>4</v>
      </c>
      <c r="P597" s="42">
        <v>1</v>
      </c>
      <c r="Q597" s="43">
        <v>2</v>
      </c>
      <c r="R597" s="42">
        <v>4</v>
      </c>
      <c r="S597" s="42">
        <v>5</v>
      </c>
      <c r="T597" s="42">
        <v>3</v>
      </c>
      <c r="U597" s="42">
        <v>4</v>
      </c>
      <c r="V597" s="42" t="s">
        <v>45</v>
      </c>
      <c r="W597" s="42" t="s">
        <v>45</v>
      </c>
      <c r="X597" s="42" t="s">
        <v>45</v>
      </c>
      <c r="Y597" s="42" t="s">
        <v>45</v>
      </c>
      <c r="Z597" s="42" t="s">
        <v>45</v>
      </c>
      <c r="AA597" s="42" t="s">
        <v>45</v>
      </c>
      <c r="AB597" s="42">
        <v>3</v>
      </c>
      <c r="AC597" s="42">
        <v>3</v>
      </c>
      <c r="AD597" s="42" t="s">
        <v>45</v>
      </c>
      <c r="AE597" s="42" t="s">
        <v>45</v>
      </c>
      <c r="AF597" s="42" t="s">
        <v>45</v>
      </c>
      <c r="AG597" s="42" t="s">
        <v>45</v>
      </c>
      <c r="AH597" s="42" t="s">
        <v>45</v>
      </c>
      <c r="AI597" s="42" t="s">
        <v>45</v>
      </c>
      <c r="AJ597" s="42" t="s">
        <v>45</v>
      </c>
      <c r="AK597" s="42" t="s">
        <v>45</v>
      </c>
      <c r="AL597" s="42">
        <v>3</v>
      </c>
      <c r="AM597" s="42">
        <v>4</v>
      </c>
      <c r="AN597" s="42" t="s">
        <v>45</v>
      </c>
      <c r="AO597" s="43" t="s">
        <v>45</v>
      </c>
      <c r="AP597" s="42" t="s">
        <v>57</v>
      </c>
      <c r="AQ597" s="42">
        <v>3</v>
      </c>
      <c r="AR597" s="50" t="s">
        <v>357</v>
      </c>
      <c r="AS597" s="45" t="s">
        <v>45</v>
      </c>
      <c r="AT597" s="45" t="s">
        <v>705</v>
      </c>
      <c r="AU597" s="46">
        <f>($O$3*(L597-$O$1)/$O$2+$P$3*(M597-$P$1)/$P$2+$Q$3*(N597-$P$1)/$Q$2)/SUM($O$3:$Q$3)</f>
        <v>-2.0697810228951408</v>
      </c>
      <c r="AV597" s="46">
        <f>($O$3*(O597-$O$1)/$O$2+$P$3*(P597-$P$1)/$P$2+$Q$3*(Q597-$Q$1)/$Q$2)/SUM($O$3:$Q$3)</f>
        <v>-1.4295949476488956</v>
      </c>
      <c r="AW597" s="47">
        <f>COUNT(R597:AO597)/2</f>
        <v>4</v>
      </c>
      <c r="AX597" s="47">
        <f>IF(AND(S597&lt;&gt;"-",S597&gt;5),1,0)+IF(AND(U597&lt;&gt;"-",U597&gt;5),1,0)+IF(AND(W597&lt;&gt;"-",W597&gt;5),1,0)+IF(AND(Y597&lt;&gt;"-",Y597&gt;5),1,0)+IF(AND(AA597&lt;&gt;"-",AA597&gt;5),1,0)+IF(AND(AC597&lt;&gt;"-",AC597&gt;5),1,0)+IF(AND(AE597&lt;&gt;"-",AE597&gt;5),1,0)+IF(AND(AG597&lt;&gt;"-",AG597&gt;5),1,0)+IF(AND(AI597&lt;&gt;"-",AI597&gt;5),1,0)+IF(AND(AK597&lt;&gt;"-",AK597&gt;5),1,0)+IF(AND(AM597&lt;&gt;"-",AM597&gt;5),1,0)+IF(AND(AO597&lt;&gt;"-",AO597&gt;5),1,0)</f>
        <v>0</v>
      </c>
      <c r="AY597" s="48">
        <f>VLOOKUP(AP597,COND!$A$10:$B$32,2,FALSE)</f>
        <v>1</v>
      </c>
      <c r="AZ597" s="46">
        <f>($AU$3*AU597+$AV$3*AV597+$AW$3*AW597+$AX$3*AX597)*AY597*IF(AQ597&lt;5,0.95,IF(AQ597&lt;7,0.975,1))+$I$3*VLOOKUP(I597,COND!$A$2:$E$7,4,FALSE)+$J$3*VLOOKUP(J597,COND!$A$2:$E$7,2,FALSE)+$K$3*VLOOKUP(K597,COND!$A$2:$E$7,3,FALSE)+IF(BB597="SP",$BB$3,0)+IF($AW597&lt;3,-5,0)+IF(AND($B$2&gt;0,$E597&lt;20),$B$2*25,0)</f>
        <v>19.194437600320903</v>
      </c>
      <c r="BA597" s="49">
        <f>STANDARDIZE(AZ597,AVERAGE($AZ$5:$AZ$570),STDEVP($AZ$5:$AZ$570))</f>
        <v>-1.2405582944570293</v>
      </c>
      <c r="BB597" s="47" t="str">
        <f>IF(OR(AND(AQ597&gt;7,AX597&gt;1),AND(AQ597&gt;4,AW597&gt;2)),"SP","RP")</f>
        <v>RP</v>
      </c>
      <c r="BC597" s="47"/>
      <c r="BD597" s="47"/>
      <c r="BE597" s="47"/>
      <c r="BF597" s="47" t="str">
        <f>IF(AVERAGE($O597:$Q597)&gt;=6,"Likely",IF(AVERAGE($O597:$Q597)&gt;=4,"Possible","Unlikely"))</f>
        <v>Unlikely</v>
      </c>
      <c r="BG597" s="47"/>
      <c r="BH597" s="47" t="str">
        <f>INDEX(Table5[[#All],[Ovr]],MATCH(Table3[[#This Row],[PID]],Table5[[#All],[PID]],0))</f>
        <v/>
      </c>
      <c r="BI597" s="47" t="str">
        <f>INDEX(Table5[[#All],[Rnd]],MATCH(Table3[[#This Row],[PID]],Table5[[#All],[PID]],0))</f>
        <v/>
      </c>
      <c r="BJ597" s="47" t="str">
        <f>INDEX(Table5[[#All],[Pick]],MATCH(Table3[[#This Row],[PID]],Table5[[#All],[PID]],0))</f>
        <v/>
      </c>
      <c r="BK597" s="47" t="str">
        <f>INDEX(Table5[[#All],[Team]],MATCH(Table3[[#This Row],[PID]],Table5[[#All],[PID]],0))</f>
        <v/>
      </c>
      <c r="BL5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8" spans="1:64" ht="15" customHeight="1" x14ac:dyDescent="0.25">
      <c r="A598" s="42">
        <v>11081</v>
      </c>
      <c r="B598" s="42" t="s">
        <v>430</v>
      </c>
      <c r="C598" s="42" t="s">
        <v>724</v>
      </c>
      <c r="D598" s="42" t="s">
        <v>727</v>
      </c>
      <c r="E598" s="42">
        <v>18</v>
      </c>
      <c r="F598" s="42" t="s">
        <v>62</v>
      </c>
      <c r="G598" s="42" t="s">
        <v>42</v>
      </c>
      <c r="H598" s="43" t="s">
        <v>721</v>
      </c>
      <c r="I598" s="44" t="s">
        <v>43</v>
      </c>
      <c r="J598" s="42" t="s">
        <v>43</v>
      </c>
      <c r="K598" s="43" t="s">
        <v>43</v>
      </c>
      <c r="L598" s="42">
        <v>1</v>
      </c>
      <c r="M598" s="42">
        <v>2</v>
      </c>
      <c r="N598" s="43">
        <v>1</v>
      </c>
      <c r="O598" s="42">
        <v>3</v>
      </c>
      <c r="P598" s="42">
        <v>2</v>
      </c>
      <c r="Q598" s="43">
        <v>2</v>
      </c>
      <c r="R598" s="42">
        <v>2</v>
      </c>
      <c r="S598" s="42">
        <v>4</v>
      </c>
      <c r="T598" s="42" t="s">
        <v>45</v>
      </c>
      <c r="U598" s="42" t="s">
        <v>45</v>
      </c>
      <c r="V598" s="42">
        <v>1</v>
      </c>
      <c r="W598" s="42">
        <v>5</v>
      </c>
      <c r="X598" s="42" t="s">
        <v>45</v>
      </c>
      <c r="Y598" s="42" t="s">
        <v>45</v>
      </c>
      <c r="Z598" s="42" t="s">
        <v>45</v>
      </c>
      <c r="AA598" s="42" t="s">
        <v>45</v>
      </c>
      <c r="AB598" s="42" t="s">
        <v>45</v>
      </c>
      <c r="AC598" s="42" t="s">
        <v>45</v>
      </c>
      <c r="AD598" s="42" t="s">
        <v>45</v>
      </c>
      <c r="AE598" s="42" t="s">
        <v>45</v>
      </c>
      <c r="AF598" s="42" t="s">
        <v>45</v>
      </c>
      <c r="AG598" s="42" t="s">
        <v>45</v>
      </c>
      <c r="AH598" s="42" t="s">
        <v>45</v>
      </c>
      <c r="AI598" s="42" t="s">
        <v>45</v>
      </c>
      <c r="AJ598" s="42" t="s">
        <v>45</v>
      </c>
      <c r="AK598" s="42" t="s">
        <v>45</v>
      </c>
      <c r="AL598" s="42" t="s">
        <v>45</v>
      </c>
      <c r="AM598" s="42" t="s">
        <v>45</v>
      </c>
      <c r="AN598" s="42" t="s">
        <v>45</v>
      </c>
      <c r="AO598" s="43" t="s">
        <v>45</v>
      </c>
      <c r="AP598" s="42" t="s">
        <v>68</v>
      </c>
      <c r="AQ598" s="42">
        <v>1</v>
      </c>
      <c r="AR598" s="50" t="s">
        <v>353</v>
      </c>
      <c r="AS598" s="45" t="s">
        <v>718</v>
      </c>
      <c r="AT598" s="45" t="s">
        <v>47</v>
      </c>
      <c r="AU598" s="46">
        <f>($O$3*(L598-$O$1)/$O$2+$P$3*(M598-$P$1)/$P$2+$Q$3*(N598-$P$1)/$Q$2)/SUM($O$3:$Q$3)</f>
        <v>-2.5060525215375429</v>
      </c>
      <c r="AV598" s="46">
        <f>($O$3*(O598-$O$1)/$O$2+$P$3*(P598-$P$1)/$P$2+$Q$3*(Q598-$Q$1)/$Q$2)/SUM($O$3:$Q$3)</f>
        <v>-1.4288545557280135</v>
      </c>
      <c r="AW598" s="47">
        <f>COUNT(R598:AO598)/2</f>
        <v>2</v>
      </c>
      <c r="AX598" s="47">
        <f>IF(AND(S598&lt;&gt;"-",S598&gt;5),1,0)+IF(AND(U598&lt;&gt;"-",U598&gt;5),1,0)+IF(AND(W598&lt;&gt;"-",W598&gt;5),1,0)+IF(AND(Y598&lt;&gt;"-",Y598&gt;5),1,0)+IF(AND(AA598&lt;&gt;"-",AA598&gt;5),1,0)+IF(AND(AC598&lt;&gt;"-",AC598&gt;5),1,0)+IF(AND(AE598&lt;&gt;"-",AE598&gt;5),1,0)+IF(AND(AG598&lt;&gt;"-",AG598&gt;5),1,0)+IF(AND(AI598&lt;&gt;"-",AI598&gt;5),1,0)+IF(AND(AK598&lt;&gt;"-",AK598&gt;5),1,0)+IF(AND(AM598&lt;&gt;"-",AM598&gt;5),1,0)+IF(AND(AO598&lt;&gt;"-",AO598&gt;5),1,0)</f>
        <v>0</v>
      </c>
      <c r="AY598" s="48">
        <f>VLOOKUP(AP598,COND!$A$10:$B$32,2,FALSE)</f>
        <v>0.95</v>
      </c>
      <c r="AZ598" s="46">
        <f>($AU$3*AU598+$AV$3*AV598+$AW$3*AW598+$AX$3*AX598)*AY598*IF(AQ598&lt;5,0.95,IF(AQ598&lt;7,0.975,1))+$I$3*VLOOKUP(I598,COND!$A$2:$E$7,4,FALSE)+$J$3*VLOOKUP(J598,COND!$A$2:$E$7,2,FALSE)+$K$3*VLOOKUP(K598,COND!$A$2:$E$7,3,FALSE)+IF(BB598="SP",$BB$3,0)+IF($AW598&lt;3,-5,0)+IF(AND($B$2&gt;0,$E598&lt;20),$B$2*25,0)</f>
        <v>19.659332788971831</v>
      </c>
      <c r="BA598" s="49">
        <f>STANDARDIZE(AZ598,AVERAGE($AZ$5:$AZ$676),STDEVP($AZ$5:$AZ$676))</f>
        <v>-0.94092325760874729</v>
      </c>
      <c r="BB598" s="47" t="str">
        <f>IF(OR(AND(AQ598&gt;7,AX598&gt;1),AND(AQ598&gt;4,AW598&gt;2)),"SP","RP")</f>
        <v>RP</v>
      </c>
      <c r="BC598" s="47"/>
      <c r="BD598" s="47"/>
      <c r="BE598" s="47"/>
      <c r="BF598" s="47" t="str">
        <f>IF(AVERAGE($O598:$Q598)&gt;=6,"Likely",IF(AVERAGE($O598:$Q598)&gt;=4,"Possible","Unlikely"))</f>
        <v>Unlikely</v>
      </c>
      <c r="BG598" s="47"/>
      <c r="BH598" s="47" t="str">
        <f>INDEX(Table5[[#All],[Ovr]],MATCH(Table3[[#This Row],[PID]],Table5[[#All],[PID]],0))</f>
        <v/>
      </c>
      <c r="BI598" s="47" t="str">
        <f>INDEX(Table5[[#All],[Rnd]],MATCH(Table3[[#This Row],[PID]],Table5[[#All],[PID]],0))</f>
        <v/>
      </c>
      <c r="BJ598" s="47" t="str">
        <f>INDEX(Table5[[#All],[Pick]],MATCH(Table3[[#This Row],[PID]],Table5[[#All],[PID]],0))</f>
        <v/>
      </c>
      <c r="BK598" s="47" t="str">
        <f>INDEX(Table5[[#All],[Team]],MATCH(Table3[[#This Row],[PID]],Table5[[#All],[PID]],0))</f>
        <v/>
      </c>
      <c r="BL5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9" spans="1:64" ht="15" customHeight="1" x14ac:dyDescent="0.25">
      <c r="A599" s="42">
        <v>18068</v>
      </c>
      <c r="B599" s="42" t="s">
        <v>24</v>
      </c>
      <c r="C599" s="42" t="s">
        <v>125</v>
      </c>
      <c r="D599" s="42" t="s">
        <v>633</v>
      </c>
      <c r="E599" s="42">
        <v>22</v>
      </c>
      <c r="F599" s="42" t="s">
        <v>42</v>
      </c>
      <c r="G599" s="42" t="s">
        <v>42</v>
      </c>
      <c r="H599" s="43" t="s">
        <v>721</v>
      </c>
      <c r="I599" s="44" t="s">
        <v>43</v>
      </c>
      <c r="J599" s="42" t="s">
        <v>43</v>
      </c>
      <c r="K599" s="43" t="s">
        <v>44</v>
      </c>
      <c r="L599" s="42">
        <v>2</v>
      </c>
      <c r="M599" s="42">
        <v>1</v>
      </c>
      <c r="N599" s="43">
        <v>1</v>
      </c>
      <c r="O599" s="42">
        <v>4</v>
      </c>
      <c r="P599" s="42">
        <v>1</v>
      </c>
      <c r="Q599" s="43">
        <v>2</v>
      </c>
      <c r="R599" s="42">
        <v>4</v>
      </c>
      <c r="S599" s="42">
        <v>5</v>
      </c>
      <c r="T599" s="42">
        <v>1</v>
      </c>
      <c r="U599" s="42">
        <v>4</v>
      </c>
      <c r="V599" s="42" t="s">
        <v>45</v>
      </c>
      <c r="W599" s="42" t="s">
        <v>45</v>
      </c>
      <c r="X599" s="42">
        <v>3</v>
      </c>
      <c r="Y599" s="42">
        <v>5</v>
      </c>
      <c r="Z599" s="42" t="s">
        <v>45</v>
      </c>
      <c r="AA599" s="42" t="s">
        <v>45</v>
      </c>
      <c r="AB599" s="42" t="s">
        <v>45</v>
      </c>
      <c r="AC599" s="42" t="s">
        <v>45</v>
      </c>
      <c r="AD599" s="42" t="s">
        <v>45</v>
      </c>
      <c r="AE599" s="42" t="s">
        <v>45</v>
      </c>
      <c r="AF599" s="42" t="s">
        <v>45</v>
      </c>
      <c r="AG599" s="42" t="s">
        <v>45</v>
      </c>
      <c r="AH599" s="42" t="s">
        <v>45</v>
      </c>
      <c r="AI599" s="42" t="s">
        <v>45</v>
      </c>
      <c r="AJ599" s="42" t="s">
        <v>45</v>
      </c>
      <c r="AK599" s="42" t="s">
        <v>45</v>
      </c>
      <c r="AL599" s="42" t="s">
        <v>45</v>
      </c>
      <c r="AM599" s="42" t="s">
        <v>45</v>
      </c>
      <c r="AN599" s="42" t="s">
        <v>45</v>
      </c>
      <c r="AO599" s="43" t="s">
        <v>45</v>
      </c>
      <c r="AP599" s="42" t="s">
        <v>57</v>
      </c>
      <c r="AQ599" s="42">
        <v>5</v>
      </c>
      <c r="AR599" s="50" t="s">
        <v>357</v>
      </c>
      <c r="AS599" s="45" t="s">
        <v>45</v>
      </c>
      <c r="AT599" s="45" t="s">
        <v>705</v>
      </c>
      <c r="AU599" s="46">
        <f>($O$3*(L599-$O$1)/$O$2+$P$3*(M599-$P$1)/$P$2+$Q$3*(N599-$P$1)/$Q$2)/SUM($O$3:$Q$3)</f>
        <v>-2.5067929134584248</v>
      </c>
      <c r="AV599" s="46">
        <f>($O$3*(O599-$O$1)/$O$2+$P$3*(P599-$P$1)/$P$2+$Q$3*(Q599-$Q$1)/$Q$2)/SUM($O$3:$Q$3)</f>
        <v>-1.4295949476488956</v>
      </c>
      <c r="AW599" s="47">
        <f>COUNT(R599:AO599)/2</f>
        <v>3</v>
      </c>
      <c r="AX599" s="47">
        <f>IF(AND(S599&lt;&gt;"-",S599&gt;5),1,0)+IF(AND(U599&lt;&gt;"-",U599&gt;5),1,0)+IF(AND(W599&lt;&gt;"-",W599&gt;5),1,0)+IF(AND(Y599&lt;&gt;"-",Y599&gt;5),1,0)+IF(AND(AA599&lt;&gt;"-",AA599&gt;5),1,0)+IF(AND(AC599&lt;&gt;"-",AC599&gt;5),1,0)+IF(AND(AE599&lt;&gt;"-",AE599&gt;5),1,0)+IF(AND(AG599&lt;&gt;"-",AG599&gt;5),1,0)+IF(AND(AI599&lt;&gt;"-",AI599&gt;5),1,0)+IF(AND(AK599&lt;&gt;"-",AK599&gt;5),1,0)+IF(AND(AM599&lt;&gt;"-",AM599&gt;5),1,0)+IF(AND(AO599&lt;&gt;"-",AO599&gt;5),1,0)</f>
        <v>0</v>
      </c>
      <c r="AY599" s="48">
        <f>VLOOKUP(AP599,COND!$A$10:$B$32,2,FALSE)</f>
        <v>1</v>
      </c>
      <c r="AZ599" s="46">
        <f>($AU$3*AU599+$AV$3*AV599+$AW$3*AW599+$AX$3*AX599)*AY599*IF(AQ599&lt;5,0.95,IF(AQ599&lt;7,0.975,1))+$I$3*VLOOKUP(I599,COND!$A$2:$E$7,4,FALSE)+$J$3*VLOOKUP(J599,COND!$A$2:$E$7,2,FALSE)+$K$3*VLOOKUP(K599,COND!$A$2:$E$7,3,FALSE)+IF(BB599="SP",$BB$3,0)+IF($AW599&lt;3,-5,0)+IF(AND($B$2&gt;0,$E599&lt;20),$B$2*25,0)</f>
        <v>19.796573902722141</v>
      </c>
      <c r="BA599" s="49">
        <f>STANDARDIZE(AZ599,AVERAGE($AZ$5:$AZ$570),STDEVP($AZ$5:$AZ$570))</f>
        <v>-1.18533982194219</v>
      </c>
      <c r="BB599" s="47" t="str">
        <f>IF(OR(AND(AQ599&gt;7,AX599&gt;1),AND(AQ599&gt;4,AW599&gt;2)),"SP","RP")</f>
        <v>SP</v>
      </c>
      <c r="BC599" s="47"/>
      <c r="BD599" s="47"/>
      <c r="BE599" s="47"/>
      <c r="BF599" s="47" t="str">
        <f>IF(AVERAGE($O599:$Q599)&gt;=6,"Likely",IF(AVERAGE($O599:$Q599)&gt;=4,"Possible","Unlikely"))</f>
        <v>Unlikely</v>
      </c>
      <c r="BG599" s="47"/>
      <c r="BH599" s="47" t="str">
        <f>INDEX(Table5[[#All],[Ovr]],MATCH(Table3[[#This Row],[PID]],Table5[[#All],[PID]],0))</f>
        <v/>
      </c>
      <c r="BI599" s="47" t="str">
        <f>INDEX(Table5[[#All],[Rnd]],MATCH(Table3[[#This Row],[PID]],Table5[[#All],[PID]],0))</f>
        <v/>
      </c>
      <c r="BJ599" s="47" t="str">
        <f>INDEX(Table5[[#All],[Pick]],MATCH(Table3[[#This Row],[PID]],Table5[[#All],[PID]],0))</f>
        <v/>
      </c>
      <c r="BK599" s="47" t="str">
        <f>INDEX(Table5[[#All],[Team]],MATCH(Table3[[#This Row],[PID]],Table5[[#All],[PID]],0))</f>
        <v/>
      </c>
      <c r="BL5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0" spans="1:64" ht="15" customHeight="1" x14ac:dyDescent="0.25">
      <c r="A600" s="42">
        <v>18058</v>
      </c>
      <c r="B600" s="42" t="s">
        <v>24</v>
      </c>
      <c r="C600" s="42" t="s">
        <v>190</v>
      </c>
      <c r="D600" s="42" t="s">
        <v>788</v>
      </c>
      <c r="E600" s="42">
        <v>22</v>
      </c>
      <c r="F600" s="42" t="s">
        <v>53</v>
      </c>
      <c r="G600" s="42" t="s">
        <v>53</v>
      </c>
      <c r="H600" s="43" t="s">
        <v>721</v>
      </c>
      <c r="I600" s="44" t="s">
        <v>43</v>
      </c>
      <c r="J600" s="42" t="s">
        <v>44</v>
      </c>
      <c r="K600" s="43" t="s">
        <v>44</v>
      </c>
      <c r="L600" s="42">
        <v>2</v>
      </c>
      <c r="M600" s="42">
        <v>1</v>
      </c>
      <c r="N600" s="43">
        <v>1</v>
      </c>
      <c r="O600" s="42">
        <v>4</v>
      </c>
      <c r="P600" s="42">
        <v>1</v>
      </c>
      <c r="Q600" s="43">
        <v>2</v>
      </c>
      <c r="R600" s="42">
        <v>3</v>
      </c>
      <c r="S600" s="42">
        <v>4</v>
      </c>
      <c r="T600" s="42">
        <v>1</v>
      </c>
      <c r="U600" s="42">
        <v>5</v>
      </c>
      <c r="V600" s="42" t="s">
        <v>45</v>
      </c>
      <c r="W600" s="42" t="s">
        <v>45</v>
      </c>
      <c r="X600" s="42">
        <v>2</v>
      </c>
      <c r="Y600" s="42">
        <v>5</v>
      </c>
      <c r="Z600" s="42" t="s">
        <v>45</v>
      </c>
      <c r="AA600" s="42" t="s">
        <v>45</v>
      </c>
      <c r="AB600" s="42">
        <v>3</v>
      </c>
      <c r="AC600" s="42">
        <v>4</v>
      </c>
      <c r="AD600" s="42" t="s">
        <v>45</v>
      </c>
      <c r="AE600" s="42" t="s">
        <v>45</v>
      </c>
      <c r="AF600" s="42">
        <v>3</v>
      </c>
      <c r="AG600" s="42">
        <v>5</v>
      </c>
      <c r="AH600" s="42" t="s">
        <v>45</v>
      </c>
      <c r="AI600" s="42" t="s">
        <v>45</v>
      </c>
      <c r="AJ600" s="42" t="s">
        <v>45</v>
      </c>
      <c r="AK600" s="42" t="s">
        <v>45</v>
      </c>
      <c r="AL600" s="42" t="s">
        <v>45</v>
      </c>
      <c r="AM600" s="42" t="s">
        <v>45</v>
      </c>
      <c r="AN600" s="42" t="s">
        <v>45</v>
      </c>
      <c r="AO600" s="43" t="s">
        <v>45</v>
      </c>
      <c r="AP600" s="42" t="s">
        <v>356</v>
      </c>
      <c r="AQ600" s="42">
        <v>6</v>
      </c>
      <c r="AR600" s="50" t="s">
        <v>357</v>
      </c>
      <c r="AS600" s="45" t="s">
        <v>45</v>
      </c>
      <c r="AT600" s="45" t="s">
        <v>47</v>
      </c>
      <c r="AU600" s="46">
        <f>($O$3*(L600-$O$1)/$O$2+$P$3*(M600-$P$1)/$P$2+$Q$3*(N600-$P$1)/$Q$2)/SUM($O$3:$Q$3)</f>
        <v>-2.5067929134584248</v>
      </c>
      <c r="AV600" s="46">
        <f>($O$3*(O600-$O$1)/$O$2+$P$3*(P600-$P$1)/$P$2+$Q$3*(Q600-$Q$1)/$Q$2)/SUM($O$3:$Q$3)</f>
        <v>-1.4295949476488956</v>
      </c>
      <c r="AW600" s="47">
        <f>COUNT(R600:AO600)/2</f>
        <v>5</v>
      </c>
      <c r="AX600" s="47">
        <f>IF(AND(S600&lt;&gt;"-",S600&gt;5),1,0)+IF(AND(U600&lt;&gt;"-",U600&gt;5),1,0)+IF(AND(W600&lt;&gt;"-",W600&gt;5),1,0)+IF(AND(Y600&lt;&gt;"-",Y600&gt;5),1,0)+IF(AND(AA600&lt;&gt;"-",AA600&gt;5),1,0)+IF(AND(AC600&lt;&gt;"-",AC600&gt;5),1,0)+IF(AND(AE600&lt;&gt;"-",AE600&gt;5),1,0)+IF(AND(AG600&lt;&gt;"-",AG600&gt;5),1,0)+IF(AND(AI600&lt;&gt;"-",AI600&gt;5),1,0)+IF(AND(AK600&lt;&gt;"-",AK600&gt;5),1,0)+IF(AND(AM600&lt;&gt;"-",AM600&gt;5),1,0)+IF(AND(AO600&lt;&gt;"-",AO600&gt;5),1,0)</f>
        <v>0</v>
      </c>
      <c r="AY600" s="48">
        <f>VLOOKUP(AP600,COND!$A$10:$B$32,2,FALSE)</f>
        <v>1</v>
      </c>
      <c r="AZ600" s="46">
        <f>($AU$3*AU600+$AV$3*AV600+$AW$3*AW600+$AX$3*AX600)*AY600*IF(AQ600&lt;5,0.95,IF(AQ600&lt;7,0.975,1))+$I$3*VLOOKUP(I600,COND!$A$2:$E$7,4,FALSE)+$J$3*VLOOKUP(J600,COND!$A$2:$E$7,2,FALSE)+$K$3*VLOOKUP(K600,COND!$A$2:$E$7,3,FALSE)+IF(BB600="SP",$BB$3,0)+IF($AW600&lt;3,-5,0)+IF(AND($B$2&gt;0,$E600&lt;20),$B$2*25,0)</f>
        <v>20.471573902722138</v>
      </c>
      <c r="BA600" s="49">
        <f>STANDARDIZE(AZ600,AVERAGE($AZ$5:$AZ$570),STDEVP($AZ$5:$AZ$570))</f>
        <v>-1.1234394369315557</v>
      </c>
      <c r="BB600" s="47" t="str">
        <f>IF(OR(AND(AQ600&gt;7,AX600&gt;1),AND(AQ600&gt;4,AW600&gt;2)),"SP","RP")</f>
        <v>SP</v>
      </c>
      <c r="BC600" s="47"/>
      <c r="BD600" s="47"/>
      <c r="BE600" s="47"/>
      <c r="BF600" s="47" t="str">
        <f>IF(AVERAGE($O600:$Q600)&gt;=6,"Likely",IF(AVERAGE($O600:$Q600)&gt;=4,"Possible","Unlikely"))</f>
        <v>Unlikely</v>
      </c>
      <c r="BG600" s="47"/>
      <c r="BH600" s="47" t="str">
        <f>INDEX(Table5[[#All],[Ovr]],MATCH(Table3[[#This Row],[PID]],Table5[[#All],[PID]],0))</f>
        <v/>
      </c>
      <c r="BI600" s="47" t="str">
        <f>INDEX(Table5[[#All],[Rnd]],MATCH(Table3[[#This Row],[PID]],Table5[[#All],[PID]],0))</f>
        <v/>
      </c>
      <c r="BJ600" s="47" t="str">
        <f>INDEX(Table5[[#All],[Pick]],MATCH(Table3[[#This Row],[PID]],Table5[[#All],[PID]],0))</f>
        <v/>
      </c>
      <c r="BK600" s="47" t="str">
        <f>INDEX(Table5[[#All],[Team]],MATCH(Table3[[#This Row],[PID]],Table5[[#All],[PID]],0))</f>
        <v/>
      </c>
      <c r="BL6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1" spans="1:64" ht="15" customHeight="1" x14ac:dyDescent="0.25">
      <c r="A601" s="42">
        <v>12968</v>
      </c>
      <c r="B601" s="42" t="s">
        <v>430</v>
      </c>
      <c r="C601" s="42" t="s">
        <v>1099</v>
      </c>
      <c r="D601" s="42" t="s">
        <v>1644</v>
      </c>
      <c r="E601" s="42">
        <v>21</v>
      </c>
      <c r="F601" s="42" t="s">
        <v>53</v>
      </c>
      <c r="G601" s="42" t="s">
        <v>53</v>
      </c>
      <c r="H601" s="43" t="s">
        <v>721</v>
      </c>
      <c r="I601" s="44" t="s">
        <v>43</v>
      </c>
      <c r="J601" s="42" t="s">
        <v>43</v>
      </c>
      <c r="K601" s="43" t="s">
        <v>43</v>
      </c>
      <c r="L601" s="42">
        <v>2</v>
      </c>
      <c r="M601" s="42">
        <v>2</v>
      </c>
      <c r="N601" s="43">
        <v>1</v>
      </c>
      <c r="O601" s="42">
        <v>4</v>
      </c>
      <c r="P601" s="42">
        <v>2</v>
      </c>
      <c r="Q601" s="43">
        <v>1</v>
      </c>
      <c r="R601" s="42">
        <v>4</v>
      </c>
      <c r="S601" s="42">
        <v>5</v>
      </c>
      <c r="T601" s="42">
        <v>1</v>
      </c>
      <c r="U601" s="42">
        <v>1</v>
      </c>
      <c r="V601" s="42">
        <v>2</v>
      </c>
      <c r="W601" s="42">
        <v>5</v>
      </c>
      <c r="X601" s="42" t="s">
        <v>45</v>
      </c>
      <c r="Y601" s="42" t="s">
        <v>45</v>
      </c>
      <c r="Z601" s="42" t="s">
        <v>45</v>
      </c>
      <c r="AA601" s="42" t="s">
        <v>45</v>
      </c>
      <c r="AB601" s="42" t="s">
        <v>45</v>
      </c>
      <c r="AC601" s="42" t="s">
        <v>45</v>
      </c>
      <c r="AD601" s="42" t="s">
        <v>45</v>
      </c>
      <c r="AE601" s="42" t="s">
        <v>45</v>
      </c>
      <c r="AF601" s="42">
        <v>3</v>
      </c>
      <c r="AG601" s="42">
        <v>4</v>
      </c>
      <c r="AH601" s="42" t="s">
        <v>45</v>
      </c>
      <c r="AI601" s="42" t="s">
        <v>45</v>
      </c>
      <c r="AJ601" s="42" t="s">
        <v>45</v>
      </c>
      <c r="AK601" s="42" t="s">
        <v>45</v>
      </c>
      <c r="AL601" s="42" t="s">
        <v>45</v>
      </c>
      <c r="AM601" s="42" t="s">
        <v>45</v>
      </c>
      <c r="AN601" s="42" t="s">
        <v>45</v>
      </c>
      <c r="AO601" s="43" t="s">
        <v>45</v>
      </c>
      <c r="AP601" s="42" t="s">
        <v>356</v>
      </c>
      <c r="AQ601" s="42">
        <v>7</v>
      </c>
      <c r="AR601" s="50" t="s">
        <v>353</v>
      </c>
      <c r="AS601" s="45" t="s">
        <v>45</v>
      </c>
      <c r="AT601" s="45" t="s">
        <v>705</v>
      </c>
      <c r="AU601" s="46">
        <f>($O$3*(L601-$O$1)/$O$2+$P$3*(M601-$P$1)/$P$2+$Q$3*(N601-$P$1)/$Q$2)/SUM($O$3:$Q$3)</f>
        <v>-2.311361197028369</v>
      </c>
      <c r="AV601" s="46">
        <f>($O$3*(O601-$O$1)/$O$2+$P$3*(P601-$P$1)/$P$2+$Q$3*(Q601-$Q$1)/$Q$2)/SUM($O$3:$Q$3)</f>
        <v>-1.4764837972729503</v>
      </c>
      <c r="AW601" s="47">
        <f>COUNT(R601:AO601)/2</f>
        <v>4</v>
      </c>
      <c r="AX601" s="47">
        <f>IF(AND(S601&lt;&gt;"-",S601&gt;5),1,0)+IF(AND(U601&lt;&gt;"-",U601&gt;5),1,0)+IF(AND(W601&lt;&gt;"-",W601&gt;5),1,0)+IF(AND(Y601&lt;&gt;"-",Y601&gt;5),1,0)+IF(AND(AA601&lt;&gt;"-",AA601&gt;5),1,0)+IF(AND(AC601&lt;&gt;"-",AC601&gt;5),1,0)+IF(AND(AE601&lt;&gt;"-",AE601&gt;5),1,0)+IF(AND(AG601&lt;&gt;"-",AG601&gt;5),1,0)+IF(AND(AI601&lt;&gt;"-",AI601&gt;5),1,0)+IF(AND(AK601&lt;&gt;"-",AK601&gt;5),1,0)+IF(AND(AM601&lt;&gt;"-",AM601&gt;5),1,0)+IF(AND(AO601&lt;&gt;"-",AO601&gt;5),1,0)</f>
        <v>0</v>
      </c>
      <c r="AY601" s="48">
        <f>VLOOKUP(AP601,COND!$A$10:$B$32,2,FALSE)</f>
        <v>1</v>
      </c>
      <c r="AZ601" s="46">
        <f>($AU$3*AU601+$AV$3*AV601+$AW$3*AW601+$AX$3*AX601)*AY601*IF(AQ601&lt;5,0.95,IF(AQ601&lt;7,0.975,1))+$I$3*VLOOKUP(I601,COND!$A$2:$E$7,4,FALSE)+$J$3*VLOOKUP(J601,COND!$A$2:$E$7,2,FALSE)+$K$3*VLOOKUP(K601,COND!$A$2:$E$7,3,FALSE)+IF(BB601="SP",$BB$3,0)+IF($AW601&lt;3,-5,0)+IF(AND($B$2&gt;0,$E601&lt;20),$B$2*25,0)</f>
        <v>19.008051815135321</v>
      </c>
      <c r="BA601" s="49">
        <f>STANDARDIZE(AZ601,AVERAGE($AZ$5:$AZ$570),STDEVP($AZ$5:$AZ$570))</f>
        <v>-1.2576506675881358</v>
      </c>
      <c r="BB601" s="47" t="str">
        <f>IF(OR(AND(AQ601&gt;7,AX601&gt;1),AND(AQ601&gt;4,AW601&gt;2)),"SP","RP")</f>
        <v>SP</v>
      </c>
      <c r="BC601" s="47"/>
      <c r="BD601" s="47"/>
      <c r="BE601" s="47"/>
      <c r="BF601" s="47" t="str">
        <f>IF(AVERAGE($O601:$Q601)&gt;=6,"Likely",IF(AVERAGE($O601:$Q601)&gt;=4,"Possible","Unlikely"))</f>
        <v>Unlikely</v>
      </c>
      <c r="BG601" s="47"/>
      <c r="BH601" s="47" t="str">
        <f>INDEX(Table5[[#All],[Ovr]],MATCH(Table3[[#This Row],[PID]],Table5[[#All],[PID]],0))</f>
        <v/>
      </c>
      <c r="BI601" s="47" t="str">
        <f>INDEX(Table5[[#All],[Rnd]],MATCH(Table3[[#This Row],[PID]],Table5[[#All],[PID]],0))</f>
        <v/>
      </c>
      <c r="BJ601" s="47" t="str">
        <f>INDEX(Table5[[#All],[Pick]],MATCH(Table3[[#This Row],[PID]],Table5[[#All],[PID]],0))</f>
        <v/>
      </c>
      <c r="BK601" s="47" t="str">
        <f>INDEX(Table5[[#All],[Team]],MATCH(Table3[[#This Row],[PID]],Table5[[#All],[PID]],0))</f>
        <v/>
      </c>
      <c r="BL6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2" spans="1:64" ht="15" customHeight="1" x14ac:dyDescent="0.25">
      <c r="A602" s="42">
        <v>17626</v>
      </c>
      <c r="B602" s="42" t="s">
        <v>430</v>
      </c>
      <c r="C602" s="42" t="s">
        <v>338</v>
      </c>
      <c r="D602" s="42" t="s">
        <v>1794</v>
      </c>
      <c r="E602" s="42">
        <v>18</v>
      </c>
      <c r="F602" s="42" t="s">
        <v>42</v>
      </c>
      <c r="G602" s="42" t="s">
        <v>53</v>
      </c>
      <c r="H602" s="43" t="s">
        <v>721</v>
      </c>
      <c r="I602" s="44" t="s">
        <v>43</v>
      </c>
      <c r="J602" s="42" t="s">
        <v>44</v>
      </c>
      <c r="K602" s="43" t="s">
        <v>43</v>
      </c>
      <c r="L602" s="42">
        <v>1</v>
      </c>
      <c r="M602" s="42">
        <v>1</v>
      </c>
      <c r="N602" s="43">
        <v>1</v>
      </c>
      <c r="O602" s="42">
        <v>3</v>
      </c>
      <c r="P602" s="42">
        <v>1</v>
      </c>
      <c r="Q602" s="43">
        <v>2</v>
      </c>
      <c r="R602" s="42">
        <v>3</v>
      </c>
      <c r="S602" s="42">
        <v>4</v>
      </c>
      <c r="T602" s="42">
        <v>1</v>
      </c>
      <c r="U602" s="42">
        <v>2</v>
      </c>
      <c r="V602" s="42" t="s">
        <v>45</v>
      </c>
      <c r="W602" s="42" t="s">
        <v>45</v>
      </c>
      <c r="X602" s="42">
        <v>2</v>
      </c>
      <c r="Y602" s="42">
        <v>4</v>
      </c>
      <c r="Z602" s="42" t="s">
        <v>45</v>
      </c>
      <c r="AA602" s="42" t="s">
        <v>45</v>
      </c>
      <c r="AB602" s="42" t="s">
        <v>45</v>
      </c>
      <c r="AC602" s="42" t="s">
        <v>45</v>
      </c>
      <c r="AD602" s="42" t="s">
        <v>45</v>
      </c>
      <c r="AE602" s="42" t="s">
        <v>45</v>
      </c>
      <c r="AF602" s="42" t="s">
        <v>45</v>
      </c>
      <c r="AG602" s="42" t="s">
        <v>45</v>
      </c>
      <c r="AH602" s="42" t="s">
        <v>45</v>
      </c>
      <c r="AI602" s="42" t="s">
        <v>45</v>
      </c>
      <c r="AJ602" s="42" t="s">
        <v>45</v>
      </c>
      <c r="AK602" s="42" t="s">
        <v>45</v>
      </c>
      <c r="AL602" s="42" t="s">
        <v>45</v>
      </c>
      <c r="AM602" s="42" t="s">
        <v>45</v>
      </c>
      <c r="AN602" s="42" t="s">
        <v>45</v>
      </c>
      <c r="AO602" s="43" t="s">
        <v>45</v>
      </c>
      <c r="AP602" s="42" t="s">
        <v>64</v>
      </c>
      <c r="AQ602" s="42">
        <v>8</v>
      </c>
      <c r="AR602" s="50" t="s">
        <v>353</v>
      </c>
      <c r="AS602" s="45" t="s">
        <v>718</v>
      </c>
      <c r="AT602" s="45" t="s">
        <v>47</v>
      </c>
      <c r="AU602" s="46">
        <f>($O$3*(L602-$O$1)/$O$2+$P$3*(M602-$P$1)/$P$2+$Q$3*(N602-$P$1)/$Q$2)/SUM($O$3:$Q$3)</f>
        <v>-2.7014842379675978</v>
      </c>
      <c r="AV602" s="46">
        <f>($O$3*(O602-$O$1)/$O$2+$P$3*(P602-$P$1)/$P$2+$Q$3*(Q602-$Q$1)/$Q$2)/SUM($O$3:$Q$3)</f>
        <v>-1.6242862721580691</v>
      </c>
      <c r="AW602" s="47">
        <f>COUNT(R602:AO602)/2</f>
        <v>3</v>
      </c>
      <c r="AX602" s="47">
        <f>IF(AND(S602&lt;&gt;"-",S602&gt;5),1,0)+IF(AND(U602&lt;&gt;"-",U602&gt;5),1,0)+IF(AND(W602&lt;&gt;"-",W602&gt;5),1,0)+IF(AND(Y602&lt;&gt;"-",Y602&gt;5),1,0)+IF(AND(AA602&lt;&gt;"-",AA602&gt;5),1,0)+IF(AND(AC602&lt;&gt;"-",AC602&gt;5),1,0)+IF(AND(AE602&lt;&gt;"-",AE602&gt;5),1,0)+IF(AND(AG602&lt;&gt;"-",AG602&gt;5),1,0)+IF(AND(AI602&lt;&gt;"-",AI602&gt;5),1,0)+IF(AND(AK602&lt;&gt;"-",AK602&gt;5),1,0)+IF(AND(AM602&lt;&gt;"-",AM602&gt;5),1,0)+IF(AND(AO602&lt;&gt;"-",AO602&gt;5),1,0)</f>
        <v>0</v>
      </c>
      <c r="AY602" s="48">
        <f>VLOOKUP(AP602,COND!$A$10:$B$32,2,FALSE)</f>
        <v>1</v>
      </c>
      <c r="AZ602" s="46">
        <f>($AU$3*AU602+$AV$3*AV602+$AW$3*AW602+$AX$3*AX602)*AY602*IF(AQ602&lt;5,0.95,IF(AQ602&lt;7,0.975,1))+$I$3*VLOOKUP(I602,COND!$A$2:$E$7,4,FALSE)+$J$3*VLOOKUP(J602,COND!$A$2:$E$7,2,FALSE)+$K$3*VLOOKUP(K602,COND!$A$2:$E$7,3,FALSE)+IF(BB602="SP",$BB$3,0)+IF($AW602&lt;3,-5,0)+IF(AND($B$2&gt;0,$E602&lt;20),$B$2*25,0)</f>
        <v>20.173977709245097</v>
      </c>
      <c r="BA602" s="49">
        <f>STANDARDIZE(AZ602,AVERAGE($AZ$5:$AZ$676),STDEVP($AZ$5:$AZ$676))</f>
        <v>-0.89581843785611681</v>
      </c>
      <c r="BB602" s="47" t="str">
        <f>IF(OR(AND(AQ602&gt;7,AX602&gt;1),AND(AQ602&gt;4,AW602&gt;2)),"SP","RP")</f>
        <v>SP</v>
      </c>
      <c r="BC602" s="47"/>
      <c r="BD602" s="47"/>
      <c r="BE602" s="47"/>
      <c r="BF602" s="47" t="str">
        <f>IF(AVERAGE($O602:$Q602)&gt;=6,"Likely",IF(AVERAGE($O602:$Q602)&gt;=4,"Possible","Unlikely"))</f>
        <v>Unlikely</v>
      </c>
      <c r="BG602" s="47"/>
      <c r="BH602" s="47" t="str">
        <f>INDEX(Table5[[#All],[Ovr]],MATCH(Table3[[#This Row],[PID]],Table5[[#All],[PID]],0))</f>
        <v/>
      </c>
      <c r="BI602" s="47" t="str">
        <f>INDEX(Table5[[#All],[Rnd]],MATCH(Table3[[#This Row],[PID]],Table5[[#All],[PID]],0))</f>
        <v/>
      </c>
      <c r="BJ602" s="47" t="str">
        <f>INDEX(Table5[[#All],[Pick]],MATCH(Table3[[#This Row],[PID]],Table5[[#All],[PID]],0))</f>
        <v/>
      </c>
      <c r="BK602" s="47" t="str">
        <f>INDEX(Table5[[#All],[Team]],MATCH(Table3[[#This Row],[PID]],Table5[[#All],[PID]],0))</f>
        <v/>
      </c>
      <c r="BL6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3" spans="1:64" ht="15" customHeight="1" x14ac:dyDescent="0.25">
      <c r="A603" s="42">
        <v>8398</v>
      </c>
      <c r="B603" s="42" t="s">
        <v>430</v>
      </c>
      <c r="C603" s="42" t="s">
        <v>199</v>
      </c>
      <c r="D603" s="42" t="s">
        <v>800</v>
      </c>
      <c r="E603" s="42">
        <v>18</v>
      </c>
      <c r="F603" s="42" t="s">
        <v>42</v>
      </c>
      <c r="G603" s="42" t="s">
        <v>42</v>
      </c>
      <c r="H603" s="43" t="s">
        <v>721</v>
      </c>
      <c r="I603" s="44" t="s">
        <v>43</v>
      </c>
      <c r="J603" s="42" t="s">
        <v>44</v>
      </c>
      <c r="K603" s="43" t="s">
        <v>43</v>
      </c>
      <c r="L603" s="42">
        <v>1</v>
      </c>
      <c r="M603" s="42">
        <v>1</v>
      </c>
      <c r="N603" s="43">
        <v>1</v>
      </c>
      <c r="O603" s="42">
        <v>3</v>
      </c>
      <c r="P603" s="42">
        <v>1</v>
      </c>
      <c r="Q603" s="43">
        <v>3</v>
      </c>
      <c r="R603" s="42">
        <v>2</v>
      </c>
      <c r="S603" s="42">
        <v>4</v>
      </c>
      <c r="T603" s="42" t="s">
        <v>45</v>
      </c>
      <c r="U603" s="42" t="s">
        <v>45</v>
      </c>
      <c r="V603" s="42" t="s">
        <v>45</v>
      </c>
      <c r="W603" s="42" t="s">
        <v>45</v>
      </c>
      <c r="X603" s="42">
        <v>1</v>
      </c>
      <c r="Y603" s="42">
        <v>5</v>
      </c>
      <c r="Z603" s="42" t="s">
        <v>45</v>
      </c>
      <c r="AA603" s="42" t="s">
        <v>45</v>
      </c>
      <c r="AB603" s="42" t="s">
        <v>45</v>
      </c>
      <c r="AC603" s="42" t="s">
        <v>45</v>
      </c>
      <c r="AD603" s="42" t="s">
        <v>45</v>
      </c>
      <c r="AE603" s="42" t="s">
        <v>45</v>
      </c>
      <c r="AF603" s="42" t="s">
        <v>45</v>
      </c>
      <c r="AG603" s="42" t="s">
        <v>45</v>
      </c>
      <c r="AH603" s="42" t="s">
        <v>45</v>
      </c>
      <c r="AI603" s="42" t="s">
        <v>45</v>
      </c>
      <c r="AJ603" s="42" t="s">
        <v>45</v>
      </c>
      <c r="AK603" s="42" t="s">
        <v>45</v>
      </c>
      <c r="AL603" s="42" t="s">
        <v>45</v>
      </c>
      <c r="AM603" s="42" t="s">
        <v>45</v>
      </c>
      <c r="AN603" s="42" t="s">
        <v>45</v>
      </c>
      <c r="AO603" s="43" t="s">
        <v>45</v>
      </c>
      <c r="AP603" s="42" t="s">
        <v>68</v>
      </c>
      <c r="AQ603" s="42">
        <v>3</v>
      </c>
      <c r="AR603" s="50" t="s">
        <v>14</v>
      </c>
      <c r="AS603" s="45" t="s">
        <v>718</v>
      </c>
      <c r="AT603" s="45" t="s">
        <v>47</v>
      </c>
      <c r="AU603" s="46">
        <f>($O$3*(L603-$O$1)/$O$2+$P$3*(M603-$P$1)/$P$2+$Q$3*(N603-$P$1)/$Q$2)/SUM($O$3:$Q$3)</f>
        <v>-2.7014842379675978</v>
      </c>
      <c r="AV603" s="46">
        <f>($O$3*(O603-$O$1)/$O$2+$P$3*(P603-$P$1)/$P$2+$Q$3*(Q603-$Q$1)/$Q$2)/SUM($O$3:$Q$3)</f>
        <v>-1.3819657061039585</v>
      </c>
      <c r="AW603" s="47">
        <f>COUNT(R603:AO603)/2</f>
        <v>2</v>
      </c>
      <c r="AX603" s="47">
        <f>IF(AND(S603&lt;&gt;"-",S603&gt;5),1,0)+IF(AND(U603&lt;&gt;"-",U603&gt;5),1,0)+IF(AND(W603&lt;&gt;"-",W603&gt;5),1,0)+IF(AND(Y603&lt;&gt;"-",Y603&gt;5),1,0)+IF(AND(AA603&lt;&gt;"-",AA603&gt;5),1,0)+IF(AND(AC603&lt;&gt;"-",AC603&gt;5),1,0)+IF(AND(AE603&lt;&gt;"-",AE603&gt;5),1,0)+IF(AND(AG603&lt;&gt;"-",AG603&gt;5),1,0)+IF(AND(AI603&lt;&gt;"-",AI603&gt;5),1,0)+IF(AND(AK603&lt;&gt;"-",AK603&gt;5),1,0)+IF(AND(AM603&lt;&gt;"-",AM603&gt;5),1,0)+IF(AND(AO603&lt;&gt;"-",AO603&gt;5),1,0)</f>
        <v>0</v>
      </c>
      <c r="AY603" s="48">
        <f>VLOOKUP(AP603,COND!$A$10:$B$32,2,FALSE)</f>
        <v>0.95</v>
      </c>
      <c r="AZ603" s="46">
        <f>($AU$3*AU603+$AV$3*AV603+$AW$3*AW603+$AX$3*AX603)*AY603*IF(AQ603&lt;5,0.95,IF(AQ603&lt;7,0.975,1))+$I$3*VLOOKUP(I603,COND!$A$2:$E$7,4,FALSE)+$J$3*VLOOKUP(J603,COND!$A$2:$E$7,2,FALSE)+$K$3*VLOOKUP(K603,COND!$A$2:$E$7,3,FALSE)+IF(BB603="SP",$BB$3,0)+IF($AW603&lt;3,-5,0)+IF(AND($B$2&gt;0,$E603&lt;20),$B$2*25,0)</f>
        <v>20.1704010998704</v>
      </c>
      <c r="BA603" s="49">
        <f>STANDARDIZE(AZ603,AVERAGE($AZ$5:$AZ$676),STDEVP($AZ$5:$AZ$676))</f>
        <v>-0.89613190120689779</v>
      </c>
      <c r="BB603" s="47" t="str">
        <f>IF(OR(AND(AQ603&gt;7,AX603&gt;1),AND(AQ603&gt;4,AW603&gt;2)),"SP","RP")</f>
        <v>RP</v>
      </c>
      <c r="BC603" s="47"/>
      <c r="BD603" s="47"/>
      <c r="BE603" s="47"/>
      <c r="BF603" s="47" t="str">
        <f>IF(AVERAGE($O603:$Q603)&gt;=6,"Likely",IF(AVERAGE($O603:$Q603)&gt;=4,"Possible","Unlikely"))</f>
        <v>Unlikely</v>
      </c>
      <c r="BG603" s="47"/>
      <c r="BH603" s="47" t="str">
        <f>INDEX(Table5[[#All],[Ovr]],MATCH(Table3[[#This Row],[PID]],Table5[[#All],[PID]],0))</f>
        <v/>
      </c>
      <c r="BI603" s="47" t="str">
        <f>INDEX(Table5[[#All],[Rnd]],MATCH(Table3[[#This Row],[PID]],Table5[[#All],[PID]],0))</f>
        <v/>
      </c>
      <c r="BJ603" s="47" t="str">
        <f>INDEX(Table5[[#All],[Pick]],MATCH(Table3[[#This Row],[PID]],Table5[[#All],[PID]],0))</f>
        <v/>
      </c>
      <c r="BK603" s="47" t="str">
        <f>INDEX(Table5[[#All],[Team]],MATCH(Table3[[#This Row],[PID]],Table5[[#All],[PID]],0))</f>
        <v/>
      </c>
      <c r="BL6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4" spans="1:64" ht="15" customHeight="1" x14ac:dyDescent="0.25">
      <c r="A604" s="42">
        <v>12218</v>
      </c>
      <c r="B604" s="42" t="s">
        <v>430</v>
      </c>
      <c r="C604" s="42" t="s">
        <v>205</v>
      </c>
      <c r="D604" s="42" t="s">
        <v>1679</v>
      </c>
      <c r="E604" s="42">
        <v>21</v>
      </c>
      <c r="F604" s="42" t="s">
        <v>62</v>
      </c>
      <c r="G604" s="42" t="s">
        <v>42</v>
      </c>
      <c r="H604" s="43" t="s">
        <v>721</v>
      </c>
      <c r="I604" s="44" t="s">
        <v>43</v>
      </c>
      <c r="J604" s="42" t="s">
        <v>44</v>
      </c>
      <c r="K604" s="43" t="s">
        <v>43</v>
      </c>
      <c r="L604" s="42">
        <v>2</v>
      </c>
      <c r="M604" s="42">
        <v>1</v>
      </c>
      <c r="N604" s="43">
        <v>1</v>
      </c>
      <c r="O604" s="42">
        <v>4</v>
      </c>
      <c r="P604" s="42">
        <v>1</v>
      </c>
      <c r="Q604" s="43">
        <v>2</v>
      </c>
      <c r="R604" s="42">
        <v>4</v>
      </c>
      <c r="S604" s="42">
        <v>5</v>
      </c>
      <c r="T604" s="42" t="s">
        <v>45</v>
      </c>
      <c r="U604" s="42" t="s">
        <v>45</v>
      </c>
      <c r="V604" s="42">
        <v>2</v>
      </c>
      <c r="W604" s="42">
        <v>5</v>
      </c>
      <c r="X604" s="42">
        <v>2</v>
      </c>
      <c r="Y604" s="42">
        <v>3</v>
      </c>
      <c r="Z604" s="42" t="s">
        <v>45</v>
      </c>
      <c r="AA604" s="42" t="s">
        <v>45</v>
      </c>
      <c r="AB604" s="42" t="s">
        <v>45</v>
      </c>
      <c r="AC604" s="42" t="s">
        <v>45</v>
      </c>
      <c r="AD604" s="42" t="s">
        <v>45</v>
      </c>
      <c r="AE604" s="42" t="s">
        <v>45</v>
      </c>
      <c r="AF604" s="42">
        <v>4</v>
      </c>
      <c r="AG604" s="42">
        <v>5</v>
      </c>
      <c r="AH604" s="42" t="s">
        <v>45</v>
      </c>
      <c r="AI604" s="42" t="s">
        <v>45</v>
      </c>
      <c r="AJ604" s="42" t="s">
        <v>45</v>
      </c>
      <c r="AK604" s="42" t="s">
        <v>45</v>
      </c>
      <c r="AL604" s="42" t="s">
        <v>45</v>
      </c>
      <c r="AM604" s="42" t="s">
        <v>45</v>
      </c>
      <c r="AN604" s="42" t="s">
        <v>45</v>
      </c>
      <c r="AO604" s="43" t="s">
        <v>45</v>
      </c>
      <c r="AP604" s="42" t="s">
        <v>56</v>
      </c>
      <c r="AQ604" s="42">
        <v>8</v>
      </c>
      <c r="AR604" s="50" t="s">
        <v>14</v>
      </c>
      <c r="AS604" s="45" t="s">
        <v>717</v>
      </c>
      <c r="AT604" s="45" t="s">
        <v>47</v>
      </c>
      <c r="AU604" s="46">
        <f>($O$3*(L604-$O$1)/$O$2+$P$3*(M604-$P$1)/$P$2+$Q$3*(N604-$P$1)/$Q$2)/SUM($O$3:$Q$3)</f>
        <v>-2.5067929134584248</v>
      </c>
      <c r="AV604" s="46">
        <f>($O$3*(O604-$O$1)/$O$2+$P$3*(P604-$P$1)/$P$2+$Q$3*(Q604-$Q$1)/$Q$2)/SUM($O$3:$Q$3)</f>
        <v>-1.4295949476488956</v>
      </c>
      <c r="AW604" s="47">
        <f>COUNT(R604:AO604)/2</f>
        <v>4</v>
      </c>
      <c r="AX604" s="47">
        <f>IF(AND(S604&lt;&gt;"-",S604&gt;5),1,0)+IF(AND(U604&lt;&gt;"-",U604&gt;5),1,0)+IF(AND(W604&lt;&gt;"-",W604&gt;5),1,0)+IF(AND(Y604&lt;&gt;"-",Y604&gt;5),1,0)+IF(AND(AA604&lt;&gt;"-",AA604&gt;5),1,0)+IF(AND(AC604&lt;&gt;"-",AC604&gt;5),1,0)+IF(AND(AE604&lt;&gt;"-",AE604&gt;5),1,0)+IF(AND(AG604&lt;&gt;"-",AG604&gt;5),1,0)+IF(AND(AI604&lt;&gt;"-",AI604&gt;5),1,0)+IF(AND(AK604&lt;&gt;"-",AK604&gt;5),1,0)+IF(AND(AM604&lt;&gt;"-",AM604&gt;5),1,0)+IF(AND(AO604&lt;&gt;"-",AO604&gt;5),1,0)</f>
        <v>0</v>
      </c>
      <c r="AY604" s="48">
        <f>VLOOKUP(AP604,COND!$A$10:$B$32,2,FALSE)</f>
        <v>1</v>
      </c>
      <c r="AZ604" s="46">
        <f>($AU$3*AU604+$AV$3*AV604+$AW$3*AW604+$AX$3*AX604)*AY604*IF(AQ604&lt;5,0.95,IF(AQ604&lt;7,0.975,1))+$I$3*VLOOKUP(I604,COND!$A$2:$E$7,4,FALSE)+$J$3*VLOOKUP(J604,COND!$A$2:$E$7,2,FALSE)+$K$3*VLOOKUP(K604,COND!$A$2:$E$7,3,FALSE)+IF(BB604="SP",$BB$3,0)+IF($AW604&lt;3,-5,0)+IF(AND($B$2&gt;0,$E604&lt;20),$B$2*25,0)</f>
        <v>19.606742464330399</v>
      </c>
      <c r="BA604" s="49">
        <f>STANDARDIZE(AZ604,AVERAGE($AZ$5:$AZ$570),STDEVP($AZ$5:$AZ$570))</f>
        <v>-1.2027481761993328</v>
      </c>
      <c r="BB604" s="47" t="str">
        <f>IF(OR(AND(AQ604&gt;7,AX604&gt;1),AND(AQ604&gt;4,AW604&gt;2)),"SP","RP")</f>
        <v>SP</v>
      </c>
      <c r="BC604" s="47"/>
      <c r="BD604" s="47"/>
      <c r="BE604" s="47"/>
      <c r="BF604" s="47" t="str">
        <f>IF(AVERAGE($O604:$Q604)&gt;=6,"Likely",IF(AVERAGE($O604:$Q604)&gt;=4,"Possible","Unlikely"))</f>
        <v>Unlikely</v>
      </c>
      <c r="BG604" s="47"/>
      <c r="BH604" s="47" t="str">
        <f>INDEX(Table5[[#All],[Ovr]],MATCH(Table3[[#This Row],[PID]],Table5[[#All],[PID]],0))</f>
        <v/>
      </c>
      <c r="BI604" s="47" t="str">
        <f>INDEX(Table5[[#All],[Rnd]],MATCH(Table3[[#This Row],[PID]],Table5[[#All],[PID]],0))</f>
        <v/>
      </c>
      <c r="BJ604" s="47" t="str">
        <f>INDEX(Table5[[#All],[Pick]],MATCH(Table3[[#This Row],[PID]],Table5[[#All],[PID]],0))</f>
        <v/>
      </c>
      <c r="BK604" s="47" t="str">
        <f>INDEX(Table5[[#All],[Team]],MATCH(Table3[[#This Row],[PID]],Table5[[#All],[PID]],0))</f>
        <v/>
      </c>
      <c r="BL6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5" spans="1:64" ht="15" customHeight="1" x14ac:dyDescent="0.25">
      <c r="A605" s="42">
        <v>9694</v>
      </c>
      <c r="B605" s="42" t="s">
        <v>430</v>
      </c>
      <c r="C605" s="42" t="s">
        <v>292</v>
      </c>
      <c r="D605" s="42" t="s">
        <v>336</v>
      </c>
      <c r="E605" s="42">
        <v>21</v>
      </c>
      <c r="F605" s="42" t="s">
        <v>53</v>
      </c>
      <c r="G605" s="42" t="s">
        <v>53</v>
      </c>
      <c r="H605" s="43" t="s">
        <v>721</v>
      </c>
      <c r="I605" s="44" t="s">
        <v>43</v>
      </c>
      <c r="J605" s="42" t="s">
        <v>44</v>
      </c>
      <c r="K605" s="43" t="s">
        <v>43</v>
      </c>
      <c r="L605" s="42">
        <v>2</v>
      </c>
      <c r="M605" s="42">
        <v>1</v>
      </c>
      <c r="N605" s="43">
        <v>1</v>
      </c>
      <c r="O605" s="42">
        <v>4</v>
      </c>
      <c r="P605" s="42">
        <v>1</v>
      </c>
      <c r="Q605" s="43">
        <v>2</v>
      </c>
      <c r="R605" s="42">
        <v>4</v>
      </c>
      <c r="S605" s="42">
        <v>5</v>
      </c>
      <c r="T605" s="42">
        <v>1</v>
      </c>
      <c r="U605" s="42">
        <v>1</v>
      </c>
      <c r="V605" s="42">
        <v>2</v>
      </c>
      <c r="W605" s="42">
        <v>3</v>
      </c>
      <c r="X605" s="42" t="s">
        <v>45</v>
      </c>
      <c r="Y605" s="42" t="s">
        <v>45</v>
      </c>
      <c r="Z605" s="42" t="s">
        <v>45</v>
      </c>
      <c r="AA605" s="42" t="s">
        <v>45</v>
      </c>
      <c r="AB605" s="42" t="s">
        <v>45</v>
      </c>
      <c r="AC605" s="42" t="s">
        <v>45</v>
      </c>
      <c r="AD605" s="42" t="s">
        <v>45</v>
      </c>
      <c r="AE605" s="42" t="s">
        <v>45</v>
      </c>
      <c r="AF605" s="42">
        <v>3</v>
      </c>
      <c r="AG605" s="42">
        <v>4</v>
      </c>
      <c r="AH605" s="42" t="s">
        <v>45</v>
      </c>
      <c r="AI605" s="42" t="s">
        <v>45</v>
      </c>
      <c r="AJ605" s="42" t="s">
        <v>45</v>
      </c>
      <c r="AK605" s="42" t="s">
        <v>45</v>
      </c>
      <c r="AL605" s="42" t="s">
        <v>45</v>
      </c>
      <c r="AM605" s="42" t="s">
        <v>45</v>
      </c>
      <c r="AN605" s="42" t="s">
        <v>45</v>
      </c>
      <c r="AO605" s="43" t="s">
        <v>45</v>
      </c>
      <c r="AP605" s="42" t="s">
        <v>355</v>
      </c>
      <c r="AQ605" s="42">
        <v>8</v>
      </c>
      <c r="AR605" s="50" t="s">
        <v>14</v>
      </c>
      <c r="AS605" s="45" t="s">
        <v>717</v>
      </c>
      <c r="AT605" s="45" t="s">
        <v>47</v>
      </c>
      <c r="AU605" s="46">
        <f>($O$3*(L605-$O$1)/$O$2+$P$3*(M605-$P$1)/$P$2+$Q$3*(N605-$P$1)/$Q$2)/SUM($O$3:$Q$3)</f>
        <v>-2.5067929134584248</v>
      </c>
      <c r="AV605" s="46">
        <f>($O$3*(O605-$O$1)/$O$2+$P$3*(P605-$P$1)/$P$2+$Q$3*(Q605-$Q$1)/$Q$2)/SUM($O$3:$Q$3)</f>
        <v>-1.4295949476488956</v>
      </c>
      <c r="AW605" s="47">
        <f>COUNT(R605:AO605)/2</f>
        <v>4</v>
      </c>
      <c r="AX605" s="47">
        <f>IF(AND(S605&lt;&gt;"-",S605&gt;5),1,0)+IF(AND(U605&lt;&gt;"-",U605&gt;5),1,0)+IF(AND(W605&lt;&gt;"-",W605&gt;5),1,0)+IF(AND(Y605&lt;&gt;"-",Y605&gt;5),1,0)+IF(AND(AA605&lt;&gt;"-",AA605&gt;5),1,0)+IF(AND(AC605&lt;&gt;"-",AC605&gt;5),1,0)+IF(AND(AE605&lt;&gt;"-",AE605&gt;5),1,0)+IF(AND(AG605&lt;&gt;"-",AG605&gt;5),1,0)+IF(AND(AI605&lt;&gt;"-",AI605&gt;5),1,0)+IF(AND(AK605&lt;&gt;"-",AK605&gt;5),1,0)+IF(AND(AM605&lt;&gt;"-",AM605&gt;5),1,0)+IF(AND(AO605&lt;&gt;"-",AO605&gt;5),1,0)</f>
        <v>0</v>
      </c>
      <c r="AY605" s="48">
        <f>VLOOKUP(AP605,COND!$A$10:$B$32,2,FALSE)</f>
        <v>1</v>
      </c>
      <c r="AZ605" s="46">
        <f>($AU$3*AU605+$AV$3*AV605+$AW$3*AW605+$AX$3*AX605)*AY605*IF(AQ605&lt;5,0.95,IF(AQ605&lt;7,0.975,1))+$I$3*VLOOKUP(I605,COND!$A$2:$E$7,4,FALSE)+$J$3*VLOOKUP(J605,COND!$A$2:$E$7,2,FALSE)+$K$3*VLOOKUP(K605,COND!$A$2:$E$7,3,FALSE)+IF(BB605="SP",$BB$3,0)+IF($AW605&lt;3,-5,0)+IF(AND($B$2&gt;0,$E605&lt;20),$B$2*25,0)</f>
        <v>19.606742464330399</v>
      </c>
      <c r="BA605" s="49">
        <f>STANDARDIZE(AZ605,AVERAGE($AZ$5:$AZ$570),STDEVP($AZ$5:$AZ$570))</f>
        <v>-1.2027481761993328</v>
      </c>
      <c r="BB605" s="47" t="str">
        <f>IF(OR(AND(AQ605&gt;7,AX605&gt;1),AND(AQ605&gt;4,AW605&gt;2)),"SP","RP")</f>
        <v>SP</v>
      </c>
      <c r="BC605" s="47"/>
      <c r="BD605" s="47"/>
      <c r="BE605" s="47"/>
      <c r="BF605" s="47" t="str">
        <f>IF(AVERAGE($O605:$Q605)&gt;=6,"Likely",IF(AVERAGE($O605:$Q605)&gt;=4,"Possible","Unlikely"))</f>
        <v>Unlikely</v>
      </c>
      <c r="BG605" s="47"/>
      <c r="BH605" s="47" t="str">
        <f>INDEX(Table5[[#All],[Ovr]],MATCH(Table3[[#This Row],[PID]],Table5[[#All],[PID]],0))</f>
        <v/>
      </c>
      <c r="BI605" s="47" t="str">
        <f>INDEX(Table5[[#All],[Rnd]],MATCH(Table3[[#This Row],[PID]],Table5[[#All],[PID]],0))</f>
        <v/>
      </c>
      <c r="BJ605" s="47" t="str">
        <f>INDEX(Table5[[#All],[Pick]],MATCH(Table3[[#This Row],[PID]],Table5[[#All],[PID]],0))</f>
        <v/>
      </c>
      <c r="BK605" s="47" t="str">
        <f>INDEX(Table5[[#All],[Team]],MATCH(Table3[[#This Row],[PID]],Table5[[#All],[PID]],0))</f>
        <v/>
      </c>
      <c r="BL6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6" spans="1:64" ht="15" customHeight="1" x14ac:dyDescent="0.25">
      <c r="A606" s="42">
        <v>6953</v>
      </c>
      <c r="B606" s="42" t="s">
        <v>430</v>
      </c>
      <c r="C606" s="42" t="s">
        <v>393</v>
      </c>
      <c r="D606" s="42" t="s">
        <v>667</v>
      </c>
      <c r="E606" s="42">
        <v>21</v>
      </c>
      <c r="F606" s="42" t="s">
        <v>42</v>
      </c>
      <c r="G606" s="42" t="s">
        <v>42</v>
      </c>
      <c r="H606" s="43" t="s">
        <v>721</v>
      </c>
      <c r="I606" s="44" t="s">
        <v>44</v>
      </c>
      <c r="J606" s="42" t="s">
        <v>44</v>
      </c>
      <c r="K606" s="43" t="s">
        <v>43</v>
      </c>
      <c r="L606" s="42">
        <v>3</v>
      </c>
      <c r="M606" s="42">
        <v>1</v>
      </c>
      <c r="N606" s="43">
        <v>2</v>
      </c>
      <c r="O606" s="42">
        <v>4</v>
      </c>
      <c r="P606" s="42">
        <v>1</v>
      </c>
      <c r="Q606" s="43">
        <v>2</v>
      </c>
      <c r="R606" s="42">
        <v>4</v>
      </c>
      <c r="S606" s="42">
        <v>5</v>
      </c>
      <c r="T606" s="42">
        <v>2</v>
      </c>
      <c r="U606" s="42">
        <v>3</v>
      </c>
      <c r="V606" s="42" t="s">
        <v>45</v>
      </c>
      <c r="W606" s="42" t="s">
        <v>45</v>
      </c>
      <c r="X606" s="42" t="s">
        <v>45</v>
      </c>
      <c r="Y606" s="42" t="s">
        <v>45</v>
      </c>
      <c r="Z606" s="42" t="s">
        <v>45</v>
      </c>
      <c r="AA606" s="42" t="s">
        <v>45</v>
      </c>
      <c r="AB606" s="42">
        <v>4</v>
      </c>
      <c r="AC606" s="42">
        <v>4</v>
      </c>
      <c r="AD606" s="42">
        <v>4</v>
      </c>
      <c r="AE606" s="42">
        <v>5</v>
      </c>
      <c r="AF606" s="42" t="s">
        <v>45</v>
      </c>
      <c r="AG606" s="42" t="s">
        <v>45</v>
      </c>
      <c r="AH606" s="42" t="s">
        <v>45</v>
      </c>
      <c r="AI606" s="42" t="s">
        <v>45</v>
      </c>
      <c r="AJ606" s="42" t="s">
        <v>45</v>
      </c>
      <c r="AK606" s="42" t="s">
        <v>45</v>
      </c>
      <c r="AL606" s="42" t="s">
        <v>45</v>
      </c>
      <c r="AM606" s="42" t="s">
        <v>45</v>
      </c>
      <c r="AN606" s="42" t="s">
        <v>45</v>
      </c>
      <c r="AO606" s="43" t="s">
        <v>45</v>
      </c>
      <c r="AP606" s="42" t="s">
        <v>356</v>
      </c>
      <c r="AQ606" s="42">
        <v>8</v>
      </c>
      <c r="AR606" s="50" t="s">
        <v>353</v>
      </c>
      <c r="AS606" s="45" t="s">
        <v>45</v>
      </c>
      <c r="AT606" s="45" t="s">
        <v>47</v>
      </c>
      <c r="AU606" s="46">
        <f>($O$3*(L606-$O$1)/$O$2+$P$3*(M606-$P$1)/$P$2+$Q$3*(N606-$P$1)/$Q$2)/SUM($O$3:$Q$3)</f>
        <v>-2.0697810228951408</v>
      </c>
      <c r="AV606" s="46">
        <f>($O$3*(O606-$O$1)/$O$2+$P$3*(P606-$P$1)/$P$2+$Q$3*(Q606-$Q$1)/$Q$2)/SUM($O$3:$Q$3)</f>
        <v>-1.4295949476488956</v>
      </c>
      <c r="AW606" s="47">
        <f>COUNT(R606:AO606)/2</f>
        <v>4</v>
      </c>
      <c r="AX606" s="47">
        <f>IF(AND(S606&lt;&gt;"-",S606&gt;5),1,0)+IF(AND(U606&lt;&gt;"-",U606&gt;5),1,0)+IF(AND(W606&lt;&gt;"-",W606&gt;5),1,0)+IF(AND(Y606&lt;&gt;"-",Y606&gt;5),1,0)+IF(AND(AA606&lt;&gt;"-",AA606&gt;5),1,0)+IF(AND(AC606&lt;&gt;"-",AC606&gt;5),1,0)+IF(AND(AE606&lt;&gt;"-",AE606&gt;5),1,0)+IF(AND(AG606&lt;&gt;"-",AG606&gt;5),1,0)+IF(AND(AI606&lt;&gt;"-",AI606&gt;5),1,0)+IF(AND(AK606&lt;&gt;"-",AK606&gt;5),1,0)+IF(AND(AM606&lt;&gt;"-",AM606&gt;5),1,0)+IF(AND(AO606&lt;&gt;"-",AO606&gt;5),1,0)</f>
        <v>0</v>
      </c>
      <c r="AY606" s="48">
        <f>VLOOKUP(AP606,COND!$A$10:$B$32,2,FALSE)</f>
        <v>1</v>
      </c>
      <c r="AZ606" s="46">
        <f>($AU$3*AU606+$AV$3*AV606+$AW$3*AW606+$AX$3*AX606)*AY606*IF(AQ606&lt;5,0.95,IF(AQ606&lt;7,0.975,1))+$I$3*VLOOKUP(I606,COND!$A$2:$E$7,4,FALSE)+$J$3*VLOOKUP(J606,COND!$A$2:$E$7,2,FALSE)+$K$3*VLOOKUP(K606,COND!$A$2:$E$7,3,FALSE)+IF(BB606="SP",$BB$3,0)+IF($AW606&lt;3,-5,0)+IF(AND($B$2&gt;0,$E606&lt;20),$B$2*25,0)</f>
        <v>19.544144842443053</v>
      </c>
      <c r="BA606" s="49">
        <f>STANDARDIZE(AZ606,AVERAGE($AZ$5:$AZ$570),STDEVP($AZ$5:$AZ$570))</f>
        <v>-1.2084886456742614</v>
      </c>
      <c r="BB606" s="47" t="str">
        <f>IF(OR(AND(AQ606&gt;7,AX606&gt;1),AND(AQ606&gt;4,AW606&gt;2)),"SP","RP")</f>
        <v>SP</v>
      </c>
      <c r="BC606" s="47"/>
      <c r="BD606" s="47"/>
      <c r="BE606" s="47"/>
      <c r="BF606" s="47" t="str">
        <f>IF(AVERAGE($O606:$Q606)&gt;=6,"Likely",IF(AVERAGE($O606:$Q606)&gt;=4,"Possible","Unlikely"))</f>
        <v>Unlikely</v>
      </c>
      <c r="BG606" s="47"/>
      <c r="BH606" s="47" t="str">
        <f>INDEX(Table5[[#All],[Ovr]],MATCH(Table3[[#This Row],[PID]],Table5[[#All],[PID]],0))</f>
        <v/>
      </c>
      <c r="BI606" s="47" t="str">
        <f>INDEX(Table5[[#All],[Rnd]],MATCH(Table3[[#This Row],[PID]],Table5[[#All],[PID]],0))</f>
        <v/>
      </c>
      <c r="BJ606" s="47" t="str">
        <f>INDEX(Table5[[#All],[Pick]],MATCH(Table3[[#This Row],[PID]],Table5[[#All],[PID]],0))</f>
        <v/>
      </c>
      <c r="BK606" s="47" t="str">
        <f>INDEX(Table5[[#All],[Team]],MATCH(Table3[[#This Row],[PID]],Table5[[#All],[PID]],0))</f>
        <v/>
      </c>
      <c r="BL6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7" spans="1:64" ht="15" customHeight="1" x14ac:dyDescent="0.25">
      <c r="A607" s="42">
        <v>7482</v>
      </c>
      <c r="B607" s="42" t="s">
        <v>430</v>
      </c>
      <c r="C607" s="42" t="s">
        <v>125</v>
      </c>
      <c r="D607" s="42" t="s">
        <v>638</v>
      </c>
      <c r="E607" s="42">
        <v>18</v>
      </c>
      <c r="F607" s="42" t="s">
        <v>53</v>
      </c>
      <c r="G607" s="42" t="s">
        <v>42</v>
      </c>
      <c r="H607" s="43" t="s">
        <v>721</v>
      </c>
      <c r="I607" s="44" t="s">
        <v>43</v>
      </c>
      <c r="J607" s="42" t="s">
        <v>44</v>
      </c>
      <c r="K607" s="43" t="s">
        <v>43</v>
      </c>
      <c r="L607" s="42">
        <v>1</v>
      </c>
      <c r="M607" s="42">
        <v>1</v>
      </c>
      <c r="N607" s="43">
        <v>1</v>
      </c>
      <c r="O607" s="42">
        <v>3</v>
      </c>
      <c r="P607" s="42">
        <v>2</v>
      </c>
      <c r="Q607" s="43">
        <v>2</v>
      </c>
      <c r="R607" s="42">
        <v>2</v>
      </c>
      <c r="S607" s="42">
        <v>3</v>
      </c>
      <c r="T607" s="42">
        <v>1</v>
      </c>
      <c r="U607" s="42">
        <v>5</v>
      </c>
      <c r="V607" s="42" t="s">
        <v>45</v>
      </c>
      <c r="W607" s="42" t="s">
        <v>45</v>
      </c>
      <c r="X607" s="42" t="s">
        <v>45</v>
      </c>
      <c r="Y607" s="42" t="s">
        <v>45</v>
      </c>
      <c r="Z607" s="42" t="s">
        <v>45</v>
      </c>
      <c r="AA607" s="42" t="s">
        <v>45</v>
      </c>
      <c r="AB607" s="42" t="s">
        <v>45</v>
      </c>
      <c r="AC607" s="42" t="s">
        <v>45</v>
      </c>
      <c r="AD607" s="42" t="s">
        <v>45</v>
      </c>
      <c r="AE607" s="42" t="s">
        <v>45</v>
      </c>
      <c r="AF607" s="42" t="s">
        <v>45</v>
      </c>
      <c r="AG607" s="42" t="s">
        <v>45</v>
      </c>
      <c r="AH607" s="42" t="s">
        <v>45</v>
      </c>
      <c r="AI607" s="42" t="s">
        <v>45</v>
      </c>
      <c r="AJ607" s="42" t="s">
        <v>45</v>
      </c>
      <c r="AK607" s="42" t="s">
        <v>45</v>
      </c>
      <c r="AL607" s="42" t="s">
        <v>45</v>
      </c>
      <c r="AM607" s="42" t="s">
        <v>45</v>
      </c>
      <c r="AN607" s="42" t="s">
        <v>45</v>
      </c>
      <c r="AO607" s="43" t="s">
        <v>45</v>
      </c>
      <c r="AP607" s="42" t="s">
        <v>67</v>
      </c>
      <c r="AQ607" s="42">
        <v>6</v>
      </c>
      <c r="AR607" s="50" t="s">
        <v>14</v>
      </c>
      <c r="AS607" s="45" t="s">
        <v>758</v>
      </c>
      <c r="AT607" s="45" t="s">
        <v>47</v>
      </c>
      <c r="AU607" s="46">
        <f>($O$3*(L607-$O$1)/$O$2+$P$3*(M607-$P$1)/$P$2+$Q$3*(N607-$P$1)/$Q$2)/SUM($O$3:$Q$3)</f>
        <v>-2.7014842379675978</v>
      </c>
      <c r="AV607" s="46">
        <f>($O$3*(O607-$O$1)/$O$2+$P$3*(P607-$P$1)/$P$2+$Q$3*(Q607-$Q$1)/$Q$2)/SUM($O$3:$Q$3)</f>
        <v>-1.4288545557280135</v>
      </c>
      <c r="AW607" s="47">
        <f>COUNT(R607:AO607)/2</f>
        <v>2</v>
      </c>
      <c r="AX607" s="47">
        <f>IF(AND(S607&lt;&gt;"-",S607&gt;5),1,0)+IF(AND(U607&lt;&gt;"-",U607&gt;5),1,0)+IF(AND(W607&lt;&gt;"-",W607&gt;5),1,0)+IF(AND(Y607&lt;&gt;"-",Y607&gt;5),1,0)+IF(AND(AA607&lt;&gt;"-",AA607&gt;5),1,0)+IF(AND(AC607&lt;&gt;"-",AC607&gt;5),1,0)+IF(AND(AE607&lt;&gt;"-",AE607&gt;5),1,0)+IF(AND(AG607&lt;&gt;"-",AG607&gt;5),1,0)+IF(AND(AI607&lt;&gt;"-",AI607&gt;5),1,0)+IF(AND(AK607&lt;&gt;"-",AK607&gt;5),1,0)+IF(AND(AM607&lt;&gt;"-",AM607&gt;5),1,0)+IF(AND(AO607&lt;&gt;"-",AO607&gt;5),1,0)</f>
        <v>0</v>
      </c>
      <c r="AY607" s="48">
        <f>VLOOKUP(AP607,COND!$A$10:$B$32,2,FALSE)</f>
        <v>0.9</v>
      </c>
      <c r="AZ607" s="46">
        <f>($AU$3*AU607+$AV$3*AV607+$AW$3*AW607+$AX$3*AX607)*AY607*IF(AQ607&lt;5,0.95,IF(AQ607&lt;7,0.975,1))+$I$3*VLOOKUP(I607,COND!$A$2:$E$7,4,FALSE)+$J$3*VLOOKUP(J607,COND!$A$2:$E$7,2,FALSE)+$K$3*VLOOKUP(K607,COND!$A$2:$E$7,3,FALSE)+IF(BB607="SP",$BB$3,0)+IF($AW607&lt;3,-5,0)+IF(AND($B$2&gt;0,$E607&lt;20),$B$2*25,0)</f>
        <v>20.026992063210052</v>
      </c>
      <c r="BA607" s="49">
        <f>STANDARDIZE(AZ607,AVERAGE($AZ$5:$AZ$676),STDEVP($AZ$5:$AZ$676))</f>
        <v>-0.90870064228381109</v>
      </c>
      <c r="BB607" s="47" t="str">
        <f>IF(OR(AND(AQ607&gt;7,AX607&gt;1),AND(AQ607&gt;4,AW607&gt;2)),"SP","RP")</f>
        <v>RP</v>
      </c>
      <c r="BC607" s="47"/>
      <c r="BD607" s="47"/>
      <c r="BE607" s="47"/>
      <c r="BF607" s="47" t="str">
        <f>IF(AVERAGE($O607:$Q607)&gt;=6,"Likely",IF(AVERAGE($O607:$Q607)&gt;=4,"Possible","Unlikely"))</f>
        <v>Unlikely</v>
      </c>
      <c r="BG607" s="47"/>
      <c r="BH607" s="47" t="str">
        <f>INDEX(Table5[[#All],[Ovr]],MATCH(Table3[[#This Row],[PID]],Table5[[#All],[PID]],0))</f>
        <v/>
      </c>
      <c r="BI607" s="47" t="str">
        <f>INDEX(Table5[[#All],[Rnd]],MATCH(Table3[[#This Row],[PID]],Table5[[#All],[PID]],0))</f>
        <v/>
      </c>
      <c r="BJ607" s="47" t="str">
        <f>INDEX(Table5[[#All],[Pick]],MATCH(Table3[[#This Row],[PID]],Table5[[#All],[PID]],0))</f>
        <v/>
      </c>
      <c r="BK607" s="47" t="str">
        <f>INDEX(Table5[[#All],[Team]],MATCH(Table3[[#This Row],[PID]],Table5[[#All],[PID]],0))</f>
        <v/>
      </c>
      <c r="BL6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8" spans="1:64" ht="15" customHeight="1" x14ac:dyDescent="0.25">
      <c r="A608" s="42">
        <v>3079</v>
      </c>
      <c r="B608" s="42" t="s">
        <v>430</v>
      </c>
      <c r="C608" s="42" t="s">
        <v>1578</v>
      </c>
      <c r="D608" s="42" t="s">
        <v>1579</v>
      </c>
      <c r="E608" s="42">
        <v>21</v>
      </c>
      <c r="F608" s="42" t="s">
        <v>42</v>
      </c>
      <c r="G608" s="42" t="s">
        <v>42</v>
      </c>
      <c r="H608" s="43" t="s">
        <v>721</v>
      </c>
      <c r="I608" s="44" t="s">
        <v>43</v>
      </c>
      <c r="J608" s="42" t="s">
        <v>43</v>
      </c>
      <c r="K608" s="43" t="s">
        <v>43</v>
      </c>
      <c r="L608" s="42">
        <v>3</v>
      </c>
      <c r="M608" s="42">
        <v>1</v>
      </c>
      <c r="N608" s="43">
        <v>1</v>
      </c>
      <c r="O608" s="42">
        <v>4</v>
      </c>
      <c r="P608" s="42">
        <v>1</v>
      </c>
      <c r="Q608" s="43">
        <v>2</v>
      </c>
      <c r="R608" s="42">
        <v>5</v>
      </c>
      <c r="S608" s="42">
        <v>5</v>
      </c>
      <c r="T608" s="42">
        <v>2</v>
      </c>
      <c r="U608" s="42">
        <v>5</v>
      </c>
      <c r="V608" s="42" t="s">
        <v>45</v>
      </c>
      <c r="W608" s="42" t="s">
        <v>45</v>
      </c>
      <c r="X608" s="42" t="s">
        <v>45</v>
      </c>
      <c r="Y608" s="42" t="s">
        <v>45</v>
      </c>
      <c r="Z608" s="42" t="s">
        <v>45</v>
      </c>
      <c r="AA608" s="42" t="s">
        <v>45</v>
      </c>
      <c r="AB608" s="42" t="s">
        <v>45</v>
      </c>
      <c r="AC608" s="42" t="s">
        <v>45</v>
      </c>
      <c r="AD608" s="42">
        <v>4</v>
      </c>
      <c r="AE608" s="42">
        <v>5</v>
      </c>
      <c r="AF608" s="42" t="s">
        <v>45</v>
      </c>
      <c r="AG608" s="42" t="s">
        <v>45</v>
      </c>
      <c r="AH608" s="42" t="s">
        <v>45</v>
      </c>
      <c r="AI608" s="42" t="s">
        <v>45</v>
      </c>
      <c r="AJ608" s="42" t="s">
        <v>45</v>
      </c>
      <c r="AK608" s="42" t="s">
        <v>45</v>
      </c>
      <c r="AL608" s="42" t="s">
        <v>45</v>
      </c>
      <c r="AM608" s="42" t="s">
        <v>45</v>
      </c>
      <c r="AN608" s="42" t="s">
        <v>45</v>
      </c>
      <c r="AO608" s="43" t="s">
        <v>45</v>
      </c>
      <c r="AP608" s="42" t="s">
        <v>58</v>
      </c>
      <c r="AQ608" s="42">
        <v>3</v>
      </c>
      <c r="AR608" s="50" t="s">
        <v>357</v>
      </c>
      <c r="AS608" s="45" t="s">
        <v>45</v>
      </c>
      <c r="AT608" s="45" t="s">
        <v>705</v>
      </c>
      <c r="AU608" s="46">
        <f>($O$3*(L608-$O$1)/$O$2+$P$3*(M608-$P$1)/$P$2+$Q$3*(N608-$P$1)/$Q$2)/SUM($O$3:$Q$3)</f>
        <v>-2.3121015889492513</v>
      </c>
      <c r="AV608" s="46">
        <f>($O$3*(O608-$O$1)/$O$2+$P$3*(P608-$P$1)/$P$2+$Q$3*(Q608-$Q$1)/$Q$2)/SUM($O$3:$Q$3)</f>
        <v>-1.4295949476488956</v>
      </c>
      <c r="AW608" s="47">
        <f>COUNT(R608:AO608)/2</f>
        <v>3</v>
      </c>
      <c r="AX608" s="47">
        <f>IF(AND(S608&lt;&gt;"-",S608&gt;5),1,0)+IF(AND(U608&lt;&gt;"-",U608&gt;5),1,0)+IF(AND(W608&lt;&gt;"-",W608&gt;5),1,0)+IF(AND(Y608&lt;&gt;"-",Y608&gt;5),1,0)+IF(AND(AA608&lt;&gt;"-",AA608&gt;5),1,0)+IF(AND(AC608&lt;&gt;"-",AC608&gt;5),1,0)+IF(AND(AE608&lt;&gt;"-",AE608&gt;5),1,0)+IF(AND(AG608&lt;&gt;"-",AG608&gt;5),1,0)+IF(AND(AI608&lt;&gt;"-",AI608&gt;5),1,0)+IF(AND(AK608&lt;&gt;"-",AK608&gt;5),1,0)+IF(AND(AM608&lt;&gt;"-",AM608&gt;5),1,0)+IF(AND(AO608&lt;&gt;"-",AO608&gt;5),1,0)</f>
        <v>0</v>
      </c>
      <c r="AY608" s="48">
        <f>VLOOKUP(AP608,COND!$A$10:$B$32,2,FALSE)</f>
        <v>1</v>
      </c>
      <c r="AZ608" s="46">
        <f>($AU$3*AU608+$AV$3*AV608+$AW$3*AW608+$AX$3*AX608)*AY608*IF(AQ608&lt;5,0.95,IF(AQ608&lt;7,0.975,1))+$I$3*VLOOKUP(I608,COND!$A$2:$E$7,4,FALSE)+$J$3*VLOOKUP(J608,COND!$A$2:$E$7,2,FALSE)+$K$3*VLOOKUP(K608,COND!$A$2:$E$7,3,FALSE)+IF(BB608="SP",$BB$3,0)+IF($AW608&lt;3,-5,0)+IF(AND($B$2&gt;0,$E608&lt;20),$B$2*25,0)</f>
        <v>18.823396692770626</v>
      </c>
      <c r="BA608" s="49">
        <f>STANDARDIZE(AZ608,AVERAGE($AZ$5:$AZ$570),STDEVP($AZ$5:$AZ$570))</f>
        <v>-1.2745843315415588</v>
      </c>
      <c r="BB608" s="47" t="str">
        <f>IF(OR(AND(AQ608&gt;7,AX608&gt;1),AND(AQ608&gt;4,AW608&gt;2)),"SP","RP")</f>
        <v>RP</v>
      </c>
      <c r="BC608" s="47"/>
      <c r="BD608" s="47"/>
      <c r="BE608" s="47"/>
      <c r="BF608" s="47" t="str">
        <f>IF(AVERAGE($O608:$Q608)&gt;=6,"Likely",IF(AVERAGE($O608:$Q608)&gt;=4,"Possible","Unlikely"))</f>
        <v>Unlikely</v>
      </c>
      <c r="BG608" s="47"/>
      <c r="BH608" s="47" t="str">
        <f>INDEX(Table5[[#All],[Ovr]],MATCH(Table3[[#This Row],[PID]],Table5[[#All],[PID]],0))</f>
        <v/>
      </c>
      <c r="BI608" s="47" t="str">
        <f>INDEX(Table5[[#All],[Rnd]],MATCH(Table3[[#This Row],[PID]],Table5[[#All],[PID]],0))</f>
        <v/>
      </c>
      <c r="BJ608" s="47" t="str">
        <f>INDEX(Table5[[#All],[Pick]],MATCH(Table3[[#This Row],[PID]],Table5[[#All],[PID]],0))</f>
        <v/>
      </c>
      <c r="BK608" s="47" t="str">
        <f>INDEX(Table5[[#All],[Team]],MATCH(Table3[[#This Row],[PID]],Table5[[#All],[PID]],0))</f>
        <v/>
      </c>
      <c r="BL6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9" spans="1:64" ht="15" customHeight="1" x14ac:dyDescent="0.25">
      <c r="A609" s="42">
        <v>12764</v>
      </c>
      <c r="B609" s="42" t="s">
        <v>430</v>
      </c>
      <c r="C609" s="42" t="s">
        <v>1417</v>
      </c>
      <c r="D609" s="42" t="s">
        <v>919</v>
      </c>
      <c r="E609" s="42">
        <v>21</v>
      </c>
      <c r="F609" s="42" t="s">
        <v>42</v>
      </c>
      <c r="G609" s="42" t="s">
        <v>42</v>
      </c>
      <c r="H609" s="43" t="s">
        <v>721</v>
      </c>
      <c r="I609" s="44" t="s">
        <v>43</v>
      </c>
      <c r="J609" s="42" t="s">
        <v>43</v>
      </c>
      <c r="K609" s="43" t="s">
        <v>43</v>
      </c>
      <c r="L609" s="42">
        <v>2</v>
      </c>
      <c r="M609" s="42">
        <v>1</v>
      </c>
      <c r="N609" s="43">
        <v>1</v>
      </c>
      <c r="O609" s="42">
        <v>4</v>
      </c>
      <c r="P609" s="42">
        <v>1</v>
      </c>
      <c r="Q609" s="43">
        <v>2</v>
      </c>
      <c r="R609" s="42">
        <v>4</v>
      </c>
      <c r="S609" s="42">
        <v>5</v>
      </c>
      <c r="T609" s="42">
        <v>1</v>
      </c>
      <c r="U609" s="42">
        <v>1</v>
      </c>
      <c r="V609" s="42">
        <v>2</v>
      </c>
      <c r="W609" s="42">
        <v>5</v>
      </c>
      <c r="X609" s="42" t="s">
        <v>45</v>
      </c>
      <c r="Y609" s="42" t="s">
        <v>45</v>
      </c>
      <c r="Z609" s="42" t="s">
        <v>45</v>
      </c>
      <c r="AA609" s="42" t="s">
        <v>45</v>
      </c>
      <c r="AB609" s="42" t="s">
        <v>45</v>
      </c>
      <c r="AC609" s="42" t="s">
        <v>45</v>
      </c>
      <c r="AD609" s="42" t="s">
        <v>45</v>
      </c>
      <c r="AE609" s="42" t="s">
        <v>45</v>
      </c>
      <c r="AF609" s="42" t="s">
        <v>45</v>
      </c>
      <c r="AG609" s="42" t="s">
        <v>45</v>
      </c>
      <c r="AH609" s="42" t="s">
        <v>45</v>
      </c>
      <c r="AI609" s="42" t="s">
        <v>45</v>
      </c>
      <c r="AJ609" s="42" t="s">
        <v>45</v>
      </c>
      <c r="AK609" s="42" t="s">
        <v>45</v>
      </c>
      <c r="AL609" s="42" t="s">
        <v>45</v>
      </c>
      <c r="AM609" s="42" t="s">
        <v>45</v>
      </c>
      <c r="AN609" s="42" t="s">
        <v>45</v>
      </c>
      <c r="AO609" s="43" t="s">
        <v>45</v>
      </c>
      <c r="AP609" s="42" t="s">
        <v>57</v>
      </c>
      <c r="AQ609" s="42">
        <v>3</v>
      </c>
      <c r="AR609" s="50" t="s">
        <v>357</v>
      </c>
      <c r="AS609" s="45" t="s">
        <v>45</v>
      </c>
      <c r="AT609" s="45" t="s">
        <v>47</v>
      </c>
      <c r="AU609" s="46">
        <f>($O$3*(L609-$O$1)/$O$2+$P$3*(M609-$P$1)/$P$2+$Q$3*(N609-$P$1)/$Q$2)/SUM($O$3:$Q$3)</f>
        <v>-2.5067929134584248</v>
      </c>
      <c r="AV609" s="46">
        <f>($O$3*(O609-$O$1)/$O$2+$P$3*(P609-$P$1)/$P$2+$Q$3*(Q609-$Q$1)/$Q$2)/SUM($O$3:$Q$3)</f>
        <v>-1.4295949476488956</v>
      </c>
      <c r="AW609" s="47">
        <f>COUNT(R609:AO609)/2</f>
        <v>3</v>
      </c>
      <c r="AX609" s="47">
        <f>IF(AND(S609&lt;&gt;"-",S609&gt;5),1,0)+IF(AND(U609&lt;&gt;"-",U609&gt;5),1,0)+IF(AND(W609&lt;&gt;"-",W609&gt;5),1,0)+IF(AND(Y609&lt;&gt;"-",Y609&gt;5),1,0)+IF(AND(AA609&lt;&gt;"-",AA609&gt;5),1,0)+IF(AND(AC609&lt;&gt;"-",AC609&gt;5),1,0)+IF(AND(AE609&lt;&gt;"-",AE609&gt;5),1,0)+IF(AND(AG609&lt;&gt;"-",AG609&gt;5),1,0)+IF(AND(AI609&lt;&gt;"-",AI609&gt;5),1,0)+IF(AND(AK609&lt;&gt;"-",AK609&gt;5),1,0)+IF(AND(AM609&lt;&gt;"-",AM609&gt;5),1,0)+IF(AND(AO609&lt;&gt;"-",AO609&gt;5),1,0)</f>
        <v>0</v>
      </c>
      <c r="AY609" s="48">
        <f>VLOOKUP(AP609,COND!$A$10:$B$32,2,FALSE)</f>
        <v>1</v>
      </c>
      <c r="AZ609" s="46">
        <f>($AU$3*AU609+$AV$3*AV609+$AW$3*AW609+$AX$3*AX609)*AY609*IF(AQ609&lt;5,0.95,IF(AQ609&lt;7,0.975,1))+$I$3*VLOOKUP(I609,COND!$A$2:$E$7,4,FALSE)+$J$3*VLOOKUP(J609,COND!$A$2:$E$7,2,FALSE)+$K$3*VLOOKUP(K609,COND!$A$2:$E$7,3,FALSE)+IF(BB609="SP",$BB$3,0)+IF($AW609&lt;3,-5,0)+IF(AND($B$2&gt;0,$E609&lt;20),$B$2*25,0)</f>
        <v>18.78640534111388</v>
      </c>
      <c r="BA609" s="49">
        <f>STANDARDIZE(AZ609,AVERAGE($AZ$5:$AZ$570),STDEVP($AZ$5:$AZ$570))</f>
        <v>-1.277976596592842</v>
      </c>
      <c r="BB609" s="47" t="str">
        <f>IF(OR(AND(AQ609&gt;7,AX609&gt;1),AND(AQ609&gt;4,AW609&gt;2)),"SP","RP")</f>
        <v>RP</v>
      </c>
      <c r="BC609" s="47"/>
      <c r="BD609" s="47"/>
      <c r="BE609" s="47"/>
      <c r="BF609" s="47" t="str">
        <f>IF(AVERAGE($O609:$Q609)&gt;=6,"Likely",IF(AVERAGE($O609:$Q609)&gt;=4,"Possible","Unlikely"))</f>
        <v>Unlikely</v>
      </c>
      <c r="BG609" s="47"/>
      <c r="BH609" s="47" t="str">
        <f>INDEX(Table5[[#All],[Ovr]],MATCH(Table3[[#This Row],[PID]],Table5[[#All],[PID]],0))</f>
        <v/>
      </c>
      <c r="BI609" s="47" t="str">
        <f>INDEX(Table5[[#All],[Rnd]],MATCH(Table3[[#This Row],[PID]],Table5[[#All],[PID]],0))</f>
        <v/>
      </c>
      <c r="BJ609" s="47" t="str">
        <f>INDEX(Table5[[#All],[Pick]],MATCH(Table3[[#This Row],[PID]],Table5[[#All],[PID]],0))</f>
        <v/>
      </c>
      <c r="BK609" s="47" t="str">
        <f>INDEX(Table5[[#All],[Team]],MATCH(Table3[[#This Row],[PID]],Table5[[#All],[PID]],0))</f>
        <v/>
      </c>
      <c r="BL6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0" spans="1:64" ht="15" customHeight="1" x14ac:dyDescent="0.25">
      <c r="A610" s="42">
        <v>17634</v>
      </c>
      <c r="B610" s="42" t="s">
        <v>430</v>
      </c>
      <c r="C610" s="42" t="s">
        <v>724</v>
      </c>
      <c r="D610" s="42" t="s">
        <v>178</v>
      </c>
      <c r="E610" s="42">
        <v>18</v>
      </c>
      <c r="F610" s="42" t="s">
        <v>62</v>
      </c>
      <c r="G610" s="42" t="s">
        <v>42</v>
      </c>
      <c r="H610" s="43" t="s">
        <v>721</v>
      </c>
      <c r="I610" s="44" t="s">
        <v>44</v>
      </c>
      <c r="J610" s="42" t="s">
        <v>44</v>
      </c>
      <c r="K610" s="43" t="s">
        <v>43</v>
      </c>
      <c r="L610" s="42">
        <v>1</v>
      </c>
      <c r="M610" s="42">
        <v>2</v>
      </c>
      <c r="N610" s="43">
        <v>1</v>
      </c>
      <c r="O610" s="42">
        <v>4</v>
      </c>
      <c r="P610" s="42">
        <v>2</v>
      </c>
      <c r="Q610" s="43">
        <v>1</v>
      </c>
      <c r="R610" s="42" t="s">
        <v>45</v>
      </c>
      <c r="S610" s="42" t="s">
        <v>45</v>
      </c>
      <c r="T610" s="42" t="s">
        <v>45</v>
      </c>
      <c r="U610" s="42" t="s">
        <v>45</v>
      </c>
      <c r="V610" s="42" t="s">
        <v>45</v>
      </c>
      <c r="W610" s="42" t="s">
        <v>45</v>
      </c>
      <c r="X610" s="42">
        <v>1</v>
      </c>
      <c r="Y610" s="42">
        <v>6</v>
      </c>
      <c r="Z610" s="42" t="s">
        <v>45</v>
      </c>
      <c r="AA610" s="42" t="s">
        <v>45</v>
      </c>
      <c r="AB610" s="42" t="s">
        <v>45</v>
      </c>
      <c r="AC610" s="42" t="s">
        <v>45</v>
      </c>
      <c r="AD610" s="42">
        <v>2</v>
      </c>
      <c r="AE610" s="42">
        <v>5</v>
      </c>
      <c r="AF610" s="42" t="s">
        <v>45</v>
      </c>
      <c r="AG610" s="42" t="s">
        <v>45</v>
      </c>
      <c r="AH610" s="42" t="s">
        <v>45</v>
      </c>
      <c r="AI610" s="42" t="s">
        <v>45</v>
      </c>
      <c r="AJ610" s="42" t="s">
        <v>45</v>
      </c>
      <c r="AK610" s="42" t="s">
        <v>45</v>
      </c>
      <c r="AL610" s="42" t="s">
        <v>45</v>
      </c>
      <c r="AM610" s="42" t="s">
        <v>45</v>
      </c>
      <c r="AN610" s="42" t="s">
        <v>45</v>
      </c>
      <c r="AO610" s="43" t="s">
        <v>45</v>
      </c>
      <c r="AP610" s="42" t="s">
        <v>65</v>
      </c>
      <c r="AQ610" s="42">
        <v>3</v>
      </c>
      <c r="AR610" s="50" t="s">
        <v>353</v>
      </c>
      <c r="AS610" s="45" t="s">
        <v>718</v>
      </c>
      <c r="AT610" s="45" t="s">
        <v>47</v>
      </c>
      <c r="AU610" s="46">
        <f>($O$3*(L610-$O$1)/$O$2+$P$3*(M610-$P$1)/$P$2+$Q$3*(N610-$P$1)/$Q$2)/SUM($O$3:$Q$3)</f>
        <v>-2.5060525215375429</v>
      </c>
      <c r="AV610" s="46">
        <f>($O$3*(O610-$O$1)/$O$2+$P$3*(P610-$P$1)/$P$2+$Q$3*(Q610-$Q$1)/$Q$2)/SUM($O$3:$Q$3)</f>
        <v>-1.4764837972729503</v>
      </c>
      <c r="AW610" s="47">
        <f>COUNT(R610:AO610)/2</f>
        <v>2</v>
      </c>
      <c r="AX610" s="47">
        <f>IF(AND(S610&lt;&gt;"-",S610&gt;5),1,0)+IF(AND(U610&lt;&gt;"-",U610&gt;5),1,0)+IF(AND(W610&lt;&gt;"-",W610&gt;5),1,0)+IF(AND(Y610&lt;&gt;"-",Y610&gt;5),1,0)+IF(AND(AA610&lt;&gt;"-",AA610&gt;5),1,0)+IF(AND(AC610&lt;&gt;"-",AC610&gt;5),1,0)+IF(AND(AE610&lt;&gt;"-",AE610&gt;5),1,0)+IF(AND(AG610&lt;&gt;"-",AG610&gt;5),1,0)+IF(AND(AI610&lt;&gt;"-",AI610&gt;5),1,0)+IF(AND(AK610&lt;&gt;"-",AK610&gt;5),1,0)+IF(AND(AM610&lt;&gt;"-",AM610&gt;5),1,0)+IF(AND(AO610&lt;&gt;"-",AO610&gt;5),1,0)</f>
        <v>1</v>
      </c>
      <c r="AY610" s="48">
        <f>VLOOKUP(AP610,COND!$A$10:$B$32,2,FALSE)</f>
        <v>0.95</v>
      </c>
      <c r="AZ610" s="46">
        <f>($AU$3*AU610+$AV$3*AV610+$AW$3*AW610+$AX$3*AX610)*AY610*IF(AQ610&lt;5,0.95,IF(AQ610&lt;7,0.975,1))+$I$3*VLOOKUP(I610,COND!$A$2:$E$7,4,FALSE)+$J$3*VLOOKUP(J610,COND!$A$2:$E$7,2,FALSE)+$K$3*VLOOKUP(K610,COND!$A$2:$E$7,3,FALSE)+IF(BB610="SP",$BB$3,0)+IF($AW610&lt;3,-5,0)+IF(AND($B$2&gt;0,$E610&lt;20),$B$2*25,0)</f>
        <v>19.477749979085722</v>
      </c>
      <c r="BA610" s="49">
        <f>STANDARDIZE(AZ610,AVERAGE($AZ$5:$AZ$570),STDEVP($AZ$5:$AZ$570))</f>
        <v>-1.2145773384217389</v>
      </c>
      <c r="BB610" s="47" t="str">
        <f>IF(OR(AND(AQ610&gt;7,AX610&gt;1),AND(AQ610&gt;4,AW610&gt;2)),"SP","RP")</f>
        <v>RP</v>
      </c>
      <c r="BC610" s="47"/>
      <c r="BD610" s="47"/>
      <c r="BE610" s="47"/>
      <c r="BF610" s="47" t="str">
        <f>IF(AVERAGE($O610:$Q610)&gt;=6,"Likely",IF(AVERAGE($O610:$Q610)&gt;=4,"Possible","Unlikely"))</f>
        <v>Unlikely</v>
      </c>
      <c r="BG610" s="47"/>
      <c r="BH610" s="47" t="str">
        <f>INDEX(Table5[[#All],[Ovr]],MATCH(Table3[[#This Row],[PID]],Table5[[#All],[PID]],0))</f>
        <v/>
      </c>
      <c r="BI610" s="47" t="str">
        <f>INDEX(Table5[[#All],[Rnd]],MATCH(Table3[[#This Row],[PID]],Table5[[#All],[PID]],0))</f>
        <v/>
      </c>
      <c r="BJ610" s="47" t="str">
        <f>INDEX(Table5[[#All],[Pick]],MATCH(Table3[[#This Row],[PID]],Table5[[#All],[PID]],0))</f>
        <v/>
      </c>
      <c r="BK610" s="47" t="str">
        <f>INDEX(Table5[[#All],[Team]],MATCH(Table3[[#This Row],[PID]],Table5[[#All],[PID]],0))</f>
        <v/>
      </c>
      <c r="BL6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1" spans="1:64" ht="15" customHeight="1" x14ac:dyDescent="0.25">
      <c r="A611" s="42">
        <v>11754</v>
      </c>
      <c r="B611" s="42" t="s">
        <v>430</v>
      </c>
      <c r="C611" s="42" t="s">
        <v>1709</v>
      </c>
      <c r="D611" s="42" t="s">
        <v>1710</v>
      </c>
      <c r="E611" s="42">
        <v>21</v>
      </c>
      <c r="F611" s="42" t="s">
        <v>53</v>
      </c>
      <c r="G611" s="42" t="s">
        <v>53</v>
      </c>
      <c r="H611" s="43" t="s">
        <v>721</v>
      </c>
      <c r="I611" s="44" t="s">
        <v>44</v>
      </c>
      <c r="J611" s="42" t="s">
        <v>44</v>
      </c>
      <c r="K611" s="43" t="s">
        <v>43</v>
      </c>
      <c r="L611" s="42">
        <v>2</v>
      </c>
      <c r="M611" s="42">
        <v>1</v>
      </c>
      <c r="N611" s="43">
        <v>1</v>
      </c>
      <c r="O611" s="42">
        <v>4</v>
      </c>
      <c r="P611" s="42">
        <v>1</v>
      </c>
      <c r="Q611" s="43">
        <v>2</v>
      </c>
      <c r="R611" s="42">
        <v>3</v>
      </c>
      <c r="S611" s="42">
        <v>4</v>
      </c>
      <c r="T611" s="42">
        <v>1</v>
      </c>
      <c r="U611" s="42">
        <v>5</v>
      </c>
      <c r="V611" s="42" t="s">
        <v>45</v>
      </c>
      <c r="W611" s="42" t="s">
        <v>45</v>
      </c>
      <c r="X611" s="42" t="s">
        <v>45</v>
      </c>
      <c r="Y611" s="42" t="s">
        <v>45</v>
      </c>
      <c r="Z611" s="42" t="s">
        <v>45</v>
      </c>
      <c r="AA611" s="42" t="s">
        <v>45</v>
      </c>
      <c r="AB611" s="42">
        <v>3</v>
      </c>
      <c r="AC611" s="42">
        <v>4</v>
      </c>
      <c r="AD611" s="42" t="s">
        <v>45</v>
      </c>
      <c r="AE611" s="42" t="s">
        <v>45</v>
      </c>
      <c r="AF611" s="42">
        <v>3</v>
      </c>
      <c r="AG611" s="42">
        <v>4</v>
      </c>
      <c r="AH611" s="42" t="s">
        <v>45</v>
      </c>
      <c r="AI611" s="42" t="s">
        <v>45</v>
      </c>
      <c r="AJ611" s="42" t="s">
        <v>45</v>
      </c>
      <c r="AK611" s="42" t="s">
        <v>45</v>
      </c>
      <c r="AL611" s="42" t="s">
        <v>45</v>
      </c>
      <c r="AM611" s="42" t="s">
        <v>45</v>
      </c>
      <c r="AN611" s="42" t="s">
        <v>45</v>
      </c>
      <c r="AO611" s="43" t="s">
        <v>45</v>
      </c>
      <c r="AP611" s="42" t="s">
        <v>355</v>
      </c>
      <c r="AQ611" s="42">
        <v>8</v>
      </c>
      <c r="AR611" s="50" t="s">
        <v>14</v>
      </c>
      <c r="AS611" s="45" t="s">
        <v>45</v>
      </c>
      <c r="AT611" s="45" t="s">
        <v>47</v>
      </c>
      <c r="AU611" s="46">
        <f>($O$3*(L611-$O$1)/$O$2+$P$3*(M611-$P$1)/$P$2+$Q$3*(N611-$P$1)/$Q$2)/SUM($O$3:$Q$3)</f>
        <v>-2.5067929134584248</v>
      </c>
      <c r="AV611" s="46">
        <f>($O$3*(O611-$O$1)/$O$2+$P$3*(P611-$P$1)/$P$2+$Q$3*(Q611-$Q$1)/$Q$2)/SUM($O$3:$Q$3)</f>
        <v>-1.4295949476488956</v>
      </c>
      <c r="AW611" s="47">
        <f>COUNT(R611:AO611)/2</f>
        <v>4</v>
      </c>
      <c r="AX611" s="47">
        <f>IF(AND(S611&lt;&gt;"-",S611&gt;5),1,0)+IF(AND(U611&lt;&gt;"-",U611&gt;5),1,0)+IF(AND(W611&lt;&gt;"-",W611&gt;5),1,0)+IF(AND(Y611&lt;&gt;"-",Y611&gt;5),1,0)+IF(AND(AA611&lt;&gt;"-",AA611&gt;5),1,0)+IF(AND(AC611&lt;&gt;"-",AC611&gt;5),1,0)+IF(AND(AE611&lt;&gt;"-",AE611&gt;5),1,0)+IF(AND(AG611&lt;&gt;"-",AG611&gt;5),1,0)+IF(AND(AI611&lt;&gt;"-",AI611&gt;5),1,0)+IF(AND(AK611&lt;&gt;"-",AK611&gt;5),1,0)+IF(AND(AM611&lt;&gt;"-",AM611&gt;5),1,0)+IF(AND(AO611&lt;&gt;"-",AO611&gt;5),1,0)</f>
        <v>0</v>
      </c>
      <c r="AY611" s="48">
        <f>VLOOKUP(AP611,COND!$A$10:$B$32,2,FALSE)</f>
        <v>1</v>
      </c>
      <c r="AZ611" s="46">
        <f>($AU$3*AU611+$AV$3*AV611+$AW$3*AW611+$AX$3*AX611)*AY611*IF(AQ611&lt;5,0.95,IF(AQ611&lt;7,0.975,1))+$I$3*VLOOKUP(I611,COND!$A$2:$E$7,4,FALSE)+$J$3*VLOOKUP(J611,COND!$A$2:$E$7,2,FALSE)+$K$3*VLOOKUP(K611,COND!$A$2:$E$7,3,FALSE)+IF(BB611="SP",$BB$3,0)+IF($AW611&lt;3,-5,0)+IF(AND($B$2&gt;0,$E611&lt;20),$B$2*25,0)</f>
        <v>19.456742464330397</v>
      </c>
      <c r="BA611" s="49">
        <f>STANDARDIZE(AZ611,AVERAGE($AZ$5:$AZ$570),STDEVP($AZ$5:$AZ$570))</f>
        <v>-1.2165038173128073</v>
      </c>
      <c r="BB611" s="47" t="str">
        <f>IF(OR(AND(AQ611&gt;7,AX611&gt;1),AND(AQ611&gt;4,AW611&gt;2)),"SP","RP")</f>
        <v>SP</v>
      </c>
      <c r="BC611" s="47"/>
      <c r="BD611" s="47"/>
      <c r="BE611" s="47"/>
      <c r="BF611" s="47" t="str">
        <f>IF(AVERAGE($O611:$Q611)&gt;=6,"Likely",IF(AVERAGE($O611:$Q611)&gt;=4,"Possible","Unlikely"))</f>
        <v>Unlikely</v>
      </c>
      <c r="BG611" s="47"/>
      <c r="BH611" s="47" t="str">
        <f>INDEX(Table5[[#All],[Ovr]],MATCH(Table3[[#This Row],[PID]],Table5[[#All],[PID]],0))</f>
        <v/>
      </c>
      <c r="BI611" s="47" t="str">
        <f>INDEX(Table5[[#All],[Rnd]],MATCH(Table3[[#This Row],[PID]],Table5[[#All],[PID]],0))</f>
        <v/>
      </c>
      <c r="BJ611" s="47" t="str">
        <f>INDEX(Table5[[#All],[Pick]],MATCH(Table3[[#This Row],[PID]],Table5[[#All],[PID]],0))</f>
        <v/>
      </c>
      <c r="BK611" s="47" t="str">
        <f>INDEX(Table5[[#All],[Team]],MATCH(Table3[[#This Row],[PID]],Table5[[#All],[PID]],0))</f>
        <v/>
      </c>
      <c r="BL6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2" spans="1:64" ht="15" customHeight="1" x14ac:dyDescent="0.25">
      <c r="A612" s="42">
        <v>17778</v>
      </c>
      <c r="B612" s="42" t="s">
        <v>430</v>
      </c>
      <c r="C612" s="42" t="s">
        <v>203</v>
      </c>
      <c r="D612" s="42" t="s">
        <v>1522</v>
      </c>
      <c r="E612" s="42">
        <v>21</v>
      </c>
      <c r="F612" s="42" t="s">
        <v>53</v>
      </c>
      <c r="G612" s="42" t="s">
        <v>42</v>
      </c>
      <c r="H612" s="43" t="s">
        <v>721</v>
      </c>
      <c r="I612" s="44" t="s">
        <v>43</v>
      </c>
      <c r="J612" s="42" t="s">
        <v>44</v>
      </c>
      <c r="K612" s="43" t="s">
        <v>43</v>
      </c>
      <c r="L612" s="42">
        <v>2</v>
      </c>
      <c r="M612" s="42">
        <v>1</v>
      </c>
      <c r="N612" s="43">
        <v>1</v>
      </c>
      <c r="O612" s="42">
        <v>5</v>
      </c>
      <c r="P612" s="42">
        <v>1</v>
      </c>
      <c r="Q612" s="43">
        <v>1</v>
      </c>
      <c r="R612" s="42">
        <v>3</v>
      </c>
      <c r="S612" s="42">
        <v>5</v>
      </c>
      <c r="T612" s="42">
        <v>1</v>
      </c>
      <c r="U612" s="42">
        <v>2</v>
      </c>
      <c r="V612" s="42">
        <v>3</v>
      </c>
      <c r="W612" s="42">
        <v>7</v>
      </c>
      <c r="X612" s="42" t="s">
        <v>45</v>
      </c>
      <c r="Y612" s="42" t="s">
        <v>45</v>
      </c>
      <c r="Z612" s="42" t="s">
        <v>45</v>
      </c>
      <c r="AA612" s="42" t="s">
        <v>45</v>
      </c>
      <c r="AB612" s="42" t="s">
        <v>45</v>
      </c>
      <c r="AC612" s="42" t="s">
        <v>45</v>
      </c>
      <c r="AD612" s="42" t="s">
        <v>45</v>
      </c>
      <c r="AE612" s="42" t="s">
        <v>45</v>
      </c>
      <c r="AF612" s="42" t="s">
        <v>45</v>
      </c>
      <c r="AG612" s="42" t="s">
        <v>45</v>
      </c>
      <c r="AH612" s="42" t="s">
        <v>45</v>
      </c>
      <c r="AI612" s="42" t="s">
        <v>45</v>
      </c>
      <c r="AJ612" s="42" t="s">
        <v>45</v>
      </c>
      <c r="AK612" s="42" t="s">
        <v>45</v>
      </c>
      <c r="AL612" s="42" t="s">
        <v>45</v>
      </c>
      <c r="AM612" s="42" t="s">
        <v>45</v>
      </c>
      <c r="AN612" s="42" t="s">
        <v>45</v>
      </c>
      <c r="AO612" s="43" t="s">
        <v>45</v>
      </c>
      <c r="AP612" s="42" t="s">
        <v>356</v>
      </c>
      <c r="AQ612" s="42">
        <v>7</v>
      </c>
      <c r="AR612" s="50" t="s">
        <v>14</v>
      </c>
      <c r="AS612" s="45" t="s">
        <v>758</v>
      </c>
      <c r="AT612" s="45" t="s">
        <v>47</v>
      </c>
      <c r="AU612" s="46">
        <f>($O$3*(L612-$O$1)/$O$2+$P$3*(M612-$P$1)/$P$2+$Q$3*(N612-$P$1)/$Q$2)/SUM($O$3:$Q$3)</f>
        <v>-2.5067929134584248</v>
      </c>
      <c r="AV612" s="46">
        <f>($O$3*(O612-$O$1)/$O$2+$P$3*(P612-$P$1)/$P$2+$Q$3*(Q612-$Q$1)/$Q$2)/SUM($O$3:$Q$3)</f>
        <v>-1.4772241891938322</v>
      </c>
      <c r="AW612" s="47">
        <f>COUNT(R612:AO612)/2</f>
        <v>3</v>
      </c>
      <c r="AX612" s="47">
        <f>IF(AND(S612&lt;&gt;"-",S612&gt;5),1,0)+IF(AND(U612&lt;&gt;"-",U612&gt;5),1,0)+IF(AND(W612&lt;&gt;"-",W612&gt;5),1,0)+IF(AND(Y612&lt;&gt;"-",Y612&gt;5),1,0)+IF(AND(AA612&lt;&gt;"-",AA612&gt;5),1,0)+IF(AND(AC612&lt;&gt;"-",AC612&gt;5),1,0)+IF(AND(AE612&lt;&gt;"-",AE612&gt;5),1,0)+IF(AND(AG612&lt;&gt;"-",AG612&gt;5),1,0)+IF(AND(AI612&lt;&gt;"-",AI612&gt;5),1,0)+IF(AND(AK612&lt;&gt;"-",AK612&gt;5),1,0)+IF(AND(AM612&lt;&gt;"-",AM612&gt;5),1,0)+IF(AND(AO612&lt;&gt;"-",AO612&gt;5),1,0)</f>
        <v>1</v>
      </c>
      <c r="AY612" s="48">
        <f>VLOOKUP(AP612,COND!$A$10:$B$32,2,FALSE)</f>
        <v>1</v>
      </c>
      <c r="AZ612" s="46">
        <f>($AU$3*AU612+$AV$3*AV612+$AW$3*AW612+$AX$3*AX612)*AY612*IF(AQ612&lt;5,0.95,IF(AQ612&lt;7,0.975,1))+$I$3*VLOOKUP(I612,COND!$A$2:$E$7,4,FALSE)+$J$3*VLOOKUP(J612,COND!$A$2:$E$7,2,FALSE)+$K$3*VLOOKUP(K612,COND!$A$2:$E$7,3,FALSE)+IF(BB612="SP",$BB$3,0)+IF($AW612&lt;3,-5,0)+IF(AND($B$2&gt;0,$E612&lt;20),$B$2*25,0)</f>
        <v>19.404157633431669</v>
      </c>
      <c r="BA612" s="49">
        <f>STANDARDIZE(AZ612,AVERAGE($AZ$5:$AZ$570),STDEVP($AZ$5:$AZ$570))</f>
        <v>-1.2213260710585114</v>
      </c>
      <c r="BB612" s="47" t="str">
        <f>IF(OR(AND(AQ612&gt;7,AX612&gt;1),AND(AQ612&gt;4,AW612&gt;2)),"SP","RP")</f>
        <v>SP</v>
      </c>
      <c r="BC612" s="47"/>
      <c r="BD612" s="47"/>
      <c r="BE612" s="47"/>
      <c r="BF612" s="47" t="str">
        <f>IF(AVERAGE($O612:$Q612)&gt;=6,"Likely",IF(AVERAGE($O612:$Q612)&gt;=4,"Possible","Unlikely"))</f>
        <v>Unlikely</v>
      </c>
      <c r="BG612" s="47"/>
      <c r="BH612" s="47" t="str">
        <f>INDEX(Table5[[#All],[Ovr]],MATCH(Table3[[#This Row],[PID]],Table5[[#All],[PID]],0))</f>
        <v/>
      </c>
      <c r="BI612" s="47" t="str">
        <f>INDEX(Table5[[#All],[Rnd]],MATCH(Table3[[#This Row],[PID]],Table5[[#All],[PID]],0))</f>
        <v/>
      </c>
      <c r="BJ612" s="47" t="str">
        <f>INDEX(Table5[[#All],[Pick]],MATCH(Table3[[#This Row],[PID]],Table5[[#All],[PID]],0))</f>
        <v/>
      </c>
      <c r="BK612" s="47" t="str">
        <f>INDEX(Table5[[#All],[Team]],MATCH(Table3[[#This Row],[PID]],Table5[[#All],[PID]],0))</f>
        <v/>
      </c>
      <c r="BL6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3" spans="1:64" ht="15" customHeight="1" x14ac:dyDescent="0.25">
      <c r="A613" s="42">
        <v>12619</v>
      </c>
      <c r="B613" s="42" t="s">
        <v>430</v>
      </c>
      <c r="C613" s="42" t="s">
        <v>1121</v>
      </c>
      <c r="D613" s="42" t="s">
        <v>1766</v>
      </c>
      <c r="E613" s="42">
        <v>21</v>
      </c>
      <c r="F613" s="42" t="s">
        <v>42</v>
      </c>
      <c r="G613" s="42" t="s">
        <v>42</v>
      </c>
      <c r="H613" s="43" t="s">
        <v>721</v>
      </c>
      <c r="I613" s="44" t="s">
        <v>43</v>
      </c>
      <c r="J613" s="42" t="s">
        <v>44</v>
      </c>
      <c r="K613" s="43" t="s">
        <v>43</v>
      </c>
      <c r="L613" s="42">
        <v>2</v>
      </c>
      <c r="M613" s="42">
        <v>2</v>
      </c>
      <c r="N613" s="43">
        <v>1</v>
      </c>
      <c r="O613" s="42">
        <v>3</v>
      </c>
      <c r="P613" s="42">
        <v>2</v>
      </c>
      <c r="Q613" s="43">
        <v>2</v>
      </c>
      <c r="R613" s="42" t="s">
        <v>45</v>
      </c>
      <c r="S613" s="42" t="s">
        <v>45</v>
      </c>
      <c r="T613" s="42" t="s">
        <v>45</v>
      </c>
      <c r="U613" s="42" t="s">
        <v>45</v>
      </c>
      <c r="V613" s="42" t="s">
        <v>45</v>
      </c>
      <c r="W613" s="42" t="s">
        <v>45</v>
      </c>
      <c r="X613" s="42">
        <v>2</v>
      </c>
      <c r="Y613" s="42">
        <v>4</v>
      </c>
      <c r="Z613" s="42" t="s">
        <v>45</v>
      </c>
      <c r="AA613" s="42" t="s">
        <v>45</v>
      </c>
      <c r="AB613" s="42">
        <v>3</v>
      </c>
      <c r="AC613" s="42">
        <v>4</v>
      </c>
      <c r="AD613" s="42">
        <v>3</v>
      </c>
      <c r="AE613" s="42">
        <v>4</v>
      </c>
      <c r="AF613" s="42" t="s">
        <v>45</v>
      </c>
      <c r="AG613" s="42" t="s">
        <v>45</v>
      </c>
      <c r="AH613" s="42" t="s">
        <v>45</v>
      </c>
      <c r="AI613" s="42" t="s">
        <v>45</v>
      </c>
      <c r="AJ613" s="42" t="s">
        <v>45</v>
      </c>
      <c r="AK613" s="42" t="s">
        <v>45</v>
      </c>
      <c r="AL613" s="42" t="s">
        <v>45</v>
      </c>
      <c r="AM613" s="42" t="s">
        <v>45</v>
      </c>
      <c r="AN613" s="42" t="s">
        <v>45</v>
      </c>
      <c r="AO613" s="43" t="s">
        <v>45</v>
      </c>
      <c r="AP613" s="42" t="s">
        <v>355</v>
      </c>
      <c r="AQ613" s="42">
        <v>6</v>
      </c>
      <c r="AR613" s="50" t="s">
        <v>353</v>
      </c>
      <c r="AS613" s="45" t="s">
        <v>717</v>
      </c>
      <c r="AT613" s="45" t="s">
        <v>47</v>
      </c>
      <c r="AU613" s="46">
        <f>($O$3*(L613-$O$1)/$O$2+$P$3*(M613-$P$1)/$P$2+$Q$3*(N613-$P$1)/$Q$2)/SUM($O$3:$Q$3)</f>
        <v>-2.311361197028369</v>
      </c>
      <c r="AV613" s="46">
        <f>($O$3*(O613-$O$1)/$O$2+$P$3*(P613-$P$1)/$P$2+$Q$3*(Q613-$Q$1)/$Q$2)/SUM($O$3:$Q$3)</f>
        <v>-1.4288545557280135</v>
      </c>
      <c r="AW613" s="47">
        <f>COUNT(R613:AO613)/2</f>
        <v>3</v>
      </c>
      <c r="AX613" s="47">
        <f>IF(AND(S613&lt;&gt;"-",S613&gt;5),1,0)+IF(AND(U613&lt;&gt;"-",U613&gt;5),1,0)+IF(AND(W613&lt;&gt;"-",W613&gt;5),1,0)+IF(AND(Y613&lt;&gt;"-",Y613&gt;5),1,0)+IF(AND(AA613&lt;&gt;"-",AA613&gt;5),1,0)+IF(AND(AC613&lt;&gt;"-",AC613&gt;5),1,0)+IF(AND(AE613&lt;&gt;"-",AE613&gt;5),1,0)+IF(AND(AG613&lt;&gt;"-",AG613&gt;5),1,0)+IF(AND(AI613&lt;&gt;"-",AI613&gt;5),1,0)+IF(AND(AK613&lt;&gt;"-",AK613&gt;5),1,0)+IF(AND(AM613&lt;&gt;"-",AM613&gt;5),1,0)+IF(AND(AO613&lt;&gt;"-",AO613&gt;5),1,0)</f>
        <v>0</v>
      </c>
      <c r="AY613" s="48">
        <f>VLOOKUP(AP613,COND!$A$10:$B$32,2,FALSE)</f>
        <v>1</v>
      </c>
      <c r="AZ613" s="46">
        <f>($AU$3*AU613+$AV$3*AV613+$AW$3*AW613+$AX$3*AX613)*AY613*IF(AQ613&lt;5,0.95,IF(AQ613&lt;7,0.975,1))+$I$3*VLOOKUP(I613,COND!$A$2:$E$7,4,FALSE)+$J$3*VLOOKUP(J613,COND!$A$2:$E$7,2,FALSE)+$K$3*VLOOKUP(K613,COND!$A$2:$E$7,3,FALSE)+IF(BB613="SP",$BB$3,0)+IF($AW613&lt;3,-5,0)+IF(AND($B$2&gt;0,$E613&lt;20),$B$2*25,0)</f>
        <v>19.849120729883207</v>
      </c>
      <c r="BA613" s="49">
        <f>STANDARDIZE(AZ613,AVERAGE($AZ$5:$AZ$676),STDEVP($AZ$5:$AZ$676))</f>
        <v>-0.92428974870034275</v>
      </c>
      <c r="BB613" s="47" t="str">
        <f>IF(OR(AND(AQ613&gt;7,AX613&gt;1),AND(AQ613&gt;4,AW613&gt;2)),"SP","RP")</f>
        <v>SP</v>
      </c>
      <c r="BC613" s="47"/>
      <c r="BD613" s="47"/>
      <c r="BE613" s="47"/>
      <c r="BF613" s="47" t="str">
        <f>IF(AVERAGE($O613:$Q613)&gt;=6,"Likely",IF(AVERAGE($O613:$Q613)&gt;=4,"Possible","Unlikely"))</f>
        <v>Unlikely</v>
      </c>
      <c r="BG613" s="47"/>
      <c r="BH613" s="47" t="str">
        <f>INDEX(Table5[[#All],[Ovr]],MATCH(Table3[[#This Row],[PID]],Table5[[#All],[PID]],0))</f>
        <v/>
      </c>
      <c r="BI613" s="47" t="str">
        <f>INDEX(Table5[[#All],[Rnd]],MATCH(Table3[[#This Row],[PID]],Table5[[#All],[PID]],0))</f>
        <v/>
      </c>
      <c r="BJ613" s="47" t="str">
        <f>INDEX(Table5[[#All],[Pick]],MATCH(Table3[[#This Row],[PID]],Table5[[#All],[PID]],0))</f>
        <v/>
      </c>
      <c r="BK613" s="47" t="str">
        <f>INDEX(Table5[[#All],[Team]],MATCH(Table3[[#This Row],[PID]],Table5[[#All],[PID]],0))</f>
        <v/>
      </c>
      <c r="BL6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4" spans="1:64" ht="15" customHeight="1" x14ac:dyDescent="0.25">
      <c r="A614" s="42">
        <v>14672</v>
      </c>
      <c r="B614" s="42" t="s">
        <v>430</v>
      </c>
      <c r="C614" s="42" t="s">
        <v>842</v>
      </c>
      <c r="D614" s="42" t="s">
        <v>621</v>
      </c>
      <c r="E614" s="42">
        <v>18</v>
      </c>
      <c r="F614" s="42" t="s">
        <v>42</v>
      </c>
      <c r="G614" s="42" t="s">
        <v>42</v>
      </c>
      <c r="H614" s="43" t="s">
        <v>721</v>
      </c>
      <c r="I614" s="44" t="s">
        <v>43</v>
      </c>
      <c r="J614" s="42" t="s">
        <v>44</v>
      </c>
      <c r="K614" s="43" t="s">
        <v>43</v>
      </c>
      <c r="L614" s="42">
        <v>1</v>
      </c>
      <c r="M614" s="42">
        <v>1</v>
      </c>
      <c r="N614" s="43">
        <v>1</v>
      </c>
      <c r="O614" s="42">
        <v>2</v>
      </c>
      <c r="P614" s="42">
        <v>1</v>
      </c>
      <c r="Q614" s="43">
        <v>2</v>
      </c>
      <c r="R614" s="42">
        <v>2</v>
      </c>
      <c r="S614" s="42">
        <v>3</v>
      </c>
      <c r="T614" s="42">
        <v>1</v>
      </c>
      <c r="U614" s="42">
        <v>3</v>
      </c>
      <c r="V614" s="42">
        <v>1</v>
      </c>
      <c r="W614" s="42">
        <v>3</v>
      </c>
      <c r="X614" s="42" t="s">
        <v>45</v>
      </c>
      <c r="Y614" s="42" t="s">
        <v>45</v>
      </c>
      <c r="Z614" s="42" t="s">
        <v>45</v>
      </c>
      <c r="AA614" s="42" t="s">
        <v>45</v>
      </c>
      <c r="AB614" s="42">
        <v>2</v>
      </c>
      <c r="AC614" s="42">
        <v>3</v>
      </c>
      <c r="AD614" s="42" t="s">
        <v>45</v>
      </c>
      <c r="AE614" s="42" t="s">
        <v>45</v>
      </c>
      <c r="AF614" s="42" t="s">
        <v>45</v>
      </c>
      <c r="AG614" s="42" t="s">
        <v>45</v>
      </c>
      <c r="AH614" s="42" t="s">
        <v>45</v>
      </c>
      <c r="AI614" s="42" t="s">
        <v>45</v>
      </c>
      <c r="AJ614" s="42" t="s">
        <v>45</v>
      </c>
      <c r="AK614" s="42" t="s">
        <v>45</v>
      </c>
      <c r="AL614" s="42" t="s">
        <v>45</v>
      </c>
      <c r="AM614" s="42" t="s">
        <v>45</v>
      </c>
      <c r="AN614" s="42" t="s">
        <v>45</v>
      </c>
      <c r="AO614" s="43" t="s">
        <v>45</v>
      </c>
      <c r="AP614" s="42" t="s">
        <v>67</v>
      </c>
      <c r="AQ614" s="42">
        <v>2</v>
      </c>
      <c r="AR614" s="50" t="s">
        <v>353</v>
      </c>
      <c r="AS614" s="45" t="s">
        <v>718</v>
      </c>
      <c r="AT614" s="45" t="s">
        <v>47</v>
      </c>
      <c r="AU614" s="46">
        <f>($O$3*(L614-$O$1)/$O$2+$P$3*(M614-$P$1)/$P$2+$Q$3*(N614-$P$1)/$Q$2)/SUM($O$3:$Q$3)</f>
        <v>-2.7014842379675978</v>
      </c>
      <c r="AV614" s="46">
        <f>($O$3*(O614-$O$1)/$O$2+$P$3*(P614-$P$1)/$P$2+$Q$3*(Q614-$Q$1)/$Q$2)/SUM($O$3:$Q$3)</f>
        <v>-1.8189775966672426</v>
      </c>
      <c r="AW614" s="47">
        <f>COUNT(R614:AO614)/2</f>
        <v>4</v>
      </c>
      <c r="AX614" s="47">
        <f>IF(AND(S614&lt;&gt;"-",S614&gt;5),1,0)+IF(AND(U614&lt;&gt;"-",U614&gt;5),1,0)+IF(AND(W614&lt;&gt;"-",W614&gt;5),1,0)+IF(AND(Y614&lt;&gt;"-",Y614&gt;5),1,0)+IF(AND(AA614&lt;&gt;"-",AA614&gt;5),1,0)+IF(AND(AC614&lt;&gt;"-",AC614&gt;5),1,0)+IF(AND(AE614&lt;&gt;"-",AE614&gt;5),1,0)+IF(AND(AG614&lt;&gt;"-",AG614&gt;5),1,0)+IF(AND(AI614&lt;&gt;"-",AI614&gt;5),1,0)+IF(AND(AK614&lt;&gt;"-",AK614&gt;5),1,0)+IF(AND(AM614&lt;&gt;"-",AM614&gt;5),1,0)+IF(AND(AO614&lt;&gt;"-",AO614&gt;5),1,0)</f>
        <v>0</v>
      </c>
      <c r="AY614" s="48">
        <f>VLOOKUP(AP614,COND!$A$10:$B$32,2,FALSE)</f>
        <v>0.9</v>
      </c>
      <c r="AZ614" s="46">
        <f>($AU$3*AU614+$AV$3*AV614+$AW$3*AW614+$AX$3*AX614)*AY614*IF(AQ614&lt;5,0.95,IF(AQ614&lt;7,0.975,1))+$I$3*VLOOKUP(I614,COND!$A$2:$E$7,4,FALSE)+$J$3*VLOOKUP(J614,COND!$A$2:$E$7,2,FALSE)+$K$3*VLOOKUP(K614,COND!$A$2:$E$7,3,FALSE)+IF(BB614="SP",$BB$3,0)+IF($AW614&lt;3,-5,0)+IF(AND($B$2&gt;0,$E614&lt;20),$B$2*25,0)</f>
        <v>19.843529292297696</v>
      </c>
      <c r="BA614" s="49">
        <f>STANDARDIZE(AZ614,AVERAGE($AZ$5:$AZ$676),STDEVP($AZ$5:$AZ$676))</f>
        <v>-0.92477979683745182</v>
      </c>
      <c r="BB614" s="47" t="str">
        <f>IF(OR(AND(AQ614&gt;7,AX614&gt;1),AND(AQ614&gt;4,AW614&gt;2)),"SP","RP")</f>
        <v>RP</v>
      </c>
      <c r="BC614" s="47"/>
      <c r="BD614" s="47"/>
      <c r="BE614" s="47"/>
      <c r="BF614" s="47" t="str">
        <f>IF(AVERAGE($O614:$Q614)&gt;=6,"Likely",IF(AVERAGE($O614:$Q614)&gt;=4,"Possible","Unlikely"))</f>
        <v>Unlikely</v>
      </c>
      <c r="BG614" s="47"/>
      <c r="BH614" s="47" t="str">
        <f>INDEX(Table5[[#All],[Ovr]],MATCH(Table3[[#This Row],[PID]],Table5[[#All],[PID]],0))</f>
        <v/>
      </c>
      <c r="BI614" s="47" t="str">
        <f>INDEX(Table5[[#All],[Rnd]],MATCH(Table3[[#This Row],[PID]],Table5[[#All],[PID]],0))</f>
        <v/>
      </c>
      <c r="BJ614" s="47" t="str">
        <f>INDEX(Table5[[#All],[Pick]],MATCH(Table3[[#This Row],[PID]],Table5[[#All],[PID]],0))</f>
        <v/>
      </c>
      <c r="BK614" s="47" t="str">
        <f>INDEX(Table5[[#All],[Team]],MATCH(Table3[[#This Row],[PID]],Table5[[#All],[PID]],0))</f>
        <v/>
      </c>
      <c r="BL6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5" spans="1:64" ht="15" customHeight="1" x14ac:dyDescent="0.25">
      <c r="A615" s="42">
        <v>7733</v>
      </c>
      <c r="B615" s="42" t="s">
        <v>49</v>
      </c>
      <c r="C615" s="42" t="s">
        <v>637</v>
      </c>
      <c r="D615" s="42" t="s">
        <v>638</v>
      </c>
      <c r="E615" s="42">
        <v>20</v>
      </c>
      <c r="F615" s="42" t="s">
        <v>42</v>
      </c>
      <c r="G615" s="42" t="s">
        <v>42</v>
      </c>
      <c r="H615" s="43" t="s">
        <v>721</v>
      </c>
      <c r="I615" s="44" t="s">
        <v>44</v>
      </c>
      <c r="J615" s="42" t="s">
        <v>47</v>
      </c>
      <c r="K615" s="43" t="s">
        <v>43</v>
      </c>
      <c r="L615" s="42">
        <v>2</v>
      </c>
      <c r="M615" s="42">
        <v>1</v>
      </c>
      <c r="N615" s="43">
        <v>1</v>
      </c>
      <c r="O615" s="42">
        <v>4</v>
      </c>
      <c r="P615" s="42">
        <v>1</v>
      </c>
      <c r="Q615" s="43">
        <v>1</v>
      </c>
      <c r="R615" s="42">
        <v>3</v>
      </c>
      <c r="S615" s="42">
        <v>6</v>
      </c>
      <c r="T615" s="42">
        <v>1</v>
      </c>
      <c r="U615" s="42">
        <v>1</v>
      </c>
      <c r="V615" s="42">
        <v>2</v>
      </c>
      <c r="W615" s="42">
        <v>6</v>
      </c>
      <c r="X615" s="42" t="s">
        <v>45</v>
      </c>
      <c r="Y615" s="42" t="s">
        <v>45</v>
      </c>
      <c r="Z615" s="42" t="s">
        <v>45</v>
      </c>
      <c r="AA615" s="42" t="s">
        <v>45</v>
      </c>
      <c r="AB615" s="42" t="s">
        <v>45</v>
      </c>
      <c r="AC615" s="42" t="s">
        <v>45</v>
      </c>
      <c r="AD615" s="42" t="s">
        <v>45</v>
      </c>
      <c r="AE615" s="42" t="s">
        <v>45</v>
      </c>
      <c r="AF615" s="42" t="s">
        <v>45</v>
      </c>
      <c r="AG615" s="42" t="s">
        <v>45</v>
      </c>
      <c r="AH615" s="42" t="s">
        <v>45</v>
      </c>
      <c r="AI615" s="42" t="s">
        <v>45</v>
      </c>
      <c r="AJ615" s="42" t="s">
        <v>45</v>
      </c>
      <c r="AK615" s="42" t="s">
        <v>45</v>
      </c>
      <c r="AL615" s="42" t="s">
        <v>45</v>
      </c>
      <c r="AM615" s="42" t="s">
        <v>45</v>
      </c>
      <c r="AN615" s="42" t="s">
        <v>45</v>
      </c>
      <c r="AO615" s="43" t="s">
        <v>45</v>
      </c>
      <c r="AP615" s="42" t="s">
        <v>356</v>
      </c>
      <c r="AQ615" s="42">
        <v>6</v>
      </c>
      <c r="AR615" s="50" t="s">
        <v>14</v>
      </c>
      <c r="AS615" s="45" t="s">
        <v>45</v>
      </c>
      <c r="AT615" s="45" t="s">
        <v>47</v>
      </c>
      <c r="AU615" s="46">
        <f>($O$3*(L615-$O$1)/$O$2+$P$3*(M615-$P$1)/$P$2+$Q$3*(N615-$P$1)/$Q$2)/SUM($O$3:$Q$3)</f>
        <v>-2.5067929134584248</v>
      </c>
      <c r="AV615" s="46">
        <f>($O$3*(O615-$O$1)/$O$2+$P$3*(P615-$P$1)/$P$2+$Q$3*(Q615-$Q$1)/$Q$2)/SUM($O$3:$Q$3)</f>
        <v>-1.671915513703006</v>
      </c>
      <c r="AW615" s="47">
        <f>COUNT(R615:AO615)/2</f>
        <v>3</v>
      </c>
      <c r="AX615" s="47">
        <f>IF(AND(S615&lt;&gt;"-",S615&gt;5),1,0)+IF(AND(U615&lt;&gt;"-",U615&gt;5),1,0)+IF(AND(W615&lt;&gt;"-",W615&gt;5),1,0)+IF(AND(Y615&lt;&gt;"-",Y615&gt;5),1,0)+IF(AND(AA615&lt;&gt;"-",AA615&gt;5),1,0)+IF(AND(AC615&lt;&gt;"-",AC615&gt;5),1,0)+IF(AND(AE615&lt;&gt;"-",AE615&gt;5),1,0)+IF(AND(AG615&lt;&gt;"-",AG615&gt;5),1,0)+IF(AND(AI615&lt;&gt;"-",AI615&gt;5),1,0)+IF(AND(AK615&lt;&gt;"-",AK615&gt;5),1,0)+IF(AND(AM615&lt;&gt;"-",AM615&gt;5),1,0)+IF(AND(AO615&lt;&gt;"-",AO615&gt;5),1,0)</f>
        <v>2</v>
      </c>
      <c r="AY615" s="48">
        <f>VLOOKUP(AP615,COND!$A$10:$B$32,2,FALSE)</f>
        <v>1</v>
      </c>
      <c r="AZ615" s="46">
        <f>($AU$3*AU615+$AV$3*AV615+$AW$3*AW615+$AX$3*AX615)*AY615*IF(AQ615&lt;5,0.95,IF(AQ615&lt;7,0.975,1))+$I$3*VLOOKUP(I615,COND!$A$2:$E$7,4,FALSE)+$J$3*VLOOKUP(J615,COND!$A$2:$E$7,2,FALSE)+$K$3*VLOOKUP(K615,COND!$A$2:$E$7,3,FALSE)+IF(BB615="SP",$BB$3,0)+IF($AW615&lt;3,-5,0)+IF(AND($B$2&gt;0,$E615&lt;20),$B$2*25,0)</f>
        <v>17.958822864666985</v>
      </c>
      <c r="BA615" s="49">
        <f>STANDARDIZE(AZ615,AVERAGE($AZ$5:$AZ$570),STDEVP($AZ$5:$AZ$570))</f>
        <v>-1.3538694468448675</v>
      </c>
      <c r="BB615" s="47" t="str">
        <f>IF(OR(AND(AQ615&gt;7,AX615&gt;1),AND(AQ615&gt;4,AW615&gt;2)),"SP","RP")</f>
        <v>SP</v>
      </c>
      <c r="BC615" s="47"/>
      <c r="BD615" s="47"/>
      <c r="BE615" s="47"/>
      <c r="BF615" s="47" t="str">
        <f>IF(AVERAGE($O615:$Q615)&gt;=6,"Likely",IF(AVERAGE($O615:$Q615)&gt;=4,"Possible","Unlikely"))</f>
        <v>Unlikely</v>
      </c>
      <c r="BG615" s="47"/>
      <c r="BH615" s="47" t="str">
        <f>INDEX(Table5[[#All],[Ovr]],MATCH(Table3[[#This Row],[PID]],Table5[[#All],[PID]],0))</f>
        <v/>
      </c>
      <c r="BI615" s="47" t="str">
        <f>INDEX(Table5[[#All],[Rnd]],MATCH(Table3[[#This Row],[PID]],Table5[[#All],[PID]],0))</f>
        <v/>
      </c>
      <c r="BJ615" s="47" t="str">
        <f>INDEX(Table5[[#All],[Pick]],MATCH(Table3[[#This Row],[PID]],Table5[[#All],[PID]],0))</f>
        <v/>
      </c>
      <c r="BK615" s="47" t="str">
        <f>INDEX(Table5[[#All],[Team]],MATCH(Table3[[#This Row],[PID]],Table5[[#All],[PID]],0))</f>
        <v/>
      </c>
      <c r="BL6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6" spans="1:64" ht="15" customHeight="1" x14ac:dyDescent="0.25">
      <c r="A616" s="42">
        <v>18050</v>
      </c>
      <c r="B616" s="42" t="s">
        <v>24</v>
      </c>
      <c r="C616" s="42" t="s">
        <v>1610</v>
      </c>
      <c r="D616" s="42" t="s">
        <v>1611</v>
      </c>
      <c r="E616" s="42">
        <v>21</v>
      </c>
      <c r="F616" s="42" t="s">
        <v>53</v>
      </c>
      <c r="G616" s="42" t="s">
        <v>53</v>
      </c>
      <c r="H616" s="43" t="s">
        <v>721</v>
      </c>
      <c r="I616" s="44" t="s">
        <v>43</v>
      </c>
      <c r="J616" s="42" t="s">
        <v>44</v>
      </c>
      <c r="K616" s="43" t="s">
        <v>44</v>
      </c>
      <c r="L616" s="42">
        <v>2</v>
      </c>
      <c r="M616" s="42">
        <v>1</v>
      </c>
      <c r="N616" s="43">
        <v>1</v>
      </c>
      <c r="O616" s="42">
        <v>4</v>
      </c>
      <c r="P616" s="42">
        <v>1</v>
      </c>
      <c r="Q616" s="43">
        <v>2</v>
      </c>
      <c r="R616" s="42">
        <v>4</v>
      </c>
      <c r="S616" s="42">
        <v>5</v>
      </c>
      <c r="T616" s="42">
        <v>1</v>
      </c>
      <c r="U616" s="42">
        <v>7</v>
      </c>
      <c r="V616" s="42">
        <v>3</v>
      </c>
      <c r="W616" s="42">
        <v>5</v>
      </c>
      <c r="X616" s="42" t="s">
        <v>45</v>
      </c>
      <c r="Y616" s="42" t="s">
        <v>45</v>
      </c>
      <c r="Z616" s="42" t="s">
        <v>45</v>
      </c>
      <c r="AA616" s="42" t="s">
        <v>45</v>
      </c>
      <c r="AB616" s="42" t="s">
        <v>45</v>
      </c>
      <c r="AC616" s="42" t="s">
        <v>45</v>
      </c>
      <c r="AD616" s="42" t="s">
        <v>45</v>
      </c>
      <c r="AE616" s="42" t="s">
        <v>45</v>
      </c>
      <c r="AF616" s="42" t="s">
        <v>45</v>
      </c>
      <c r="AG616" s="42" t="s">
        <v>45</v>
      </c>
      <c r="AH616" s="42" t="s">
        <v>45</v>
      </c>
      <c r="AI616" s="42" t="s">
        <v>45</v>
      </c>
      <c r="AJ616" s="42" t="s">
        <v>45</v>
      </c>
      <c r="AK616" s="42" t="s">
        <v>45</v>
      </c>
      <c r="AL616" s="42" t="s">
        <v>45</v>
      </c>
      <c r="AM616" s="42" t="s">
        <v>45</v>
      </c>
      <c r="AN616" s="42" t="s">
        <v>45</v>
      </c>
      <c r="AO616" s="43" t="s">
        <v>45</v>
      </c>
      <c r="AP616" s="42" t="s">
        <v>356</v>
      </c>
      <c r="AQ616" s="42">
        <v>9</v>
      </c>
      <c r="AR616" s="50" t="s">
        <v>353</v>
      </c>
      <c r="AS616" s="45" t="s">
        <v>717</v>
      </c>
      <c r="AT616" s="45" t="s">
        <v>47</v>
      </c>
      <c r="AU616" s="46">
        <f>($O$3*(L616-$O$1)/$O$2+$P$3*(M616-$P$1)/$P$2+$Q$3*(N616-$P$1)/$Q$2)/SUM($O$3:$Q$3)</f>
        <v>-2.5067929134584248</v>
      </c>
      <c r="AV616" s="46">
        <f>($O$3*(O616-$O$1)/$O$2+$P$3*(P616-$P$1)/$P$2+$Q$3*(Q616-$Q$1)/$Q$2)/SUM($O$3:$Q$3)</f>
        <v>-1.4295949476488956</v>
      </c>
      <c r="AW616" s="47">
        <f>COUNT(R616:AO616)/2</f>
        <v>3</v>
      </c>
      <c r="AX616" s="47">
        <f>IF(AND(S616&lt;&gt;"-",S616&gt;5),1,0)+IF(AND(U616&lt;&gt;"-",U616&gt;5),1,0)+IF(AND(W616&lt;&gt;"-",W616&gt;5),1,0)+IF(AND(Y616&lt;&gt;"-",Y616&gt;5),1,0)+IF(AND(AA616&lt;&gt;"-",AA616&gt;5),1,0)+IF(AND(AC616&lt;&gt;"-",AC616&gt;5),1,0)+IF(AND(AE616&lt;&gt;"-",AE616&gt;5),1,0)+IF(AND(AG616&lt;&gt;"-",AG616&gt;5),1,0)+IF(AND(AI616&lt;&gt;"-",AI616&gt;5),1,0)+IF(AND(AK616&lt;&gt;"-",AK616&gt;5),1,0)+IF(AND(AM616&lt;&gt;"-",AM616&gt;5),1,0)+IF(AND(AO616&lt;&gt;"-",AO616&gt;5),1,0)</f>
        <v>1</v>
      </c>
      <c r="AY616" s="48">
        <f>VLOOKUP(AP616,COND!$A$10:$B$32,2,FALSE)</f>
        <v>1</v>
      </c>
      <c r="AZ616" s="46">
        <f>($AU$3*AU616+$AV$3*AV616+$AW$3*AW616+$AX$3*AX616)*AY616*IF(AQ616&lt;5,0.95,IF(AQ616&lt;7,0.975,1))+$I$3*VLOOKUP(I616,COND!$A$2:$E$7,4,FALSE)+$J$3*VLOOKUP(J616,COND!$A$2:$E$7,2,FALSE)+$K$3*VLOOKUP(K616,COND!$A$2:$E$7,3,FALSE)+IF(BB616="SP",$BB$3,0)+IF($AW616&lt;3,-5,0)+IF(AND($B$2&gt;0,$E616&lt;20),$B$2*25,0)</f>
        <v>20.056742464330398</v>
      </c>
      <c r="BA616" s="49">
        <f>STANDARDIZE(AZ616,AVERAGE($AZ$5:$AZ$570),STDEVP($AZ$5:$AZ$570))</f>
        <v>-1.1614812528589098</v>
      </c>
      <c r="BB616" s="47" t="str">
        <f>IF(OR(AND(AQ616&gt;7,AX616&gt;1),AND(AQ616&gt;4,AW616&gt;2)),"SP","RP")</f>
        <v>SP</v>
      </c>
      <c r="BC616" s="47"/>
      <c r="BD616" s="47"/>
      <c r="BE616" s="47"/>
      <c r="BF616" s="47" t="str">
        <f>IF(AVERAGE($O616:$Q616)&gt;=6,"Likely",IF(AVERAGE($O616:$Q616)&gt;=4,"Possible","Unlikely"))</f>
        <v>Unlikely</v>
      </c>
      <c r="BG616" s="47"/>
      <c r="BH616" s="47" t="str">
        <f>INDEX(Table5[[#All],[Ovr]],MATCH(Table3[[#This Row],[PID]],Table5[[#All],[PID]],0))</f>
        <v/>
      </c>
      <c r="BI616" s="47" t="str">
        <f>INDEX(Table5[[#All],[Rnd]],MATCH(Table3[[#This Row],[PID]],Table5[[#All],[PID]],0))</f>
        <v/>
      </c>
      <c r="BJ616" s="47" t="str">
        <f>INDEX(Table5[[#All],[Pick]],MATCH(Table3[[#This Row],[PID]],Table5[[#All],[PID]],0))</f>
        <v/>
      </c>
      <c r="BK616" s="47" t="str">
        <f>INDEX(Table5[[#All],[Team]],MATCH(Table3[[#This Row],[PID]],Table5[[#All],[PID]],0))</f>
        <v/>
      </c>
      <c r="BL6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7" spans="1:64" ht="15" customHeight="1" x14ac:dyDescent="0.25">
      <c r="A617" s="42">
        <v>4781</v>
      </c>
      <c r="B617" s="42" t="s">
        <v>430</v>
      </c>
      <c r="C617" s="42" t="s">
        <v>1359</v>
      </c>
      <c r="D617" s="42" t="s">
        <v>742</v>
      </c>
      <c r="E617" s="42">
        <v>21</v>
      </c>
      <c r="F617" s="42" t="s">
        <v>42</v>
      </c>
      <c r="G617" s="42" t="s">
        <v>42</v>
      </c>
      <c r="H617" s="43" t="s">
        <v>721</v>
      </c>
      <c r="I617" s="44" t="s">
        <v>43</v>
      </c>
      <c r="J617" s="42" t="s">
        <v>44</v>
      </c>
      <c r="K617" s="43" t="s">
        <v>43</v>
      </c>
      <c r="L617" s="42">
        <v>1</v>
      </c>
      <c r="M617" s="42">
        <v>2</v>
      </c>
      <c r="N617" s="43">
        <v>1</v>
      </c>
      <c r="O617" s="42">
        <v>3</v>
      </c>
      <c r="P617" s="42">
        <v>2</v>
      </c>
      <c r="Q617" s="43">
        <v>2</v>
      </c>
      <c r="R617" s="42">
        <v>2</v>
      </c>
      <c r="S617" s="42">
        <v>3</v>
      </c>
      <c r="T617" s="42">
        <v>2</v>
      </c>
      <c r="U617" s="42">
        <v>4</v>
      </c>
      <c r="V617" s="42" t="s">
        <v>45</v>
      </c>
      <c r="W617" s="42" t="s">
        <v>45</v>
      </c>
      <c r="X617" s="42">
        <v>2</v>
      </c>
      <c r="Y617" s="42">
        <v>4</v>
      </c>
      <c r="Z617" s="42" t="s">
        <v>45</v>
      </c>
      <c r="AA617" s="42" t="s">
        <v>45</v>
      </c>
      <c r="AB617" s="42" t="s">
        <v>45</v>
      </c>
      <c r="AC617" s="42" t="s">
        <v>45</v>
      </c>
      <c r="AD617" s="42" t="s">
        <v>45</v>
      </c>
      <c r="AE617" s="42" t="s">
        <v>45</v>
      </c>
      <c r="AF617" s="42" t="s">
        <v>45</v>
      </c>
      <c r="AG617" s="42" t="s">
        <v>45</v>
      </c>
      <c r="AH617" s="42" t="s">
        <v>45</v>
      </c>
      <c r="AI617" s="42" t="s">
        <v>45</v>
      </c>
      <c r="AJ617" s="42" t="s">
        <v>45</v>
      </c>
      <c r="AK617" s="42" t="s">
        <v>45</v>
      </c>
      <c r="AL617" s="42" t="s">
        <v>45</v>
      </c>
      <c r="AM617" s="42" t="s">
        <v>45</v>
      </c>
      <c r="AN617" s="42" t="s">
        <v>45</v>
      </c>
      <c r="AO617" s="43" t="s">
        <v>45</v>
      </c>
      <c r="AP617" s="42" t="s">
        <v>65</v>
      </c>
      <c r="AQ617" s="42">
        <v>3</v>
      </c>
      <c r="AR617" s="50" t="s">
        <v>353</v>
      </c>
      <c r="AS617" s="45" t="s">
        <v>717</v>
      </c>
      <c r="AT617" s="45" t="s">
        <v>47</v>
      </c>
      <c r="AU617" s="46">
        <f>($O$3*(L617-$O$1)/$O$2+$P$3*(M617-$P$1)/$P$2+$Q$3*(N617-$P$1)/$Q$2)/SUM($O$3:$Q$3)</f>
        <v>-2.5060525215375429</v>
      </c>
      <c r="AV617" s="46">
        <f>($O$3*(O617-$O$1)/$O$2+$P$3*(P617-$P$1)/$P$2+$Q$3*(Q617-$Q$1)/$Q$2)/SUM($O$3:$Q$3)</f>
        <v>-1.4288545557280135</v>
      </c>
      <c r="AW617" s="47">
        <f>COUNT(R617:AO617)/2</f>
        <v>3</v>
      </c>
      <c r="AX617" s="47">
        <f>IF(AND(S617&lt;&gt;"-",S617&gt;5),1,0)+IF(AND(U617&lt;&gt;"-",U617&gt;5),1,0)+IF(AND(W617&lt;&gt;"-",W617&gt;5),1,0)+IF(AND(Y617&lt;&gt;"-",Y617&gt;5),1,0)+IF(AND(AA617&lt;&gt;"-",AA617&gt;5),1,0)+IF(AND(AC617&lt;&gt;"-",AC617&gt;5),1,0)+IF(AND(AE617&lt;&gt;"-",AE617&gt;5),1,0)+IF(AND(AG617&lt;&gt;"-",AG617&gt;5),1,0)+IF(AND(AI617&lt;&gt;"-",AI617&gt;5),1,0)+IF(AND(AK617&lt;&gt;"-",AK617&gt;5),1,0)+IF(AND(AM617&lt;&gt;"-",AM617&gt;5),1,0)+IF(AND(AO617&lt;&gt;"-",AO617&gt;5),1,0)</f>
        <v>0</v>
      </c>
      <c r="AY617" s="48">
        <f>VLOOKUP(AP617,COND!$A$10:$B$32,2,FALSE)</f>
        <v>0.95</v>
      </c>
      <c r="AZ617" s="46">
        <f>($AU$3*AU617+$AV$3*AV617+$AW$3*AW617+$AX$3*AX617)*AY617*IF(AQ617&lt;5,0.95,IF(AQ617&lt;7,0.975,1))+$I$3*VLOOKUP(I617,COND!$A$2:$E$7,4,FALSE)+$J$3*VLOOKUP(J617,COND!$A$2:$E$7,2,FALSE)+$K$3*VLOOKUP(K617,COND!$A$2:$E$7,3,FALSE)+IF(BB617="SP",$BB$3,0)+IF($AW617&lt;3,-5,0)+IF(AND($B$2&gt;0,$E617&lt;20),$B$2*25,0)</f>
        <v>19.810582788971832</v>
      </c>
      <c r="BA617" s="49">
        <f>STANDARDIZE(AZ617,AVERAGE($AZ$5:$AZ$676),STDEVP($AZ$5:$AZ$676))</f>
        <v>-0.92766731410509229</v>
      </c>
      <c r="BB617" s="47" t="str">
        <f>IF(OR(AND(AQ617&gt;7,AX617&gt;1),AND(AQ617&gt;4,AW617&gt;2)),"SP","RP")</f>
        <v>RP</v>
      </c>
      <c r="BC617" s="47"/>
      <c r="BD617" s="47"/>
      <c r="BE617" s="47"/>
      <c r="BF617" s="47" t="str">
        <f>IF(AVERAGE($O617:$Q617)&gt;=6,"Likely",IF(AVERAGE($O617:$Q617)&gt;=4,"Possible","Unlikely"))</f>
        <v>Unlikely</v>
      </c>
      <c r="BG617" s="47"/>
      <c r="BH617" s="47" t="str">
        <f>INDEX(Table5[[#All],[Ovr]],MATCH(Table3[[#This Row],[PID]],Table5[[#All],[PID]],0))</f>
        <v/>
      </c>
      <c r="BI617" s="47" t="str">
        <f>INDEX(Table5[[#All],[Rnd]],MATCH(Table3[[#This Row],[PID]],Table5[[#All],[PID]],0))</f>
        <v/>
      </c>
      <c r="BJ617" s="47" t="str">
        <f>INDEX(Table5[[#All],[Pick]],MATCH(Table3[[#This Row],[PID]],Table5[[#All],[PID]],0))</f>
        <v/>
      </c>
      <c r="BK617" s="47" t="str">
        <f>INDEX(Table5[[#All],[Team]],MATCH(Table3[[#This Row],[PID]],Table5[[#All],[PID]],0))</f>
        <v/>
      </c>
      <c r="BL6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8" spans="1:64" ht="15" customHeight="1" x14ac:dyDescent="0.25">
      <c r="A618" s="42">
        <v>14719</v>
      </c>
      <c r="B618" s="42" t="s">
        <v>430</v>
      </c>
      <c r="C618" s="42" t="s">
        <v>1802</v>
      </c>
      <c r="D618" s="42" t="s">
        <v>1803</v>
      </c>
      <c r="E618" s="42">
        <v>21</v>
      </c>
      <c r="F618" s="42" t="s">
        <v>53</v>
      </c>
      <c r="G618" s="42" t="s">
        <v>53</v>
      </c>
      <c r="H618" s="43" t="s">
        <v>721</v>
      </c>
      <c r="I618" s="44" t="s">
        <v>44</v>
      </c>
      <c r="J618" s="42" t="s">
        <v>44</v>
      </c>
      <c r="K618" s="43" t="s">
        <v>43</v>
      </c>
      <c r="L618" s="42">
        <v>1</v>
      </c>
      <c r="M618" s="42">
        <v>2</v>
      </c>
      <c r="N618" s="43">
        <v>1</v>
      </c>
      <c r="O618" s="42">
        <v>2</v>
      </c>
      <c r="P618" s="42">
        <v>2</v>
      </c>
      <c r="Q618" s="43">
        <v>2</v>
      </c>
      <c r="R618" s="42">
        <v>2</v>
      </c>
      <c r="S618" s="42">
        <v>4</v>
      </c>
      <c r="T618" s="42">
        <v>1</v>
      </c>
      <c r="U618" s="42">
        <v>1</v>
      </c>
      <c r="V618" s="42" t="s">
        <v>45</v>
      </c>
      <c r="W618" s="42" t="s">
        <v>45</v>
      </c>
      <c r="X618" s="42" t="s">
        <v>45</v>
      </c>
      <c r="Y618" s="42" t="s">
        <v>45</v>
      </c>
      <c r="Z618" s="42">
        <v>3</v>
      </c>
      <c r="AA618" s="42">
        <v>4</v>
      </c>
      <c r="AB618" s="42" t="s">
        <v>45</v>
      </c>
      <c r="AC618" s="42" t="s">
        <v>45</v>
      </c>
      <c r="AD618" s="42" t="s">
        <v>45</v>
      </c>
      <c r="AE618" s="42" t="s">
        <v>45</v>
      </c>
      <c r="AF618" s="42" t="s">
        <v>45</v>
      </c>
      <c r="AG618" s="42" t="s">
        <v>45</v>
      </c>
      <c r="AH618" s="42" t="s">
        <v>45</v>
      </c>
      <c r="AI618" s="42" t="s">
        <v>45</v>
      </c>
      <c r="AJ618" s="42" t="s">
        <v>45</v>
      </c>
      <c r="AK618" s="42" t="s">
        <v>45</v>
      </c>
      <c r="AL618" s="42" t="s">
        <v>45</v>
      </c>
      <c r="AM618" s="42" t="s">
        <v>45</v>
      </c>
      <c r="AN618" s="42" t="s">
        <v>45</v>
      </c>
      <c r="AO618" s="43" t="s">
        <v>45</v>
      </c>
      <c r="AP618" s="42" t="s">
        <v>73</v>
      </c>
      <c r="AQ618" s="42">
        <v>8</v>
      </c>
      <c r="AR618" s="50" t="s">
        <v>353</v>
      </c>
      <c r="AS618" s="45" t="s">
        <v>45</v>
      </c>
      <c r="AT618" s="45" t="s">
        <v>47</v>
      </c>
      <c r="AU618" s="46">
        <f>($O$3*(L618-$O$1)/$O$2+$P$3*(M618-$P$1)/$P$2+$Q$3*(N618-$P$1)/$Q$2)/SUM($O$3:$Q$3)</f>
        <v>-2.5060525215375429</v>
      </c>
      <c r="AV618" s="46">
        <f>($O$3*(O618-$O$1)/$O$2+$P$3*(P618-$P$1)/$P$2+$Q$3*(Q618-$Q$1)/$Q$2)/SUM($O$3:$Q$3)</f>
        <v>-1.6235458802371869</v>
      </c>
      <c r="AW618" s="47">
        <f>COUNT(R618:AO618)/2</f>
        <v>3</v>
      </c>
      <c r="AX618" s="47">
        <f>IF(AND(S618&lt;&gt;"-",S618&gt;5),1,0)+IF(AND(U618&lt;&gt;"-",U618&gt;5),1,0)+IF(AND(W618&lt;&gt;"-",W618&gt;5),1,0)+IF(AND(Y618&lt;&gt;"-",Y618&gt;5),1,0)+IF(AND(AA618&lt;&gt;"-",AA618&gt;5),1,0)+IF(AND(AC618&lt;&gt;"-",AC618&gt;5),1,0)+IF(AND(AE618&lt;&gt;"-",AE618&gt;5),1,0)+IF(AND(AG618&lt;&gt;"-",AG618&gt;5),1,0)+IF(AND(AI618&lt;&gt;"-",AI618&gt;5),1,0)+IF(AND(AK618&lt;&gt;"-",AK618&gt;5),1,0)+IF(AND(AM618&lt;&gt;"-",AM618&gt;5),1,0)+IF(AND(AO618&lt;&gt;"-",AO618&gt;5),1,0)</f>
        <v>0</v>
      </c>
      <c r="AY618" s="48">
        <f>VLOOKUP(AP618,COND!$A$10:$B$32,2,FALSE)</f>
        <v>0.85</v>
      </c>
      <c r="AZ618" s="46">
        <f>($AU$3*AU618+$AV$3*AV618+$AW$3*AW618+$AX$3*AX618)*AY618*IF(AQ618&lt;5,0.95,IF(AQ618&lt;7,0.975,1))+$I$3*VLOOKUP(I618,COND!$A$2:$E$7,4,FALSE)+$J$3*VLOOKUP(J618,COND!$A$2:$E$7,2,FALSE)+$K$3*VLOOKUP(K618,COND!$A$2:$E$7,3,FALSE)+IF(BB618="SP",$BB$3,0)+IF($AW618&lt;3,-5,0)+IF(AND($B$2&gt;0,$E618&lt;20),$B$2*25,0)</f>
        <v>19.798691107306439</v>
      </c>
      <c r="BA618" s="49">
        <f>STANDARDIZE(AZ618,AVERAGE($AZ$5:$AZ$676),STDEVP($AZ$5:$AZ$676))</f>
        <v>-0.92870953202456275</v>
      </c>
      <c r="BB618" s="47" t="str">
        <f>IF(OR(AND(AQ618&gt;7,AX618&gt;1),AND(AQ618&gt;4,AW618&gt;2)),"SP","RP")</f>
        <v>SP</v>
      </c>
      <c r="BC618" s="47"/>
      <c r="BD618" s="47"/>
      <c r="BE618" s="47"/>
      <c r="BF618" s="47" t="str">
        <f>IF(AVERAGE($O618:$Q618)&gt;=6,"Likely",IF(AVERAGE($O618:$Q618)&gt;=4,"Possible","Unlikely"))</f>
        <v>Unlikely</v>
      </c>
      <c r="BG618" s="47"/>
      <c r="BH618" s="47" t="str">
        <f>INDEX(Table5[[#All],[Ovr]],MATCH(Table3[[#This Row],[PID]],Table5[[#All],[PID]],0))</f>
        <v/>
      </c>
      <c r="BI618" s="47" t="str">
        <f>INDEX(Table5[[#All],[Rnd]],MATCH(Table3[[#This Row],[PID]],Table5[[#All],[PID]],0))</f>
        <v/>
      </c>
      <c r="BJ618" s="47" t="str">
        <f>INDEX(Table5[[#All],[Pick]],MATCH(Table3[[#This Row],[PID]],Table5[[#All],[PID]],0))</f>
        <v/>
      </c>
      <c r="BK618" s="47" t="str">
        <f>INDEX(Table5[[#All],[Team]],MATCH(Table3[[#This Row],[PID]],Table5[[#All],[PID]],0))</f>
        <v/>
      </c>
      <c r="BL6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9" spans="1:64" ht="15" customHeight="1" x14ac:dyDescent="0.25">
      <c r="A619" s="42">
        <v>9771</v>
      </c>
      <c r="B619" s="42" t="s">
        <v>430</v>
      </c>
      <c r="C619" s="42" t="s">
        <v>462</v>
      </c>
      <c r="D619" s="42" t="s">
        <v>548</v>
      </c>
      <c r="E619" s="42">
        <v>22</v>
      </c>
      <c r="F619" s="42" t="s">
        <v>42</v>
      </c>
      <c r="G619" s="42" t="s">
        <v>53</v>
      </c>
      <c r="H619" s="43" t="s">
        <v>721</v>
      </c>
      <c r="I619" s="44" t="s">
        <v>43</v>
      </c>
      <c r="J619" s="42" t="s">
        <v>44</v>
      </c>
      <c r="K619" s="43" t="s">
        <v>43</v>
      </c>
      <c r="L619" s="42">
        <v>4</v>
      </c>
      <c r="M619" s="42">
        <v>1</v>
      </c>
      <c r="N619" s="43">
        <v>2</v>
      </c>
      <c r="O619" s="42">
        <v>5</v>
      </c>
      <c r="P619" s="42">
        <v>1</v>
      </c>
      <c r="Q619" s="43">
        <v>2</v>
      </c>
      <c r="R619" s="42">
        <v>5</v>
      </c>
      <c r="S619" s="42">
        <v>6</v>
      </c>
      <c r="T619" s="42">
        <v>6</v>
      </c>
      <c r="U619" s="42">
        <v>7</v>
      </c>
      <c r="V619" s="42" t="s">
        <v>45</v>
      </c>
      <c r="W619" s="42" t="s">
        <v>45</v>
      </c>
      <c r="X619" s="42" t="s">
        <v>45</v>
      </c>
      <c r="Y619" s="42" t="s">
        <v>45</v>
      </c>
      <c r="Z619" s="42" t="s">
        <v>45</v>
      </c>
      <c r="AA619" s="42" t="s">
        <v>45</v>
      </c>
      <c r="AB619" s="42" t="s">
        <v>45</v>
      </c>
      <c r="AC619" s="42" t="s">
        <v>45</v>
      </c>
      <c r="AD619" s="42" t="s">
        <v>45</v>
      </c>
      <c r="AE619" s="42" t="s">
        <v>45</v>
      </c>
      <c r="AF619" s="42" t="s">
        <v>45</v>
      </c>
      <c r="AG619" s="42" t="s">
        <v>45</v>
      </c>
      <c r="AH619" s="42" t="s">
        <v>45</v>
      </c>
      <c r="AI619" s="42" t="s">
        <v>45</v>
      </c>
      <c r="AJ619" s="42" t="s">
        <v>45</v>
      </c>
      <c r="AK619" s="42" t="s">
        <v>45</v>
      </c>
      <c r="AL619" s="42" t="s">
        <v>45</v>
      </c>
      <c r="AM619" s="42" t="s">
        <v>45</v>
      </c>
      <c r="AN619" s="42" t="s">
        <v>45</v>
      </c>
      <c r="AO619" s="43" t="s">
        <v>45</v>
      </c>
      <c r="AP619" s="42" t="s">
        <v>56</v>
      </c>
      <c r="AQ619" s="42">
        <v>4</v>
      </c>
      <c r="AR619" s="50" t="s">
        <v>14</v>
      </c>
      <c r="AS619" s="45" t="s">
        <v>45</v>
      </c>
      <c r="AT619" s="45" t="s">
        <v>47</v>
      </c>
      <c r="AU619" s="46">
        <f>($O$3*(L619-$O$1)/$O$2+$P$3*(M619-$P$1)/$P$2+$Q$3*(N619-$P$1)/$Q$2)/SUM($O$3:$Q$3)</f>
        <v>-1.8750896983859671</v>
      </c>
      <c r="AV619" s="46">
        <f>($O$3*(O619-$O$1)/$O$2+$P$3*(P619-$P$1)/$P$2+$Q$3*(Q619-$Q$1)/$Q$2)/SUM($O$3:$Q$3)</f>
        <v>-1.2349036231397219</v>
      </c>
      <c r="AW619" s="47">
        <f>COUNT(R619:AO619)/2</f>
        <v>2</v>
      </c>
      <c r="AX619" s="47">
        <f>IF(AND(S619&lt;&gt;"-",S619&gt;5),1,0)+IF(AND(U619&lt;&gt;"-",U619&gt;5),1,0)+IF(AND(W619&lt;&gt;"-",W619&gt;5),1,0)+IF(AND(Y619&lt;&gt;"-",Y619&gt;5),1,0)+IF(AND(AA619&lt;&gt;"-",AA619&gt;5),1,0)+IF(AND(AC619&lt;&gt;"-",AC619&gt;5),1,0)+IF(AND(AE619&lt;&gt;"-",AE619&gt;5),1,0)+IF(AND(AG619&lt;&gt;"-",AG619&gt;5),1,0)+IF(AND(AI619&lt;&gt;"-",AI619&gt;5),1,0)+IF(AND(AK619&lt;&gt;"-",AK619&gt;5),1,0)+IF(AND(AM619&lt;&gt;"-",AM619&gt;5),1,0)+IF(AND(AO619&lt;&gt;"-",AO619&gt;5),1,0)</f>
        <v>2</v>
      </c>
      <c r="AY619" s="48">
        <f>VLOOKUP(AP619,COND!$A$10:$B$32,2,FALSE)</f>
        <v>1</v>
      </c>
      <c r="AZ619" s="46">
        <f>($AU$3*AU619+$AV$3*AV619+$AW$3*AW619+$AX$3*AX619)*AY619*IF(AQ619&lt;5,0.95,IF(AQ619&lt;7,0.975,1))+$I$3*VLOOKUP(I619,COND!$A$2:$E$7,4,FALSE)+$J$3*VLOOKUP(J619,COND!$A$2:$E$7,2,FALSE)+$K$3*VLOOKUP(K619,COND!$A$2:$E$7,3,FALSE)+IF(BB619="SP",$BB$3,0)+IF($AW619&lt;3,-5,0)+IF(AND($B$2&gt;0,$E619&lt;20),$B$2*25,0)</f>
        <v>19.205564117651949</v>
      </c>
      <c r="BA619" s="49">
        <f>STANDARDIZE(AZ619,AVERAGE($AZ$5:$AZ$570),STDEVP($AZ$5:$AZ$570))</f>
        <v>-1.2395379452620376</v>
      </c>
      <c r="BB619" s="47" t="str">
        <f>IF(OR(AND(AQ619&gt;7,AX619&gt;1),AND(AQ619&gt;4,AW619&gt;2)),"SP","RP")</f>
        <v>RP</v>
      </c>
      <c r="BC619" s="47"/>
      <c r="BD619" s="47"/>
      <c r="BE619" s="47"/>
      <c r="BF619" s="47" t="str">
        <f>IF(AVERAGE($O619:$Q619)&gt;=6,"Likely",IF(AVERAGE($O619:$Q619)&gt;=4,"Possible","Unlikely"))</f>
        <v>Unlikely</v>
      </c>
      <c r="BG619" s="47"/>
      <c r="BH619" s="47" t="str">
        <f>INDEX(Table5[[#All],[Ovr]],MATCH(Table3[[#This Row],[PID]],Table5[[#All],[PID]],0))</f>
        <v/>
      </c>
      <c r="BI619" s="47" t="str">
        <f>INDEX(Table5[[#All],[Rnd]],MATCH(Table3[[#This Row],[PID]],Table5[[#All],[PID]],0))</f>
        <v/>
      </c>
      <c r="BJ619" s="47" t="str">
        <f>INDEX(Table5[[#All],[Pick]],MATCH(Table3[[#This Row],[PID]],Table5[[#All],[PID]],0))</f>
        <v/>
      </c>
      <c r="BK619" s="47" t="str">
        <f>INDEX(Table5[[#All],[Team]],MATCH(Table3[[#This Row],[PID]],Table5[[#All],[PID]],0))</f>
        <v/>
      </c>
      <c r="BL6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0" spans="1:64" ht="15" customHeight="1" x14ac:dyDescent="0.25">
      <c r="A620" s="42">
        <v>11211</v>
      </c>
      <c r="B620" s="42" t="s">
        <v>430</v>
      </c>
      <c r="C620" s="42" t="s">
        <v>1377</v>
      </c>
      <c r="D620" s="42" t="s">
        <v>667</v>
      </c>
      <c r="E620" s="42">
        <v>18</v>
      </c>
      <c r="F620" s="42" t="s">
        <v>62</v>
      </c>
      <c r="G620" s="42" t="s">
        <v>42</v>
      </c>
      <c r="H620" s="43" t="s">
        <v>721</v>
      </c>
      <c r="I620" s="44" t="s">
        <v>43</v>
      </c>
      <c r="J620" s="42" t="s">
        <v>44</v>
      </c>
      <c r="K620" s="43" t="s">
        <v>43</v>
      </c>
      <c r="L620" s="42">
        <v>1</v>
      </c>
      <c r="M620" s="42">
        <v>1</v>
      </c>
      <c r="N620" s="43">
        <v>1</v>
      </c>
      <c r="O620" s="42">
        <v>4</v>
      </c>
      <c r="P620" s="42">
        <v>1</v>
      </c>
      <c r="Q620" s="43">
        <v>2</v>
      </c>
      <c r="R620" s="42">
        <v>3</v>
      </c>
      <c r="S620" s="42">
        <v>5</v>
      </c>
      <c r="T620" s="42" t="s">
        <v>45</v>
      </c>
      <c r="U620" s="42" t="s">
        <v>45</v>
      </c>
      <c r="V620" s="42" t="s">
        <v>45</v>
      </c>
      <c r="W620" s="42" t="s">
        <v>45</v>
      </c>
      <c r="X620" s="42">
        <v>2</v>
      </c>
      <c r="Y620" s="42">
        <v>6</v>
      </c>
      <c r="Z620" s="42" t="s">
        <v>45</v>
      </c>
      <c r="AA620" s="42" t="s">
        <v>45</v>
      </c>
      <c r="AB620" s="42" t="s">
        <v>45</v>
      </c>
      <c r="AC620" s="42" t="s">
        <v>45</v>
      </c>
      <c r="AD620" s="42" t="s">
        <v>45</v>
      </c>
      <c r="AE620" s="42" t="s">
        <v>45</v>
      </c>
      <c r="AF620" s="42" t="s">
        <v>45</v>
      </c>
      <c r="AG620" s="42" t="s">
        <v>45</v>
      </c>
      <c r="AH620" s="42" t="s">
        <v>45</v>
      </c>
      <c r="AI620" s="42" t="s">
        <v>45</v>
      </c>
      <c r="AJ620" s="42" t="s">
        <v>45</v>
      </c>
      <c r="AK620" s="42" t="s">
        <v>45</v>
      </c>
      <c r="AL620" s="42" t="s">
        <v>45</v>
      </c>
      <c r="AM620" s="42" t="s">
        <v>45</v>
      </c>
      <c r="AN620" s="42" t="s">
        <v>45</v>
      </c>
      <c r="AO620" s="43" t="s">
        <v>45</v>
      </c>
      <c r="AP620" s="42" t="s">
        <v>64</v>
      </c>
      <c r="AQ620" s="42">
        <v>3</v>
      </c>
      <c r="AR620" s="50" t="s">
        <v>357</v>
      </c>
      <c r="AS620" s="45" t="s">
        <v>718</v>
      </c>
      <c r="AT620" s="45" t="s">
        <v>705</v>
      </c>
      <c r="AU620" s="46">
        <f>($O$3*(L620-$O$1)/$O$2+$P$3*(M620-$P$1)/$P$2+$Q$3*(N620-$P$1)/$Q$2)/SUM($O$3:$Q$3)</f>
        <v>-2.7014842379675978</v>
      </c>
      <c r="AV620" s="46">
        <f>($O$3*(O620-$O$1)/$O$2+$P$3*(P620-$P$1)/$P$2+$Q$3*(Q620-$Q$1)/$Q$2)/SUM($O$3:$Q$3)</f>
        <v>-1.4295949476488956</v>
      </c>
      <c r="AW620" s="47">
        <f>COUNT(R620:AO620)/2</f>
        <v>2</v>
      </c>
      <c r="AX620" s="47">
        <f>IF(AND(S620&lt;&gt;"-",S620&gt;5),1,0)+IF(AND(U620&lt;&gt;"-",U620&gt;5),1,0)+IF(AND(W620&lt;&gt;"-",W620&gt;5),1,0)+IF(AND(Y620&lt;&gt;"-",Y620&gt;5),1,0)+IF(AND(AA620&lt;&gt;"-",AA620&gt;5),1,0)+IF(AND(AC620&lt;&gt;"-",AC620&gt;5),1,0)+IF(AND(AE620&lt;&gt;"-",AE620&gt;5),1,0)+IF(AND(AG620&lt;&gt;"-",AG620&gt;5),1,0)+IF(AND(AI620&lt;&gt;"-",AI620&gt;5),1,0)+IF(AND(AK620&lt;&gt;"-",AK620&gt;5),1,0)+IF(AND(AM620&lt;&gt;"-",AM620&gt;5),1,0)+IF(AND(AO620&lt;&gt;"-",AO620&gt;5),1,0)</f>
        <v>1</v>
      </c>
      <c r="AY620" s="48">
        <f>VLOOKUP(AP620,COND!$A$10:$B$32,2,FALSE)</f>
        <v>1</v>
      </c>
      <c r="AZ620" s="46">
        <f>($AU$3*AU620+$AV$3*AV620+$AW$3*AW620+$AX$3*AX620)*AY620*IF(AQ620&lt;5,0.95,IF(AQ620&lt;7,0.975,1))+$I$3*VLOOKUP(I620,COND!$A$2:$E$7,4,FALSE)+$J$3*VLOOKUP(J620,COND!$A$2:$E$7,2,FALSE)+$K$3*VLOOKUP(K620,COND!$A$2:$E$7,3,FALSE)+IF(BB620="SP",$BB$3,0)+IF($AW620&lt;3,-5,0)+IF(AND($B$2&gt;0,$E620&lt;20),$B$2*25,0)</f>
        <v>19.161913989457137</v>
      </c>
      <c r="BA620" s="49">
        <f>STANDARDIZE(AZ620,AVERAGE($AZ$5:$AZ$570),STDEVP($AZ$5:$AZ$570))</f>
        <v>-1.2435408485820709</v>
      </c>
      <c r="BB620" s="47" t="str">
        <f>IF(OR(AND(AQ620&gt;7,AX620&gt;1),AND(AQ620&gt;4,AW620&gt;2)),"SP","RP")</f>
        <v>RP</v>
      </c>
      <c r="BC620" s="47"/>
      <c r="BD620" s="47"/>
      <c r="BE620" s="47"/>
      <c r="BF620" s="47" t="str">
        <f>IF(AVERAGE($O620:$Q620)&gt;=6,"Likely",IF(AVERAGE($O620:$Q620)&gt;=4,"Possible","Unlikely"))</f>
        <v>Unlikely</v>
      </c>
      <c r="BG620" s="47"/>
      <c r="BH620" s="47" t="str">
        <f>INDEX(Table5[[#All],[Ovr]],MATCH(Table3[[#This Row],[PID]],Table5[[#All],[PID]],0))</f>
        <v/>
      </c>
      <c r="BI620" s="47" t="str">
        <f>INDEX(Table5[[#All],[Rnd]],MATCH(Table3[[#This Row],[PID]],Table5[[#All],[PID]],0))</f>
        <v/>
      </c>
      <c r="BJ620" s="47" t="str">
        <f>INDEX(Table5[[#All],[Pick]],MATCH(Table3[[#This Row],[PID]],Table5[[#All],[PID]],0))</f>
        <v/>
      </c>
      <c r="BK620" s="47" t="str">
        <f>INDEX(Table5[[#All],[Team]],MATCH(Table3[[#This Row],[PID]],Table5[[#All],[PID]],0))</f>
        <v/>
      </c>
      <c r="BL6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1" spans="1:64" ht="15" customHeight="1" x14ac:dyDescent="0.25">
      <c r="A621" s="42">
        <v>5821</v>
      </c>
      <c r="B621" s="42" t="s">
        <v>430</v>
      </c>
      <c r="C621" s="42" t="s">
        <v>152</v>
      </c>
      <c r="D621" s="42" t="s">
        <v>630</v>
      </c>
      <c r="E621" s="42">
        <v>21</v>
      </c>
      <c r="F621" s="42" t="s">
        <v>53</v>
      </c>
      <c r="G621" s="42" t="s">
        <v>42</v>
      </c>
      <c r="H621" s="43" t="s">
        <v>721</v>
      </c>
      <c r="I621" s="44" t="s">
        <v>43</v>
      </c>
      <c r="J621" s="42" t="s">
        <v>44</v>
      </c>
      <c r="K621" s="43" t="s">
        <v>43</v>
      </c>
      <c r="L621" s="42">
        <v>2</v>
      </c>
      <c r="M621" s="42">
        <v>2</v>
      </c>
      <c r="N621" s="43">
        <v>1</v>
      </c>
      <c r="O621" s="42">
        <v>3</v>
      </c>
      <c r="P621" s="42">
        <v>2</v>
      </c>
      <c r="Q621" s="43">
        <v>2</v>
      </c>
      <c r="R621" s="42" t="s">
        <v>45</v>
      </c>
      <c r="S621" s="42" t="s">
        <v>45</v>
      </c>
      <c r="T621" s="42">
        <v>1</v>
      </c>
      <c r="U621" s="42">
        <v>1</v>
      </c>
      <c r="V621" s="42" t="s">
        <v>45</v>
      </c>
      <c r="W621" s="42" t="s">
        <v>45</v>
      </c>
      <c r="X621" s="42" t="s">
        <v>45</v>
      </c>
      <c r="Y621" s="42" t="s">
        <v>45</v>
      </c>
      <c r="Z621" s="42">
        <v>3</v>
      </c>
      <c r="AA621" s="42">
        <v>4</v>
      </c>
      <c r="AB621" s="42" t="s">
        <v>45</v>
      </c>
      <c r="AC621" s="42" t="s">
        <v>45</v>
      </c>
      <c r="AD621" s="42">
        <v>3</v>
      </c>
      <c r="AE621" s="42">
        <v>3</v>
      </c>
      <c r="AF621" s="42" t="s">
        <v>45</v>
      </c>
      <c r="AG621" s="42" t="s">
        <v>45</v>
      </c>
      <c r="AH621" s="42" t="s">
        <v>45</v>
      </c>
      <c r="AI621" s="42" t="s">
        <v>45</v>
      </c>
      <c r="AJ621" s="42" t="s">
        <v>45</v>
      </c>
      <c r="AK621" s="42" t="s">
        <v>45</v>
      </c>
      <c r="AL621" s="42" t="s">
        <v>45</v>
      </c>
      <c r="AM621" s="42" t="s">
        <v>45</v>
      </c>
      <c r="AN621" s="42" t="s">
        <v>45</v>
      </c>
      <c r="AO621" s="43" t="s">
        <v>45</v>
      </c>
      <c r="AP621" s="42" t="s">
        <v>64</v>
      </c>
      <c r="AQ621" s="42">
        <v>8</v>
      </c>
      <c r="AR621" s="50" t="s">
        <v>353</v>
      </c>
      <c r="AS621" s="45" t="s">
        <v>717</v>
      </c>
      <c r="AT621" s="45" t="s">
        <v>47</v>
      </c>
      <c r="AU621" s="46">
        <f>($O$3*(L621-$O$1)/$O$2+$P$3*(M621-$P$1)/$P$2+$Q$3*(N621-$P$1)/$Q$2)/SUM($O$3:$Q$3)</f>
        <v>-2.311361197028369</v>
      </c>
      <c r="AV621" s="46">
        <f>($O$3*(O621-$O$1)/$O$2+$P$3*(P621-$P$1)/$P$2+$Q$3*(Q621-$Q$1)/$Q$2)/SUM($O$3:$Q$3)</f>
        <v>-1.4288545557280135</v>
      </c>
      <c r="AW621" s="47">
        <f>COUNT(R621:AO621)/2</f>
        <v>3</v>
      </c>
      <c r="AX621" s="47">
        <f>IF(AND(S621&lt;&gt;"-",S621&gt;5),1,0)+IF(AND(U621&lt;&gt;"-",U621&gt;5),1,0)+IF(AND(W621&lt;&gt;"-",W621&gt;5),1,0)+IF(AND(Y621&lt;&gt;"-",Y621&gt;5),1,0)+IF(AND(AA621&lt;&gt;"-",AA621&gt;5),1,0)+IF(AND(AC621&lt;&gt;"-",AC621&gt;5),1,0)+IF(AND(AE621&lt;&gt;"-",AE621&gt;5),1,0)+IF(AND(AG621&lt;&gt;"-",AG621&gt;5),1,0)+IF(AND(AI621&lt;&gt;"-",AI621&gt;5),1,0)+IF(AND(AK621&lt;&gt;"-",AK621&gt;5),1,0)+IF(AND(AM621&lt;&gt;"-",AM621&gt;5),1,0)+IF(AND(AO621&lt;&gt;"-",AO621&gt;5),1,0)</f>
        <v>0</v>
      </c>
      <c r="AY621" s="48">
        <f>VLOOKUP(AP621,COND!$A$10:$B$32,2,FALSE)</f>
        <v>1</v>
      </c>
      <c r="AZ621" s="46">
        <f>($AU$3*AU621+$AV$3*AV621+$AW$3*AW621+$AX$3*AX621)*AY621*IF(AQ621&lt;5,0.95,IF(AQ621&lt;7,0.975,1))+$I$3*VLOOKUP(I621,COND!$A$2:$E$7,4,FALSE)+$J$3*VLOOKUP(J621,COND!$A$2:$E$7,2,FALSE)+$K$3*VLOOKUP(K621,COND!$A$2:$E$7,3,FALSE)+IF(BB621="SP",$BB$3,0)+IF($AW621&lt;3,-5,0)+IF(AND($B$2&gt;0,$E621&lt;20),$B$2*25,0)</f>
        <v>19.160636646034057</v>
      </c>
      <c r="BA621" s="49">
        <f>STANDARDIZE(AZ621,AVERAGE($AZ$5:$AZ$570),STDEVP($AZ$5:$AZ$570))</f>
        <v>-1.243657986433448</v>
      </c>
      <c r="BB621" s="47" t="str">
        <f>IF(OR(AND(AQ621&gt;7,AX621&gt;1),AND(AQ621&gt;4,AW621&gt;2)),"SP","RP")</f>
        <v>SP</v>
      </c>
      <c r="BC621" s="47"/>
      <c r="BD621" s="47"/>
      <c r="BE621" s="47"/>
      <c r="BF621" s="47" t="str">
        <f>IF(AVERAGE($O621:$Q621)&gt;=6,"Likely",IF(AVERAGE($O621:$Q621)&gt;=4,"Possible","Unlikely"))</f>
        <v>Unlikely</v>
      </c>
      <c r="BG621" s="47"/>
      <c r="BH621" s="47" t="str">
        <f>INDEX(Table5[[#All],[Ovr]],MATCH(Table3[[#This Row],[PID]],Table5[[#All],[PID]],0))</f>
        <v/>
      </c>
      <c r="BI621" s="47" t="str">
        <f>INDEX(Table5[[#All],[Rnd]],MATCH(Table3[[#This Row],[PID]],Table5[[#All],[PID]],0))</f>
        <v/>
      </c>
      <c r="BJ621" s="47" t="str">
        <f>INDEX(Table5[[#All],[Pick]],MATCH(Table3[[#This Row],[PID]],Table5[[#All],[PID]],0))</f>
        <v/>
      </c>
      <c r="BK621" s="47" t="str">
        <f>INDEX(Table5[[#All],[Team]],MATCH(Table3[[#This Row],[PID]],Table5[[#All],[PID]],0))</f>
        <v/>
      </c>
      <c r="BL6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2" spans="1:64" ht="15" customHeight="1" x14ac:dyDescent="0.25">
      <c r="A622" s="42">
        <v>17969</v>
      </c>
      <c r="B622" s="42" t="s">
        <v>430</v>
      </c>
      <c r="C622" s="42" t="s">
        <v>128</v>
      </c>
      <c r="D622" s="42" t="s">
        <v>300</v>
      </c>
      <c r="E622" s="42">
        <v>21</v>
      </c>
      <c r="F622" s="42" t="s">
        <v>42</v>
      </c>
      <c r="G622" s="42" t="s">
        <v>42</v>
      </c>
      <c r="H622" s="43" t="s">
        <v>721</v>
      </c>
      <c r="I622" s="44" t="s">
        <v>43</v>
      </c>
      <c r="J622" s="42" t="s">
        <v>44</v>
      </c>
      <c r="K622" s="43" t="s">
        <v>43</v>
      </c>
      <c r="L622" s="42">
        <v>2</v>
      </c>
      <c r="M622" s="42">
        <v>2</v>
      </c>
      <c r="N622" s="43">
        <v>1</v>
      </c>
      <c r="O622" s="42">
        <v>3</v>
      </c>
      <c r="P622" s="42">
        <v>2</v>
      </c>
      <c r="Q622" s="43">
        <v>2</v>
      </c>
      <c r="R622" s="42">
        <v>4</v>
      </c>
      <c r="S622" s="42">
        <v>5</v>
      </c>
      <c r="T622" s="42">
        <v>2</v>
      </c>
      <c r="U622" s="42">
        <v>4</v>
      </c>
      <c r="V622" s="42">
        <v>2</v>
      </c>
      <c r="W622" s="42">
        <v>4</v>
      </c>
      <c r="X622" s="42" t="s">
        <v>45</v>
      </c>
      <c r="Y622" s="42" t="s">
        <v>45</v>
      </c>
      <c r="Z622" s="42" t="s">
        <v>45</v>
      </c>
      <c r="AA622" s="42" t="s">
        <v>45</v>
      </c>
      <c r="AB622" s="42" t="s">
        <v>45</v>
      </c>
      <c r="AC622" s="42" t="s">
        <v>45</v>
      </c>
      <c r="AD622" s="42" t="s">
        <v>45</v>
      </c>
      <c r="AE622" s="42" t="s">
        <v>45</v>
      </c>
      <c r="AF622" s="42" t="s">
        <v>45</v>
      </c>
      <c r="AG622" s="42" t="s">
        <v>45</v>
      </c>
      <c r="AH622" s="42" t="s">
        <v>45</v>
      </c>
      <c r="AI622" s="42" t="s">
        <v>45</v>
      </c>
      <c r="AJ622" s="42" t="s">
        <v>45</v>
      </c>
      <c r="AK622" s="42" t="s">
        <v>45</v>
      </c>
      <c r="AL622" s="42" t="s">
        <v>45</v>
      </c>
      <c r="AM622" s="42" t="s">
        <v>45</v>
      </c>
      <c r="AN622" s="42" t="s">
        <v>45</v>
      </c>
      <c r="AO622" s="43" t="s">
        <v>45</v>
      </c>
      <c r="AP622" s="42" t="s">
        <v>57</v>
      </c>
      <c r="AQ622" s="42">
        <v>8</v>
      </c>
      <c r="AR622" s="50" t="s">
        <v>353</v>
      </c>
      <c r="AS622" s="45" t="s">
        <v>45</v>
      </c>
      <c r="AT622" s="45" t="s">
        <v>47</v>
      </c>
      <c r="AU622" s="46">
        <f>($O$3*(L622-$O$1)/$O$2+$P$3*(M622-$P$1)/$P$2+$Q$3*(N622-$P$1)/$Q$2)/SUM($O$3:$Q$3)</f>
        <v>-2.311361197028369</v>
      </c>
      <c r="AV622" s="46">
        <f>($O$3*(O622-$O$1)/$O$2+$P$3*(P622-$P$1)/$P$2+$Q$3*(Q622-$Q$1)/$Q$2)/SUM($O$3:$Q$3)</f>
        <v>-1.4288545557280135</v>
      </c>
      <c r="AW622" s="47">
        <f>COUNT(R622:AO622)/2</f>
        <v>3</v>
      </c>
      <c r="AX622" s="47">
        <f>IF(AND(S622&lt;&gt;"-",S622&gt;5),1,0)+IF(AND(U622&lt;&gt;"-",U622&gt;5),1,0)+IF(AND(W622&lt;&gt;"-",W622&gt;5),1,0)+IF(AND(Y622&lt;&gt;"-",Y622&gt;5),1,0)+IF(AND(AA622&lt;&gt;"-",AA622&gt;5),1,0)+IF(AND(AC622&lt;&gt;"-",AC622&gt;5),1,0)+IF(AND(AE622&lt;&gt;"-",AE622&gt;5),1,0)+IF(AND(AG622&lt;&gt;"-",AG622&gt;5),1,0)+IF(AND(AI622&lt;&gt;"-",AI622&gt;5),1,0)+IF(AND(AK622&lt;&gt;"-",AK622&gt;5),1,0)+IF(AND(AM622&lt;&gt;"-",AM622&gt;5),1,0)+IF(AND(AO622&lt;&gt;"-",AO622&gt;5),1,0)</f>
        <v>0</v>
      </c>
      <c r="AY622" s="48">
        <f>VLOOKUP(AP622,COND!$A$10:$B$32,2,FALSE)</f>
        <v>1</v>
      </c>
      <c r="AZ622" s="46">
        <f>($AU$3*AU622+$AV$3*AV622+$AW$3*AW622+$AX$3*AX622)*AY622*IF(AQ622&lt;5,0.95,IF(AQ622&lt;7,0.975,1))+$I$3*VLOOKUP(I622,COND!$A$2:$E$7,4,FALSE)+$J$3*VLOOKUP(J622,COND!$A$2:$E$7,2,FALSE)+$K$3*VLOOKUP(K622,COND!$A$2:$E$7,3,FALSE)+IF(BB622="SP",$BB$3,0)+IF($AW622&lt;3,-5,0)+IF(AND($B$2&gt;0,$E622&lt;20),$B$2*25,0)</f>
        <v>19.160636646034057</v>
      </c>
      <c r="BA622" s="49">
        <f>STANDARDIZE(AZ622,AVERAGE($AZ$5:$AZ$570),STDEVP($AZ$5:$AZ$570))</f>
        <v>-1.243657986433448</v>
      </c>
      <c r="BB622" s="47" t="str">
        <f>IF(OR(AND(AQ622&gt;7,AX622&gt;1),AND(AQ622&gt;4,AW622&gt;2)),"SP","RP")</f>
        <v>SP</v>
      </c>
      <c r="BC622" s="47"/>
      <c r="BD622" s="47"/>
      <c r="BE622" s="47"/>
      <c r="BF622" s="47" t="str">
        <f>IF(AVERAGE($O622:$Q622)&gt;=6,"Likely",IF(AVERAGE($O622:$Q622)&gt;=4,"Possible","Unlikely"))</f>
        <v>Unlikely</v>
      </c>
      <c r="BG622" s="47"/>
      <c r="BH622" s="47" t="str">
        <f>INDEX(Table5[[#All],[Ovr]],MATCH(Table3[[#This Row],[PID]],Table5[[#All],[PID]],0))</f>
        <v/>
      </c>
      <c r="BI622" s="47" t="str">
        <f>INDEX(Table5[[#All],[Rnd]],MATCH(Table3[[#This Row],[PID]],Table5[[#All],[PID]],0))</f>
        <v/>
      </c>
      <c r="BJ622" s="47" t="str">
        <f>INDEX(Table5[[#All],[Pick]],MATCH(Table3[[#This Row],[PID]],Table5[[#All],[PID]],0))</f>
        <v/>
      </c>
      <c r="BK622" s="47" t="str">
        <f>INDEX(Table5[[#All],[Team]],MATCH(Table3[[#This Row],[PID]],Table5[[#All],[PID]],0))</f>
        <v/>
      </c>
      <c r="BL6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3" spans="1:64" ht="15" customHeight="1" x14ac:dyDescent="0.25">
      <c r="A623" s="42">
        <v>8202</v>
      </c>
      <c r="B623" s="42" t="s">
        <v>430</v>
      </c>
      <c r="C623" s="42" t="s">
        <v>137</v>
      </c>
      <c r="D623" s="42" t="s">
        <v>924</v>
      </c>
      <c r="E623" s="42">
        <v>18</v>
      </c>
      <c r="F623" s="42" t="s">
        <v>42</v>
      </c>
      <c r="G623" s="42" t="s">
        <v>42</v>
      </c>
      <c r="H623" s="43" t="s">
        <v>721</v>
      </c>
      <c r="I623" s="44" t="s">
        <v>43</v>
      </c>
      <c r="J623" s="42" t="s">
        <v>47</v>
      </c>
      <c r="K623" s="43" t="s">
        <v>43</v>
      </c>
      <c r="L623" s="42">
        <v>1</v>
      </c>
      <c r="M623" s="42">
        <v>2</v>
      </c>
      <c r="N623" s="43">
        <v>1</v>
      </c>
      <c r="O623" s="42">
        <v>4</v>
      </c>
      <c r="P623" s="42">
        <v>2</v>
      </c>
      <c r="Q623" s="43">
        <v>1</v>
      </c>
      <c r="R623" s="42">
        <v>2</v>
      </c>
      <c r="S623" s="42">
        <v>5</v>
      </c>
      <c r="T623" s="42" t="s">
        <v>45</v>
      </c>
      <c r="U623" s="42" t="s">
        <v>45</v>
      </c>
      <c r="V623" s="42" t="s">
        <v>45</v>
      </c>
      <c r="W623" s="42" t="s">
        <v>45</v>
      </c>
      <c r="X623" s="42">
        <v>1</v>
      </c>
      <c r="Y623" s="42">
        <v>5</v>
      </c>
      <c r="Z623" s="42" t="s">
        <v>45</v>
      </c>
      <c r="AA623" s="42" t="s">
        <v>45</v>
      </c>
      <c r="AB623" s="42" t="s">
        <v>45</v>
      </c>
      <c r="AC623" s="42" t="s">
        <v>45</v>
      </c>
      <c r="AD623" s="42" t="s">
        <v>45</v>
      </c>
      <c r="AE623" s="42" t="s">
        <v>45</v>
      </c>
      <c r="AF623" s="42" t="s">
        <v>45</v>
      </c>
      <c r="AG623" s="42" t="s">
        <v>45</v>
      </c>
      <c r="AH623" s="42" t="s">
        <v>45</v>
      </c>
      <c r="AI623" s="42" t="s">
        <v>45</v>
      </c>
      <c r="AJ623" s="42" t="s">
        <v>45</v>
      </c>
      <c r="AK623" s="42" t="s">
        <v>45</v>
      </c>
      <c r="AL623" s="42" t="s">
        <v>45</v>
      </c>
      <c r="AM623" s="42" t="s">
        <v>45</v>
      </c>
      <c r="AN623" s="42" t="s">
        <v>45</v>
      </c>
      <c r="AO623" s="43" t="s">
        <v>45</v>
      </c>
      <c r="AP623" s="42" t="s">
        <v>65</v>
      </c>
      <c r="AQ623" s="42">
        <v>8</v>
      </c>
      <c r="AR623" s="50" t="s">
        <v>353</v>
      </c>
      <c r="AS623" s="45" t="s">
        <v>718</v>
      </c>
      <c r="AT623" s="45" t="s">
        <v>705</v>
      </c>
      <c r="AU623" s="46">
        <f>($O$3*(L623-$O$1)/$O$2+$P$3*(M623-$P$1)/$P$2+$Q$3*(N623-$P$1)/$Q$2)/SUM($O$3:$Q$3)</f>
        <v>-2.5060525215375429</v>
      </c>
      <c r="AV623" s="46">
        <f>($O$3*(O623-$O$1)/$O$2+$P$3*(P623-$P$1)/$P$2+$Q$3*(Q623-$Q$1)/$Q$2)/SUM($O$3:$Q$3)</f>
        <v>-1.4764837972729503</v>
      </c>
      <c r="AW623" s="47">
        <f>COUNT(R623:AO623)/2</f>
        <v>2</v>
      </c>
      <c r="AX623" s="47">
        <f>IF(AND(S623&lt;&gt;"-",S623&gt;5),1,0)+IF(AND(U623&lt;&gt;"-",U623&gt;5),1,0)+IF(AND(W623&lt;&gt;"-",W623&gt;5),1,0)+IF(AND(Y623&lt;&gt;"-",Y623&gt;5),1,0)+IF(AND(AA623&lt;&gt;"-",AA623&gt;5),1,0)+IF(AND(AC623&lt;&gt;"-",AC623&gt;5),1,0)+IF(AND(AE623&lt;&gt;"-",AE623&gt;5),1,0)+IF(AND(AG623&lt;&gt;"-",AG623&gt;5),1,0)+IF(AND(AI623&lt;&gt;"-",AI623&gt;5),1,0)+IF(AND(AK623&lt;&gt;"-",AK623&gt;5),1,0)+IF(AND(AM623&lt;&gt;"-",AM623&gt;5),1,0)+IF(AND(AO623&lt;&gt;"-",AO623&gt;5),1,0)</f>
        <v>0</v>
      </c>
      <c r="AY623" s="48">
        <f>VLOOKUP(AP623,COND!$A$10:$B$32,2,FALSE)</f>
        <v>0.95</v>
      </c>
      <c r="AZ623" s="46">
        <f>($AU$3*AU623+$AV$3*AV623+$AW$3*AW623+$AX$3*AX623)*AY623*IF(AQ623&lt;5,0.95,IF(AQ623&lt;7,0.975,1))+$I$3*VLOOKUP(I623,COND!$A$2:$E$7,4,FALSE)+$J$3*VLOOKUP(J623,COND!$A$2:$E$7,2,FALSE)+$K$3*VLOOKUP(K623,COND!$A$2:$E$7,3,FALSE)+IF(BB623="SP",$BB$3,0)+IF($AW623&lt;3,-5,0)+IF(AND($B$2&gt;0,$E623&lt;20),$B$2*25,0)</f>
        <v>17.720657872721816</v>
      </c>
      <c r="BA623" s="49">
        <f>STANDARDIZE(AZ623,AVERAGE($AZ$5:$AZ$570),STDEVP($AZ$5:$AZ$570))</f>
        <v>-1.3757101945448091</v>
      </c>
      <c r="BB623" s="47" t="str">
        <f>IF(OR(AND(AQ623&gt;7,AX623&gt;1),AND(AQ623&gt;4,AW623&gt;2)),"SP","RP")</f>
        <v>RP</v>
      </c>
      <c r="BC623" s="47"/>
      <c r="BD623" s="47"/>
      <c r="BE623" s="47"/>
      <c r="BF623" s="47" t="str">
        <f>IF(AVERAGE($O623:$Q623)&gt;=6,"Likely",IF(AVERAGE($O623:$Q623)&gt;=4,"Possible","Unlikely"))</f>
        <v>Unlikely</v>
      </c>
      <c r="BG623" s="47"/>
      <c r="BH623" s="47" t="str">
        <f>INDEX(Table5[[#All],[Ovr]],MATCH(Table3[[#This Row],[PID]],Table5[[#All],[PID]],0))</f>
        <v/>
      </c>
      <c r="BI623" s="47" t="str">
        <f>INDEX(Table5[[#All],[Rnd]],MATCH(Table3[[#This Row],[PID]],Table5[[#All],[PID]],0))</f>
        <v/>
      </c>
      <c r="BJ623" s="47" t="str">
        <f>INDEX(Table5[[#All],[Pick]],MATCH(Table3[[#This Row],[PID]],Table5[[#All],[PID]],0))</f>
        <v/>
      </c>
      <c r="BK623" s="47" t="str">
        <f>INDEX(Table5[[#All],[Team]],MATCH(Table3[[#This Row],[PID]],Table5[[#All],[PID]],0))</f>
        <v/>
      </c>
      <c r="BL6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4" spans="1:64" ht="15" customHeight="1" x14ac:dyDescent="0.25">
      <c r="A624" s="42">
        <v>13022</v>
      </c>
      <c r="B624" s="42" t="s">
        <v>430</v>
      </c>
      <c r="C624" s="42" t="s">
        <v>999</v>
      </c>
      <c r="D624" s="42" t="s">
        <v>1000</v>
      </c>
      <c r="E624" s="42">
        <v>22</v>
      </c>
      <c r="F624" s="42" t="s">
        <v>62</v>
      </c>
      <c r="G624" s="42" t="s">
        <v>42</v>
      </c>
      <c r="H624" s="43" t="s">
        <v>721</v>
      </c>
      <c r="I624" s="44" t="s">
        <v>43</v>
      </c>
      <c r="J624" s="42" t="s">
        <v>43</v>
      </c>
      <c r="K624" s="43" t="s">
        <v>43</v>
      </c>
      <c r="L624" s="42">
        <v>3</v>
      </c>
      <c r="M624" s="42">
        <v>1</v>
      </c>
      <c r="N624" s="43">
        <v>1</v>
      </c>
      <c r="O624" s="42">
        <v>4</v>
      </c>
      <c r="P624" s="42">
        <v>2</v>
      </c>
      <c r="Q624" s="43">
        <v>1</v>
      </c>
      <c r="R624" s="42">
        <v>5</v>
      </c>
      <c r="S624" s="42">
        <v>5</v>
      </c>
      <c r="T624" s="42">
        <v>4</v>
      </c>
      <c r="U624" s="42">
        <v>5</v>
      </c>
      <c r="V624" s="42">
        <v>2</v>
      </c>
      <c r="W624" s="42">
        <v>2</v>
      </c>
      <c r="X624" s="42" t="s">
        <v>45</v>
      </c>
      <c r="Y624" s="42" t="s">
        <v>45</v>
      </c>
      <c r="Z624" s="42" t="s">
        <v>45</v>
      </c>
      <c r="AA624" s="42" t="s">
        <v>45</v>
      </c>
      <c r="AB624" s="42" t="s">
        <v>45</v>
      </c>
      <c r="AC624" s="42" t="s">
        <v>45</v>
      </c>
      <c r="AD624" s="42" t="s">
        <v>45</v>
      </c>
      <c r="AE624" s="42" t="s">
        <v>45</v>
      </c>
      <c r="AF624" s="42">
        <v>4</v>
      </c>
      <c r="AG624" s="42">
        <v>5</v>
      </c>
      <c r="AH624" s="42" t="s">
        <v>45</v>
      </c>
      <c r="AI624" s="42" t="s">
        <v>45</v>
      </c>
      <c r="AJ624" s="42" t="s">
        <v>45</v>
      </c>
      <c r="AK624" s="42" t="s">
        <v>45</v>
      </c>
      <c r="AL624" s="42" t="s">
        <v>45</v>
      </c>
      <c r="AM624" s="42" t="s">
        <v>45</v>
      </c>
      <c r="AN624" s="42" t="s">
        <v>45</v>
      </c>
      <c r="AO624" s="43" t="s">
        <v>45</v>
      </c>
      <c r="AP624" s="42" t="s">
        <v>56</v>
      </c>
      <c r="AQ624" s="42">
        <v>3</v>
      </c>
      <c r="AR624" s="50" t="s">
        <v>14</v>
      </c>
      <c r="AS624" s="45" t="s">
        <v>45</v>
      </c>
      <c r="AT624" s="45" t="s">
        <v>47</v>
      </c>
      <c r="AU624" s="46">
        <f>($O$3*(L624-$O$1)/$O$2+$P$3*(M624-$P$1)/$P$2+$Q$3*(N624-$P$1)/$Q$2)/SUM($O$3:$Q$3)</f>
        <v>-2.3121015889492513</v>
      </c>
      <c r="AV624" s="46">
        <f>($O$3*(O624-$O$1)/$O$2+$P$3*(P624-$P$1)/$P$2+$Q$3*(Q624-$Q$1)/$Q$2)/SUM($O$3:$Q$3)</f>
        <v>-1.4764837972729503</v>
      </c>
      <c r="AW624" s="47">
        <f>COUNT(R624:AO624)/2</f>
        <v>4</v>
      </c>
      <c r="AX624" s="47">
        <f>IF(AND(S624&lt;&gt;"-",S624&gt;5),1,0)+IF(AND(U624&lt;&gt;"-",U624&gt;5),1,0)+IF(AND(W624&lt;&gt;"-",W624&gt;5),1,0)+IF(AND(Y624&lt;&gt;"-",Y624&gt;5),1,0)+IF(AND(AA624&lt;&gt;"-",AA624&gt;5),1,0)+IF(AND(AC624&lt;&gt;"-",AC624&gt;5),1,0)+IF(AND(AE624&lt;&gt;"-",AE624&gt;5),1,0)+IF(AND(AG624&lt;&gt;"-",AG624&gt;5),1,0)+IF(AND(AI624&lt;&gt;"-",AI624&gt;5),1,0)+IF(AND(AK624&lt;&gt;"-",AK624&gt;5),1,0)+IF(AND(AM624&lt;&gt;"-",AM624&gt;5),1,0)+IF(AND(AO624&lt;&gt;"-",AO624&gt;5),1,0)</f>
        <v>0</v>
      </c>
      <c r="AY624" s="48">
        <f>VLOOKUP(AP624,COND!$A$10:$B$32,2,FALSE)</f>
        <v>1</v>
      </c>
      <c r="AZ624" s="46">
        <f>($AU$3*AU624+$AV$3*AV624+$AW$3*AW624+$AX$3*AX624)*AY624*IF(AQ624&lt;5,0.95,IF(AQ624&lt;7,0.975,1))+$I$3*VLOOKUP(I624,COND!$A$2:$E$7,4,FALSE)+$J$3*VLOOKUP(J624,COND!$A$2:$E$7,2,FALSE)+$K$3*VLOOKUP(K624,COND!$A$2:$E$7,3,FALSE)+IF(BB624="SP",$BB$3,0)+IF($AW624&lt;3,-5,0)+IF(AND($B$2&gt;0,$E624&lt;20),$B$2*25,0)</f>
        <v>18.40750854991359</v>
      </c>
      <c r="BA624" s="49">
        <f>STANDARDIZE(AZ624,AVERAGE($AZ$5:$AZ$570),STDEVP($AZ$5:$AZ$570))</f>
        <v>-1.3127230517848303</v>
      </c>
      <c r="BB624" s="47" t="str">
        <f>IF(OR(AND(AQ624&gt;7,AX624&gt;1),AND(AQ624&gt;4,AW624&gt;2)),"SP","RP")</f>
        <v>RP</v>
      </c>
      <c r="BC624" s="47"/>
      <c r="BD624" s="47"/>
      <c r="BE624" s="47"/>
      <c r="BF624" s="47" t="str">
        <f>IF(AVERAGE($O624:$Q624)&gt;=6,"Likely",IF(AVERAGE($O624:$Q624)&gt;=4,"Possible","Unlikely"))</f>
        <v>Unlikely</v>
      </c>
      <c r="BG624" s="47"/>
      <c r="BH624" s="47" t="str">
        <f>INDEX(Table5[[#All],[Ovr]],MATCH(Table3[[#This Row],[PID]],Table5[[#All],[PID]],0))</f>
        <v/>
      </c>
      <c r="BI624" s="47" t="str">
        <f>INDEX(Table5[[#All],[Rnd]],MATCH(Table3[[#This Row],[PID]],Table5[[#All],[PID]],0))</f>
        <v/>
      </c>
      <c r="BJ624" s="47" t="str">
        <f>INDEX(Table5[[#All],[Pick]],MATCH(Table3[[#This Row],[PID]],Table5[[#All],[PID]],0))</f>
        <v/>
      </c>
      <c r="BK624" s="47" t="str">
        <f>INDEX(Table5[[#All],[Team]],MATCH(Table3[[#This Row],[PID]],Table5[[#All],[PID]],0))</f>
        <v/>
      </c>
      <c r="BL6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5" spans="1:64" ht="15" customHeight="1" x14ac:dyDescent="0.25">
      <c r="A625" s="42">
        <v>7358</v>
      </c>
      <c r="B625" s="42" t="s">
        <v>430</v>
      </c>
      <c r="C625" s="42" t="s">
        <v>146</v>
      </c>
      <c r="D625" s="42" t="s">
        <v>351</v>
      </c>
      <c r="E625" s="42">
        <v>20</v>
      </c>
      <c r="F625" s="42" t="s">
        <v>42</v>
      </c>
      <c r="G625" s="42" t="s">
        <v>42</v>
      </c>
      <c r="H625" s="43" t="s">
        <v>721</v>
      </c>
      <c r="I625" s="44" t="s">
        <v>43</v>
      </c>
      <c r="J625" s="42" t="s">
        <v>43</v>
      </c>
      <c r="K625" s="43" t="s">
        <v>43</v>
      </c>
      <c r="L625" s="42">
        <v>1</v>
      </c>
      <c r="M625" s="42">
        <v>2</v>
      </c>
      <c r="N625" s="43">
        <v>1</v>
      </c>
      <c r="O625" s="42">
        <v>3</v>
      </c>
      <c r="P625" s="42">
        <v>2</v>
      </c>
      <c r="Q625" s="43">
        <v>2</v>
      </c>
      <c r="R625" s="42">
        <v>3</v>
      </c>
      <c r="S625" s="42">
        <v>4</v>
      </c>
      <c r="T625" s="42">
        <v>1</v>
      </c>
      <c r="U625" s="42">
        <v>3</v>
      </c>
      <c r="V625" s="42">
        <v>2</v>
      </c>
      <c r="W625" s="42">
        <v>4</v>
      </c>
      <c r="X625" s="42" t="s">
        <v>45</v>
      </c>
      <c r="Y625" s="42" t="s">
        <v>45</v>
      </c>
      <c r="Z625" s="42" t="s">
        <v>45</v>
      </c>
      <c r="AA625" s="42" t="s">
        <v>45</v>
      </c>
      <c r="AB625" s="42" t="s">
        <v>45</v>
      </c>
      <c r="AC625" s="42" t="s">
        <v>45</v>
      </c>
      <c r="AD625" s="42" t="s">
        <v>45</v>
      </c>
      <c r="AE625" s="42" t="s">
        <v>45</v>
      </c>
      <c r="AF625" s="42" t="s">
        <v>45</v>
      </c>
      <c r="AG625" s="42" t="s">
        <v>45</v>
      </c>
      <c r="AH625" s="42" t="s">
        <v>45</v>
      </c>
      <c r="AI625" s="42" t="s">
        <v>45</v>
      </c>
      <c r="AJ625" s="42" t="s">
        <v>45</v>
      </c>
      <c r="AK625" s="42" t="s">
        <v>45</v>
      </c>
      <c r="AL625" s="42" t="s">
        <v>45</v>
      </c>
      <c r="AM625" s="42" t="s">
        <v>45</v>
      </c>
      <c r="AN625" s="42" t="s">
        <v>45</v>
      </c>
      <c r="AO625" s="43" t="s">
        <v>45</v>
      </c>
      <c r="AP625" s="42" t="s">
        <v>64</v>
      </c>
      <c r="AQ625" s="42">
        <v>4</v>
      </c>
      <c r="AR625" s="50" t="s">
        <v>353</v>
      </c>
      <c r="AS625" s="45" t="s">
        <v>45</v>
      </c>
      <c r="AT625" s="45" t="s">
        <v>47</v>
      </c>
      <c r="AU625" s="46">
        <f>($O$3*(L625-$O$1)/$O$2+$P$3*(M625-$P$1)/$P$2+$Q$3*(N625-$P$1)/$Q$2)/SUM($O$3:$Q$3)</f>
        <v>-2.5060525215375429</v>
      </c>
      <c r="AV625" s="46">
        <f>($O$3*(O625-$O$1)/$O$2+$P$3*(P625-$P$1)/$P$2+$Q$3*(Q625-$Q$1)/$Q$2)/SUM($O$3:$Q$3)</f>
        <v>-1.4288545557280135</v>
      </c>
      <c r="AW625" s="47">
        <f>COUNT(R625:AO625)/2</f>
        <v>3</v>
      </c>
      <c r="AX625" s="47">
        <f>IF(AND(S625&lt;&gt;"-",S625&gt;5),1,0)+IF(AND(U625&lt;&gt;"-",U625&gt;5),1,0)+IF(AND(W625&lt;&gt;"-",W625&gt;5),1,0)+IF(AND(Y625&lt;&gt;"-",Y625&gt;5),1,0)+IF(AND(AA625&lt;&gt;"-",AA625&gt;5),1,0)+IF(AND(AC625&lt;&gt;"-",AC625&gt;5),1,0)+IF(AND(AE625&lt;&gt;"-",AE625&gt;5),1,0)+IF(AND(AG625&lt;&gt;"-",AG625&gt;5),1,0)+IF(AND(AI625&lt;&gt;"-",AI625&gt;5),1,0)+IF(AND(AK625&lt;&gt;"-",AK625&gt;5),1,0)+IF(AND(AM625&lt;&gt;"-",AM625&gt;5),1,0)+IF(AND(AO625&lt;&gt;"-",AO625&gt;5),1,0)</f>
        <v>0</v>
      </c>
      <c r="AY625" s="48">
        <f>VLOOKUP(AP625,COND!$A$10:$B$32,2,FALSE)</f>
        <v>1</v>
      </c>
      <c r="AZ625" s="46">
        <f>($AU$3*AU625+$AV$3*AV625+$AW$3*AW625+$AX$3*AX625)*AY625*IF(AQ625&lt;5,0.95,IF(AQ625&lt;7,0.975,1))+$I$3*VLOOKUP(I625,COND!$A$2:$E$7,4,FALSE)+$J$3*VLOOKUP(J625,COND!$A$2:$E$7,2,FALSE)+$K$3*VLOOKUP(K625,COND!$A$2:$E$7,3,FALSE)+IF(BB625="SP",$BB$3,0)+IF($AW625&lt;3,-5,0)+IF(AND($B$2&gt;0,$E625&lt;20),$B$2*25,0)</f>
        <v>18.800613462075614</v>
      </c>
      <c r="BA625" s="49">
        <f>STANDARDIZE(AZ625,AVERAGE($AZ$5:$AZ$676),STDEVP($AZ$5:$AZ$676))</f>
        <v>-1.0161836535283026</v>
      </c>
      <c r="BB625" s="47" t="str">
        <f>IF(OR(AND(AQ625&gt;7,AX625&gt;1),AND(AQ625&gt;4,AW625&gt;2)),"SP","RP")</f>
        <v>RP</v>
      </c>
      <c r="BC625" s="47"/>
      <c r="BD625" s="47"/>
      <c r="BE625" s="47"/>
      <c r="BF625" s="47" t="str">
        <f>IF(AVERAGE($O625:$Q625)&gt;=6,"Likely",IF(AVERAGE($O625:$Q625)&gt;=4,"Possible","Unlikely"))</f>
        <v>Unlikely</v>
      </c>
      <c r="BG625" s="47"/>
      <c r="BH625" s="47" t="str">
        <f>INDEX(Table5[[#All],[Ovr]],MATCH(Table3[[#This Row],[PID]],Table5[[#All],[PID]],0))</f>
        <v/>
      </c>
      <c r="BI625" s="47" t="str">
        <f>INDEX(Table5[[#All],[Rnd]],MATCH(Table3[[#This Row],[PID]],Table5[[#All],[PID]],0))</f>
        <v/>
      </c>
      <c r="BJ625" s="47" t="str">
        <f>INDEX(Table5[[#All],[Pick]],MATCH(Table3[[#This Row],[PID]],Table5[[#All],[PID]],0))</f>
        <v/>
      </c>
      <c r="BK625" s="47" t="str">
        <f>INDEX(Table5[[#All],[Team]],MATCH(Table3[[#This Row],[PID]],Table5[[#All],[PID]],0))</f>
        <v/>
      </c>
      <c r="BL6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6" spans="1:64" ht="15" customHeight="1" x14ac:dyDescent="0.25">
      <c r="A626" s="42">
        <v>8726</v>
      </c>
      <c r="B626" s="42" t="s">
        <v>430</v>
      </c>
      <c r="C626" s="42" t="s">
        <v>130</v>
      </c>
      <c r="D626" s="42" t="s">
        <v>1772</v>
      </c>
      <c r="E626" s="42">
        <v>21</v>
      </c>
      <c r="F626" s="42" t="s">
        <v>42</v>
      </c>
      <c r="G626" s="42" t="s">
        <v>42</v>
      </c>
      <c r="H626" s="43" t="s">
        <v>721</v>
      </c>
      <c r="I626" s="44" t="s">
        <v>43</v>
      </c>
      <c r="J626" s="42" t="s">
        <v>47</v>
      </c>
      <c r="K626" s="43" t="s">
        <v>43</v>
      </c>
      <c r="L626" s="42">
        <v>1</v>
      </c>
      <c r="M626" s="42">
        <v>1</v>
      </c>
      <c r="N626" s="43">
        <v>1</v>
      </c>
      <c r="O626" s="42">
        <v>3</v>
      </c>
      <c r="P626" s="42">
        <v>1</v>
      </c>
      <c r="Q626" s="43">
        <v>2</v>
      </c>
      <c r="R626" s="42">
        <v>2</v>
      </c>
      <c r="S626" s="42">
        <v>4</v>
      </c>
      <c r="T626" s="42" t="s">
        <v>45</v>
      </c>
      <c r="U626" s="42" t="s">
        <v>45</v>
      </c>
      <c r="V626" s="42">
        <v>1</v>
      </c>
      <c r="W626" s="42">
        <v>4</v>
      </c>
      <c r="X626" s="42">
        <v>2</v>
      </c>
      <c r="Y626" s="42">
        <v>4</v>
      </c>
      <c r="Z626" s="42" t="s">
        <v>45</v>
      </c>
      <c r="AA626" s="42" t="s">
        <v>45</v>
      </c>
      <c r="AB626" s="42" t="s">
        <v>45</v>
      </c>
      <c r="AC626" s="42" t="s">
        <v>45</v>
      </c>
      <c r="AD626" s="42" t="s">
        <v>45</v>
      </c>
      <c r="AE626" s="42" t="s">
        <v>45</v>
      </c>
      <c r="AF626" s="42" t="s">
        <v>45</v>
      </c>
      <c r="AG626" s="42" t="s">
        <v>45</v>
      </c>
      <c r="AH626" s="42" t="s">
        <v>45</v>
      </c>
      <c r="AI626" s="42" t="s">
        <v>45</v>
      </c>
      <c r="AJ626" s="42" t="s">
        <v>45</v>
      </c>
      <c r="AK626" s="42" t="s">
        <v>45</v>
      </c>
      <c r="AL626" s="42" t="s">
        <v>45</v>
      </c>
      <c r="AM626" s="42" t="s">
        <v>45</v>
      </c>
      <c r="AN626" s="42" t="s">
        <v>45</v>
      </c>
      <c r="AO626" s="43" t="s">
        <v>45</v>
      </c>
      <c r="AP626" s="42" t="s">
        <v>68</v>
      </c>
      <c r="AQ626" s="42">
        <v>6</v>
      </c>
      <c r="AR626" s="50" t="s">
        <v>14</v>
      </c>
      <c r="AS626" s="45" t="s">
        <v>45</v>
      </c>
      <c r="AT626" s="45" t="s">
        <v>47</v>
      </c>
      <c r="AU626" s="46">
        <f>($O$3*(L626-$O$1)/$O$2+$P$3*(M626-$P$1)/$P$2+$Q$3*(N626-$P$1)/$Q$2)/SUM($O$3:$Q$3)</f>
        <v>-2.7014842379675978</v>
      </c>
      <c r="AV626" s="46">
        <f>($O$3*(O626-$O$1)/$O$2+$P$3*(P626-$P$1)/$P$2+$Q$3*(Q626-$Q$1)/$Q$2)/SUM($O$3:$Q$3)</f>
        <v>-1.6242862721580691</v>
      </c>
      <c r="AW626" s="47">
        <f>COUNT(R626:AO626)/2</f>
        <v>3</v>
      </c>
      <c r="AX626" s="47">
        <f>IF(AND(S626&lt;&gt;"-",S626&gt;5),1,0)+IF(AND(U626&lt;&gt;"-",U626&gt;5),1,0)+IF(AND(W626&lt;&gt;"-",W626&gt;5),1,0)+IF(AND(Y626&lt;&gt;"-",Y626&gt;5),1,0)+IF(AND(AA626&lt;&gt;"-",AA626&gt;5),1,0)+IF(AND(AC626&lt;&gt;"-",AC626&gt;5),1,0)+IF(AND(AE626&lt;&gt;"-",AE626&gt;5),1,0)+IF(AND(AG626&lt;&gt;"-",AG626&gt;5),1,0)+IF(AND(AI626&lt;&gt;"-",AI626&gt;5),1,0)+IF(AND(AK626&lt;&gt;"-",AK626&gt;5),1,0)+IF(AND(AM626&lt;&gt;"-",AM626&gt;5),1,0)+IF(AND(AO626&lt;&gt;"-",AO626&gt;5),1,0)</f>
        <v>0</v>
      </c>
      <c r="AY626" s="48">
        <f>VLOOKUP(AP626,COND!$A$10:$B$32,2,FALSE)</f>
        <v>0.95</v>
      </c>
      <c r="AZ626" s="46">
        <f>($AU$3*AU626+$AV$3*AV626+$AW$3*AW626+$AX$3*AX626)*AY626*IF(AQ626&lt;5,0.95,IF(AQ626&lt;7,0.975,1))+$I$3*VLOOKUP(I626,COND!$A$2:$E$7,4,FALSE)+$J$3*VLOOKUP(J626,COND!$A$2:$E$7,2,FALSE)+$K$3*VLOOKUP(K626,COND!$A$2:$E$7,3,FALSE)+IF(BB626="SP",$BB$3,0)+IF($AW626&lt;3,-5,0)+IF(AND($B$2&gt;0,$E626&lt;20),$B$2*25,0)</f>
        <v>18.099021853188273</v>
      </c>
      <c r="BA626" s="49">
        <f>STANDARDIZE(AZ626,AVERAGE($AZ$5:$AZ$676),STDEVP($AZ$5:$AZ$676))</f>
        <v>-1.0776729674459813</v>
      </c>
      <c r="BB626" s="47" t="str">
        <f>IF(OR(AND(AQ626&gt;7,AX626&gt;1),AND(AQ626&gt;4,AW626&gt;2)),"SP","RP")</f>
        <v>SP</v>
      </c>
      <c r="BC626" s="47"/>
      <c r="BD626" s="47"/>
      <c r="BE626" s="47"/>
      <c r="BF626" s="47" t="str">
        <f>IF(AVERAGE($O626:$Q626)&gt;=6,"Likely",IF(AVERAGE($O626:$Q626)&gt;=4,"Possible","Unlikely"))</f>
        <v>Unlikely</v>
      </c>
      <c r="BG626" s="47"/>
      <c r="BH626" s="47" t="str">
        <f>INDEX(Table5[[#All],[Ovr]],MATCH(Table3[[#This Row],[PID]],Table5[[#All],[PID]],0))</f>
        <v/>
      </c>
      <c r="BI626" s="47" t="str">
        <f>INDEX(Table5[[#All],[Rnd]],MATCH(Table3[[#This Row],[PID]],Table5[[#All],[PID]],0))</f>
        <v/>
      </c>
      <c r="BJ626" s="47" t="str">
        <f>INDEX(Table5[[#All],[Pick]],MATCH(Table3[[#This Row],[PID]],Table5[[#All],[PID]],0))</f>
        <v/>
      </c>
      <c r="BK626" s="47" t="str">
        <f>INDEX(Table5[[#All],[Team]],MATCH(Table3[[#This Row],[PID]],Table5[[#All],[PID]],0))</f>
        <v/>
      </c>
      <c r="BL6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7" spans="1:64" ht="15" customHeight="1" x14ac:dyDescent="0.25">
      <c r="A627" s="42">
        <v>11367</v>
      </c>
      <c r="B627" s="42" t="s">
        <v>430</v>
      </c>
      <c r="C627" s="42" t="s">
        <v>1003</v>
      </c>
      <c r="D627" s="42" t="s">
        <v>1002</v>
      </c>
      <c r="E627" s="42">
        <v>22</v>
      </c>
      <c r="F627" s="42" t="s">
        <v>53</v>
      </c>
      <c r="G627" s="42" t="s">
        <v>53</v>
      </c>
      <c r="H627" s="43" t="s">
        <v>721</v>
      </c>
      <c r="I627" s="44" t="s">
        <v>43</v>
      </c>
      <c r="J627" s="42" t="s">
        <v>43</v>
      </c>
      <c r="K627" s="43" t="s">
        <v>43</v>
      </c>
      <c r="L627" s="42">
        <v>2</v>
      </c>
      <c r="M627" s="42">
        <v>2</v>
      </c>
      <c r="N627" s="43">
        <v>2</v>
      </c>
      <c r="O627" s="42">
        <v>4</v>
      </c>
      <c r="P627" s="42">
        <v>2</v>
      </c>
      <c r="Q627" s="43">
        <v>2</v>
      </c>
      <c r="R627" s="42">
        <v>4</v>
      </c>
      <c r="S627" s="42">
        <v>6</v>
      </c>
      <c r="T627" s="42" t="s">
        <v>45</v>
      </c>
      <c r="U627" s="42" t="s">
        <v>45</v>
      </c>
      <c r="V627" s="42" t="s">
        <v>45</v>
      </c>
      <c r="W627" s="42" t="s">
        <v>45</v>
      </c>
      <c r="X627" s="42" t="s">
        <v>45</v>
      </c>
      <c r="Y627" s="42" t="s">
        <v>45</v>
      </c>
      <c r="Z627" s="42" t="s">
        <v>45</v>
      </c>
      <c r="AA627" s="42" t="s">
        <v>45</v>
      </c>
      <c r="AB627" s="42">
        <v>3</v>
      </c>
      <c r="AC627" s="42">
        <v>5</v>
      </c>
      <c r="AD627" s="42" t="s">
        <v>45</v>
      </c>
      <c r="AE627" s="42" t="s">
        <v>45</v>
      </c>
      <c r="AF627" s="42" t="s">
        <v>45</v>
      </c>
      <c r="AG627" s="42" t="s">
        <v>45</v>
      </c>
      <c r="AH627" s="42" t="s">
        <v>45</v>
      </c>
      <c r="AI627" s="42" t="s">
        <v>45</v>
      </c>
      <c r="AJ627" s="42" t="s">
        <v>45</v>
      </c>
      <c r="AK627" s="42" t="s">
        <v>45</v>
      </c>
      <c r="AL627" s="42" t="s">
        <v>45</v>
      </c>
      <c r="AM627" s="42" t="s">
        <v>45</v>
      </c>
      <c r="AN627" s="42" t="s">
        <v>45</v>
      </c>
      <c r="AO627" s="43" t="s">
        <v>45</v>
      </c>
      <c r="AP627" s="42" t="s">
        <v>57</v>
      </c>
      <c r="AQ627" s="42">
        <v>2</v>
      </c>
      <c r="AR627" s="50" t="s">
        <v>353</v>
      </c>
      <c r="AS627" s="45" t="s">
        <v>45</v>
      </c>
      <c r="AT627" s="45" t="s">
        <v>47</v>
      </c>
      <c r="AU627" s="46">
        <f>($O$3*(L627-$O$1)/$O$2+$P$3*(M627-$P$1)/$P$2+$Q$3*(N627-$P$1)/$Q$2)/SUM($O$3:$Q$3)</f>
        <v>-2.0690406309742588</v>
      </c>
      <c r="AV627" s="46">
        <f>($O$3*(O627-$O$1)/$O$2+$P$3*(P627-$P$1)/$P$2+$Q$3*(Q627-$Q$1)/$Q$2)/SUM($O$3:$Q$3)</f>
        <v>-1.23416323121884</v>
      </c>
      <c r="AW627" s="47">
        <f>COUNT(R627:AO627)/2</f>
        <v>2</v>
      </c>
      <c r="AX627" s="47">
        <f>IF(AND(S627&lt;&gt;"-",S627&gt;5),1,0)+IF(AND(U627&lt;&gt;"-",U627&gt;5),1,0)+IF(AND(W627&lt;&gt;"-",W627&gt;5),1,0)+IF(AND(Y627&lt;&gt;"-",Y627&gt;5),1,0)+IF(AND(AA627&lt;&gt;"-",AA627&gt;5),1,0)+IF(AND(AC627&lt;&gt;"-",AC627&gt;5),1,0)+IF(AND(AE627&lt;&gt;"-",AE627&gt;5),1,0)+IF(AND(AG627&lt;&gt;"-",AG627&gt;5),1,0)+IF(AND(AI627&lt;&gt;"-",AI627&gt;5),1,0)+IF(AND(AK627&lt;&gt;"-",AK627&gt;5),1,0)+IF(AND(AM627&lt;&gt;"-",AM627&gt;5),1,0)+IF(AND(AO627&lt;&gt;"-",AO627&gt;5),1,0)</f>
        <v>1</v>
      </c>
      <c r="AY627" s="48">
        <f>VLOOKUP(AP627,COND!$A$10:$B$32,2,FALSE)</f>
        <v>1</v>
      </c>
      <c r="AZ627" s="46">
        <f>($AU$3*AU627+$AV$3*AV627+$AW$3*AW627+$AX$3*AX627)*AY627*IF(AQ627&lt;5,0.95,IF(AQ627&lt;7,0.975,1))+$I$3*VLOOKUP(I627,COND!$A$2:$E$7,4,FALSE)+$J$3*VLOOKUP(J627,COND!$A$2:$E$7,2,FALSE)+$K$3*VLOOKUP(K627,COND!$A$2:$E$7,3,FALSE)+IF(BB627="SP",$BB$3,0)+IF($AW627&lt;3,-5,0)+IF(AND($B$2&gt;0,$E627&lt;20),$B$2*25,0)</f>
        <v>18.295280886956931</v>
      </c>
      <c r="BA627" s="49">
        <f>STANDARDIZE(AZ627,AVERAGE($AZ$5:$AZ$570),STDEVP($AZ$5:$AZ$570))</f>
        <v>-1.3230148081490687</v>
      </c>
      <c r="BB627" s="47" t="str">
        <f>IF(OR(AND(AQ627&gt;7,AX627&gt;1),AND(AQ627&gt;4,AW627&gt;2)),"SP","RP")</f>
        <v>RP</v>
      </c>
      <c r="BC627" s="47"/>
      <c r="BD627" s="47"/>
      <c r="BE627" s="47"/>
      <c r="BF627" s="47" t="str">
        <f>IF(AVERAGE($O627:$Q627)&gt;=6,"Likely",IF(AVERAGE($O627:$Q627)&gt;=4,"Possible","Unlikely"))</f>
        <v>Unlikely</v>
      </c>
      <c r="BG627" s="47"/>
      <c r="BH627" s="47" t="str">
        <f>INDEX(Table5[[#All],[Ovr]],MATCH(Table3[[#This Row],[PID]],Table5[[#All],[PID]],0))</f>
        <v/>
      </c>
      <c r="BI627" s="47" t="str">
        <f>INDEX(Table5[[#All],[Rnd]],MATCH(Table3[[#This Row],[PID]],Table5[[#All],[PID]],0))</f>
        <v/>
      </c>
      <c r="BJ627" s="47" t="str">
        <f>INDEX(Table5[[#All],[Pick]],MATCH(Table3[[#This Row],[PID]],Table5[[#All],[PID]],0))</f>
        <v/>
      </c>
      <c r="BK627" s="47" t="str">
        <f>INDEX(Table5[[#All],[Team]],MATCH(Table3[[#This Row],[PID]],Table5[[#All],[PID]],0))</f>
        <v/>
      </c>
      <c r="BL6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8" spans="1:64" ht="15" customHeight="1" x14ac:dyDescent="0.25">
      <c r="A628" s="42">
        <v>7470</v>
      </c>
      <c r="B628" s="42" t="s">
        <v>430</v>
      </c>
      <c r="C628" s="42" t="s">
        <v>128</v>
      </c>
      <c r="D628" s="42" t="s">
        <v>1580</v>
      </c>
      <c r="E628" s="42">
        <v>18</v>
      </c>
      <c r="F628" s="42" t="s">
        <v>53</v>
      </c>
      <c r="G628" s="42" t="s">
        <v>53</v>
      </c>
      <c r="H628" s="43" t="s">
        <v>721</v>
      </c>
      <c r="I628" s="44" t="s">
        <v>43</v>
      </c>
      <c r="J628" s="42" t="s">
        <v>43</v>
      </c>
      <c r="K628" s="43" t="s">
        <v>43</v>
      </c>
      <c r="L628" s="42">
        <v>1</v>
      </c>
      <c r="M628" s="42">
        <v>1</v>
      </c>
      <c r="N628" s="43">
        <v>1</v>
      </c>
      <c r="O628" s="42">
        <v>4</v>
      </c>
      <c r="P628" s="42">
        <v>1</v>
      </c>
      <c r="Q628" s="43">
        <v>2</v>
      </c>
      <c r="R628" s="42">
        <v>2</v>
      </c>
      <c r="S628" s="42">
        <v>4</v>
      </c>
      <c r="T628" s="42" t="s">
        <v>45</v>
      </c>
      <c r="U628" s="42" t="s">
        <v>45</v>
      </c>
      <c r="V628" s="42" t="s">
        <v>45</v>
      </c>
      <c r="W628" s="42" t="s">
        <v>45</v>
      </c>
      <c r="X628" s="42">
        <v>1</v>
      </c>
      <c r="Y628" s="42">
        <v>5</v>
      </c>
      <c r="Z628" s="42" t="s">
        <v>45</v>
      </c>
      <c r="AA628" s="42" t="s">
        <v>45</v>
      </c>
      <c r="AB628" s="42" t="s">
        <v>45</v>
      </c>
      <c r="AC628" s="42" t="s">
        <v>45</v>
      </c>
      <c r="AD628" s="42" t="s">
        <v>45</v>
      </c>
      <c r="AE628" s="42" t="s">
        <v>45</v>
      </c>
      <c r="AF628" s="42" t="s">
        <v>45</v>
      </c>
      <c r="AG628" s="42" t="s">
        <v>45</v>
      </c>
      <c r="AH628" s="42" t="s">
        <v>45</v>
      </c>
      <c r="AI628" s="42" t="s">
        <v>45</v>
      </c>
      <c r="AJ628" s="42" t="s">
        <v>45</v>
      </c>
      <c r="AK628" s="42" t="s">
        <v>45</v>
      </c>
      <c r="AL628" s="42" t="s">
        <v>45</v>
      </c>
      <c r="AM628" s="42" t="s">
        <v>45</v>
      </c>
      <c r="AN628" s="42" t="s">
        <v>45</v>
      </c>
      <c r="AO628" s="43" t="s">
        <v>45</v>
      </c>
      <c r="AP628" s="42" t="s">
        <v>68</v>
      </c>
      <c r="AQ628" s="42">
        <v>8</v>
      </c>
      <c r="AR628" s="50" t="s">
        <v>14</v>
      </c>
      <c r="AS628" s="45" t="s">
        <v>730</v>
      </c>
      <c r="AT628" s="45" t="s">
        <v>47</v>
      </c>
      <c r="AU628" s="46">
        <f>($O$3*(L628-$O$1)/$O$2+$P$3*(M628-$P$1)/$P$2+$Q$3*(N628-$P$1)/$Q$2)/SUM($O$3:$Q$3)</f>
        <v>-2.7014842379675978</v>
      </c>
      <c r="AV628" s="46">
        <f>($O$3*(O628-$O$1)/$O$2+$P$3*(P628-$P$1)/$P$2+$Q$3*(Q628-$Q$1)/$Q$2)/SUM($O$3:$Q$3)</f>
        <v>-1.4295949476488956</v>
      </c>
      <c r="AW628" s="47">
        <f>COUNT(R628:AO628)/2</f>
        <v>2</v>
      </c>
      <c r="AX628" s="47">
        <f>IF(AND(S628&lt;&gt;"-",S628&gt;5),1,0)+IF(AND(U628&lt;&gt;"-",U628&gt;5),1,0)+IF(AND(W628&lt;&gt;"-",W628&gt;5),1,0)+IF(AND(Y628&lt;&gt;"-",Y628&gt;5),1,0)+IF(AND(AA628&lt;&gt;"-",AA628&gt;5),1,0)+IF(AND(AC628&lt;&gt;"-",AC628&gt;5),1,0)+IF(AND(AE628&lt;&gt;"-",AE628&gt;5),1,0)+IF(AND(AG628&lt;&gt;"-",AG628&gt;5),1,0)+IF(AND(AI628&lt;&gt;"-",AI628&gt;5),1,0)+IF(AND(AK628&lt;&gt;"-",AK628&gt;5),1,0)+IF(AND(AM628&lt;&gt;"-",AM628&gt;5),1,0)+IF(AND(AO628&lt;&gt;"-",AO628&gt;5),1,0)</f>
        <v>0</v>
      </c>
      <c r="AY628" s="48">
        <f>VLOOKUP(AP628,COND!$A$10:$B$32,2,FALSE)</f>
        <v>0.95</v>
      </c>
      <c r="AZ628" s="46">
        <f>($AU$3*AU628+$AV$3*AV628+$AW$3*AW628+$AX$3*AX628)*AY628*IF(AQ628&lt;5,0.95,IF(AQ628&lt;7,0.975,1))+$I$3*VLOOKUP(I628,COND!$A$2:$E$7,4,FALSE)+$J$3*VLOOKUP(J628,COND!$A$2:$E$7,2,FALSE)+$K$3*VLOOKUP(K628,COND!$A$2:$E$7,3,FALSE)+IF(BB628="SP",$BB$3,0)+IF($AW628&lt;3,-5,0)+IF(AND($B$2&gt;0,$E628&lt;20),$B$2*25,0)</f>
        <v>18.274413989457138</v>
      </c>
      <c r="BA628" s="49">
        <f>STANDARDIZE(AZ628,AVERAGE($AZ$5:$AZ$570),STDEVP($AZ$5:$AZ$570))</f>
        <v>-1.324928391836794</v>
      </c>
      <c r="BB628" s="47" t="str">
        <f>IF(OR(AND(AQ628&gt;7,AX628&gt;1),AND(AQ628&gt;4,AW628&gt;2)),"SP","RP")</f>
        <v>RP</v>
      </c>
      <c r="BC628" s="47"/>
      <c r="BD628" s="47"/>
      <c r="BE628" s="47"/>
      <c r="BF628" s="47" t="str">
        <f>IF(AVERAGE($O628:$Q628)&gt;=6,"Likely",IF(AVERAGE($O628:$Q628)&gt;=4,"Possible","Unlikely"))</f>
        <v>Unlikely</v>
      </c>
      <c r="BG628" s="47"/>
      <c r="BH628" s="47" t="str">
        <f>INDEX(Table5[[#All],[Ovr]],MATCH(Table3[[#This Row],[PID]],Table5[[#All],[PID]],0))</f>
        <v/>
      </c>
      <c r="BI628" s="47" t="str">
        <f>INDEX(Table5[[#All],[Rnd]],MATCH(Table3[[#This Row],[PID]],Table5[[#All],[PID]],0))</f>
        <v/>
      </c>
      <c r="BJ628" s="47" t="str">
        <f>INDEX(Table5[[#All],[Pick]],MATCH(Table3[[#This Row],[PID]],Table5[[#All],[PID]],0))</f>
        <v/>
      </c>
      <c r="BK628" s="47" t="str">
        <f>INDEX(Table5[[#All],[Team]],MATCH(Table3[[#This Row],[PID]],Table5[[#All],[PID]],0))</f>
        <v/>
      </c>
      <c r="BL6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9" spans="1:64" ht="15" customHeight="1" x14ac:dyDescent="0.25">
      <c r="A629" s="42">
        <v>7932</v>
      </c>
      <c r="B629" s="42" t="s">
        <v>430</v>
      </c>
      <c r="C629" s="42" t="s">
        <v>408</v>
      </c>
      <c r="D629" s="42" t="s">
        <v>1293</v>
      </c>
      <c r="E629" s="42">
        <v>18</v>
      </c>
      <c r="F629" s="42" t="s">
        <v>42</v>
      </c>
      <c r="G629" s="42" t="s">
        <v>42</v>
      </c>
      <c r="H629" s="43" t="s">
        <v>721</v>
      </c>
      <c r="I629" s="44" t="s">
        <v>43</v>
      </c>
      <c r="J629" s="42" t="s">
        <v>43</v>
      </c>
      <c r="K629" s="43" t="s">
        <v>43</v>
      </c>
      <c r="L629" s="42">
        <v>1</v>
      </c>
      <c r="M629" s="42">
        <v>1</v>
      </c>
      <c r="N629" s="43">
        <v>1</v>
      </c>
      <c r="O629" s="42">
        <v>3</v>
      </c>
      <c r="P629" s="42">
        <v>1</v>
      </c>
      <c r="Q629" s="43">
        <v>2</v>
      </c>
      <c r="R629" s="42">
        <v>2</v>
      </c>
      <c r="S629" s="42">
        <v>4</v>
      </c>
      <c r="T629" s="42" t="s">
        <v>45</v>
      </c>
      <c r="U629" s="42" t="s">
        <v>45</v>
      </c>
      <c r="V629" s="42">
        <v>1</v>
      </c>
      <c r="W629" s="42">
        <v>6</v>
      </c>
      <c r="X629" s="42" t="s">
        <v>45</v>
      </c>
      <c r="Y629" s="42" t="s">
        <v>45</v>
      </c>
      <c r="Z629" s="42" t="s">
        <v>45</v>
      </c>
      <c r="AA629" s="42" t="s">
        <v>45</v>
      </c>
      <c r="AB629" s="42" t="s">
        <v>45</v>
      </c>
      <c r="AC629" s="42" t="s">
        <v>45</v>
      </c>
      <c r="AD629" s="42" t="s">
        <v>45</v>
      </c>
      <c r="AE629" s="42" t="s">
        <v>45</v>
      </c>
      <c r="AF629" s="42" t="s">
        <v>45</v>
      </c>
      <c r="AG629" s="42" t="s">
        <v>45</v>
      </c>
      <c r="AH629" s="42" t="s">
        <v>45</v>
      </c>
      <c r="AI629" s="42" t="s">
        <v>45</v>
      </c>
      <c r="AJ629" s="42" t="s">
        <v>45</v>
      </c>
      <c r="AK629" s="42" t="s">
        <v>45</v>
      </c>
      <c r="AL629" s="42" t="s">
        <v>45</v>
      </c>
      <c r="AM629" s="42" t="s">
        <v>45</v>
      </c>
      <c r="AN629" s="42" t="s">
        <v>45</v>
      </c>
      <c r="AO629" s="43" t="s">
        <v>45</v>
      </c>
      <c r="AP629" s="42" t="s">
        <v>67</v>
      </c>
      <c r="AQ629" s="42">
        <v>4</v>
      </c>
      <c r="AR629" s="50" t="s">
        <v>14</v>
      </c>
      <c r="AS629" s="45" t="s">
        <v>730</v>
      </c>
      <c r="AT629" s="45" t="s">
        <v>705</v>
      </c>
      <c r="AU629" s="46">
        <f>($O$3*(L629-$O$1)/$O$2+$P$3*(M629-$P$1)/$P$2+$Q$3*(N629-$P$1)/$Q$2)/SUM($O$3:$Q$3)</f>
        <v>-2.7014842379675978</v>
      </c>
      <c r="AV629" s="46">
        <f>($O$3*(O629-$O$1)/$O$2+$P$3*(P629-$P$1)/$P$2+$Q$3*(Q629-$Q$1)/$Q$2)/SUM($O$3:$Q$3)</f>
        <v>-1.6242862721580691</v>
      </c>
      <c r="AW629" s="47">
        <f>COUNT(R629:AO629)/2</f>
        <v>2</v>
      </c>
      <c r="AX629" s="47">
        <f>IF(AND(S629&lt;&gt;"-",S629&gt;5),1,0)+IF(AND(U629&lt;&gt;"-",U629&gt;5),1,0)+IF(AND(W629&lt;&gt;"-",W629&gt;5),1,0)+IF(AND(Y629&lt;&gt;"-",Y629&gt;5),1,0)+IF(AND(AA629&lt;&gt;"-",AA629&gt;5),1,0)+IF(AND(AC629&lt;&gt;"-",AC629&gt;5),1,0)+IF(AND(AE629&lt;&gt;"-",AE629&gt;5),1,0)+IF(AND(AG629&lt;&gt;"-",AG629&gt;5),1,0)+IF(AND(AI629&lt;&gt;"-",AI629&gt;5),1,0)+IF(AND(AK629&lt;&gt;"-",AK629&gt;5),1,0)+IF(AND(AM629&lt;&gt;"-",AM629&gt;5),1,0)+IF(AND(AO629&lt;&gt;"-",AO629&gt;5),1,0)</f>
        <v>1</v>
      </c>
      <c r="AY629" s="48">
        <f>VLOOKUP(AP629,COND!$A$10:$B$32,2,FALSE)</f>
        <v>0.9</v>
      </c>
      <c r="AZ629" s="46">
        <f>($AU$3*AU629+$AV$3*AV629+$AW$3*AW629+$AX$3*AX629)*AY629*IF(AQ629&lt;5,0.95,IF(AQ629&lt;7,0.975,1))+$I$3*VLOOKUP(I629,COND!$A$2:$E$7,4,FALSE)+$J$3*VLOOKUP(J629,COND!$A$2:$E$7,2,FALSE)+$K$3*VLOOKUP(K629,COND!$A$2:$E$7,3,FALSE)+IF(BB629="SP",$BB$3,0)+IF($AW629&lt;3,-5,0)+IF(AND($B$2&gt;0,$E629&lt;20),$B$2*25,0)</f>
        <v>18.686500941404557</v>
      </c>
      <c r="BA629" s="49">
        <f>STANDARDIZE(AZ629,AVERAGE($AZ$5:$AZ$676),STDEVP($AZ$5:$AZ$676))</f>
        <v>-1.026184771723841</v>
      </c>
      <c r="BB629" s="47" t="str">
        <f>IF(OR(AND(AQ629&gt;7,AX629&gt;1),AND(AQ629&gt;4,AW629&gt;2)),"SP","RP")</f>
        <v>RP</v>
      </c>
      <c r="BC629" s="47"/>
      <c r="BD629" s="47"/>
      <c r="BE629" s="47"/>
      <c r="BF629" s="47" t="str">
        <f>IF(AVERAGE($O629:$Q629)&gt;=6,"Likely",IF(AVERAGE($O629:$Q629)&gt;=4,"Possible","Unlikely"))</f>
        <v>Unlikely</v>
      </c>
      <c r="BG629" s="47"/>
      <c r="BH629" s="47" t="str">
        <f>INDEX(Table5[[#All],[Ovr]],MATCH(Table3[[#This Row],[PID]],Table5[[#All],[PID]],0))</f>
        <v/>
      </c>
      <c r="BI629" s="47" t="str">
        <f>INDEX(Table5[[#All],[Rnd]],MATCH(Table3[[#This Row],[PID]],Table5[[#All],[PID]],0))</f>
        <v/>
      </c>
      <c r="BJ629" s="47" t="str">
        <f>INDEX(Table5[[#All],[Pick]],MATCH(Table3[[#This Row],[PID]],Table5[[#All],[PID]],0))</f>
        <v/>
      </c>
      <c r="BK629" s="47" t="str">
        <f>INDEX(Table5[[#All],[Team]],MATCH(Table3[[#This Row],[PID]],Table5[[#All],[PID]],0))</f>
        <v/>
      </c>
      <c r="BL6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0" spans="1:64" ht="15" customHeight="1" x14ac:dyDescent="0.25">
      <c r="A630" s="42">
        <v>5450</v>
      </c>
      <c r="B630" s="42" t="s">
        <v>430</v>
      </c>
      <c r="C630" s="42" t="s">
        <v>860</v>
      </c>
      <c r="D630" s="42" t="s">
        <v>988</v>
      </c>
      <c r="E630" s="42">
        <v>22</v>
      </c>
      <c r="F630" s="42" t="s">
        <v>42</v>
      </c>
      <c r="G630" s="42" t="s">
        <v>53</v>
      </c>
      <c r="H630" s="43" t="s">
        <v>721</v>
      </c>
      <c r="I630" s="44" t="s">
        <v>44</v>
      </c>
      <c r="J630" s="42" t="s">
        <v>44</v>
      </c>
      <c r="K630" s="43" t="s">
        <v>44</v>
      </c>
      <c r="L630" s="42">
        <v>2</v>
      </c>
      <c r="M630" s="42">
        <v>2</v>
      </c>
      <c r="N630" s="43">
        <v>2</v>
      </c>
      <c r="O630" s="42">
        <v>3</v>
      </c>
      <c r="P630" s="42">
        <v>2</v>
      </c>
      <c r="Q630" s="43">
        <v>2</v>
      </c>
      <c r="R630" s="42" t="s">
        <v>45</v>
      </c>
      <c r="S630" s="42" t="s">
        <v>45</v>
      </c>
      <c r="T630" s="42">
        <v>1</v>
      </c>
      <c r="U630" s="42">
        <v>3</v>
      </c>
      <c r="V630" s="42">
        <v>2</v>
      </c>
      <c r="W630" s="42">
        <v>4</v>
      </c>
      <c r="X630" s="42" t="s">
        <v>45</v>
      </c>
      <c r="Y630" s="42" t="s">
        <v>45</v>
      </c>
      <c r="Z630" s="42" t="s">
        <v>45</v>
      </c>
      <c r="AA630" s="42" t="s">
        <v>45</v>
      </c>
      <c r="AB630" s="42" t="s">
        <v>45</v>
      </c>
      <c r="AC630" s="42" t="s">
        <v>45</v>
      </c>
      <c r="AD630" s="42">
        <v>4</v>
      </c>
      <c r="AE630" s="42">
        <v>4</v>
      </c>
      <c r="AF630" s="42">
        <v>3</v>
      </c>
      <c r="AG630" s="42">
        <v>3</v>
      </c>
      <c r="AH630" s="42" t="s">
        <v>45</v>
      </c>
      <c r="AI630" s="42" t="s">
        <v>45</v>
      </c>
      <c r="AJ630" s="42" t="s">
        <v>45</v>
      </c>
      <c r="AK630" s="42" t="s">
        <v>45</v>
      </c>
      <c r="AL630" s="42" t="s">
        <v>45</v>
      </c>
      <c r="AM630" s="42" t="s">
        <v>45</v>
      </c>
      <c r="AN630" s="42" t="s">
        <v>45</v>
      </c>
      <c r="AO630" s="43" t="s">
        <v>45</v>
      </c>
      <c r="AP630" s="42" t="s">
        <v>356</v>
      </c>
      <c r="AQ630" s="42">
        <v>6</v>
      </c>
      <c r="AR630" s="50" t="s">
        <v>353</v>
      </c>
      <c r="AS630" s="45" t="s">
        <v>45</v>
      </c>
      <c r="AT630" s="45" t="s">
        <v>705</v>
      </c>
      <c r="AU630" s="46">
        <f>($O$3*(L630-$O$1)/$O$2+$P$3*(M630-$P$1)/$P$2+$Q$3*(N630-$P$1)/$Q$2)/SUM($O$3:$Q$3)</f>
        <v>-2.0690406309742588</v>
      </c>
      <c r="AV630" s="46">
        <f>($O$3*(O630-$O$1)/$O$2+$P$3*(P630-$P$1)/$P$2+$Q$3*(Q630-$Q$1)/$Q$2)/SUM($O$3:$Q$3)</f>
        <v>-1.4288545557280135</v>
      </c>
      <c r="AW630" s="47">
        <f>COUNT(R630:AO630)/2</f>
        <v>4</v>
      </c>
      <c r="AX630" s="47">
        <f>IF(AND(S630&lt;&gt;"-",S630&gt;5),1,0)+IF(AND(U630&lt;&gt;"-",U630&gt;5),1,0)+IF(AND(W630&lt;&gt;"-",W630&gt;5),1,0)+IF(AND(Y630&lt;&gt;"-",Y630&gt;5),1,0)+IF(AND(AA630&lt;&gt;"-",AA630&gt;5),1,0)+IF(AND(AC630&lt;&gt;"-",AC630&gt;5),1,0)+IF(AND(AE630&lt;&gt;"-",AE630&gt;5),1,0)+IF(AND(AG630&lt;&gt;"-",AG630&gt;5),1,0)+IF(AND(AI630&lt;&gt;"-",AI630&gt;5),1,0)+IF(AND(AK630&lt;&gt;"-",AK630&gt;5),1,0)+IF(AND(AM630&lt;&gt;"-",AM630&gt;5),1,0)+IF(AND(AO630&lt;&gt;"-",AO630&gt;5),1,0)</f>
        <v>0</v>
      </c>
      <c r="AY630" s="48">
        <f>VLOOKUP(AP630,COND!$A$10:$B$32,2,FALSE)</f>
        <v>1</v>
      </c>
      <c r="AZ630" s="46">
        <f>($AU$3*AU630+$AV$3*AV630+$AW$3*AW630+$AX$3*AX630)*AY630*IF(AQ630&lt;5,0.95,IF(AQ630&lt;7,0.975,1))+$I$3*VLOOKUP(I630,COND!$A$2:$E$7,4,FALSE)+$J$3*VLOOKUP(J630,COND!$A$2:$E$7,2,FALSE)+$K$3*VLOOKUP(K630,COND!$A$2:$E$7,3,FALSE)+IF(BB630="SP",$BB$3,0)+IF($AW630&lt;3,-5,0)+IF(AND($B$2&gt;0,$E630&lt;20),$B$2*25,0)</f>
        <v>19.933873240263758</v>
      </c>
      <c r="BA630" s="49">
        <f>STANDARDIZE(AZ630,AVERAGE($AZ$5:$AZ$676),STDEVP($AZ$5:$AZ$676))</f>
        <v>-0.91686181819192958</v>
      </c>
      <c r="BB630" s="47" t="str">
        <f>IF(OR(AND(AQ630&gt;7,AX630&gt;1),AND(AQ630&gt;4,AW630&gt;2)),"SP","RP")</f>
        <v>SP</v>
      </c>
      <c r="BC630" s="47"/>
      <c r="BD630" s="47"/>
      <c r="BE630" s="47"/>
      <c r="BF630" s="47" t="str">
        <f>IF(AVERAGE($O630:$Q630)&gt;=6,"Likely",IF(AVERAGE($O630:$Q630)&gt;=4,"Possible","Unlikely"))</f>
        <v>Unlikely</v>
      </c>
      <c r="BG630" s="47"/>
      <c r="BH630" s="47" t="str">
        <f>INDEX(Table5[[#All],[Ovr]],MATCH(Table3[[#This Row],[PID]],Table5[[#All],[PID]],0))</f>
        <v/>
      </c>
      <c r="BI630" s="47" t="str">
        <f>INDEX(Table5[[#All],[Rnd]],MATCH(Table3[[#This Row],[PID]],Table5[[#All],[PID]],0))</f>
        <v/>
      </c>
      <c r="BJ630" s="47" t="str">
        <f>INDEX(Table5[[#All],[Pick]],MATCH(Table3[[#This Row],[PID]],Table5[[#All],[PID]],0))</f>
        <v/>
      </c>
      <c r="BK630" s="47" t="str">
        <f>INDEX(Table5[[#All],[Team]],MATCH(Table3[[#This Row],[PID]],Table5[[#All],[PID]],0))</f>
        <v/>
      </c>
      <c r="BL6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1" spans="1:64" ht="15" customHeight="1" x14ac:dyDescent="0.25">
      <c r="A631" s="42">
        <v>9675</v>
      </c>
      <c r="B631" s="42" t="s">
        <v>430</v>
      </c>
      <c r="C631" s="42" t="s">
        <v>623</v>
      </c>
      <c r="D631" s="42" t="s">
        <v>624</v>
      </c>
      <c r="E631" s="42">
        <v>21</v>
      </c>
      <c r="F631" s="42" t="s">
        <v>42</v>
      </c>
      <c r="G631" s="42" t="s">
        <v>42</v>
      </c>
      <c r="H631" s="43" t="s">
        <v>721</v>
      </c>
      <c r="I631" s="44" t="s">
        <v>43</v>
      </c>
      <c r="J631" s="42" t="s">
        <v>47</v>
      </c>
      <c r="K631" s="43" t="s">
        <v>43</v>
      </c>
      <c r="L631" s="42">
        <v>1</v>
      </c>
      <c r="M631" s="42">
        <v>2</v>
      </c>
      <c r="N631" s="43">
        <v>1</v>
      </c>
      <c r="O631" s="42">
        <v>4</v>
      </c>
      <c r="P631" s="42">
        <v>2</v>
      </c>
      <c r="Q631" s="43">
        <v>2</v>
      </c>
      <c r="R631" s="42" t="s">
        <v>45</v>
      </c>
      <c r="S631" s="42" t="s">
        <v>45</v>
      </c>
      <c r="T631" s="42" t="s">
        <v>45</v>
      </c>
      <c r="U631" s="42" t="s">
        <v>45</v>
      </c>
      <c r="V631" s="42">
        <v>2</v>
      </c>
      <c r="W631" s="42">
        <v>5</v>
      </c>
      <c r="X631" s="42" t="s">
        <v>45</v>
      </c>
      <c r="Y631" s="42" t="s">
        <v>45</v>
      </c>
      <c r="Z631" s="42" t="s">
        <v>45</v>
      </c>
      <c r="AA631" s="42" t="s">
        <v>45</v>
      </c>
      <c r="AB631" s="42" t="s">
        <v>45</v>
      </c>
      <c r="AC631" s="42" t="s">
        <v>45</v>
      </c>
      <c r="AD631" s="42">
        <v>2</v>
      </c>
      <c r="AE631" s="42">
        <v>4</v>
      </c>
      <c r="AF631" s="42" t="s">
        <v>45</v>
      </c>
      <c r="AG631" s="42" t="s">
        <v>45</v>
      </c>
      <c r="AH631" s="42" t="s">
        <v>45</v>
      </c>
      <c r="AI631" s="42" t="s">
        <v>45</v>
      </c>
      <c r="AJ631" s="42" t="s">
        <v>45</v>
      </c>
      <c r="AK631" s="42" t="s">
        <v>45</v>
      </c>
      <c r="AL631" s="42" t="s">
        <v>45</v>
      </c>
      <c r="AM631" s="42" t="s">
        <v>45</v>
      </c>
      <c r="AN631" s="42" t="s">
        <v>45</v>
      </c>
      <c r="AO631" s="43" t="s">
        <v>45</v>
      </c>
      <c r="AP631" s="42" t="s">
        <v>64</v>
      </c>
      <c r="AQ631" s="42">
        <v>4</v>
      </c>
      <c r="AR631" s="50" t="s">
        <v>353</v>
      </c>
      <c r="AS631" s="45" t="s">
        <v>45</v>
      </c>
      <c r="AT631" s="45" t="s">
        <v>47</v>
      </c>
      <c r="AU631" s="46">
        <f>($O$3*(L631-$O$1)/$O$2+$P$3*(M631-$P$1)/$P$2+$Q$3*(N631-$P$1)/$Q$2)/SUM($O$3:$Q$3)</f>
        <v>-2.5060525215375429</v>
      </c>
      <c r="AV631" s="46">
        <f>($O$3*(O631-$O$1)/$O$2+$P$3*(P631-$P$1)/$P$2+$Q$3*(Q631-$Q$1)/$Q$2)/SUM($O$3:$Q$3)</f>
        <v>-1.23416323121884</v>
      </c>
      <c r="AW631" s="47">
        <f>COUNT(R631:AO631)/2</f>
        <v>2</v>
      </c>
      <c r="AX631" s="47">
        <f>IF(AND(S631&lt;&gt;"-",S631&gt;5),1,0)+IF(AND(U631&lt;&gt;"-",U631&gt;5),1,0)+IF(AND(W631&lt;&gt;"-",W631&gt;5),1,0)+IF(AND(Y631&lt;&gt;"-",Y631&gt;5),1,0)+IF(AND(AA631&lt;&gt;"-",AA631&gt;5),1,0)+IF(AND(AC631&lt;&gt;"-",AC631&gt;5),1,0)+IF(AND(AE631&lt;&gt;"-",AE631&gt;5),1,0)+IF(AND(AG631&lt;&gt;"-",AG631&gt;5),1,0)+IF(AND(AI631&lt;&gt;"-",AI631&gt;5),1,0)+IF(AND(AK631&lt;&gt;"-",AK631&gt;5),1,0)+IF(AND(AM631&lt;&gt;"-",AM631&gt;5),1,0)+IF(AND(AO631&lt;&gt;"-",AO631&gt;5),1,0)</f>
        <v>0</v>
      </c>
      <c r="AY631" s="48">
        <f>VLOOKUP(AP631,COND!$A$10:$B$32,2,FALSE)</f>
        <v>1</v>
      </c>
      <c r="AZ631" s="46">
        <f>($AU$3*AU631+$AV$3*AV631+$AW$3*AW631+$AX$3*AX631)*AY631*IF(AQ631&lt;5,0.95,IF(AQ631&lt;7,0.975,1))+$I$3*VLOOKUP(I631,COND!$A$2:$E$7,4,FALSE)+$J$3*VLOOKUP(J631,COND!$A$2:$E$7,2,FALSE)+$K$3*VLOOKUP(K631,COND!$A$2:$E$7,3,FALSE)+IF(BB631="SP",$BB$3,0)+IF($AW631&lt;3,-5,0)+IF(AND($B$2&gt;0,$E631&lt;20),$B$2*25,0)</f>
        <v>17.324748627749909</v>
      </c>
      <c r="BA631" s="49">
        <f>STANDARDIZE(AZ631,AVERAGE($AZ$5:$AZ$570),STDEVP($AZ$5:$AZ$570))</f>
        <v>-1.4120167644604102</v>
      </c>
      <c r="BB631" s="47" t="str">
        <f>IF(OR(AND(AQ631&gt;7,AX631&gt;1),AND(AQ631&gt;4,AW631&gt;2)),"SP","RP")</f>
        <v>RP</v>
      </c>
      <c r="BC631" s="47"/>
      <c r="BD631" s="47"/>
      <c r="BE631" s="47"/>
      <c r="BF631" s="47" t="str">
        <f>IF(AVERAGE($O631:$Q631)&gt;=6,"Likely",IF(AVERAGE($O631:$Q631)&gt;=4,"Possible","Unlikely"))</f>
        <v>Unlikely</v>
      </c>
      <c r="BG631" s="47"/>
      <c r="BH631" s="47" t="str">
        <f>INDEX(Table5[[#All],[Ovr]],MATCH(Table3[[#This Row],[PID]],Table5[[#All],[PID]],0))</f>
        <v/>
      </c>
      <c r="BI631" s="47" t="str">
        <f>INDEX(Table5[[#All],[Rnd]],MATCH(Table3[[#This Row],[PID]],Table5[[#All],[PID]],0))</f>
        <v/>
      </c>
      <c r="BJ631" s="47" t="str">
        <f>INDEX(Table5[[#All],[Pick]],MATCH(Table3[[#This Row],[PID]],Table5[[#All],[PID]],0))</f>
        <v/>
      </c>
      <c r="BK631" s="47" t="str">
        <f>INDEX(Table5[[#All],[Team]],MATCH(Table3[[#This Row],[PID]],Table5[[#All],[PID]],0))</f>
        <v/>
      </c>
      <c r="BL6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2" spans="1:64" ht="15" customHeight="1" x14ac:dyDescent="0.25">
      <c r="A632" s="42">
        <v>11912</v>
      </c>
      <c r="B632" s="42" t="s">
        <v>430</v>
      </c>
      <c r="C632" s="42" t="s">
        <v>188</v>
      </c>
      <c r="D632" s="42" t="s">
        <v>1746</v>
      </c>
      <c r="E632" s="42">
        <v>21</v>
      </c>
      <c r="F632" s="42" t="s">
        <v>42</v>
      </c>
      <c r="G632" s="42" t="s">
        <v>42</v>
      </c>
      <c r="H632" s="43" t="s">
        <v>721</v>
      </c>
      <c r="I632" s="44" t="s">
        <v>43</v>
      </c>
      <c r="J632" s="42" t="s">
        <v>43</v>
      </c>
      <c r="K632" s="43" t="s">
        <v>44</v>
      </c>
      <c r="L632" s="42">
        <v>2</v>
      </c>
      <c r="M632" s="42">
        <v>2</v>
      </c>
      <c r="N632" s="43">
        <v>2</v>
      </c>
      <c r="O632" s="42">
        <v>3</v>
      </c>
      <c r="P632" s="42">
        <v>2</v>
      </c>
      <c r="Q632" s="43">
        <v>2</v>
      </c>
      <c r="R632" s="42">
        <v>4</v>
      </c>
      <c r="S632" s="42">
        <v>5</v>
      </c>
      <c r="T632" s="42">
        <v>1</v>
      </c>
      <c r="U632" s="42">
        <v>4</v>
      </c>
      <c r="V632" s="42">
        <v>2</v>
      </c>
      <c r="W632" s="42">
        <v>4</v>
      </c>
      <c r="X632" s="42" t="s">
        <v>45</v>
      </c>
      <c r="Y632" s="42" t="s">
        <v>45</v>
      </c>
      <c r="Z632" s="42" t="s">
        <v>45</v>
      </c>
      <c r="AA632" s="42" t="s">
        <v>45</v>
      </c>
      <c r="AB632" s="42" t="s">
        <v>45</v>
      </c>
      <c r="AC632" s="42" t="s">
        <v>45</v>
      </c>
      <c r="AD632" s="42" t="s">
        <v>45</v>
      </c>
      <c r="AE632" s="42" t="s">
        <v>45</v>
      </c>
      <c r="AF632" s="42" t="s">
        <v>45</v>
      </c>
      <c r="AG632" s="42" t="s">
        <v>45</v>
      </c>
      <c r="AH632" s="42" t="s">
        <v>45</v>
      </c>
      <c r="AI632" s="42" t="s">
        <v>45</v>
      </c>
      <c r="AJ632" s="42" t="s">
        <v>45</v>
      </c>
      <c r="AK632" s="42" t="s">
        <v>45</v>
      </c>
      <c r="AL632" s="42" t="s">
        <v>45</v>
      </c>
      <c r="AM632" s="42" t="s">
        <v>45</v>
      </c>
      <c r="AN632" s="42" t="s">
        <v>45</v>
      </c>
      <c r="AO632" s="43" t="s">
        <v>45</v>
      </c>
      <c r="AP632" s="42" t="s">
        <v>57</v>
      </c>
      <c r="AQ632" s="42">
        <v>2</v>
      </c>
      <c r="AR632" s="50" t="s">
        <v>353</v>
      </c>
      <c r="AS632" s="45" t="s">
        <v>45</v>
      </c>
      <c r="AT632" s="45" t="s">
        <v>47</v>
      </c>
      <c r="AU632" s="46">
        <f>($O$3*(L632-$O$1)/$O$2+$P$3*(M632-$P$1)/$P$2+$Q$3*(N632-$P$1)/$Q$2)/SUM($O$3:$Q$3)</f>
        <v>-2.0690406309742588</v>
      </c>
      <c r="AV632" s="46">
        <f>($O$3*(O632-$O$1)/$O$2+$P$3*(P632-$P$1)/$P$2+$Q$3*(Q632-$Q$1)/$Q$2)/SUM($O$3:$Q$3)</f>
        <v>-1.4288545557280135</v>
      </c>
      <c r="AW632" s="47">
        <f>COUNT(R632:AO632)/2</f>
        <v>3</v>
      </c>
      <c r="AX632" s="47">
        <f>IF(AND(S632&lt;&gt;"-",S632&gt;5),1,0)+IF(AND(U632&lt;&gt;"-",U632&gt;5),1,0)+IF(AND(W632&lt;&gt;"-",W632&gt;5),1,0)+IF(AND(Y632&lt;&gt;"-",Y632&gt;5),1,0)+IF(AND(AA632&lt;&gt;"-",AA632&gt;5),1,0)+IF(AND(AC632&lt;&gt;"-",AC632&gt;5),1,0)+IF(AND(AE632&lt;&gt;"-",AE632&gt;5),1,0)+IF(AND(AG632&lt;&gt;"-",AG632&gt;5),1,0)+IF(AND(AI632&lt;&gt;"-",AI632&gt;5),1,0)+IF(AND(AK632&lt;&gt;"-",AK632&gt;5),1,0)+IF(AND(AM632&lt;&gt;"-",AM632&gt;5),1,0)+IF(AND(AO632&lt;&gt;"-",AO632&gt;5),1,0)</f>
        <v>0</v>
      </c>
      <c r="AY632" s="48">
        <f>VLOOKUP(AP632,COND!$A$10:$B$32,2,FALSE)</f>
        <v>1</v>
      </c>
      <c r="AZ632" s="46">
        <f>($AU$3*AU632+$AV$3*AV632+$AW$3*AW632+$AX$3*AX632)*AY632*IF(AQ632&lt;5,0.95,IF(AQ632&lt;7,0.975,1))+$I$3*VLOOKUP(I632,COND!$A$2:$E$7,4,FALSE)+$J$3*VLOOKUP(J632,COND!$A$2:$E$7,2,FALSE)+$K$3*VLOOKUP(K632,COND!$A$2:$E$7,3,FALSE)+IF(BB632="SP",$BB$3,0)+IF($AW632&lt;3,-5,0)+IF(AND($B$2&gt;0,$E632&lt;20),$B$2*25,0)</f>
        <v>18.583645721282636</v>
      </c>
      <c r="BA632" s="49">
        <f>STANDARDIZE(AZ632,AVERAGE($AZ$5:$AZ$570),STDEVP($AZ$5:$AZ$570))</f>
        <v>-1.296570520344196</v>
      </c>
      <c r="BB632" s="47" t="str">
        <f>IF(OR(AND(AQ632&gt;7,AX632&gt;1),AND(AQ632&gt;4,AW632&gt;2)),"SP","RP")</f>
        <v>RP</v>
      </c>
      <c r="BC632" s="47"/>
      <c r="BD632" s="47"/>
      <c r="BE632" s="47"/>
      <c r="BF632" s="47" t="str">
        <f>IF(AVERAGE($O632:$Q632)&gt;=6,"Likely",IF(AVERAGE($O632:$Q632)&gt;=4,"Possible","Unlikely"))</f>
        <v>Unlikely</v>
      </c>
      <c r="BG632" s="47"/>
      <c r="BH632" s="47" t="str">
        <f>INDEX(Table5[[#All],[Ovr]],MATCH(Table3[[#This Row],[PID]],Table5[[#All],[PID]],0))</f>
        <v/>
      </c>
      <c r="BI632" s="47" t="str">
        <f>INDEX(Table5[[#All],[Rnd]],MATCH(Table3[[#This Row],[PID]],Table5[[#All],[PID]],0))</f>
        <v/>
      </c>
      <c r="BJ632" s="47" t="str">
        <f>INDEX(Table5[[#All],[Pick]],MATCH(Table3[[#This Row],[PID]],Table5[[#All],[PID]],0))</f>
        <v/>
      </c>
      <c r="BK632" s="47" t="str">
        <f>INDEX(Table5[[#All],[Team]],MATCH(Table3[[#This Row],[PID]],Table5[[#All],[PID]],0))</f>
        <v/>
      </c>
      <c r="BL6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3" spans="1:64" ht="15" customHeight="1" x14ac:dyDescent="0.25">
      <c r="A633" s="42">
        <v>12612</v>
      </c>
      <c r="B633" s="42" t="s">
        <v>430</v>
      </c>
      <c r="C633" s="42" t="s">
        <v>1246</v>
      </c>
      <c r="D633" s="42" t="s">
        <v>388</v>
      </c>
      <c r="E633" s="42">
        <v>21</v>
      </c>
      <c r="F633" s="42" t="s">
        <v>53</v>
      </c>
      <c r="G633" s="42" t="s">
        <v>42</v>
      </c>
      <c r="H633" s="43" t="s">
        <v>721</v>
      </c>
      <c r="I633" s="44" t="s">
        <v>43</v>
      </c>
      <c r="J633" s="42" t="s">
        <v>43</v>
      </c>
      <c r="K633" s="43" t="s">
        <v>47</v>
      </c>
      <c r="L633" s="42">
        <v>1</v>
      </c>
      <c r="M633" s="42">
        <v>2</v>
      </c>
      <c r="N633" s="43">
        <v>1</v>
      </c>
      <c r="O633" s="42">
        <v>2</v>
      </c>
      <c r="P633" s="42">
        <v>2</v>
      </c>
      <c r="Q633" s="43">
        <v>1</v>
      </c>
      <c r="R633" s="42">
        <v>2</v>
      </c>
      <c r="S633" s="42">
        <v>2</v>
      </c>
      <c r="T633" s="42">
        <v>1</v>
      </c>
      <c r="U633" s="42">
        <v>1</v>
      </c>
      <c r="V633" s="42" t="s">
        <v>45</v>
      </c>
      <c r="W633" s="42" t="s">
        <v>45</v>
      </c>
      <c r="X633" s="42">
        <v>2</v>
      </c>
      <c r="Y633" s="42">
        <v>3</v>
      </c>
      <c r="Z633" s="42" t="s">
        <v>45</v>
      </c>
      <c r="AA633" s="42" t="s">
        <v>45</v>
      </c>
      <c r="AB633" s="42" t="s">
        <v>45</v>
      </c>
      <c r="AC633" s="42" t="s">
        <v>45</v>
      </c>
      <c r="AD633" s="42" t="s">
        <v>45</v>
      </c>
      <c r="AE633" s="42" t="s">
        <v>45</v>
      </c>
      <c r="AF633" s="42">
        <v>2</v>
      </c>
      <c r="AG633" s="42">
        <v>3</v>
      </c>
      <c r="AH633" s="42" t="s">
        <v>45</v>
      </c>
      <c r="AI633" s="42" t="s">
        <v>45</v>
      </c>
      <c r="AJ633" s="42" t="s">
        <v>45</v>
      </c>
      <c r="AK633" s="42" t="s">
        <v>45</v>
      </c>
      <c r="AL633" s="42" t="s">
        <v>45</v>
      </c>
      <c r="AM633" s="42" t="s">
        <v>45</v>
      </c>
      <c r="AN633" s="42" t="s">
        <v>45</v>
      </c>
      <c r="AO633" s="43" t="s">
        <v>45</v>
      </c>
      <c r="AP633" s="42" t="s">
        <v>73</v>
      </c>
      <c r="AQ633" s="42">
        <v>6</v>
      </c>
      <c r="AR633" s="50" t="s">
        <v>353</v>
      </c>
      <c r="AS633" s="45" t="s">
        <v>723</v>
      </c>
      <c r="AT633" s="45" t="s">
        <v>47</v>
      </c>
      <c r="AU633" s="46">
        <f>($O$3*(L633-$O$1)/$O$2+$P$3*(M633-$P$1)/$P$2+$Q$3*(N633-$P$1)/$Q$2)/SUM($O$3:$Q$3)</f>
        <v>-2.5060525215375429</v>
      </c>
      <c r="AV633" s="46">
        <f>($O$3*(O633-$O$1)/$O$2+$P$3*(P633-$P$1)/$P$2+$Q$3*(Q633-$Q$1)/$Q$2)/SUM($O$3:$Q$3)</f>
        <v>-1.8658664462912973</v>
      </c>
      <c r="AW633" s="47">
        <f>COUNT(R633:AO633)/2</f>
        <v>4</v>
      </c>
      <c r="AX633" s="47">
        <f>IF(AND(S633&lt;&gt;"-",S633&gt;5),1,0)+IF(AND(U633&lt;&gt;"-",U633&gt;5),1,0)+IF(AND(W633&lt;&gt;"-",W633&gt;5),1,0)+IF(AND(Y633&lt;&gt;"-",Y633&gt;5),1,0)+IF(AND(AA633&lt;&gt;"-",AA633&gt;5),1,0)+IF(AND(AC633&lt;&gt;"-",AC633&gt;5),1,0)+IF(AND(AE633&lt;&gt;"-",AE633&gt;5),1,0)+IF(AND(AG633&lt;&gt;"-",AG633&gt;5),1,0)+IF(AND(AI633&lt;&gt;"-",AI633&gt;5),1,0)+IF(AND(AK633&lt;&gt;"-",AK633&gt;5),1,0)+IF(AND(AM633&lt;&gt;"-",AM633&gt;5),1,0)+IF(AND(AO633&lt;&gt;"-",AO633&gt;5),1,0)</f>
        <v>0</v>
      </c>
      <c r="AY633" s="48">
        <f>VLOOKUP(AP633,COND!$A$10:$B$32,2,FALSE)</f>
        <v>0.85</v>
      </c>
      <c r="AZ633" s="46">
        <f>($AU$3*AU633+$AV$3*AV633+$AW$3*AW633+$AX$3*AX633)*AY633*IF(AQ633&lt;5,0.95,IF(AQ633&lt;7,0.975,1))+$I$3*VLOOKUP(I633,COND!$A$2:$E$7,4,FALSE)+$J$3*VLOOKUP(J633,COND!$A$2:$E$7,2,FALSE)+$K$3*VLOOKUP(K633,COND!$A$2:$E$7,3,FALSE)+IF(BB633="SP",$BB$3,0)+IF($AW633&lt;3,-5,0)+IF(AND($B$2&gt;0,$E633&lt;20),$B$2*25,0)</f>
        <v>17.6153854472769</v>
      </c>
      <c r="BA633" s="49">
        <f>STANDARDIZE(AZ633,AVERAGE($AZ$5:$AZ$676),STDEVP($AZ$5:$AZ$676))</f>
        <v>-1.1200601203257949</v>
      </c>
      <c r="BB633" s="47" t="str">
        <f>IF(OR(AND(AQ633&gt;7,AX633&gt;1),AND(AQ633&gt;4,AW633&gt;2)),"SP","RP")</f>
        <v>SP</v>
      </c>
      <c r="BC633" s="47"/>
      <c r="BD633" s="47"/>
      <c r="BE633" s="47"/>
      <c r="BF633" s="47" t="str">
        <f>IF(AVERAGE($O633:$Q633)&gt;=6,"Likely",IF(AVERAGE($O633:$Q633)&gt;=4,"Possible","Unlikely"))</f>
        <v>Unlikely</v>
      </c>
      <c r="BG633" s="47"/>
      <c r="BH633" s="47" t="str">
        <f>INDEX(Table5[[#All],[Ovr]],MATCH(Table3[[#This Row],[PID]],Table5[[#All],[PID]],0))</f>
        <v/>
      </c>
      <c r="BI633" s="47" t="str">
        <f>INDEX(Table5[[#All],[Rnd]],MATCH(Table3[[#This Row],[PID]],Table5[[#All],[PID]],0))</f>
        <v/>
      </c>
      <c r="BJ633" s="47" t="str">
        <f>INDEX(Table5[[#All],[Pick]],MATCH(Table3[[#This Row],[PID]],Table5[[#All],[PID]],0))</f>
        <v/>
      </c>
      <c r="BK633" s="47" t="str">
        <f>INDEX(Table5[[#All],[Team]],MATCH(Table3[[#This Row],[PID]],Table5[[#All],[PID]],0))</f>
        <v/>
      </c>
      <c r="BL6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4" spans="1:64" ht="15" customHeight="1" x14ac:dyDescent="0.25">
      <c r="A634" s="42">
        <v>9505</v>
      </c>
      <c r="B634" s="42" t="s">
        <v>430</v>
      </c>
      <c r="C634" s="42" t="s">
        <v>562</v>
      </c>
      <c r="D634" s="42" t="s">
        <v>208</v>
      </c>
      <c r="E634" s="42">
        <v>21</v>
      </c>
      <c r="F634" s="42" t="s">
        <v>53</v>
      </c>
      <c r="G634" s="42" t="s">
        <v>53</v>
      </c>
      <c r="H634" s="43" t="s">
        <v>721</v>
      </c>
      <c r="I634" s="44" t="s">
        <v>43</v>
      </c>
      <c r="J634" s="42" t="s">
        <v>44</v>
      </c>
      <c r="K634" s="43" t="s">
        <v>44</v>
      </c>
      <c r="L634" s="42">
        <v>2</v>
      </c>
      <c r="M634" s="42">
        <v>1</v>
      </c>
      <c r="N634" s="43">
        <v>1</v>
      </c>
      <c r="O634" s="42">
        <v>4</v>
      </c>
      <c r="P634" s="42">
        <v>1</v>
      </c>
      <c r="Q634" s="43">
        <v>2</v>
      </c>
      <c r="R634" s="42">
        <v>3</v>
      </c>
      <c r="S634" s="42">
        <v>4</v>
      </c>
      <c r="T634" s="42">
        <v>1</v>
      </c>
      <c r="U634" s="42">
        <v>3</v>
      </c>
      <c r="V634" s="42">
        <v>2</v>
      </c>
      <c r="W634" s="42">
        <v>4</v>
      </c>
      <c r="X634" s="42">
        <v>2</v>
      </c>
      <c r="Y634" s="42">
        <v>4</v>
      </c>
      <c r="Z634" s="42" t="s">
        <v>45</v>
      </c>
      <c r="AA634" s="42" t="s">
        <v>45</v>
      </c>
      <c r="AB634" s="42" t="s">
        <v>45</v>
      </c>
      <c r="AC634" s="42" t="s">
        <v>45</v>
      </c>
      <c r="AD634" s="42" t="s">
        <v>45</v>
      </c>
      <c r="AE634" s="42" t="s">
        <v>45</v>
      </c>
      <c r="AF634" s="42">
        <v>3</v>
      </c>
      <c r="AG634" s="42">
        <v>4</v>
      </c>
      <c r="AH634" s="42" t="s">
        <v>45</v>
      </c>
      <c r="AI634" s="42" t="s">
        <v>45</v>
      </c>
      <c r="AJ634" s="42" t="s">
        <v>45</v>
      </c>
      <c r="AK634" s="42" t="s">
        <v>45</v>
      </c>
      <c r="AL634" s="42" t="s">
        <v>45</v>
      </c>
      <c r="AM634" s="42" t="s">
        <v>45</v>
      </c>
      <c r="AN634" s="42" t="s">
        <v>45</v>
      </c>
      <c r="AO634" s="43" t="s">
        <v>45</v>
      </c>
      <c r="AP634" s="42" t="s">
        <v>64</v>
      </c>
      <c r="AQ634" s="42">
        <v>4</v>
      </c>
      <c r="AR634" s="50" t="s">
        <v>14</v>
      </c>
      <c r="AS634" s="45" t="s">
        <v>45</v>
      </c>
      <c r="AT634" s="45" t="s">
        <v>47</v>
      </c>
      <c r="AU634" s="46">
        <f>($O$3*(L634-$O$1)/$O$2+$P$3*(M634-$P$1)/$P$2+$Q$3*(N634-$P$1)/$Q$2)/SUM($O$3:$Q$3)</f>
        <v>-2.5067929134584248</v>
      </c>
      <c r="AV634" s="46">
        <f>($O$3*(O634-$O$1)/$O$2+$P$3*(P634-$P$1)/$P$2+$Q$3*(Q634-$Q$1)/$Q$2)/SUM($O$3:$Q$3)</f>
        <v>-1.4295949476488956</v>
      </c>
      <c r="AW634" s="47">
        <f>COUNT(R634:AO634)/2</f>
        <v>5</v>
      </c>
      <c r="AX634" s="47">
        <f>IF(AND(S634&lt;&gt;"-",S634&gt;5),1,0)+IF(AND(U634&lt;&gt;"-",U634&gt;5),1,0)+IF(AND(W634&lt;&gt;"-",W634&gt;5),1,0)+IF(AND(Y634&lt;&gt;"-",Y634&gt;5),1,0)+IF(AND(AA634&lt;&gt;"-",AA634&gt;5),1,0)+IF(AND(AC634&lt;&gt;"-",AC634&gt;5),1,0)+IF(AND(AE634&lt;&gt;"-",AE634&gt;5),1,0)+IF(AND(AG634&lt;&gt;"-",AG634&gt;5),1,0)+IF(AND(AI634&lt;&gt;"-",AI634&gt;5),1,0)+IF(AND(AK634&lt;&gt;"-",AK634&gt;5),1,0)+IF(AND(AM634&lt;&gt;"-",AM634&gt;5),1,0)+IF(AND(AO634&lt;&gt;"-",AO634&gt;5),1,0)</f>
        <v>0</v>
      </c>
      <c r="AY634" s="48">
        <f>VLOOKUP(AP634,COND!$A$10:$B$32,2,FALSE)</f>
        <v>1</v>
      </c>
      <c r="AZ634" s="46">
        <f>($AU$3*AU634+$AV$3*AV634+$AW$3*AW634+$AX$3*AX634)*AY634*IF(AQ634&lt;5,0.95,IF(AQ634&lt;7,0.975,1))+$I$3*VLOOKUP(I634,COND!$A$2:$E$7,4,FALSE)+$J$3*VLOOKUP(J634,COND!$A$2:$E$7,2,FALSE)+$K$3*VLOOKUP(K634,COND!$A$2:$E$7,3,FALSE)+IF(BB634="SP",$BB$3,0)+IF($AW634&lt;3,-5,0)+IF(AND($B$2&gt;0,$E634&lt;20),$B$2*25,0)</f>
        <v>19.136405341113878</v>
      </c>
      <c r="BA634" s="49">
        <f>STANDARDIZE(AZ634,AVERAGE($AZ$5:$AZ$570),STDEVP($AZ$5:$AZ$570))</f>
        <v>-1.2458801006614022</v>
      </c>
      <c r="BB634" s="47" t="str">
        <f>IF(OR(AND(AQ634&gt;7,AX634&gt;1),AND(AQ634&gt;4,AW634&gt;2)),"SP","RP")</f>
        <v>RP</v>
      </c>
      <c r="BC634" s="47"/>
      <c r="BD634" s="47"/>
      <c r="BE634" s="47"/>
      <c r="BF634" s="47" t="str">
        <f>IF(AVERAGE($O634:$Q634)&gt;=6,"Likely",IF(AVERAGE($O634:$Q634)&gt;=4,"Possible","Unlikely"))</f>
        <v>Unlikely</v>
      </c>
      <c r="BG634" s="47"/>
      <c r="BH634" s="47" t="str">
        <f>INDEX(Table5[[#All],[Ovr]],MATCH(Table3[[#This Row],[PID]],Table5[[#All],[PID]],0))</f>
        <v/>
      </c>
      <c r="BI634" s="47" t="str">
        <f>INDEX(Table5[[#All],[Rnd]],MATCH(Table3[[#This Row],[PID]],Table5[[#All],[PID]],0))</f>
        <v/>
      </c>
      <c r="BJ634" s="47" t="str">
        <f>INDEX(Table5[[#All],[Pick]],MATCH(Table3[[#This Row],[PID]],Table5[[#All],[PID]],0))</f>
        <v/>
      </c>
      <c r="BK634" s="47" t="str">
        <f>INDEX(Table5[[#All],[Team]],MATCH(Table3[[#This Row],[PID]],Table5[[#All],[PID]],0))</f>
        <v/>
      </c>
      <c r="BL6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5" spans="1:64" ht="15" customHeight="1" x14ac:dyDescent="0.25">
      <c r="A635" s="42">
        <v>10491</v>
      </c>
      <c r="B635" s="42" t="s">
        <v>430</v>
      </c>
      <c r="C635" s="42" t="s">
        <v>1695</v>
      </c>
      <c r="D635" s="42" t="s">
        <v>744</v>
      </c>
      <c r="E635" s="42">
        <v>21</v>
      </c>
      <c r="F635" s="42" t="s">
        <v>42</v>
      </c>
      <c r="G635" s="42" t="s">
        <v>42</v>
      </c>
      <c r="H635" s="43" t="s">
        <v>721</v>
      </c>
      <c r="I635" s="44" t="s">
        <v>43</v>
      </c>
      <c r="J635" s="42" t="s">
        <v>44</v>
      </c>
      <c r="K635" s="43" t="s">
        <v>44</v>
      </c>
      <c r="L635" s="42">
        <v>2</v>
      </c>
      <c r="M635" s="42">
        <v>1</v>
      </c>
      <c r="N635" s="43">
        <v>1</v>
      </c>
      <c r="O635" s="42">
        <v>4</v>
      </c>
      <c r="P635" s="42">
        <v>2</v>
      </c>
      <c r="Q635" s="43">
        <v>1</v>
      </c>
      <c r="R635" s="42">
        <v>4</v>
      </c>
      <c r="S635" s="42">
        <v>5</v>
      </c>
      <c r="T635" s="42">
        <v>1</v>
      </c>
      <c r="U635" s="42">
        <v>1</v>
      </c>
      <c r="V635" s="42">
        <v>3</v>
      </c>
      <c r="W635" s="42">
        <v>6</v>
      </c>
      <c r="X635" s="42" t="s">
        <v>45</v>
      </c>
      <c r="Y635" s="42" t="s">
        <v>45</v>
      </c>
      <c r="Z635" s="42" t="s">
        <v>45</v>
      </c>
      <c r="AA635" s="42" t="s">
        <v>45</v>
      </c>
      <c r="AB635" s="42" t="s">
        <v>45</v>
      </c>
      <c r="AC635" s="42" t="s">
        <v>45</v>
      </c>
      <c r="AD635" s="42" t="s">
        <v>45</v>
      </c>
      <c r="AE635" s="42" t="s">
        <v>45</v>
      </c>
      <c r="AF635" s="42" t="s">
        <v>45</v>
      </c>
      <c r="AG635" s="42" t="s">
        <v>45</v>
      </c>
      <c r="AH635" s="42" t="s">
        <v>45</v>
      </c>
      <c r="AI635" s="42" t="s">
        <v>45</v>
      </c>
      <c r="AJ635" s="42" t="s">
        <v>45</v>
      </c>
      <c r="AK635" s="42" t="s">
        <v>45</v>
      </c>
      <c r="AL635" s="42" t="s">
        <v>45</v>
      </c>
      <c r="AM635" s="42" t="s">
        <v>45</v>
      </c>
      <c r="AN635" s="42" t="s">
        <v>45</v>
      </c>
      <c r="AO635" s="43" t="s">
        <v>45</v>
      </c>
      <c r="AP635" s="42" t="s">
        <v>356</v>
      </c>
      <c r="AQ635" s="42">
        <v>7</v>
      </c>
      <c r="AR635" s="50" t="s">
        <v>14</v>
      </c>
      <c r="AS635" s="45" t="s">
        <v>717</v>
      </c>
      <c r="AT635" s="45" t="s">
        <v>47</v>
      </c>
      <c r="AU635" s="46">
        <f>($O$3*(L635-$O$1)/$O$2+$P$3*(M635-$P$1)/$P$2+$Q$3*(N635-$P$1)/$Q$2)/SUM($O$3:$Q$3)</f>
        <v>-2.5067929134584248</v>
      </c>
      <c r="AV635" s="46">
        <f>($O$3*(O635-$O$1)/$O$2+$P$3*(P635-$P$1)/$P$2+$Q$3*(Q635-$Q$1)/$Q$2)/SUM($O$3:$Q$3)</f>
        <v>-1.4764837972729503</v>
      </c>
      <c r="AW635" s="47">
        <f>COUNT(R635:AO635)/2</f>
        <v>3</v>
      </c>
      <c r="AX635" s="47">
        <f>IF(AND(S635&lt;&gt;"-",S635&gt;5),1,0)+IF(AND(U635&lt;&gt;"-",U635&gt;5),1,0)+IF(AND(W635&lt;&gt;"-",W635&gt;5),1,0)+IF(AND(Y635&lt;&gt;"-",Y635&gt;5),1,0)+IF(AND(AA635&lt;&gt;"-",AA635&gt;5),1,0)+IF(AND(AC635&lt;&gt;"-",AC635&gt;5),1,0)+IF(AND(AE635&lt;&gt;"-",AE635&gt;5),1,0)+IF(AND(AG635&lt;&gt;"-",AG635&gt;5),1,0)+IF(AND(AI635&lt;&gt;"-",AI635&gt;5),1,0)+IF(AND(AK635&lt;&gt;"-",AK635&gt;5),1,0)+IF(AND(AM635&lt;&gt;"-",AM635&gt;5),1,0)+IF(AND(AO635&lt;&gt;"-",AO635&gt;5),1,0)</f>
        <v>1</v>
      </c>
      <c r="AY635" s="48">
        <f>VLOOKUP(AP635,COND!$A$10:$B$32,2,FALSE)</f>
        <v>1</v>
      </c>
      <c r="AZ635" s="46">
        <f>($AU$3*AU635+$AV$3*AV635+$AW$3*AW635+$AX$3*AX635)*AY635*IF(AQ635&lt;5,0.95,IF(AQ635&lt;7,0.975,1))+$I$3*VLOOKUP(I635,COND!$A$2:$E$7,4,FALSE)+$J$3*VLOOKUP(J635,COND!$A$2:$E$7,2,FALSE)+$K$3*VLOOKUP(K635,COND!$A$2:$E$7,3,FALSE)+IF(BB635="SP",$BB$3,0)+IF($AW635&lt;3,-5,0)+IF(AND($B$2&gt;0,$E635&lt;20),$B$2*25,0)</f>
        <v>19.118965471849307</v>
      </c>
      <c r="BA635" s="49">
        <f>STANDARDIZE(AZ635,AVERAGE($AZ$5:$AZ$570),STDEVP($AZ$5:$AZ$570))</f>
        <v>-1.2474794112125311</v>
      </c>
      <c r="BB635" s="47" t="str">
        <f>IF(OR(AND(AQ635&gt;7,AX635&gt;1),AND(AQ635&gt;4,AW635&gt;2)),"SP","RP")</f>
        <v>SP</v>
      </c>
      <c r="BC635" s="47"/>
      <c r="BD635" s="47"/>
      <c r="BE635" s="47"/>
      <c r="BF635" s="47" t="str">
        <f>IF(AVERAGE($O635:$Q635)&gt;=6,"Likely",IF(AVERAGE($O635:$Q635)&gt;=4,"Possible","Unlikely"))</f>
        <v>Unlikely</v>
      </c>
      <c r="BG635" s="47"/>
      <c r="BH635" s="47" t="str">
        <f>INDEX(Table5[[#All],[Ovr]],MATCH(Table3[[#This Row],[PID]],Table5[[#All],[PID]],0))</f>
        <v/>
      </c>
      <c r="BI635" s="47" t="str">
        <f>INDEX(Table5[[#All],[Rnd]],MATCH(Table3[[#This Row],[PID]],Table5[[#All],[PID]],0))</f>
        <v/>
      </c>
      <c r="BJ635" s="47" t="str">
        <f>INDEX(Table5[[#All],[Pick]],MATCH(Table3[[#This Row],[PID]],Table5[[#All],[PID]],0))</f>
        <v/>
      </c>
      <c r="BK635" s="47" t="str">
        <f>INDEX(Table5[[#All],[Team]],MATCH(Table3[[#This Row],[PID]],Table5[[#All],[PID]],0))</f>
        <v/>
      </c>
      <c r="BL6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6" spans="1:64" ht="15" customHeight="1" x14ac:dyDescent="0.25">
      <c r="A636" s="42">
        <v>17636</v>
      </c>
      <c r="B636" s="42" t="s">
        <v>430</v>
      </c>
      <c r="C636" s="42" t="s">
        <v>432</v>
      </c>
      <c r="D636" s="42" t="s">
        <v>661</v>
      </c>
      <c r="E636" s="42">
        <v>18</v>
      </c>
      <c r="F636" s="42" t="s">
        <v>42</v>
      </c>
      <c r="G636" s="42" t="s">
        <v>42</v>
      </c>
      <c r="H636" s="43" t="s">
        <v>721</v>
      </c>
      <c r="I636" s="44" t="s">
        <v>43</v>
      </c>
      <c r="J636" s="42" t="s">
        <v>44</v>
      </c>
      <c r="K636" s="43" t="s">
        <v>44</v>
      </c>
      <c r="L636" s="42">
        <v>1</v>
      </c>
      <c r="M636" s="42">
        <v>2</v>
      </c>
      <c r="N636" s="43">
        <v>1</v>
      </c>
      <c r="O636" s="42">
        <v>2</v>
      </c>
      <c r="P636" s="42">
        <v>2</v>
      </c>
      <c r="Q636" s="43">
        <v>1</v>
      </c>
      <c r="R636" s="42">
        <v>2</v>
      </c>
      <c r="S636" s="42">
        <v>3</v>
      </c>
      <c r="T636" s="42">
        <v>1</v>
      </c>
      <c r="U636" s="42">
        <v>1</v>
      </c>
      <c r="V636" s="42" t="s">
        <v>45</v>
      </c>
      <c r="W636" s="42" t="s">
        <v>45</v>
      </c>
      <c r="X636" s="42" t="s">
        <v>45</v>
      </c>
      <c r="Y636" s="42" t="s">
        <v>45</v>
      </c>
      <c r="Z636" s="42">
        <v>2</v>
      </c>
      <c r="AA636" s="42">
        <v>3</v>
      </c>
      <c r="AB636" s="42" t="s">
        <v>45</v>
      </c>
      <c r="AC636" s="42" t="s">
        <v>45</v>
      </c>
      <c r="AD636" s="42" t="s">
        <v>45</v>
      </c>
      <c r="AE636" s="42" t="s">
        <v>45</v>
      </c>
      <c r="AF636" s="42" t="s">
        <v>45</v>
      </c>
      <c r="AG636" s="42" t="s">
        <v>45</v>
      </c>
      <c r="AH636" s="42" t="s">
        <v>45</v>
      </c>
      <c r="AI636" s="42" t="s">
        <v>45</v>
      </c>
      <c r="AJ636" s="42" t="s">
        <v>45</v>
      </c>
      <c r="AK636" s="42" t="s">
        <v>45</v>
      </c>
      <c r="AL636" s="42" t="s">
        <v>45</v>
      </c>
      <c r="AM636" s="42" t="s">
        <v>45</v>
      </c>
      <c r="AN636" s="42" t="s">
        <v>45</v>
      </c>
      <c r="AO636" s="43" t="s">
        <v>45</v>
      </c>
      <c r="AP636" s="42" t="s">
        <v>67</v>
      </c>
      <c r="AQ636" s="42">
        <v>5</v>
      </c>
      <c r="AR636" s="50" t="s">
        <v>353</v>
      </c>
      <c r="AS636" s="45" t="s">
        <v>745</v>
      </c>
      <c r="AT636" s="45" t="s">
        <v>705</v>
      </c>
      <c r="AU636" s="46">
        <f>($O$3*(L636-$O$1)/$O$2+$P$3*(M636-$P$1)/$P$2+$Q$3*(N636-$P$1)/$Q$2)/SUM($O$3:$Q$3)</f>
        <v>-2.5060525215375429</v>
      </c>
      <c r="AV636" s="46">
        <f>($O$3*(O636-$O$1)/$O$2+$P$3*(P636-$P$1)/$P$2+$Q$3*(Q636-$Q$1)/$Q$2)/SUM($O$3:$Q$3)</f>
        <v>-1.8658664462912973</v>
      </c>
      <c r="AW636" s="47">
        <f>COUNT(R636:AO636)/2</f>
        <v>3</v>
      </c>
      <c r="AX636" s="47">
        <f>IF(AND(S636&lt;&gt;"-",S636&gt;5),1,0)+IF(AND(U636&lt;&gt;"-",U636&gt;5),1,0)+IF(AND(W636&lt;&gt;"-",W636&gt;5),1,0)+IF(AND(Y636&lt;&gt;"-",Y636&gt;5),1,0)+IF(AND(AA636&lt;&gt;"-",AA636&gt;5),1,0)+IF(AND(AC636&lt;&gt;"-",AC636&gt;5),1,0)+IF(AND(AE636&lt;&gt;"-",AE636&gt;5),1,0)+IF(AND(AG636&lt;&gt;"-",AG636&gt;5),1,0)+IF(AND(AI636&lt;&gt;"-",AI636&gt;5),1,0)+IF(AND(AK636&lt;&gt;"-",AK636&gt;5),1,0)+IF(AND(AM636&lt;&gt;"-",AM636&gt;5),1,0)+IF(AND(AO636&lt;&gt;"-",AO636&gt;5),1,0)</f>
        <v>0</v>
      </c>
      <c r="AY636" s="48">
        <f>VLOOKUP(AP636,COND!$A$10:$B$32,2,FALSE)</f>
        <v>0.9</v>
      </c>
      <c r="AZ636" s="46">
        <f>($AU$3*AU636+$AV$3*AV636+$AW$3*AW636+$AX$3*AX636)*AY636*IF(AQ636&lt;5,0.95,IF(AQ636&lt;7,0.975,1))+$I$3*VLOOKUP(I636,COND!$A$2:$E$7,4,FALSE)+$J$3*VLOOKUP(J636,COND!$A$2:$E$7,2,FALSE)+$K$3*VLOOKUP(K636,COND!$A$2:$E$7,3,FALSE)+IF(BB636="SP",$BB$3,0)+IF($AW636&lt;3,-5,0)+IF(AND($B$2&gt;0,$E636&lt;20),$B$2*25,0)</f>
        <v>19.530481650057894</v>
      </c>
      <c r="BA636" s="49">
        <f>STANDARDIZE(AZ636,AVERAGE($AZ$5:$AZ$676),STDEVP($AZ$5:$AZ$676))</f>
        <v>-0.95221610665221657</v>
      </c>
      <c r="BB636" s="47" t="str">
        <f>IF(OR(AND(AQ636&gt;7,AX636&gt;1),AND(AQ636&gt;4,AW636&gt;2)),"SP","RP")</f>
        <v>SP</v>
      </c>
      <c r="BC636" s="47"/>
      <c r="BD636" s="47"/>
      <c r="BE636" s="47"/>
      <c r="BF636" s="47" t="str">
        <f>IF(AVERAGE($O636:$Q636)&gt;=6,"Likely",IF(AVERAGE($O636:$Q636)&gt;=4,"Possible","Unlikely"))</f>
        <v>Unlikely</v>
      </c>
      <c r="BG636" s="47"/>
      <c r="BH636" s="47" t="str">
        <f>INDEX(Table5[[#All],[Ovr]],MATCH(Table3[[#This Row],[PID]],Table5[[#All],[PID]],0))</f>
        <v/>
      </c>
      <c r="BI636" s="47" t="str">
        <f>INDEX(Table5[[#All],[Rnd]],MATCH(Table3[[#This Row],[PID]],Table5[[#All],[PID]],0))</f>
        <v/>
      </c>
      <c r="BJ636" s="47" t="str">
        <f>INDEX(Table5[[#All],[Pick]],MATCH(Table3[[#This Row],[PID]],Table5[[#All],[PID]],0))</f>
        <v/>
      </c>
      <c r="BK636" s="47" t="str">
        <f>INDEX(Table5[[#All],[Team]],MATCH(Table3[[#This Row],[PID]],Table5[[#All],[PID]],0))</f>
        <v/>
      </c>
      <c r="BL6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7" spans="1:64" ht="15" customHeight="1" x14ac:dyDescent="0.25">
      <c r="A637" s="42">
        <v>6402</v>
      </c>
      <c r="B637" s="42" t="s">
        <v>430</v>
      </c>
      <c r="C637" s="42" t="s">
        <v>325</v>
      </c>
      <c r="D637" s="42" t="s">
        <v>1580</v>
      </c>
      <c r="E637" s="42">
        <v>21</v>
      </c>
      <c r="F637" s="42" t="s">
        <v>42</v>
      </c>
      <c r="G637" s="42" t="s">
        <v>42</v>
      </c>
      <c r="H637" s="43" t="s">
        <v>721</v>
      </c>
      <c r="I637" s="44" t="s">
        <v>44</v>
      </c>
      <c r="J637" s="42" t="s">
        <v>44</v>
      </c>
      <c r="K637" s="43" t="s">
        <v>43</v>
      </c>
      <c r="L637" s="42">
        <v>3</v>
      </c>
      <c r="M637" s="42">
        <v>1</v>
      </c>
      <c r="N637" s="43">
        <v>1</v>
      </c>
      <c r="O637" s="42">
        <v>4</v>
      </c>
      <c r="P637" s="42">
        <v>1</v>
      </c>
      <c r="Q637" s="43">
        <v>2</v>
      </c>
      <c r="R637" s="42">
        <v>4</v>
      </c>
      <c r="S637" s="42">
        <v>5</v>
      </c>
      <c r="T637" s="42">
        <v>1</v>
      </c>
      <c r="U637" s="42">
        <v>1</v>
      </c>
      <c r="V637" s="42" t="s">
        <v>45</v>
      </c>
      <c r="W637" s="42" t="s">
        <v>45</v>
      </c>
      <c r="X637" s="42" t="s">
        <v>45</v>
      </c>
      <c r="Y637" s="42" t="s">
        <v>45</v>
      </c>
      <c r="Z637" s="42">
        <v>3</v>
      </c>
      <c r="AA637" s="42">
        <v>4</v>
      </c>
      <c r="AB637" s="42" t="s">
        <v>45</v>
      </c>
      <c r="AC637" s="42" t="s">
        <v>45</v>
      </c>
      <c r="AD637" s="42" t="s">
        <v>45</v>
      </c>
      <c r="AE637" s="42" t="s">
        <v>45</v>
      </c>
      <c r="AF637" s="42" t="s">
        <v>45</v>
      </c>
      <c r="AG637" s="42" t="s">
        <v>45</v>
      </c>
      <c r="AH637" s="42" t="s">
        <v>45</v>
      </c>
      <c r="AI637" s="42" t="s">
        <v>45</v>
      </c>
      <c r="AJ637" s="42" t="s">
        <v>45</v>
      </c>
      <c r="AK637" s="42" t="s">
        <v>45</v>
      </c>
      <c r="AL637" s="42" t="s">
        <v>45</v>
      </c>
      <c r="AM637" s="42" t="s">
        <v>45</v>
      </c>
      <c r="AN637" s="42" t="s">
        <v>45</v>
      </c>
      <c r="AO637" s="43" t="s">
        <v>45</v>
      </c>
      <c r="AP637" s="42" t="s">
        <v>56</v>
      </c>
      <c r="AQ637" s="42">
        <v>2</v>
      </c>
      <c r="AR637" s="50" t="s">
        <v>14</v>
      </c>
      <c r="AS637" s="45" t="s">
        <v>45</v>
      </c>
      <c r="AT637" s="45" t="s">
        <v>47</v>
      </c>
      <c r="AU637" s="46">
        <f>($O$3*(L637-$O$1)/$O$2+$P$3*(M637-$P$1)/$P$2+$Q$3*(N637-$P$1)/$Q$2)/SUM($O$3:$Q$3)</f>
        <v>-2.3121015889492513</v>
      </c>
      <c r="AV637" s="46">
        <f>($O$3*(O637-$O$1)/$O$2+$P$3*(P637-$P$1)/$P$2+$Q$3*(Q637-$Q$1)/$Q$2)/SUM($O$3:$Q$3)</f>
        <v>-1.4295949476488956</v>
      </c>
      <c r="AW637" s="47">
        <f>COUNT(R637:AO637)/2</f>
        <v>3</v>
      </c>
      <c r="AX637" s="47">
        <f>IF(AND(S637&lt;&gt;"-",S637&gt;5),1,0)+IF(AND(U637&lt;&gt;"-",U637&gt;5),1,0)+IF(AND(W637&lt;&gt;"-",W637&gt;5),1,0)+IF(AND(Y637&lt;&gt;"-",Y637&gt;5),1,0)+IF(AND(AA637&lt;&gt;"-",AA637&gt;5),1,0)+IF(AND(AC637&lt;&gt;"-",AC637&gt;5),1,0)+IF(AND(AE637&lt;&gt;"-",AE637&gt;5),1,0)+IF(AND(AG637&lt;&gt;"-",AG637&gt;5),1,0)+IF(AND(AI637&lt;&gt;"-",AI637&gt;5),1,0)+IF(AND(AK637&lt;&gt;"-",AK637&gt;5),1,0)+IF(AND(AM637&lt;&gt;"-",AM637&gt;5),1,0)+IF(AND(AO637&lt;&gt;"-",AO637&gt;5),1,0)</f>
        <v>0</v>
      </c>
      <c r="AY637" s="48">
        <f>VLOOKUP(AP637,COND!$A$10:$B$32,2,FALSE)</f>
        <v>1</v>
      </c>
      <c r="AZ637" s="46">
        <f>($AU$3*AU637+$AV$3*AV637+$AW$3*AW637+$AX$3*AX637)*AY637*IF(AQ637&lt;5,0.95,IF(AQ637&lt;7,0.975,1))+$I$3*VLOOKUP(I637,COND!$A$2:$E$7,4,FALSE)+$J$3*VLOOKUP(J637,COND!$A$2:$E$7,2,FALSE)+$K$3*VLOOKUP(K637,COND!$A$2:$E$7,3,FALSE)+IF(BB637="SP",$BB$3,0)+IF($AW637&lt;3,-5,0)+IF(AND($B$2&gt;0,$E637&lt;20),$B$2*25,0)</f>
        <v>18.373396692770626</v>
      </c>
      <c r="BA637" s="49">
        <f>STANDARDIZE(AZ637,AVERAGE($AZ$5:$AZ$570),STDEVP($AZ$5:$AZ$570))</f>
        <v>-1.3158512548819816</v>
      </c>
      <c r="BB637" s="47" t="str">
        <f>IF(OR(AND(AQ637&gt;7,AX637&gt;1),AND(AQ637&gt;4,AW637&gt;2)),"SP","RP")</f>
        <v>RP</v>
      </c>
      <c r="BC637" s="47"/>
      <c r="BD637" s="47"/>
      <c r="BE637" s="47"/>
      <c r="BF637" s="47" t="str">
        <f>IF(AVERAGE($O637:$Q637)&gt;=6,"Likely",IF(AVERAGE($O637:$Q637)&gt;=4,"Possible","Unlikely"))</f>
        <v>Unlikely</v>
      </c>
      <c r="BG637" s="47"/>
      <c r="BH637" s="47" t="str">
        <f>INDEX(Table5[[#All],[Ovr]],MATCH(Table3[[#This Row],[PID]],Table5[[#All],[PID]],0))</f>
        <v/>
      </c>
      <c r="BI637" s="47" t="str">
        <f>INDEX(Table5[[#All],[Rnd]],MATCH(Table3[[#This Row],[PID]],Table5[[#All],[PID]],0))</f>
        <v/>
      </c>
      <c r="BJ637" s="47" t="str">
        <f>INDEX(Table5[[#All],[Pick]],MATCH(Table3[[#This Row],[PID]],Table5[[#All],[PID]],0))</f>
        <v/>
      </c>
      <c r="BK637" s="47" t="str">
        <f>INDEX(Table5[[#All],[Team]],MATCH(Table3[[#This Row],[PID]],Table5[[#All],[PID]],0))</f>
        <v/>
      </c>
      <c r="BL6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8" spans="1:64" ht="15" customHeight="1" x14ac:dyDescent="0.25">
      <c r="A638" s="42">
        <v>6062</v>
      </c>
      <c r="B638" s="42" t="s">
        <v>430</v>
      </c>
      <c r="C638" s="42" t="s">
        <v>1233</v>
      </c>
      <c r="D638" s="42" t="s">
        <v>581</v>
      </c>
      <c r="E638" s="42">
        <v>21</v>
      </c>
      <c r="F638" s="42" t="s">
        <v>53</v>
      </c>
      <c r="G638" s="42" t="s">
        <v>53</v>
      </c>
      <c r="H638" s="43" t="s">
        <v>721</v>
      </c>
      <c r="I638" s="44" t="s">
        <v>43</v>
      </c>
      <c r="J638" s="42" t="s">
        <v>43</v>
      </c>
      <c r="K638" s="43" t="s">
        <v>47</v>
      </c>
      <c r="L638" s="42">
        <v>1</v>
      </c>
      <c r="M638" s="42">
        <v>1</v>
      </c>
      <c r="N638" s="43">
        <v>1</v>
      </c>
      <c r="O638" s="42">
        <v>3</v>
      </c>
      <c r="P638" s="42">
        <v>1</v>
      </c>
      <c r="Q638" s="43">
        <v>2</v>
      </c>
      <c r="R638" s="42">
        <v>3</v>
      </c>
      <c r="S638" s="42">
        <v>3</v>
      </c>
      <c r="T638" s="42">
        <v>1</v>
      </c>
      <c r="U638" s="42">
        <v>4</v>
      </c>
      <c r="V638" s="42" t="s">
        <v>45</v>
      </c>
      <c r="W638" s="42" t="s">
        <v>45</v>
      </c>
      <c r="X638" s="42">
        <v>2</v>
      </c>
      <c r="Y638" s="42">
        <v>4</v>
      </c>
      <c r="Z638" s="42" t="s">
        <v>45</v>
      </c>
      <c r="AA638" s="42" t="s">
        <v>45</v>
      </c>
      <c r="AB638" s="42" t="s">
        <v>45</v>
      </c>
      <c r="AC638" s="42" t="s">
        <v>45</v>
      </c>
      <c r="AD638" s="42" t="s">
        <v>45</v>
      </c>
      <c r="AE638" s="42" t="s">
        <v>45</v>
      </c>
      <c r="AF638" s="42" t="s">
        <v>45</v>
      </c>
      <c r="AG638" s="42" t="s">
        <v>45</v>
      </c>
      <c r="AH638" s="42">
        <v>1</v>
      </c>
      <c r="AI638" s="42">
        <v>4</v>
      </c>
      <c r="AJ638" s="42" t="s">
        <v>45</v>
      </c>
      <c r="AK638" s="42" t="s">
        <v>45</v>
      </c>
      <c r="AL638" s="42" t="s">
        <v>45</v>
      </c>
      <c r="AM638" s="42" t="s">
        <v>45</v>
      </c>
      <c r="AN638" s="42" t="s">
        <v>45</v>
      </c>
      <c r="AO638" s="43" t="s">
        <v>45</v>
      </c>
      <c r="AP638" s="42" t="s">
        <v>68</v>
      </c>
      <c r="AQ638" s="42">
        <v>2</v>
      </c>
      <c r="AR638" s="50" t="s">
        <v>357</v>
      </c>
      <c r="AS638" s="45" t="s">
        <v>717</v>
      </c>
      <c r="AT638" s="45" t="s">
        <v>47</v>
      </c>
      <c r="AU638" s="46">
        <f>($O$3*(L638-$O$1)/$O$2+$P$3*(M638-$P$1)/$P$2+$Q$3*(N638-$P$1)/$Q$2)/SUM($O$3:$Q$3)</f>
        <v>-2.7014842379675978</v>
      </c>
      <c r="AV638" s="46">
        <f>($O$3*(O638-$O$1)/$O$2+$P$3*(P638-$P$1)/$P$2+$Q$3*(Q638-$Q$1)/$Q$2)/SUM($O$3:$Q$3)</f>
        <v>-1.6242862721580691</v>
      </c>
      <c r="AW638" s="47">
        <f>COUNT(R638:AO638)/2</f>
        <v>4</v>
      </c>
      <c r="AX638" s="47">
        <f>IF(AND(S638&lt;&gt;"-",S638&gt;5),1,0)+IF(AND(U638&lt;&gt;"-",U638&gt;5),1,0)+IF(AND(W638&lt;&gt;"-",W638&gt;5),1,0)+IF(AND(Y638&lt;&gt;"-",Y638&gt;5),1,0)+IF(AND(AA638&lt;&gt;"-",AA638&gt;5),1,0)+IF(AND(AC638&lt;&gt;"-",AC638&gt;5),1,0)+IF(AND(AE638&lt;&gt;"-",AE638&gt;5),1,0)+IF(AND(AG638&lt;&gt;"-",AG638&gt;5),1,0)+IF(AND(AI638&lt;&gt;"-",AI638&gt;5),1,0)+IF(AND(AK638&lt;&gt;"-",AK638&gt;5),1,0)+IF(AND(AM638&lt;&gt;"-",AM638&gt;5),1,0)+IF(AND(AO638&lt;&gt;"-",AO638&gt;5),1,0)</f>
        <v>0</v>
      </c>
      <c r="AY638" s="48">
        <f>VLOOKUP(AP638,COND!$A$10:$B$32,2,FALSE)</f>
        <v>0.95</v>
      </c>
      <c r="AZ638" s="46">
        <f>($AU$3*AU638+$AV$3*AV638+$AW$3*AW638+$AX$3*AX638)*AY638*IF(AQ638&lt;5,0.95,IF(AQ638&lt;7,0.975,1))+$I$3*VLOOKUP(I638,COND!$A$2:$E$7,4,FALSE)+$J$3*VLOOKUP(J638,COND!$A$2:$E$7,2,FALSE)+$K$3*VLOOKUP(K638,COND!$A$2:$E$7,3,FALSE)+IF(BB638="SP",$BB$3,0)+IF($AW638&lt;3,-5,0)+IF(AND($B$2&gt;0,$E638&lt;20),$B$2*25,0)</f>
        <v>17.299014882593706</v>
      </c>
      <c r="BA638" s="49">
        <f>STANDARDIZE(AZ638,AVERAGE($AZ$5:$AZ$676),STDEVP($AZ$5:$AZ$676))</f>
        <v>-1.1477876597086696</v>
      </c>
      <c r="BB638" s="47" t="str">
        <f>IF(OR(AND(AQ638&gt;7,AX638&gt;1),AND(AQ638&gt;4,AW638&gt;2)),"SP","RP")</f>
        <v>RP</v>
      </c>
      <c r="BC638" s="47"/>
      <c r="BD638" s="47"/>
      <c r="BE638" s="47"/>
      <c r="BF638" s="47" t="str">
        <f>IF(AVERAGE($O638:$Q638)&gt;=6,"Likely",IF(AVERAGE($O638:$Q638)&gt;=4,"Possible","Unlikely"))</f>
        <v>Unlikely</v>
      </c>
      <c r="BG638" s="47"/>
      <c r="BH638" s="47" t="str">
        <f>INDEX(Table5[[#All],[Ovr]],MATCH(Table3[[#This Row],[PID]],Table5[[#All],[PID]],0))</f>
        <v/>
      </c>
      <c r="BI638" s="47" t="str">
        <f>INDEX(Table5[[#All],[Rnd]],MATCH(Table3[[#This Row],[PID]],Table5[[#All],[PID]],0))</f>
        <v/>
      </c>
      <c r="BJ638" s="47" t="str">
        <f>INDEX(Table5[[#All],[Pick]],MATCH(Table3[[#This Row],[PID]],Table5[[#All],[PID]],0))</f>
        <v/>
      </c>
      <c r="BK638" s="47" t="str">
        <f>INDEX(Table5[[#All],[Team]],MATCH(Table3[[#This Row],[PID]],Table5[[#All],[PID]],0))</f>
        <v/>
      </c>
      <c r="BL6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9" spans="1:64" ht="15" customHeight="1" x14ac:dyDescent="0.25">
      <c r="A639" s="42">
        <v>12628</v>
      </c>
      <c r="B639" s="42" t="s">
        <v>430</v>
      </c>
      <c r="C639" s="42" t="s">
        <v>151</v>
      </c>
      <c r="D639" s="42" t="s">
        <v>207</v>
      </c>
      <c r="E639" s="42">
        <v>21</v>
      </c>
      <c r="F639" s="42" t="s">
        <v>42</v>
      </c>
      <c r="G639" s="42" t="s">
        <v>42</v>
      </c>
      <c r="H639" s="43" t="s">
        <v>721</v>
      </c>
      <c r="I639" s="44" t="s">
        <v>43</v>
      </c>
      <c r="J639" s="42" t="s">
        <v>43</v>
      </c>
      <c r="K639" s="43" t="s">
        <v>44</v>
      </c>
      <c r="L639" s="42">
        <v>2</v>
      </c>
      <c r="M639" s="42">
        <v>2</v>
      </c>
      <c r="N639" s="43">
        <v>1</v>
      </c>
      <c r="O639" s="42">
        <v>4</v>
      </c>
      <c r="P639" s="42">
        <v>2</v>
      </c>
      <c r="Q639" s="43">
        <v>1</v>
      </c>
      <c r="R639" s="42">
        <v>3</v>
      </c>
      <c r="S639" s="42">
        <v>4</v>
      </c>
      <c r="T639" s="42">
        <v>1</v>
      </c>
      <c r="U639" s="42">
        <v>5</v>
      </c>
      <c r="V639" s="42" t="s">
        <v>45</v>
      </c>
      <c r="W639" s="42" t="s">
        <v>45</v>
      </c>
      <c r="X639" s="42" t="s">
        <v>45</v>
      </c>
      <c r="Y639" s="42" t="s">
        <v>45</v>
      </c>
      <c r="Z639" s="42" t="s">
        <v>45</v>
      </c>
      <c r="AA639" s="42" t="s">
        <v>45</v>
      </c>
      <c r="AB639" s="42">
        <v>3</v>
      </c>
      <c r="AC639" s="42">
        <v>5</v>
      </c>
      <c r="AD639" s="42" t="s">
        <v>45</v>
      </c>
      <c r="AE639" s="42" t="s">
        <v>45</v>
      </c>
      <c r="AF639" s="42" t="s">
        <v>45</v>
      </c>
      <c r="AG639" s="42" t="s">
        <v>45</v>
      </c>
      <c r="AH639" s="42" t="s">
        <v>45</v>
      </c>
      <c r="AI639" s="42" t="s">
        <v>45</v>
      </c>
      <c r="AJ639" s="42" t="s">
        <v>45</v>
      </c>
      <c r="AK639" s="42" t="s">
        <v>45</v>
      </c>
      <c r="AL639" s="42" t="s">
        <v>45</v>
      </c>
      <c r="AM639" s="42" t="s">
        <v>45</v>
      </c>
      <c r="AN639" s="42" t="s">
        <v>45</v>
      </c>
      <c r="AO639" s="43" t="s">
        <v>45</v>
      </c>
      <c r="AP639" s="42" t="s">
        <v>64</v>
      </c>
      <c r="AQ639" s="42">
        <v>8</v>
      </c>
      <c r="AR639" s="50" t="s">
        <v>353</v>
      </c>
      <c r="AS639" s="45" t="s">
        <v>717</v>
      </c>
      <c r="AT639" s="45" t="s">
        <v>47</v>
      </c>
      <c r="AU639" s="46">
        <f>($O$3*(L639-$O$1)/$O$2+$P$3*(M639-$P$1)/$P$2+$Q$3*(N639-$P$1)/$Q$2)/SUM($O$3:$Q$3)</f>
        <v>-2.311361197028369</v>
      </c>
      <c r="AV639" s="46">
        <f>($O$3*(O639-$O$1)/$O$2+$P$3*(P639-$P$1)/$P$2+$Q$3*(Q639-$Q$1)/$Q$2)/SUM($O$3:$Q$3)</f>
        <v>-1.4764837972729503</v>
      </c>
      <c r="AW639" s="47">
        <f>COUNT(R639:AO639)/2</f>
        <v>3</v>
      </c>
      <c r="AX639" s="47">
        <f>IF(AND(S639&lt;&gt;"-",S639&gt;5),1,0)+IF(AND(U639&lt;&gt;"-",U639&gt;5),1,0)+IF(AND(W639&lt;&gt;"-",W639&gt;5),1,0)+IF(AND(Y639&lt;&gt;"-",Y639&gt;5),1,0)+IF(AND(AA639&lt;&gt;"-",AA639&gt;5),1,0)+IF(AND(AC639&lt;&gt;"-",AC639&gt;5),1,0)+IF(AND(AE639&lt;&gt;"-",AE639&gt;5),1,0)+IF(AND(AG639&lt;&gt;"-",AG639&gt;5),1,0)+IF(AND(AI639&lt;&gt;"-",AI639&gt;5),1,0)+IF(AND(AK639&lt;&gt;"-",AK639&gt;5),1,0)+IF(AND(AM639&lt;&gt;"-",AM639&gt;5),1,0)+IF(AND(AO639&lt;&gt;"-",AO639&gt;5),1,0)</f>
        <v>0</v>
      </c>
      <c r="AY639" s="48">
        <f>VLOOKUP(AP639,COND!$A$10:$B$32,2,FALSE)</f>
        <v>1</v>
      </c>
      <c r="AZ639" s="46">
        <f>($AU$3*AU639+$AV$3*AV639+$AW$3*AW639+$AX$3*AX639)*AY639*IF(AQ639&lt;5,0.95,IF(AQ639&lt;7,0.975,1))+$I$3*VLOOKUP(I639,COND!$A$2:$E$7,4,FALSE)+$J$3*VLOOKUP(J639,COND!$A$2:$E$7,2,FALSE)+$K$3*VLOOKUP(K639,COND!$A$2:$E$7,3,FALSE)+IF(BB639="SP",$BB$3,0)+IF($AW639&lt;3,-5,0)+IF(AND($B$2&gt;0,$E639&lt;20),$B$2*25,0)</f>
        <v>18.20805181513532</v>
      </c>
      <c r="BA639" s="49">
        <f>STANDARDIZE(AZ639,AVERAGE($AZ$5:$AZ$570),STDEVP($AZ$5:$AZ$570))</f>
        <v>-1.3310140868599989</v>
      </c>
      <c r="BB639" s="47" t="str">
        <f>IF(OR(AND(AQ639&gt;7,AX639&gt;1),AND(AQ639&gt;4,AW639&gt;2)),"SP","RP")</f>
        <v>SP</v>
      </c>
      <c r="BC639" s="47"/>
      <c r="BD639" s="47"/>
      <c r="BE639" s="47"/>
      <c r="BF639" s="47" t="str">
        <f>IF(AVERAGE($O639:$Q639)&gt;=6,"Likely",IF(AVERAGE($O639:$Q639)&gt;=4,"Possible","Unlikely"))</f>
        <v>Unlikely</v>
      </c>
      <c r="BG639" s="47"/>
      <c r="BH639" s="47" t="str">
        <f>INDEX(Table5[[#All],[Ovr]],MATCH(Table3[[#This Row],[PID]],Table5[[#All],[PID]],0))</f>
        <v/>
      </c>
      <c r="BI639" s="47" t="str">
        <f>INDEX(Table5[[#All],[Rnd]],MATCH(Table3[[#This Row],[PID]],Table5[[#All],[PID]],0))</f>
        <v/>
      </c>
      <c r="BJ639" s="47" t="str">
        <f>INDEX(Table5[[#All],[Pick]],MATCH(Table3[[#This Row],[PID]],Table5[[#All],[PID]],0))</f>
        <v/>
      </c>
      <c r="BK639" s="47" t="str">
        <f>INDEX(Table5[[#All],[Team]],MATCH(Table3[[#This Row],[PID]],Table5[[#All],[PID]],0))</f>
        <v/>
      </c>
      <c r="BL6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0" spans="1:64" ht="15" customHeight="1" x14ac:dyDescent="0.25">
      <c r="A640" s="42">
        <v>8119</v>
      </c>
      <c r="B640" s="42" t="s">
        <v>430</v>
      </c>
      <c r="C640" s="42" t="s">
        <v>205</v>
      </c>
      <c r="D640" s="42" t="s">
        <v>662</v>
      </c>
      <c r="E640" s="42">
        <v>18</v>
      </c>
      <c r="F640" s="42" t="s">
        <v>42</v>
      </c>
      <c r="G640" s="42" t="s">
        <v>42</v>
      </c>
      <c r="H640" s="43" t="s">
        <v>721</v>
      </c>
      <c r="I640" s="44" t="s">
        <v>43</v>
      </c>
      <c r="J640" s="42" t="s">
        <v>44</v>
      </c>
      <c r="K640" s="43" t="s">
        <v>43</v>
      </c>
      <c r="L640" s="42">
        <v>2</v>
      </c>
      <c r="M640" s="42">
        <v>1</v>
      </c>
      <c r="N640" s="43">
        <v>1</v>
      </c>
      <c r="O640" s="42">
        <v>4</v>
      </c>
      <c r="P640" s="42">
        <v>1</v>
      </c>
      <c r="Q640" s="43">
        <v>2</v>
      </c>
      <c r="R640" s="42">
        <v>3</v>
      </c>
      <c r="S640" s="42">
        <v>5</v>
      </c>
      <c r="T640" s="42" t="s">
        <v>45</v>
      </c>
      <c r="U640" s="42" t="s">
        <v>45</v>
      </c>
      <c r="V640" s="42" t="s">
        <v>45</v>
      </c>
      <c r="W640" s="42" t="s">
        <v>45</v>
      </c>
      <c r="X640" s="42" t="s">
        <v>45</v>
      </c>
      <c r="Y640" s="42" t="s">
        <v>45</v>
      </c>
      <c r="Z640" s="42" t="s">
        <v>45</v>
      </c>
      <c r="AA640" s="42" t="s">
        <v>45</v>
      </c>
      <c r="AB640" s="42">
        <v>2</v>
      </c>
      <c r="AC640" s="42">
        <v>5</v>
      </c>
      <c r="AD640" s="42" t="s">
        <v>45</v>
      </c>
      <c r="AE640" s="42" t="s">
        <v>45</v>
      </c>
      <c r="AF640" s="42" t="s">
        <v>45</v>
      </c>
      <c r="AG640" s="42" t="s">
        <v>45</v>
      </c>
      <c r="AH640" s="42" t="s">
        <v>45</v>
      </c>
      <c r="AI640" s="42" t="s">
        <v>45</v>
      </c>
      <c r="AJ640" s="42" t="s">
        <v>45</v>
      </c>
      <c r="AK640" s="42" t="s">
        <v>45</v>
      </c>
      <c r="AL640" s="42" t="s">
        <v>45</v>
      </c>
      <c r="AM640" s="42" t="s">
        <v>45</v>
      </c>
      <c r="AN640" s="42" t="s">
        <v>45</v>
      </c>
      <c r="AO640" s="43" t="s">
        <v>45</v>
      </c>
      <c r="AP640" s="42" t="s">
        <v>355</v>
      </c>
      <c r="AQ640" s="42">
        <v>3</v>
      </c>
      <c r="AR640" s="50" t="s">
        <v>14</v>
      </c>
      <c r="AS640" s="45" t="s">
        <v>739</v>
      </c>
      <c r="AT640" s="45" t="s">
        <v>47</v>
      </c>
      <c r="AU640" s="46">
        <f>($O$3*(L640-$O$1)/$O$2+$P$3*(M640-$P$1)/$P$2+$Q$3*(N640-$P$1)/$Q$2)/SUM($O$3:$Q$3)</f>
        <v>-2.5067929134584248</v>
      </c>
      <c r="AV640" s="46">
        <f>($O$3*(O640-$O$1)/$O$2+$P$3*(P640-$P$1)/$P$2+$Q$3*(Q640-$Q$1)/$Q$2)/SUM($O$3:$Q$3)</f>
        <v>-1.4295949476488956</v>
      </c>
      <c r="AW640" s="47">
        <f>COUNT(R640:AO640)/2</f>
        <v>2</v>
      </c>
      <c r="AX640" s="47">
        <f>IF(AND(S640&lt;&gt;"-",S640&gt;5),1,0)+IF(AND(U640&lt;&gt;"-",U640&gt;5),1,0)+IF(AND(W640&lt;&gt;"-",W640&gt;5),1,0)+IF(AND(Y640&lt;&gt;"-",Y640&gt;5),1,0)+IF(AND(AA640&lt;&gt;"-",AA640&gt;5),1,0)+IF(AND(AC640&lt;&gt;"-",AC640&gt;5),1,0)+IF(AND(AE640&lt;&gt;"-",AE640&gt;5),1,0)+IF(AND(AG640&lt;&gt;"-",AG640&gt;5),1,0)+IF(AND(AI640&lt;&gt;"-",AI640&gt;5),1,0)+IF(AND(AK640&lt;&gt;"-",AK640&gt;5),1,0)+IF(AND(AM640&lt;&gt;"-",AM640&gt;5),1,0)+IF(AND(AO640&lt;&gt;"-",AO640&gt;5),1,0)</f>
        <v>0</v>
      </c>
      <c r="AY640" s="48">
        <f>VLOOKUP(AP640,COND!$A$10:$B$32,2,FALSE)</f>
        <v>1</v>
      </c>
      <c r="AZ640" s="46">
        <f>($AU$3*AU640+$AV$3*AV640+$AW$3*AW640+$AX$3*AX640)*AY640*IF(AQ640&lt;5,0.95,IF(AQ640&lt;7,0.975,1))+$I$3*VLOOKUP(I640,COND!$A$2:$E$7,4,FALSE)+$J$3*VLOOKUP(J640,COND!$A$2:$E$7,2,FALSE)+$K$3*VLOOKUP(K640,COND!$A$2:$E$7,3,FALSE)+IF(BB640="SP",$BB$3,0)+IF($AW640&lt;3,-5,0)+IF(AND($B$2&gt;0,$E640&lt;20),$B$2*25,0)</f>
        <v>18.011405341113878</v>
      </c>
      <c r="BA640" s="49">
        <f>STANDARDIZE(AZ640,AVERAGE($AZ$5:$AZ$570),STDEVP($AZ$5:$AZ$570))</f>
        <v>-1.3490474090124598</v>
      </c>
      <c r="BB640" s="47" t="str">
        <f>IF(OR(AND(AQ640&gt;7,AX640&gt;1),AND(AQ640&gt;4,AW640&gt;2)),"SP","RP")</f>
        <v>RP</v>
      </c>
      <c r="BC640" s="47"/>
      <c r="BD640" s="47"/>
      <c r="BE640" s="47"/>
      <c r="BF640" s="47" t="str">
        <f>IF(AVERAGE($O640:$Q640)&gt;=6,"Likely",IF(AVERAGE($O640:$Q640)&gt;=4,"Possible","Unlikely"))</f>
        <v>Unlikely</v>
      </c>
      <c r="BG640" s="47"/>
      <c r="BH640" s="47" t="str">
        <f>INDEX(Table5[[#All],[Ovr]],MATCH(Table3[[#This Row],[PID]],Table5[[#All],[PID]],0))</f>
        <v/>
      </c>
      <c r="BI640" s="47" t="str">
        <f>INDEX(Table5[[#All],[Rnd]],MATCH(Table3[[#This Row],[PID]],Table5[[#All],[PID]],0))</f>
        <v/>
      </c>
      <c r="BJ640" s="47" t="str">
        <f>INDEX(Table5[[#All],[Pick]],MATCH(Table3[[#This Row],[PID]],Table5[[#All],[PID]],0))</f>
        <v/>
      </c>
      <c r="BK640" s="47" t="str">
        <f>INDEX(Table5[[#All],[Team]],MATCH(Table3[[#This Row],[PID]],Table5[[#All],[PID]],0))</f>
        <v/>
      </c>
      <c r="BL6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1" spans="1:64" ht="15" customHeight="1" x14ac:dyDescent="0.25">
      <c r="A641" s="42">
        <v>14903</v>
      </c>
      <c r="B641" s="42" t="s">
        <v>430</v>
      </c>
      <c r="C641" s="42" t="s">
        <v>1808</v>
      </c>
      <c r="D641" s="42" t="s">
        <v>1809</v>
      </c>
      <c r="E641" s="42">
        <v>21</v>
      </c>
      <c r="F641" s="42" t="s">
        <v>42</v>
      </c>
      <c r="G641" s="42" t="s">
        <v>42</v>
      </c>
      <c r="H641" s="43" t="s">
        <v>721</v>
      </c>
      <c r="I641" s="44" t="s">
        <v>44</v>
      </c>
      <c r="J641" s="42" t="s">
        <v>43</v>
      </c>
      <c r="K641" s="43" t="s">
        <v>44</v>
      </c>
      <c r="L641" s="42">
        <v>1</v>
      </c>
      <c r="M641" s="42">
        <v>2</v>
      </c>
      <c r="N641" s="43">
        <v>1</v>
      </c>
      <c r="O641" s="42">
        <v>2</v>
      </c>
      <c r="P641" s="42">
        <v>2</v>
      </c>
      <c r="Q641" s="43">
        <v>2</v>
      </c>
      <c r="R641" s="42">
        <v>2</v>
      </c>
      <c r="S641" s="42">
        <v>3</v>
      </c>
      <c r="T641" s="42">
        <v>1</v>
      </c>
      <c r="U641" s="42">
        <v>1</v>
      </c>
      <c r="V641" s="42">
        <v>2</v>
      </c>
      <c r="W641" s="42">
        <v>4</v>
      </c>
      <c r="X641" s="42" t="s">
        <v>45</v>
      </c>
      <c r="Y641" s="42" t="s">
        <v>45</v>
      </c>
      <c r="Z641" s="42" t="s">
        <v>45</v>
      </c>
      <c r="AA641" s="42" t="s">
        <v>45</v>
      </c>
      <c r="AB641" s="42" t="s">
        <v>45</v>
      </c>
      <c r="AC641" s="42" t="s">
        <v>45</v>
      </c>
      <c r="AD641" s="42" t="s">
        <v>45</v>
      </c>
      <c r="AE641" s="42" t="s">
        <v>45</v>
      </c>
      <c r="AF641" s="42" t="s">
        <v>45</v>
      </c>
      <c r="AG641" s="42" t="s">
        <v>45</v>
      </c>
      <c r="AH641" s="42" t="s">
        <v>45</v>
      </c>
      <c r="AI641" s="42" t="s">
        <v>45</v>
      </c>
      <c r="AJ641" s="42" t="s">
        <v>45</v>
      </c>
      <c r="AK641" s="42" t="s">
        <v>45</v>
      </c>
      <c r="AL641" s="42" t="s">
        <v>45</v>
      </c>
      <c r="AM641" s="42" t="s">
        <v>45</v>
      </c>
      <c r="AN641" s="42" t="s">
        <v>45</v>
      </c>
      <c r="AO641" s="43" t="s">
        <v>45</v>
      </c>
      <c r="AP641" s="42" t="s">
        <v>70</v>
      </c>
      <c r="AQ641" s="42">
        <v>7</v>
      </c>
      <c r="AR641" s="50" t="s">
        <v>353</v>
      </c>
      <c r="AS641" s="45" t="s">
        <v>45</v>
      </c>
      <c r="AT641" s="45" t="s">
        <v>47</v>
      </c>
      <c r="AU641" s="46">
        <f>($O$3*(L641-$O$1)/$O$2+$P$3*(M641-$P$1)/$P$2+$Q$3*(N641-$P$1)/$Q$2)/SUM($O$3:$Q$3)</f>
        <v>-2.5060525215375429</v>
      </c>
      <c r="AV641" s="46">
        <f>($O$3*(O641-$O$1)/$O$2+$P$3*(P641-$P$1)/$P$2+$Q$3*(Q641-$Q$1)/$Q$2)/SUM($O$3:$Q$3)</f>
        <v>-1.6235458802371869</v>
      </c>
      <c r="AW641" s="47">
        <f>COUNT(R641:AO641)/2</f>
        <v>3</v>
      </c>
      <c r="AX641" s="47">
        <f>IF(AND(S641&lt;&gt;"-",S641&gt;5),1,0)+IF(AND(U641&lt;&gt;"-",U641&gt;5),1,0)+IF(AND(W641&lt;&gt;"-",W641&gt;5),1,0)+IF(AND(Y641&lt;&gt;"-",Y641&gt;5),1,0)+IF(AND(AA641&lt;&gt;"-",AA641&gt;5),1,0)+IF(AND(AC641&lt;&gt;"-",AC641&gt;5),1,0)+IF(AND(AE641&lt;&gt;"-",AE641&gt;5),1,0)+IF(AND(AG641&lt;&gt;"-",AG641&gt;5),1,0)+IF(AND(AI641&lt;&gt;"-",AI641&gt;5),1,0)+IF(AND(AK641&lt;&gt;"-",AK641&gt;5),1,0)+IF(AND(AM641&lt;&gt;"-",AM641&gt;5),1,0)+IF(AND(AO641&lt;&gt;"-",AO641&gt;5),1,0)</f>
        <v>0</v>
      </c>
      <c r="AY641" s="48">
        <f>VLOOKUP(AP641,COND!$A$10:$B$32,2,FALSE)</f>
        <v>0.9</v>
      </c>
      <c r="AZ641" s="46">
        <f>($AU$3*AU641+$AV$3*AV641+$AW$3*AW641+$AX$3*AX641)*AY641*IF(AQ641&lt;5,0.95,IF(AQ641&lt;7,0.975,1))+$I$3*VLOOKUP(I641,COND!$A$2:$E$7,4,FALSE)+$J$3*VLOOKUP(J641,COND!$A$2:$E$7,2,FALSE)+$K$3*VLOOKUP(K641,COND!$A$2:$E$7,3,FALSE)+IF(BB641="SP",$BB$3,0)+IF($AW641&lt;3,-5,0)+IF(AND($B$2&gt;0,$E641&lt;20),$B$2*25,0)</f>
        <v>18.225084701853874</v>
      </c>
      <c r="BA641" s="49">
        <f>STANDARDIZE(AZ641,AVERAGE($AZ$5:$AZ$676),STDEVP($AZ$5:$AZ$676))</f>
        <v>-1.066624491414107</v>
      </c>
      <c r="BB641" s="47" t="str">
        <f>IF(OR(AND(AQ641&gt;7,AX641&gt;1),AND(AQ641&gt;4,AW641&gt;2)),"SP","RP")</f>
        <v>SP</v>
      </c>
      <c r="BC641" s="47"/>
      <c r="BD641" s="47"/>
      <c r="BE641" s="47"/>
      <c r="BF641" s="47" t="str">
        <f>IF(AVERAGE($O641:$Q641)&gt;=6,"Likely",IF(AVERAGE($O641:$Q641)&gt;=4,"Possible","Unlikely"))</f>
        <v>Unlikely</v>
      </c>
      <c r="BG641" s="47"/>
      <c r="BH641" s="47" t="str">
        <f>INDEX(Table5[[#All],[Ovr]],MATCH(Table3[[#This Row],[PID]],Table5[[#All],[PID]],0))</f>
        <v/>
      </c>
      <c r="BI641" s="47" t="str">
        <f>INDEX(Table5[[#All],[Rnd]],MATCH(Table3[[#This Row],[PID]],Table5[[#All],[PID]],0))</f>
        <v/>
      </c>
      <c r="BJ641" s="47" t="str">
        <f>INDEX(Table5[[#All],[Pick]],MATCH(Table3[[#This Row],[PID]],Table5[[#All],[PID]],0))</f>
        <v/>
      </c>
      <c r="BK641" s="47" t="str">
        <f>INDEX(Table5[[#All],[Team]],MATCH(Table3[[#This Row],[PID]],Table5[[#All],[PID]],0))</f>
        <v/>
      </c>
      <c r="BL6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2" spans="1:64" ht="15" customHeight="1" x14ac:dyDescent="0.25">
      <c r="A642" s="42">
        <v>15999</v>
      </c>
      <c r="B642" s="42" t="s">
        <v>430</v>
      </c>
      <c r="C642" s="42" t="s">
        <v>984</v>
      </c>
      <c r="D642" s="42" t="s">
        <v>561</v>
      </c>
      <c r="E642" s="42">
        <v>22</v>
      </c>
      <c r="F642" s="42" t="s">
        <v>42</v>
      </c>
      <c r="G642" s="42" t="s">
        <v>42</v>
      </c>
      <c r="H642" s="43" t="s">
        <v>721</v>
      </c>
      <c r="I642" s="44" t="s">
        <v>47</v>
      </c>
      <c r="J642" s="42" t="s">
        <v>47</v>
      </c>
      <c r="K642" s="43" t="s">
        <v>43</v>
      </c>
      <c r="L642" s="42">
        <v>2</v>
      </c>
      <c r="M642" s="42">
        <v>1</v>
      </c>
      <c r="N642" s="43">
        <v>1</v>
      </c>
      <c r="O642" s="42">
        <v>4</v>
      </c>
      <c r="P642" s="42">
        <v>1</v>
      </c>
      <c r="Q642" s="43">
        <v>1</v>
      </c>
      <c r="R642" s="42">
        <v>3</v>
      </c>
      <c r="S642" s="42">
        <v>5</v>
      </c>
      <c r="T642" s="42">
        <v>1</v>
      </c>
      <c r="U642" s="42">
        <v>1</v>
      </c>
      <c r="V642" s="42">
        <v>2</v>
      </c>
      <c r="W642" s="42">
        <v>5</v>
      </c>
      <c r="X642" s="42" t="s">
        <v>45</v>
      </c>
      <c r="Y642" s="42" t="s">
        <v>45</v>
      </c>
      <c r="Z642" s="42" t="s">
        <v>45</v>
      </c>
      <c r="AA642" s="42" t="s">
        <v>45</v>
      </c>
      <c r="AB642" s="42" t="s">
        <v>45</v>
      </c>
      <c r="AC642" s="42" t="s">
        <v>45</v>
      </c>
      <c r="AD642" s="42" t="s">
        <v>45</v>
      </c>
      <c r="AE642" s="42" t="s">
        <v>45</v>
      </c>
      <c r="AF642" s="42">
        <v>3</v>
      </c>
      <c r="AG642" s="42">
        <v>4</v>
      </c>
      <c r="AH642" s="42" t="s">
        <v>45</v>
      </c>
      <c r="AI642" s="42" t="s">
        <v>45</v>
      </c>
      <c r="AJ642" s="42" t="s">
        <v>45</v>
      </c>
      <c r="AK642" s="42" t="s">
        <v>45</v>
      </c>
      <c r="AL642" s="42" t="s">
        <v>45</v>
      </c>
      <c r="AM642" s="42" t="s">
        <v>45</v>
      </c>
      <c r="AN642" s="42" t="s">
        <v>45</v>
      </c>
      <c r="AO642" s="43" t="s">
        <v>45</v>
      </c>
      <c r="AP642" s="42" t="s">
        <v>355</v>
      </c>
      <c r="AQ642" s="42">
        <v>6</v>
      </c>
      <c r="AR642" s="50" t="s">
        <v>14</v>
      </c>
      <c r="AS642" s="45" t="s">
        <v>45</v>
      </c>
      <c r="AT642" s="45" t="s">
        <v>47</v>
      </c>
      <c r="AU642" s="46">
        <f>($O$3*(L642-$O$1)/$O$2+$P$3*(M642-$P$1)/$P$2+$Q$3*(N642-$P$1)/$Q$2)/SUM($O$3:$Q$3)</f>
        <v>-2.5067929134584248</v>
      </c>
      <c r="AV642" s="46">
        <f>($O$3*(O642-$O$1)/$O$2+$P$3*(P642-$P$1)/$P$2+$Q$3*(Q642-$Q$1)/$Q$2)/SUM($O$3:$Q$3)</f>
        <v>-1.671915513703006</v>
      </c>
      <c r="AW642" s="47">
        <f>COUNT(R642:AO642)/2</f>
        <v>4</v>
      </c>
      <c r="AX642" s="47">
        <f>IF(AND(S642&lt;&gt;"-",S642&gt;5),1,0)+IF(AND(U642&lt;&gt;"-",U642&gt;5),1,0)+IF(AND(W642&lt;&gt;"-",W642&gt;5),1,0)+IF(AND(Y642&lt;&gt;"-",Y642&gt;5),1,0)+IF(AND(AA642&lt;&gt;"-",AA642&gt;5),1,0)+IF(AND(AC642&lt;&gt;"-",AC642&gt;5),1,0)+IF(AND(AE642&lt;&gt;"-",AE642&gt;5),1,0)+IF(AND(AG642&lt;&gt;"-",AG642&gt;5),1,0)+IF(AND(AI642&lt;&gt;"-",AI642&gt;5),1,0)+IF(AND(AK642&lt;&gt;"-",AK642&gt;5),1,0)+IF(AND(AM642&lt;&gt;"-",AM642&gt;5),1,0)+IF(AND(AO642&lt;&gt;"-",AO642&gt;5),1,0)</f>
        <v>0</v>
      </c>
      <c r="AY642" s="48">
        <f>VLOOKUP(AP642,COND!$A$10:$B$32,2,FALSE)</f>
        <v>1</v>
      </c>
      <c r="AZ642" s="46">
        <f>($AU$3*AU642+$AV$3*AV642+$AW$3*AW642+$AX$3*AX642)*AY642*IF(AQ642&lt;5,0.95,IF(AQ642&lt;7,0.975,1))+$I$3*VLOOKUP(I642,COND!$A$2:$E$7,4,FALSE)+$J$3*VLOOKUP(J642,COND!$A$2:$E$7,2,FALSE)+$K$3*VLOOKUP(K642,COND!$A$2:$E$7,3,FALSE)+IF(BB642="SP",$BB$3,0)+IF($AW642&lt;3,-5,0)+IF(AND($B$2&gt;0,$E642&lt;20),$B$2*25,0)</f>
        <v>16.383822864666985</v>
      </c>
      <c r="BA642" s="49">
        <f>STANDARDIZE(AZ642,AVERAGE($AZ$5:$AZ$570),STDEVP($AZ$5:$AZ$570))</f>
        <v>-1.4983036785363479</v>
      </c>
      <c r="BB642" s="47" t="str">
        <f>IF(OR(AND(AQ642&gt;7,AX642&gt;1),AND(AQ642&gt;4,AW642&gt;2)),"SP","RP")</f>
        <v>SP</v>
      </c>
      <c r="BC642" s="47"/>
      <c r="BD642" s="47"/>
      <c r="BE642" s="47"/>
      <c r="BF642" s="47" t="str">
        <f>IF(AVERAGE($O642:$Q642)&gt;=6,"Likely",IF(AVERAGE($O642:$Q642)&gt;=4,"Possible","Unlikely"))</f>
        <v>Unlikely</v>
      </c>
      <c r="BG642" s="47"/>
      <c r="BH642" s="47" t="str">
        <f>INDEX(Table5[[#All],[Ovr]],MATCH(Table3[[#This Row],[PID]],Table5[[#All],[PID]],0))</f>
        <v/>
      </c>
      <c r="BI642" s="47" t="str">
        <f>INDEX(Table5[[#All],[Rnd]],MATCH(Table3[[#This Row],[PID]],Table5[[#All],[PID]],0))</f>
        <v/>
      </c>
      <c r="BJ642" s="47" t="str">
        <f>INDEX(Table5[[#All],[Pick]],MATCH(Table3[[#This Row],[PID]],Table5[[#All],[PID]],0))</f>
        <v/>
      </c>
      <c r="BK642" s="47" t="str">
        <f>INDEX(Table5[[#All],[Team]],MATCH(Table3[[#This Row],[PID]],Table5[[#All],[PID]],0))</f>
        <v/>
      </c>
      <c r="BL6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3" spans="1:64" ht="15" customHeight="1" x14ac:dyDescent="0.25">
      <c r="A643" s="42">
        <v>7992</v>
      </c>
      <c r="B643" s="42" t="s">
        <v>24</v>
      </c>
      <c r="C643" s="42" t="s">
        <v>928</v>
      </c>
      <c r="D643" s="42" t="s">
        <v>445</v>
      </c>
      <c r="E643" s="42">
        <v>22</v>
      </c>
      <c r="F643" s="42" t="s">
        <v>42</v>
      </c>
      <c r="G643" s="42" t="s">
        <v>53</v>
      </c>
      <c r="H643" s="43" t="s">
        <v>721</v>
      </c>
      <c r="I643" s="44" t="s">
        <v>43</v>
      </c>
      <c r="J643" s="42" t="s">
        <v>43</v>
      </c>
      <c r="K643" s="43" t="s">
        <v>43</v>
      </c>
      <c r="L643" s="42">
        <v>2</v>
      </c>
      <c r="M643" s="42">
        <v>1</v>
      </c>
      <c r="N643" s="43">
        <v>1</v>
      </c>
      <c r="O643" s="42">
        <v>4</v>
      </c>
      <c r="P643" s="42">
        <v>1</v>
      </c>
      <c r="Q643" s="43">
        <v>1</v>
      </c>
      <c r="R643" s="42">
        <v>4</v>
      </c>
      <c r="S643" s="42">
        <v>6</v>
      </c>
      <c r="T643" s="42">
        <v>2</v>
      </c>
      <c r="U643" s="42">
        <v>5</v>
      </c>
      <c r="V643" s="42" t="s">
        <v>45</v>
      </c>
      <c r="W643" s="42" t="s">
        <v>45</v>
      </c>
      <c r="X643" s="42">
        <v>3</v>
      </c>
      <c r="Y643" s="42">
        <v>6</v>
      </c>
      <c r="Z643" s="42" t="s">
        <v>45</v>
      </c>
      <c r="AA643" s="42" t="s">
        <v>45</v>
      </c>
      <c r="AB643" s="42" t="s">
        <v>45</v>
      </c>
      <c r="AC643" s="42" t="s">
        <v>45</v>
      </c>
      <c r="AD643" s="42" t="s">
        <v>45</v>
      </c>
      <c r="AE643" s="42" t="s">
        <v>45</v>
      </c>
      <c r="AF643" s="42" t="s">
        <v>45</v>
      </c>
      <c r="AG643" s="42" t="s">
        <v>45</v>
      </c>
      <c r="AH643" s="42" t="s">
        <v>45</v>
      </c>
      <c r="AI643" s="42" t="s">
        <v>45</v>
      </c>
      <c r="AJ643" s="42" t="s">
        <v>45</v>
      </c>
      <c r="AK643" s="42" t="s">
        <v>45</v>
      </c>
      <c r="AL643" s="42" t="s">
        <v>45</v>
      </c>
      <c r="AM643" s="42" t="s">
        <v>45</v>
      </c>
      <c r="AN643" s="42" t="s">
        <v>45</v>
      </c>
      <c r="AO643" s="43" t="s">
        <v>45</v>
      </c>
      <c r="AP643" s="42" t="s">
        <v>356</v>
      </c>
      <c r="AQ643" s="42">
        <v>10</v>
      </c>
      <c r="AR643" s="50" t="s">
        <v>14</v>
      </c>
      <c r="AS643" s="45" t="s">
        <v>45</v>
      </c>
      <c r="AT643" s="45" t="s">
        <v>47</v>
      </c>
      <c r="AU643" s="46">
        <f>($O$3*(L643-$O$1)/$O$2+$P$3*(M643-$P$1)/$P$2+$Q$3*(N643-$P$1)/$Q$2)/SUM($O$3:$Q$3)</f>
        <v>-2.5067929134584248</v>
      </c>
      <c r="AV643" s="46">
        <f>($O$3*(O643-$O$1)/$O$2+$P$3*(P643-$P$1)/$P$2+$Q$3*(Q643-$Q$1)/$Q$2)/SUM($O$3:$Q$3)</f>
        <v>-1.671915513703006</v>
      </c>
      <c r="AW643" s="47">
        <f>COUNT(R643:AO643)/2</f>
        <v>3</v>
      </c>
      <c r="AX643" s="47">
        <f>IF(AND(S643&lt;&gt;"-",S643&gt;5),1,0)+IF(AND(U643&lt;&gt;"-",U643&gt;5),1,0)+IF(AND(W643&lt;&gt;"-",W643&gt;5),1,0)+IF(AND(Y643&lt;&gt;"-",Y643&gt;5),1,0)+IF(AND(AA643&lt;&gt;"-",AA643&gt;5),1,0)+IF(AND(AC643&lt;&gt;"-",AC643&gt;5),1,0)+IF(AND(AE643&lt;&gt;"-",AE643&gt;5),1,0)+IF(AND(AG643&lt;&gt;"-",AG643&gt;5),1,0)+IF(AND(AI643&lt;&gt;"-",AI643&gt;5),1,0)+IF(AND(AK643&lt;&gt;"-",AK643&gt;5),1,0)+IF(AND(AM643&lt;&gt;"-",AM643&gt;5),1,0)+IF(AND(AO643&lt;&gt;"-",AO643&gt;5),1,0)</f>
        <v>2</v>
      </c>
      <c r="AY643" s="48">
        <f>VLOOKUP(AP643,COND!$A$10:$B$32,2,FALSE)</f>
        <v>1</v>
      </c>
      <c r="AZ643" s="46">
        <f>($AU$3*AU643+$AV$3*AV643+$AW$3*AW643+$AX$3*AX643)*AY643*IF(AQ643&lt;5,0.95,IF(AQ643&lt;7,0.975,1))+$I$3*VLOOKUP(I643,COND!$A$2:$E$7,4,FALSE)+$J$3*VLOOKUP(J643,COND!$A$2:$E$7,2,FALSE)+$K$3*VLOOKUP(K643,COND!$A$2:$E$7,3,FALSE)+IF(BB643="SP",$BB$3,0)+IF($AW643&lt;3,-5,0)+IF(AND($B$2&gt;0,$E643&lt;20),$B$2*25,0)</f>
        <v>17.060331143248192</v>
      </c>
      <c r="BA643" s="49">
        <f>STANDARDIZE(AZ643,AVERAGE($AZ$5:$AZ$570),STDEVP($AZ$5:$AZ$570))</f>
        <v>-1.4362649779332988</v>
      </c>
      <c r="BB643" s="47" t="str">
        <f>IF(OR(AND(AQ643&gt;7,AX643&gt;1),AND(AQ643&gt;4,AW643&gt;2)),"SP","RP")</f>
        <v>SP</v>
      </c>
      <c r="BC643" s="47"/>
      <c r="BD643" s="47"/>
      <c r="BE643" s="47"/>
      <c r="BF643" s="47" t="str">
        <f>IF(AVERAGE($O643:$Q643)&gt;=6,"Likely",IF(AVERAGE($O643:$Q643)&gt;=4,"Possible","Unlikely"))</f>
        <v>Unlikely</v>
      </c>
      <c r="BG643" s="47"/>
      <c r="BH643" s="47" t="str">
        <f>INDEX(Table5[[#All],[Ovr]],MATCH(Table3[[#This Row],[PID]],Table5[[#All],[PID]],0))</f>
        <v/>
      </c>
      <c r="BI643" s="47" t="str">
        <f>INDEX(Table5[[#All],[Rnd]],MATCH(Table3[[#This Row],[PID]],Table5[[#All],[PID]],0))</f>
        <v/>
      </c>
      <c r="BJ643" s="47" t="str">
        <f>INDEX(Table5[[#All],[Pick]],MATCH(Table3[[#This Row],[PID]],Table5[[#All],[PID]],0))</f>
        <v/>
      </c>
      <c r="BK643" s="47" t="str">
        <f>INDEX(Table5[[#All],[Team]],MATCH(Table3[[#This Row],[PID]],Table5[[#All],[PID]],0))</f>
        <v/>
      </c>
      <c r="BL6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4" spans="1:64" ht="15" customHeight="1" x14ac:dyDescent="0.25">
      <c r="A644" s="42">
        <v>12727</v>
      </c>
      <c r="B644" s="42" t="s">
        <v>24</v>
      </c>
      <c r="C644" s="42" t="s">
        <v>1540</v>
      </c>
      <c r="D644" s="42" t="s">
        <v>404</v>
      </c>
      <c r="E644" s="42">
        <v>21</v>
      </c>
      <c r="F644" s="42" t="s">
        <v>53</v>
      </c>
      <c r="G644" s="42" t="s">
        <v>42</v>
      </c>
      <c r="H644" s="43" t="s">
        <v>721</v>
      </c>
      <c r="I644" s="44" t="s">
        <v>43</v>
      </c>
      <c r="J644" s="42" t="s">
        <v>44</v>
      </c>
      <c r="K644" s="43" t="s">
        <v>43</v>
      </c>
      <c r="L644" s="42">
        <v>2</v>
      </c>
      <c r="M644" s="42">
        <v>1</v>
      </c>
      <c r="N644" s="43">
        <v>1</v>
      </c>
      <c r="O644" s="42">
        <v>4</v>
      </c>
      <c r="P644" s="42">
        <v>1</v>
      </c>
      <c r="Q644" s="43">
        <v>1</v>
      </c>
      <c r="R644" s="42">
        <v>5</v>
      </c>
      <c r="S644" s="42">
        <v>6</v>
      </c>
      <c r="T644" s="42">
        <v>1</v>
      </c>
      <c r="U644" s="42">
        <v>6</v>
      </c>
      <c r="V644" s="42" t="s">
        <v>45</v>
      </c>
      <c r="W644" s="42" t="s">
        <v>45</v>
      </c>
      <c r="X644" s="42">
        <v>3</v>
      </c>
      <c r="Y644" s="42">
        <v>6</v>
      </c>
      <c r="Z644" s="42" t="s">
        <v>45</v>
      </c>
      <c r="AA644" s="42" t="s">
        <v>45</v>
      </c>
      <c r="AB644" s="42" t="s">
        <v>45</v>
      </c>
      <c r="AC644" s="42" t="s">
        <v>45</v>
      </c>
      <c r="AD644" s="42" t="s">
        <v>45</v>
      </c>
      <c r="AE644" s="42" t="s">
        <v>45</v>
      </c>
      <c r="AF644" s="42" t="s">
        <v>45</v>
      </c>
      <c r="AG644" s="42" t="s">
        <v>45</v>
      </c>
      <c r="AH644" s="42" t="s">
        <v>45</v>
      </c>
      <c r="AI644" s="42" t="s">
        <v>45</v>
      </c>
      <c r="AJ644" s="42" t="s">
        <v>45</v>
      </c>
      <c r="AK644" s="42" t="s">
        <v>45</v>
      </c>
      <c r="AL644" s="42" t="s">
        <v>45</v>
      </c>
      <c r="AM644" s="42" t="s">
        <v>45</v>
      </c>
      <c r="AN644" s="42" t="s">
        <v>45</v>
      </c>
      <c r="AO644" s="43" t="s">
        <v>45</v>
      </c>
      <c r="AP644" s="42" t="s">
        <v>60</v>
      </c>
      <c r="AQ644" s="42">
        <v>8</v>
      </c>
      <c r="AR644" s="50" t="s">
        <v>353</v>
      </c>
      <c r="AS644" s="45" t="s">
        <v>45</v>
      </c>
      <c r="AT644" s="45" t="s">
        <v>47</v>
      </c>
      <c r="AU644" s="46">
        <f>($O$3*(L644-$O$1)/$O$2+$P$3*(M644-$P$1)/$P$2+$Q$3*(N644-$P$1)/$Q$2)/SUM($O$3:$Q$3)</f>
        <v>-2.5067929134584248</v>
      </c>
      <c r="AV644" s="46">
        <f>($O$3*(O644-$O$1)/$O$2+$P$3*(P644-$P$1)/$P$2+$Q$3*(Q644-$Q$1)/$Q$2)/SUM($O$3:$Q$3)</f>
        <v>-1.671915513703006</v>
      </c>
      <c r="AW644" s="47">
        <f>COUNT(R644:AO644)/2</f>
        <v>3</v>
      </c>
      <c r="AX644" s="47">
        <f>IF(AND(S644&lt;&gt;"-",S644&gt;5),1,0)+IF(AND(U644&lt;&gt;"-",U644&gt;5),1,0)+IF(AND(W644&lt;&gt;"-",W644&gt;5),1,0)+IF(AND(Y644&lt;&gt;"-",Y644&gt;5),1,0)+IF(AND(AA644&lt;&gt;"-",AA644&gt;5),1,0)+IF(AND(AC644&lt;&gt;"-",AC644&gt;5),1,0)+IF(AND(AE644&lt;&gt;"-",AE644&gt;5),1,0)+IF(AND(AG644&lt;&gt;"-",AG644&gt;5),1,0)+IF(AND(AI644&lt;&gt;"-",AI644&gt;5),1,0)+IF(AND(AK644&lt;&gt;"-",AK644&gt;5),1,0)+IF(AND(AM644&lt;&gt;"-",AM644&gt;5),1,0)+IF(AND(AO644&lt;&gt;"-",AO644&gt;5),1,0)</f>
        <v>3</v>
      </c>
      <c r="AY644" s="48">
        <f>VLOOKUP(AP644,COND!$A$10:$B$32,2,FALSE)</f>
        <v>1.0249999999999999</v>
      </c>
      <c r="AZ644" s="46">
        <f>($AU$3*AU644+$AV$3*AV644+$AW$3*AW644+$AX$3*AX644)*AY644*IF(AQ644&lt;5,0.95,IF(AQ644&lt;7,0.975,1))+$I$3*VLOOKUP(I644,COND!$A$2:$E$7,4,FALSE)+$J$3*VLOOKUP(J644,COND!$A$2:$E$7,2,FALSE)+$K$3*VLOOKUP(K644,COND!$A$2:$E$7,3,FALSE)+IF(BB644="SP",$BB$3,0)+IF($AW644&lt;3,-5,0)+IF(AND($B$2&gt;0,$E644&lt;20),$B$2*25,0)</f>
        <v>17.2930894218294</v>
      </c>
      <c r="BA644" s="49">
        <f>STANDARDIZE(AZ644,AVERAGE($AZ$5:$AZ$570),STDEVP($AZ$5:$AZ$570))</f>
        <v>-1.4149200489576108</v>
      </c>
      <c r="BB644" s="47" t="str">
        <f>IF(OR(AND(AQ644&gt;7,AX644&gt;1),AND(AQ644&gt;4,AW644&gt;2)),"SP","RP")</f>
        <v>SP</v>
      </c>
      <c r="BC644" s="47"/>
      <c r="BD644" s="47"/>
      <c r="BE644" s="47"/>
      <c r="BF644" s="47" t="str">
        <f>IF(AVERAGE($O644:$Q644)&gt;=6,"Likely",IF(AVERAGE($O644:$Q644)&gt;=4,"Possible","Unlikely"))</f>
        <v>Unlikely</v>
      </c>
      <c r="BG644" s="47"/>
      <c r="BH644" s="47" t="str">
        <f>INDEX(Table5[[#All],[Ovr]],MATCH(Table3[[#This Row],[PID]],Table5[[#All],[PID]],0))</f>
        <v/>
      </c>
      <c r="BI644" s="47" t="str">
        <f>INDEX(Table5[[#All],[Rnd]],MATCH(Table3[[#This Row],[PID]],Table5[[#All],[PID]],0))</f>
        <v/>
      </c>
      <c r="BJ644" s="47" t="str">
        <f>INDEX(Table5[[#All],[Pick]],MATCH(Table3[[#This Row],[PID]],Table5[[#All],[PID]],0))</f>
        <v/>
      </c>
      <c r="BK644" s="47" t="str">
        <f>INDEX(Table5[[#All],[Team]],MATCH(Table3[[#This Row],[PID]],Table5[[#All],[PID]],0))</f>
        <v/>
      </c>
      <c r="BL6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5" spans="1:64" ht="15" customHeight="1" x14ac:dyDescent="0.25">
      <c r="A645" s="42">
        <v>15966</v>
      </c>
      <c r="B645" s="42" t="s">
        <v>430</v>
      </c>
      <c r="C645" s="42" t="s">
        <v>629</v>
      </c>
      <c r="D645" s="42" t="s">
        <v>1585</v>
      </c>
      <c r="E645" s="42">
        <v>21</v>
      </c>
      <c r="F645" s="42" t="s">
        <v>42</v>
      </c>
      <c r="G645" s="42" t="s">
        <v>42</v>
      </c>
      <c r="H645" s="43" t="s">
        <v>721</v>
      </c>
      <c r="I645" s="44" t="s">
        <v>44</v>
      </c>
      <c r="J645" s="42" t="s">
        <v>44</v>
      </c>
      <c r="K645" s="43" t="s">
        <v>43</v>
      </c>
      <c r="L645" s="42">
        <v>2</v>
      </c>
      <c r="M645" s="42">
        <v>2</v>
      </c>
      <c r="N645" s="43">
        <v>2</v>
      </c>
      <c r="O645" s="42">
        <v>4</v>
      </c>
      <c r="P645" s="42">
        <v>2</v>
      </c>
      <c r="Q645" s="43">
        <v>2</v>
      </c>
      <c r="R645" s="42">
        <v>3</v>
      </c>
      <c r="S645" s="42">
        <v>4</v>
      </c>
      <c r="T645" s="42" t="s">
        <v>45</v>
      </c>
      <c r="U645" s="42" t="s">
        <v>45</v>
      </c>
      <c r="V645" s="42" t="s">
        <v>45</v>
      </c>
      <c r="W645" s="42" t="s">
        <v>45</v>
      </c>
      <c r="X645" s="42">
        <v>3</v>
      </c>
      <c r="Y645" s="42">
        <v>5</v>
      </c>
      <c r="Z645" s="42" t="s">
        <v>45</v>
      </c>
      <c r="AA645" s="42" t="s">
        <v>45</v>
      </c>
      <c r="AB645" s="42" t="s">
        <v>45</v>
      </c>
      <c r="AC645" s="42" t="s">
        <v>45</v>
      </c>
      <c r="AD645" s="42" t="s">
        <v>45</v>
      </c>
      <c r="AE645" s="42" t="s">
        <v>45</v>
      </c>
      <c r="AF645" s="42" t="s">
        <v>45</v>
      </c>
      <c r="AG645" s="42" t="s">
        <v>45</v>
      </c>
      <c r="AH645" s="42" t="s">
        <v>45</v>
      </c>
      <c r="AI645" s="42" t="s">
        <v>45</v>
      </c>
      <c r="AJ645" s="42" t="s">
        <v>45</v>
      </c>
      <c r="AK645" s="42" t="s">
        <v>45</v>
      </c>
      <c r="AL645" s="42" t="s">
        <v>45</v>
      </c>
      <c r="AM645" s="42" t="s">
        <v>45</v>
      </c>
      <c r="AN645" s="42" t="s">
        <v>45</v>
      </c>
      <c r="AO645" s="43" t="s">
        <v>45</v>
      </c>
      <c r="AP645" s="42" t="s">
        <v>65</v>
      </c>
      <c r="AQ645" s="42">
        <v>5</v>
      </c>
      <c r="AR645" s="50" t="s">
        <v>353</v>
      </c>
      <c r="AS645" s="45" t="s">
        <v>45</v>
      </c>
      <c r="AT645" s="45" t="s">
        <v>47</v>
      </c>
      <c r="AU645" s="46">
        <f>($O$3*(L645-$O$1)/$O$2+$P$3*(M645-$P$1)/$P$2+$Q$3*(N645-$P$1)/$Q$2)/SUM($O$3:$Q$3)</f>
        <v>-2.0690406309742588</v>
      </c>
      <c r="AV645" s="46">
        <f>($O$3*(O645-$O$1)/$O$2+$P$3*(P645-$P$1)/$P$2+$Q$3*(Q645-$Q$1)/$Q$2)/SUM($O$3:$Q$3)</f>
        <v>-1.23416323121884</v>
      </c>
      <c r="AW645" s="47">
        <f>COUNT(R645:AO645)/2</f>
        <v>2</v>
      </c>
      <c r="AX645" s="47">
        <f>IF(AND(S645&lt;&gt;"-",S645&gt;5),1,0)+IF(AND(U645&lt;&gt;"-",U645&gt;5),1,0)+IF(AND(W645&lt;&gt;"-",W645&gt;5),1,0)+IF(AND(Y645&lt;&gt;"-",Y645&gt;5),1,0)+IF(AND(AA645&lt;&gt;"-",AA645&gt;5),1,0)+IF(AND(AC645&lt;&gt;"-",AC645&gt;5),1,0)+IF(AND(AE645&lt;&gt;"-",AE645&gt;5),1,0)+IF(AND(AG645&lt;&gt;"-",AG645&gt;5),1,0)+IF(AND(AI645&lt;&gt;"-",AI645&gt;5),1,0)+IF(AND(AK645&lt;&gt;"-",AK645&gt;5),1,0)+IF(AND(AM645&lt;&gt;"-",AM645&gt;5),1,0)+IF(AND(AO645&lt;&gt;"-",AO645&gt;5),1,0)</f>
        <v>0</v>
      </c>
      <c r="AY645" s="48">
        <f>VLOOKUP(AP645,COND!$A$10:$B$32,2,FALSE)</f>
        <v>0.95</v>
      </c>
      <c r="AZ645" s="46">
        <f>($AU$3*AU645+$AV$3*AV645+$AW$3*AW645+$AX$3*AX645)*AY645*IF(AQ645&lt;5,0.95,IF(AQ645&lt;7,0.975,1))+$I$3*VLOOKUP(I645,COND!$A$2:$E$7,4,FALSE)+$J$3*VLOOKUP(J645,COND!$A$2:$E$7,2,FALSE)+$K$3*VLOOKUP(K645,COND!$A$2:$E$7,3,FALSE)+IF(BB645="SP",$BB$3,0)+IF($AW645&lt;3,-5,0)+IF(AND($B$2&gt;0,$E645&lt;20),$B$2*25,0)</f>
        <v>17.230086364783006</v>
      </c>
      <c r="BA645" s="49">
        <f>STANDARDIZE(AZ645,AVERAGE($AZ$5:$AZ$570),STDEVP($AZ$5:$AZ$570))</f>
        <v>-1.4206976985694906</v>
      </c>
      <c r="BB645" s="47" t="str">
        <f>IF(OR(AND(AQ645&gt;7,AX645&gt;1),AND(AQ645&gt;4,AW645&gt;2)),"SP","RP")</f>
        <v>RP</v>
      </c>
      <c r="BC645" s="47"/>
      <c r="BD645" s="47"/>
      <c r="BE645" s="47"/>
      <c r="BF645" s="47" t="str">
        <f>IF(AVERAGE($O645:$Q645)&gt;=6,"Likely",IF(AVERAGE($O645:$Q645)&gt;=4,"Possible","Unlikely"))</f>
        <v>Unlikely</v>
      </c>
      <c r="BG645" s="47"/>
      <c r="BH645" s="47" t="str">
        <f>INDEX(Table5[[#All],[Ovr]],MATCH(Table3[[#This Row],[PID]],Table5[[#All],[PID]],0))</f>
        <v/>
      </c>
      <c r="BI645" s="47" t="str">
        <f>INDEX(Table5[[#All],[Rnd]],MATCH(Table3[[#This Row],[PID]],Table5[[#All],[PID]],0))</f>
        <v/>
      </c>
      <c r="BJ645" s="47" t="str">
        <f>INDEX(Table5[[#All],[Pick]],MATCH(Table3[[#This Row],[PID]],Table5[[#All],[PID]],0))</f>
        <v/>
      </c>
      <c r="BK645" s="47" t="str">
        <f>INDEX(Table5[[#All],[Team]],MATCH(Table3[[#This Row],[PID]],Table5[[#All],[PID]],0))</f>
        <v/>
      </c>
      <c r="BL6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6" spans="1:64" ht="15" customHeight="1" x14ac:dyDescent="0.25">
      <c r="A646" s="42">
        <v>15677</v>
      </c>
      <c r="B646" s="42" t="s">
        <v>430</v>
      </c>
      <c r="C646" s="42" t="s">
        <v>1219</v>
      </c>
      <c r="D646" s="42" t="s">
        <v>1773</v>
      </c>
      <c r="E646" s="42">
        <v>21</v>
      </c>
      <c r="F646" s="42" t="s">
        <v>53</v>
      </c>
      <c r="G646" s="42" t="s">
        <v>53</v>
      </c>
      <c r="H646" s="43" t="s">
        <v>721</v>
      </c>
      <c r="I646" s="44" t="s">
        <v>43</v>
      </c>
      <c r="J646" s="42" t="s">
        <v>44</v>
      </c>
      <c r="K646" s="43" t="s">
        <v>44</v>
      </c>
      <c r="L646" s="42">
        <v>2</v>
      </c>
      <c r="M646" s="42">
        <v>1</v>
      </c>
      <c r="N646" s="43">
        <v>1</v>
      </c>
      <c r="O646" s="42">
        <v>3</v>
      </c>
      <c r="P646" s="42">
        <v>2</v>
      </c>
      <c r="Q646" s="43">
        <v>2</v>
      </c>
      <c r="R646" s="42">
        <v>3</v>
      </c>
      <c r="S646" s="42">
        <v>4</v>
      </c>
      <c r="T646" s="42">
        <v>1</v>
      </c>
      <c r="U646" s="42">
        <v>2</v>
      </c>
      <c r="V646" s="42">
        <v>3</v>
      </c>
      <c r="W646" s="42">
        <v>5</v>
      </c>
      <c r="X646" s="42" t="s">
        <v>45</v>
      </c>
      <c r="Y646" s="42" t="s">
        <v>45</v>
      </c>
      <c r="Z646" s="42" t="s">
        <v>45</v>
      </c>
      <c r="AA646" s="42" t="s">
        <v>45</v>
      </c>
      <c r="AB646" s="42" t="s">
        <v>45</v>
      </c>
      <c r="AC646" s="42" t="s">
        <v>45</v>
      </c>
      <c r="AD646" s="42" t="s">
        <v>45</v>
      </c>
      <c r="AE646" s="42" t="s">
        <v>45</v>
      </c>
      <c r="AF646" s="42" t="s">
        <v>45</v>
      </c>
      <c r="AG646" s="42" t="s">
        <v>45</v>
      </c>
      <c r="AH646" s="42" t="s">
        <v>45</v>
      </c>
      <c r="AI646" s="42" t="s">
        <v>45</v>
      </c>
      <c r="AJ646" s="42" t="s">
        <v>45</v>
      </c>
      <c r="AK646" s="42" t="s">
        <v>45</v>
      </c>
      <c r="AL646" s="42" t="s">
        <v>45</v>
      </c>
      <c r="AM646" s="42" t="s">
        <v>45</v>
      </c>
      <c r="AN646" s="42" t="s">
        <v>45</v>
      </c>
      <c r="AO646" s="43" t="s">
        <v>45</v>
      </c>
      <c r="AP646" s="42" t="s">
        <v>64</v>
      </c>
      <c r="AQ646" s="42">
        <v>2</v>
      </c>
      <c r="AR646" s="50" t="s">
        <v>353</v>
      </c>
      <c r="AS646" s="45" t="s">
        <v>45</v>
      </c>
      <c r="AT646" s="45" t="s">
        <v>47</v>
      </c>
      <c r="AU646" s="46">
        <f>($O$3*(L646-$O$1)/$O$2+$P$3*(M646-$P$1)/$P$2+$Q$3*(N646-$P$1)/$Q$2)/SUM($O$3:$Q$3)</f>
        <v>-2.5067929134584248</v>
      </c>
      <c r="AV646" s="46">
        <f>($O$3*(O646-$O$1)/$O$2+$P$3*(P646-$P$1)/$P$2+$Q$3*(Q646-$Q$1)/$Q$2)/SUM($O$3:$Q$3)</f>
        <v>-1.4288545557280135</v>
      </c>
      <c r="AW646" s="47">
        <f>COUNT(R646:AO646)/2</f>
        <v>3</v>
      </c>
      <c r="AX646" s="47">
        <f>IF(AND(S646&lt;&gt;"-",S646&gt;5),1,0)+IF(AND(U646&lt;&gt;"-",U646&gt;5),1,0)+IF(AND(W646&lt;&gt;"-",W646&gt;5),1,0)+IF(AND(Y646&lt;&gt;"-",Y646&gt;5),1,0)+IF(AND(AA646&lt;&gt;"-",AA646&gt;5),1,0)+IF(AND(AC646&lt;&gt;"-",AC646&gt;5),1,0)+IF(AND(AE646&lt;&gt;"-",AE646&gt;5),1,0)+IF(AND(AG646&lt;&gt;"-",AG646&gt;5),1,0)+IF(AND(AI646&lt;&gt;"-",AI646&gt;5),1,0)+IF(AND(AK646&lt;&gt;"-",AK646&gt;5),1,0)+IF(AND(AM646&lt;&gt;"-",AM646&gt;5),1,0)+IF(AND(AO646&lt;&gt;"-",AO646&gt;5),1,0)</f>
        <v>0</v>
      </c>
      <c r="AY646" s="48">
        <f>VLOOKUP(AP646,COND!$A$10:$B$32,2,FALSE)</f>
        <v>1</v>
      </c>
      <c r="AZ646" s="46">
        <f>($AU$3*AU646+$AV$3*AV646+$AW$3*AW646+$AX$3*AX646)*AY646*IF(AQ646&lt;5,0.95,IF(AQ646&lt;7,0.975,1))+$I$3*VLOOKUP(I646,COND!$A$2:$E$7,4,FALSE)+$J$3*VLOOKUP(J646,COND!$A$2:$E$7,2,FALSE)+$K$3*VLOOKUP(K646,COND!$A$2:$E$7,3,FALSE)+IF(BB646="SP",$BB$3,0)+IF($AW646&lt;3,-5,0)+IF(AND($B$2&gt;0,$E646&lt;20),$B$2*25,0)</f>
        <v>18.200472787610643</v>
      </c>
      <c r="BA646" s="49">
        <f>STANDARDIZE(AZ646,AVERAGE($AZ$5:$AZ$676),STDEVP($AZ$5:$AZ$676))</f>
        <v>-1.0687815436106363</v>
      </c>
      <c r="BB646" s="47" t="str">
        <f>IF(OR(AND(AQ646&gt;7,AX646&gt;1),AND(AQ646&gt;4,AW646&gt;2)),"SP","RP")</f>
        <v>RP</v>
      </c>
      <c r="BC646" s="47"/>
      <c r="BD646" s="47"/>
      <c r="BE646" s="47"/>
      <c r="BF646" s="47" t="str">
        <f>IF(AVERAGE($O646:$Q646)&gt;=6,"Likely",IF(AVERAGE($O646:$Q646)&gt;=4,"Possible","Unlikely"))</f>
        <v>Unlikely</v>
      </c>
      <c r="BG646" s="47"/>
      <c r="BH646" s="47" t="str">
        <f>INDEX(Table5[[#All],[Ovr]],MATCH(Table3[[#This Row],[PID]],Table5[[#All],[PID]],0))</f>
        <v/>
      </c>
      <c r="BI646" s="47" t="str">
        <f>INDEX(Table5[[#All],[Rnd]],MATCH(Table3[[#This Row],[PID]],Table5[[#All],[PID]],0))</f>
        <v/>
      </c>
      <c r="BJ646" s="47" t="str">
        <f>INDEX(Table5[[#All],[Pick]],MATCH(Table3[[#This Row],[PID]],Table5[[#All],[PID]],0))</f>
        <v/>
      </c>
      <c r="BK646" s="47" t="str">
        <f>INDEX(Table5[[#All],[Team]],MATCH(Table3[[#This Row],[PID]],Table5[[#All],[PID]],0))</f>
        <v/>
      </c>
      <c r="BL6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7" spans="1:64" ht="15" customHeight="1" x14ac:dyDescent="0.25">
      <c r="A647" s="42">
        <v>13416</v>
      </c>
      <c r="B647" s="42" t="s">
        <v>430</v>
      </c>
      <c r="C647" s="42" t="s">
        <v>426</v>
      </c>
      <c r="D647" s="42" t="s">
        <v>644</v>
      </c>
      <c r="E647" s="42">
        <v>21</v>
      </c>
      <c r="F647" s="42" t="s">
        <v>53</v>
      </c>
      <c r="G647" s="42" t="s">
        <v>53</v>
      </c>
      <c r="H647" s="43" t="s">
        <v>721</v>
      </c>
      <c r="I647" s="44" t="s">
        <v>43</v>
      </c>
      <c r="J647" s="42" t="s">
        <v>43</v>
      </c>
      <c r="K647" s="43" t="s">
        <v>43</v>
      </c>
      <c r="L647" s="42">
        <v>2</v>
      </c>
      <c r="M647" s="42">
        <v>1</v>
      </c>
      <c r="N647" s="43">
        <v>2</v>
      </c>
      <c r="O647" s="42">
        <v>3</v>
      </c>
      <c r="P647" s="42">
        <v>1</v>
      </c>
      <c r="Q647" s="43">
        <v>2</v>
      </c>
      <c r="R647" s="42">
        <v>3</v>
      </c>
      <c r="S647" s="42">
        <v>4</v>
      </c>
      <c r="T647" s="42">
        <v>1</v>
      </c>
      <c r="U647" s="42">
        <v>2</v>
      </c>
      <c r="V647" s="42" t="s">
        <v>45</v>
      </c>
      <c r="W647" s="42" t="s">
        <v>45</v>
      </c>
      <c r="X647" s="42">
        <v>3</v>
      </c>
      <c r="Y647" s="42">
        <v>5</v>
      </c>
      <c r="Z647" s="42" t="s">
        <v>45</v>
      </c>
      <c r="AA647" s="42" t="s">
        <v>45</v>
      </c>
      <c r="AB647" s="42" t="s">
        <v>45</v>
      </c>
      <c r="AC647" s="42" t="s">
        <v>45</v>
      </c>
      <c r="AD647" s="42" t="s">
        <v>45</v>
      </c>
      <c r="AE647" s="42" t="s">
        <v>45</v>
      </c>
      <c r="AF647" s="42" t="s">
        <v>45</v>
      </c>
      <c r="AG647" s="42" t="s">
        <v>45</v>
      </c>
      <c r="AH647" s="42" t="s">
        <v>45</v>
      </c>
      <c r="AI647" s="42" t="s">
        <v>45</v>
      </c>
      <c r="AJ647" s="42" t="s">
        <v>45</v>
      </c>
      <c r="AK647" s="42" t="s">
        <v>45</v>
      </c>
      <c r="AL647" s="42" t="s">
        <v>45</v>
      </c>
      <c r="AM647" s="42" t="s">
        <v>45</v>
      </c>
      <c r="AN647" s="42" t="s">
        <v>45</v>
      </c>
      <c r="AO647" s="43" t="s">
        <v>45</v>
      </c>
      <c r="AP647" s="42" t="s">
        <v>65</v>
      </c>
      <c r="AQ647" s="42">
        <v>1</v>
      </c>
      <c r="AR647" s="50" t="s">
        <v>14</v>
      </c>
      <c r="AS647" s="45" t="s">
        <v>717</v>
      </c>
      <c r="AT647" s="45" t="s">
        <v>47</v>
      </c>
      <c r="AU647" s="46">
        <f>($O$3*(L647-$O$1)/$O$2+$P$3*(M647-$P$1)/$P$2+$Q$3*(N647-$P$1)/$Q$2)/SUM($O$3:$Q$3)</f>
        <v>-2.2644723474043147</v>
      </c>
      <c r="AV647" s="46">
        <f>($O$3*(O647-$O$1)/$O$2+$P$3*(P647-$P$1)/$P$2+$Q$3*(Q647-$Q$1)/$Q$2)/SUM($O$3:$Q$3)</f>
        <v>-1.6242862721580691</v>
      </c>
      <c r="AW647" s="47">
        <f>COUNT(R647:AO647)/2</f>
        <v>3</v>
      </c>
      <c r="AX647" s="47">
        <f>IF(AND(S647&lt;&gt;"-",S647&gt;5),1,0)+IF(AND(U647&lt;&gt;"-",U647&gt;5),1,0)+IF(AND(W647&lt;&gt;"-",W647&gt;5),1,0)+IF(AND(Y647&lt;&gt;"-",Y647&gt;5),1,0)+IF(AND(AA647&lt;&gt;"-",AA647&gt;5),1,0)+IF(AND(AC647&lt;&gt;"-",AC647&gt;5),1,0)+IF(AND(AE647&lt;&gt;"-",AE647&gt;5),1,0)+IF(AND(AG647&lt;&gt;"-",AG647&gt;5),1,0)+IF(AND(AI647&lt;&gt;"-",AI647&gt;5),1,0)+IF(AND(AK647&lt;&gt;"-",AK647&gt;5),1,0)+IF(AND(AM647&lt;&gt;"-",AM647&gt;5),1,0)+IF(AND(AO647&lt;&gt;"-",AO647&gt;5),1,0)</f>
        <v>0</v>
      </c>
      <c r="AY647" s="48">
        <f>VLOOKUP(AP647,COND!$A$10:$B$32,2,FALSE)</f>
        <v>0.95</v>
      </c>
      <c r="AZ647" s="46">
        <f>($AU$3*AU647+$AV$3*AV647+$AW$3*AW647+$AX$3*AX647)*AY647*IF(AQ647&lt;5,0.95,IF(AQ647&lt;7,0.975,1))+$I$3*VLOOKUP(I647,COND!$A$2:$E$7,4,FALSE)+$J$3*VLOOKUP(J647,COND!$A$2:$E$7,2,FALSE)+$K$3*VLOOKUP(K647,COND!$A$2:$E$7,3,FALSE)+IF(BB647="SP",$BB$3,0)+IF($AW647&lt;3,-5,0)+IF(AND($B$2&gt;0,$E647&lt;20),$B$2*25,0)</f>
        <v>16.626645528840374</v>
      </c>
      <c r="BA647" s="49">
        <f>STANDARDIZE(AZ647,AVERAGE($AZ$5:$AZ$676),STDEVP($AZ$5:$AZ$676))</f>
        <v>-1.2067158591595328</v>
      </c>
      <c r="BB647" s="47" t="str">
        <f>IF(OR(AND(AQ647&gt;7,AX647&gt;1),AND(AQ647&gt;4,AW647&gt;2)),"SP","RP")</f>
        <v>RP</v>
      </c>
      <c r="BC647" s="47"/>
      <c r="BD647" s="47"/>
      <c r="BE647" s="47"/>
      <c r="BF647" s="47" t="str">
        <f>IF(AVERAGE($O647:$Q647)&gt;=6,"Likely",IF(AVERAGE($O647:$Q647)&gt;=4,"Possible","Unlikely"))</f>
        <v>Unlikely</v>
      </c>
      <c r="BG647" s="47"/>
      <c r="BH647" s="47" t="str">
        <f>INDEX(Table5[[#All],[Ovr]],MATCH(Table3[[#This Row],[PID]],Table5[[#All],[PID]],0))</f>
        <v/>
      </c>
      <c r="BI647" s="47" t="str">
        <f>INDEX(Table5[[#All],[Rnd]],MATCH(Table3[[#This Row],[PID]],Table5[[#All],[PID]],0))</f>
        <v/>
      </c>
      <c r="BJ647" s="47" t="str">
        <f>INDEX(Table5[[#All],[Pick]],MATCH(Table3[[#This Row],[PID]],Table5[[#All],[PID]],0))</f>
        <v/>
      </c>
      <c r="BK647" s="47" t="str">
        <f>INDEX(Table5[[#All],[Team]],MATCH(Table3[[#This Row],[PID]],Table5[[#All],[PID]],0))</f>
        <v/>
      </c>
      <c r="BL6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8" spans="1:64" ht="15" customHeight="1" x14ac:dyDescent="0.25">
      <c r="A648" s="42">
        <v>12425</v>
      </c>
      <c r="B648" s="42" t="s">
        <v>430</v>
      </c>
      <c r="C648" s="42" t="s">
        <v>942</v>
      </c>
      <c r="D648" s="42" t="s">
        <v>600</v>
      </c>
      <c r="E648" s="42">
        <v>22</v>
      </c>
      <c r="F648" s="42" t="s">
        <v>42</v>
      </c>
      <c r="G648" s="42" t="s">
        <v>42</v>
      </c>
      <c r="H648" s="43" t="s">
        <v>721</v>
      </c>
      <c r="I648" s="44" t="s">
        <v>43</v>
      </c>
      <c r="J648" s="42" t="s">
        <v>47</v>
      </c>
      <c r="K648" s="43" t="s">
        <v>43</v>
      </c>
      <c r="L648" s="42">
        <v>2</v>
      </c>
      <c r="M648" s="42">
        <v>1</v>
      </c>
      <c r="N648" s="43">
        <v>2</v>
      </c>
      <c r="O648" s="42">
        <v>3</v>
      </c>
      <c r="P648" s="42">
        <v>1</v>
      </c>
      <c r="Q648" s="43">
        <v>2</v>
      </c>
      <c r="R648" s="42">
        <v>5</v>
      </c>
      <c r="S648" s="42">
        <v>5</v>
      </c>
      <c r="T648" s="42">
        <v>2</v>
      </c>
      <c r="U648" s="42">
        <v>3</v>
      </c>
      <c r="V648" s="42">
        <v>2</v>
      </c>
      <c r="W648" s="42">
        <v>3</v>
      </c>
      <c r="X648" s="42" t="s">
        <v>45</v>
      </c>
      <c r="Y648" s="42" t="s">
        <v>45</v>
      </c>
      <c r="Z648" s="42" t="s">
        <v>45</v>
      </c>
      <c r="AA648" s="42" t="s">
        <v>45</v>
      </c>
      <c r="AB648" s="42" t="s">
        <v>45</v>
      </c>
      <c r="AC648" s="42" t="s">
        <v>45</v>
      </c>
      <c r="AD648" s="42" t="s">
        <v>45</v>
      </c>
      <c r="AE648" s="42" t="s">
        <v>45</v>
      </c>
      <c r="AF648" s="42" t="s">
        <v>45</v>
      </c>
      <c r="AG648" s="42" t="s">
        <v>45</v>
      </c>
      <c r="AH648" s="42" t="s">
        <v>45</v>
      </c>
      <c r="AI648" s="42" t="s">
        <v>45</v>
      </c>
      <c r="AJ648" s="42" t="s">
        <v>45</v>
      </c>
      <c r="AK648" s="42" t="s">
        <v>45</v>
      </c>
      <c r="AL648" s="42" t="s">
        <v>45</v>
      </c>
      <c r="AM648" s="42" t="s">
        <v>45</v>
      </c>
      <c r="AN648" s="42" t="s">
        <v>45</v>
      </c>
      <c r="AO648" s="43" t="s">
        <v>45</v>
      </c>
      <c r="AP648" s="42" t="s">
        <v>356</v>
      </c>
      <c r="AQ648" s="42">
        <v>8</v>
      </c>
      <c r="AR648" s="50" t="s">
        <v>14</v>
      </c>
      <c r="AS648" s="45" t="s">
        <v>45</v>
      </c>
      <c r="AT648" s="45" t="s">
        <v>47</v>
      </c>
      <c r="AU648" s="46">
        <f>($O$3*(L648-$O$1)/$O$2+$P$3*(M648-$P$1)/$P$2+$Q$3*(N648-$P$1)/$Q$2)/SUM($O$3:$Q$3)</f>
        <v>-2.2644723474043147</v>
      </c>
      <c r="AV648" s="46">
        <f>($O$3*(O648-$O$1)/$O$2+$P$3*(P648-$P$1)/$P$2+$Q$3*(Q648-$Q$1)/$Q$2)/SUM($O$3:$Q$3)</f>
        <v>-1.6242862721580691</v>
      </c>
      <c r="AW648" s="47">
        <f>COUNT(R648:AO648)/2</f>
        <v>3</v>
      </c>
      <c r="AX648" s="47">
        <f>IF(AND(S648&lt;&gt;"-",S648&gt;5),1,0)+IF(AND(U648&lt;&gt;"-",U648&gt;5),1,0)+IF(AND(W648&lt;&gt;"-",W648&gt;5),1,0)+IF(AND(Y648&lt;&gt;"-",Y648&gt;5),1,0)+IF(AND(AA648&lt;&gt;"-",AA648&gt;5),1,0)+IF(AND(AC648&lt;&gt;"-",AC648&gt;5),1,0)+IF(AND(AE648&lt;&gt;"-",AE648&gt;5),1,0)+IF(AND(AG648&lt;&gt;"-",AG648&gt;5),1,0)+IF(AND(AI648&lt;&gt;"-",AI648&gt;5),1,0)+IF(AND(AK648&lt;&gt;"-",AK648&gt;5),1,0)+IF(AND(AM648&lt;&gt;"-",AM648&gt;5),1,0)+IF(AND(AO648&lt;&gt;"-",AO648&gt;5),1,0)</f>
        <v>0</v>
      </c>
      <c r="AY648" s="48">
        <f>VLOOKUP(AP648,COND!$A$10:$B$32,2,FALSE)</f>
        <v>1</v>
      </c>
      <c r="AZ648" s="46">
        <f>($AU$3*AU648+$AV$3*AV648+$AW$3*AW648+$AX$3*AX648)*AY648*IF(AQ648&lt;5,0.95,IF(AQ648&lt;7,0.975,1))+$I$3*VLOOKUP(I648,COND!$A$2:$E$7,4,FALSE)+$J$3*VLOOKUP(J648,COND!$A$2:$E$7,2,FALSE)+$K$3*VLOOKUP(K648,COND!$A$2:$E$7,3,FALSE)+IF(BB648="SP",$BB$3,0)+IF($AW648&lt;3,-5,0)+IF(AND($B$2&gt;0,$E648&lt;20),$B$2*25,0)</f>
        <v>15.861380087357755</v>
      </c>
      <c r="BA648" s="49">
        <f>STANDARDIZE(AZ648,AVERAGE($AZ$5:$AZ$676),STDEVP($AZ$5:$AZ$676))</f>
        <v>-1.2737857134246109</v>
      </c>
      <c r="BB648" s="47" t="str">
        <f>IF(OR(AND(AQ648&gt;7,AX648&gt;1),AND(AQ648&gt;4,AW648&gt;2)),"SP","RP")</f>
        <v>SP</v>
      </c>
      <c r="BC648" s="47"/>
      <c r="BD648" s="47"/>
      <c r="BE648" s="47"/>
      <c r="BF648" s="47" t="str">
        <f>IF(AVERAGE($O648:$Q648)&gt;=6,"Likely",IF(AVERAGE($O648:$Q648)&gt;=4,"Possible","Unlikely"))</f>
        <v>Unlikely</v>
      </c>
      <c r="BG648" s="47"/>
      <c r="BH648" s="47" t="str">
        <f>INDEX(Table5[[#All],[Ovr]],MATCH(Table3[[#This Row],[PID]],Table5[[#All],[PID]],0))</f>
        <v/>
      </c>
      <c r="BI648" s="47" t="str">
        <f>INDEX(Table5[[#All],[Rnd]],MATCH(Table3[[#This Row],[PID]],Table5[[#All],[PID]],0))</f>
        <v/>
      </c>
      <c r="BJ648" s="47" t="str">
        <f>INDEX(Table5[[#All],[Pick]],MATCH(Table3[[#This Row],[PID]],Table5[[#All],[PID]],0))</f>
        <v/>
      </c>
      <c r="BK648" s="47" t="str">
        <f>INDEX(Table5[[#All],[Team]],MATCH(Table3[[#This Row],[PID]],Table5[[#All],[PID]],0))</f>
        <v/>
      </c>
      <c r="BL6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9" spans="1:64" ht="15" customHeight="1" x14ac:dyDescent="0.25">
      <c r="A649" s="42">
        <v>11768</v>
      </c>
      <c r="B649" s="42" t="s">
        <v>430</v>
      </c>
      <c r="C649" s="42" t="s">
        <v>719</v>
      </c>
      <c r="D649" s="42" t="s">
        <v>412</v>
      </c>
      <c r="E649" s="42">
        <v>22</v>
      </c>
      <c r="F649" s="42" t="s">
        <v>53</v>
      </c>
      <c r="G649" s="42" t="s">
        <v>42</v>
      </c>
      <c r="H649" s="43" t="s">
        <v>721</v>
      </c>
      <c r="I649" s="44" t="s">
        <v>44</v>
      </c>
      <c r="J649" s="42" t="s">
        <v>43</v>
      </c>
      <c r="K649" s="43" t="s">
        <v>43</v>
      </c>
      <c r="L649" s="42">
        <v>2</v>
      </c>
      <c r="M649" s="42">
        <v>1</v>
      </c>
      <c r="N649" s="43">
        <v>1</v>
      </c>
      <c r="O649" s="42">
        <v>4</v>
      </c>
      <c r="P649" s="42">
        <v>1</v>
      </c>
      <c r="Q649" s="43">
        <v>1</v>
      </c>
      <c r="R649" s="42">
        <v>4</v>
      </c>
      <c r="S649" s="42">
        <v>6</v>
      </c>
      <c r="T649" s="42">
        <v>1</v>
      </c>
      <c r="U649" s="42">
        <v>5</v>
      </c>
      <c r="V649" s="42">
        <v>2</v>
      </c>
      <c r="W649" s="42">
        <v>5</v>
      </c>
      <c r="X649" s="42">
        <v>2</v>
      </c>
      <c r="Y649" s="42">
        <v>2</v>
      </c>
      <c r="Z649" s="42" t="s">
        <v>45</v>
      </c>
      <c r="AA649" s="42" t="s">
        <v>45</v>
      </c>
      <c r="AB649" s="42" t="s">
        <v>45</v>
      </c>
      <c r="AC649" s="42" t="s">
        <v>45</v>
      </c>
      <c r="AD649" s="42" t="s">
        <v>45</v>
      </c>
      <c r="AE649" s="42" t="s">
        <v>45</v>
      </c>
      <c r="AF649" s="42" t="s">
        <v>45</v>
      </c>
      <c r="AG649" s="42" t="s">
        <v>45</v>
      </c>
      <c r="AH649" s="42" t="s">
        <v>45</v>
      </c>
      <c r="AI649" s="42" t="s">
        <v>45</v>
      </c>
      <c r="AJ649" s="42" t="s">
        <v>45</v>
      </c>
      <c r="AK649" s="42" t="s">
        <v>45</v>
      </c>
      <c r="AL649" s="42" t="s">
        <v>45</v>
      </c>
      <c r="AM649" s="42" t="s">
        <v>45</v>
      </c>
      <c r="AN649" s="42" t="s">
        <v>45</v>
      </c>
      <c r="AO649" s="43" t="s">
        <v>45</v>
      </c>
      <c r="AP649" s="42" t="s">
        <v>356</v>
      </c>
      <c r="AQ649" s="42">
        <v>7</v>
      </c>
      <c r="AR649" s="50" t="s">
        <v>14</v>
      </c>
      <c r="AS649" s="45" t="s">
        <v>45</v>
      </c>
      <c r="AT649" s="45" t="s">
        <v>47</v>
      </c>
      <c r="AU649" s="46">
        <f>($O$3*(L649-$O$1)/$O$2+$P$3*(M649-$P$1)/$P$2+$Q$3*(N649-$P$1)/$Q$2)/SUM($O$3:$Q$3)</f>
        <v>-2.5067929134584248</v>
      </c>
      <c r="AV649" s="46">
        <f>($O$3*(O649-$O$1)/$O$2+$P$3*(P649-$P$1)/$P$2+$Q$3*(Q649-$Q$1)/$Q$2)/SUM($O$3:$Q$3)</f>
        <v>-1.671915513703006</v>
      </c>
      <c r="AW649" s="47">
        <f>COUNT(R649:AO649)/2</f>
        <v>4</v>
      </c>
      <c r="AX649" s="47">
        <f>IF(AND(S649&lt;&gt;"-",S649&gt;5),1,0)+IF(AND(U649&lt;&gt;"-",U649&gt;5),1,0)+IF(AND(W649&lt;&gt;"-",W649&gt;5),1,0)+IF(AND(Y649&lt;&gt;"-",Y649&gt;5),1,0)+IF(AND(AA649&lt;&gt;"-",AA649&gt;5),1,0)+IF(AND(AC649&lt;&gt;"-",AC649&gt;5),1,0)+IF(AND(AE649&lt;&gt;"-",AE649&gt;5),1,0)+IF(AND(AG649&lt;&gt;"-",AG649&gt;5),1,0)+IF(AND(AI649&lt;&gt;"-",AI649&gt;5),1,0)+IF(AND(AK649&lt;&gt;"-",AK649&gt;5),1,0)+IF(AND(AM649&lt;&gt;"-",AM649&gt;5),1,0)+IF(AND(AO649&lt;&gt;"-",AO649&gt;5),1,0)</f>
        <v>1</v>
      </c>
      <c r="AY649" s="48">
        <f>VLOOKUP(AP649,COND!$A$10:$B$32,2,FALSE)</f>
        <v>1</v>
      </c>
      <c r="AZ649" s="46">
        <f>($AU$3*AU649+$AV$3*AV649+$AW$3*AW649+$AX$3*AX649)*AY649*IF(AQ649&lt;5,0.95,IF(AQ649&lt;7,0.975,1))+$I$3*VLOOKUP(I649,COND!$A$2:$E$7,4,FALSE)+$J$3*VLOOKUP(J649,COND!$A$2:$E$7,2,FALSE)+$K$3*VLOOKUP(K649,COND!$A$2:$E$7,3,FALSE)+IF(BB649="SP",$BB$3,0)+IF($AW649&lt;3,-5,0)+IF(AND($B$2&gt;0,$E649&lt;20),$B$2*25,0)</f>
        <v>16.160331143248193</v>
      </c>
      <c r="BA649" s="49">
        <f>STANDARDIZE(AZ649,AVERAGE($AZ$5:$AZ$570),STDEVP($AZ$5:$AZ$570))</f>
        <v>-1.5187988246141446</v>
      </c>
      <c r="BB649" s="47" t="str">
        <f>IF(OR(AND(AQ649&gt;7,AX649&gt;1),AND(AQ649&gt;4,AW649&gt;2)),"SP","RP")</f>
        <v>SP</v>
      </c>
      <c r="BC649" s="47"/>
      <c r="BD649" s="47"/>
      <c r="BE649" s="47"/>
      <c r="BF649" s="47" t="str">
        <f>IF(AVERAGE($O649:$Q649)&gt;=6,"Likely",IF(AVERAGE($O649:$Q649)&gt;=4,"Possible","Unlikely"))</f>
        <v>Unlikely</v>
      </c>
      <c r="BG649" s="47"/>
      <c r="BH649" s="47" t="str">
        <f>INDEX(Table5[[#All],[Ovr]],MATCH(Table3[[#This Row],[PID]],Table5[[#All],[PID]],0))</f>
        <v/>
      </c>
      <c r="BI649" s="47" t="str">
        <f>INDEX(Table5[[#All],[Rnd]],MATCH(Table3[[#This Row],[PID]],Table5[[#All],[PID]],0))</f>
        <v/>
      </c>
      <c r="BJ649" s="47" t="str">
        <f>INDEX(Table5[[#All],[Pick]],MATCH(Table3[[#This Row],[PID]],Table5[[#All],[PID]],0))</f>
        <v/>
      </c>
      <c r="BK649" s="47" t="str">
        <f>INDEX(Table5[[#All],[Team]],MATCH(Table3[[#This Row],[PID]],Table5[[#All],[PID]],0))</f>
        <v/>
      </c>
      <c r="BL6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0" spans="1:64" ht="15" customHeight="1" x14ac:dyDescent="0.25">
      <c r="A650" s="42">
        <v>17838</v>
      </c>
      <c r="B650" s="42" t="s">
        <v>430</v>
      </c>
      <c r="C650" s="42" t="s">
        <v>954</v>
      </c>
      <c r="D650" s="42" t="s">
        <v>1800</v>
      </c>
      <c r="E650" s="42">
        <v>18</v>
      </c>
      <c r="F650" s="42" t="s">
        <v>42</v>
      </c>
      <c r="G650" s="42" t="s">
        <v>42</v>
      </c>
      <c r="H650" s="43" t="s">
        <v>721</v>
      </c>
      <c r="I650" s="44" t="s">
        <v>43</v>
      </c>
      <c r="J650" s="42" t="s">
        <v>43</v>
      </c>
      <c r="K650" s="43" t="s">
        <v>44</v>
      </c>
      <c r="L650" s="42">
        <v>1</v>
      </c>
      <c r="M650" s="42">
        <v>1</v>
      </c>
      <c r="N650" s="43">
        <v>1</v>
      </c>
      <c r="O650" s="42">
        <v>2</v>
      </c>
      <c r="P650" s="42">
        <v>1</v>
      </c>
      <c r="Q650" s="43">
        <v>2</v>
      </c>
      <c r="R650" s="42">
        <v>3</v>
      </c>
      <c r="S650" s="42">
        <v>3</v>
      </c>
      <c r="T650" s="42">
        <v>1</v>
      </c>
      <c r="U650" s="42">
        <v>3</v>
      </c>
      <c r="V650" s="42">
        <v>1</v>
      </c>
      <c r="W650" s="42">
        <v>3</v>
      </c>
      <c r="X650" s="42" t="s">
        <v>45</v>
      </c>
      <c r="Y650" s="42" t="s">
        <v>45</v>
      </c>
      <c r="Z650" s="42" t="s">
        <v>45</v>
      </c>
      <c r="AA650" s="42" t="s">
        <v>45</v>
      </c>
      <c r="AB650" s="42" t="s">
        <v>45</v>
      </c>
      <c r="AC650" s="42" t="s">
        <v>45</v>
      </c>
      <c r="AD650" s="42" t="s">
        <v>45</v>
      </c>
      <c r="AE650" s="42" t="s">
        <v>45</v>
      </c>
      <c r="AF650" s="42" t="s">
        <v>45</v>
      </c>
      <c r="AG650" s="42" t="s">
        <v>45</v>
      </c>
      <c r="AH650" s="42" t="s">
        <v>45</v>
      </c>
      <c r="AI650" s="42" t="s">
        <v>45</v>
      </c>
      <c r="AJ650" s="42" t="s">
        <v>45</v>
      </c>
      <c r="AK650" s="42" t="s">
        <v>45</v>
      </c>
      <c r="AL650" s="42" t="s">
        <v>45</v>
      </c>
      <c r="AM650" s="42" t="s">
        <v>45</v>
      </c>
      <c r="AN650" s="42" t="s">
        <v>45</v>
      </c>
      <c r="AO650" s="43" t="s">
        <v>45</v>
      </c>
      <c r="AP650" s="42" t="s">
        <v>64</v>
      </c>
      <c r="AQ650" s="42">
        <v>5</v>
      </c>
      <c r="AR650" s="50" t="s">
        <v>353</v>
      </c>
      <c r="AS650" s="45" t="s">
        <v>758</v>
      </c>
      <c r="AT650" s="45" t="s">
        <v>705</v>
      </c>
      <c r="AU650" s="46">
        <f>($O$3*(L650-$O$1)/$O$2+$P$3*(M650-$P$1)/$P$2+$Q$3*(N650-$P$1)/$Q$2)/SUM($O$3:$Q$3)</f>
        <v>-2.7014842379675978</v>
      </c>
      <c r="AV650" s="46">
        <f>($O$3*(O650-$O$1)/$O$2+$P$3*(P650-$P$1)/$P$2+$Q$3*(Q650-$Q$1)/$Q$2)/SUM($O$3:$Q$3)</f>
        <v>-1.8189775966672426</v>
      </c>
      <c r="AW650" s="47">
        <f>COUNT(R650:AO650)/2</f>
        <v>3</v>
      </c>
      <c r="AX650" s="47">
        <f>IF(AND(S650&lt;&gt;"-",S650&gt;5),1,0)+IF(AND(U650&lt;&gt;"-",U650&gt;5),1,0)+IF(AND(W650&lt;&gt;"-",W650&gt;5),1,0)+IF(AND(Y650&lt;&gt;"-",Y650&gt;5),1,0)+IF(AND(AA650&lt;&gt;"-",AA650&gt;5),1,0)+IF(AND(AC650&lt;&gt;"-",AC650&gt;5),1,0)+IF(AND(AE650&lt;&gt;"-",AE650&gt;5),1,0)+IF(AND(AG650&lt;&gt;"-",AG650&gt;5),1,0)+IF(AND(AI650&lt;&gt;"-",AI650&gt;5),1,0)+IF(AND(AK650&lt;&gt;"-",AK650&gt;5),1,0)+IF(AND(AM650&lt;&gt;"-",AM650&gt;5),1,0)+IF(AND(AO650&lt;&gt;"-",AO650&gt;5),1,0)</f>
        <v>0</v>
      </c>
      <c r="AY650" s="48">
        <f>VLOOKUP(AP650,COND!$A$10:$B$32,2,FALSE)</f>
        <v>1</v>
      </c>
      <c r="AZ650" s="46">
        <f>($AU$3*AU650+$AV$3*AV650+$AW$3*AW650+$AX$3*AX650)*AY650*IF(AQ650&lt;5,0.95,IF(AQ650&lt;7,0.975,1))+$I$3*VLOOKUP(I650,COND!$A$2:$E$7,4,FALSE)+$J$3*VLOOKUP(J650,COND!$A$2:$E$7,2,FALSE)+$K$3*VLOOKUP(K650,COND!$A$2:$E$7,3,FALSE)+IF(BB650="SP",$BB$3,0)+IF($AW650&lt;3,-5,0)+IF(AND($B$2&gt;0,$E650&lt;20),$B$2*25,0)</f>
        <v>17.165647438585093</v>
      </c>
      <c r="BA650" s="49">
        <f>STANDARDIZE(AZ650,AVERAGE($AZ$5:$AZ$676),STDEVP($AZ$5:$AZ$676))</f>
        <v>-1.1594763294806036</v>
      </c>
      <c r="BB650" s="47" t="str">
        <f>IF(OR(AND(AQ650&gt;7,AX650&gt;1),AND(AQ650&gt;4,AW650&gt;2)),"SP","RP")</f>
        <v>SP</v>
      </c>
      <c r="BC650" s="47"/>
      <c r="BD650" s="47"/>
      <c r="BE650" s="47"/>
      <c r="BF650" s="47" t="str">
        <f>IF(AVERAGE($O650:$Q650)&gt;=6,"Likely",IF(AVERAGE($O650:$Q650)&gt;=4,"Possible","Unlikely"))</f>
        <v>Unlikely</v>
      </c>
      <c r="BG650" s="47"/>
      <c r="BH650" s="47" t="str">
        <f>INDEX(Table5[[#All],[Ovr]],MATCH(Table3[[#This Row],[PID]],Table5[[#All],[PID]],0))</f>
        <v/>
      </c>
      <c r="BI650" s="47" t="str">
        <f>INDEX(Table5[[#All],[Rnd]],MATCH(Table3[[#This Row],[PID]],Table5[[#All],[PID]],0))</f>
        <v/>
      </c>
      <c r="BJ650" s="47" t="str">
        <f>INDEX(Table5[[#All],[Pick]],MATCH(Table3[[#This Row],[PID]],Table5[[#All],[PID]],0))</f>
        <v/>
      </c>
      <c r="BK650" s="47" t="str">
        <f>INDEX(Table5[[#All],[Team]],MATCH(Table3[[#This Row],[PID]],Table5[[#All],[PID]],0))</f>
        <v/>
      </c>
      <c r="BL6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1" spans="1:64" ht="15" customHeight="1" x14ac:dyDescent="0.25">
      <c r="A651" s="42">
        <v>7167</v>
      </c>
      <c r="B651" s="42" t="s">
        <v>430</v>
      </c>
      <c r="C651" s="42" t="s">
        <v>129</v>
      </c>
      <c r="D651" s="42" t="s">
        <v>966</v>
      </c>
      <c r="E651" s="42">
        <v>22</v>
      </c>
      <c r="F651" s="42" t="s">
        <v>42</v>
      </c>
      <c r="G651" s="42" t="s">
        <v>42</v>
      </c>
      <c r="H651" s="43" t="s">
        <v>721</v>
      </c>
      <c r="I651" s="44" t="s">
        <v>44</v>
      </c>
      <c r="J651" s="42" t="s">
        <v>47</v>
      </c>
      <c r="K651" s="43" t="s">
        <v>43</v>
      </c>
      <c r="L651" s="42">
        <v>3</v>
      </c>
      <c r="M651" s="42">
        <v>1</v>
      </c>
      <c r="N651" s="43">
        <v>2</v>
      </c>
      <c r="O651" s="42">
        <v>3</v>
      </c>
      <c r="P651" s="42">
        <v>1</v>
      </c>
      <c r="Q651" s="43">
        <v>2</v>
      </c>
      <c r="R651" s="42">
        <v>4</v>
      </c>
      <c r="S651" s="42">
        <v>5</v>
      </c>
      <c r="T651" s="42">
        <v>2</v>
      </c>
      <c r="U651" s="42">
        <v>4</v>
      </c>
      <c r="V651" s="42" t="s">
        <v>45</v>
      </c>
      <c r="W651" s="42" t="s">
        <v>45</v>
      </c>
      <c r="X651" s="42">
        <v>3</v>
      </c>
      <c r="Y651" s="42">
        <v>3</v>
      </c>
      <c r="Z651" s="42" t="s">
        <v>45</v>
      </c>
      <c r="AA651" s="42" t="s">
        <v>45</v>
      </c>
      <c r="AB651" s="42" t="s">
        <v>45</v>
      </c>
      <c r="AC651" s="42" t="s">
        <v>45</v>
      </c>
      <c r="AD651" s="42" t="s">
        <v>45</v>
      </c>
      <c r="AE651" s="42" t="s">
        <v>45</v>
      </c>
      <c r="AF651" s="42" t="s">
        <v>45</v>
      </c>
      <c r="AG651" s="42" t="s">
        <v>45</v>
      </c>
      <c r="AH651" s="42" t="s">
        <v>45</v>
      </c>
      <c r="AI651" s="42" t="s">
        <v>45</v>
      </c>
      <c r="AJ651" s="42" t="s">
        <v>45</v>
      </c>
      <c r="AK651" s="42" t="s">
        <v>45</v>
      </c>
      <c r="AL651" s="42" t="s">
        <v>45</v>
      </c>
      <c r="AM651" s="42" t="s">
        <v>45</v>
      </c>
      <c r="AN651" s="42" t="s">
        <v>45</v>
      </c>
      <c r="AO651" s="43" t="s">
        <v>45</v>
      </c>
      <c r="AP651" s="42" t="s">
        <v>57</v>
      </c>
      <c r="AQ651" s="42">
        <v>8</v>
      </c>
      <c r="AR651" s="50" t="s">
        <v>14</v>
      </c>
      <c r="AS651" s="45" t="s">
        <v>45</v>
      </c>
      <c r="AT651" s="45" t="s">
        <v>47</v>
      </c>
      <c r="AU651" s="46">
        <f>($O$3*(L651-$O$1)/$O$2+$P$3*(M651-$P$1)/$P$2+$Q$3*(N651-$P$1)/$Q$2)/SUM($O$3:$Q$3)</f>
        <v>-2.0697810228951408</v>
      </c>
      <c r="AV651" s="46">
        <f>($O$3*(O651-$O$1)/$O$2+$P$3*(P651-$P$1)/$P$2+$Q$3*(Q651-$Q$1)/$Q$2)/SUM($O$3:$Q$3)</f>
        <v>-1.6242862721580691</v>
      </c>
      <c r="AW651" s="47">
        <f>COUNT(R651:AO651)/2</f>
        <v>3</v>
      </c>
      <c r="AX651" s="47">
        <f>IF(AND(S651&lt;&gt;"-",S651&gt;5),1,0)+IF(AND(U651&lt;&gt;"-",U651&gt;5),1,0)+IF(AND(W651&lt;&gt;"-",W651&gt;5),1,0)+IF(AND(Y651&lt;&gt;"-",Y651&gt;5),1,0)+IF(AND(AA651&lt;&gt;"-",AA651&gt;5),1,0)+IF(AND(AC651&lt;&gt;"-",AC651&gt;5),1,0)+IF(AND(AE651&lt;&gt;"-",AE651&gt;5),1,0)+IF(AND(AG651&lt;&gt;"-",AG651&gt;5),1,0)+IF(AND(AI651&lt;&gt;"-",AI651&gt;5),1,0)+IF(AND(AK651&lt;&gt;"-",AK651&gt;5),1,0)+IF(AND(AM651&lt;&gt;"-",AM651&gt;5),1,0)+IF(AND(AO651&lt;&gt;"-",AO651&gt;5),1,0)</f>
        <v>0</v>
      </c>
      <c r="AY651" s="48">
        <f>VLOOKUP(AP651,COND!$A$10:$B$32,2,FALSE)</f>
        <v>1</v>
      </c>
      <c r="AZ651" s="46">
        <f>($AU$3*AU651+$AV$3*AV651+$AW$3*AW651+$AX$3*AX651)*AY651*IF(AQ651&lt;5,0.95,IF(AQ651&lt;7,0.975,1))+$I$3*VLOOKUP(I651,COND!$A$2:$E$7,4,FALSE)+$J$3*VLOOKUP(J651,COND!$A$2:$E$7,2,FALSE)+$K$3*VLOOKUP(K651,COND!$A$2:$E$7,3,FALSE)+IF(BB651="SP",$BB$3,0)+IF($AW651&lt;3,-5,0)+IF(AND($B$2&gt;0,$E651&lt;20),$B$2*25,0)</f>
        <v>15.750318352259587</v>
      </c>
      <c r="BA651" s="49">
        <f>STANDARDIZE(AZ651,AVERAGE($AZ$5:$AZ$676),STDEVP($AZ$5:$AZ$676))</f>
        <v>-1.2835194528353826</v>
      </c>
      <c r="BB651" s="47" t="str">
        <f>IF(OR(AND(AQ651&gt;7,AX651&gt;1),AND(AQ651&gt;4,AW651&gt;2)),"SP","RP")</f>
        <v>SP</v>
      </c>
      <c r="BC651" s="47"/>
      <c r="BD651" s="47"/>
      <c r="BE651" s="47"/>
      <c r="BF651" s="47" t="str">
        <f>IF(AVERAGE($O651:$Q651)&gt;=6,"Likely",IF(AVERAGE($O651:$Q651)&gt;=4,"Possible","Unlikely"))</f>
        <v>Unlikely</v>
      </c>
      <c r="BG651" s="47"/>
      <c r="BH651" s="47" t="str">
        <f>INDEX(Table5[[#All],[Ovr]],MATCH(Table3[[#This Row],[PID]],Table5[[#All],[PID]],0))</f>
        <v/>
      </c>
      <c r="BI651" s="47" t="str">
        <f>INDEX(Table5[[#All],[Rnd]],MATCH(Table3[[#This Row],[PID]],Table5[[#All],[PID]],0))</f>
        <v/>
      </c>
      <c r="BJ651" s="47" t="str">
        <f>INDEX(Table5[[#All],[Pick]],MATCH(Table3[[#This Row],[PID]],Table5[[#All],[PID]],0))</f>
        <v/>
      </c>
      <c r="BK651" s="47" t="str">
        <f>INDEX(Table5[[#All],[Team]],MATCH(Table3[[#This Row],[PID]],Table5[[#All],[PID]],0))</f>
        <v/>
      </c>
      <c r="BL6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2" spans="1:64" ht="15" customHeight="1" x14ac:dyDescent="0.25">
      <c r="A652" s="42">
        <v>16715</v>
      </c>
      <c r="B652" s="42" t="s">
        <v>430</v>
      </c>
      <c r="C652" s="42" t="s">
        <v>1687</v>
      </c>
      <c r="D652" s="42" t="s">
        <v>1688</v>
      </c>
      <c r="E652" s="42">
        <v>21</v>
      </c>
      <c r="F652" s="42" t="s">
        <v>62</v>
      </c>
      <c r="G652" s="42" t="s">
        <v>42</v>
      </c>
      <c r="H652" s="43" t="s">
        <v>721</v>
      </c>
      <c r="I652" s="44" t="s">
        <v>43</v>
      </c>
      <c r="J652" s="42" t="s">
        <v>43</v>
      </c>
      <c r="K652" s="43" t="s">
        <v>43</v>
      </c>
      <c r="L652" s="42">
        <v>2</v>
      </c>
      <c r="M652" s="42">
        <v>2</v>
      </c>
      <c r="N652" s="43">
        <v>1</v>
      </c>
      <c r="O652" s="42">
        <v>4</v>
      </c>
      <c r="P652" s="42">
        <v>2</v>
      </c>
      <c r="Q652" s="43">
        <v>2</v>
      </c>
      <c r="R652" s="42">
        <v>3</v>
      </c>
      <c r="S652" s="42">
        <v>4</v>
      </c>
      <c r="T652" s="42" t="s">
        <v>45</v>
      </c>
      <c r="U652" s="42" t="s">
        <v>45</v>
      </c>
      <c r="V652" s="42">
        <v>2</v>
      </c>
      <c r="W652" s="42">
        <v>5</v>
      </c>
      <c r="X652" s="42" t="s">
        <v>45</v>
      </c>
      <c r="Y652" s="42" t="s">
        <v>45</v>
      </c>
      <c r="Z652" s="42" t="s">
        <v>45</v>
      </c>
      <c r="AA652" s="42" t="s">
        <v>45</v>
      </c>
      <c r="AB652" s="42" t="s">
        <v>45</v>
      </c>
      <c r="AC652" s="42" t="s">
        <v>45</v>
      </c>
      <c r="AD652" s="42" t="s">
        <v>45</v>
      </c>
      <c r="AE652" s="42" t="s">
        <v>45</v>
      </c>
      <c r="AF652" s="42" t="s">
        <v>45</v>
      </c>
      <c r="AG652" s="42" t="s">
        <v>45</v>
      </c>
      <c r="AH652" s="42" t="s">
        <v>45</v>
      </c>
      <c r="AI652" s="42" t="s">
        <v>45</v>
      </c>
      <c r="AJ652" s="42" t="s">
        <v>45</v>
      </c>
      <c r="AK652" s="42" t="s">
        <v>45</v>
      </c>
      <c r="AL652" s="42" t="s">
        <v>45</v>
      </c>
      <c r="AM652" s="42" t="s">
        <v>45</v>
      </c>
      <c r="AN652" s="42" t="s">
        <v>45</v>
      </c>
      <c r="AO652" s="43" t="s">
        <v>45</v>
      </c>
      <c r="AP652" s="42" t="s">
        <v>355</v>
      </c>
      <c r="AQ652" s="42">
        <v>8</v>
      </c>
      <c r="AR652" s="50" t="s">
        <v>353</v>
      </c>
      <c r="AS652" s="45" t="s">
        <v>1689</v>
      </c>
      <c r="AT652" s="45" t="s">
        <v>705</v>
      </c>
      <c r="AU652" s="46">
        <f>($O$3*(L652-$O$1)/$O$2+$P$3*(M652-$P$1)/$P$2+$Q$3*(N652-$P$1)/$Q$2)/SUM($O$3:$Q$3)</f>
        <v>-2.311361197028369</v>
      </c>
      <c r="AV652" s="46">
        <f>($O$3*(O652-$O$1)/$O$2+$P$3*(P652-$P$1)/$P$2+$Q$3*(Q652-$Q$1)/$Q$2)/SUM($O$3:$Q$3)</f>
        <v>-1.23416323121884</v>
      </c>
      <c r="AW652" s="47">
        <f>COUNT(R652:AO652)/2</f>
        <v>2</v>
      </c>
      <c r="AX652" s="47">
        <f>IF(AND(S652&lt;&gt;"-",S652&gt;5),1,0)+IF(AND(U652&lt;&gt;"-",U652&gt;5),1,0)+IF(AND(W652&lt;&gt;"-",W652&gt;5),1,0)+IF(AND(Y652&lt;&gt;"-",Y652&gt;5),1,0)+IF(AND(AA652&lt;&gt;"-",AA652&gt;5),1,0)+IF(AND(AC652&lt;&gt;"-",AC652&gt;5),1,0)+IF(AND(AE652&lt;&gt;"-",AE652&gt;5),1,0)+IF(AND(AG652&lt;&gt;"-",AG652&gt;5),1,0)+IF(AND(AI652&lt;&gt;"-",AI652&gt;5),1,0)+IF(AND(AK652&lt;&gt;"-",AK652&gt;5),1,0)+IF(AND(AM652&lt;&gt;"-",AM652&gt;5),1,0)+IF(AND(AO652&lt;&gt;"-",AO652&gt;5),1,0)</f>
        <v>0</v>
      </c>
      <c r="AY652" s="48">
        <f>VLOOKUP(AP652,COND!$A$10:$B$32,2,FALSE)</f>
        <v>1</v>
      </c>
      <c r="AZ652" s="46">
        <f>($AU$3*AU652+$AV$3*AV652+$AW$3*AW652+$AX$3*AX652)*AY652*IF(AQ652&lt;5,0.95,IF(AQ652&lt;7,0.975,1))+$I$3*VLOOKUP(I652,COND!$A$2:$E$7,4,FALSE)+$J$3*VLOOKUP(J652,COND!$A$2:$E$7,2,FALSE)+$K$3*VLOOKUP(K652,COND!$A$2:$E$7,3,FALSE)+IF(BB652="SP",$BB$3,0)+IF($AW652&lt;3,-5,0)+IF(AND($B$2&gt;0,$E652&lt;20),$B$2*25,0)</f>
        <v>15.854463136217525</v>
      </c>
      <c r="BA652" s="49">
        <f>STANDARDIZE(AZ652,AVERAGE($AZ$5:$AZ$570),STDEVP($AZ$5:$AZ$570))</f>
        <v>-1.5468482281661946</v>
      </c>
      <c r="BB652" s="47" t="str">
        <f>IF(OR(AND(AQ652&gt;7,AX652&gt;1),AND(AQ652&gt;4,AW652&gt;2)),"SP","RP")</f>
        <v>RP</v>
      </c>
      <c r="BC652" s="47"/>
      <c r="BD652" s="47"/>
      <c r="BE652" s="47"/>
      <c r="BF652" s="47" t="str">
        <f>IF(AVERAGE($O652:$Q652)&gt;=6,"Likely",IF(AVERAGE($O652:$Q652)&gt;=4,"Possible","Unlikely"))</f>
        <v>Unlikely</v>
      </c>
      <c r="BG652" s="47"/>
      <c r="BH652" s="47" t="str">
        <f>INDEX(Table5[[#All],[Ovr]],MATCH(Table3[[#This Row],[PID]],Table5[[#All],[PID]],0))</f>
        <v/>
      </c>
      <c r="BI652" s="47" t="str">
        <f>INDEX(Table5[[#All],[Rnd]],MATCH(Table3[[#This Row],[PID]],Table5[[#All],[PID]],0))</f>
        <v/>
      </c>
      <c r="BJ652" s="47" t="str">
        <f>INDEX(Table5[[#All],[Pick]],MATCH(Table3[[#This Row],[PID]],Table5[[#All],[PID]],0))</f>
        <v/>
      </c>
      <c r="BK652" s="47" t="str">
        <f>INDEX(Table5[[#All],[Team]],MATCH(Table3[[#This Row],[PID]],Table5[[#All],[PID]],0))</f>
        <v/>
      </c>
      <c r="BL6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3" spans="1:64" ht="15" customHeight="1" x14ac:dyDescent="0.25">
      <c r="A653" s="42">
        <v>15227</v>
      </c>
      <c r="B653" s="42" t="s">
        <v>430</v>
      </c>
      <c r="C653" s="42" t="s">
        <v>1043</v>
      </c>
      <c r="D653" s="42" t="s">
        <v>388</v>
      </c>
      <c r="E653" s="42">
        <v>21</v>
      </c>
      <c r="F653" s="42" t="s">
        <v>42</v>
      </c>
      <c r="G653" s="42" t="s">
        <v>42</v>
      </c>
      <c r="H653" s="43" t="s">
        <v>721</v>
      </c>
      <c r="I653" s="44" t="s">
        <v>43</v>
      </c>
      <c r="J653" s="42" t="s">
        <v>43</v>
      </c>
      <c r="K653" s="43" t="s">
        <v>43</v>
      </c>
      <c r="L653" s="42">
        <v>2</v>
      </c>
      <c r="M653" s="42">
        <v>1</v>
      </c>
      <c r="N653" s="43">
        <v>2</v>
      </c>
      <c r="O653" s="42">
        <v>4</v>
      </c>
      <c r="P653" s="42">
        <v>1</v>
      </c>
      <c r="Q653" s="43">
        <v>2</v>
      </c>
      <c r="R653" s="42">
        <v>3</v>
      </c>
      <c r="S653" s="42">
        <v>5</v>
      </c>
      <c r="T653" s="42" t="s">
        <v>45</v>
      </c>
      <c r="U653" s="42" t="s">
        <v>45</v>
      </c>
      <c r="V653" s="42" t="s">
        <v>45</v>
      </c>
      <c r="W653" s="42" t="s">
        <v>45</v>
      </c>
      <c r="X653" s="42">
        <v>3</v>
      </c>
      <c r="Y653" s="42">
        <v>6</v>
      </c>
      <c r="Z653" s="42" t="s">
        <v>45</v>
      </c>
      <c r="AA653" s="42" t="s">
        <v>45</v>
      </c>
      <c r="AB653" s="42" t="s">
        <v>45</v>
      </c>
      <c r="AC653" s="42" t="s">
        <v>45</v>
      </c>
      <c r="AD653" s="42" t="s">
        <v>45</v>
      </c>
      <c r="AE653" s="42" t="s">
        <v>45</v>
      </c>
      <c r="AF653" s="42" t="s">
        <v>45</v>
      </c>
      <c r="AG653" s="42" t="s">
        <v>45</v>
      </c>
      <c r="AH653" s="42" t="s">
        <v>45</v>
      </c>
      <c r="AI653" s="42" t="s">
        <v>45</v>
      </c>
      <c r="AJ653" s="42" t="s">
        <v>45</v>
      </c>
      <c r="AK653" s="42" t="s">
        <v>45</v>
      </c>
      <c r="AL653" s="42" t="s">
        <v>45</v>
      </c>
      <c r="AM653" s="42" t="s">
        <v>45</v>
      </c>
      <c r="AN653" s="42" t="s">
        <v>45</v>
      </c>
      <c r="AO653" s="43" t="s">
        <v>45</v>
      </c>
      <c r="AP653" s="42" t="s">
        <v>68</v>
      </c>
      <c r="AQ653" s="42">
        <v>2</v>
      </c>
      <c r="AR653" s="50" t="s">
        <v>14</v>
      </c>
      <c r="AS653" s="45" t="s">
        <v>717</v>
      </c>
      <c r="AT653" s="45" t="s">
        <v>705</v>
      </c>
      <c r="AU653" s="46">
        <f>($O$3*(L653-$O$1)/$O$2+$P$3*(M653-$P$1)/$P$2+$Q$3*(N653-$P$1)/$Q$2)/SUM($O$3:$Q$3)</f>
        <v>-2.2644723474043147</v>
      </c>
      <c r="AV653" s="46">
        <f>($O$3*(O653-$O$1)/$O$2+$P$3*(P653-$P$1)/$P$2+$Q$3*(Q653-$Q$1)/$Q$2)/SUM($O$3:$Q$3)</f>
        <v>-1.4295949476488956</v>
      </c>
      <c r="AW653" s="47">
        <f>COUNT(R653:AO653)/2</f>
        <v>2</v>
      </c>
      <c r="AX653" s="47">
        <f>IF(AND(S653&lt;&gt;"-",S653&gt;5),1,0)+IF(AND(U653&lt;&gt;"-",U653&gt;5),1,0)+IF(AND(W653&lt;&gt;"-",W653&gt;5),1,0)+IF(AND(Y653&lt;&gt;"-",Y653&gt;5),1,0)+IF(AND(AA653&lt;&gt;"-",AA653&gt;5),1,0)+IF(AND(AC653&lt;&gt;"-",AC653&gt;5),1,0)+IF(AND(AE653&lt;&gt;"-",AE653&gt;5),1,0)+IF(AND(AG653&lt;&gt;"-",AG653&gt;5),1,0)+IF(AND(AI653&lt;&gt;"-",AI653&gt;5),1,0)+IF(AND(AK653&lt;&gt;"-",AK653&gt;5),1,0)+IF(AND(AM653&lt;&gt;"-",AM653&gt;5),1,0)+IF(AND(AO653&lt;&gt;"-",AO653&gt;5),1,0)</f>
        <v>1</v>
      </c>
      <c r="AY653" s="48">
        <f>VLOOKUP(AP653,COND!$A$10:$B$32,2,FALSE)</f>
        <v>0.95</v>
      </c>
      <c r="AZ653" s="46">
        <f>($AU$3*AU653+$AV$3*AV653+$AW$3*AW653+$AX$3*AX653)*AY653*IF(AQ653&lt;5,0.95,IF(AQ653&lt;7,0.975,1))+$I$3*VLOOKUP(I653,COND!$A$2:$E$7,4,FALSE)+$J$3*VLOOKUP(J653,COND!$A$2:$E$7,2,FALSE)+$K$3*VLOOKUP(K653,COND!$A$2:$E$7,3,FALSE)+IF(BB653="SP",$BB$3,0)+IF($AW653&lt;3,-5,0)+IF(AND($B$2&gt;0,$E653&lt;20),$B$2*25,0)</f>
        <v>15.817698936230954</v>
      </c>
      <c r="BA653" s="49">
        <f>STANDARDIZE(AZ653,AVERAGE($AZ$5:$AZ$570),STDEVP($AZ$5:$AZ$570))</f>
        <v>-1.5502196624384565</v>
      </c>
      <c r="BB653" s="47" t="str">
        <f>IF(OR(AND(AQ653&gt;7,AX653&gt;1),AND(AQ653&gt;4,AW653&gt;2)),"SP","RP")</f>
        <v>RP</v>
      </c>
      <c r="BC653" s="47"/>
      <c r="BD653" s="47"/>
      <c r="BE653" s="47"/>
      <c r="BF653" s="47" t="str">
        <f>IF(AVERAGE($O653:$Q653)&gt;=6,"Likely",IF(AVERAGE($O653:$Q653)&gt;=4,"Possible","Unlikely"))</f>
        <v>Unlikely</v>
      </c>
      <c r="BG653" s="47"/>
      <c r="BH653" s="47" t="str">
        <f>INDEX(Table5[[#All],[Ovr]],MATCH(Table3[[#This Row],[PID]],Table5[[#All],[PID]],0))</f>
        <v/>
      </c>
      <c r="BI653" s="47" t="str">
        <f>INDEX(Table5[[#All],[Rnd]],MATCH(Table3[[#This Row],[PID]],Table5[[#All],[PID]],0))</f>
        <v/>
      </c>
      <c r="BJ653" s="47" t="str">
        <f>INDEX(Table5[[#All],[Pick]],MATCH(Table3[[#This Row],[PID]],Table5[[#All],[PID]],0))</f>
        <v/>
      </c>
      <c r="BK653" s="47" t="str">
        <f>INDEX(Table5[[#All],[Team]],MATCH(Table3[[#This Row],[PID]],Table5[[#All],[PID]],0))</f>
        <v/>
      </c>
      <c r="BL6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4" spans="1:64" ht="15" customHeight="1" x14ac:dyDescent="0.25">
      <c r="A654" s="42">
        <v>4825</v>
      </c>
      <c r="B654" s="42" t="s">
        <v>430</v>
      </c>
      <c r="C654" s="42" t="s">
        <v>345</v>
      </c>
      <c r="D654" s="42" t="s">
        <v>131</v>
      </c>
      <c r="E654" s="42">
        <v>21</v>
      </c>
      <c r="F654" s="42" t="s">
        <v>42</v>
      </c>
      <c r="G654" s="42" t="s">
        <v>42</v>
      </c>
      <c r="H654" s="43" t="s">
        <v>721</v>
      </c>
      <c r="I654" s="44" t="s">
        <v>43</v>
      </c>
      <c r="J654" s="42" t="s">
        <v>44</v>
      </c>
      <c r="K654" s="43" t="s">
        <v>43</v>
      </c>
      <c r="L654" s="42">
        <v>1</v>
      </c>
      <c r="M654" s="42">
        <v>2</v>
      </c>
      <c r="N654" s="43">
        <v>1</v>
      </c>
      <c r="O654" s="42">
        <v>2</v>
      </c>
      <c r="P654" s="42">
        <v>2</v>
      </c>
      <c r="Q654" s="43">
        <v>2</v>
      </c>
      <c r="R654" s="42" t="s">
        <v>45</v>
      </c>
      <c r="S654" s="42" t="s">
        <v>45</v>
      </c>
      <c r="T654" s="42">
        <v>1</v>
      </c>
      <c r="U654" s="42">
        <v>1</v>
      </c>
      <c r="V654" s="42" t="s">
        <v>45</v>
      </c>
      <c r="W654" s="42" t="s">
        <v>45</v>
      </c>
      <c r="X654" s="42" t="s">
        <v>45</v>
      </c>
      <c r="Y654" s="42" t="s">
        <v>45</v>
      </c>
      <c r="Z654" s="42">
        <v>3</v>
      </c>
      <c r="AA654" s="42">
        <v>3</v>
      </c>
      <c r="AB654" s="42" t="s">
        <v>45</v>
      </c>
      <c r="AC654" s="42" t="s">
        <v>45</v>
      </c>
      <c r="AD654" s="42">
        <v>2</v>
      </c>
      <c r="AE654" s="42">
        <v>3</v>
      </c>
      <c r="AF654" s="42" t="s">
        <v>45</v>
      </c>
      <c r="AG654" s="42" t="s">
        <v>45</v>
      </c>
      <c r="AH654" s="42" t="s">
        <v>45</v>
      </c>
      <c r="AI654" s="42" t="s">
        <v>45</v>
      </c>
      <c r="AJ654" s="42" t="s">
        <v>45</v>
      </c>
      <c r="AK654" s="42" t="s">
        <v>45</v>
      </c>
      <c r="AL654" s="42" t="s">
        <v>45</v>
      </c>
      <c r="AM654" s="42" t="s">
        <v>45</v>
      </c>
      <c r="AN654" s="42" t="s">
        <v>45</v>
      </c>
      <c r="AO654" s="43" t="s">
        <v>45</v>
      </c>
      <c r="AP654" s="42" t="s">
        <v>65</v>
      </c>
      <c r="AQ654" s="42">
        <v>9</v>
      </c>
      <c r="AR654" s="50" t="s">
        <v>353</v>
      </c>
      <c r="AS654" s="45" t="s">
        <v>45</v>
      </c>
      <c r="AT654" s="45" t="s">
        <v>47</v>
      </c>
      <c r="AU654" s="46">
        <f>($O$3*(L654-$O$1)/$O$2+$P$3*(M654-$P$1)/$P$2+$Q$3*(N654-$P$1)/$Q$2)/SUM($O$3:$Q$3)</f>
        <v>-2.5060525215375429</v>
      </c>
      <c r="AV654" s="46">
        <f>($O$3*(O654-$O$1)/$O$2+$P$3*(P654-$P$1)/$P$2+$Q$3*(Q654-$Q$1)/$Q$2)/SUM($O$3:$Q$3)</f>
        <v>-1.6235458802371869</v>
      </c>
      <c r="AW654" s="47">
        <f>COUNT(R654:AO654)/2</f>
        <v>3</v>
      </c>
      <c r="AX654" s="47">
        <f>IF(AND(S654&lt;&gt;"-",S654&gt;5),1,0)+IF(AND(U654&lt;&gt;"-",U654&gt;5),1,0)+IF(AND(W654&lt;&gt;"-",W654&gt;5),1,0)+IF(AND(Y654&lt;&gt;"-",Y654&gt;5),1,0)+IF(AND(AA654&lt;&gt;"-",AA654&gt;5),1,0)+IF(AND(AC654&lt;&gt;"-",AC654&gt;5),1,0)+IF(AND(AE654&lt;&gt;"-",AE654&gt;5),1,0)+IF(AND(AG654&lt;&gt;"-",AG654&gt;5),1,0)+IF(AND(AI654&lt;&gt;"-",AI654&gt;5),1,0)+IF(AND(AK654&lt;&gt;"-",AK654&gt;5),1,0)+IF(AND(AM654&lt;&gt;"-",AM654&gt;5),1,0)+IF(AND(AO654&lt;&gt;"-",AO654&gt;5),1,0)</f>
        <v>0</v>
      </c>
      <c r="AY654" s="48">
        <f>VLOOKUP(AP654,COND!$A$10:$B$32,2,FALSE)</f>
        <v>0.95</v>
      </c>
      <c r="AZ654" s="46">
        <f>($AU$3*AU654+$AV$3*AV654+$AW$3*AW654+$AX$3*AX654)*AY654*IF(AQ654&lt;5,0.95,IF(AQ654&lt;7,0.975,1))+$I$3*VLOOKUP(I654,COND!$A$2:$E$7,4,FALSE)+$J$3*VLOOKUP(J654,COND!$A$2:$E$7,2,FALSE)+$K$3*VLOOKUP(K654,COND!$A$2:$E$7,3,FALSE)+IF(BB654="SP",$BB$3,0)+IF($AW654&lt;3,-5,0)+IF(AND($B$2&gt;0,$E654&lt;20),$B$2*25,0)</f>
        <v>16.801478296401314</v>
      </c>
      <c r="BA654" s="49">
        <f>STANDARDIZE(AZ654,AVERAGE($AZ$5:$AZ$676),STDEVP($AZ$5:$AZ$676))</f>
        <v>-1.1913930605520919</v>
      </c>
      <c r="BB654" s="47" t="str">
        <f>IF(OR(AND(AQ654&gt;7,AX654&gt;1),AND(AQ654&gt;4,AW654&gt;2)),"SP","RP")</f>
        <v>SP</v>
      </c>
      <c r="BC654" s="47"/>
      <c r="BD654" s="47"/>
      <c r="BE654" s="47"/>
      <c r="BF654" s="47" t="str">
        <f>IF(AVERAGE($O654:$Q654)&gt;=6,"Likely",IF(AVERAGE($O654:$Q654)&gt;=4,"Possible","Unlikely"))</f>
        <v>Unlikely</v>
      </c>
      <c r="BG654" s="47"/>
      <c r="BH654" s="47" t="str">
        <f>INDEX(Table5[[#All],[Ovr]],MATCH(Table3[[#This Row],[PID]],Table5[[#All],[PID]],0))</f>
        <v/>
      </c>
      <c r="BI654" s="47" t="str">
        <f>INDEX(Table5[[#All],[Rnd]],MATCH(Table3[[#This Row],[PID]],Table5[[#All],[PID]],0))</f>
        <v/>
      </c>
      <c r="BJ654" s="47" t="str">
        <f>INDEX(Table5[[#All],[Pick]],MATCH(Table3[[#This Row],[PID]],Table5[[#All],[PID]],0))</f>
        <v/>
      </c>
      <c r="BK654" s="47" t="str">
        <f>INDEX(Table5[[#All],[Team]],MATCH(Table3[[#This Row],[PID]],Table5[[#All],[PID]],0))</f>
        <v/>
      </c>
      <c r="BL6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5" spans="1:64" ht="15" customHeight="1" x14ac:dyDescent="0.25">
      <c r="A655" s="42">
        <v>12182</v>
      </c>
      <c r="B655" s="42" t="s">
        <v>430</v>
      </c>
      <c r="C655" s="42" t="s">
        <v>645</v>
      </c>
      <c r="D655" s="42" t="s">
        <v>1782</v>
      </c>
      <c r="E655" s="42">
        <v>21</v>
      </c>
      <c r="F655" s="42" t="s">
        <v>53</v>
      </c>
      <c r="G655" s="42" t="s">
        <v>53</v>
      </c>
      <c r="H655" s="43" t="s">
        <v>721</v>
      </c>
      <c r="I655" s="44" t="s">
        <v>43</v>
      </c>
      <c r="J655" s="42" t="s">
        <v>44</v>
      </c>
      <c r="K655" s="43" t="s">
        <v>43</v>
      </c>
      <c r="L655" s="42">
        <v>1</v>
      </c>
      <c r="M655" s="42">
        <v>1</v>
      </c>
      <c r="N655" s="43">
        <v>1</v>
      </c>
      <c r="O655" s="42">
        <v>3</v>
      </c>
      <c r="P655" s="42">
        <v>1</v>
      </c>
      <c r="Q655" s="43">
        <v>2</v>
      </c>
      <c r="R655" s="42">
        <v>2</v>
      </c>
      <c r="S655" s="42">
        <v>3</v>
      </c>
      <c r="T655" s="42">
        <v>1</v>
      </c>
      <c r="U655" s="42">
        <v>2</v>
      </c>
      <c r="V655" s="42" t="s">
        <v>45</v>
      </c>
      <c r="W655" s="42" t="s">
        <v>45</v>
      </c>
      <c r="X655" s="42">
        <v>2</v>
      </c>
      <c r="Y655" s="42">
        <v>5</v>
      </c>
      <c r="Z655" s="42" t="s">
        <v>45</v>
      </c>
      <c r="AA655" s="42" t="s">
        <v>45</v>
      </c>
      <c r="AB655" s="42" t="s">
        <v>45</v>
      </c>
      <c r="AC655" s="42" t="s">
        <v>45</v>
      </c>
      <c r="AD655" s="42" t="s">
        <v>45</v>
      </c>
      <c r="AE655" s="42" t="s">
        <v>45</v>
      </c>
      <c r="AF655" s="42" t="s">
        <v>45</v>
      </c>
      <c r="AG655" s="42" t="s">
        <v>45</v>
      </c>
      <c r="AH655" s="42" t="s">
        <v>45</v>
      </c>
      <c r="AI655" s="42" t="s">
        <v>45</v>
      </c>
      <c r="AJ655" s="42" t="s">
        <v>45</v>
      </c>
      <c r="AK655" s="42" t="s">
        <v>45</v>
      </c>
      <c r="AL655" s="42" t="s">
        <v>45</v>
      </c>
      <c r="AM655" s="42" t="s">
        <v>45</v>
      </c>
      <c r="AN655" s="42" t="s">
        <v>45</v>
      </c>
      <c r="AO655" s="43" t="s">
        <v>45</v>
      </c>
      <c r="AP655" s="42" t="s">
        <v>65</v>
      </c>
      <c r="AQ655" s="42">
        <v>10</v>
      </c>
      <c r="AR655" s="50" t="s">
        <v>14</v>
      </c>
      <c r="AS655" s="45" t="s">
        <v>45</v>
      </c>
      <c r="AT655" s="45" t="s">
        <v>705</v>
      </c>
      <c r="AU655" s="46">
        <f>($O$3*(L655-$O$1)/$O$2+$P$3*(M655-$P$1)/$P$2+$Q$3*(N655-$P$1)/$Q$2)/SUM($O$3:$Q$3)</f>
        <v>-2.7014842379675978</v>
      </c>
      <c r="AV655" s="46">
        <f>($O$3*(O655-$O$1)/$O$2+$P$3*(P655-$P$1)/$P$2+$Q$3*(Q655-$Q$1)/$Q$2)/SUM($O$3:$Q$3)</f>
        <v>-1.6242862721580691</v>
      </c>
      <c r="AW655" s="47">
        <f>COUNT(R655:AO655)/2</f>
        <v>3</v>
      </c>
      <c r="AX655" s="47">
        <f>IF(AND(S655&lt;&gt;"-",S655&gt;5),1,0)+IF(AND(U655&lt;&gt;"-",U655&gt;5),1,0)+IF(AND(W655&lt;&gt;"-",W655&gt;5),1,0)+IF(AND(Y655&lt;&gt;"-",Y655&gt;5),1,0)+IF(AND(AA655&lt;&gt;"-",AA655&gt;5),1,0)+IF(AND(AC655&lt;&gt;"-",AC655&gt;5),1,0)+IF(AND(AE655&lt;&gt;"-",AE655&gt;5),1,0)+IF(AND(AG655&lt;&gt;"-",AG655&gt;5),1,0)+IF(AND(AI655&lt;&gt;"-",AI655&gt;5),1,0)+IF(AND(AK655&lt;&gt;"-",AK655&gt;5),1,0)+IF(AND(AM655&lt;&gt;"-",AM655&gt;5),1,0)+IF(AND(AO655&lt;&gt;"-",AO655&gt;5),1,0)</f>
        <v>0</v>
      </c>
      <c r="AY655" s="48">
        <f>VLOOKUP(AP655,COND!$A$10:$B$32,2,FALSE)</f>
        <v>0.95</v>
      </c>
      <c r="AZ655" s="46">
        <f>($AU$3*AU655+$AV$3*AV655+$AW$3*AW655+$AX$3*AX655)*AY655*IF(AQ655&lt;5,0.95,IF(AQ655&lt;7,0.975,1))+$I$3*VLOOKUP(I655,COND!$A$2:$E$7,4,FALSE)+$J$3*VLOOKUP(J655,COND!$A$2:$E$7,2,FALSE)+$K$3*VLOOKUP(K655,COND!$A$2:$E$7,3,FALSE)+IF(BB655="SP",$BB$3,0)+IF($AW655&lt;3,-5,0)+IF(AND($B$2&gt;0,$E655&lt;20),$B$2*25,0)</f>
        <v>16.750278823782843</v>
      </c>
      <c r="BA655" s="49">
        <f>STANDARDIZE(AZ655,AVERAGE($AZ$5:$AZ$676),STDEVP($AZ$5:$AZ$676))</f>
        <v>-1.195880315536868</v>
      </c>
      <c r="BB655" s="47" t="str">
        <f>IF(OR(AND(AQ655&gt;7,AX655&gt;1),AND(AQ655&gt;4,AW655&gt;2)),"SP","RP")</f>
        <v>SP</v>
      </c>
      <c r="BC655" s="47"/>
      <c r="BD655" s="47"/>
      <c r="BE655" s="47"/>
      <c r="BF655" s="47" t="str">
        <f>IF(AVERAGE($O655:$Q655)&gt;=6,"Likely",IF(AVERAGE($O655:$Q655)&gt;=4,"Possible","Unlikely"))</f>
        <v>Unlikely</v>
      </c>
      <c r="BG655" s="47"/>
      <c r="BH655" s="47" t="str">
        <f>INDEX(Table5[[#All],[Ovr]],MATCH(Table3[[#This Row],[PID]],Table5[[#All],[PID]],0))</f>
        <v/>
      </c>
      <c r="BI655" s="47" t="str">
        <f>INDEX(Table5[[#All],[Rnd]],MATCH(Table3[[#This Row],[PID]],Table5[[#All],[PID]],0))</f>
        <v/>
      </c>
      <c r="BJ655" s="47" t="str">
        <f>INDEX(Table5[[#All],[Pick]],MATCH(Table3[[#This Row],[PID]],Table5[[#All],[PID]],0))</f>
        <v/>
      </c>
      <c r="BK655" s="47" t="str">
        <f>INDEX(Table5[[#All],[Team]],MATCH(Table3[[#This Row],[PID]],Table5[[#All],[PID]],0))</f>
        <v/>
      </c>
      <c r="BL6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6" spans="1:64" ht="15" customHeight="1" x14ac:dyDescent="0.25">
      <c r="A656" s="42">
        <v>7777</v>
      </c>
      <c r="B656" s="42" t="s">
        <v>430</v>
      </c>
      <c r="C656" s="42" t="s">
        <v>167</v>
      </c>
      <c r="D656" s="42" t="s">
        <v>157</v>
      </c>
      <c r="E656" s="42">
        <v>21</v>
      </c>
      <c r="F656" s="42" t="s">
        <v>42</v>
      </c>
      <c r="G656" s="42" t="s">
        <v>42</v>
      </c>
      <c r="H656" s="43" t="s">
        <v>721</v>
      </c>
      <c r="I656" s="44" t="s">
        <v>43</v>
      </c>
      <c r="J656" s="42" t="s">
        <v>44</v>
      </c>
      <c r="K656" s="43" t="s">
        <v>47</v>
      </c>
      <c r="L656" s="42">
        <v>1</v>
      </c>
      <c r="M656" s="42">
        <v>1</v>
      </c>
      <c r="N656" s="43">
        <v>2</v>
      </c>
      <c r="O656" s="42">
        <v>2</v>
      </c>
      <c r="P656" s="42">
        <v>1</v>
      </c>
      <c r="Q656" s="43">
        <v>2</v>
      </c>
      <c r="R656" s="42">
        <v>2</v>
      </c>
      <c r="S656" s="42">
        <v>3</v>
      </c>
      <c r="T656" s="42" t="s">
        <v>45</v>
      </c>
      <c r="U656" s="42" t="s">
        <v>45</v>
      </c>
      <c r="V656" s="42">
        <v>1</v>
      </c>
      <c r="W656" s="42">
        <v>3</v>
      </c>
      <c r="X656" s="42">
        <v>1</v>
      </c>
      <c r="Y656" s="42">
        <v>4</v>
      </c>
      <c r="Z656" s="42" t="s">
        <v>45</v>
      </c>
      <c r="AA656" s="42" t="s">
        <v>45</v>
      </c>
      <c r="AB656" s="42" t="s">
        <v>45</v>
      </c>
      <c r="AC656" s="42" t="s">
        <v>45</v>
      </c>
      <c r="AD656" s="42" t="s">
        <v>45</v>
      </c>
      <c r="AE656" s="42" t="s">
        <v>45</v>
      </c>
      <c r="AF656" s="42" t="s">
        <v>45</v>
      </c>
      <c r="AG656" s="42" t="s">
        <v>45</v>
      </c>
      <c r="AH656" s="42" t="s">
        <v>45</v>
      </c>
      <c r="AI656" s="42" t="s">
        <v>45</v>
      </c>
      <c r="AJ656" s="42" t="s">
        <v>45</v>
      </c>
      <c r="AK656" s="42" t="s">
        <v>45</v>
      </c>
      <c r="AL656" s="42" t="s">
        <v>45</v>
      </c>
      <c r="AM656" s="42" t="s">
        <v>45</v>
      </c>
      <c r="AN656" s="42" t="s">
        <v>45</v>
      </c>
      <c r="AO656" s="43" t="s">
        <v>45</v>
      </c>
      <c r="AP656" s="42" t="s">
        <v>70</v>
      </c>
      <c r="AQ656" s="42">
        <v>6</v>
      </c>
      <c r="AR656" s="50" t="s">
        <v>357</v>
      </c>
      <c r="AS656" s="45" t="s">
        <v>45</v>
      </c>
      <c r="AT656" s="45" t="s">
        <v>47</v>
      </c>
      <c r="AU656" s="46">
        <f>($O$3*(L656-$O$1)/$O$2+$P$3*(M656-$P$1)/$P$2+$Q$3*(N656-$P$1)/$Q$2)/SUM($O$3:$Q$3)</f>
        <v>-2.4591636719134877</v>
      </c>
      <c r="AV656" s="46">
        <f>($O$3*(O656-$O$1)/$O$2+$P$3*(P656-$P$1)/$P$2+$Q$3*(Q656-$Q$1)/$Q$2)/SUM($O$3:$Q$3)</f>
        <v>-1.8189775966672426</v>
      </c>
      <c r="AW656" s="47">
        <f>COUNT(R656:AO656)/2</f>
        <v>3</v>
      </c>
      <c r="AX656" s="47">
        <f>IF(AND(S656&lt;&gt;"-",S656&gt;5),1,0)+IF(AND(U656&lt;&gt;"-",U656&gt;5),1,0)+IF(AND(W656&lt;&gt;"-",W656&gt;5),1,0)+IF(AND(Y656&lt;&gt;"-",Y656&gt;5),1,0)+IF(AND(AA656&lt;&gt;"-",AA656&gt;5),1,0)+IF(AND(AC656&lt;&gt;"-",AC656&gt;5),1,0)+IF(AND(AE656&lt;&gt;"-",AE656&gt;5),1,0)+IF(AND(AG656&lt;&gt;"-",AG656&gt;5),1,0)+IF(AND(AI656&lt;&gt;"-",AI656&gt;5),1,0)+IF(AND(AK656&lt;&gt;"-",AK656&gt;5),1,0)+IF(AND(AM656&lt;&gt;"-",AM656&gt;5),1,0)+IF(AND(AO656&lt;&gt;"-",AO656&gt;5),1,0)</f>
        <v>0</v>
      </c>
      <c r="AY656" s="48">
        <f>VLOOKUP(AP656,COND!$A$10:$B$32,2,FALSE)</f>
        <v>0.9</v>
      </c>
      <c r="AZ656" s="46">
        <f>($AU$3*AU656+$AV$3*AV656+$AW$3*AW656+$AX$3*AX656)*AY656*IF(AQ656&lt;5,0.95,IF(AQ656&lt;7,0.975,1))+$I$3*VLOOKUP(I656,COND!$A$2:$E$7,4,FALSE)+$J$3*VLOOKUP(J656,COND!$A$2:$E$7,2,FALSE)+$K$3*VLOOKUP(K656,COND!$A$2:$E$7,3,FALSE)+IF(BB656="SP",$BB$3,0)+IF($AW656&lt;3,-5,0)+IF(AND($B$2&gt;0,$E656&lt;20),$B$2*25,0)</f>
        <v>15.961609954069075</v>
      </c>
      <c r="BA656" s="49">
        <f>STANDARDIZE(AZ656,AVERAGE($AZ$5:$AZ$676),STDEVP($AZ$5:$AZ$676))</f>
        <v>-1.2650013071402861</v>
      </c>
      <c r="BB656" s="47" t="str">
        <f>IF(OR(AND(AQ656&gt;7,AX656&gt;1),AND(AQ656&gt;4,AW656&gt;2)),"SP","RP")</f>
        <v>SP</v>
      </c>
      <c r="BC656" s="47"/>
      <c r="BD656" s="47"/>
      <c r="BE656" s="47"/>
      <c r="BF656" s="47" t="str">
        <f>IF(AVERAGE($O656:$Q656)&gt;=6,"Likely",IF(AVERAGE($O656:$Q656)&gt;=4,"Possible","Unlikely"))</f>
        <v>Unlikely</v>
      </c>
      <c r="BG656" s="47"/>
      <c r="BH656" s="47" t="str">
        <f>INDEX(Table5[[#All],[Ovr]],MATCH(Table3[[#This Row],[PID]],Table5[[#All],[PID]],0))</f>
        <v/>
      </c>
      <c r="BI656" s="47" t="str">
        <f>INDEX(Table5[[#All],[Rnd]],MATCH(Table3[[#This Row],[PID]],Table5[[#All],[PID]],0))</f>
        <v/>
      </c>
      <c r="BJ656" s="47" t="str">
        <f>INDEX(Table5[[#All],[Pick]],MATCH(Table3[[#This Row],[PID]],Table5[[#All],[PID]],0))</f>
        <v/>
      </c>
      <c r="BK656" s="47" t="str">
        <f>INDEX(Table5[[#All],[Team]],MATCH(Table3[[#This Row],[PID]],Table5[[#All],[PID]],0))</f>
        <v/>
      </c>
      <c r="BL6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7" spans="1:64" ht="15" customHeight="1" x14ac:dyDescent="0.25">
      <c r="A657" s="42">
        <v>12168</v>
      </c>
      <c r="B657" s="42" t="s">
        <v>430</v>
      </c>
      <c r="C657" s="42" t="s">
        <v>579</v>
      </c>
      <c r="D657" s="42" t="s">
        <v>1179</v>
      </c>
      <c r="E657" s="42">
        <v>21</v>
      </c>
      <c r="F657" s="42" t="s">
        <v>53</v>
      </c>
      <c r="G657" s="42" t="s">
        <v>53</v>
      </c>
      <c r="H657" s="43" t="s">
        <v>721</v>
      </c>
      <c r="I657" s="44" t="s">
        <v>43</v>
      </c>
      <c r="J657" s="42" t="s">
        <v>44</v>
      </c>
      <c r="K657" s="43" t="s">
        <v>43</v>
      </c>
      <c r="L657" s="42">
        <v>2</v>
      </c>
      <c r="M657" s="42">
        <v>1</v>
      </c>
      <c r="N657" s="43">
        <v>1</v>
      </c>
      <c r="O657" s="42">
        <v>4</v>
      </c>
      <c r="P657" s="42">
        <v>1</v>
      </c>
      <c r="Q657" s="43">
        <v>1</v>
      </c>
      <c r="R657" s="42">
        <v>3</v>
      </c>
      <c r="S657" s="42">
        <v>4</v>
      </c>
      <c r="T657" s="42">
        <v>1</v>
      </c>
      <c r="U657" s="42">
        <v>4</v>
      </c>
      <c r="V657" s="42" t="s">
        <v>45</v>
      </c>
      <c r="W657" s="42" t="s">
        <v>45</v>
      </c>
      <c r="X657" s="42">
        <v>3</v>
      </c>
      <c r="Y657" s="42">
        <v>7</v>
      </c>
      <c r="Z657" s="42" t="s">
        <v>45</v>
      </c>
      <c r="AA657" s="42" t="s">
        <v>45</v>
      </c>
      <c r="AB657" s="42" t="s">
        <v>45</v>
      </c>
      <c r="AC657" s="42" t="s">
        <v>45</v>
      </c>
      <c r="AD657" s="42" t="s">
        <v>45</v>
      </c>
      <c r="AE657" s="42" t="s">
        <v>45</v>
      </c>
      <c r="AF657" s="42" t="s">
        <v>45</v>
      </c>
      <c r="AG657" s="42" t="s">
        <v>45</v>
      </c>
      <c r="AH657" s="42" t="s">
        <v>45</v>
      </c>
      <c r="AI657" s="42" t="s">
        <v>45</v>
      </c>
      <c r="AJ657" s="42" t="s">
        <v>45</v>
      </c>
      <c r="AK657" s="42" t="s">
        <v>45</v>
      </c>
      <c r="AL657" s="42" t="s">
        <v>45</v>
      </c>
      <c r="AM657" s="42" t="s">
        <v>45</v>
      </c>
      <c r="AN657" s="42" t="s">
        <v>45</v>
      </c>
      <c r="AO657" s="43" t="s">
        <v>45</v>
      </c>
      <c r="AP657" s="42" t="s">
        <v>64</v>
      </c>
      <c r="AQ657" s="42">
        <v>5</v>
      </c>
      <c r="AR657" s="50" t="s">
        <v>14</v>
      </c>
      <c r="AS657" s="45" t="s">
        <v>45</v>
      </c>
      <c r="AT657" s="45" t="s">
        <v>705</v>
      </c>
      <c r="AU657" s="46">
        <f>($O$3*(L657-$O$1)/$O$2+$P$3*(M657-$P$1)/$P$2+$Q$3*(N657-$P$1)/$Q$2)/SUM($O$3:$Q$3)</f>
        <v>-2.5067929134584248</v>
      </c>
      <c r="AV657" s="46">
        <f>($O$3*(O657-$O$1)/$O$2+$P$3*(P657-$P$1)/$P$2+$Q$3*(Q657-$Q$1)/$Q$2)/SUM($O$3:$Q$3)</f>
        <v>-1.671915513703006</v>
      </c>
      <c r="AW657" s="47">
        <f>COUNT(R657:AO657)/2</f>
        <v>3</v>
      </c>
      <c r="AX657" s="47">
        <f>IF(AND(S657&lt;&gt;"-",S657&gt;5),1,0)+IF(AND(U657&lt;&gt;"-",U657&gt;5),1,0)+IF(AND(W657&lt;&gt;"-",W657&gt;5),1,0)+IF(AND(Y657&lt;&gt;"-",Y657&gt;5),1,0)+IF(AND(AA657&lt;&gt;"-",AA657&gt;5),1,0)+IF(AND(AC657&lt;&gt;"-",AC657&gt;5),1,0)+IF(AND(AE657&lt;&gt;"-",AE657&gt;5),1,0)+IF(AND(AG657&lt;&gt;"-",AG657&gt;5),1,0)+IF(AND(AI657&lt;&gt;"-",AI657&gt;5),1,0)+IF(AND(AK657&lt;&gt;"-",AK657&gt;5),1,0)+IF(AND(AM657&lt;&gt;"-",AM657&gt;5),1,0)+IF(AND(AO657&lt;&gt;"-",AO657&gt;5),1,0)</f>
        <v>1</v>
      </c>
      <c r="AY657" s="48">
        <f>VLOOKUP(AP657,COND!$A$10:$B$32,2,FALSE)</f>
        <v>1</v>
      </c>
      <c r="AZ657" s="46">
        <f>($AU$3*AU657+$AV$3*AV657+$AW$3*AW657+$AX$3*AX657)*AY657*IF(AQ657&lt;5,0.95,IF(AQ657&lt;7,0.975,1))+$I$3*VLOOKUP(I657,COND!$A$2:$E$7,4,FALSE)+$J$3*VLOOKUP(J657,COND!$A$2:$E$7,2,FALSE)+$K$3*VLOOKUP(K657,COND!$A$2:$E$7,3,FALSE)+IF(BB657="SP",$BB$3,0)+IF($AW657&lt;3,-5,0)+IF(AND($B$2&gt;0,$E657&lt;20),$B$2*25,0)</f>
        <v>16.290072864666985</v>
      </c>
      <c r="BA657" s="49">
        <f>STANDARDIZE(AZ657,AVERAGE($AZ$5:$AZ$570),STDEVP($AZ$5:$AZ$570))</f>
        <v>-1.5069009542322696</v>
      </c>
      <c r="BB657" s="47" t="str">
        <f>IF(OR(AND(AQ657&gt;7,AX657&gt;1),AND(AQ657&gt;4,AW657&gt;2)),"SP","RP")</f>
        <v>SP</v>
      </c>
      <c r="BC657" s="47"/>
      <c r="BD657" s="47"/>
      <c r="BE657" s="47"/>
      <c r="BF657" s="47" t="str">
        <f>IF(AVERAGE($O657:$Q657)&gt;=6,"Likely",IF(AVERAGE($O657:$Q657)&gt;=4,"Possible","Unlikely"))</f>
        <v>Unlikely</v>
      </c>
      <c r="BG657" s="47"/>
      <c r="BH657" s="47" t="str">
        <f>INDEX(Table5[[#All],[Ovr]],MATCH(Table3[[#This Row],[PID]],Table5[[#All],[PID]],0))</f>
        <v/>
      </c>
      <c r="BI657" s="47" t="str">
        <f>INDEX(Table5[[#All],[Rnd]],MATCH(Table3[[#This Row],[PID]],Table5[[#All],[PID]],0))</f>
        <v/>
      </c>
      <c r="BJ657" s="47" t="str">
        <f>INDEX(Table5[[#All],[Pick]],MATCH(Table3[[#This Row],[PID]],Table5[[#All],[PID]],0))</f>
        <v/>
      </c>
      <c r="BK657" s="47" t="str">
        <f>INDEX(Table5[[#All],[Team]],MATCH(Table3[[#This Row],[PID]],Table5[[#All],[PID]],0))</f>
        <v/>
      </c>
      <c r="BL6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8" spans="1:64" ht="15" customHeight="1" x14ac:dyDescent="0.25">
      <c r="A658" s="42">
        <v>11357</v>
      </c>
      <c r="B658" s="42" t="s">
        <v>430</v>
      </c>
      <c r="C658" s="42" t="s">
        <v>466</v>
      </c>
      <c r="D658" s="42" t="s">
        <v>158</v>
      </c>
      <c r="E658" s="42">
        <v>22</v>
      </c>
      <c r="F658" s="42" t="s">
        <v>42</v>
      </c>
      <c r="G658" s="42" t="s">
        <v>42</v>
      </c>
      <c r="H658" s="43" t="s">
        <v>721</v>
      </c>
      <c r="I658" s="44" t="s">
        <v>43</v>
      </c>
      <c r="J658" s="42" t="s">
        <v>43</v>
      </c>
      <c r="K658" s="43" t="s">
        <v>43</v>
      </c>
      <c r="L658" s="42">
        <v>2</v>
      </c>
      <c r="M658" s="42">
        <v>1</v>
      </c>
      <c r="N658" s="43">
        <v>2</v>
      </c>
      <c r="O658" s="42">
        <v>3</v>
      </c>
      <c r="P658" s="42">
        <v>1</v>
      </c>
      <c r="Q658" s="43">
        <v>2</v>
      </c>
      <c r="R658" s="42">
        <v>3</v>
      </c>
      <c r="S658" s="42">
        <v>4</v>
      </c>
      <c r="T658" s="42">
        <v>2</v>
      </c>
      <c r="U658" s="42">
        <v>4</v>
      </c>
      <c r="V658" s="42">
        <v>1</v>
      </c>
      <c r="W658" s="42">
        <v>4</v>
      </c>
      <c r="X658" s="42" t="s">
        <v>45</v>
      </c>
      <c r="Y658" s="42" t="s">
        <v>45</v>
      </c>
      <c r="Z658" s="42" t="s">
        <v>45</v>
      </c>
      <c r="AA658" s="42" t="s">
        <v>45</v>
      </c>
      <c r="AB658" s="42" t="s">
        <v>45</v>
      </c>
      <c r="AC658" s="42" t="s">
        <v>45</v>
      </c>
      <c r="AD658" s="42" t="s">
        <v>45</v>
      </c>
      <c r="AE658" s="42" t="s">
        <v>45</v>
      </c>
      <c r="AF658" s="42" t="s">
        <v>45</v>
      </c>
      <c r="AG658" s="42" t="s">
        <v>45</v>
      </c>
      <c r="AH658" s="42" t="s">
        <v>45</v>
      </c>
      <c r="AI658" s="42" t="s">
        <v>45</v>
      </c>
      <c r="AJ658" s="42" t="s">
        <v>45</v>
      </c>
      <c r="AK658" s="42" t="s">
        <v>45</v>
      </c>
      <c r="AL658" s="42" t="s">
        <v>45</v>
      </c>
      <c r="AM658" s="42" t="s">
        <v>45</v>
      </c>
      <c r="AN658" s="42" t="s">
        <v>45</v>
      </c>
      <c r="AO658" s="43" t="s">
        <v>45</v>
      </c>
      <c r="AP658" s="42" t="s">
        <v>355</v>
      </c>
      <c r="AQ658" s="42">
        <v>9</v>
      </c>
      <c r="AR658" s="50" t="s">
        <v>353</v>
      </c>
      <c r="AS658" s="45" t="s">
        <v>45</v>
      </c>
      <c r="AT658" s="45" t="s">
        <v>705</v>
      </c>
      <c r="AU658" s="46">
        <f>($O$3*(L658-$O$1)/$O$2+$P$3*(M658-$P$1)/$P$2+$Q$3*(N658-$P$1)/$Q$2)/SUM($O$3:$Q$3)</f>
        <v>-2.2644723474043147</v>
      </c>
      <c r="AV658" s="46">
        <f>($O$3*(O658-$O$1)/$O$2+$P$3*(P658-$P$1)/$P$2+$Q$3*(Q658-$Q$1)/$Q$2)/SUM($O$3:$Q$3)</f>
        <v>-1.6242862721580691</v>
      </c>
      <c r="AW658" s="47">
        <f>COUNT(R658:AO658)/2</f>
        <v>3</v>
      </c>
      <c r="AX658" s="47">
        <f>IF(AND(S658&lt;&gt;"-",S658&gt;5),1,0)+IF(AND(U658&lt;&gt;"-",U658&gt;5),1,0)+IF(AND(W658&lt;&gt;"-",W658&gt;5),1,0)+IF(AND(Y658&lt;&gt;"-",Y658&gt;5),1,0)+IF(AND(AA658&lt;&gt;"-",AA658&gt;5),1,0)+IF(AND(AC658&lt;&gt;"-",AC658&gt;5),1,0)+IF(AND(AE658&lt;&gt;"-",AE658&gt;5),1,0)+IF(AND(AG658&lt;&gt;"-",AG658&gt;5),1,0)+IF(AND(AI658&lt;&gt;"-",AI658&gt;5),1,0)+IF(AND(AK658&lt;&gt;"-",AK658&gt;5),1,0)+IF(AND(AM658&lt;&gt;"-",AM658&gt;5),1,0)+IF(AND(AO658&lt;&gt;"-",AO658&gt;5),1,0)</f>
        <v>0</v>
      </c>
      <c r="AY658" s="48">
        <f>VLOOKUP(AP658,COND!$A$10:$B$32,2,FALSE)</f>
        <v>1</v>
      </c>
      <c r="AZ658" s="46">
        <f>($AU$3*AU658+$AV$3*AV658+$AW$3*AW658+$AX$3*AX658)*AY658*IF(AQ658&lt;5,0.95,IF(AQ658&lt;7,0.975,1))+$I$3*VLOOKUP(I658,COND!$A$2:$E$7,4,FALSE)+$J$3*VLOOKUP(J658,COND!$A$2:$E$7,2,FALSE)+$K$3*VLOOKUP(K658,COND!$A$2:$E$7,3,FALSE)+IF(BB658="SP",$BB$3,0)+IF($AW658&lt;3,-5,0)+IF(AND($B$2&gt;0,$E658&lt;20),$B$2*25,0)</f>
        <v>15.561380087357755</v>
      </c>
      <c r="BA658" s="49">
        <f>STANDARDIZE(AZ658,AVERAGE($AZ$5:$AZ$676),STDEVP($AZ$5:$AZ$676))</f>
        <v>-1.3000784939277281</v>
      </c>
      <c r="BB658" s="47" t="str">
        <f>IF(OR(AND(AQ658&gt;7,AX658&gt;1),AND(AQ658&gt;4,AW658&gt;2)),"SP","RP")</f>
        <v>SP</v>
      </c>
      <c r="BC658" s="47"/>
      <c r="BD658" s="47"/>
      <c r="BE658" s="47"/>
      <c r="BF658" s="47" t="str">
        <f>IF(AVERAGE($O658:$Q658)&gt;=6,"Likely",IF(AVERAGE($O658:$Q658)&gt;=4,"Possible","Unlikely"))</f>
        <v>Unlikely</v>
      </c>
      <c r="BG658" s="47"/>
      <c r="BH658" s="47" t="str">
        <f>INDEX(Table5[[#All],[Ovr]],MATCH(Table3[[#This Row],[PID]],Table5[[#All],[PID]],0))</f>
        <v/>
      </c>
      <c r="BI658" s="47" t="str">
        <f>INDEX(Table5[[#All],[Rnd]],MATCH(Table3[[#This Row],[PID]],Table5[[#All],[PID]],0))</f>
        <v/>
      </c>
      <c r="BJ658" s="47" t="str">
        <f>INDEX(Table5[[#All],[Pick]],MATCH(Table3[[#This Row],[PID]],Table5[[#All],[PID]],0))</f>
        <v/>
      </c>
      <c r="BK658" s="47" t="str">
        <f>INDEX(Table5[[#All],[Team]],MATCH(Table3[[#This Row],[PID]],Table5[[#All],[PID]],0))</f>
        <v/>
      </c>
      <c r="BL6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9" spans="1:64" ht="15" customHeight="1" x14ac:dyDescent="0.25">
      <c r="A659" s="42">
        <v>11781</v>
      </c>
      <c r="B659" s="42" t="s">
        <v>430</v>
      </c>
      <c r="C659" s="42" t="s">
        <v>817</v>
      </c>
      <c r="D659" s="42" t="s">
        <v>810</v>
      </c>
      <c r="E659" s="42">
        <v>21</v>
      </c>
      <c r="F659" s="42" t="s">
        <v>53</v>
      </c>
      <c r="G659" s="42" t="s">
        <v>42</v>
      </c>
      <c r="H659" s="43" t="s">
        <v>721</v>
      </c>
      <c r="I659" s="44" t="s">
        <v>43</v>
      </c>
      <c r="J659" s="42" t="s">
        <v>44</v>
      </c>
      <c r="K659" s="43" t="s">
        <v>43</v>
      </c>
      <c r="L659" s="42">
        <v>2</v>
      </c>
      <c r="M659" s="42">
        <v>1</v>
      </c>
      <c r="N659" s="43">
        <v>2</v>
      </c>
      <c r="O659" s="42">
        <v>3</v>
      </c>
      <c r="P659" s="42">
        <v>1</v>
      </c>
      <c r="Q659" s="43">
        <v>2</v>
      </c>
      <c r="R659" s="42">
        <v>3</v>
      </c>
      <c r="S659" s="42">
        <v>4</v>
      </c>
      <c r="T659" s="42" t="s">
        <v>45</v>
      </c>
      <c r="U659" s="42" t="s">
        <v>45</v>
      </c>
      <c r="V659" s="42" t="s">
        <v>45</v>
      </c>
      <c r="W659" s="42" t="s">
        <v>45</v>
      </c>
      <c r="X659" s="42">
        <v>2</v>
      </c>
      <c r="Y659" s="42">
        <v>4</v>
      </c>
      <c r="Z659" s="42" t="s">
        <v>45</v>
      </c>
      <c r="AA659" s="42" t="s">
        <v>45</v>
      </c>
      <c r="AB659" s="42" t="s">
        <v>45</v>
      </c>
      <c r="AC659" s="42" t="s">
        <v>45</v>
      </c>
      <c r="AD659" s="42" t="s">
        <v>45</v>
      </c>
      <c r="AE659" s="42" t="s">
        <v>45</v>
      </c>
      <c r="AF659" s="42" t="s">
        <v>45</v>
      </c>
      <c r="AG659" s="42" t="s">
        <v>45</v>
      </c>
      <c r="AH659" s="42">
        <v>2</v>
      </c>
      <c r="AI659" s="42">
        <v>4</v>
      </c>
      <c r="AJ659" s="42" t="s">
        <v>45</v>
      </c>
      <c r="AK659" s="42" t="s">
        <v>45</v>
      </c>
      <c r="AL659" s="42" t="s">
        <v>45</v>
      </c>
      <c r="AM659" s="42" t="s">
        <v>45</v>
      </c>
      <c r="AN659" s="42" t="s">
        <v>45</v>
      </c>
      <c r="AO659" s="43" t="s">
        <v>45</v>
      </c>
      <c r="AP659" s="42" t="s">
        <v>356</v>
      </c>
      <c r="AQ659" s="42">
        <v>6</v>
      </c>
      <c r="AR659" s="50" t="s">
        <v>14</v>
      </c>
      <c r="AS659" s="45" t="s">
        <v>45</v>
      </c>
      <c r="AT659" s="45" t="s">
        <v>705</v>
      </c>
      <c r="AU659" s="46">
        <f>($O$3*(L659-$O$1)/$O$2+$P$3*(M659-$P$1)/$P$2+$Q$3*(N659-$P$1)/$Q$2)/SUM($O$3:$Q$3)</f>
        <v>-2.2644723474043147</v>
      </c>
      <c r="AV659" s="46">
        <f>($O$3*(O659-$O$1)/$O$2+$P$3*(P659-$P$1)/$P$2+$Q$3*(Q659-$Q$1)/$Q$2)/SUM($O$3:$Q$3)</f>
        <v>-1.6242862721580691</v>
      </c>
      <c r="AW659" s="47">
        <f>COUNT(R659:AO659)/2</f>
        <v>3</v>
      </c>
      <c r="AX659" s="47">
        <f>IF(AND(S659&lt;&gt;"-",S659&gt;5),1,0)+IF(AND(U659&lt;&gt;"-",U659&gt;5),1,0)+IF(AND(W659&lt;&gt;"-",W659&gt;5),1,0)+IF(AND(Y659&lt;&gt;"-",Y659&gt;5),1,0)+IF(AND(AA659&lt;&gt;"-",AA659&gt;5),1,0)+IF(AND(AC659&lt;&gt;"-",AC659&gt;5),1,0)+IF(AND(AE659&lt;&gt;"-",AE659&gt;5),1,0)+IF(AND(AG659&lt;&gt;"-",AG659&gt;5),1,0)+IF(AND(AI659&lt;&gt;"-",AI659&gt;5),1,0)+IF(AND(AK659&lt;&gt;"-",AK659&gt;5),1,0)+IF(AND(AM659&lt;&gt;"-",AM659&gt;5),1,0)+IF(AND(AO659&lt;&gt;"-",AO659&gt;5),1,0)</f>
        <v>0</v>
      </c>
      <c r="AY659" s="48">
        <f>VLOOKUP(AP659,COND!$A$10:$B$32,2,FALSE)</f>
        <v>1</v>
      </c>
      <c r="AZ659" s="46">
        <f>($AU$3*AU659+$AV$3*AV659+$AW$3*AW659+$AX$3*AX659)*AY659*IF(AQ659&lt;5,0.95,IF(AQ659&lt;7,0.975,1))+$I$3*VLOOKUP(I659,COND!$A$2:$E$7,4,FALSE)+$J$3*VLOOKUP(J659,COND!$A$2:$E$7,2,FALSE)+$K$3*VLOOKUP(K659,COND!$A$2:$E$7,3,FALSE)+IF(BB659="SP",$BB$3,0)+IF($AW659&lt;3,-5,0)+IF(AND($B$2&gt;0,$E659&lt;20),$B$2*25,0)</f>
        <v>16.047345585173812</v>
      </c>
      <c r="BA659" s="49">
        <f>STANDARDIZE(AZ659,AVERAGE($AZ$5:$AZ$676),STDEVP($AZ$5:$AZ$676))</f>
        <v>-1.2574872133738428</v>
      </c>
      <c r="BB659" s="47" t="str">
        <f>IF(OR(AND(AQ659&gt;7,AX659&gt;1),AND(AQ659&gt;4,AW659&gt;2)),"SP","RP")</f>
        <v>SP</v>
      </c>
      <c r="BC659" s="47"/>
      <c r="BD659" s="47"/>
      <c r="BE659" s="47"/>
      <c r="BF659" s="47" t="str">
        <f>IF(AVERAGE($O659:$Q659)&gt;=6,"Likely",IF(AVERAGE($O659:$Q659)&gt;=4,"Possible","Unlikely"))</f>
        <v>Unlikely</v>
      </c>
      <c r="BG659" s="47"/>
      <c r="BH659" s="47" t="str">
        <f>INDEX(Table5[[#All],[Ovr]],MATCH(Table3[[#This Row],[PID]],Table5[[#All],[PID]],0))</f>
        <v/>
      </c>
      <c r="BI659" s="47" t="str">
        <f>INDEX(Table5[[#All],[Rnd]],MATCH(Table3[[#This Row],[PID]],Table5[[#All],[PID]],0))</f>
        <v/>
      </c>
      <c r="BJ659" s="47" t="str">
        <f>INDEX(Table5[[#All],[Pick]],MATCH(Table3[[#This Row],[PID]],Table5[[#All],[PID]],0))</f>
        <v/>
      </c>
      <c r="BK659" s="47" t="str">
        <f>INDEX(Table5[[#All],[Team]],MATCH(Table3[[#This Row],[PID]],Table5[[#All],[PID]],0))</f>
        <v/>
      </c>
      <c r="BL6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0" spans="1:64" ht="15" customHeight="1" x14ac:dyDescent="0.25">
      <c r="A660" s="42">
        <v>11846</v>
      </c>
      <c r="B660" s="42" t="s">
        <v>430</v>
      </c>
      <c r="C660" s="42" t="s">
        <v>1745</v>
      </c>
      <c r="D660" s="42" t="s">
        <v>757</v>
      </c>
      <c r="E660" s="42">
        <v>21</v>
      </c>
      <c r="F660" s="42" t="s">
        <v>62</v>
      </c>
      <c r="G660" s="42" t="s">
        <v>42</v>
      </c>
      <c r="H660" s="43" t="s">
        <v>721</v>
      </c>
      <c r="I660" s="44" t="s">
        <v>43</v>
      </c>
      <c r="J660" s="42" t="s">
        <v>44</v>
      </c>
      <c r="K660" s="43" t="s">
        <v>43</v>
      </c>
      <c r="L660" s="42">
        <v>3</v>
      </c>
      <c r="M660" s="42">
        <v>1</v>
      </c>
      <c r="N660" s="43">
        <v>1</v>
      </c>
      <c r="O660" s="42">
        <v>4</v>
      </c>
      <c r="P660" s="42">
        <v>1</v>
      </c>
      <c r="Q660" s="43">
        <v>2</v>
      </c>
      <c r="R660" s="42">
        <v>5</v>
      </c>
      <c r="S660" s="42">
        <v>6</v>
      </c>
      <c r="T660" s="42" t="s">
        <v>45</v>
      </c>
      <c r="U660" s="42" t="s">
        <v>45</v>
      </c>
      <c r="V660" s="42" t="s">
        <v>45</v>
      </c>
      <c r="W660" s="42" t="s">
        <v>45</v>
      </c>
      <c r="X660" s="42">
        <v>3</v>
      </c>
      <c r="Y660" s="42">
        <v>6</v>
      </c>
      <c r="Z660" s="42" t="s">
        <v>45</v>
      </c>
      <c r="AA660" s="42" t="s">
        <v>45</v>
      </c>
      <c r="AB660" s="42" t="s">
        <v>45</v>
      </c>
      <c r="AC660" s="42" t="s">
        <v>45</v>
      </c>
      <c r="AD660" s="42" t="s">
        <v>45</v>
      </c>
      <c r="AE660" s="42" t="s">
        <v>45</v>
      </c>
      <c r="AF660" s="42" t="s">
        <v>45</v>
      </c>
      <c r="AG660" s="42" t="s">
        <v>45</v>
      </c>
      <c r="AH660" s="42" t="s">
        <v>45</v>
      </c>
      <c r="AI660" s="42" t="s">
        <v>45</v>
      </c>
      <c r="AJ660" s="42" t="s">
        <v>45</v>
      </c>
      <c r="AK660" s="42" t="s">
        <v>45</v>
      </c>
      <c r="AL660" s="42" t="s">
        <v>45</v>
      </c>
      <c r="AM660" s="42" t="s">
        <v>45</v>
      </c>
      <c r="AN660" s="42" t="s">
        <v>45</v>
      </c>
      <c r="AO660" s="43" t="s">
        <v>45</v>
      </c>
      <c r="AP660" s="42" t="s">
        <v>60</v>
      </c>
      <c r="AQ660" s="42">
        <v>9</v>
      </c>
      <c r="AR660" s="50" t="s">
        <v>353</v>
      </c>
      <c r="AS660" s="45" t="s">
        <v>45</v>
      </c>
      <c r="AT660" s="45" t="s">
        <v>705</v>
      </c>
      <c r="AU660" s="46">
        <f>($O$3*(L660-$O$1)/$O$2+$P$3*(M660-$P$1)/$P$2+$Q$3*(N660-$P$1)/$Q$2)/SUM($O$3:$Q$3)</f>
        <v>-2.3121015889492513</v>
      </c>
      <c r="AV660" s="46">
        <f>($O$3*(O660-$O$1)/$O$2+$P$3*(P660-$P$1)/$P$2+$Q$3*(Q660-$Q$1)/$Q$2)/SUM($O$3:$Q$3)</f>
        <v>-1.4295949476488956</v>
      </c>
      <c r="AW660" s="47">
        <f>COUNT(R660:AO660)/2</f>
        <v>2</v>
      </c>
      <c r="AX660" s="47">
        <f>IF(AND(S660&lt;&gt;"-",S660&gt;5),1,0)+IF(AND(U660&lt;&gt;"-",U660&gt;5),1,0)+IF(AND(W660&lt;&gt;"-",W660&gt;5),1,0)+IF(AND(Y660&lt;&gt;"-",Y660&gt;5),1,0)+IF(AND(AA660&lt;&gt;"-",AA660&gt;5),1,0)+IF(AND(AC660&lt;&gt;"-",AC660&gt;5),1,0)+IF(AND(AE660&lt;&gt;"-",AE660&gt;5),1,0)+IF(AND(AG660&lt;&gt;"-",AG660&gt;5),1,0)+IF(AND(AI660&lt;&gt;"-",AI660&gt;5),1,0)+IF(AND(AK660&lt;&gt;"-",AK660&gt;5),1,0)+IF(AND(AM660&lt;&gt;"-",AM660&gt;5),1,0)+IF(AND(AO660&lt;&gt;"-",AO660&gt;5),1,0)</f>
        <v>2</v>
      </c>
      <c r="AY660" s="48">
        <f>VLOOKUP(AP660,COND!$A$10:$B$32,2,FALSE)</f>
        <v>1.0249999999999999</v>
      </c>
      <c r="AZ660" s="46">
        <f>($AU$3*AU660+$AV$3*AV660+$AW$3*AW660+$AX$3*AX660)*AY660*IF(AQ660&lt;5,0.95,IF(AQ660&lt;7,0.975,1))+$I$3*VLOOKUP(I660,COND!$A$2:$E$7,4,FALSE)+$J$3*VLOOKUP(J660,COND!$A$2:$E$7,2,FALSE)+$K$3*VLOOKUP(K660,COND!$A$2:$E$7,3,FALSE)+IF(BB660="SP",$BB$3,0)+IF($AW660&lt;3,-5,0)+IF(AND($B$2&gt;0,$E660&lt;20),$B$2*25,0)</f>
        <v>15.506822747463044</v>
      </c>
      <c r="BA660" s="49">
        <f>STANDARDIZE(AZ660,AVERAGE($AZ$5:$AZ$570),STDEVP($AZ$5:$AZ$570))</f>
        <v>-1.5787283376612302</v>
      </c>
      <c r="BB660" s="47" t="str">
        <f>IF(OR(AND(AQ660&gt;7,AX660&gt;1),AND(AQ660&gt;4,AW660&gt;2)),"SP","RP")</f>
        <v>SP</v>
      </c>
      <c r="BC660" s="47"/>
      <c r="BD660" s="47"/>
      <c r="BE660" s="47"/>
      <c r="BF660" s="47" t="str">
        <f>IF(AVERAGE($O660:$Q660)&gt;=6,"Likely",IF(AVERAGE($O660:$Q660)&gt;=4,"Possible","Unlikely"))</f>
        <v>Unlikely</v>
      </c>
      <c r="BG660" s="47"/>
      <c r="BH660" s="47" t="str">
        <f>INDEX(Table5[[#All],[Ovr]],MATCH(Table3[[#This Row],[PID]],Table5[[#All],[PID]],0))</f>
        <v/>
      </c>
      <c r="BI660" s="47" t="str">
        <f>INDEX(Table5[[#All],[Rnd]],MATCH(Table3[[#This Row],[PID]],Table5[[#All],[PID]],0))</f>
        <v/>
      </c>
      <c r="BJ660" s="47" t="str">
        <f>INDEX(Table5[[#All],[Pick]],MATCH(Table3[[#This Row],[PID]],Table5[[#All],[PID]],0))</f>
        <v/>
      </c>
      <c r="BK660" s="47" t="str">
        <f>INDEX(Table5[[#All],[Team]],MATCH(Table3[[#This Row],[PID]],Table5[[#All],[PID]],0))</f>
        <v/>
      </c>
      <c r="BL6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1" spans="1:64" ht="15" customHeight="1" x14ac:dyDescent="0.25">
      <c r="A661" s="42">
        <v>3430</v>
      </c>
      <c r="B661" s="42" t="s">
        <v>430</v>
      </c>
      <c r="C661" s="42" t="s">
        <v>400</v>
      </c>
      <c r="D661" s="42" t="s">
        <v>213</v>
      </c>
      <c r="E661" s="42">
        <v>21</v>
      </c>
      <c r="F661" s="42" t="s">
        <v>53</v>
      </c>
      <c r="G661" s="42" t="s">
        <v>53</v>
      </c>
      <c r="H661" s="43" t="s">
        <v>721</v>
      </c>
      <c r="I661" s="44" t="s">
        <v>43</v>
      </c>
      <c r="J661" s="42" t="s">
        <v>44</v>
      </c>
      <c r="K661" s="43" t="s">
        <v>47</v>
      </c>
      <c r="L661" s="42">
        <v>2</v>
      </c>
      <c r="M661" s="42">
        <v>1</v>
      </c>
      <c r="N661" s="43">
        <v>1</v>
      </c>
      <c r="O661" s="42">
        <v>4</v>
      </c>
      <c r="P661" s="42">
        <v>1</v>
      </c>
      <c r="Q661" s="43">
        <v>2</v>
      </c>
      <c r="R661" s="42">
        <v>4</v>
      </c>
      <c r="S661" s="42">
        <v>5</v>
      </c>
      <c r="T661" s="42" t="s">
        <v>45</v>
      </c>
      <c r="U661" s="42" t="s">
        <v>45</v>
      </c>
      <c r="V661" s="42">
        <v>3</v>
      </c>
      <c r="W661" s="42">
        <v>6</v>
      </c>
      <c r="X661" s="42" t="s">
        <v>45</v>
      </c>
      <c r="Y661" s="42" t="s">
        <v>45</v>
      </c>
      <c r="Z661" s="42" t="s">
        <v>45</v>
      </c>
      <c r="AA661" s="42" t="s">
        <v>45</v>
      </c>
      <c r="AB661" s="42" t="s">
        <v>45</v>
      </c>
      <c r="AC661" s="42" t="s">
        <v>45</v>
      </c>
      <c r="AD661" s="42" t="s">
        <v>45</v>
      </c>
      <c r="AE661" s="42" t="s">
        <v>45</v>
      </c>
      <c r="AF661" s="42" t="s">
        <v>45</v>
      </c>
      <c r="AG661" s="42" t="s">
        <v>45</v>
      </c>
      <c r="AH661" s="42" t="s">
        <v>45</v>
      </c>
      <c r="AI661" s="42" t="s">
        <v>45</v>
      </c>
      <c r="AJ661" s="42" t="s">
        <v>45</v>
      </c>
      <c r="AK661" s="42" t="s">
        <v>45</v>
      </c>
      <c r="AL661" s="42" t="s">
        <v>45</v>
      </c>
      <c r="AM661" s="42" t="s">
        <v>45</v>
      </c>
      <c r="AN661" s="42" t="s">
        <v>45</v>
      </c>
      <c r="AO661" s="43" t="s">
        <v>45</v>
      </c>
      <c r="AP661" s="42" t="s">
        <v>356</v>
      </c>
      <c r="AQ661" s="42">
        <v>1</v>
      </c>
      <c r="AR661" s="50" t="s">
        <v>353</v>
      </c>
      <c r="AS661" s="45" t="s">
        <v>45</v>
      </c>
      <c r="AT661" s="45" t="s">
        <v>47</v>
      </c>
      <c r="AU661" s="46">
        <f>($O$3*(L661-$O$1)/$O$2+$P$3*(M661-$P$1)/$P$2+$Q$3*(N661-$P$1)/$Q$2)/SUM($O$3:$Q$3)</f>
        <v>-2.5067929134584248</v>
      </c>
      <c r="AV661" s="46">
        <f>($O$3*(O661-$O$1)/$O$2+$P$3*(P661-$P$1)/$P$2+$Q$3*(Q661-$Q$1)/$Q$2)/SUM($O$3:$Q$3)</f>
        <v>-1.4295949476488956</v>
      </c>
      <c r="AW661" s="47">
        <f>COUNT(R661:AO661)/2</f>
        <v>2</v>
      </c>
      <c r="AX661" s="47">
        <f>IF(AND(S661&lt;&gt;"-",S661&gt;5),1,0)+IF(AND(U661&lt;&gt;"-",U661&gt;5),1,0)+IF(AND(W661&lt;&gt;"-",W661&gt;5),1,0)+IF(AND(Y661&lt;&gt;"-",Y661&gt;5),1,0)+IF(AND(AA661&lt;&gt;"-",AA661&gt;5),1,0)+IF(AND(AC661&lt;&gt;"-",AC661&gt;5),1,0)+IF(AND(AE661&lt;&gt;"-",AE661&gt;5),1,0)+IF(AND(AG661&lt;&gt;"-",AG661&gt;5),1,0)+IF(AND(AI661&lt;&gt;"-",AI661&gt;5),1,0)+IF(AND(AK661&lt;&gt;"-",AK661&gt;5),1,0)+IF(AND(AM661&lt;&gt;"-",AM661&gt;5),1,0)+IF(AND(AO661&lt;&gt;"-",AO661&gt;5),1,0)</f>
        <v>1</v>
      </c>
      <c r="AY661" s="48">
        <f>VLOOKUP(AP661,COND!$A$10:$B$32,2,FALSE)</f>
        <v>1</v>
      </c>
      <c r="AZ661" s="46">
        <f>($AU$3*AU661+$AV$3*AV661+$AW$3*AW661+$AX$3*AX661)*AY661*IF(AQ661&lt;5,0.95,IF(AQ661&lt;7,0.975,1))+$I$3*VLOOKUP(I661,COND!$A$2:$E$7,4,FALSE)+$J$3*VLOOKUP(J661,COND!$A$2:$E$7,2,FALSE)+$K$3*VLOOKUP(K661,COND!$A$2:$E$7,3,FALSE)+IF(BB661="SP",$BB$3,0)+IF($AW661&lt;3,-5,0)+IF(AND($B$2&gt;0,$E661&lt;20),$B$2*25,0)</f>
        <v>14.498905341113879</v>
      </c>
      <c r="BA661" s="49">
        <f>STANDARDIZE(AZ661,AVERAGE($AZ$5:$AZ$570),STDEVP($AZ$5:$AZ$570))</f>
        <v>-1.6711586717529836</v>
      </c>
      <c r="BB661" s="47" t="str">
        <f>IF(OR(AND(AQ661&gt;7,AX661&gt;1),AND(AQ661&gt;4,AW661&gt;2)),"SP","RP")</f>
        <v>RP</v>
      </c>
      <c r="BC661" s="47"/>
      <c r="BD661" s="47"/>
      <c r="BE661" s="47"/>
      <c r="BF661" s="47" t="str">
        <f>IF(AVERAGE($O661:$Q661)&gt;=6,"Likely",IF(AVERAGE($O661:$Q661)&gt;=4,"Possible","Unlikely"))</f>
        <v>Unlikely</v>
      </c>
      <c r="BG661" s="47"/>
      <c r="BH661" s="47" t="str">
        <f>INDEX(Table5[[#All],[Ovr]],MATCH(Table3[[#This Row],[PID]],Table5[[#All],[PID]],0))</f>
        <v/>
      </c>
      <c r="BI661" s="47" t="str">
        <f>INDEX(Table5[[#All],[Rnd]],MATCH(Table3[[#This Row],[PID]],Table5[[#All],[PID]],0))</f>
        <v/>
      </c>
      <c r="BJ661" s="47" t="str">
        <f>INDEX(Table5[[#All],[Pick]],MATCH(Table3[[#This Row],[PID]],Table5[[#All],[PID]],0))</f>
        <v/>
      </c>
      <c r="BK661" s="47" t="str">
        <f>INDEX(Table5[[#All],[Team]],MATCH(Table3[[#This Row],[PID]],Table5[[#All],[PID]],0))</f>
        <v/>
      </c>
      <c r="BL6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2" spans="1:64" ht="15" customHeight="1" x14ac:dyDescent="0.25">
      <c r="A662" s="42">
        <v>12991</v>
      </c>
      <c r="B662" s="42" t="s">
        <v>430</v>
      </c>
      <c r="C662" s="42" t="s">
        <v>620</v>
      </c>
      <c r="D662" s="42" t="s">
        <v>1767</v>
      </c>
      <c r="E662" s="42">
        <v>21</v>
      </c>
      <c r="F662" s="42" t="s">
        <v>53</v>
      </c>
      <c r="G662" s="42" t="s">
        <v>42</v>
      </c>
      <c r="H662" s="43" t="s">
        <v>721</v>
      </c>
      <c r="I662" s="44" t="s">
        <v>43</v>
      </c>
      <c r="J662" s="42" t="s">
        <v>43</v>
      </c>
      <c r="K662" s="43" t="s">
        <v>43</v>
      </c>
      <c r="L662" s="42">
        <v>2</v>
      </c>
      <c r="M662" s="42">
        <v>2</v>
      </c>
      <c r="N662" s="43">
        <v>1</v>
      </c>
      <c r="O662" s="42">
        <v>3</v>
      </c>
      <c r="P662" s="42">
        <v>2</v>
      </c>
      <c r="Q662" s="43">
        <v>2</v>
      </c>
      <c r="R662" s="42">
        <v>4</v>
      </c>
      <c r="S662" s="42">
        <v>5</v>
      </c>
      <c r="T662" s="42" t="s">
        <v>45</v>
      </c>
      <c r="U662" s="42" t="s">
        <v>45</v>
      </c>
      <c r="V662" s="42">
        <v>2</v>
      </c>
      <c r="W662" s="42">
        <v>4</v>
      </c>
      <c r="X662" s="42" t="s">
        <v>45</v>
      </c>
      <c r="Y662" s="42" t="s">
        <v>45</v>
      </c>
      <c r="Z662" s="42" t="s">
        <v>45</v>
      </c>
      <c r="AA662" s="42" t="s">
        <v>45</v>
      </c>
      <c r="AB662" s="42" t="s">
        <v>45</v>
      </c>
      <c r="AC662" s="42" t="s">
        <v>45</v>
      </c>
      <c r="AD662" s="42" t="s">
        <v>45</v>
      </c>
      <c r="AE662" s="42" t="s">
        <v>45</v>
      </c>
      <c r="AF662" s="42" t="s">
        <v>45</v>
      </c>
      <c r="AG662" s="42" t="s">
        <v>45</v>
      </c>
      <c r="AH662" s="42" t="s">
        <v>45</v>
      </c>
      <c r="AI662" s="42" t="s">
        <v>45</v>
      </c>
      <c r="AJ662" s="42" t="s">
        <v>45</v>
      </c>
      <c r="AK662" s="42" t="s">
        <v>45</v>
      </c>
      <c r="AL662" s="42" t="s">
        <v>45</v>
      </c>
      <c r="AM662" s="42" t="s">
        <v>45</v>
      </c>
      <c r="AN662" s="42" t="s">
        <v>45</v>
      </c>
      <c r="AO662" s="43" t="s">
        <v>45</v>
      </c>
      <c r="AP662" s="42" t="s">
        <v>68</v>
      </c>
      <c r="AQ662" s="42">
        <v>2</v>
      </c>
      <c r="AR662" s="50" t="s">
        <v>353</v>
      </c>
      <c r="AS662" s="45" t="s">
        <v>45</v>
      </c>
      <c r="AT662" s="45" t="s">
        <v>47</v>
      </c>
      <c r="AU662" s="46">
        <f>($O$3*(L662-$O$1)/$O$2+$P$3*(M662-$P$1)/$P$2+$Q$3*(N662-$P$1)/$Q$2)/SUM($O$3:$Q$3)</f>
        <v>-2.311361197028369</v>
      </c>
      <c r="AV662" s="46">
        <f>($O$3*(O662-$O$1)/$O$2+$P$3*(P662-$P$1)/$P$2+$Q$3*(Q662-$Q$1)/$Q$2)/SUM($O$3:$Q$3)</f>
        <v>-1.4288545557280135</v>
      </c>
      <c r="AW662" s="47">
        <f>COUNT(R662:AO662)/2</f>
        <v>2</v>
      </c>
      <c r="AX662" s="47">
        <f>IF(AND(S662&lt;&gt;"-",S662&gt;5),1,0)+IF(AND(U662&lt;&gt;"-",U662&gt;5),1,0)+IF(AND(W662&lt;&gt;"-",W662&gt;5),1,0)+IF(AND(Y662&lt;&gt;"-",Y662&gt;5),1,0)+IF(AND(AA662&lt;&gt;"-",AA662&gt;5),1,0)+IF(AND(AC662&lt;&gt;"-",AC662&gt;5),1,0)+IF(AND(AE662&lt;&gt;"-",AE662&gt;5),1,0)+IF(AND(AG662&lt;&gt;"-",AG662&gt;5),1,0)+IF(AND(AI662&lt;&gt;"-",AI662&gt;5),1,0)+IF(AND(AK662&lt;&gt;"-",AK662&gt;5),1,0)+IF(AND(AM662&lt;&gt;"-",AM662&gt;5),1,0)+IF(AND(AO662&lt;&gt;"-",AO662&gt;5),1,0)</f>
        <v>0</v>
      </c>
      <c r="AY662" s="48">
        <f>VLOOKUP(AP662,COND!$A$10:$B$32,2,FALSE)</f>
        <v>0.95</v>
      </c>
      <c r="AZ662" s="46">
        <f>($AU$3*AU662+$AV$3*AV662+$AW$3*AW662+$AX$3*AX662)*AY662*IF(AQ662&lt;5,0.95,IF(AQ662&lt;7,0.975,1))+$I$3*VLOOKUP(I662,COND!$A$2:$E$7,4,FALSE)+$J$3*VLOOKUP(J662,COND!$A$2:$E$7,2,FALSE)+$K$3*VLOOKUP(K662,COND!$A$2:$E$7,3,FALSE)+IF(BB662="SP",$BB$3,0)+IF($AW662&lt;3,-5,0)+IF(AND($B$2&gt;0,$E662&lt;20),$B$2*25,0)</f>
        <v>14.694474573045742</v>
      </c>
      <c r="BA662" s="49">
        <f>STANDARDIZE(AZ662,AVERAGE($AZ$5:$AZ$676),STDEVP($AZ$5:$AZ$676))</f>
        <v>-1.3760563486102197</v>
      </c>
      <c r="BB662" s="47" t="str">
        <f>IF(OR(AND(AQ662&gt;7,AX662&gt;1),AND(AQ662&gt;4,AW662&gt;2)),"SP","RP")</f>
        <v>RP</v>
      </c>
      <c r="BC662" s="47"/>
      <c r="BD662" s="47"/>
      <c r="BE662" s="47"/>
      <c r="BF662" s="47" t="str">
        <f>IF(AVERAGE($O662:$Q662)&gt;=6,"Likely",IF(AVERAGE($O662:$Q662)&gt;=4,"Possible","Unlikely"))</f>
        <v>Unlikely</v>
      </c>
      <c r="BG662" s="47"/>
      <c r="BH662" s="47" t="str">
        <f>INDEX(Table5[[#All],[Ovr]],MATCH(Table3[[#This Row],[PID]],Table5[[#All],[PID]],0))</f>
        <v/>
      </c>
      <c r="BI662" s="47" t="str">
        <f>INDEX(Table5[[#All],[Rnd]],MATCH(Table3[[#This Row],[PID]],Table5[[#All],[PID]],0))</f>
        <v/>
      </c>
      <c r="BJ662" s="47" t="str">
        <f>INDEX(Table5[[#All],[Pick]],MATCH(Table3[[#This Row],[PID]],Table5[[#All],[PID]],0))</f>
        <v/>
      </c>
      <c r="BK662" s="47" t="str">
        <f>INDEX(Table5[[#All],[Team]],MATCH(Table3[[#This Row],[PID]],Table5[[#All],[PID]],0))</f>
        <v/>
      </c>
      <c r="BL6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3" spans="1:64" ht="15" customHeight="1" x14ac:dyDescent="0.25">
      <c r="A663" s="42">
        <v>13150</v>
      </c>
      <c r="B663" s="42" t="s">
        <v>430</v>
      </c>
      <c r="C663" s="42" t="s">
        <v>1008</v>
      </c>
      <c r="D663" s="42" t="s">
        <v>618</v>
      </c>
      <c r="E663" s="42">
        <v>22</v>
      </c>
      <c r="F663" s="42" t="s">
        <v>42</v>
      </c>
      <c r="G663" s="42" t="s">
        <v>42</v>
      </c>
      <c r="H663" s="43" t="s">
        <v>721</v>
      </c>
      <c r="I663" s="44" t="s">
        <v>47</v>
      </c>
      <c r="J663" s="42" t="s">
        <v>43</v>
      </c>
      <c r="K663" s="43" t="s">
        <v>43</v>
      </c>
      <c r="L663" s="42">
        <v>3</v>
      </c>
      <c r="M663" s="42">
        <v>1</v>
      </c>
      <c r="N663" s="43">
        <v>3</v>
      </c>
      <c r="O663" s="42">
        <v>3</v>
      </c>
      <c r="P663" s="42">
        <v>1</v>
      </c>
      <c r="Q663" s="43">
        <v>3</v>
      </c>
      <c r="R663" s="42">
        <v>5</v>
      </c>
      <c r="S663" s="42">
        <v>5</v>
      </c>
      <c r="T663" s="42" t="s">
        <v>45</v>
      </c>
      <c r="U663" s="42" t="s">
        <v>45</v>
      </c>
      <c r="V663" s="42" t="s">
        <v>45</v>
      </c>
      <c r="W663" s="42" t="s">
        <v>45</v>
      </c>
      <c r="X663" s="42">
        <v>3</v>
      </c>
      <c r="Y663" s="42">
        <v>4</v>
      </c>
      <c r="Z663" s="42" t="s">
        <v>45</v>
      </c>
      <c r="AA663" s="42" t="s">
        <v>45</v>
      </c>
      <c r="AB663" s="42" t="s">
        <v>45</v>
      </c>
      <c r="AC663" s="42" t="s">
        <v>45</v>
      </c>
      <c r="AD663" s="42" t="s">
        <v>45</v>
      </c>
      <c r="AE663" s="42" t="s">
        <v>45</v>
      </c>
      <c r="AF663" s="42" t="s">
        <v>45</v>
      </c>
      <c r="AG663" s="42" t="s">
        <v>45</v>
      </c>
      <c r="AH663" s="42" t="s">
        <v>45</v>
      </c>
      <c r="AI663" s="42" t="s">
        <v>45</v>
      </c>
      <c r="AJ663" s="42" t="s">
        <v>45</v>
      </c>
      <c r="AK663" s="42" t="s">
        <v>45</v>
      </c>
      <c r="AL663" s="42" t="s">
        <v>45</v>
      </c>
      <c r="AM663" s="42" t="s">
        <v>45</v>
      </c>
      <c r="AN663" s="42" t="s">
        <v>45</v>
      </c>
      <c r="AO663" s="43" t="s">
        <v>45</v>
      </c>
      <c r="AP663" s="42" t="s">
        <v>56</v>
      </c>
      <c r="AQ663" s="42">
        <v>2</v>
      </c>
      <c r="AR663" s="50" t="s">
        <v>14</v>
      </c>
      <c r="AS663" s="45" t="s">
        <v>45</v>
      </c>
      <c r="AT663" s="45" t="s">
        <v>705</v>
      </c>
      <c r="AU663" s="46">
        <f>($O$3*(L663-$O$1)/$O$2+$P$3*(M663-$P$1)/$P$2+$Q$3*(N663-$P$1)/$Q$2)/SUM($O$3:$Q$3)</f>
        <v>-1.8274604568410304</v>
      </c>
      <c r="AV663" s="46">
        <f>($O$3*(O663-$O$1)/$O$2+$P$3*(P663-$P$1)/$P$2+$Q$3*(Q663-$Q$1)/$Q$2)/SUM($O$3:$Q$3)</f>
        <v>-1.3819657061039585</v>
      </c>
      <c r="AW663" s="47">
        <f>COUNT(R663:AO663)/2</f>
        <v>2</v>
      </c>
      <c r="AX663" s="47">
        <f>IF(AND(S663&lt;&gt;"-",S663&gt;5),1,0)+IF(AND(U663&lt;&gt;"-",U663&gt;5),1,0)+IF(AND(W663&lt;&gt;"-",W663&gt;5),1,0)+IF(AND(Y663&lt;&gt;"-",Y663&gt;5),1,0)+IF(AND(AA663&lt;&gt;"-",AA663&gt;5),1,0)+IF(AND(AC663&lt;&gt;"-",AC663&gt;5),1,0)+IF(AND(AE663&lt;&gt;"-",AE663&gt;5),1,0)+IF(AND(AG663&lt;&gt;"-",AG663&gt;5),1,0)+IF(AND(AI663&lt;&gt;"-",AI663&gt;5),1,0)+IF(AND(AK663&lt;&gt;"-",AK663&gt;5),1,0)+IF(AND(AM663&lt;&gt;"-",AM663&gt;5),1,0)+IF(AND(AO663&lt;&gt;"-",AO663&gt;5),1,0)</f>
        <v>0</v>
      </c>
      <c r="AY663" s="48">
        <f>VLOOKUP(AP663,COND!$A$10:$B$32,2,FALSE)</f>
        <v>1</v>
      </c>
      <c r="AZ663" s="46">
        <f>($AU$3*AU663+$AV$3*AV663+$AW$3*AW663+$AX$3*AX663)*AY663*IF(AQ663&lt;5,0.95,IF(AQ663&lt;7,0.975,1))+$I$3*VLOOKUP(I663,COND!$A$2:$E$7,4,FALSE)+$J$3*VLOOKUP(J663,COND!$A$2:$E$7,2,FALSE)+$K$3*VLOOKUP(K663,COND!$A$2:$E$7,3,FALSE)+IF(BB663="SP",$BB$3,0)+IF($AW663&lt;3,-5,0)+IF(AND($B$2&gt;0,$E663&lt;20),$B$2*25,0)</f>
        <v>14.57043409722499</v>
      </c>
      <c r="BA663" s="49">
        <f>STANDARDIZE(AZ663,AVERAGE($AZ$5:$AZ$676),STDEVP($AZ$5:$AZ$676))</f>
        <v>-1.3869275786244104</v>
      </c>
      <c r="BB663" s="47" t="str">
        <f>IF(OR(AND(AQ663&gt;7,AX663&gt;1),AND(AQ663&gt;4,AW663&gt;2)),"SP","RP")</f>
        <v>RP</v>
      </c>
      <c r="BC663" s="47"/>
      <c r="BD663" s="47"/>
      <c r="BE663" s="47"/>
      <c r="BF663" s="47" t="str">
        <f>IF(AVERAGE($O663:$Q663)&gt;=6,"Likely",IF(AVERAGE($O663:$Q663)&gt;=4,"Possible","Unlikely"))</f>
        <v>Unlikely</v>
      </c>
      <c r="BG663" s="47"/>
      <c r="BH663" s="47" t="str">
        <f>INDEX(Table5[[#All],[Ovr]],MATCH(Table3[[#This Row],[PID]],Table5[[#All],[PID]],0))</f>
        <v/>
      </c>
      <c r="BI663" s="47" t="str">
        <f>INDEX(Table5[[#All],[Rnd]],MATCH(Table3[[#This Row],[PID]],Table5[[#All],[PID]],0))</f>
        <v/>
      </c>
      <c r="BJ663" s="47" t="str">
        <f>INDEX(Table5[[#All],[Pick]],MATCH(Table3[[#This Row],[PID]],Table5[[#All],[PID]],0))</f>
        <v/>
      </c>
      <c r="BK663" s="47" t="str">
        <f>INDEX(Table5[[#All],[Team]],MATCH(Table3[[#This Row],[PID]],Table5[[#All],[PID]],0))</f>
        <v/>
      </c>
      <c r="BL6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4" spans="1:64" ht="15" customHeight="1" x14ac:dyDescent="0.25">
      <c r="A664" s="42">
        <v>6846</v>
      </c>
      <c r="B664" s="42" t="s">
        <v>430</v>
      </c>
      <c r="C664" s="42" t="s">
        <v>1796</v>
      </c>
      <c r="D664" s="42" t="s">
        <v>1797</v>
      </c>
      <c r="E664" s="42">
        <v>21</v>
      </c>
      <c r="F664" s="42" t="s">
        <v>53</v>
      </c>
      <c r="G664" s="42" t="s">
        <v>53</v>
      </c>
      <c r="H664" s="43" t="s">
        <v>721</v>
      </c>
      <c r="I664" s="44" t="s">
        <v>43</v>
      </c>
      <c r="J664" s="42" t="s">
        <v>44</v>
      </c>
      <c r="K664" s="43" t="s">
        <v>43</v>
      </c>
      <c r="L664" s="42">
        <v>2</v>
      </c>
      <c r="M664" s="42">
        <v>1</v>
      </c>
      <c r="N664" s="43">
        <v>2</v>
      </c>
      <c r="O664" s="42">
        <v>3</v>
      </c>
      <c r="P664" s="42">
        <v>1</v>
      </c>
      <c r="Q664" s="43">
        <v>2</v>
      </c>
      <c r="R664" s="42">
        <v>4</v>
      </c>
      <c r="S664" s="42">
        <v>4</v>
      </c>
      <c r="T664" s="42">
        <v>3</v>
      </c>
      <c r="U664" s="42">
        <v>5</v>
      </c>
      <c r="V664" s="42" t="s">
        <v>45</v>
      </c>
      <c r="W664" s="42" t="s">
        <v>45</v>
      </c>
      <c r="X664" s="42" t="s">
        <v>45</v>
      </c>
      <c r="Y664" s="42" t="s">
        <v>45</v>
      </c>
      <c r="Z664" s="42" t="s">
        <v>45</v>
      </c>
      <c r="AA664" s="42" t="s">
        <v>45</v>
      </c>
      <c r="AB664" s="42" t="s">
        <v>45</v>
      </c>
      <c r="AC664" s="42" t="s">
        <v>45</v>
      </c>
      <c r="AD664" s="42">
        <v>3</v>
      </c>
      <c r="AE664" s="42">
        <v>4</v>
      </c>
      <c r="AF664" s="42" t="s">
        <v>45</v>
      </c>
      <c r="AG664" s="42" t="s">
        <v>45</v>
      </c>
      <c r="AH664" s="42" t="s">
        <v>45</v>
      </c>
      <c r="AI664" s="42" t="s">
        <v>45</v>
      </c>
      <c r="AJ664" s="42" t="s">
        <v>45</v>
      </c>
      <c r="AK664" s="42" t="s">
        <v>45</v>
      </c>
      <c r="AL664" s="42" t="s">
        <v>45</v>
      </c>
      <c r="AM664" s="42" t="s">
        <v>45</v>
      </c>
      <c r="AN664" s="42" t="s">
        <v>45</v>
      </c>
      <c r="AO664" s="43" t="s">
        <v>45</v>
      </c>
      <c r="AP664" s="42" t="s">
        <v>355</v>
      </c>
      <c r="AQ664" s="42">
        <v>9</v>
      </c>
      <c r="AR664" s="50" t="s">
        <v>14</v>
      </c>
      <c r="AS664" s="45" t="s">
        <v>717</v>
      </c>
      <c r="AT664" s="45" t="s">
        <v>47</v>
      </c>
      <c r="AU664" s="46">
        <f>($O$3*(L664-$O$1)/$O$2+$P$3*(M664-$P$1)/$P$2+$Q$3*(N664-$P$1)/$Q$2)/SUM($O$3:$Q$3)</f>
        <v>-2.2644723474043147</v>
      </c>
      <c r="AV664" s="46">
        <f>($O$3*(O664-$O$1)/$O$2+$P$3*(P664-$P$1)/$P$2+$Q$3*(Q664-$Q$1)/$Q$2)/SUM($O$3:$Q$3)</f>
        <v>-1.6242862721580691</v>
      </c>
      <c r="AW664" s="47">
        <f>COUNT(R664:AO664)/2</f>
        <v>3</v>
      </c>
      <c r="AX664" s="47">
        <f>IF(AND(S664&lt;&gt;"-",S664&gt;5),1,0)+IF(AND(U664&lt;&gt;"-",U664&gt;5),1,0)+IF(AND(W664&lt;&gt;"-",W664&gt;5),1,0)+IF(AND(Y664&lt;&gt;"-",Y664&gt;5),1,0)+IF(AND(AA664&lt;&gt;"-",AA664&gt;5),1,0)+IF(AND(AC664&lt;&gt;"-",AC664&gt;5),1,0)+IF(AND(AE664&lt;&gt;"-",AE664&gt;5),1,0)+IF(AND(AG664&lt;&gt;"-",AG664&gt;5),1,0)+IF(AND(AI664&lt;&gt;"-",AI664&gt;5),1,0)+IF(AND(AK664&lt;&gt;"-",AK664&gt;5),1,0)+IF(AND(AM664&lt;&gt;"-",AM664&gt;5),1,0)+IF(AND(AO664&lt;&gt;"-",AO664&gt;5),1,0)</f>
        <v>0</v>
      </c>
      <c r="AY664" s="48">
        <f>VLOOKUP(AP664,COND!$A$10:$B$32,2,FALSE)</f>
        <v>1</v>
      </c>
      <c r="AZ664" s="46">
        <f>($AU$3*AU664+$AV$3*AV664+$AW$3*AW664+$AX$3*AX664)*AY664*IF(AQ664&lt;5,0.95,IF(AQ664&lt;7,0.975,1))+$I$3*VLOOKUP(I664,COND!$A$2:$E$7,4,FALSE)+$J$3*VLOOKUP(J664,COND!$A$2:$E$7,2,FALSE)+$K$3*VLOOKUP(K664,COND!$A$2:$E$7,3,FALSE)+IF(BB664="SP",$BB$3,0)+IF($AW664&lt;3,-5,0)+IF(AND($B$2&gt;0,$E664&lt;20),$B$2*25,0)</f>
        <v>15.261380087357754</v>
      </c>
      <c r="BA664" s="49">
        <f>STANDARDIZE(AZ664,AVERAGE($AZ$5:$AZ$676),STDEVP($AZ$5:$AZ$676))</f>
        <v>-1.3263712744308451</v>
      </c>
      <c r="BB664" s="47" t="str">
        <f>IF(OR(AND(AQ664&gt;7,AX664&gt;1),AND(AQ664&gt;4,AW664&gt;2)),"SP","RP")</f>
        <v>SP</v>
      </c>
      <c r="BC664" s="47"/>
      <c r="BD664" s="47"/>
      <c r="BE664" s="47"/>
      <c r="BF664" s="47" t="str">
        <f>IF(AVERAGE($O664:$Q664)&gt;=6,"Likely",IF(AVERAGE($O664:$Q664)&gt;=4,"Possible","Unlikely"))</f>
        <v>Unlikely</v>
      </c>
      <c r="BG664" s="47"/>
      <c r="BH664" s="47" t="str">
        <f>INDEX(Table5[[#All],[Ovr]],MATCH(Table3[[#This Row],[PID]],Table5[[#All],[PID]],0))</f>
        <v/>
      </c>
      <c r="BI664" s="47" t="str">
        <f>INDEX(Table5[[#All],[Rnd]],MATCH(Table3[[#This Row],[PID]],Table5[[#All],[PID]],0))</f>
        <v/>
      </c>
      <c r="BJ664" s="47" t="str">
        <f>INDEX(Table5[[#All],[Pick]],MATCH(Table3[[#This Row],[PID]],Table5[[#All],[PID]],0))</f>
        <v/>
      </c>
      <c r="BK664" s="47" t="str">
        <f>INDEX(Table5[[#All],[Team]],MATCH(Table3[[#This Row],[PID]],Table5[[#All],[PID]],0))</f>
        <v/>
      </c>
      <c r="BL6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5" spans="1:64" ht="15" customHeight="1" x14ac:dyDescent="0.25">
      <c r="A665" s="42">
        <v>6252</v>
      </c>
      <c r="B665" s="42" t="s">
        <v>430</v>
      </c>
      <c r="C665" s="42" t="s">
        <v>358</v>
      </c>
      <c r="D665" s="42" t="s">
        <v>1363</v>
      </c>
      <c r="E665" s="42">
        <v>20</v>
      </c>
      <c r="F665" s="42" t="s">
        <v>53</v>
      </c>
      <c r="G665" s="42" t="s">
        <v>53</v>
      </c>
      <c r="H665" s="43" t="s">
        <v>721</v>
      </c>
      <c r="I665" s="44" t="s">
        <v>44</v>
      </c>
      <c r="J665" s="42" t="s">
        <v>44</v>
      </c>
      <c r="K665" s="43" t="s">
        <v>43</v>
      </c>
      <c r="L665" s="42">
        <v>2</v>
      </c>
      <c r="M665" s="42">
        <v>1</v>
      </c>
      <c r="N665" s="43">
        <v>1</v>
      </c>
      <c r="O665" s="42">
        <v>4</v>
      </c>
      <c r="P665" s="42">
        <v>1</v>
      </c>
      <c r="Q665" s="43">
        <v>1</v>
      </c>
      <c r="R665" s="42">
        <v>3</v>
      </c>
      <c r="S665" s="42">
        <v>4</v>
      </c>
      <c r="T665" s="42">
        <v>1</v>
      </c>
      <c r="U665" s="42">
        <v>5</v>
      </c>
      <c r="V665" s="42" t="s">
        <v>45</v>
      </c>
      <c r="W665" s="42" t="s">
        <v>45</v>
      </c>
      <c r="X665" s="42" t="s">
        <v>45</v>
      </c>
      <c r="Y665" s="42" t="s">
        <v>45</v>
      </c>
      <c r="Z665" s="42" t="s">
        <v>45</v>
      </c>
      <c r="AA665" s="42" t="s">
        <v>45</v>
      </c>
      <c r="AB665" s="42">
        <v>3</v>
      </c>
      <c r="AC665" s="42">
        <v>4</v>
      </c>
      <c r="AD665" s="42" t="s">
        <v>45</v>
      </c>
      <c r="AE665" s="42" t="s">
        <v>45</v>
      </c>
      <c r="AF665" s="42" t="s">
        <v>45</v>
      </c>
      <c r="AG665" s="42" t="s">
        <v>45</v>
      </c>
      <c r="AH665" s="42" t="s">
        <v>45</v>
      </c>
      <c r="AI665" s="42" t="s">
        <v>45</v>
      </c>
      <c r="AJ665" s="42" t="s">
        <v>45</v>
      </c>
      <c r="AK665" s="42" t="s">
        <v>45</v>
      </c>
      <c r="AL665" s="42" t="s">
        <v>45</v>
      </c>
      <c r="AM665" s="42" t="s">
        <v>45</v>
      </c>
      <c r="AN665" s="42" t="s">
        <v>45</v>
      </c>
      <c r="AO665" s="43" t="s">
        <v>45</v>
      </c>
      <c r="AP665" s="42" t="s">
        <v>355</v>
      </c>
      <c r="AQ665" s="42">
        <v>6</v>
      </c>
      <c r="AR665" s="50" t="s">
        <v>14</v>
      </c>
      <c r="AS665" s="45" t="s">
        <v>45</v>
      </c>
      <c r="AT665" s="45" t="s">
        <v>47</v>
      </c>
      <c r="AU665" s="46">
        <f>($O$3*(L665-$O$1)/$O$2+$P$3*(M665-$P$1)/$P$2+$Q$3*(N665-$P$1)/$Q$2)/SUM($O$3:$Q$3)</f>
        <v>-2.5067929134584248</v>
      </c>
      <c r="AV665" s="46">
        <f>($O$3*(O665-$O$1)/$O$2+$P$3*(P665-$P$1)/$P$2+$Q$3*(Q665-$Q$1)/$Q$2)/SUM($O$3:$Q$3)</f>
        <v>-1.671915513703006</v>
      </c>
      <c r="AW665" s="47">
        <f>COUNT(R665:AO665)/2</f>
        <v>3</v>
      </c>
      <c r="AX665" s="47">
        <f>IF(AND(S665&lt;&gt;"-",S665&gt;5),1,0)+IF(AND(U665&lt;&gt;"-",U665&gt;5),1,0)+IF(AND(W665&lt;&gt;"-",W665&gt;5),1,0)+IF(AND(Y665&lt;&gt;"-",Y665&gt;5),1,0)+IF(AND(AA665&lt;&gt;"-",AA665&gt;5),1,0)+IF(AND(AC665&lt;&gt;"-",AC665&gt;5),1,0)+IF(AND(AE665&lt;&gt;"-",AE665&gt;5),1,0)+IF(AND(AG665&lt;&gt;"-",AG665&gt;5),1,0)+IF(AND(AI665&lt;&gt;"-",AI665&gt;5),1,0)+IF(AND(AK665&lt;&gt;"-",AK665&gt;5),1,0)+IF(AND(AM665&lt;&gt;"-",AM665&gt;5),1,0)+IF(AND(AO665&lt;&gt;"-",AO665&gt;5),1,0)</f>
        <v>0</v>
      </c>
      <c r="AY665" s="48">
        <f>VLOOKUP(AP665,COND!$A$10:$B$32,2,FALSE)</f>
        <v>1</v>
      </c>
      <c r="AZ665" s="46">
        <f>($AU$3*AU665+$AV$3*AV665+$AW$3*AW665+$AX$3*AX665)*AY665*IF(AQ665&lt;5,0.95,IF(AQ665&lt;7,0.975,1))+$I$3*VLOOKUP(I665,COND!$A$2:$E$7,4,FALSE)+$J$3*VLOOKUP(J665,COND!$A$2:$E$7,2,FALSE)+$K$3*VLOOKUP(K665,COND!$A$2:$E$7,3,FALSE)+IF(BB665="SP",$BB$3,0)+IF($AW665&lt;3,-5,0)+IF(AND($B$2&gt;0,$E665&lt;20),$B$2*25,0)</f>
        <v>14.921322864666987</v>
      </c>
      <c r="BA665" s="49">
        <f>STANDARDIZE(AZ665,AVERAGE($AZ$5:$AZ$570),STDEVP($AZ$5:$AZ$570))</f>
        <v>-1.6324211793927226</v>
      </c>
      <c r="BB665" s="47" t="str">
        <f>IF(OR(AND(AQ665&gt;7,AX665&gt;1),AND(AQ665&gt;4,AW665&gt;2)),"SP","RP")</f>
        <v>SP</v>
      </c>
      <c r="BC665" s="47"/>
      <c r="BD665" s="47"/>
      <c r="BE665" s="47"/>
      <c r="BF665" s="47" t="str">
        <f>IF(AVERAGE($O665:$Q665)&gt;=6,"Likely",IF(AVERAGE($O665:$Q665)&gt;=4,"Possible","Unlikely"))</f>
        <v>Unlikely</v>
      </c>
      <c r="BG665" s="47"/>
      <c r="BH665" s="47" t="str">
        <f>INDEX(Table5[[#All],[Ovr]],MATCH(Table3[[#This Row],[PID]],Table5[[#All],[PID]],0))</f>
        <v/>
      </c>
      <c r="BI665" s="47" t="str">
        <f>INDEX(Table5[[#All],[Rnd]],MATCH(Table3[[#This Row],[PID]],Table5[[#All],[PID]],0))</f>
        <v/>
      </c>
      <c r="BJ665" s="47" t="str">
        <f>INDEX(Table5[[#All],[Pick]],MATCH(Table3[[#This Row],[PID]],Table5[[#All],[PID]],0))</f>
        <v/>
      </c>
      <c r="BK665" s="47" t="str">
        <f>INDEX(Table5[[#All],[Team]],MATCH(Table3[[#This Row],[PID]],Table5[[#All],[PID]],0))</f>
        <v/>
      </c>
      <c r="BL6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6" spans="1:64" ht="15" customHeight="1" x14ac:dyDescent="0.25">
      <c r="A666" s="42">
        <v>10024</v>
      </c>
      <c r="B666" s="42" t="s">
        <v>430</v>
      </c>
      <c r="C666" s="42" t="s">
        <v>993</v>
      </c>
      <c r="D666" s="42" t="s">
        <v>994</v>
      </c>
      <c r="E666" s="42">
        <v>22</v>
      </c>
      <c r="F666" s="42" t="s">
        <v>42</v>
      </c>
      <c r="G666" s="42" t="s">
        <v>42</v>
      </c>
      <c r="H666" s="43" t="s">
        <v>721</v>
      </c>
      <c r="I666" s="44" t="s">
        <v>43</v>
      </c>
      <c r="J666" s="42" t="s">
        <v>43</v>
      </c>
      <c r="K666" s="43" t="s">
        <v>47</v>
      </c>
      <c r="L666" s="42">
        <v>2</v>
      </c>
      <c r="M666" s="42">
        <v>2</v>
      </c>
      <c r="N666" s="43">
        <v>1</v>
      </c>
      <c r="O666" s="42">
        <v>3</v>
      </c>
      <c r="P666" s="42">
        <v>2</v>
      </c>
      <c r="Q666" s="43">
        <v>2</v>
      </c>
      <c r="R666" s="42">
        <v>4</v>
      </c>
      <c r="S666" s="42">
        <v>5</v>
      </c>
      <c r="T666" s="42" t="s">
        <v>45</v>
      </c>
      <c r="U666" s="42" t="s">
        <v>45</v>
      </c>
      <c r="V666" s="42" t="s">
        <v>45</v>
      </c>
      <c r="W666" s="42" t="s">
        <v>45</v>
      </c>
      <c r="X666" s="42" t="s">
        <v>45</v>
      </c>
      <c r="Y666" s="42" t="s">
        <v>45</v>
      </c>
      <c r="Z666" s="42" t="s">
        <v>45</v>
      </c>
      <c r="AA666" s="42" t="s">
        <v>45</v>
      </c>
      <c r="AB666" s="42" t="s">
        <v>45</v>
      </c>
      <c r="AC666" s="42" t="s">
        <v>45</v>
      </c>
      <c r="AD666" s="42" t="s">
        <v>45</v>
      </c>
      <c r="AE666" s="42" t="s">
        <v>45</v>
      </c>
      <c r="AF666" s="42" t="s">
        <v>45</v>
      </c>
      <c r="AG666" s="42" t="s">
        <v>45</v>
      </c>
      <c r="AH666" s="42" t="s">
        <v>45</v>
      </c>
      <c r="AI666" s="42" t="s">
        <v>45</v>
      </c>
      <c r="AJ666" s="42">
        <v>2</v>
      </c>
      <c r="AK666" s="42">
        <v>4</v>
      </c>
      <c r="AL666" s="42" t="s">
        <v>45</v>
      </c>
      <c r="AM666" s="42" t="s">
        <v>45</v>
      </c>
      <c r="AN666" s="42" t="s">
        <v>45</v>
      </c>
      <c r="AO666" s="43" t="s">
        <v>45</v>
      </c>
      <c r="AP666" s="42" t="s">
        <v>355</v>
      </c>
      <c r="AQ666" s="42">
        <v>2</v>
      </c>
      <c r="AR666" s="50" t="s">
        <v>353</v>
      </c>
      <c r="AS666" s="45" t="s">
        <v>45</v>
      </c>
      <c r="AT666" s="45" t="s">
        <v>47</v>
      </c>
      <c r="AU666" s="46">
        <f>($O$3*(L666-$O$1)/$O$2+$P$3*(M666-$P$1)/$P$2+$Q$3*(N666-$P$1)/$Q$2)/SUM($O$3:$Q$3)</f>
        <v>-2.311361197028369</v>
      </c>
      <c r="AV666" s="46">
        <f>($O$3*(O666-$O$1)/$O$2+$P$3*(P666-$P$1)/$P$2+$Q$3*(Q666-$Q$1)/$Q$2)/SUM($O$3:$Q$3)</f>
        <v>-1.4288545557280135</v>
      </c>
      <c r="AW666" s="47">
        <f>COUNT(R666:AO666)/2</f>
        <v>2</v>
      </c>
      <c r="AX666" s="47">
        <f>IF(AND(S666&lt;&gt;"-",S666&gt;5),1,0)+IF(AND(U666&lt;&gt;"-",U666&gt;5),1,0)+IF(AND(W666&lt;&gt;"-",W666&gt;5),1,0)+IF(AND(Y666&lt;&gt;"-",Y666&gt;5),1,0)+IF(AND(AA666&lt;&gt;"-",AA666&gt;5),1,0)+IF(AND(AC666&lt;&gt;"-",AC666&gt;5),1,0)+IF(AND(AE666&lt;&gt;"-",AE666&gt;5),1,0)+IF(AND(AG666&lt;&gt;"-",AG666&gt;5),1,0)+IF(AND(AI666&lt;&gt;"-",AI666&gt;5),1,0)+IF(AND(AK666&lt;&gt;"-",AK666&gt;5),1,0)+IF(AND(AM666&lt;&gt;"-",AM666&gt;5),1,0)+IF(AND(AO666&lt;&gt;"-",AO666&gt;5),1,0)</f>
        <v>0</v>
      </c>
      <c r="AY666" s="48">
        <f>VLOOKUP(AP666,COND!$A$10:$B$32,2,FALSE)</f>
        <v>1</v>
      </c>
      <c r="AZ666" s="46">
        <f>($AU$3*AU666+$AV$3*AV666+$AW$3*AW666+$AX$3*AX666)*AY666*IF(AQ666&lt;5,0.95,IF(AQ666&lt;7,0.975,1))+$I$3*VLOOKUP(I666,COND!$A$2:$E$7,4,FALSE)+$J$3*VLOOKUP(J666,COND!$A$2:$E$7,2,FALSE)+$K$3*VLOOKUP(K666,COND!$A$2:$E$7,3,FALSE)+IF(BB666="SP",$BB$3,0)+IF($AW666&lt;3,-5,0)+IF(AND($B$2&gt;0,$E666&lt;20),$B$2*25,0)</f>
        <v>13.662604813732358</v>
      </c>
      <c r="BA666" s="49">
        <f>STANDARDIZE(AZ666,AVERAGE($AZ$5:$AZ$676),STDEVP($AZ$5:$AZ$676))</f>
        <v>-1.466492098908323</v>
      </c>
      <c r="BB666" s="47" t="str">
        <f>IF(OR(AND(AQ666&gt;7,AX666&gt;1),AND(AQ666&gt;4,AW666&gt;2)),"SP","RP")</f>
        <v>RP</v>
      </c>
      <c r="BC666" s="47"/>
      <c r="BD666" s="47"/>
      <c r="BE666" s="47"/>
      <c r="BF666" s="47" t="str">
        <f>IF(AVERAGE($O666:$Q666)&gt;=6,"Likely",IF(AVERAGE($O666:$Q666)&gt;=4,"Possible","Unlikely"))</f>
        <v>Unlikely</v>
      </c>
      <c r="BG666" s="47"/>
      <c r="BH666" s="47" t="str">
        <f>INDEX(Table5[[#All],[Ovr]],MATCH(Table3[[#This Row],[PID]],Table5[[#All],[PID]],0))</f>
        <v/>
      </c>
      <c r="BI666" s="47" t="str">
        <f>INDEX(Table5[[#All],[Rnd]],MATCH(Table3[[#This Row],[PID]],Table5[[#All],[PID]],0))</f>
        <v/>
      </c>
      <c r="BJ666" s="47" t="str">
        <f>INDEX(Table5[[#All],[Pick]],MATCH(Table3[[#This Row],[PID]],Table5[[#All],[PID]],0))</f>
        <v/>
      </c>
      <c r="BK666" s="47" t="str">
        <f>INDEX(Table5[[#All],[Team]],MATCH(Table3[[#This Row],[PID]],Table5[[#All],[PID]],0))</f>
        <v/>
      </c>
      <c r="BL6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7" spans="1:64" ht="15" customHeight="1" x14ac:dyDescent="0.25">
      <c r="A667" s="42">
        <v>18053</v>
      </c>
      <c r="B667" s="42" t="s">
        <v>430</v>
      </c>
      <c r="C667" s="42" t="s">
        <v>791</v>
      </c>
      <c r="D667" s="42" t="s">
        <v>1018</v>
      </c>
      <c r="E667" s="42">
        <v>22</v>
      </c>
      <c r="F667" s="42" t="s">
        <v>42</v>
      </c>
      <c r="G667" s="42" t="s">
        <v>42</v>
      </c>
      <c r="H667" s="43" t="s">
        <v>721</v>
      </c>
      <c r="I667" s="44" t="s">
        <v>43</v>
      </c>
      <c r="J667" s="42" t="s">
        <v>43</v>
      </c>
      <c r="K667" s="43" t="s">
        <v>44</v>
      </c>
      <c r="L667" s="42">
        <v>2</v>
      </c>
      <c r="M667" s="42">
        <v>1</v>
      </c>
      <c r="N667" s="43">
        <v>1</v>
      </c>
      <c r="O667" s="42">
        <v>4</v>
      </c>
      <c r="P667" s="42">
        <v>1</v>
      </c>
      <c r="Q667" s="43">
        <v>1</v>
      </c>
      <c r="R667" s="42">
        <v>4</v>
      </c>
      <c r="S667" s="42">
        <v>4</v>
      </c>
      <c r="T667" s="42">
        <v>1</v>
      </c>
      <c r="U667" s="42">
        <v>3</v>
      </c>
      <c r="V667" s="42" t="s">
        <v>45</v>
      </c>
      <c r="W667" s="42" t="s">
        <v>45</v>
      </c>
      <c r="X667" s="42">
        <v>2</v>
      </c>
      <c r="Y667" s="42">
        <v>3</v>
      </c>
      <c r="Z667" s="42" t="s">
        <v>45</v>
      </c>
      <c r="AA667" s="42" t="s">
        <v>45</v>
      </c>
      <c r="AB667" s="42" t="s">
        <v>45</v>
      </c>
      <c r="AC667" s="42" t="s">
        <v>45</v>
      </c>
      <c r="AD667" s="42" t="s">
        <v>45</v>
      </c>
      <c r="AE667" s="42" t="s">
        <v>45</v>
      </c>
      <c r="AF667" s="42">
        <v>4</v>
      </c>
      <c r="AG667" s="42">
        <v>5</v>
      </c>
      <c r="AH667" s="42" t="s">
        <v>45</v>
      </c>
      <c r="AI667" s="42" t="s">
        <v>45</v>
      </c>
      <c r="AJ667" s="42" t="s">
        <v>45</v>
      </c>
      <c r="AK667" s="42" t="s">
        <v>45</v>
      </c>
      <c r="AL667" s="42" t="s">
        <v>45</v>
      </c>
      <c r="AM667" s="42" t="s">
        <v>45</v>
      </c>
      <c r="AN667" s="42" t="s">
        <v>45</v>
      </c>
      <c r="AO667" s="43" t="s">
        <v>45</v>
      </c>
      <c r="AP667" s="42" t="s">
        <v>57</v>
      </c>
      <c r="AQ667" s="42">
        <v>10</v>
      </c>
      <c r="AR667" s="50" t="s">
        <v>14</v>
      </c>
      <c r="AS667" s="45" t="s">
        <v>45</v>
      </c>
      <c r="AT667" s="45" t="s">
        <v>705</v>
      </c>
      <c r="AU667" s="46">
        <f>($O$3*(L667-$O$1)/$O$2+$P$3*(M667-$P$1)/$P$2+$Q$3*(N667-$P$1)/$Q$2)/SUM($O$3:$Q$3)</f>
        <v>-2.5067929134584248</v>
      </c>
      <c r="AV667" s="46">
        <f>($O$3*(O667-$O$1)/$O$2+$P$3*(P667-$P$1)/$P$2+$Q$3*(Q667-$Q$1)/$Q$2)/SUM($O$3:$Q$3)</f>
        <v>-1.671915513703006</v>
      </c>
      <c r="AW667" s="47">
        <f>COUNT(R667:AO667)/2</f>
        <v>4</v>
      </c>
      <c r="AX667" s="47">
        <f>IF(AND(S667&lt;&gt;"-",S667&gt;5),1,0)+IF(AND(U667&lt;&gt;"-",U667&gt;5),1,0)+IF(AND(W667&lt;&gt;"-",W667&gt;5),1,0)+IF(AND(Y667&lt;&gt;"-",Y667&gt;5),1,0)+IF(AND(AA667&lt;&gt;"-",AA667&gt;5),1,0)+IF(AND(AC667&lt;&gt;"-",AC667&gt;5),1,0)+IF(AND(AE667&lt;&gt;"-",AE667&gt;5),1,0)+IF(AND(AG667&lt;&gt;"-",AG667&gt;5),1,0)+IF(AND(AI667&lt;&gt;"-",AI667&gt;5),1,0)+IF(AND(AK667&lt;&gt;"-",AK667&gt;5),1,0)+IF(AND(AM667&lt;&gt;"-",AM667&gt;5),1,0)+IF(AND(AO667&lt;&gt;"-",AO667&gt;5),1,0)</f>
        <v>0</v>
      </c>
      <c r="AY667" s="48">
        <f>VLOOKUP(AP667,COND!$A$10:$B$32,2,FALSE)</f>
        <v>1</v>
      </c>
      <c r="AZ667" s="46">
        <f>($AU$3*AU667+$AV$3*AV667+$AW$3*AW667+$AX$3*AX667)*AY667*IF(AQ667&lt;5,0.95,IF(AQ667&lt;7,0.975,1))+$I$3*VLOOKUP(I667,COND!$A$2:$E$7,4,FALSE)+$J$3*VLOOKUP(J667,COND!$A$2:$E$7,2,FALSE)+$K$3*VLOOKUP(K667,COND!$A$2:$E$7,3,FALSE)+IF(BB667="SP",$BB$3,0)+IF($AW667&lt;3,-5,0)+IF(AND($B$2&gt;0,$E667&lt;20),$B$2*25,0)</f>
        <v>14.760331143248191</v>
      </c>
      <c r="BA667" s="49">
        <f>STANDARDIZE(AZ667,AVERAGE($AZ$5:$AZ$570),STDEVP($AZ$5:$AZ$570))</f>
        <v>-1.6471848083399052</v>
      </c>
      <c r="BB667" s="47" t="str">
        <f>IF(OR(AND(AQ667&gt;7,AX667&gt;1),AND(AQ667&gt;4,AW667&gt;2)),"SP","RP")</f>
        <v>SP</v>
      </c>
      <c r="BC667" s="47"/>
      <c r="BD667" s="47"/>
      <c r="BE667" s="47"/>
      <c r="BF667" s="47" t="str">
        <f>IF(AVERAGE($O667:$Q667)&gt;=6,"Likely",IF(AVERAGE($O667:$Q667)&gt;=4,"Possible","Unlikely"))</f>
        <v>Unlikely</v>
      </c>
      <c r="BG667" s="47"/>
      <c r="BH667" s="47" t="str">
        <f>INDEX(Table5[[#All],[Ovr]],MATCH(Table3[[#This Row],[PID]],Table5[[#All],[PID]],0))</f>
        <v/>
      </c>
      <c r="BI667" s="47" t="str">
        <f>INDEX(Table5[[#All],[Rnd]],MATCH(Table3[[#This Row],[PID]],Table5[[#All],[PID]],0))</f>
        <v/>
      </c>
      <c r="BJ667" s="47" t="str">
        <f>INDEX(Table5[[#All],[Pick]],MATCH(Table3[[#This Row],[PID]],Table5[[#All],[PID]],0))</f>
        <v/>
      </c>
      <c r="BK667" s="47" t="str">
        <f>INDEX(Table5[[#All],[Team]],MATCH(Table3[[#This Row],[PID]],Table5[[#All],[PID]],0))</f>
        <v/>
      </c>
      <c r="BL6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8" spans="1:64" ht="15" customHeight="1" x14ac:dyDescent="0.25">
      <c r="A668" s="42">
        <v>12135</v>
      </c>
      <c r="B668" s="42" t="s">
        <v>430</v>
      </c>
      <c r="C668" s="42" t="s">
        <v>1704</v>
      </c>
      <c r="D668" s="42" t="s">
        <v>1280</v>
      </c>
      <c r="E668" s="42">
        <v>21</v>
      </c>
      <c r="F668" s="42" t="s">
        <v>53</v>
      </c>
      <c r="G668" s="42" t="s">
        <v>53</v>
      </c>
      <c r="H668" s="43" t="s">
        <v>721</v>
      </c>
      <c r="I668" s="44" t="s">
        <v>43</v>
      </c>
      <c r="J668" s="42" t="s">
        <v>44</v>
      </c>
      <c r="K668" s="43" t="s">
        <v>47</v>
      </c>
      <c r="L668" s="42">
        <v>3</v>
      </c>
      <c r="M668" s="42">
        <v>1</v>
      </c>
      <c r="N668" s="43">
        <v>1</v>
      </c>
      <c r="O668" s="42">
        <v>4</v>
      </c>
      <c r="P668" s="42">
        <v>1</v>
      </c>
      <c r="Q668" s="43">
        <v>2</v>
      </c>
      <c r="R668" s="42">
        <v>5</v>
      </c>
      <c r="S668" s="42">
        <v>7</v>
      </c>
      <c r="T668" s="42" t="s">
        <v>45</v>
      </c>
      <c r="U668" s="42" t="s">
        <v>45</v>
      </c>
      <c r="V668" s="42" t="s">
        <v>45</v>
      </c>
      <c r="W668" s="42" t="s">
        <v>45</v>
      </c>
      <c r="X668" s="42">
        <v>3</v>
      </c>
      <c r="Y668" s="42">
        <v>5</v>
      </c>
      <c r="Z668" s="42" t="s">
        <v>45</v>
      </c>
      <c r="AA668" s="42" t="s">
        <v>45</v>
      </c>
      <c r="AB668" s="42" t="s">
        <v>45</v>
      </c>
      <c r="AC668" s="42" t="s">
        <v>45</v>
      </c>
      <c r="AD668" s="42" t="s">
        <v>45</v>
      </c>
      <c r="AE668" s="42" t="s">
        <v>45</v>
      </c>
      <c r="AF668" s="42" t="s">
        <v>45</v>
      </c>
      <c r="AG668" s="42" t="s">
        <v>45</v>
      </c>
      <c r="AH668" s="42" t="s">
        <v>45</v>
      </c>
      <c r="AI668" s="42" t="s">
        <v>45</v>
      </c>
      <c r="AJ668" s="42" t="s">
        <v>45</v>
      </c>
      <c r="AK668" s="42" t="s">
        <v>45</v>
      </c>
      <c r="AL668" s="42" t="s">
        <v>45</v>
      </c>
      <c r="AM668" s="42" t="s">
        <v>45</v>
      </c>
      <c r="AN668" s="42" t="s">
        <v>45</v>
      </c>
      <c r="AO668" s="43" t="s">
        <v>45</v>
      </c>
      <c r="AP668" s="42" t="s">
        <v>356</v>
      </c>
      <c r="AQ668" s="42">
        <v>6</v>
      </c>
      <c r="AR668" s="50" t="s">
        <v>14</v>
      </c>
      <c r="AS668" s="45" t="s">
        <v>45</v>
      </c>
      <c r="AT668" s="45" t="s">
        <v>47</v>
      </c>
      <c r="AU668" s="46">
        <f>($O$3*(L668-$O$1)/$O$2+$P$3*(M668-$P$1)/$P$2+$Q$3*(N668-$P$1)/$Q$2)/SUM($O$3:$Q$3)</f>
        <v>-2.3121015889492513</v>
      </c>
      <c r="AV668" s="46">
        <f>($O$3*(O668-$O$1)/$O$2+$P$3*(P668-$P$1)/$P$2+$Q$3*(Q668-$Q$1)/$Q$2)/SUM($O$3:$Q$3)</f>
        <v>-1.4295949476488956</v>
      </c>
      <c r="AW668" s="47">
        <f>COUNT(R668:AO668)/2</f>
        <v>2</v>
      </c>
      <c r="AX668" s="47">
        <f>IF(AND(S668&lt;&gt;"-",S668&gt;5),1,0)+IF(AND(U668&lt;&gt;"-",U668&gt;5),1,0)+IF(AND(W668&lt;&gt;"-",W668&gt;5),1,0)+IF(AND(Y668&lt;&gt;"-",Y668&gt;5),1,0)+IF(AND(AA668&lt;&gt;"-",AA668&gt;5),1,0)+IF(AND(AC668&lt;&gt;"-",AC668&gt;5),1,0)+IF(AND(AE668&lt;&gt;"-",AE668&gt;5),1,0)+IF(AND(AG668&lt;&gt;"-",AG668&gt;5),1,0)+IF(AND(AI668&lt;&gt;"-",AI668&gt;5),1,0)+IF(AND(AK668&lt;&gt;"-",AK668&gt;5),1,0)+IF(AND(AM668&lt;&gt;"-",AM668&gt;5),1,0)+IF(AND(AO668&lt;&gt;"-",AO668&gt;5),1,0)</f>
        <v>1</v>
      </c>
      <c r="AY668" s="48">
        <f>VLOOKUP(AP668,COND!$A$10:$B$32,2,FALSE)</f>
        <v>1</v>
      </c>
      <c r="AZ668" s="46">
        <f>($AU$3*AU668+$AV$3*AV668+$AW$3*AW668+$AX$3*AX668)*AY668*IF(AQ668&lt;5,0.95,IF(AQ668&lt;7,0.975,1))+$I$3*VLOOKUP(I668,COND!$A$2:$E$7,4,FALSE)+$J$3*VLOOKUP(J668,COND!$A$2:$E$7,2,FALSE)+$K$3*VLOOKUP(K668,COND!$A$2:$E$7,3,FALSE)+IF(BB668="SP",$BB$3,0)+IF($AW668&lt;3,-5,0)+IF(AND($B$2&gt;0,$E668&lt;20),$B$2*25,0)</f>
        <v>13.865788711001432</v>
      </c>
      <c r="BA668" s="49">
        <f>STANDARDIZE(AZ668,AVERAGE($AZ$5:$AZ$570),STDEVP($AZ$5:$AZ$570))</f>
        <v>-1.7292181727316442</v>
      </c>
      <c r="BB668" s="47" t="str">
        <f>IF(OR(AND(AQ668&gt;7,AX668&gt;1),AND(AQ668&gt;4,AW668&gt;2)),"SP","RP")</f>
        <v>RP</v>
      </c>
      <c r="BC668" s="47"/>
      <c r="BD668" s="47"/>
      <c r="BE668" s="47"/>
      <c r="BF668" s="47" t="str">
        <f>IF(AVERAGE($O668:$Q668)&gt;=6,"Likely",IF(AVERAGE($O668:$Q668)&gt;=4,"Possible","Unlikely"))</f>
        <v>Unlikely</v>
      </c>
      <c r="BG668" s="47"/>
      <c r="BH668" s="47" t="str">
        <f>INDEX(Table5[[#All],[Ovr]],MATCH(Table3[[#This Row],[PID]],Table5[[#All],[PID]],0))</f>
        <v/>
      </c>
      <c r="BI668" s="47" t="str">
        <f>INDEX(Table5[[#All],[Rnd]],MATCH(Table3[[#This Row],[PID]],Table5[[#All],[PID]],0))</f>
        <v/>
      </c>
      <c r="BJ668" s="47" t="str">
        <f>INDEX(Table5[[#All],[Pick]],MATCH(Table3[[#This Row],[PID]],Table5[[#All],[PID]],0))</f>
        <v/>
      </c>
      <c r="BK668" s="47" t="str">
        <f>INDEX(Table5[[#All],[Team]],MATCH(Table3[[#This Row],[PID]],Table5[[#All],[PID]],0))</f>
        <v/>
      </c>
      <c r="BL6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9" spans="1:64" ht="15" customHeight="1" x14ac:dyDescent="0.25">
      <c r="A669" s="42">
        <v>13156</v>
      </c>
      <c r="B669" s="42" t="s">
        <v>430</v>
      </c>
      <c r="C669" s="42" t="s">
        <v>894</v>
      </c>
      <c r="D669" s="42" t="s">
        <v>300</v>
      </c>
      <c r="E669" s="42">
        <v>22</v>
      </c>
      <c r="F669" s="42" t="s">
        <v>42</v>
      </c>
      <c r="G669" s="42" t="s">
        <v>42</v>
      </c>
      <c r="H669" s="43" t="s">
        <v>721</v>
      </c>
      <c r="I669" s="44" t="s">
        <v>43</v>
      </c>
      <c r="J669" s="42" t="s">
        <v>44</v>
      </c>
      <c r="K669" s="43" t="s">
        <v>43</v>
      </c>
      <c r="L669" s="42">
        <v>3</v>
      </c>
      <c r="M669" s="42">
        <v>1</v>
      </c>
      <c r="N669" s="43">
        <v>1</v>
      </c>
      <c r="O669" s="42">
        <v>4</v>
      </c>
      <c r="P669" s="42">
        <v>1</v>
      </c>
      <c r="Q669" s="43">
        <v>1</v>
      </c>
      <c r="R669" s="42">
        <v>4</v>
      </c>
      <c r="S669" s="42">
        <v>4</v>
      </c>
      <c r="T669" s="42">
        <v>4</v>
      </c>
      <c r="U669" s="42">
        <v>5</v>
      </c>
      <c r="V669" s="42" t="s">
        <v>45</v>
      </c>
      <c r="W669" s="42" t="s">
        <v>45</v>
      </c>
      <c r="X669" s="42">
        <v>2</v>
      </c>
      <c r="Y669" s="42">
        <v>3</v>
      </c>
      <c r="Z669" s="42" t="s">
        <v>45</v>
      </c>
      <c r="AA669" s="42" t="s">
        <v>45</v>
      </c>
      <c r="AB669" s="42" t="s">
        <v>45</v>
      </c>
      <c r="AC669" s="42" t="s">
        <v>45</v>
      </c>
      <c r="AD669" s="42" t="s">
        <v>45</v>
      </c>
      <c r="AE669" s="42" t="s">
        <v>45</v>
      </c>
      <c r="AF669" s="42" t="s">
        <v>45</v>
      </c>
      <c r="AG669" s="42" t="s">
        <v>45</v>
      </c>
      <c r="AH669" s="42" t="s">
        <v>45</v>
      </c>
      <c r="AI669" s="42" t="s">
        <v>45</v>
      </c>
      <c r="AJ669" s="42" t="s">
        <v>45</v>
      </c>
      <c r="AK669" s="42" t="s">
        <v>45</v>
      </c>
      <c r="AL669" s="42" t="s">
        <v>45</v>
      </c>
      <c r="AM669" s="42" t="s">
        <v>45</v>
      </c>
      <c r="AN669" s="42" t="s">
        <v>45</v>
      </c>
      <c r="AO669" s="43" t="s">
        <v>45</v>
      </c>
      <c r="AP669" s="42" t="s">
        <v>356</v>
      </c>
      <c r="AQ669" s="42">
        <v>3</v>
      </c>
      <c r="AR669" s="50" t="s">
        <v>14</v>
      </c>
      <c r="AS669" s="45" t="s">
        <v>45</v>
      </c>
      <c r="AT669" s="45" t="s">
        <v>705</v>
      </c>
      <c r="AU669" s="46">
        <f>($O$3*(L669-$O$1)/$O$2+$P$3*(M669-$P$1)/$P$2+$Q$3*(N669-$P$1)/$Q$2)/SUM($O$3:$Q$3)</f>
        <v>-2.3121015889492513</v>
      </c>
      <c r="AV669" s="46">
        <f>($O$3*(O669-$O$1)/$O$2+$P$3*(P669-$P$1)/$P$2+$Q$3*(Q669-$Q$1)/$Q$2)/SUM($O$3:$Q$3)</f>
        <v>-1.671915513703006</v>
      </c>
      <c r="AW669" s="47">
        <f>COUNT(R669:AO669)/2</f>
        <v>3</v>
      </c>
      <c r="AX669" s="47">
        <f>IF(AND(S669&lt;&gt;"-",S669&gt;5),1,0)+IF(AND(U669&lt;&gt;"-",U669&gt;5),1,0)+IF(AND(W669&lt;&gt;"-",W669&gt;5),1,0)+IF(AND(Y669&lt;&gt;"-",Y669&gt;5),1,0)+IF(AND(AA669&lt;&gt;"-",AA669&gt;5),1,0)+IF(AND(AC669&lt;&gt;"-",AC669&gt;5),1,0)+IF(AND(AE669&lt;&gt;"-",AE669&gt;5),1,0)+IF(AND(AG669&lt;&gt;"-",AG669&gt;5),1,0)+IF(AND(AI669&lt;&gt;"-",AI669&gt;5),1,0)+IF(AND(AK669&lt;&gt;"-",AK669&gt;5),1,0)+IF(AND(AM669&lt;&gt;"-",AM669&gt;5),1,0)+IF(AND(AO669&lt;&gt;"-",AO669&gt;5),1,0)</f>
        <v>0</v>
      </c>
      <c r="AY669" s="48">
        <f>VLOOKUP(AP669,COND!$A$10:$B$32,2,FALSE)</f>
        <v>1</v>
      </c>
      <c r="AZ669" s="46">
        <f>($AU$3*AU669+$AV$3*AV669+$AW$3*AW669+$AX$3*AX669)*AY669*IF(AQ669&lt;5,0.95,IF(AQ669&lt;7,0.975,1))+$I$3*VLOOKUP(I669,COND!$A$2:$E$7,4,FALSE)+$J$3*VLOOKUP(J669,COND!$A$2:$E$7,2,FALSE)+$K$3*VLOOKUP(K669,COND!$A$2:$E$7,3,FALSE)+IF(BB669="SP",$BB$3,0)+IF($AW669&lt;3,-5,0)+IF(AND($B$2&gt;0,$E669&lt;20),$B$2*25,0)</f>
        <v>13.919305937742529</v>
      </c>
      <c r="BA669" s="49">
        <f>STANDARDIZE(AZ669,AVERAGE($AZ$5:$AZ$570),STDEVP($AZ$5:$AZ$570))</f>
        <v>-1.7243104143020511</v>
      </c>
      <c r="BB669" s="47" t="str">
        <f>IF(OR(AND(AQ669&gt;7,AX669&gt;1),AND(AQ669&gt;4,AW669&gt;2)),"SP","RP")</f>
        <v>RP</v>
      </c>
      <c r="BC669" s="47"/>
      <c r="BD669" s="47"/>
      <c r="BE669" s="47"/>
      <c r="BF669" s="47" t="str">
        <f>IF(AVERAGE($O669:$Q669)&gt;=6,"Likely",IF(AVERAGE($O669:$Q669)&gt;=4,"Possible","Unlikely"))</f>
        <v>Unlikely</v>
      </c>
      <c r="BG669" s="47"/>
      <c r="BH669" s="47" t="str">
        <f>INDEX(Table5[[#All],[Ovr]],MATCH(Table3[[#This Row],[PID]],Table5[[#All],[PID]],0))</f>
        <v/>
      </c>
      <c r="BI669" s="47" t="str">
        <f>INDEX(Table5[[#All],[Rnd]],MATCH(Table3[[#This Row],[PID]],Table5[[#All],[PID]],0))</f>
        <v/>
      </c>
      <c r="BJ669" s="47" t="str">
        <f>INDEX(Table5[[#All],[Pick]],MATCH(Table3[[#This Row],[PID]],Table5[[#All],[PID]],0))</f>
        <v/>
      </c>
      <c r="BK669" s="47" t="str">
        <f>INDEX(Table5[[#All],[Team]],MATCH(Table3[[#This Row],[PID]],Table5[[#All],[PID]],0))</f>
        <v/>
      </c>
      <c r="BL6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0" spans="1:64" ht="15" customHeight="1" x14ac:dyDescent="0.25">
      <c r="A670" s="42">
        <v>13394</v>
      </c>
      <c r="B670" s="42" t="s">
        <v>430</v>
      </c>
      <c r="C670" s="42" t="s">
        <v>130</v>
      </c>
      <c r="D670" s="42" t="s">
        <v>1755</v>
      </c>
      <c r="E670" s="42">
        <v>21</v>
      </c>
      <c r="F670" s="42" t="s">
        <v>42</v>
      </c>
      <c r="G670" s="42" t="s">
        <v>42</v>
      </c>
      <c r="H670" s="43" t="s">
        <v>721</v>
      </c>
      <c r="I670" s="44" t="s">
        <v>43</v>
      </c>
      <c r="J670" s="42" t="s">
        <v>44</v>
      </c>
      <c r="K670" s="43" t="s">
        <v>43</v>
      </c>
      <c r="L670" s="42">
        <v>1</v>
      </c>
      <c r="M670" s="42">
        <v>1</v>
      </c>
      <c r="N670" s="43">
        <v>1</v>
      </c>
      <c r="O670" s="42">
        <v>3</v>
      </c>
      <c r="P670" s="42">
        <v>2</v>
      </c>
      <c r="Q670" s="43">
        <v>2</v>
      </c>
      <c r="R670" s="42">
        <v>3</v>
      </c>
      <c r="S670" s="42">
        <v>4</v>
      </c>
      <c r="T670" s="42" t="s">
        <v>45</v>
      </c>
      <c r="U670" s="42" t="s">
        <v>45</v>
      </c>
      <c r="V670" s="42">
        <v>2</v>
      </c>
      <c r="W670" s="42">
        <v>5</v>
      </c>
      <c r="X670" s="42" t="s">
        <v>45</v>
      </c>
      <c r="Y670" s="42" t="s">
        <v>45</v>
      </c>
      <c r="Z670" s="42" t="s">
        <v>45</v>
      </c>
      <c r="AA670" s="42" t="s">
        <v>45</v>
      </c>
      <c r="AB670" s="42" t="s">
        <v>45</v>
      </c>
      <c r="AC670" s="42" t="s">
        <v>45</v>
      </c>
      <c r="AD670" s="42" t="s">
        <v>45</v>
      </c>
      <c r="AE670" s="42" t="s">
        <v>45</v>
      </c>
      <c r="AF670" s="42" t="s">
        <v>45</v>
      </c>
      <c r="AG670" s="42" t="s">
        <v>45</v>
      </c>
      <c r="AH670" s="42" t="s">
        <v>45</v>
      </c>
      <c r="AI670" s="42" t="s">
        <v>45</v>
      </c>
      <c r="AJ670" s="42" t="s">
        <v>45</v>
      </c>
      <c r="AK670" s="42" t="s">
        <v>45</v>
      </c>
      <c r="AL670" s="42" t="s">
        <v>45</v>
      </c>
      <c r="AM670" s="42" t="s">
        <v>45</v>
      </c>
      <c r="AN670" s="42" t="s">
        <v>45</v>
      </c>
      <c r="AO670" s="43" t="s">
        <v>45</v>
      </c>
      <c r="AP670" s="42" t="s">
        <v>68</v>
      </c>
      <c r="AQ670" s="42">
        <v>10</v>
      </c>
      <c r="AR670" s="50" t="s">
        <v>14</v>
      </c>
      <c r="AS670" s="45" t="s">
        <v>45</v>
      </c>
      <c r="AT670" s="45" t="s">
        <v>705</v>
      </c>
      <c r="AU670" s="46">
        <f>($O$3*(L670-$O$1)/$O$2+$P$3*(M670-$P$1)/$P$2+$Q$3*(N670-$P$1)/$Q$2)/SUM($O$3:$Q$3)</f>
        <v>-2.7014842379675978</v>
      </c>
      <c r="AV670" s="46">
        <f>($O$3*(O670-$O$1)/$O$2+$P$3*(P670-$P$1)/$P$2+$Q$3*(Q670-$Q$1)/$Q$2)/SUM($O$3:$Q$3)</f>
        <v>-1.4288545557280135</v>
      </c>
      <c r="AW670" s="47">
        <f>COUNT(R670:AO670)/2</f>
        <v>2</v>
      </c>
      <c r="AX670" s="47">
        <f>IF(AND(S670&lt;&gt;"-",S670&gt;5),1,0)+IF(AND(U670&lt;&gt;"-",U670&gt;5),1,0)+IF(AND(W670&lt;&gt;"-",W670&gt;5),1,0)+IF(AND(Y670&lt;&gt;"-",Y670&gt;5),1,0)+IF(AND(AA670&lt;&gt;"-",AA670&gt;5),1,0)+IF(AND(AC670&lt;&gt;"-",AC670&gt;5),1,0)+IF(AND(AE670&lt;&gt;"-",AE670&gt;5),1,0)+IF(AND(AG670&lt;&gt;"-",AG670&gt;5),1,0)+IF(AND(AI670&lt;&gt;"-",AI670&gt;5),1,0)+IF(AND(AK670&lt;&gt;"-",AK670&gt;5),1,0)+IF(AND(AM670&lt;&gt;"-",AM670&gt;5),1,0)+IF(AND(AO670&lt;&gt;"-",AO670&gt;5),1,0)</f>
        <v>0</v>
      </c>
      <c r="AY670" s="48">
        <f>VLOOKUP(AP670,COND!$A$10:$B$32,2,FALSE)</f>
        <v>0.95</v>
      </c>
      <c r="AZ670" s="46">
        <f>($AU$3*AU670+$AV$3*AV670+$AW$3*AW670+$AX$3*AX670)*AY670*IF(AQ670&lt;5,0.95,IF(AQ670&lt;7,0.975,1))+$I$3*VLOOKUP(I670,COND!$A$2:$E$7,4,FALSE)+$J$3*VLOOKUP(J670,COND!$A$2:$E$7,2,FALSE)+$K$3*VLOOKUP(K670,COND!$A$2:$E$7,3,FALSE)+IF(BB670="SP",$BB$3,0)+IF($AW670&lt;3,-5,0)+IF(AND($B$2&gt;0,$E670&lt;20),$B$2*25,0)</f>
        <v>12.988481435953901</v>
      </c>
      <c r="BA670" s="49">
        <f>STANDARDIZE(AZ670,AVERAGE($AZ$5:$AZ$570),STDEVP($AZ$5:$AZ$570))</f>
        <v>-1.809670999543604</v>
      </c>
      <c r="BB670" s="47" t="str">
        <f>IF(OR(AND(AQ670&gt;7,AX670&gt;1),AND(AQ670&gt;4,AW670&gt;2)),"SP","RP")</f>
        <v>RP</v>
      </c>
      <c r="BC670" s="47"/>
      <c r="BD670" s="47"/>
      <c r="BE670" s="47"/>
      <c r="BF670" s="47" t="str">
        <f>IF(AVERAGE($O670:$Q670)&gt;=6,"Likely",IF(AVERAGE($O670:$Q670)&gt;=4,"Possible","Unlikely"))</f>
        <v>Unlikely</v>
      </c>
      <c r="BG670" s="47"/>
      <c r="BH670" s="47" t="str">
        <f>INDEX(Table5[[#All],[Ovr]],MATCH(Table3[[#This Row],[PID]],Table5[[#All],[PID]],0))</f>
        <v/>
      </c>
      <c r="BI670" s="47" t="str">
        <f>INDEX(Table5[[#All],[Rnd]],MATCH(Table3[[#This Row],[PID]],Table5[[#All],[PID]],0))</f>
        <v/>
      </c>
      <c r="BJ670" s="47" t="str">
        <f>INDEX(Table5[[#All],[Pick]],MATCH(Table3[[#This Row],[PID]],Table5[[#All],[PID]],0))</f>
        <v/>
      </c>
      <c r="BK670" s="47" t="str">
        <f>INDEX(Table5[[#All],[Team]],MATCH(Table3[[#This Row],[PID]],Table5[[#All],[PID]],0))</f>
        <v/>
      </c>
      <c r="BL6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1" spans="1:64" ht="15" customHeight="1" x14ac:dyDescent="0.25">
      <c r="A671" s="42">
        <v>11609</v>
      </c>
      <c r="B671" s="42" t="s">
        <v>430</v>
      </c>
      <c r="C671" s="42" t="s">
        <v>831</v>
      </c>
      <c r="D671" s="42" t="s">
        <v>847</v>
      </c>
      <c r="E671" s="42">
        <v>21</v>
      </c>
      <c r="F671" s="42" t="s">
        <v>42</v>
      </c>
      <c r="G671" s="42" t="s">
        <v>42</v>
      </c>
      <c r="H671" s="43" t="s">
        <v>721</v>
      </c>
      <c r="I671" s="44" t="s">
        <v>47</v>
      </c>
      <c r="J671" s="42" t="s">
        <v>43</v>
      </c>
      <c r="K671" s="43" t="s">
        <v>44</v>
      </c>
      <c r="L671" s="42">
        <v>1</v>
      </c>
      <c r="M671" s="42">
        <v>1</v>
      </c>
      <c r="N671" s="43">
        <v>1</v>
      </c>
      <c r="O671" s="42">
        <v>2</v>
      </c>
      <c r="P671" s="42">
        <v>1</v>
      </c>
      <c r="Q671" s="43">
        <v>2</v>
      </c>
      <c r="R671" s="42">
        <v>2</v>
      </c>
      <c r="S671" s="42">
        <v>3</v>
      </c>
      <c r="T671" s="42" t="s">
        <v>45</v>
      </c>
      <c r="U671" s="42" t="s">
        <v>45</v>
      </c>
      <c r="V671" s="42">
        <v>1</v>
      </c>
      <c r="W671" s="42">
        <v>2</v>
      </c>
      <c r="X671" s="42">
        <v>1</v>
      </c>
      <c r="Y671" s="42">
        <v>3</v>
      </c>
      <c r="Z671" s="42" t="s">
        <v>45</v>
      </c>
      <c r="AA671" s="42" t="s">
        <v>45</v>
      </c>
      <c r="AB671" s="42" t="s">
        <v>45</v>
      </c>
      <c r="AC671" s="42" t="s">
        <v>45</v>
      </c>
      <c r="AD671" s="42" t="s">
        <v>45</v>
      </c>
      <c r="AE671" s="42" t="s">
        <v>45</v>
      </c>
      <c r="AF671" s="42" t="s">
        <v>45</v>
      </c>
      <c r="AG671" s="42" t="s">
        <v>45</v>
      </c>
      <c r="AH671" s="42" t="s">
        <v>45</v>
      </c>
      <c r="AI671" s="42" t="s">
        <v>45</v>
      </c>
      <c r="AJ671" s="42" t="s">
        <v>45</v>
      </c>
      <c r="AK671" s="42" t="s">
        <v>45</v>
      </c>
      <c r="AL671" s="42" t="s">
        <v>45</v>
      </c>
      <c r="AM671" s="42" t="s">
        <v>45</v>
      </c>
      <c r="AN671" s="42" t="s">
        <v>45</v>
      </c>
      <c r="AO671" s="43" t="s">
        <v>45</v>
      </c>
      <c r="AP671" s="42" t="s">
        <v>65</v>
      </c>
      <c r="AQ671" s="42">
        <v>3</v>
      </c>
      <c r="AR671" s="50" t="s">
        <v>14</v>
      </c>
      <c r="AS671" s="45" t="s">
        <v>45</v>
      </c>
      <c r="AT671" s="45" t="s">
        <v>47</v>
      </c>
      <c r="AU671" s="46">
        <f>($O$3*(L671-$O$1)/$O$2+$P$3*(M671-$P$1)/$P$2+$Q$3*(N671-$P$1)/$Q$2)/SUM($O$3:$Q$3)</f>
        <v>-2.7014842379675978</v>
      </c>
      <c r="AV671" s="46">
        <f>($O$3*(O671-$O$1)/$O$2+$P$3*(P671-$P$1)/$P$2+$Q$3*(Q671-$Q$1)/$Q$2)/SUM($O$3:$Q$3)</f>
        <v>-1.8189775966672426</v>
      </c>
      <c r="AW671" s="47">
        <f>COUNT(R671:AO671)/2</f>
        <v>3</v>
      </c>
      <c r="AX671" s="47">
        <f>IF(AND(S671&lt;&gt;"-",S671&gt;5),1,0)+IF(AND(U671&lt;&gt;"-",U671&gt;5),1,0)+IF(AND(W671&lt;&gt;"-",W671&gt;5),1,0)+IF(AND(Y671&lt;&gt;"-",Y671&gt;5),1,0)+IF(AND(AA671&lt;&gt;"-",AA671&gt;5),1,0)+IF(AND(AC671&lt;&gt;"-",AC671&gt;5),1,0)+IF(AND(AE671&lt;&gt;"-",AE671&gt;5),1,0)+IF(AND(AG671&lt;&gt;"-",AG671&gt;5),1,0)+IF(AND(AI671&lt;&gt;"-",AI671&gt;5),1,0)+IF(AND(AK671&lt;&gt;"-",AK671&gt;5),1,0)+IF(AND(AM671&lt;&gt;"-",AM671&gt;5),1,0)+IF(AND(AO671&lt;&gt;"-",AO671&gt;5),1,0)</f>
        <v>0</v>
      </c>
      <c r="AY671" s="48">
        <f>VLOOKUP(AP671,COND!$A$10:$B$32,2,FALSE)</f>
        <v>0.95</v>
      </c>
      <c r="AZ671" s="46">
        <f>($AU$3*AU671+$AV$3*AV671+$AW$3*AW671+$AX$3*AX671)*AY671*IF(AQ671&lt;5,0.95,IF(AQ671&lt;7,0.975,1))+$I$3*VLOOKUP(I671,COND!$A$2:$E$7,4,FALSE)+$J$3*VLOOKUP(J671,COND!$A$2:$E$7,2,FALSE)+$K$3*VLOOKUP(K671,COND!$A$2:$E$7,3,FALSE)+IF(BB671="SP",$BB$3,0)+IF($AW671&lt;3,-5,0)+IF(AND($B$2&gt;0,$E671&lt;20),$B$2*25,0)</f>
        <v>12.958586475203127</v>
      </c>
      <c r="BA671" s="49">
        <f>STANDARDIZE(AZ671,AVERAGE($AZ$5:$AZ$676),STDEVP($AZ$5:$AZ$676))</f>
        <v>-1.5281940977253836</v>
      </c>
      <c r="BB671" s="47" t="str">
        <f>IF(OR(AND(AQ671&gt;7,AX671&gt;1),AND(AQ671&gt;4,AW671&gt;2)),"SP","RP")</f>
        <v>RP</v>
      </c>
      <c r="BC671" s="47"/>
      <c r="BD671" s="47"/>
      <c r="BE671" s="47"/>
      <c r="BF671" s="47" t="str">
        <f>IF(AVERAGE($O671:$Q671)&gt;=6,"Likely",IF(AVERAGE($O671:$Q671)&gt;=4,"Possible","Unlikely"))</f>
        <v>Unlikely</v>
      </c>
      <c r="BG671" s="47"/>
      <c r="BH671" s="47" t="str">
        <f>INDEX(Table5[[#All],[Ovr]],MATCH(Table3[[#This Row],[PID]],Table5[[#All],[PID]],0))</f>
        <v/>
      </c>
      <c r="BI671" s="47" t="str">
        <f>INDEX(Table5[[#All],[Rnd]],MATCH(Table3[[#This Row],[PID]],Table5[[#All],[PID]],0))</f>
        <v/>
      </c>
      <c r="BJ671" s="47" t="str">
        <f>INDEX(Table5[[#All],[Pick]],MATCH(Table3[[#This Row],[PID]],Table5[[#All],[PID]],0))</f>
        <v/>
      </c>
      <c r="BK671" s="47" t="str">
        <f>INDEX(Table5[[#All],[Team]],MATCH(Table3[[#This Row],[PID]],Table5[[#All],[PID]],0))</f>
        <v/>
      </c>
      <c r="BL6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2" spans="1:64" ht="15" customHeight="1" x14ac:dyDescent="0.25">
      <c r="A672" s="42">
        <v>11776</v>
      </c>
      <c r="B672" s="42" t="s">
        <v>430</v>
      </c>
      <c r="C672" s="42" t="s">
        <v>146</v>
      </c>
      <c r="D672" s="42" t="s">
        <v>1804</v>
      </c>
      <c r="E672" s="42">
        <v>21</v>
      </c>
      <c r="F672" s="42" t="s">
        <v>53</v>
      </c>
      <c r="G672" s="42" t="s">
        <v>42</v>
      </c>
      <c r="H672" s="43" t="s">
        <v>721</v>
      </c>
      <c r="I672" s="44" t="s">
        <v>43</v>
      </c>
      <c r="J672" s="42" t="s">
        <v>44</v>
      </c>
      <c r="K672" s="43" t="s">
        <v>44</v>
      </c>
      <c r="L672" s="42">
        <v>2</v>
      </c>
      <c r="M672" s="42">
        <v>1</v>
      </c>
      <c r="N672" s="43">
        <v>1</v>
      </c>
      <c r="O672" s="42">
        <v>2</v>
      </c>
      <c r="P672" s="42">
        <v>1</v>
      </c>
      <c r="Q672" s="43">
        <v>2</v>
      </c>
      <c r="R672" s="42">
        <v>3</v>
      </c>
      <c r="S672" s="42">
        <v>4</v>
      </c>
      <c r="T672" s="42">
        <v>1</v>
      </c>
      <c r="U672" s="42">
        <v>2</v>
      </c>
      <c r="V672" s="42" t="s">
        <v>45</v>
      </c>
      <c r="W672" s="42" t="s">
        <v>45</v>
      </c>
      <c r="X672" s="42">
        <v>2</v>
      </c>
      <c r="Y672" s="42">
        <v>3</v>
      </c>
      <c r="Z672" s="42" t="s">
        <v>45</v>
      </c>
      <c r="AA672" s="42" t="s">
        <v>45</v>
      </c>
      <c r="AB672" s="42" t="s">
        <v>45</v>
      </c>
      <c r="AC672" s="42" t="s">
        <v>45</v>
      </c>
      <c r="AD672" s="42" t="s">
        <v>45</v>
      </c>
      <c r="AE672" s="42" t="s">
        <v>45</v>
      </c>
      <c r="AF672" s="42" t="s">
        <v>45</v>
      </c>
      <c r="AG672" s="42" t="s">
        <v>45</v>
      </c>
      <c r="AH672" s="42" t="s">
        <v>45</v>
      </c>
      <c r="AI672" s="42" t="s">
        <v>45</v>
      </c>
      <c r="AJ672" s="42" t="s">
        <v>45</v>
      </c>
      <c r="AK672" s="42" t="s">
        <v>45</v>
      </c>
      <c r="AL672" s="42" t="s">
        <v>45</v>
      </c>
      <c r="AM672" s="42" t="s">
        <v>45</v>
      </c>
      <c r="AN672" s="42" t="s">
        <v>45</v>
      </c>
      <c r="AO672" s="43" t="s">
        <v>45</v>
      </c>
      <c r="AP672" s="42" t="s">
        <v>355</v>
      </c>
      <c r="AQ672" s="42">
        <v>6</v>
      </c>
      <c r="AR672" s="50" t="s">
        <v>14</v>
      </c>
      <c r="AS672" s="45" t="s">
        <v>45</v>
      </c>
      <c r="AT672" s="45" t="s">
        <v>47</v>
      </c>
      <c r="AU672" s="46">
        <f>($O$3*(L672-$O$1)/$O$2+$P$3*(M672-$P$1)/$P$2+$Q$3*(N672-$P$1)/$Q$2)/SUM($O$3:$Q$3)</f>
        <v>-2.5067929134584248</v>
      </c>
      <c r="AV672" s="46">
        <f>($O$3*(O672-$O$1)/$O$2+$P$3*(P672-$P$1)/$P$2+$Q$3*(Q672-$Q$1)/$Q$2)/SUM($O$3:$Q$3)</f>
        <v>-1.8189775966672426</v>
      </c>
      <c r="AW672" s="47">
        <f>COUNT(R672:AO672)/2</f>
        <v>3</v>
      </c>
      <c r="AX672" s="47">
        <f>IF(AND(S672&lt;&gt;"-",S672&gt;5),1,0)+IF(AND(U672&lt;&gt;"-",U672&gt;5),1,0)+IF(AND(W672&lt;&gt;"-",W672&gt;5),1,0)+IF(AND(Y672&lt;&gt;"-",Y672&gt;5),1,0)+IF(AND(AA672&lt;&gt;"-",AA672&gt;5),1,0)+IF(AND(AC672&lt;&gt;"-",AC672&gt;5),1,0)+IF(AND(AE672&lt;&gt;"-",AE672&gt;5),1,0)+IF(AND(AG672&lt;&gt;"-",AG672&gt;5),1,0)+IF(AND(AI672&lt;&gt;"-",AI672&gt;5),1,0)+IF(AND(AK672&lt;&gt;"-",AK672&gt;5),1,0)+IF(AND(AM672&lt;&gt;"-",AM672&gt;5),1,0)+IF(AND(AO672&lt;&gt;"-",AO672&gt;5),1,0)</f>
        <v>0</v>
      </c>
      <c r="AY672" s="48">
        <f>VLOOKUP(AP672,COND!$A$10:$B$32,2,FALSE)</f>
        <v>1</v>
      </c>
      <c r="AZ672" s="46">
        <f>($AU$3*AU672+$AV$3*AV672+$AW$3*AW672+$AX$3*AX672)*AY672*IF(AQ672&lt;5,0.95,IF(AQ672&lt;7,0.975,1))+$I$3*VLOOKUP(I672,COND!$A$2:$E$7,4,FALSE)+$J$3*VLOOKUP(J672,COND!$A$2:$E$7,2,FALSE)+$K$3*VLOOKUP(K672,COND!$A$2:$E$7,3,FALSE)+IF(BB672="SP",$BB$3,0)+IF($AW672&lt;3,-5,0)+IF(AND($B$2&gt;0,$E672&lt;20),$B$2*25,0)</f>
        <v>11.903612246864377</v>
      </c>
      <c r="BA672" s="49">
        <f>STANDARDIZE(AZ672,AVERAGE($AZ$5:$AZ$676),STDEVP($AZ$5:$AZ$676))</f>
        <v>-1.6206547837992369</v>
      </c>
      <c r="BB672" s="47" t="str">
        <f>IF(OR(AND(AQ672&gt;7,AX672&gt;1),AND(AQ672&gt;4,AW672&gt;2)),"SP","RP")</f>
        <v>SP</v>
      </c>
      <c r="BC672" s="47"/>
      <c r="BD672" s="47"/>
      <c r="BE672" s="47"/>
      <c r="BF672" s="47" t="str">
        <f>IF(AVERAGE($O672:$Q672)&gt;=6,"Likely",IF(AVERAGE($O672:$Q672)&gt;=4,"Possible","Unlikely"))</f>
        <v>Unlikely</v>
      </c>
      <c r="BG672" s="47"/>
      <c r="BH672" s="47" t="str">
        <f>INDEX(Table5[[#All],[Ovr]],MATCH(Table3[[#This Row],[PID]],Table5[[#All],[PID]],0))</f>
        <v/>
      </c>
      <c r="BI672" s="47" t="str">
        <f>INDEX(Table5[[#All],[Rnd]],MATCH(Table3[[#This Row],[PID]],Table5[[#All],[PID]],0))</f>
        <v/>
      </c>
      <c r="BJ672" s="47" t="str">
        <f>INDEX(Table5[[#All],[Pick]],MATCH(Table3[[#This Row],[PID]],Table5[[#All],[PID]],0))</f>
        <v/>
      </c>
      <c r="BK672" s="47" t="str">
        <f>INDEX(Table5[[#All],[Team]],MATCH(Table3[[#This Row],[PID]],Table5[[#All],[PID]],0))</f>
        <v/>
      </c>
      <c r="BL6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3" spans="1:64" ht="15" customHeight="1" x14ac:dyDescent="0.25">
      <c r="A673" s="42">
        <v>13795</v>
      </c>
      <c r="B673" s="42" t="s">
        <v>430</v>
      </c>
      <c r="C673" s="42" t="s">
        <v>341</v>
      </c>
      <c r="D673" s="42" t="s">
        <v>1798</v>
      </c>
      <c r="E673" s="42">
        <v>21</v>
      </c>
      <c r="F673" s="42" t="s">
        <v>53</v>
      </c>
      <c r="G673" s="42" t="s">
        <v>53</v>
      </c>
      <c r="H673" s="43" t="s">
        <v>721</v>
      </c>
      <c r="I673" s="44" t="s">
        <v>43</v>
      </c>
      <c r="J673" s="42" t="s">
        <v>44</v>
      </c>
      <c r="K673" s="43" t="s">
        <v>43</v>
      </c>
      <c r="L673" s="42">
        <v>1</v>
      </c>
      <c r="M673" s="42">
        <v>2</v>
      </c>
      <c r="N673" s="43">
        <v>1</v>
      </c>
      <c r="O673" s="42">
        <v>3</v>
      </c>
      <c r="P673" s="42">
        <v>2</v>
      </c>
      <c r="Q673" s="43">
        <v>1</v>
      </c>
      <c r="R673" s="42">
        <v>2</v>
      </c>
      <c r="S673" s="42">
        <v>3</v>
      </c>
      <c r="T673" s="42" t="s">
        <v>45</v>
      </c>
      <c r="U673" s="42" t="s">
        <v>45</v>
      </c>
      <c r="V673" s="42" t="s">
        <v>45</v>
      </c>
      <c r="W673" s="42" t="s">
        <v>45</v>
      </c>
      <c r="X673" s="42">
        <v>3</v>
      </c>
      <c r="Y673" s="42">
        <v>6</v>
      </c>
      <c r="Z673" s="42" t="s">
        <v>45</v>
      </c>
      <c r="AA673" s="42" t="s">
        <v>45</v>
      </c>
      <c r="AB673" s="42" t="s">
        <v>45</v>
      </c>
      <c r="AC673" s="42" t="s">
        <v>45</v>
      </c>
      <c r="AD673" s="42" t="s">
        <v>45</v>
      </c>
      <c r="AE673" s="42" t="s">
        <v>45</v>
      </c>
      <c r="AF673" s="42" t="s">
        <v>45</v>
      </c>
      <c r="AG673" s="42" t="s">
        <v>45</v>
      </c>
      <c r="AH673" s="42" t="s">
        <v>45</v>
      </c>
      <c r="AI673" s="42" t="s">
        <v>45</v>
      </c>
      <c r="AJ673" s="42" t="s">
        <v>45</v>
      </c>
      <c r="AK673" s="42" t="s">
        <v>45</v>
      </c>
      <c r="AL673" s="42" t="s">
        <v>45</v>
      </c>
      <c r="AM673" s="42" t="s">
        <v>45</v>
      </c>
      <c r="AN673" s="42" t="s">
        <v>45</v>
      </c>
      <c r="AO673" s="43" t="s">
        <v>45</v>
      </c>
      <c r="AP673" s="42" t="s">
        <v>67</v>
      </c>
      <c r="AQ673" s="42">
        <v>7</v>
      </c>
      <c r="AR673" s="50" t="s">
        <v>14</v>
      </c>
      <c r="AS673" s="45" t="s">
        <v>45</v>
      </c>
      <c r="AT673" s="45" t="s">
        <v>705</v>
      </c>
      <c r="AU673" s="46">
        <f>($O$3*(L673-$O$1)/$O$2+$P$3*(M673-$P$1)/$P$2+$Q$3*(N673-$P$1)/$Q$2)/SUM($O$3:$Q$3)</f>
        <v>-2.5060525215375429</v>
      </c>
      <c r="AV673" s="46">
        <f>($O$3*(O673-$O$1)/$O$2+$P$3*(P673-$P$1)/$P$2+$Q$3*(Q673-$Q$1)/$Q$2)/SUM($O$3:$Q$3)</f>
        <v>-1.6711751217821238</v>
      </c>
      <c r="AW673" s="47">
        <f>COUNT(R673:AO673)/2</f>
        <v>2</v>
      </c>
      <c r="AX673" s="47">
        <f>IF(AND(S673&lt;&gt;"-",S673&gt;5),1,0)+IF(AND(U673&lt;&gt;"-",U673&gt;5),1,0)+IF(AND(W673&lt;&gt;"-",W673&gt;5),1,0)+IF(AND(Y673&lt;&gt;"-",Y673&gt;5),1,0)+IF(AND(AA673&lt;&gt;"-",AA673&gt;5),1,0)+IF(AND(AC673&lt;&gt;"-",AC673&gt;5),1,0)+IF(AND(AE673&lt;&gt;"-",AE673&gt;5),1,0)+IF(AND(AG673&lt;&gt;"-",AG673&gt;5),1,0)+IF(AND(AI673&lt;&gt;"-",AI673&gt;5),1,0)+IF(AND(AK673&lt;&gt;"-",AK673&gt;5),1,0)+IF(AND(AM673&lt;&gt;"-",AM673&gt;5),1,0)+IF(AND(AO673&lt;&gt;"-",AO673&gt;5),1,0)</f>
        <v>1</v>
      </c>
      <c r="AY673" s="48">
        <f>VLOOKUP(AP673,COND!$A$10:$B$32,2,FALSE)</f>
        <v>0.9</v>
      </c>
      <c r="AZ673" s="46">
        <f>($AU$3*AU673+$AV$3*AV673+$AW$3*AW673+$AX$3*AX673)*AY673*IF(AQ673&lt;5,0.95,IF(AQ673&lt;7,0.975,1))+$I$3*VLOOKUP(I673,COND!$A$2:$E$7,4,FALSE)+$J$3*VLOOKUP(J673,COND!$A$2:$E$7,2,FALSE)+$K$3*VLOOKUP(K673,COND!$A$2:$E$7,3,FALSE)+IF(BB673="SP",$BB$3,0)+IF($AW673&lt;3,-5,0)+IF(AND($B$2&gt;0,$E673&lt;20),$B$2*25,0)</f>
        <v>11.192758354045012</v>
      </c>
      <c r="BA673" s="49">
        <f>STANDARDIZE(AZ673,AVERAGE($AZ$5:$AZ$676),STDEVP($AZ$5:$AZ$676))</f>
        <v>-1.6829558683781896</v>
      </c>
      <c r="BB673" s="47" t="str">
        <f>IF(OR(AND(AQ673&gt;7,AX673&gt;1),AND(AQ673&gt;4,AW673&gt;2)),"SP","RP")</f>
        <v>RP</v>
      </c>
      <c r="BC673" s="47"/>
      <c r="BD673" s="47"/>
      <c r="BE673" s="47"/>
      <c r="BF673" s="47" t="str">
        <f>IF(AVERAGE($O673:$Q673)&gt;=6,"Likely",IF(AVERAGE($O673:$Q673)&gt;=4,"Possible","Unlikely"))</f>
        <v>Unlikely</v>
      </c>
      <c r="BG673" s="47"/>
      <c r="BH673" s="47" t="str">
        <f>INDEX(Table5[[#All],[Ovr]],MATCH(Table3[[#This Row],[PID]],Table5[[#All],[PID]],0))</f>
        <v/>
      </c>
      <c r="BI673" s="47" t="str">
        <f>INDEX(Table5[[#All],[Rnd]],MATCH(Table3[[#This Row],[PID]],Table5[[#All],[PID]],0))</f>
        <v/>
      </c>
      <c r="BJ673" s="47" t="str">
        <f>INDEX(Table5[[#All],[Pick]],MATCH(Table3[[#This Row],[PID]],Table5[[#All],[PID]],0))</f>
        <v/>
      </c>
      <c r="BK673" s="47" t="str">
        <f>INDEX(Table5[[#All],[Team]],MATCH(Table3[[#This Row],[PID]],Table5[[#All],[PID]],0))</f>
        <v/>
      </c>
      <c r="BL6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4" spans="1:64" ht="15" customHeight="1" x14ac:dyDescent="0.25">
      <c r="A674" s="42">
        <v>17973</v>
      </c>
      <c r="B674" s="42" t="s">
        <v>430</v>
      </c>
      <c r="C674" s="42" t="s">
        <v>166</v>
      </c>
      <c r="D674" s="42" t="s">
        <v>419</v>
      </c>
      <c r="E674" s="42">
        <v>20</v>
      </c>
      <c r="F674" s="42" t="s">
        <v>42</v>
      </c>
      <c r="G674" s="42" t="s">
        <v>42</v>
      </c>
      <c r="H674" s="43" t="s">
        <v>721</v>
      </c>
      <c r="I674" s="44" t="s">
        <v>43</v>
      </c>
      <c r="J674" s="42" t="s">
        <v>44</v>
      </c>
      <c r="K674" s="43" t="s">
        <v>43</v>
      </c>
      <c r="L674" s="42">
        <v>2</v>
      </c>
      <c r="M674" s="42">
        <v>1</v>
      </c>
      <c r="N674" s="43">
        <v>1</v>
      </c>
      <c r="O674" s="42">
        <v>3</v>
      </c>
      <c r="P674" s="42">
        <v>1</v>
      </c>
      <c r="Q674" s="43">
        <v>1</v>
      </c>
      <c r="R674" s="42">
        <v>3</v>
      </c>
      <c r="S674" s="42">
        <v>4</v>
      </c>
      <c r="T674" s="42">
        <v>1</v>
      </c>
      <c r="U674" s="42">
        <v>4</v>
      </c>
      <c r="V674" s="42" t="s">
        <v>45</v>
      </c>
      <c r="W674" s="42" t="s">
        <v>45</v>
      </c>
      <c r="X674" s="42" t="s">
        <v>45</v>
      </c>
      <c r="Y674" s="42" t="s">
        <v>45</v>
      </c>
      <c r="Z674" s="42" t="s">
        <v>45</v>
      </c>
      <c r="AA674" s="42" t="s">
        <v>45</v>
      </c>
      <c r="AB674" s="42" t="s">
        <v>45</v>
      </c>
      <c r="AC674" s="42" t="s">
        <v>45</v>
      </c>
      <c r="AD674" s="42">
        <v>3</v>
      </c>
      <c r="AE674" s="42">
        <v>3</v>
      </c>
      <c r="AF674" s="42">
        <v>3</v>
      </c>
      <c r="AG674" s="42">
        <v>3</v>
      </c>
      <c r="AH674" s="42" t="s">
        <v>45</v>
      </c>
      <c r="AI674" s="42" t="s">
        <v>45</v>
      </c>
      <c r="AJ674" s="42" t="s">
        <v>45</v>
      </c>
      <c r="AK674" s="42" t="s">
        <v>45</v>
      </c>
      <c r="AL674" s="42" t="s">
        <v>45</v>
      </c>
      <c r="AM674" s="42" t="s">
        <v>45</v>
      </c>
      <c r="AN674" s="42" t="s">
        <v>45</v>
      </c>
      <c r="AO674" s="43" t="s">
        <v>45</v>
      </c>
      <c r="AP674" s="42" t="s">
        <v>355</v>
      </c>
      <c r="AQ674" s="42">
        <v>7</v>
      </c>
      <c r="AR674" s="50" t="s">
        <v>14</v>
      </c>
      <c r="AS674" s="45" t="s">
        <v>45</v>
      </c>
      <c r="AT674" s="45" t="s">
        <v>47</v>
      </c>
      <c r="AU674" s="46">
        <f>($O$3*(L674-$O$1)/$O$2+$P$3*(M674-$P$1)/$P$2+$Q$3*(N674-$P$1)/$Q$2)/SUM($O$3:$Q$3)</f>
        <v>-2.5067929134584248</v>
      </c>
      <c r="AV674" s="46">
        <f>($O$3*(O674-$O$1)/$O$2+$P$3*(P674-$P$1)/$P$2+$Q$3*(Q674-$Q$1)/$Q$2)/SUM($O$3:$Q$3)</f>
        <v>-1.8666068382121794</v>
      </c>
      <c r="AW674" s="47">
        <f>COUNT(R674:AO674)/2</f>
        <v>4</v>
      </c>
      <c r="AX674" s="47">
        <f>IF(AND(S674&lt;&gt;"-",S674&gt;5),1,0)+IF(AND(U674&lt;&gt;"-",U674&gt;5),1,0)+IF(AND(W674&lt;&gt;"-",W674&gt;5),1,0)+IF(AND(Y674&lt;&gt;"-",Y674&gt;5),1,0)+IF(AND(AA674&lt;&gt;"-",AA674&gt;5),1,0)+IF(AND(AC674&lt;&gt;"-",AC674&gt;5),1,0)+IF(AND(AE674&lt;&gt;"-",AE674&gt;5),1,0)+IF(AND(AG674&lt;&gt;"-",AG674&gt;5),1,0)+IF(AND(AI674&lt;&gt;"-",AI674&gt;5),1,0)+IF(AND(AK674&lt;&gt;"-",AK674&gt;5),1,0)+IF(AND(AM674&lt;&gt;"-",AM674&gt;5),1,0)+IF(AND(AO674&lt;&gt;"-",AO674&gt;5),1,0)</f>
        <v>0</v>
      </c>
      <c r="AY674" s="48">
        <f>VLOOKUP(AP674,COND!$A$10:$B$32,2,FALSE)</f>
        <v>1</v>
      </c>
      <c r="AZ674" s="46">
        <f>($AU$3*AU674+$AV$3*AV674+$AW$3*AW674+$AX$3*AX674)*AY674*IF(AQ674&lt;5,0.95,IF(AQ674&lt;7,0.975,1))+$I$3*VLOOKUP(I674,COND!$A$2:$E$7,4,FALSE)+$J$3*VLOOKUP(J674,COND!$A$2:$E$7,2,FALSE)+$K$3*VLOOKUP(K674,COND!$A$2:$E$7,3,FALSE)+IF(BB674="SP",$BB$3,0)+IF($AW674&lt;3,-5,0)+IF(AND($B$2&gt;0,$E674&lt;20),$B$2*25,0)</f>
        <v>10.866504653064727</v>
      </c>
      <c r="BA674" s="49">
        <f>STANDARDIZE(AZ674,AVERAGE($AZ$5:$AZ$676),STDEVP($AZ$5:$AZ$676))</f>
        <v>-1.7115495915388703</v>
      </c>
      <c r="BB674" s="47" t="str">
        <f>IF(OR(AND(AQ674&gt;7,AX674&gt;1),AND(AQ674&gt;4,AW674&gt;2)),"SP","RP")</f>
        <v>SP</v>
      </c>
      <c r="BC674" s="47"/>
      <c r="BD674" s="47"/>
      <c r="BE674" s="47"/>
      <c r="BF674" s="47" t="str">
        <f>IF(AVERAGE($O674:$Q674)&gt;=6,"Likely",IF(AVERAGE($O674:$Q674)&gt;=4,"Possible","Unlikely"))</f>
        <v>Unlikely</v>
      </c>
      <c r="BG674" s="47"/>
      <c r="BH674" s="47" t="str">
        <f>INDEX(Table5[[#All],[Ovr]],MATCH(Table3[[#This Row],[PID]],Table5[[#All],[PID]],0))</f>
        <v/>
      </c>
      <c r="BI674" s="47" t="str">
        <f>INDEX(Table5[[#All],[Rnd]],MATCH(Table3[[#This Row],[PID]],Table5[[#All],[PID]],0))</f>
        <v/>
      </c>
      <c r="BJ674" s="47" t="str">
        <f>INDEX(Table5[[#All],[Pick]],MATCH(Table3[[#This Row],[PID]],Table5[[#All],[PID]],0))</f>
        <v/>
      </c>
      <c r="BK674" s="47" t="str">
        <f>INDEX(Table5[[#All],[Team]],MATCH(Table3[[#This Row],[PID]],Table5[[#All],[PID]],0))</f>
        <v/>
      </c>
      <c r="BL6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5" spans="1:64" ht="15" customHeight="1" x14ac:dyDescent="0.25">
      <c r="A675" s="42">
        <v>5943</v>
      </c>
      <c r="B675" s="42" t="s">
        <v>430</v>
      </c>
      <c r="C675" s="42" t="s">
        <v>1765</v>
      </c>
      <c r="D675" s="42" t="s">
        <v>204</v>
      </c>
      <c r="E675" s="42">
        <v>18</v>
      </c>
      <c r="F675" s="42" t="s">
        <v>53</v>
      </c>
      <c r="G675" s="42" t="s">
        <v>53</v>
      </c>
      <c r="H675" s="43" t="s">
        <v>721</v>
      </c>
      <c r="I675" s="44" t="s">
        <v>43</v>
      </c>
      <c r="J675" s="42" t="s">
        <v>43</v>
      </c>
      <c r="K675" s="43" t="s">
        <v>43</v>
      </c>
      <c r="L675" s="42">
        <v>1</v>
      </c>
      <c r="M675" s="42">
        <v>1</v>
      </c>
      <c r="N675" s="43">
        <v>1</v>
      </c>
      <c r="O675" s="42">
        <v>3</v>
      </c>
      <c r="P675" s="42">
        <v>1</v>
      </c>
      <c r="Q675" s="43">
        <v>1</v>
      </c>
      <c r="R675" s="42">
        <v>2</v>
      </c>
      <c r="S675" s="42">
        <v>5</v>
      </c>
      <c r="T675" s="42" t="s">
        <v>45</v>
      </c>
      <c r="U675" s="42" t="s">
        <v>45</v>
      </c>
      <c r="V675" s="42" t="s">
        <v>45</v>
      </c>
      <c r="W675" s="42" t="s">
        <v>45</v>
      </c>
      <c r="X675" s="42">
        <v>1</v>
      </c>
      <c r="Y675" s="42">
        <v>4</v>
      </c>
      <c r="Z675" s="42" t="s">
        <v>45</v>
      </c>
      <c r="AA675" s="42" t="s">
        <v>45</v>
      </c>
      <c r="AB675" s="42" t="s">
        <v>45</v>
      </c>
      <c r="AC675" s="42" t="s">
        <v>45</v>
      </c>
      <c r="AD675" s="42" t="s">
        <v>45</v>
      </c>
      <c r="AE675" s="42" t="s">
        <v>45</v>
      </c>
      <c r="AF675" s="42" t="s">
        <v>45</v>
      </c>
      <c r="AG675" s="42" t="s">
        <v>45</v>
      </c>
      <c r="AH675" s="42" t="s">
        <v>45</v>
      </c>
      <c r="AI675" s="42" t="s">
        <v>45</v>
      </c>
      <c r="AJ675" s="42" t="s">
        <v>45</v>
      </c>
      <c r="AK675" s="42" t="s">
        <v>45</v>
      </c>
      <c r="AL675" s="42" t="s">
        <v>45</v>
      </c>
      <c r="AM675" s="42" t="s">
        <v>45</v>
      </c>
      <c r="AN675" s="42" t="s">
        <v>45</v>
      </c>
      <c r="AO675" s="43" t="s">
        <v>45</v>
      </c>
      <c r="AP675" s="42" t="s">
        <v>65</v>
      </c>
      <c r="AQ675" s="42">
        <v>8</v>
      </c>
      <c r="AR675" s="50" t="s">
        <v>14</v>
      </c>
      <c r="AS675" s="45" t="s">
        <v>739</v>
      </c>
      <c r="AT675" s="45" t="s">
        <v>47</v>
      </c>
      <c r="AU675" s="46">
        <f>($O$3*(L675-$O$1)/$O$2+$P$3*(M675-$P$1)/$P$2+$Q$3*(N675-$P$1)/$Q$2)/SUM($O$3:$Q$3)</f>
        <v>-2.7014842379675978</v>
      </c>
      <c r="AV675" s="46">
        <f>($O$3*(O675-$O$1)/$O$2+$P$3*(P675-$P$1)/$P$2+$Q$3*(Q675-$Q$1)/$Q$2)/SUM($O$3:$Q$3)</f>
        <v>-1.8666068382121794</v>
      </c>
      <c r="AW675" s="47">
        <f>COUNT(R675:AO675)/2</f>
        <v>2</v>
      </c>
      <c r="AX675" s="47">
        <f>IF(AND(S675&lt;&gt;"-",S675&gt;5),1,0)+IF(AND(U675&lt;&gt;"-",U675&gt;5),1,0)+IF(AND(W675&lt;&gt;"-",W675&gt;5),1,0)+IF(AND(Y675&lt;&gt;"-",Y675&gt;5),1,0)+IF(AND(AA675&lt;&gt;"-",AA675&gt;5),1,0)+IF(AND(AC675&lt;&gt;"-",AC675&gt;5),1,0)+IF(AND(AE675&lt;&gt;"-",AE675&gt;5),1,0)+IF(AND(AG675&lt;&gt;"-",AG675&gt;5),1,0)+IF(AND(AI675&lt;&gt;"-",AI675&gt;5),1,0)+IF(AND(AK675&lt;&gt;"-",AK675&gt;5),1,0)+IF(AND(AM675&lt;&gt;"-",AM675&gt;5),1,0)+IF(AND(AO675&lt;&gt;"-",AO675&gt;5),1,0)</f>
        <v>0</v>
      </c>
      <c r="AY675" s="48">
        <f>VLOOKUP(AP675,COND!$A$10:$B$32,2,FALSE)</f>
        <v>0.95</v>
      </c>
      <c r="AZ675" s="46">
        <f>($AU$3*AU675+$AV$3*AV675+$AW$3*AW675+$AX$3*AX675)*AY675*IF(AQ675&lt;5,0.95,IF(AQ675&lt;7,0.975,1))+$I$3*VLOOKUP(I675,COND!$A$2:$E$7,4,FALSE)+$J$3*VLOOKUP(J675,COND!$A$2:$E$7,2,FALSE)+$K$3*VLOOKUP(K675,COND!$A$2:$E$7,3,FALSE)+IF(BB675="SP",$BB$3,0)+IF($AW675&lt;3,-5,0)+IF(AND($B$2&gt;0,$E675&lt;20),$B$2*25,0)</f>
        <v>9.9711880687547563</v>
      </c>
      <c r="BA675" s="49">
        <f>STANDARDIZE(AZ675,AVERAGE($AZ$5:$AZ$676),STDEVP($AZ$5:$AZ$676))</f>
        <v>-1.790017466312412</v>
      </c>
      <c r="BB675" s="47" t="str">
        <f>IF(OR(AND(AQ675&gt;7,AX675&gt;1),AND(AQ675&gt;4,AW675&gt;2)),"SP","RP")</f>
        <v>RP</v>
      </c>
      <c r="BC675" s="47"/>
      <c r="BD675" s="47"/>
      <c r="BE675" s="47"/>
      <c r="BF675" s="47" t="str">
        <f>IF(AVERAGE($O675:$Q675)&gt;=6,"Likely",IF(AVERAGE($O675:$Q675)&gt;=4,"Possible","Unlikely"))</f>
        <v>Unlikely</v>
      </c>
      <c r="BG675" s="47"/>
      <c r="BH675" s="47" t="str">
        <f>INDEX(Table5[[#All],[Ovr]],MATCH(Table3[[#This Row],[PID]],Table5[[#All],[PID]],0))</f>
        <v/>
      </c>
      <c r="BI675" s="47" t="str">
        <f>INDEX(Table5[[#All],[Rnd]],MATCH(Table3[[#This Row],[PID]],Table5[[#All],[PID]],0))</f>
        <v/>
      </c>
      <c r="BJ675" s="47" t="str">
        <f>INDEX(Table5[[#All],[Pick]],MATCH(Table3[[#This Row],[PID]],Table5[[#All],[PID]],0))</f>
        <v/>
      </c>
      <c r="BK675" s="47" t="str">
        <f>INDEX(Table5[[#All],[Team]],MATCH(Table3[[#This Row],[PID]],Table5[[#All],[PID]],0))</f>
        <v/>
      </c>
      <c r="BL6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6" spans="1:64" ht="15" customHeight="1" x14ac:dyDescent="0.25">
      <c r="A676" s="42">
        <v>10064</v>
      </c>
      <c r="B676" s="42" t="s">
        <v>430</v>
      </c>
      <c r="C676" s="42" t="s">
        <v>1235</v>
      </c>
      <c r="D676" s="42" t="s">
        <v>1659</v>
      </c>
      <c r="E676" s="42">
        <v>20</v>
      </c>
      <c r="F676" s="42" t="s">
        <v>42</v>
      </c>
      <c r="G676" s="42" t="s">
        <v>42</v>
      </c>
      <c r="H676" s="43" t="s">
        <v>721</v>
      </c>
      <c r="I676" s="44" t="s">
        <v>43</v>
      </c>
      <c r="J676" s="42" t="s">
        <v>44</v>
      </c>
      <c r="K676" s="43" t="s">
        <v>43</v>
      </c>
      <c r="L676" s="42">
        <v>2</v>
      </c>
      <c r="M676" s="42">
        <v>1</v>
      </c>
      <c r="N676" s="43">
        <v>1</v>
      </c>
      <c r="O676" s="42">
        <v>4</v>
      </c>
      <c r="P676" s="42">
        <v>1</v>
      </c>
      <c r="Q676" s="43">
        <v>1</v>
      </c>
      <c r="R676" s="42">
        <v>4</v>
      </c>
      <c r="S676" s="42">
        <v>5</v>
      </c>
      <c r="T676" s="42">
        <v>2</v>
      </c>
      <c r="U676" s="42">
        <v>5</v>
      </c>
      <c r="V676" s="42" t="s">
        <v>45</v>
      </c>
      <c r="W676" s="42" t="s">
        <v>45</v>
      </c>
      <c r="X676" s="42" t="s">
        <v>45</v>
      </c>
      <c r="Y676" s="42" t="s">
        <v>45</v>
      </c>
      <c r="Z676" s="42" t="s">
        <v>45</v>
      </c>
      <c r="AA676" s="42" t="s">
        <v>45</v>
      </c>
      <c r="AB676" s="42" t="s">
        <v>45</v>
      </c>
      <c r="AC676" s="42" t="s">
        <v>45</v>
      </c>
      <c r="AD676" s="42" t="s">
        <v>45</v>
      </c>
      <c r="AE676" s="42" t="s">
        <v>45</v>
      </c>
      <c r="AF676" s="42" t="s">
        <v>45</v>
      </c>
      <c r="AG676" s="42" t="s">
        <v>45</v>
      </c>
      <c r="AH676" s="42" t="s">
        <v>45</v>
      </c>
      <c r="AI676" s="42" t="s">
        <v>45</v>
      </c>
      <c r="AJ676" s="42" t="s">
        <v>45</v>
      </c>
      <c r="AK676" s="42" t="s">
        <v>45</v>
      </c>
      <c r="AL676" s="42" t="s">
        <v>45</v>
      </c>
      <c r="AM676" s="42" t="s">
        <v>45</v>
      </c>
      <c r="AN676" s="42" t="s">
        <v>45</v>
      </c>
      <c r="AO676" s="43" t="s">
        <v>45</v>
      </c>
      <c r="AP676" s="42" t="s">
        <v>57</v>
      </c>
      <c r="AQ676" s="42">
        <v>5</v>
      </c>
      <c r="AR676" s="50" t="s">
        <v>353</v>
      </c>
      <c r="AS676" s="45" t="s">
        <v>717</v>
      </c>
      <c r="AT676" s="45" t="s">
        <v>705</v>
      </c>
      <c r="AU676" s="46">
        <f>($O$3*(L676-$O$1)/$O$2+$P$3*(M676-$P$1)/$P$2+$Q$3*(N676-$P$1)/$Q$2)/SUM($O$3:$Q$3)</f>
        <v>-2.5067929134584248</v>
      </c>
      <c r="AV676" s="46">
        <f>($O$3*(O676-$O$1)/$O$2+$P$3*(P676-$P$1)/$P$2+$Q$3*(Q676-$Q$1)/$Q$2)/SUM($O$3:$Q$3)</f>
        <v>-1.671915513703006</v>
      </c>
      <c r="AW676" s="47">
        <f>COUNT(R676:AO676)/2</f>
        <v>2</v>
      </c>
      <c r="AX676" s="47">
        <f>IF(AND(S676&lt;&gt;"-",S676&gt;5),1,0)+IF(AND(U676&lt;&gt;"-",U676&gt;5),1,0)+IF(AND(W676&lt;&gt;"-",W676&gt;5),1,0)+IF(AND(Y676&lt;&gt;"-",Y676&gt;5),1,0)+IF(AND(AA676&lt;&gt;"-",AA676&gt;5),1,0)+IF(AND(AC676&lt;&gt;"-",AC676&gt;5),1,0)+IF(AND(AE676&lt;&gt;"-",AE676&gt;5),1,0)+IF(AND(AG676&lt;&gt;"-",AG676&gt;5),1,0)+IF(AND(AI676&lt;&gt;"-",AI676&gt;5),1,0)+IF(AND(AK676&lt;&gt;"-",AK676&gt;5),1,0)+IF(AND(AM676&lt;&gt;"-",AM676&gt;5),1,0)+IF(AND(AO676&lt;&gt;"-",AO676&gt;5),1,0)</f>
        <v>0</v>
      </c>
      <c r="AY676" s="48">
        <f>VLOOKUP(AP676,COND!$A$10:$B$32,2,FALSE)</f>
        <v>1</v>
      </c>
      <c r="AZ676" s="46">
        <f>($AU$3*AU676+$AV$3*AV676+$AW$3*AW676+$AX$3*AX676)*AY676*IF(AQ676&lt;5,0.95,IF(AQ676&lt;7,0.975,1))+$I$3*VLOOKUP(I676,COND!$A$2:$E$7,4,FALSE)+$J$3*VLOOKUP(J676,COND!$A$2:$E$7,2,FALSE)+$K$3*VLOOKUP(K676,COND!$A$2:$E$7,3,FALSE)+IF(BB676="SP",$BB$3,0)+IF($AW676&lt;3,-5,0)+IF(AND($B$2&gt;0,$E676&lt;20),$B$2*25,0)</f>
        <v>7.5838228646669883</v>
      </c>
      <c r="BA676" s="49">
        <f>STANDARDIZE(AZ676,AVERAGE($AZ$5:$AZ$570),STDEVP($AZ$5:$AZ$570))</f>
        <v>-2.3053012905268417</v>
      </c>
      <c r="BB676" s="47" t="str">
        <f>IF(OR(AND(AQ676&gt;7,AX676&gt;1),AND(AQ676&gt;4,AW676&gt;2)),"SP","RP")</f>
        <v>RP</v>
      </c>
      <c r="BC676" s="47"/>
      <c r="BD676" s="47"/>
      <c r="BE676" s="47"/>
      <c r="BF676" s="47" t="str">
        <f>IF(AVERAGE($O676:$Q676)&gt;=6,"Likely",IF(AVERAGE($O676:$Q676)&gt;=4,"Possible","Unlikely"))</f>
        <v>Unlikely</v>
      </c>
      <c r="BG676" s="47"/>
      <c r="BH676" s="47" t="str">
        <f>INDEX(Table5[[#All],[Ovr]],MATCH(Table3[[#This Row],[PID]],Table5[[#All],[PID]],0))</f>
        <v/>
      </c>
      <c r="BI676" s="47" t="str">
        <f>INDEX(Table5[[#All],[Rnd]],MATCH(Table3[[#This Row],[PID]],Table5[[#All],[PID]],0))</f>
        <v/>
      </c>
      <c r="BJ676" s="47" t="str">
        <f>INDEX(Table5[[#All],[Pick]],MATCH(Table3[[#This Row],[PID]],Table5[[#All],[PID]],0))</f>
        <v/>
      </c>
      <c r="BK676" s="47" t="str">
        <f>INDEX(Table5[[#All],[Team]],MATCH(Table3[[#This Row],[PID]],Table5[[#All],[PID]],0))</f>
        <v/>
      </c>
      <c r="BL676" s="47" t="str">
        <f>IF(OR(Table3[[#This Row],[POS]]="SP",Table3[[#This Row],[POS]]="RP",Table3[[#This Row],[POS]]="CL"),"P",INDEX(Batters[[#All],[zScore]],MATCH(Table3[[#This Row],[PID]],Batters[[#All],[PID]],0)))</f>
        <v>P</v>
      </c>
    </row>
  </sheetData>
  <sortState xmlns:xlrd2="http://schemas.microsoft.com/office/spreadsheetml/2017/richdata2" ref="A148:BL570">
    <sortCondition ref="BH5:BH570"/>
    <sortCondition ref="BD5:BD570"/>
    <sortCondition ref="BC5:BC570"/>
    <sortCondition ref="BE5:BE570"/>
    <sortCondition descending="1" ref="BA5:BA570"/>
    <sortCondition ref="D5:D570"/>
    <sortCondition ref="C5:C570"/>
  </sortState>
  <conditionalFormatting sqref="A5:BG676">
    <cfRule type="expression" dxfId="21" priority="21">
      <formula>IF($BI5&lt;&gt;"",1,0)</formula>
    </cfRule>
  </conditionalFormatting>
  <conditionalFormatting sqref="BM45:XFD544">
    <cfRule type="expression" dxfId="20" priority="12">
      <formula>IF(MOD(ROW(),2)=1,1,0)</formula>
    </cfRule>
  </conditionalFormatting>
  <conditionalFormatting sqref="AQ5:AQ676">
    <cfRule type="colorScale" priority="1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676">
    <cfRule type="colorScale" priority="1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676">
    <cfRule type="colorScale" priority="1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676">
    <cfRule type="colorScale" priority="1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234"/>
  <sheetViews>
    <sheetView tabSelected="1"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A5" sqref="A5"/>
    </sheetView>
  </sheetViews>
  <sheetFormatPr defaultRowHeight="15" x14ac:dyDescent="0.25"/>
  <cols>
    <col min="1" max="1" width="8.42578125" customWidth="1"/>
    <col min="2" max="2" width="6.7109375" customWidth="1"/>
    <col min="3" max="3" width="7.42578125" customWidth="1"/>
    <col min="4" max="4" width="6.7109375" style="7" bestFit="1" customWidth="1"/>
    <col min="5" max="5" width="15" style="8" customWidth="1"/>
    <col min="6" max="6" width="16" style="8" customWidth="1"/>
    <col min="7" max="7" width="6.7109375" style="8" bestFit="1" customWidth="1"/>
    <col min="8" max="8" width="4.42578125" style="8" bestFit="1" customWidth="1"/>
    <col min="9" max="9" width="4.28515625" style="3" bestFit="1" customWidth="1"/>
    <col min="10" max="10" width="9.5703125" bestFit="1" customWidth="1"/>
    <col min="11" max="11" width="9.5703125" style="8" bestFit="1" customWidth="1"/>
    <col min="12" max="12" width="5.5703125" style="7" customWidth="1"/>
    <col min="13" max="13" width="7.140625" customWidth="1"/>
    <col min="14" max="14" width="6.5703125" customWidth="1"/>
    <col min="15" max="15" width="11.140625" bestFit="1" customWidth="1"/>
    <col min="16" max="16" width="5.85546875" style="8" customWidth="1"/>
    <col min="17" max="17" width="7.5703125" style="7" bestFit="1" customWidth="1"/>
    <col min="18" max="18" width="8.85546875" style="8" customWidth="1"/>
    <col min="19" max="19" width="12.5703125" style="7" bestFit="1" customWidth="1"/>
    <col min="20" max="20" width="10.5703125" style="7" customWidth="1"/>
    <col min="21" max="21" width="9.5703125" customWidth="1"/>
    <col min="22" max="22" width="9.140625" style="8" customWidth="1"/>
    <col min="23" max="23" width="9.85546875" customWidth="1"/>
    <col min="24" max="24" width="9.140625" style="3"/>
    <col min="25" max="25" width="6.42578125" bestFit="1" customWidth="1"/>
    <col min="26" max="26" width="6.7109375" bestFit="1" customWidth="1"/>
    <col min="27" max="27" width="6.85546875" bestFit="1" customWidth="1"/>
    <col min="28" max="28" width="29.28515625" bestFit="1" customWidth="1"/>
    <col min="29" max="29" width="11.42578125" bestFit="1" customWidth="1"/>
    <col min="30" max="30" width="11.5703125" bestFit="1" customWidth="1"/>
    <col min="31" max="31" width="10.140625" bestFit="1" customWidth="1"/>
  </cols>
  <sheetData>
    <row r="1" spans="1:31" x14ac:dyDescent="0.25">
      <c r="A1" s="1" t="s">
        <v>491</v>
      </c>
      <c r="B1">
        <v>0</v>
      </c>
      <c r="C1" t="s">
        <v>693</v>
      </c>
      <c r="F1" s="33"/>
      <c r="T1" s="7" t="s">
        <v>304</v>
      </c>
      <c r="U1">
        <v>560</v>
      </c>
      <c r="Y1">
        <v>3</v>
      </c>
      <c r="Z1">
        <v>4</v>
      </c>
      <c r="AA1">
        <v>6</v>
      </c>
      <c r="AB1">
        <v>7</v>
      </c>
      <c r="AC1" t="s">
        <v>216</v>
      </c>
      <c r="AD1" s="6" t="e">
        <f>AVERAGE(AD5:AD683)</f>
        <v>#DIV/0!</v>
      </c>
    </row>
    <row r="2" spans="1:31" x14ac:dyDescent="0.25">
      <c r="A2" s="1" t="s">
        <v>1024</v>
      </c>
      <c r="B2">
        <v>0</v>
      </c>
      <c r="F2" s="33"/>
      <c r="W2" s="1" t="s">
        <v>1026</v>
      </c>
    </row>
    <row r="3" spans="1:31" x14ac:dyDescent="0.25">
      <c r="A3" s="1" t="s">
        <v>1025</v>
      </c>
      <c r="B3">
        <v>0.2</v>
      </c>
      <c r="F3" s="8">
        <f>COUNTIF(G5:G1234,"&lt;20")</f>
        <v>552</v>
      </c>
      <c r="G3" s="8">
        <f>COUNTIF(G5:G1234,"&gt;19")</f>
        <v>678</v>
      </c>
      <c r="L3" s="7" t="s">
        <v>217</v>
      </c>
      <c r="M3" t="s">
        <v>218</v>
      </c>
      <c r="N3" t="s">
        <v>219</v>
      </c>
      <c r="O3" t="s">
        <v>220</v>
      </c>
      <c r="P3" s="8" t="s">
        <v>221</v>
      </c>
      <c r="S3" s="59">
        <v>4000000</v>
      </c>
      <c r="W3" t="s">
        <v>45</v>
      </c>
      <c r="Y3">
        <v>24</v>
      </c>
      <c r="Z3">
        <v>8</v>
      </c>
      <c r="AC3" t="s">
        <v>222</v>
      </c>
      <c r="AD3" s="6" t="e">
        <f>MEDIAN(AD5:AD683)</f>
        <v>#NUM!</v>
      </c>
    </row>
    <row r="4" spans="1:31" s="10" customFormat="1" x14ac:dyDescent="0.25">
      <c r="A4" s="10" t="s">
        <v>214</v>
      </c>
      <c r="B4" s="10" t="s">
        <v>238</v>
      </c>
      <c r="C4" s="10" t="s">
        <v>223</v>
      </c>
      <c r="D4" s="9" t="s">
        <v>122</v>
      </c>
      <c r="E4" s="10" t="s">
        <v>421</v>
      </c>
      <c r="F4" s="10" t="s">
        <v>422</v>
      </c>
      <c r="G4" s="10" t="s">
        <v>2</v>
      </c>
      <c r="H4" s="10" t="s">
        <v>3</v>
      </c>
      <c r="I4" s="4" t="s">
        <v>4</v>
      </c>
      <c r="J4" s="10" t="s">
        <v>6</v>
      </c>
      <c r="K4" s="10" t="s">
        <v>7</v>
      </c>
      <c r="L4" s="9" t="s">
        <v>224</v>
      </c>
      <c r="M4" s="10" t="s">
        <v>225</v>
      </c>
      <c r="N4" s="10" t="s">
        <v>217</v>
      </c>
      <c r="O4" s="10" t="s">
        <v>94</v>
      </c>
      <c r="P4" s="10" t="s">
        <v>226</v>
      </c>
      <c r="Q4" s="9" t="s">
        <v>95</v>
      </c>
      <c r="R4" s="10" t="s">
        <v>96</v>
      </c>
      <c r="S4" s="9" t="s">
        <v>227</v>
      </c>
      <c r="T4" s="9" t="s">
        <v>303</v>
      </c>
      <c r="U4" s="10" t="s">
        <v>692</v>
      </c>
      <c r="V4" s="10" t="s">
        <v>691</v>
      </c>
      <c r="W4" s="10" t="s">
        <v>364</v>
      </c>
      <c r="X4" s="4" t="s">
        <v>365</v>
      </c>
      <c r="Y4" s="10" t="s">
        <v>231</v>
      </c>
      <c r="Z4" s="10" t="s">
        <v>232</v>
      </c>
      <c r="AA4" s="10" t="s">
        <v>233</v>
      </c>
      <c r="AB4" s="10" t="s">
        <v>234</v>
      </c>
      <c r="AC4" s="10" t="s">
        <v>235</v>
      </c>
      <c r="AD4" s="10" t="s">
        <v>264</v>
      </c>
      <c r="AE4" s="10" t="s">
        <v>265</v>
      </c>
    </row>
    <row r="5" spans="1:31" s="52" customFormat="1" x14ac:dyDescent="0.25">
      <c r="A5" s="52">
        <v>7016</v>
      </c>
      <c r="B5" s="52">
        <f>COUNTIF(Table5[PID],A5)</f>
        <v>1</v>
      </c>
      <c r="C5" s="52" t="str">
        <f>IF(COUNTIF(Table3[[#All],[PID]],A5)&gt;0,"P","B")</f>
        <v>P</v>
      </c>
      <c r="D5" s="61" t="str">
        <f>IF($C5="B",INDEX(Batters[[#All],[POS]],MATCH(Table5[[#This Row],[PID]],Batters[[#All],[PID]],0)),INDEX(Table3[[#All],[POS]],MATCH(Table5[[#This Row],[PID]],Table3[[#All],[PID]],0)))</f>
        <v>RP</v>
      </c>
      <c r="E5" s="54" t="str">
        <f>IF($C5="B",INDEX(Batters[[#All],[First]],MATCH(Table5[[#This Row],[PID]],Batters[[#All],[PID]],0)),INDEX(Table3[[#All],[First]],MATCH(Table5[[#This Row],[PID]],Table3[[#All],[PID]],0)))</f>
        <v>James</v>
      </c>
      <c r="F5" s="52" t="str">
        <f>IF($C5="B",INDEX(Batters[[#All],[Last]],MATCH(A5,Batters[[#All],[PID]],0)),INDEX(Table3[[#All],[Last]],MATCH(A5,Table3[[#All],[PID]],0)))</f>
        <v>Berridge</v>
      </c>
      <c r="G5" s="58">
        <f>IF($C5="B",INDEX(Batters[[#All],[Age]],MATCH(Table5[[#This Row],[PID]],Batters[[#All],[PID]],0)),INDEX(Table3[[#All],[Age]],MATCH(Table5[[#This Row],[PID]],Table3[[#All],[PID]],0)))</f>
        <v>21</v>
      </c>
      <c r="H5" s="54" t="str">
        <f>IF($C5="B",INDEX(Batters[[#All],[B]],MATCH(Table5[[#This Row],[PID]],Batters[[#All],[PID]],0)),INDEX(Table3[[#All],[B]],MATCH(Table5[[#This Row],[PID]],Table3[[#All],[PID]],0)))</f>
        <v>L</v>
      </c>
      <c r="I5" s="54" t="str">
        <f>IF($C5="B",INDEX(Batters[[#All],[T]],MATCH(Table5[[#This Row],[PID]],Batters[[#All],[PID]],0)),INDEX(Table3[[#All],[T]],MATCH(Table5[[#This Row],[PID]],Table3[[#All],[PID]],0)))</f>
        <v>R</v>
      </c>
      <c r="J5" s="54" t="str">
        <f>IF($C5="B",INDEX(Batters[[#All],[WE]],MATCH(Table5[[#This Row],[PID]],Batters[[#All],[PID]],0)),INDEX(Table3[[#All],[WE]],MATCH(Table5[[#This Row],[PID]],Table3[[#All],[PID]],0)))</f>
        <v>Normal</v>
      </c>
      <c r="K5" s="54" t="str">
        <f>IF($C5="B",INDEX(Batters[[#All],[INT]],MATCH(Table5[[#This Row],[PID]],Batters[[#All],[PID]],0)),INDEX(Table3[[#All],[INT]],MATCH(Table5[[#This Row],[PID]],Table3[[#All],[PID]],0)))</f>
        <v>Normal</v>
      </c>
      <c r="L5" s="62">
        <f>IF($C5="B",INDEX(Batters[[#All],[CON P]],MATCH(Table5[[#This Row],[PID]],Batters[[#All],[PID]],0)),INDEX(Table3[[#All],[STU P]],MATCH(Table5[[#This Row],[PID]],Table3[[#All],[PID]],0)))</f>
        <v>8</v>
      </c>
      <c r="M5" s="58">
        <f>IF($C5="B",INDEX(Batters[[#All],[GAP P]],MATCH(Table5[[#This Row],[PID]],Batters[[#All],[PID]],0)),INDEX(Table3[[#All],[MOV P]],MATCH(Table5[[#This Row],[PID]],Table3[[#All],[PID]],0)))</f>
        <v>6</v>
      </c>
      <c r="N5" s="58">
        <f>IF($C5="B",INDEX(Batters[[#All],[POW P]],MATCH(Table5[[#This Row],[PID]],Batters[[#All],[PID]],0)),INDEX(Table3[[#All],[CON P]],MATCH(Table5[[#This Row],[PID]],Table3[[#All],[PID]],0)))</f>
        <v>6</v>
      </c>
      <c r="O5" s="58" t="str">
        <f>IF($C5="B",INDEX(Batters[[#All],[EYE P]],MATCH(Table5[[#This Row],[PID]],Batters[[#All],[PID]],0)),INDEX(Table3[[#All],[VELO]],MATCH(Table5[[#This Row],[PID]],Table3[[#All],[PID]],0)))</f>
        <v>93-95 Mph</v>
      </c>
      <c r="P5" s="58">
        <f>IF($C5="B",INDEX(Batters[[#All],[K P]],MATCH(Table5[[#This Row],[PID]],Batters[[#All],[PID]],0)),INDEX(Table3[[#All],[STM]],MATCH(Table5[[#This Row],[PID]],Table3[[#All],[PID]],0)))</f>
        <v>6</v>
      </c>
      <c r="Q5" s="63">
        <f>IF($C5="B",INDEX(Batters[[#All],[Tot]],MATCH(Table5[[#This Row],[PID]],Batters[[#All],[PID]],0)),INDEX(Table3[[#All],[Tot]],MATCH(Table5[[#This Row],[PID]],Table3[[#All],[PID]],0)))</f>
        <v>76.68436480777045</v>
      </c>
      <c r="R5" s="54">
        <f>IF($C5="B",INDEX(Batters[[#All],[zScore]],MATCH(Table5[[#This Row],[PID]],Batters[[#All],[PID]],0)),INDEX(Table3[[#All],[zScore]],MATCH(Table5[[#This Row],[PID]],Table3[[#All],[PID]],0)))</f>
        <v>4.0315137475792344</v>
      </c>
      <c r="S5" s="61" t="str">
        <f>IF($C5="B",INDEX(Batters[[#All],[DEM]],MATCH(Table5[[#This Row],[PID]],Batters[[#All],[PID]],0)),INDEX(Table3[[#All],[DEM]],MATCH(Table5[[#This Row],[PID]],Table3[[#All],[PID]],0)))</f>
        <v>$480k</v>
      </c>
      <c r="T5" s="64">
        <f>IF($C5="B",VLOOKUP($A5,Bat!$A$4:$AU$1417,46,FALSE),VLOOKUP($A5,Pit!$A$4:$BD$570,55,FALSE))</f>
        <v>0</v>
      </c>
      <c r="U5" s="52">
        <f>IF($C5="B",VLOOKUP($A5,Bat!$A$4:$BA$1417,47,FALSE),VLOOKUP($A5,Pit!$A$4:$BF$570,56,FALSE))</f>
        <v>0</v>
      </c>
      <c r="V5" s="52">
        <f>IF($C5="B",VLOOKUP($A5,Bat!$A$4:$BA$1417,48,FALSE),VLOOKUP($A5,Pit!$A$4:$BF$570,57,FALSE))</f>
        <v>0</v>
      </c>
      <c r="W5" s="52">
        <f>Table5[[#This Row],[posRnk]]+Table5[[#This Row],[zRnk]]+IF($W$3&lt;&gt;Table5[[#This Row],[Type]],50,0)</f>
        <v>51</v>
      </c>
      <c r="X5" s="53">
        <f>RANK(Table5[[#This Row],[zScore]],Table5[[#All],[zScore]])</f>
        <v>1</v>
      </c>
      <c r="Y5" s="52" t="str">
        <f>IFERROR(INDEX(DraftResults[[#All],[OVR]],MATCH(Table5[[#This Row],[PID]],DraftResults[[#All],[Player ID]],0)),"")</f>
        <v/>
      </c>
      <c r="Z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" s="52" t="str">
        <f>IFERROR(INDEX(DraftResults[[#All],[Pick in Round]],MATCH(Table5[[#This Row],[PID]],DraftResults[[#All],[Player ID]],0)),"")</f>
        <v/>
      </c>
      <c r="AB5" s="52" t="str">
        <f>IFERROR(INDEX(DraftResults[[#All],[Team Name]],MATCH(Table5[[#This Row],[PID]],DraftResults[[#All],[Player ID]],0)),"")</f>
        <v/>
      </c>
      <c r="AC5" s="52" t="str">
        <f>IF(Table5[[#This Row],[Ovr]]="","",IF(Table5[[#This Row],[cmbList]]="","",Table5[[#This Row],[cmbList]]-Table5[[#This Row],[Ovr]]))</f>
        <v/>
      </c>
      <c r="AD5" s="56" t="str">
        <f>IF(ISERROR(VLOOKUP($AB5&amp;"-"&amp;$E5&amp;" "&amp;F5,Bonuses!$B$1:$G$1006,4,FALSE)),"",INT(VLOOKUP($AB5&amp;"-"&amp;$E5&amp;" "&amp;$F5,Bonuses!$B$1:$G$1006,4,FALSE)))</f>
        <v/>
      </c>
      <c r="AE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" spans="1:31" s="52" customFormat="1" x14ac:dyDescent="0.25">
      <c r="A6" s="52">
        <v>6230</v>
      </c>
      <c r="B6" s="52">
        <f>COUNTIF(Table5[PID],A6)</f>
        <v>1</v>
      </c>
      <c r="C6" s="52" t="str">
        <f>IF(COUNTIF(Table3[[#All],[PID]],A6)&gt;0,"P","B")</f>
        <v>P</v>
      </c>
      <c r="D6" s="61" t="str">
        <f>IF($C6="B",INDEX(Batters[[#All],[POS]],MATCH(Table5[[#This Row],[PID]],Batters[[#All],[PID]],0)),INDEX(Table3[[#All],[POS]],MATCH(Table5[[#This Row],[PID]],Table3[[#All],[PID]],0)))</f>
        <v>SP</v>
      </c>
      <c r="E6" s="54" t="str">
        <f>IF($C6="B",INDEX(Batters[[#All],[First]],MATCH(Table5[[#This Row],[PID]],Batters[[#All],[PID]],0)),INDEX(Table3[[#All],[First]],MATCH(Table5[[#This Row],[PID]],Table3[[#All],[PID]],0)))</f>
        <v>Tetsui</v>
      </c>
      <c r="F6" s="52" t="str">
        <f>IF($C6="B",INDEX(Batters[[#All],[Last]],MATCH(A6,Batters[[#All],[PID]],0)),INDEX(Table3[[#All],[Last]],MATCH(A6,Table3[[#All],[PID]],0)))</f>
        <v>Suzuki</v>
      </c>
      <c r="G6" s="58">
        <f>IF($C6="B",INDEX(Batters[[#All],[Age]],MATCH(Table5[[#This Row],[PID]],Batters[[#All],[PID]],0)),INDEX(Table3[[#All],[Age]],MATCH(Table5[[#This Row],[PID]],Table3[[#All],[PID]],0)))</f>
        <v>18</v>
      </c>
      <c r="H6" s="54" t="str">
        <f>IF($C6="B",INDEX(Batters[[#All],[B]],MATCH(Table5[[#This Row],[PID]],Batters[[#All],[PID]],0)),INDEX(Table3[[#All],[B]],MATCH(Table5[[#This Row],[PID]],Table3[[#All],[PID]],0)))</f>
        <v>L</v>
      </c>
      <c r="I6" s="54" t="str">
        <f>IF($C6="B",INDEX(Batters[[#All],[T]],MATCH(Table5[[#This Row],[PID]],Batters[[#All],[PID]],0)),INDEX(Table3[[#All],[T]],MATCH(Table5[[#This Row],[PID]],Table3[[#All],[PID]],0)))</f>
        <v>L</v>
      </c>
      <c r="J6" s="54" t="str">
        <f>IF($C6="B",INDEX(Batters[[#All],[WE]],MATCH(Table5[[#This Row],[PID]],Batters[[#All],[PID]],0)),INDEX(Table3[[#All],[WE]],MATCH(Table5[[#This Row],[PID]],Table3[[#All],[PID]],0)))</f>
        <v>Normal</v>
      </c>
      <c r="K6" s="54" t="str">
        <f>IF($C6="B",INDEX(Batters[[#All],[INT]],MATCH(Table5[[#This Row],[PID]],Batters[[#All],[PID]],0)),INDEX(Table3[[#All],[INT]],MATCH(Table5[[#This Row],[PID]],Table3[[#All],[PID]],0)))</f>
        <v>High</v>
      </c>
      <c r="L6" s="62">
        <f>IF($C6="B",INDEX(Batters[[#All],[CON P]],MATCH(Table5[[#This Row],[PID]],Batters[[#All],[PID]],0)),INDEX(Table3[[#All],[STU P]],MATCH(Table5[[#This Row],[PID]],Table3[[#All],[PID]],0)))</f>
        <v>7</v>
      </c>
      <c r="M6" s="58">
        <f>IF($C6="B",INDEX(Batters[[#All],[GAP P]],MATCH(Table5[[#This Row],[PID]],Batters[[#All],[PID]],0)),INDEX(Table3[[#All],[MOV P]],MATCH(Table5[[#This Row],[PID]],Table3[[#All],[PID]],0)))</f>
        <v>5</v>
      </c>
      <c r="N6" s="58">
        <f>IF($C6="B",INDEX(Batters[[#All],[POW P]],MATCH(Table5[[#This Row],[PID]],Batters[[#All],[PID]],0)),INDEX(Table3[[#All],[CON P]],MATCH(Table5[[#This Row],[PID]],Table3[[#All],[PID]],0)))</f>
        <v>6</v>
      </c>
      <c r="O6" s="58" t="str">
        <f>IF($C6="B",INDEX(Batters[[#All],[EYE P]],MATCH(Table5[[#This Row],[PID]],Batters[[#All],[PID]],0)),INDEX(Table3[[#All],[VELO]],MATCH(Table5[[#This Row],[PID]],Table3[[#All],[PID]],0)))</f>
        <v>99-101 Mph</v>
      </c>
      <c r="P6" s="58">
        <f>IF($C6="B",INDEX(Batters[[#All],[K P]],MATCH(Table5[[#This Row],[PID]],Batters[[#All],[PID]],0)),INDEX(Table3[[#All],[STM]],MATCH(Table5[[#This Row],[PID]],Table3[[#All],[PID]],0)))</f>
        <v>6</v>
      </c>
      <c r="Q6" s="63">
        <f>IF($C6="B",INDEX(Batters[[#All],[Tot]],MATCH(Table5[[#This Row],[PID]],Batters[[#All],[PID]],0)),INDEX(Table3[[#All],[Tot]],MATCH(Table5[[#This Row],[PID]],Table3[[#All],[PID]],0)))</f>
        <v>75.121697161810474</v>
      </c>
      <c r="R6" s="54">
        <f>IF($C6="B",INDEX(Batters[[#All],[zScore]],MATCH(Table5[[#This Row],[PID]],Batters[[#All],[PID]],0)),INDEX(Table3[[#All],[zScore]],MATCH(Table5[[#This Row],[PID]],Table3[[#All],[PID]],0)))</f>
        <v>3.8882104454628132</v>
      </c>
      <c r="S6" s="60" t="str">
        <f>IF($C6="B",INDEX(Batters[[#All],[DEM]],MATCH(Table5[[#This Row],[PID]],Batters[[#All],[PID]],0)),INDEX(Table3[[#All],[DEM]],MATCH(Table5[[#This Row],[PID]],Table3[[#All],[PID]],0)))</f>
        <v>$3.6m</v>
      </c>
      <c r="T6" s="64">
        <f>IF($C6="B",VLOOKUP($A6,Bat!$A$4:$AU$1417,46,FALSE),VLOOKUP($A6,Pit!$A$4:$BD$570,55,FALSE))</f>
        <v>0</v>
      </c>
      <c r="U6" s="52">
        <f>IF($C6="B",VLOOKUP($A6,Bat!$A$4:$BA$1417,47,FALSE),VLOOKUP($A6,Pit!$A$4:$BF$570,56,FALSE))</f>
        <v>0</v>
      </c>
      <c r="V6" s="52">
        <f>IF($C6="B",VLOOKUP($A6,Bat!$A$4:$BA$1417,48,FALSE),VLOOKUP($A6,Pit!$A$4:$BF$570,57,FALSE))</f>
        <v>0</v>
      </c>
      <c r="W6" s="52">
        <f>Table5[[#This Row],[posRnk]]+Table5[[#This Row],[zRnk]]+IF($W$3&lt;&gt;Table5[[#This Row],[Type]],50,0)</f>
        <v>52</v>
      </c>
      <c r="X6" s="53">
        <f>RANK(Table5[[#This Row],[zScore]],Table5[[#All],[zScore]])</f>
        <v>2</v>
      </c>
      <c r="Y6" s="52" t="str">
        <f>IFERROR(INDEX(DraftResults[[#All],[OVR]],MATCH(Table5[[#This Row],[PID]],DraftResults[[#All],[Player ID]],0)),"")</f>
        <v/>
      </c>
      <c r="Z6" s="6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" s="52" t="str">
        <f>IFERROR(INDEX(DraftResults[[#All],[Pick in Round]],MATCH(Table5[[#This Row],[PID]],DraftResults[[#All],[Player ID]],0)),"")</f>
        <v/>
      </c>
      <c r="AB6" s="52" t="str">
        <f>IFERROR(INDEX(DraftResults[[#All],[Team Name]],MATCH(Table5[[#This Row],[PID]],DraftResults[[#All],[Player ID]],0)),"")</f>
        <v/>
      </c>
      <c r="AC6" s="52" t="str">
        <f>IF(Table5[[#This Row],[Ovr]]="","",IF(Table5[[#This Row],[cmbList]]="","",Table5[[#This Row],[cmbList]]-Table5[[#This Row],[Ovr]]))</f>
        <v/>
      </c>
      <c r="AD6" s="56" t="str">
        <f>IF(ISERROR(VLOOKUP($AB6&amp;"-"&amp;$E6&amp;" "&amp;F6,Bonuses!$B$1:$G$1006,4,FALSE)),"",INT(VLOOKUP($AB6&amp;"-"&amp;$E6&amp;" "&amp;$F6,Bonuses!$B$1:$G$1006,4,FALSE)))</f>
        <v/>
      </c>
      <c r="AE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" spans="1:31" s="52" customFormat="1" x14ac:dyDescent="0.25">
      <c r="A7" s="52">
        <v>7409</v>
      </c>
      <c r="B7" s="52">
        <f>COUNTIF(Table5[PID],A7)</f>
        <v>1</v>
      </c>
      <c r="C7" s="52" t="str">
        <f>IF(COUNTIF(Table3[[#All],[PID]],A7)&gt;0,"P","B")</f>
        <v>P</v>
      </c>
      <c r="D7" s="61" t="str">
        <f>IF($C7="B",INDEX(Batters[[#All],[POS]],MATCH(Table5[[#This Row],[PID]],Batters[[#All],[PID]],0)),INDEX(Table3[[#All],[POS]],MATCH(Table5[[#This Row],[PID]],Table3[[#All],[PID]],0)))</f>
        <v>SP</v>
      </c>
      <c r="E7" s="54" t="str">
        <f>IF($C7="B",INDEX(Batters[[#All],[First]],MATCH(Table5[[#This Row],[PID]],Batters[[#All],[PID]],0)),INDEX(Table3[[#All],[First]],MATCH(Table5[[#This Row],[PID]],Table3[[#All],[PID]],0)))</f>
        <v>Andrew</v>
      </c>
      <c r="F7" s="52" t="str">
        <f>IF($C7="B",INDEX(Batters[[#All],[Last]],MATCH(A7,Batters[[#All],[PID]],0)),INDEX(Table3[[#All],[Last]],MATCH(A7,Table3[[#All],[PID]],0)))</f>
        <v>Bevan</v>
      </c>
      <c r="G7" s="58">
        <f>IF($C7="B",INDEX(Batters[[#All],[Age]],MATCH(Table5[[#This Row],[PID]],Batters[[#All],[PID]],0)),INDEX(Table3[[#All],[Age]],MATCH(Table5[[#This Row],[PID]],Table3[[#All],[PID]],0)))</f>
        <v>21</v>
      </c>
      <c r="H7" s="54" t="str">
        <f>IF($C7="B",INDEX(Batters[[#All],[B]],MATCH(Table5[[#This Row],[PID]],Batters[[#All],[PID]],0)),INDEX(Table3[[#All],[B]],MATCH(Table5[[#This Row],[PID]],Table3[[#All],[PID]],0)))</f>
        <v>R</v>
      </c>
      <c r="I7" s="54" t="str">
        <f>IF($C7="B",INDEX(Batters[[#All],[T]],MATCH(Table5[[#This Row],[PID]],Batters[[#All],[PID]],0)),INDEX(Table3[[#All],[T]],MATCH(Table5[[#This Row],[PID]],Table3[[#All],[PID]],0)))</f>
        <v>R</v>
      </c>
      <c r="J7" s="54" t="str">
        <f>IF($C7="B",INDEX(Batters[[#All],[WE]],MATCH(Table5[[#This Row],[PID]],Batters[[#All],[PID]],0)),INDEX(Table3[[#All],[WE]],MATCH(Table5[[#This Row],[PID]],Table3[[#All],[PID]],0)))</f>
        <v>High</v>
      </c>
      <c r="K7" s="54" t="str">
        <f>IF($C7="B",INDEX(Batters[[#All],[INT]],MATCH(Table5[[#This Row],[PID]],Batters[[#All],[PID]],0)),INDEX(Table3[[#All],[INT]],MATCH(Table5[[#This Row],[PID]],Table3[[#All],[PID]],0)))</f>
        <v>Normal</v>
      </c>
      <c r="L7" s="62">
        <f>IF($C7="B",INDEX(Batters[[#All],[CON P]],MATCH(Table5[[#This Row],[PID]],Batters[[#All],[PID]],0)),INDEX(Table3[[#All],[STU P]],MATCH(Table5[[#This Row],[PID]],Table3[[#All],[PID]],0)))</f>
        <v>7</v>
      </c>
      <c r="M7" s="58">
        <f>IF($C7="B",INDEX(Batters[[#All],[GAP P]],MATCH(Table5[[#This Row],[PID]],Batters[[#All],[PID]],0)),INDEX(Table3[[#All],[MOV P]],MATCH(Table5[[#This Row],[PID]],Table3[[#All],[PID]],0)))</f>
        <v>4</v>
      </c>
      <c r="N7" s="58">
        <f>IF($C7="B",INDEX(Batters[[#All],[POW P]],MATCH(Table5[[#This Row],[PID]],Batters[[#All],[PID]],0)),INDEX(Table3[[#All],[CON P]],MATCH(Table5[[#This Row],[PID]],Table3[[#All],[PID]],0)))</f>
        <v>7</v>
      </c>
      <c r="O7" s="58" t="str">
        <f>IF($C7="B",INDEX(Batters[[#All],[EYE P]],MATCH(Table5[[#This Row],[PID]],Batters[[#All],[PID]],0)),INDEX(Table3[[#All],[VELO]],MATCH(Table5[[#This Row],[PID]],Table3[[#All],[PID]],0)))</f>
        <v>97-99 Mph</v>
      </c>
      <c r="P7" s="58">
        <f>IF($C7="B",INDEX(Batters[[#All],[K P]],MATCH(Table5[[#This Row],[PID]],Batters[[#All],[PID]],0)),INDEX(Table3[[#All],[STM]],MATCH(Table5[[#This Row],[PID]],Table3[[#All],[PID]],0)))</f>
        <v>6</v>
      </c>
      <c r="Q7" s="63">
        <f>IF($C7="B",INDEX(Batters[[#All],[Tot]],MATCH(Table5[[#This Row],[PID]],Batters[[#All],[PID]],0)),INDEX(Table3[[#All],[Tot]],MATCH(Table5[[#This Row],[PID]],Table3[[#All],[PID]],0)))</f>
        <v>71.969790035057486</v>
      </c>
      <c r="R7" s="54">
        <f>IF($C7="B",INDEX(Batters[[#All],[zScore]],MATCH(Table5[[#This Row],[PID]],Batters[[#All],[PID]],0)),INDEX(Table3[[#All],[zScore]],MATCH(Table5[[#This Row],[PID]],Table3[[#All],[PID]],0)))</f>
        <v>3.5991670904053721</v>
      </c>
      <c r="S7" s="60" t="str">
        <f>IF($C7="B",INDEX(Batters[[#All],[DEM]],MATCH(Table5[[#This Row],[PID]],Batters[[#All],[PID]],0)),INDEX(Table3[[#All],[DEM]],MATCH(Table5[[#This Row],[PID]],Table3[[#All],[PID]],0)))</f>
        <v>$1.3m</v>
      </c>
      <c r="T7" s="64">
        <f>IF($C7="B",VLOOKUP($A7,Bat!$A$4:$AU$1417,46,FALSE),VLOOKUP($A7,Pit!$A$4:$BD$570,55,FALSE))</f>
        <v>0</v>
      </c>
      <c r="U7" s="52">
        <f>IF($C7="B",VLOOKUP($A7,Bat!$A$4:$BA$1417,47,FALSE),VLOOKUP($A7,Pit!$A$4:$BF$570,56,FALSE))</f>
        <v>0</v>
      </c>
      <c r="V7" s="52">
        <f>IF($C7="B",VLOOKUP($A7,Bat!$A$4:$BA$1417,48,FALSE),VLOOKUP($A7,Pit!$A$4:$BF$570,57,FALSE))</f>
        <v>0</v>
      </c>
      <c r="W7" s="52">
        <f>Table5[[#This Row],[posRnk]]+Table5[[#This Row],[zRnk]]+IF($W$3&lt;&gt;Table5[[#This Row],[Type]],50,0)</f>
        <v>53</v>
      </c>
      <c r="X7" s="53">
        <f>RANK(Table5[[#This Row],[zScore]],Table5[[#All],[zScore]])</f>
        <v>3</v>
      </c>
      <c r="Y7" s="52" t="str">
        <f>IFERROR(INDEX(DraftResults[[#All],[OVR]],MATCH(Table5[[#This Row],[PID]],DraftResults[[#All],[Player ID]],0)),"")</f>
        <v/>
      </c>
      <c r="Z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" s="52" t="str">
        <f>IFERROR(INDEX(DraftResults[[#All],[Pick in Round]],MATCH(Table5[[#This Row],[PID]],DraftResults[[#All],[Player ID]],0)),"")</f>
        <v/>
      </c>
      <c r="AB7" s="52" t="str">
        <f>IFERROR(INDEX(DraftResults[[#All],[Team Name]],MATCH(Table5[[#This Row],[PID]],DraftResults[[#All],[Player ID]],0)),"")</f>
        <v/>
      </c>
      <c r="AC7" s="52" t="str">
        <f>IF(Table5[[#This Row],[Ovr]]="","",IF(Table5[[#This Row],[cmbList]]="","",Table5[[#This Row],[cmbList]]-Table5[[#This Row],[Ovr]]))</f>
        <v/>
      </c>
      <c r="AD7" s="56" t="str">
        <f>IF(ISERROR(VLOOKUP($AB7&amp;"-"&amp;$E7&amp;" "&amp;F7,Bonuses!$B$1:$G$1006,4,FALSE)),"",INT(VLOOKUP($AB7&amp;"-"&amp;$E7&amp;" "&amp;$F7,Bonuses!$B$1:$G$1006,4,FALSE)))</f>
        <v/>
      </c>
      <c r="AE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" spans="1:31" s="52" customFormat="1" x14ac:dyDescent="0.25">
      <c r="A8" s="52">
        <v>12349</v>
      </c>
      <c r="B8" s="52">
        <f>COUNTIF(Table5[PID],A8)</f>
        <v>1</v>
      </c>
      <c r="C8" s="52" t="str">
        <f>IF(COUNTIF(Table3[[#All],[PID]],A8)&gt;0,"P","B")</f>
        <v>B</v>
      </c>
      <c r="D8" s="61" t="str">
        <f>IF($C8="B",INDEX(Batters[[#All],[POS]],MATCH(Table5[[#This Row],[PID]],Batters[[#All],[PID]],0)),INDEX(Table3[[#All],[POS]],MATCH(Table5[[#This Row],[PID]],Table3[[#All],[PID]],0)))</f>
        <v>3B</v>
      </c>
      <c r="E8" s="54" t="str">
        <f>IF($C8="B",INDEX(Batters[[#All],[First]],MATCH(Table5[[#This Row],[PID]],Batters[[#All],[PID]],0)),INDEX(Table3[[#All],[First]],MATCH(Table5[[#This Row],[PID]],Table3[[#All],[PID]],0)))</f>
        <v>John</v>
      </c>
      <c r="F8" s="52" t="str">
        <f>IF($C8="B",INDEX(Batters[[#All],[Last]],MATCH(A8,Batters[[#All],[PID]],0)),INDEX(Table3[[#All],[Last]],MATCH(A8,Table3[[#All],[PID]],0)))</f>
        <v>MacVurich</v>
      </c>
      <c r="G8" s="58">
        <f>IF($C8="B",INDEX(Batters[[#All],[Age]],MATCH(Table5[[#This Row],[PID]],Batters[[#All],[PID]],0)),INDEX(Table3[[#All],[Age]],MATCH(Table5[[#This Row],[PID]],Table3[[#All],[PID]],0)))</f>
        <v>21</v>
      </c>
      <c r="H8" s="54" t="str">
        <f>IF($C8="B",INDEX(Batters[[#All],[B]],MATCH(Table5[[#This Row],[PID]],Batters[[#All],[PID]],0)),INDEX(Table3[[#All],[B]],MATCH(Table5[[#This Row],[PID]],Table3[[#All],[PID]],0)))</f>
        <v>R</v>
      </c>
      <c r="I8" s="54" t="str">
        <f>IF($C8="B",INDEX(Batters[[#All],[T]],MATCH(Table5[[#This Row],[PID]],Batters[[#All],[PID]],0)),INDEX(Table3[[#All],[T]],MATCH(Table5[[#This Row],[PID]],Table3[[#All],[PID]],0)))</f>
        <v>R</v>
      </c>
      <c r="J8" s="54" t="str">
        <f>IF($C8="B",INDEX(Batters[[#All],[WE]],MATCH(Table5[[#This Row],[PID]],Batters[[#All],[PID]],0)),INDEX(Table3[[#All],[WE]],MATCH(Table5[[#This Row],[PID]],Table3[[#All],[PID]],0)))</f>
        <v>Normal</v>
      </c>
      <c r="K8" s="54" t="str">
        <f>IF($C8="B",INDEX(Batters[[#All],[INT]],MATCH(Table5[[#This Row],[PID]],Batters[[#All],[PID]],0)),INDEX(Table3[[#All],[INT]],MATCH(Table5[[#This Row],[PID]],Table3[[#All],[PID]],0)))</f>
        <v>Normal</v>
      </c>
      <c r="L8" s="62">
        <f>IF($C8="B",INDEX(Batters[[#All],[CON P]],MATCH(Table5[[#This Row],[PID]],Batters[[#All],[PID]],0)),INDEX(Table3[[#All],[STU P]],MATCH(Table5[[#This Row],[PID]],Table3[[#All],[PID]],0)))</f>
        <v>7</v>
      </c>
      <c r="M8" s="58">
        <f>IF($C8="B",INDEX(Batters[[#All],[GAP P]],MATCH(Table5[[#This Row],[PID]],Batters[[#All],[PID]],0)),INDEX(Table3[[#All],[MOV P]],MATCH(Table5[[#This Row],[PID]],Table3[[#All],[PID]],0)))</f>
        <v>8</v>
      </c>
      <c r="N8" s="58">
        <f>IF($C8="B",INDEX(Batters[[#All],[POW P]],MATCH(Table5[[#This Row],[PID]],Batters[[#All],[PID]],0)),INDEX(Table3[[#All],[CON P]],MATCH(Table5[[#This Row],[PID]],Table3[[#All],[PID]],0)))</f>
        <v>7</v>
      </c>
      <c r="O8" s="58">
        <f>IF($C8="B",INDEX(Batters[[#All],[EYE P]],MATCH(Table5[[#This Row],[PID]],Batters[[#All],[PID]],0)),INDEX(Table3[[#All],[VELO]],MATCH(Table5[[#This Row],[PID]],Table3[[#All],[PID]],0)))</f>
        <v>6</v>
      </c>
      <c r="P8" s="58">
        <f>IF($C8="B",INDEX(Batters[[#All],[K P]],MATCH(Table5[[#This Row],[PID]],Batters[[#All],[PID]],0)),INDEX(Table3[[#All],[STM]],MATCH(Table5[[#This Row],[PID]],Table3[[#All],[PID]],0)))</f>
        <v>5</v>
      </c>
      <c r="Q8" s="63">
        <f>IF($C8="B",INDEX(Batters[[#All],[Tot]],MATCH(Table5[[#This Row],[PID]],Batters[[#All],[PID]],0)),INDEX(Table3[[#All],[Tot]],MATCH(Table5[[#This Row],[PID]],Table3[[#All],[PID]],0)))</f>
        <v>60.774721132375248</v>
      </c>
      <c r="R8" s="54">
        <f>IF($C8="B",INDEX(Batters[[#All],[zScore]],MATCH(Table5[[#This Row],[PID]],Batters[[#All],[PID]],0)),INDEX(Table3[[#All],[zScore]],MATCH(Table5[[#This Row],[PID]],Table3[[#All],[PID]],0)))</f>
        <v>3.5939023000306953</v>
      </c>
      <c r="S8" s="60" t="str">
        <f>IF($C8="B",INDEX(Batters[[#All],[DEM]],MATCH(Table5[[#This Row],[PID]],Batters[[#All],[PID]],0)),INDEX(Table3[[#All],[DEM]],MATCH(Table5[[#This Row],[PID]],Table3[[#All],[PID]],0)))</f>
        <v>$3.0m</v>
      </c>
      <c r="T8" s="64">
        <f>IF($C8="B",VLOOKUP($A8,Bat!$A$4:$AU$1417,46,FALSE),VLOOKUP($A8,Pit!$A$4:$BD$570,55,FALSE))</f>
        <v>0</v>
      </c>
      <c r="U8" s="52">
        <f>IF($C8="B",VLOOKUP($A8,Bat!$A$4:$BA$1417,47,FALSE),VLOOKUP($A8,Pit!$A$4:$BF$570,56,FALSE))</f>
        <v>0</v>
      </c>
      <c r="V8" s="52">
        <f>IF($C8="B",VLOOKUP($A8,Bat!$A$4:$BA$1417,48,FALSE),VLOOKUP($A8,Pit!$A$4:$BF$570,57,FALSE))</f>
        <v>0</v>
      </c>
      <c r="W8" s="52">
        <f>Table5[[#This Row],[posRnk]]+Table5[[#This Row],[zRnk]]+IF($W$3&lt;&gt;Table5[[#This Row],[Type]],50,0)</f>
        <v>54</v>
      </c>
      <c r="X8" s="53">
        <f>RANK(Table5[[#This Row],[zScore]],Table5[[#All],[zScore]])</f>
        <v>4</v>
      </c>
      <c r="Y8" s="52" t="str">
        <f>IFERROR(INDEX(DraftResults[[#All],[OVR]],MATCH(Table5[[#This Row],[PID]],DraftResults[[#All],[Player ID]],0)),"")</f>
        <v/>
      </c>
      <c r="Z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" s="52" t="str">
        <f>IFERROR(INDEX(DraftResults[[#All],[Pick in Round]],MATCH(Table5[[#This Row],[PID]],DraftResults[[#All],[Player ID]],0)),"")</f>
        <v/>
      </c>
      <c r="AB8" s="52" t="str">
        <f>IFERROR(INDEX(DraftResults[[#All],[Team Name]],MATCH(Table5[[#This Row],[PID]],DraftResults[[#All],[Player ID]],0)),"")</f>
        <v/>
      </c>
      <c r="AC8" s="52" t="str">
        <f>IF(Table5[[#This Row],[Ovr]]="","",IF(Table5[[#This Row],[cmbList]]="","",Table5[[#This Row],[cmbList]]-Table5[[#This Row],[Ovr]]))</f>
        <v/>
      </c>
      <c r="AD8" s="56" t="str">
        <f>IF(ISERROR(VLOOKUP($AB8&amp;"-"&amp;$E8&amp;" "&amp;F8,Bonuses!$B$1:$G$1006,4,FALSE)),"",INT(VLOOKUP($AB8&amp;"-"&amp;$E8&amp;" "&amp;$F8,Bonuses!$B$1:$G$1006,4,FALSE)))</f>
        <v/>
      </c>
      <c r="AE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" spans="1:31" s="52" customFormat="1" x14ac:dyDescent="0.25">
      <c r="A9" s="52">
        <v>16124</v>
      </c>
      <c r="B9" s="52">
        <f>COUNTIF(Table5[PID],A9)</f>
        <v>1</v>
      </c>
      <c r="C9" s="52" t="str">
        <f>IF(COUNTIF(Table3[[#All],[PID]],A9)&gt;0,"P","B")</f>
        <v>P</v>
      </c>
      <c r="D9" s="61" t="str">
        <f>IF($C9="B",INDEX(Batters[[#All],[POS]],MATCH(Table5[[#This Row],[PID]],Batters[[#All],[PID]],0)),INDEX(Table3[[#All],[POS]],MATCH(Table5[[#This Row],[PID]],Table3[[#All],[PID]],0)))</f>
        <v>SP</v>
      </c>
      <c r="E9" s="54" t="str">
        <f>IF($C9="B",INDEX(Batters[[#All],[First]],MATCH(Table5[[#This Row],[PID]],Batters[[#All],[PID]],0)),INDEX(Table3[[#All],[First]],MATCH(Table5[[#This Row],[PID]],Table3[[#All],[PID]],0)))</f>
        <v>Guido</v>
      </c>
      <c r="F9" s="52" t="str">
        <f>IF($C9="B",INDEX(Batters[[#All],[Last]],MATCH(A9,Batters[[#All],[PID]],0)),INDEX(Table3[[#All],[Last]],MATCH(A9,Table3[[#All],[PID]],0)))</f>
        <v>Westerbos</v>
      </c>
      <c r="G9" s="58">
        <f>IF($C9="B",INDEX(Batters[[#All],[Age]],MATCH(Table5[[#This Row],[PID]],Batters[[#All],[PID]],0)),INDEX(Table3[[#All],[Age]],MATCH(Table5[[#This Row],[PID]],Table3[[#All],[PID]],0)))</f>
        <v>18</v>
      </c>
      <c r="H9" s="54" t="str">
        <f>IF($C9="B",INDEX(Batters[[#All],[B]],MATCH(Table5[[#This Row],[PID]],Batters[[#All],[PID]],0)),INDEX(Table3[[#All],[B]],MATCH(Table5[[#This Row],[PID]],Table3[[#All],[PID]],0)))</f>
        <v>R</v>
      </c>
      <c r="I9" s="54" t="str">
        <f>IF($C9="B",INDEX(Batters[[#All],[T]],MATCH(Table5[[#This Row],[PID]],Batters[[#All],[PID]],0)),INDEX(Table3[[#All],[T]],MATCH(Table5[[#This Row],[PID]],Table3[[#All],[PID]],0)))</f>
        <v>R</v>
      </c>
      <c r="J9" s="54" t="str">
        <f>IF($C9="B",INDEX(Batters[[#All],[WE]],MATCH(Table5[[#This Row],[PID]],Batters[[#All],[PID]],0)),INDEX(Table3[[#All],[WE]],MATCH(Table5[[#This Row],[PID]],Table3[[#All],[PID]],0)))</f>
        <v>Low</v>
      </c>
      <c r="K9" s="54" t="str">
        <f>IF($C9="B",INDEX(Batters[[#All],[INT]],MATCH(Table5[[#This Row],[PID]],Batters[[#All],[PID]],0)),INDEX(Table3[[#All],[INT]],MATCH(Table5[[#This Row],[PID]],Table3[[#All],[PID]],0)))</f>
        <v>High</v>
      </c>
      <c r="L9" s="62">
        <f>IF($C9="B",INDEX(Batters[[#All],[CON P]],MATCH(Table5[[#This Row],[PID]],Batters[[#All],[PID]],0)),INDEX(Table3[[#All],[STU P]],MATCH(Table5[[#This Row],[PID]],Table3[[#All],[PID]],0)))</f>
        <v>5</v>
      </c>
      <c r="M9" s="58">
        <f>IF($C9="B",INDEX(Batters[[#All],[GAP P]],MATCH(Table5[[#This Row],[PID]],Batters[[#All],[PID]],0)),INDEX(Table3[[#All],[MOV P]],MATCH(Table5[[#This Row],[PID]],Table3[[#All],[PID]],0)))</f>
        <v>6</v>
      </c>
      <c r="N9" s="58">
        <f>IF($C9="B",INDEX(Batters[[#All],[POW P]],MATCH(Table5[[#This Row],[PID]],Batters[[#All],[PID]],0)),INDEX(Table3[[#All],[CON P]],MATCH(Table5[[#This Row],[PID]],Table3[[#All],[PID]],0)))</f>
        <v>5</v>
      </c>
      <c r="O9" s="58" t="str">
        <f>IF($C9="B",INDEX(Batters[[#All],[EYE P]],MATCH(Table5[[#This Row],[PID]],Batters[[#All],[PID]],0)),INDEX(Table3[[#All],[VELO]],MATCH(Table5[[#This Row],[PID]],Table3[[#All],[PID]],0)))</f>
        <v>91-93 Mph</v>
      </c>
      <c r="P9" s="58">
        <f>IF($C9="B",INDEX(Batters[[#All],[K P]],MATCH(Table5[[#This Row],[PID]],Batters[[#All],[PID]],0)),INDEX(Table3[[#All],[STM]],MATCH(Table5[[#This Row],[PID]],Table3[[#All],[PID]],0)))</f>
        <v>7</v>
      </c>
      <c r="Q9" s="63">
        <f>IF($C9="B",INDEX(Batters[[#All],[Tot]],MATCH(Table5[[#This Row],[PID]],Batters[[#All],[PID]],0)),INDEX(Table3[[#All],[Tot]],MATCH(Table5[[#This Row],[PID]],Table3[[#All],[PID]],0)))</f>
        <v>67.970525017262872</v>
      </c>
      <c r="R9" s="54">
        <f>IF($C9="B",INDEX(Batters[[#All],[zScore]],MATCH(Table5[[#This Row],[PID]],Batters[[#All],[PID]],0)),INDEX(Table3[[#All],[zScore]],MATCH(Table5[[#This Row],[PID]],Table3[[#All],[PID]],0)))</f>
        <v>3.2324173950556707</v>
      </c>
      <c r="S9" s="60" t="str">
        <f>IF($C9="B",INDEX(Batters[[#All],[DEM]],MATCH(Table5[[#This Row],[PID]],Batters[[#All],[PID]],0)),INDEX(Table3[[#All],[DEM]],MATCH(Table5[[#This Row],[PID]],Table3[[#All],[PID]],0)))</f>
        <v>$850k</v>
      </c>
      <c r="T9" s="64">
        <f>IF($C9="B",VLOOKUP($A9,Bat!$A$4:$AU$1417,46,FALSE),VLOOKUP($A9,Pit!$A$4:$BD$570,55,FALSE))</f>
        <v>0</v>
      </c>
      <c r="U9" s="52">
        <f>IF($C9="B",VLOOKUP($A9,Bat!$A$4:$BA$1417,47,FALSE),VLOOKUP($A9,Pit!$A$4:$BF$570,56,FALSE))</f>
        <v>0</v>
      </c>
      <c r="V9" s="52">
        <f>IF($C9="B",VLOOKUP($A9,Bat!$A$4:$BA$1417,48,FALSE),VLOOKUP($A9,Pit!$A$4:$BF$570,57,FALSE))</f>
        <v>0</v>
      </c>
      <c r="W9" s="52">
        <f>Table5[[#This Row],[posRnk]]+Table5[[#This Row],[zRnk]]+IF($W$3&lt;&gt;Table5[[#This Row],[Type]],50,0)</f>
        <v>55</v>
      </c>
      <c r="X9" s="53">
        <f>RANK(Table5[[#This Row],[zScore]],Table5[[#All],[zScore]])</f>
        <v>5</v>
      </c>
      <c r="Y9" s="52" t="str">
        <f>IFERROR(INDEX(DraftResults[[#All],[OVR]],MATCH(Table5[[#This Row],[PID]],DraftResults[[#All],[Player ID]],0)),"")</f>
        <v/>
      </c>
      <c r="Z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" s="52" t="str">
        <f>IFERROR(INDEX(DraftResults[[#All],[Pick in Round]],MATCH(Table5[[#This Row],[PID]],DraftResults[[#All],[Player ID]],0)),"")</f>
        <v/>
      </c>
      <c r="AB9" s="52" t="str">
        <f>IFERROR(INDEX(DraftResults[[#All],[Team Name]],MATCH(Table5[[#This Row],[PID]],DraftResults[[#All],[Player ID]],0)),"")</f>
        <v/>
      </c>
      <c r="AC9" s="52" t="str">
        <f>IF(Table5[[#This Row],[Ovr]]="","",IF(Table5[[#This Row],[cmbList]]="","",Table5[[#This Row],[cmbList]]-Table5[[#This Row],[Ovr]]))</f>
        <v/>
      </c>
      <c r="AD9" s="56" t="str">
        <f>IF(ISERROR(VLOOKUP($AB9&amp;"-"&amp;$E9&amp;" "&amp;F9,Bonuses!$B$1:$G$1006,4,FALSE)),"",INT(VLOOKUP($AB9&amp;"-"&amp;$E9&amp;" "&amp;$F9,Bonuses!$B$1:$G$1006,4,FALSE)))</f>
        <v/>
      </c>
      <c r="AE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" spans="1:31" s="52" customFormat="1" x14ac:dyDescent="0.25">
      <c r="A10" s="52">
        <v>9339</v>
      </c>
      <c r="B10" s="52">
        <f>COUNTIF(Table5[PID],A10)</f>
        <v>1</v>
      </c>
      <c r="C10" s="52" t="str">
        <f>IF(COUNTIF(Table3[[#All],[PID]],A10)&gt;0,"P","B")</f>
        <v>P</v>
      </c>
      <c r="D10" s="61" t="str">
        <f>IF($C10="B",INDEX(Batters[[#All],[POS]],MATCH(Table5[[#This Row],[PID]],Batters[[#All],[PID]],0)),INDEX(Table3[[#All],[POS]],MATCH(Table5[[#This Row],[PID]],Table3[[#All],[PID]],0)))</f>
        <v>SP</v>
      </c>
      <c r="E10" s="54" t="str">
        <f>IF($C10="B",INDEX(Batters[[#All],[First]],MATCH(Table5[[#This Row],[PID]],Batters[[#All],[PID]],0)),INDEX(Table3[[#All],[First]],MATCH(Table5[[#This Row],[PID]],Table3[[#All],[PID]],0)))</f>
        <v>Will</v>
      </c>
      <c r="F10" s="52" t="str">
        <f>IF($C10="B",INDEX(Batters[[#All],[Last]],MATCH(A10,Batters[[#All],[PID]],0)),INDEX(Table3[[#All],[Last]],MATCH(A10,Table3[[#All],[PID]],0)))</f>
        <v>Taylor</v>
      </c>
      <c r="G10" s="58">
        <f>IF($C10="B",INDEX(Batters[[#All],[Age]],MATCH(Table5[[#This Row],[PID]],Batters[[#All],[PID]],0)),INDEX(Table3[[#All],[Age]],MATCH(Table5[[#This Row],[PID]],Table3[[#All],[PID]],0)))</f>
        <v>21</v>
      </c>
      <c r="H10" s="54" t="str">
        <f>IF($C10="B",INDEX(Batters[[#All],[B]],MATCH(Table5[[#This Row],[PID]],Batters[[#All],[PID]],0)),INDEX(Table3[[#All],[B]],MATCH(Table5[[#This Row],[PID]],Table3[[#All],[PID]],0)))</f>
        <v>L</v>
      </c>
      <c r="I10" s="54" t="str">
        <f>IF($C10="B",INDEX(Batters[[#All],[T]],MATCH(Table5[[#This Row],[PID]],Batters[[#All],[PID]],0)),INDEX(Table3[[#All],[T]],MATCH(Table5[[#This Row],[PID]],Table3[[#All],[PID]],0)))</f>
        <v>L</v>
      </c>
      <c r="J10" s="54" t="str">
        <f>IF($C10="B",INDEX(Batters[[#All],[WE]],MATCH(Table5[[#This Row],[PID]],Batters[[#All],[PID]],0)),INDEX(Table3[[#All],[WE]],MATCH(Table5[[#This Row],[PID]],Table3[[#All],[PID]],0)))</f>
        <v>High</v>
      </c>
      <c r="K10" s="54" t="str">
        <f>IF($C10="B",INDEX(Batters[[#All],[INT]],MATCH(Table5[[#This Row],[PID]],Batters[[#All],[PID]],0)),INDEX(Table3[[#All],[INT]],MATCH(Table5[[#This Row],[PID]],Table3[[#All],[PID]],0)))</f>
        <v>Normal</v>
      </c>
      <c r="L10" s="62">
        <f>IF($C10="B",INDEX(Batters[[#All],[CON P]],MATCH(Table5[[#This Row],[PID]],Batters[[#All],[PID]],0)),INDEX(Table3[[#All],[STU P]],MATCH(Table5[[#This Row],[PID]],Table3[[#All],[PID]],0)))</f>
        <v>8</v>
      </c>
      <c r="M10" s="58">
        <f>IF($C10="B",INDEX(Batters[[#All],[GAP P]],MATCH(Table5[[#This Row],[PID]],Batters[[#All],[PID]],0)),INDEX(Table3[[#All],[MOV P]],MATCH(Table5[[#This Row],[PID]],Table3[[#All],[PID]],0)))</f>
        <v>4</v>
      </c>
      <c r="N10" s="58">
        <f>IF($C10="B",INDEX(Batters[[#All],[POW P]],MATCH(Table5[[#This Row],[PID]],Batters[[#All],[PID]],0)),INDEX(Table3[[#All],[CON P]],MATCH(Table5[[#This Row],[PID]],Table3[[#All],[PID]],0)))</f>
        <v>5</v>
      </c>
      <c r="O10" s="58" t="str">
        <f>IF($C10="B",INDEX(Batters[[#All],[EYE P]],MATCH(Table5[[#This Row],[PID]],Batters[[#All],[PID]],0)),INDEX(Table3[[#All],[VELO]],MATCH(Table5[[#This Row],[PID]],Table3[[#All],[PID]],0)))</f>
        <v>99-101 Mph</v>
      </c>
      <c r="P10" s="58">
        <f>IF($C10="B",INDEX(Batters[[#All],[K P]],MATCH(Table5[[#This Row],[PID]],Batters[[#All],[PID]],0)),INDEX(Table3[[#All],[STM]],MATCH(Table5[[#This Row],[PID]],Table3[[#All],[PID]],0)))</f>
        <v>6</v>
      </c>
      <c r="Q10" s="63">
        <f>IF($C10="B",INDEX(Batters[[#All],[Tot]],MATCH(Table5[[#This Row],[PID]],Batters[[#All],[PID]],0)),INDEX(Table3[[#All],[Tot]],MATCH(Table5[[#This Row],[PID]],Table3[[#All],[PID]],0)))</f>
        <v>66.86075058025969</v>
      </c>
      <c r="R10" s="54">
        <f>IF($C10="B",INDEX(Batters[[#All],[zScore]],MATCH(Table5[[#This Row],[PID]],Batters[[#All],[PID]],0)),INDEX(Table3[[#All],[zScore]],MATCH(Table5[[#This Row],[PID]],Table3[[#All],[PID]],0)))</f>
        <v>3.130646335906845</v>
      </c>
      <c r="S10" s="60" t="str">
        <f>IF($C10="B",INDEX(Batters[[#All],[DEM]],MATCH(Table5[[#This Row],[PID]],Batters[[#All],[PID]],0)),INDEX(Table3[[#All],[DEM]],MATCH(Table5[[#This Row],[PID]],Table3[[#All],[PID]],0)))</f>
        <v>$2.4m</v>
      </c>
      <c r="T10" s="64">
        <f>IF($C10="B",VLOOKUP($A10,Bat!$A$4:$AU$1417,46,FALSE),VLOOKUP($A10,Pit!$A$4:$BD$570,55,FALSE))</f>
        <v>0</v>
      </c>
      <c r="U10" s="52">
        <f>IF($C10="B",VLOOKUP($A10,Bat!$A$4:$BA$1417,47,FALSE),VLOOKUP($A10,Pit!$A$4:$BF$676,56,FALSE))</f>
        <v>0</v>
      </c>
      <c r="V10" s="52">
        <f>IF($C10="B",VLOOKUP($A10,Bat!$A$4:$BA$1417,48,FALSE),VLOOKUP($A10,Pit!$A$4:$BF$570,57,FALSE))</f>
        <v>0</v>
      </c>
      <c r="W10" s="52">
        <f>Table5[[#This Row],[posRnk]]+Table5[[#This Row],[zRnk]]+IF($W$3&lt;&gt;Table5[[#This Row],[Type]],50,0)</f>
        <v>56</v>
      </c>
      <c r="X10" s="53">
        <f>RANK(Table5[[#This Row],[zScore]],Table5[[#All],[zScore]])</f>
        <v>6</v>
      </c>
      <c r="Y10" s="52" t="str">
        <f>IFERROR(INDEX(DraftResults[[#All],[OVR]],MATCH(Table5[[#This Row],[PID]],DraftResults[[#All],[Player ID]],0)),"")</f>
        <v/>
      </c>
      <c r="Z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" s="52" t="str">
        <f>IFERROR(INDEX(DraftResults[[#All],[Pick in Round]],MATCH(Table5[[#This Row],[PID]],DraftResults[[#All],[Player ID]],0)),"")</f>
        <v/>
      </c>
      <c r="AB10" s="52" t="str">
        <f>IFERROR(INDEX(DraftResults[[#All],[Team Name]],MATCH(Table5[[#This Row],[PID]],DraftResults[[#All],[Player ID]],0)),"")</f>
        <v/>
      </c>
      <c r="AC10" s="52" t="str">
        <f>IF(Table5[[#This Row],[Ovr]]="","",IF(Table5[[#This Row],[cmbList]]="","",Table5[[#This Row],[cmbList]]-Table5[[#This Row],[Ovr]]))</f>
        <v/>
      </c>
      <c r="AD10" s="56" t="str">
        <f>IF(ISERROR(VLOOKUP($AB10&amp;"-"&amp;$E10&amp;" "&amp;F10,Bonuses!$B$1:$G$1006,4,FALSE)),"",INT(VLOOKUP($AB10&amp;"-"&amp;$E10&amp;" "&amp;$F10,Bonuses!$B$1:$G$1006,4,FALSE)))</f>
        <v/>
      </c>
      <c r="AE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" spans="1:31" s="52" customFormat="1" x14ac:dyDescent="0.25">
      <c r="A11" s="52">
        <v>8417</v>
      </c>
      <c r="B11" s="52">
        <f>COUNTIF(Table5[PID],A11)</f>
        <v>1</v>
      </c>
      <c r="C11" s="52" t="str">
        <f>IF(COUNTIF(Table3[[#All],[PID]],A11)&gt;0,"P","B")</f>
        <v>P</v>
      </c>
      <c r="D11" s="61" t="str">
        <f>IF($C11="B",INDEX(Batters[[#All],[POS]],MATCH(Table5[[#This Row],[PID]],Batters[[#All],[PID]],0)),INDEX(Table3[[#All],[POS]],MATCH(Table5[[#This Row],[PID]],Table3[[#All],[PID]],0)))</f>
        <v>CL</v>
      </c>
      <c r="E11" s="54" t="str">
        <f>IF($C11="B",INDEX(Batters[[#All],[First]],MATCH(Table5[[#This Row],[PID]],Batters[[#All],[PID]],0)),INDEX(Table3[[#All],[First]],MATCH(Table5[[#This Row],[PID]],Table3[[#All],[PID]],0)))</f>
        <v>Doug</v>
      </c>
      <c r="F11" s="52" t="str">
        <f>IF($C11="B",INDEX(Batters[[#All],[Last]],MATCH(A11,Batters[[#All],[PID]],0)),INDEX(Table3[[#All],[Last]],MATCH(A11,Table3[[#All],[PID]],0)))</f>
        <v>Averett</v>
      </c>
      <c r="G11" s="58">
        <f>IF($C11="B",INDEX(Batters[[#All],[Age]],MATCH(Table5[[#This Row],[PID]],Batters[[#All],[PID]],0)),INDEX(Table3[[#All],[Age]],MATCH(Table5[[#This Row],[PID]],Table3[[#All],[PID]],0)))</f>
        <v>18</v>
      </c>
      <c r="H11" s="54" t="str">
        <f>IF($C11="B",INDEX(Batters[[#All],[B]],MATCH(Table5[[#This Row],[PID]],Batters[[#All],[PID]],0)),INDEX(Table3[[#All],[B]],MATCH(Table5[[#This Row],[PID]],Table3[[#All],[PID]],0)))</f>
        <v>R</v>
      </c>
      <c r="I11" s="54" t="str">
        <f>IF($C11="B",INDEX(Batters[[#All],[T]],MATCH(Table5[[#This Row],[PID]],Batters[[#All],[PID]],0)),INDEX(Table3[[#All],[T]],MATCH(Table5[[#This Row],[PID]],Table3[[#All],[PID]],0)))</f>
        <v>L</v>
      </c>
      <c r="J11" s="54" t="str">
        <f>IF($C11="B",INDEX(Batters[[#All],[WE]],MATCH(Table5[[#This Row],[PID]],Batters[[#All],[PID]],0)),INDEX(Table3[[#All],[WE]],MATCH(Table5[[#This Row],[PID]],Table3[[#All],[PID]],0)))</f>
        <v>Normal</v>
      </c>
      <c r="K11" s="54" t="str">
        <f>IF($C11="B",INDEX(Batters[[#All],[INT]],MATCH(Table5[[#This Row],[PID]],Batters[[#All],[PID]],0)),INDEX(Table3[[#All],[INT]],MATCH(Table5[[#This Row],[PID]],Table3[[#All],[PID]],0)))</f>
        <v>Normal</v>
      </c>
      <c r="L11" s="62">
        <f>IF($C11="B",INDEX(Batters[[#All],[CON P]],MATCH(Table5[[#This Row],[PID]],Batters[[#All],[PID]],0)),INDEX(Table3[[#All],[STU P]],MATCH(Table5[[#This Row],[PID]],Table3[[#All],[PID]],0)))</f>
        <v>5</v>
      </c>
      <c r="M11" s="58">
        <f>IF($C11="B",INDEX(Batters[[#All],[GAP P]],MATCH(Table5[[#This Row],[PID]],Batters[[#All],[PID]],0)),INDEX(Table3[[#All],[MOV P]],MATCH(Table5[[#This Row],[PID]],Table3[[#All],[PID]],0)))</f>
        <v>4</v>
      </c>
      <c r="N11" s="58">
        <f>IF($C11="B",INDEX(Batters[[#All],[POW P]],MATCH(Table5[[#This Row],[PID]],Batters[[#All],[PID]],0)),INDEX(Table3[[#All],[CON P]],MATCH(Table5[[#This Row],[PID]],Table3[[#All],[PID]],0)))</f>
        <v>7</v>
      </c>
      <c r="O11" s="58" t="str">
        <f>IF($C11="B",INDEX(Batters[[#All],[EYE P]],MATCH(Table5[[#This Row],[PID]],Batters[[#All],[PID]],0)),INDEX(Table3[[#All],[VELO]],MATCH(Table5[[#This Row],[PID]],Table3[[#All],[PID]],0)))</f>
        <v>89-91 Mph</v>
      </c>
      <c r="P11" s="58">
        <f>IF($C11="B",INDEX(Batters[[#All],[K P]],MATCH(Table5[[#This Row],[PID]],Batters[[#All],[PID]],0)),INDEX(Table3[[#All],[STM]],MATCH(Table5[[#This Row],[PID]],Table3[[#All],[PID]],0)))</f>
        <v>7</v>
      </c>
      <c r="Q11" s="63">
        <f>IF($C11="B",INDEX(Batters[[#All],[Tot]],MATCH(Table5[[#This Row],[PID]],Batters[[#All],[PID]],0)),INDEX(Table3[[#All],[Tot]],MATCH(Table5[[#This Row],[PID]],Table3[[#All],[PID]],0)))</f>
        <v>66.64761488901425</v>
      </c>
      <c r="R11" s="54">
        <f>IF($C11="B",INDEX(Batters[[#All],[zScore]],MATCH(Table5[[#This Row],[PID]],Batters[[#All],[PID]],0)),INDEX(Table3[[#All],[zScore]],MATCH(Table5[[#This Row],[PID]],Table3[[#All],[PID]],0)))</f>
        <v>3.111100882058548</v>
      </c>
      <c r="S11" s="60" t="str">
        <f>IF($C11="B",INDEX(Batters[[#All],[DEM]],MATCH(Table5[[#This Row],[PID]],Batters[[#All],[PID]],0)),INDEX(Table3[[#All],[DEM]],MATCH(Table5[[#This Row],[PID]],Table3[[#All],[PID]],0)))</f>
        <v>$190k</v>
      </c>
      <c r="T11" s="64">
        <f>IF($C11="B",VLOOKUP($A11,Bat!$A$4:$AU$1417,46,FALSE),VLOOKUP($A11,Pit!$A$4:$BD$570,55,FALSE))</f>
        <v>0</v>
      </c>
      <c r="U11" s="52">
        <f>IF($C11="B",VLOOKUP($A11,Bat!$A$4:$BA$1417,47,FALSE),VLOOKUP($A11,Pit!$A$4:$BF$570,56,FALSE))</f>
        <v>0</v>
      </c>
      <c r="V11" s="52">
        <f>IF($C11="B",VLOOKUP($A11,Bat!$A$4:$BA$1417,48,FALSE),VLOOKUP($A11,Pit!$A$4:$BF$570,57,FALSE))</f>
        <v>0</v>
      </c>
      <c r="W11" s="52">
        <f>Table5[[#This Row],[posRnk]]+Table5[[#This Row],[zRnk]]+IF($W$3&lt;&gt;Table5[[#This Row],[Type]],50,0)</f>
        <v>57</v>
      </c>
      <c r="X11" s="53">
        <f>RANK(Table5[[#This Row],[zScore]],Table5[[#All],[zScore]])</f>
        <v>7</v>
      </c>
      <c r="Y11" s="52" t="str">
        <f>IFERROR(INDEX(DraftResults[[#All],[OVR]],MATCH(Table5[[#This Row],[PID]],DraftResults[[#All],[Player ID]],0)),"")</f>
        <v/>
      </c>
      <c r="Z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" s="52" t="str">
        <f>IFERROR(INDEX(DraftResults[[#All],[Pick in Round]],MATCH(Table5[[#This Row],[PID]],DraftResults[[#All],[Player ID]],0)),"")</f>
        <v/>
      </c>
      <c r="AB11" s="52" t="str">
        <f>IFERROR(INDEX(DraftResults[[#All],[Team Name]],MATCH(Table5[[#This Row],[PID]],DraftResults[[#All],[Player ID]],0)),"")</f>
        <v/>
      </c>
      <c r="AC11" s="52" t="str">
        <f>IF(Table5[[#This Row],[Ovr]]="","",IF(Table5[[#This Row],[cmbList]]="","",Table5[[#This Row],[cmbList]]-Table5[[#This Row],[Ovr]]))</f>
        <v/>
      </c>
      <c r="AD11" s="56" t="str">
        <f>IF(ISERROR(VLOOKUP($AB11&amp;"-"&amp;$E11&amp;" "&amp;F11,Bonuses!$B$1:$G$1006,4,FALSE)),"",INT(VLOOKUP($AB11&amp;"-"&amp;$E11&amp;" "&amp;$F11,Bonuses!$B$1:$G$1006,4,FALSE)))</f>
        <v/>
      </c>
      <c r="AE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" spans="1:31" s="52" customFormat="1" x14ac:dyDescent="0.25">
      <c r="A12" s="52">
        <v>9950</v>
      </c>
      <c r="B12" s="52">
        <f>COUNTIF(Table5[PID],A12)</f>
        <v>1</v>
      </c>
      <c r="C12" s="52" t="str">
        <f>IF(COUNTIF(Table3[[#All],[PID]],A12)&gt;0,"P","B")</f>
        <v>P</v>
      </c>
      <c r="D12" s="61" t="str">
        <f>IF($C12="B",INDEX(Batters[[#All],[POS]],MATCH(Table5[[#This Row],[PID]],Batters[[#All],[PID]],0)),INDEX(Table3[[#All],[POS]],MATCH(Table5[[#This Row],[PID]],Table3[[#All],[PID]],0)))</f>
        <v>SP</v>
      </c>
      <c r="E12" s="54" t="str">
        <f>IF($C12="B",INDEX(Batters[[#All],[First]],MATCH(Table5[[#This Row],[PID]],Batters[[#All],[PID]],0)),INDEX(Table3[[#All],[First]],MATCH(Table5[[#This Row],[PID]],Table3[[#All],[PID]],0)))</f>
        <v>Lou</v>
      </c>
      <c r="F12" s="52" t="str">
        <f>IF($C12="B",INDEX(Batters[[#All],[Last]],MATCH(A12,Batters[[#All],[PID]],0)),INDEX(Table3[[#All],[Last]],MATCH(A12,Table3[[#All],[PID]],0)))</f>
        <v>Long</v>
      </c>
      <c r="G12" s="58">
        <f>IF($C12="B",INDEX(Batters[[#All],[Age]],MATCH(Table5[[#This Row],[PID]],Batters[[#All],[PID]],0)),INDEX(Table3[[#All],[Age]],MATCH(Table5[[#This Row],[PID]],Table3[[#All],[PID]],0)))</f>
        <v>21</v>
      </c>
      <c r="H12" s="54" t="str">
        <f>IF($C12="B",INDEX(Batters[[#All],[B]],MATCH(Table5[[#This Row],[PID]],Batters[[#All],[PID]],0)),INDEX(Table3[[#All],[B]],MATCH(Table5[[#This Row],[PID]],Table3[[#All],[PID]],0)))</f>
        <v>R</v>
      </c>
      <c r="I12" s="54" t="str">
        <f>IF($C12="B",INDEX(Batters[[#All],[T]],MATCH(Table5[[#This Row],[PID]],Batters[[#All],[PID]],0)),INDEX(Table3[[#All],[T]],MATCH(Table5[[#This Row],[PID]],Table3[[#All],[PID]],0)))</f>
        <v>R</v>
      </c>
      <c r="J12" s="54" t="str">
        <f>IF($C12="B",INDEX(Batters[[#All],[WE]],MATCH(Table5[[#This Row],[PID]],Batters[[#All],[PID]],0)),INDEX(Table3[[#All],[WE]],MATCH(Table5[[#This Row],[PID]],Table3[[#All],[PID]],0)))</f>
        <v>Normal</v>
      </c>
      <c r="K12" s="54" t="str">
        <f>IF($C12="B",INDEX(Batters[[#All],[INT]],MATCH(Table5[[#This Row],[PID]],Batters[[#All],[PID]],0)),INDEX(Table3[[#All],[INT]],MATCH(Table5[[#This Row],[PID]],Table3[[#All],[PID]],0)))</f>
        <v>Normal</v>
      </c>
      <c r="L12" s="62">
        <f>IF($C12="B",INDEX(Batters[[#All],[CON P]],MATCH(Table5[[#This Row],[PID]],Batters[[#All],[PID]],0)),INDEX(Table3[[#All],[STU P]],MATCH(Table5[[#This Row],[PID]],Table3[[#All],[PID]],0)))</f>
        <v>6</v>
      </c>
      <c r="M12" s="58">
        <f>IF($C12="B",INDEX(Batters[[#All],[GAP P]],MATCH(Table5[[#This Row],[PID]],Batters[[#All],[PID]],0)),INDEX(Table3[[#All],[MOV P]],MATCH(Table5[[#This Row],[PID]],Table3[[#All],[PID]],0)))</f>
        <v>6</v>
      </c>
      <c r="N12" s="58">
        <f>IF($C12="B",INDEX(Batters[[#All],[POW P]],MATCH(Table5[[#This Row],[PID]],Batters[[#All],[PID]],0)),INDEX(Table3[[#All],[CON P]],MATCH(Table5[[#This Row],[PID]],Table3[[#All],[PID]],0)))</f>
        <v>5</v>
      </c>
      <c r="O12" s="58" t="str">
        <f>IF($C12="B",INDEX(Batters[[#All],[EYE P]],MATCH(Table5[[#This Row],[PID]],Batters[[#All],[PID]],0)),INDEX(Table3[[#All],[VELO]],MATCH(Table5[[#This Row],[PID]],Table3[[#All],[PID]],0)))</f>
        <v>96-98 Mph</v>
      </c>
      <c r="P12" s="58">
        <f>IF($C12="B",INDEX(Batters[[#All],[K P]],MATCH(Table5[[#This Row],[PID]],Batters[[#All],[PID]],0)),INDEX(Table3[[#All],[STM]],MATCH(Table5[[#This Row],[PID]],Table3[[#All],[PID]],0)))</f>
        <v>7</v>
      </c>
      <c r="Q12" s="63">
        <f>IF($C12="B",INDEX(Batters[[#All],[Tot]],MATCH(Table5[[#This Row],[PID]],Batters[[#All],[PID]],0)),INDEX(Table3[[#All],[Tot]],MATCH(Table5[[#This Row],[PID]],Table3[[#All],[PID]],0)))</f>
        <v>66.459963561187891</v>
      </c>
      <c r="R12" s="54">
        <f>IF($C12="B",INDEX(Batters[[#All],[zScore]],MATCH(Table5[[#This Row],[PID]],Batters[[#All],[PID]],0)),INDEX(Table3[[#All],[zScore]],MATCH(Table5[[#This Row],[PID]],Table3[[#All],[PID]],0)))</f>
        <v>3.0938924532582393</v>
      </c>
      <c r="S12" s="60" t="str">
        <f>IF($C12="B",INDEX(Batters[[#All],[DEM]],MATCH(Table5[[#This Row],[PID]],Batters[[#All],[PID]],0)),INDEX(Table3[[#All],[DEM]],MATCH(Table5[[#This Row],[PID]],Table3[[#All],[PID]],0)))</f>
        <v>$1.9m</v>
      </c>
      <c r="T12" s="64">
        <f>IF($C12="B",VLOOKUP($A12,Bat!$A$4:$AU$1417,46,FALSE),VLOOKUP($A12,Pit!$A$4:$BD$570,55,FALSE))</f>
        <v>0</v>
      </c>
      <c r="U12" s="52">
        <f>IF($C12="B",VLOOKUP($A12,Bat!$A$4:$BA$1417,47,FALSE),VLOOKUP($A12,Pit!$A$4:$BF$570,56,FALSE))</f>
        <v>0</v>
      </c>
      <c r="V12" s="52">
        <f>IF($C12="B",VLOOKUP($A12,Bat!$A$4:$BA$1417,48,FALSE),VLOOKUP($A12,Pit!$A$4:$BF$570,57,FALSE))</f>
        <v>0</v>
      </c>
      <c r="W12" s="52">
        <f>Table5[[#This Row],[posRnk]]+Table5[[#This Row],[zRnk]]+IF($W$3&lt;&gt;Table5[[#This Row],[Type]],50,0)</f>
        <v>58</v>
      </c>
      <c r="X12" s="53">
        <f>RANK(Table5[[#This Row],[zScore]],Table5[[#All],[zScore]])</f>
        <v>8</v>
      </c>
      <c r="Y12" s="52" t="str">
        <f>IFERROR(INDEX(DraftResults[[#All],[OVR]],MATCH(Table5[[#This Row],[PID]],DraftResults[[#All],[Player ID]],0)),"")</f>
        <v/>
      </c>
      <c r="Z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" s="52" t="str">
        <f>IFERROR(INDEX(DraftResults[[#All],[Pick in Round]],MATCH(Table5[[#This Row],[PID]],DraftResults[[#All],[Player ID]],0)),"")</f>
        <v/>
      </c>
      <c r="AB12" s="52" t="str">
        <f>IFERROR(INDEX(DraftResults[[#All],[Team Name]],MATCH(Table5[[#This Row],[PID]],DraftResults[[#All],[Player ID]],0)),"")</f>
        <v/>
      </c>
      <c r="AC12" s="52" t="str">
        <f>IF(Table5[[#This Row],[Ovr]]="","",IF(Table5[[#This Row],[cmbList]]="","",Table5[[#This Row],[cmbList]]-Table5[[#This Row],[Ovr]]))</f>
        <v/>
      </c>
      <c r="AD12" s="56" t="str">
        <f>IF(ISERROR(VLOOKUP($AB12&amp;"-"&amp;$E12&amp;" "&amp;F12,Bonuses!$B$1:$G$1006,4,FALSE)),"",INT(VLOOKUP($AB12&amp;"-"&amp;$E12&amp;" "&amp;$F12,Bonuses!$B$1:$G$1006,4,FALSE)))</f>
        <v/>
      </c>
      <c r="AE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" spans="1:31" s="52" customFormat="1" x14ac:dyDescent="0.25">
      <c r="A13" s="52">
        <v>9228</v>
      </c>
      <c r="B13" s="52">
        <f>COUNTIF(Table5[PID],A13)</f>
        <v>1</v>
      </c>
      <c r="C13" s="52" t="str">
        <f>IF(COUNTIF(Table3[[#All],[PID]],A13)&gt;0,"P","B")</f>
        <v>B</v>
      </c>
      <c r="D13" s="61" t="str">
        <f>IF($C13="B",INDEX(Batters[[#All],[POS]],MATCH(Table5[[#This Row],[PID]],Batters[[#All],[PID]],0)),INDEX(Table3[[#All],[POS]],MATCH(Table5[[#This Row],[PID]],Table3[[#All],[PID]],0)))</f>
        <v>LF</v>
      </c>
      <c r="E13" s="54" t="str">
        <f>IF($C13="B",INDEX(Batters[[#All],[First]],MATCH(Table5[[#This Row],[PID]],Batters[[#All],[PID]],0)),INDEX(Table3[[#All],[First]],MATCH(Table5[[#This Row],[PID]],Table3[[#All],[PID]],0)))</f>
        <v>Steve</v>
      </c>
      <c r="F13" s="52" t="str">
        <f>IF($C13="B",INDEX(Batters[[#All],[Last]],MATCH(A13,Batters[[#All],[PID]],0)),INDEX(Table3[[#All],[Last]],MATCH(A13,Table3[[#All],[PID]],0)))</f>
        <v>Doss</v>
      </c>
      <c r="G13" s="58">
        <f>IF($C13="B",INDEX(Batters[[#All],[Age]],MATCH(Table5[[#This Row],[PID]],Batters[[#All],[PID]],0)),INDEX(Table3[[#All],[Age]],MATCH(Table5[[#This Row],[PID]],Table3[[#All],[PID]],0)))</f>
        <v>21</v>
      </c>
      <c r="H13" s="54" t="str">
        <f>IF($C13="B",INDEX(Batters[[#All],[B]],MATCH(Table5[[#This Row],[PID]],Batters[[#All],[PID]],0)),INDEX(Table3[[#All],[B]],MATCH(Table5[[#This Row],[PID]],Table3[[#All],[PID]],0)))</f>
        <v>L</v>
      </c>
      <c r="I13" s="54" t="str">
        <f>IF($C13="B",INDEX(Batters[[#All],[T]],MATCH(Table5[[#This Row],[PID]],Batters[[#All],[PID]],0)),INDEX(Table3[[#All],[T]],MATCH(Table5[[#This Row],[PID]],Table3[[#All],[PID]],0)))</f>
        <v>L</v>
      </c>
      <c r="J13" s="54" t="str">
        <f>IF($C13="B",INDEX(Batters[[#All],[WE]],MATCH(Table5[[#This Row],[PID]],Batters[[#All],[PID]],0)),INDEX(Table3[[#All],[WE]],MATCH(Table5[[#This Row],[PID]],Table3[[#All],[PID]],0)))</f>
        <v>Normal</v>
      </c>
      <c r="K13" s="54" t="str">
        <f>IF($C13="B",INDEX(Batters[[#All],[INT]],MATCH(Table5[[#This Row],[PID]],Batters[[#All],[PID]],0)),INDEX(Table3[[#All],[INT]],MATCH(Table5[[#This Row],[PID]],Table3[[#All],[PID]],0)))</f>
        <v>Normal</v>
      </c>
      <c r="L13" s="62">
        <f>IF($C13="B",INDEX(Batters[[#All],[CON P]],MATCH(Table5[[#This Row],[PID]],Batters[[#All],[PID]],0)),INDEX(Table3[[#All],[STU P]],MATCH(Table5[[#This Row],[PID]],Table3[[#All],[PID]],0)))</f>
        <v>7</v>
      </c>
      <c r="M13" s="58">
        <f>IF($C13="B",INDEX(Batters[[#All],[GAP P]],MATCH(Table5[[#This Row],[PID]],Batters[[#All],[PID]],0)),INDEX(Table3[[#All],[MOV P]],MATCH(Table5[[#This Row],[PID]],Table3[[#All],[PID]],0)))</f>
        <v>6</v>
      </c>
      <c r="N13" s="58">
        <f>IF($C13="B",INDEX(Batters[[#All],[POW P]],MATCH(Table5[[#This Row],[PID]],Batters[[#All],[PID]],0)),INDEX(Table3[[#All],[CON P]],MATCH(Table5[[#This Row],[PID]],Table3[[#All],[PID]],0)))</f>
        <v>6</v>
      </c>
      <c r="O13" s="58">
        <f>IF($C13="B",INDEX(Batters[[#All],[EYE P]],MATCH(Table5[[#This Row],[PID]],Batters[[#All],[PID]],0)),INDEX(Table3[[#All],[VELO]],MATCH(Table5[[#This Row],[PID]],Table3[[#All],[PID]],0)))</f>
        <v>5</v>
      </c>
      <c r="P13" s="58">
        <f>IF($C13="B",INDEX(Batters[[#All],[K P]],MATCH(Table5[[#This Row],[PID]],Batters[[#All],[PID]],0)),INDEX(Table3[[#All],[STM]],MATCH(Table5[[#This Row],[PID]],Table3[[#All],[PID]],0)))</f>
        <v>6</v>
      </c>
      <c r="Q13" s="63">
        <f>IF($C13="B",INDEX(Batters[[#All],[Tot]],MATCH(Table5[[#This Row],[PID]],Batters[[#All],[PID]],0)),INDEX(Table3[[#All],[Tot]],MATCH(Table5[[#This Row],[PID]],Table3[[#All],[PID]],0)))</f>
        <v>57.920432341200097</v>
      </c>
      <c r="R13" s="54">
        <f>IF($C13="B",INDEX(Batters[[#All],[zScore]],MATCH(Table5[[#This Row],[PID]],Batters[[#All],[PID]],0)),INDEX(Table3[[#All],[zScore]],MATCH(Table5[[#This Row],[PID]],Table3[[#All],[PID]],0)))</f>
        <v>3.091709157692661</v>
      </c>
      <c r="S13" s="60" t="str">
        <f>IF($C13="B",INDEX(Batters[[#All],[DEM]],MATCH(Table5[[#This Row],[PID]],Batters[[#All],[PID]],0)),INDEX(Table3[[#All],[DEM]],MATCH(Table5[[#This Row],[PID]],Table3[[#All],[PID]],0)))</f>
        <v>$410k</v>
      </c>
      <c r="T13" s="64">
        <f>IF($C13="B",VLOOKUP($A13,Bat!$A$4:$AU$1417,46,FALSE),VLOOKUP($A13,Pit!$A$4:$BD$570,55,FALSE))</f>
        <v>0</v>
      </c>
      <c r="U13" s="52">
        <f>IF($C13="B",VLOOKUP($A13,Bat!$A$4:$BA$1417,47,FALSE),VLOOKUP($A13,Pit!$A$4:$BF$570,56,FALSE))</f>
        <v>0</v>
      </c>
      <c r="V13" s="52">
        <f>IF($C13="B",VLOOKUP($A13,Bat!$A$4:$BA$1417,48,FALSE),VLOOKUP($A13,Pit!$A$4:$BF$570,57,FALSE))</f>
        <v>0</v>
      </c>
      <c r="W13" s="52">
        <f>Table5[[#This Row],[posRnk]]+Table5[[#This Row],[zRnk]]+IF($W$3&lt;&gt;Table5[[#This Row],[Type]],50,0)</f>
        <v>59</v>
      </c>
      <c r="X13" s="53">
        <f>RANK(Table5[[#This Row],[zScore]],Table5[[#All],[zScore]])</f>
        <v>9</v>
      </c>
      <c r="Y13" s="52" t="str">
        <f>IFERROR(INDEX(DraftResults[[#All],[OVR]],MATCH(Table5[[#This Row],[PID]],DraftResults[[#All],[Player ID]],0)),"")</f>
        <v/>
      </c>
      <c r="Z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" s="52" t="str">
        <f>IFERROR(INDEX(DraftResults[[#All],[Pick in Round]],MATCH(Table5[[#This Row],[PID]],DraftResults[[#All],[Player ID]],0)),"")</f>
        <v/>
      </c>
      <c r="AB13" s="52" t="str">
        <f>IFERROR(INDEX(DraftResults[[#All],[Team Name]],MATCH(Table5[[#This Row],[PID]],DraftResults[[#All],[Player ID]],0)),"")</f>
        <v/>
      </c>
      <c r="AC13" s="52" t="str">
        <f>IF(Table5[[#This Row],[Ovr]]="","",IF(Table5[[#This Row],[cmbList]]="","",Table5[[#This Row],[cmbList]]-Table5[[#This Row],[Ovr]]))</f>
        <v/>
      </c>
      <c r="AD13" s="56" t="str">
        <f>IF(ISERROR(VLOOKUP($AB13&amp;"-"&amp;$E13&amp;" "&amp;F13,Bonuses!$B$1:$G$1006,4,FALSE)),"",INT(VLOOKUP($AB13&amp;"-"&amp;$E13&amp;" "&amp;$F13,Bonuses!$B$1:$G$1006,4,FALSE)))</f>
        <v/>
      </c>
      <c r="AE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" spans="1:31" s="52" customFormat="1" x14ac:dyDescent="0.25">
      <c r="A14" s="52">
        <v>7112</v>
      </c>
      <c r="B14" s="52">
        <f>COUNTIF(Table5[PID],A14)</f>
        <v>1</v>
      </c>
      <c r="C14" s="52" t="str">
        <f>IF(COUNTIF(Table3[[#All],[PID]],A14)&gt;0,"P","B")</f>
        <v>P</v>
      </c>
      <c r="D14" s="61" t="str">
        <f>IF($C14="B",INDEX(Batters[[#All],[POS]],MATCH(Table5[[#This Row],[PID]],Batters[[#All],[PID]],0)),INDEX(Table3[[#All],[POS]],MATCH(Table5[[#This Row],[PID]],Table3[[#All],[PID]],0)))</f>
        <v>CL</v>
      </c>
      <c r="E14" s="54" t="str">
        <f>IF($C14="B",INDEX(Batters[[#All],[First]],MATCH(Table5[[#This Row],[PID]],Batters[[#All],[PID]],0)),INDEX(Table3[[#All],[First]],MATCH(Table5[[#This Row],[PID]],Table3[[#All],[PID]],0)))</f>
        <v>Jo</v>
      </c>
      <c r="F14" s="52" t="str">
        <f>IF($C14="B",INDEX(Batters[[#All],[Last]],MATCH(A14,Batters[[#All],[PID]],0)),INDEX(Table3[[#All],[Last]],MATCH(A14,Table3[[#All],[PID]],0)))</f>
        <v>Takahashi</v>
      </c>
      <c r="G14" s="58">
        <f>IF($C14="B",INDEX(Batters[[#All],[Age]],MATCH(Table5[[#This Row],[PID]],Batters[[#All],[PID]],0)),INDEX(Table3[[#All],[Age]],MATCH(Table5[[#This Row],[PID]],Table3[[#All],[PID]],0)))</f>
        <v>21</v>
      </c>
      <c r="H14" s="54" t="str">
        <f>IF($C14="B",INDEX(Batters[[#All],[B]],MATCH(Table5[[#This Row],[PID]],Batters[[#All],[PID]],0)),INDEX(Table3[[#All],[B]],MATCH(Table5[[#This Row],[PID]],Table3[[#All],[PID]],0)))</f>
        <v>S</v>
      </c>
      <c r="I14" s="54" t="str">
        <f>IF($C14="B",INDEX(Batters[[#All],[T]],MATCH(Table5[[#This Row],[PID]],Batters[[#All],[PID]],0)),INDEX(Table3[[#All],[T]],MATCH(Table5[[#This Row],[PID]],Table3[[#All],[PID]],0)))</f>
        <v>R</v>
      </c>
      <c r="J14" s="54" t="str">
        <f>IF($C14="B",INDEX(Batters[[#All],[WE]],MATCH(Table5[[#This Row],[PID]],Batters[[#All],[PID]],0)),INDEX(Table3[[#All],[WE]],MATCH(Table5[[#This Row],[PID]],Table3[[#All],[PID]],0)))</f>
        <v>High</v>
      </c>
      <c r="K14" s="54" t="str">
        <f>IF($C14="B",INDEX(Batters[[#All],[INT]],MATCH(Table5[[#This Row],[PID]],Batters[[#All],[PID]],0)),INDEX(Table3[[#All],[INT]],MATCH(Table5[[#This Row],[PID]],Table3[[#All],[PID]],0)))</f>
        <v>High</v>
      </c>
      <c r="L14" s="62">
        <f>IF($C14="B",INDEX(Batters[[#All],[CON P]],MATCH(Table5[[#This Row],[PID]],Batters[[#All],[PID]],0)),INDEX(Table3[[#All],[STU P]],MATCH(Table5[[#This Row],[PID]],Table3[[#All],[PID]],0)))</f>
        <v>7</v>
      </c>
      <c r="M14" s="58">
        <f>IF($C14="B",INDEX(Batters[[#All],[GAP P]],MATCH(Table5[[#This Row],[PID]],Batters[[#All],[PID]],0)),INDEX(Table3[[#All],[MOV P]],MATCH(Table5[[#This Row],[PID]],Table3[[#All],[PID]],0)))</f>
        <v>4</v>
      </c>
      <c r="N14" s="58">
        <f>IF($C14="B",INDEX(Batters[[#All],[POW P]],MATCH(Table5[[#This Row],[PID]],Batters[[#All],[PID]],0)),INDEX(Table3[[#All],[CON P]],MATCH(Table5[[#This Row],[PID]],Table3[[#All],[PID]],0)))</f>
        <v>6</v>
      </c>
      <c r="O14" s="58" t="str">
        <f>IF($C14="B",INDEX(Batters[[#All],[EYE P]],MATCH(Table5[[#This Row],[PID]],Batters[[#All],[PID]],0)),INDEX(Table3[[#All],[VELO]],MATCH(Table5[[#This Row],[PID]],Table3[[#All],[PID]],0)))</f>
        <v>91-93 Mph</v>
      </c>
      <c r="P14" s="58">
        <f>IF($C14="B",INDEX(Batters[[#All],[K P]],MATCH(Table5[[#This Row],[PID]],Batters[[#All],[PID]],0)),INDEX(Table3[[#All],[STM]],MATCH(Table5[[#This Row],[PID]],Table3[[#All],[PID]],0)))</f>
        <v>7</v>
      </c>
      <c r="Q14" s="63">
        <f>IF($C14="B",INDEX(Batters[[#All],[Tot]],MATCH(Table5[[#This Row],[PID]],Batters[[#All],[PID]],0)),INDEX(Table3[[#All],[Tot]],MATCH(Table5[[#This Row],[PID]],Table3[[#All],[PID]],0)))</f>
        <v>65.649675874231946</v>
      </c>
      <c r="R14" s="54">
        <f>IF($C14="B",INDEX(Batters[[#All],[zScore]],MATCH(Table5[[#This Row],[PID]],Batters[[#All],[PID]],0)),INDEX(Table3[[#All],[zScore]],MATCH(Table5[[#This Row],[PID]],Table3[[#All],[PID]],0)))</f>
        <v>3.0195856091220179</v>
      </c>
      <c r="S14" s="60" t="str">
        <f>IF($C14="B",INDEX(Batters[[#All],[DEM]],MATCH(Table5[[#This Row],[PID]],Batters[[#All],[PID]],0)),INDEX(Table3[[#All],[DEM]],MATCH(Table5[[#This Row],[PID]],Table3[[#All],[PID]],0)))</f>
        <v>$130k</v>
      </c>
      <c r="T14" s="64">
        <f>IF($C14="B",VLOOKUP($A14,Bat!$A$4:$AU$1417,46,FALSE),VLOOKUP($A14,Pit!$A$4:$BD$570,55,FALSE))</f>
        <v>0</v>
      </c>
      <c r="U14" s="52">
        <f>IF($C14="B",VLOOKUP($A14,Bat!$A$4:$BA$1417,47,FALSE),VLOOKUP($A14,Pit!$A$4:$BF$570,56,FALSE))</f>
        <v>0</v>
      </c>
      <c r="V14" s="52">
        <f>IF($C14="B",VLOOKUP($A14,Bat!$A$4:$BA$1417,48,FALSE),VLOOKUP($A14,Pit!$A$4:$BF$570,57,FALSE))</f>
        <v>0</v>
      </c>
      <c r="W14" s="52">
        <f>Table5[[#This Row],[posRnk]]+Table5[[#This Row],[zRnk]]+IF($W$3&lt;&gt;Table5[[#This Row],[Type]],50,0)</f>
        <v>60</v>
      </c>
      <c r="X14" s="53">
        <f>RANK(Table5[[#This Row],[zScore]],Table5[[#All],[zScore]])</f>
        <v>10</v>
      </c>
      <c r="Y14" s="52" t="str">
        <f>IFERROR(INDEX(DraftResults[[#All],[OVR]],MATCH(Table5[[#This Row],[PID]],DraftResults[[#All],[Player ID]],0)),"")</f>
        <v/>
      </c>
      <c r="Z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" s="52" t="str">
        <f>IFERROR(INDEX(DraftResults[[#All],[Pick in Round]],MATCH(Table5[[#This Row],[PID]],DraftResults[[#All],[Player ID]],0)),"")</f>
        <v/>
      </c>
      <c r="AB14" s="52" t="str">
        <f>IFERROR(INDEX(DraftResults[[#All],[Team Name]],MATCH(Table5[[#This Row],[PID]],DraftResults[[#All],[Player ID]],0)),"")</f>
        <v/>
      </c>
      <c r="AC14" s="52" t="str">
        <f>IF(Table5[[#This Row],[Ovr]]="","",IF(Table5[[#This Row],[cmbList]]="","",Table5[[#This Row],[cmbList]]-Table5[[#This Row],[Ovr]]))</f>
        <v/>
      </c>
      <c r="AD14" s="56" t="str">
        <f>IF(ISERROR(VLOOKUP($AB14&amp;"-"&amp;$E14&amp;" "&amp;F14,Bonuses!$B$1:$G$1006,4,FALSE)),"",INT(VLOOKUP($AB14&amp;"-"&amp;$E14&amp;" "&amp;$F14,Bonuses!$B$1:$G$1006,4,FALSE)))</f>
        <v/>
      </c>
      <c r="AE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" spans="1:31" s="52" customFormat="1" x14ac:dyDescent="0.25">
      <c r="A15" s="52">
        <v>7134</v>
      </c>
      <c r="B15" s="52">
        <f>COUNTIF(Table5[PID],A15)</f>
        <v>1</v>
      </c>
      <c r="C15" s="52" t="str">
        <f>IF(COUNTIF(Table3[[#All],[PID]],A15)&gt;0,"P","B")</f>
        <v>P</v>
      </c>
      <c r="D15" s="61" t="str">
        <f>IF($C15="B",INDEX(Batters[[#All],[POS]],MATCH(Table5[[#This Row],[PID]],Batters[[#All],[PID]],0)),INDEX(Table3[[#All],[POS]],MATCH(Table5[[#This Row],[PID]],Table3[[#All],[PID]],0)))</f>
        <v>RP</v>
      </c>
      <c r="E15" s="54" t="str">
        <f>IF($C15="B",INDEX(Batters[[#All],[First]],MATCH(Table5[[#This Row],[PID]],Batters[[#All],[PID]],0)),INDEX(Table3[[#All],[First]],MATCH(Table5[[#This Row],[PID]],Table3[[#All],[PID]],0)))</f>
        <v>Akira</v>
      </c>
      <c r="F15" s="52" t="str">
        <f>IF($C15="B",INDEX(Batters[[#All],[Last]],MATCH(A15,Batters[[#All],[PID]],0)),INDEX(Table3[[#All],[Last]],MATCH(A15,Table3[[#All],[PID]],0)))</f>
        <v>Nakagawa</v>
      </c>
      <c r="G15" s="58">
        <f>IF($C15="B",INDEX(Batters[[#All],[Age]],MATCH(Table5[[#This Row],[PID]],Batters[[#All],[PID]],0)),INDEX(Table3[[#All],[Age]],MATCH(Table5[[#This Row],[PID]],Table3[[#All],[PID]],0)))</f>
        <v>21</v>
      </c>
      <c r="H15" s="54" t="str">
        <f>IF($C15="B",INDEX(Batters[[#All],[B]],MATCH(Table5[[#This Row],[PID]],Batters[[#All],[PID]],0)),INDEX(Table3[[#All],[B]],MATCH(Table5[[#This Row],[PID]],Table3[[#All],[PID]],0)))</f>
        <v>L</v>
      </c>
      <c r="I15" s="54" t="str">
        <f>IF($C15="B",INDEX(Batters[[#All],[T]],MATCH(Table5[[#This Row],[PID]],Batters[[#All],[PID]],0)),INDEX(Table3[[#All],[T]],MATCH(Table5[[#This Row],[PID]],Table3[[#All],[PID]],0)))</f>
        <v>L</v>
      </c>
      <c r="J15" s="54" t="str">
        <f>IF($C15="B",INDEX(Batters[[#All],[WE]],MATCH(Table5[[#This Row],[PID]],Batters[[#All],[PID]],0)),INDEX(Table3[[#All],[WE]],MATCH(Table5[[#This Row],[PID]],Table3[[#All],[PID]],0)))</f>
        <v>Normal</v>
      </c>
      <c r="K15" s="54" t="str">
        <f>IF($C15="B",INDEX(Batters[[#All],[INT]],MATCH(Table5[[#This Row],[PID]],Batters[[#All],[PID]],0)),INDEX(Table3[[#All],[INT]],MATCH(Table5[[#This Row],[PID]],Table3[[#All],[PID]],0)))</f>
        <v>Normal</v>
      </c>
      <c r="L15" s="62">
        <f>IF($C15="B",INDEX(Batters[[#All],[CON P]],MATCH(Table5[[#This Row],[PID]],Batters[[#All],[PID]],0)),INDEX(Table3[[#All],[STU P]],MATCH(Table5[[#This Row],[PID]],Table3[[#All],[PID]],0)))</f>
        <v>6</v>
      </c>
      <c r="M15" s="58">
        <f>IF($C15="B",INDEX(Batters[[#All],[GAP P]],MATCH(Table5[[#This Row],[PID]],Batters[[#All],[PID]],0)),INDEX(Table3[[#All],[MOV P]],MATCH(Table5[[#This Row],[PID]],Table3[[#All],[PID]],0)))</f>
        <v>4</v>
      </c>
      <c r="N15" s="58">
        <f>IF($C15="B",INDEX(Batters[[#All],[POW P]],MATCH(Table5[[#This Row],[PID]],Batters[[#All],[PID]],0)),INDEX(Table3[[#All],[CON P]],MATCH(Table5[[#This Row],[PID]],Table3[[#All],[PID]],0)))</f>
        <v>7</v>
      </c>
      <c r="O15" s="58" t="str">
        <f>IF($C15="B",INDEX(Batters[[#All],[EYE P]],MATCH(Table5[[#This Row],[PID]],Batters[[#All],[PID]],0)),INDEX(Table3[[#All],[VELO]],MATCH(Table5[[#This Row],[PID]],Table3[[#All],[PID]],0)))</f>
        <v>92-94 Mph</v>
      </c>
      <c r="P15" s="58">
        <f>IF($C15="B",INDEX(Batters[[#All],[K P]],MATCH(Table5[[#This Row],[PID]],Batters[[#All],[PID]],0)),INDEX(Table3[[#All],[STM]],MATCH(Table5[[#This Row],[PID]],Table3[[#All],[PID]],0)))</f>
        <v>6</v>
      </c>
      <c r="Q15" s="63">
        <f>IF($C15="B",INDEX(Batters[[#All],[Tot]],MATCH(Table5[[#This Row],[PID]],Batters[[#All],[PID]],0)),INDEX(Table3[[#All],[Tot]],MATCH(Table5[[#This Row],[PID]],Table3[[#All],[PID]],0)))</f>
        <v>65.536347513179109</v>
      </c>
      <c r="R15" s="54">
        <f>IF($C15="B",INDEX(Batters[[#All],[zScore]],MATCH(Table5[[#This Row],[PID]],Batters[[#All],[PID]],0)),INDEX(Table3[[#All],[zScore]],MATCH(Table5[[#This Row],[PID]],Table3[[#All],[PID]],0)))</f>
        <v>3.0091929140378775</v>
      </c>
      <c r="S15" s="60" t="str">
        <f>IF($C15="B",INDEX(Batters[[#All],[DEM]],MATCH(Table5[[#This Row],[PID]],Batters[[#All],[PID]],0)),INDEX(Table3[[#All],[DEM]],MATCH(Table5[[#This Row],[PID]],Table3[[#All],[PID]],0)))</f>
        <v>$110k</v>
      </c>
      <c r="T15" s="64">
        <f>IF($C15="B",VLOOKUP($A15,Bat!$A$4:$AU$1417,46,FALSE),VLOOKUP($A15,Pit!$A$4:$BD$570,55,FALSE))</f>
        <v>0</v>
      </c>
      <c r="U15" s="52">
        <f>IF($C15="B",VLOOKUP($A15,Bat!$A$4:$BA$1417,47,FALSE),VLOOKUP($A15,Pit!$A$4:$BF$570,56,FALSE))</f>
        <v>0</v>
      </c>
      <c r="V15" s="52">
        <f>IF($C15="B",VLOOKUP($A15,Bat!$A$4:$BA$1417,48,FALSE),VLOOKUP($A15,Pit!$A$4:$BF$570,57,FALSE))</f>
        <v>0</v>
      </c>
      <c r="W15" s="52">
        <f>Table5[[#This Row],[posRnk]]+Table5[[#This Row],[zRnk]]+IF($W$3&lt;&gt;Table5[[#This Row],[Type]],50,0)</f>
        <v>61</v>
      </c>
      <c r="X15" s="53">
        <f>RANK(Table5[[#This Row],[zScore]],Table5[[#All],[zScore]])</f>
        <v>11</v>
      </c>
      <c r="Y15" s="52" t="str">
        <f>IFERROR(INDEX(DraftResults[[#All],[OVR]],MATCH(Table5[[#This Row],[PID]],DraftResults[[#All],[Player ID]],0)),"")</f>
        <v/>
      </c>
      <c r="Z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" s="52" t="str">
        <f>IFERROR(INDEX(DraftResults[[#All],[Pick in Round]],MATCH(Table5[[#This Row],[PID]],DraftResults[[#All],[Player ID]],0)),"")</f>
        <v/>
      </c>
      <c r="AB15" s="52" t="str">
        <f>IFERROR(INDEX(DraftResults[[#All],[Team Name]],MATCH(Table5[[#This Row],[PID]],DraftResults[[#All],[Player ID]],0)),"")</f>
        <v/>
      </c>
      <c r="AC15" s="52" t="str">
        <f>IF(Table5[[#This Row],[Ovr]]="","",IF(Table5[[#This Row],[cmbList]]="","",Table5[[#This Row],[cmbList]]-Table5[[#This Row],[Ovr]]))</f>
        <v/>
      </c>
      <c r="AD15" s="56" t="str">
        <f>IF(ISERROR(VLOOKUP($AB15&amp;"-"&amp;$E15&amp;" "&amp;F15,Bonuses!$B$1:$G$1006,4,FALSE)),"",INT(VLOOKUP($AB15&amp;"-"&amp;$E15&amp;" "&amp;$F15,Bonuses!$B$1:$G$1006,4,FALSE)))</f>
        <v/>
      </c>
      <c r="AE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" spans="1:31" s="52" customFormat="1" x14ac:dyDescent="0.25">
      <c r="A16" s="52">
        <v>8289</v>
      </c>
      <c r="B16" s="52">
        <f>COUNTIF(Table5[PID],A16)</f>
        <v>1</v>
      </c>
      <c r="C16" s="52" t="str">
        <f>IF(COUNTIF(Table3[[#All],[PID]],A16)&gt;0,"P","B")</f>
        <v>B</v>
      </c>
      <c r="D16" s="61" t="str">
        <f>IF($C16="B",INDEX(Batters[[#All],[POS]],MATCH(Table5[[#This Row],[PID]],Batters[[#All],[PID]],0)),INDEX(Table3[[#All],[POS]],MATCH(Table5[[#This Row],[PID]],Table3[[#All],[PID]],0)))</f>
        <v>2B</v>
      </c>
      <c r="E16" s="54" t="str">
        <f>IF($C16="B",INDEX(Batters[[#All],[First]],MATCH(Table5[[#This Row],[PID]],Batters[[#All],[PID]],0)),INDEX(Table3[[#All],[First]],MATCH(Table5[[#This Row],[PID]],Table3[[#All],[PID]],0)))</f>
        <v>Maurice</v>
      </c>
      <c r="F16" s="52" t="str">
        <f>IF($C16="B",INDEX(Batters[[#All],[Last]],MATCH(A16,Batters[[#All],[PID]],0)),INDEX(Table3[[#All],[Last]],MATCH(A16,Table3[[#All],[PID]],0)))</f>
        <v>Page</v>
      </c>
      <c r="G16" s="58">
        <f>IF($C16="B",INDEX(Batters[[#All],[Age]],MATCH(Table5[[#This Row],[PID]],Batters[[#All],[PID]],0)),INDEX(Table3[[#All],[Age]],MATCH(Table5[[#This Row],[PID]],Table3[[#All],[PID]],0)))</f>
        <v>18</v>
      </c>
      <c r="H16" s="54" t="str">
        <f>IF($C16="B",INDEX(Batters[[#All],[B]],MATCH(Table5[[#This Row],[PID]],Batters[[#All],[PID]],0)),INDEX(Table3[[#All],[B]],MATCH(Table5[[#This Row],[PID]],Table3[[#All],[PID]],0)))</f>
        <v>R</v>
      </c>
      <c r="I16" s="54" t="str">
        <f>IF($C16="B",INDEX(Batters[[#All],[T]],MATCH(Table5[[#This Row],[PID]],Batters[[#All],[PID]],0)),INDEX(Table3[[#All],[T]],MATCH(Table5[[#This Row],[PID]],Table3[[#All],[PID]],0)))</f>
        <v>R</v>
      </c>
      <c r="J16" s="54" t="str">
        <f>IF($C16="B",INDEX(Batters[[#All],[WE]],MATCH(Table5[[#This Row],[PID]],Batters[[#All],[PID]],0)),INDEX(Table3[[#All],[WE]],MATCH(Table5[[#This Row],[PID]],Table3[[#All],[PID]],0)))</f>
        <v>Normal</v>
      </c>
      <c r="K16" s="54" t="str">
        <f>IF($C16="B",INDEX(Batters[[#All],[INT]],MATCH(Table5[[#This Row],[PID]],Batters[[#All],[PID]],0)),INDEX(Table3[[#All],[INT]],MATCH(Table5[[#This Row],[PID]],Table3[[#All],[PID]],0)))</f>
        <v>Normal</v>
      </c>
      <c r="L16" s="62">
        <f>IF($C16="B",INDEX(Batters[[#All],[CON P]],MATCH(Table5[[#This Row],[PID]],Batters[[#All],[PID]],0)),INDEX(Table3[[#All],[STU P]],MATCH(Table5[[#This Row],[PID]],Table3[[#All],[PID]],0)))</f>
        <v>6</v>
      </c>
      <c r="M16" s="58">
        <f>IF($C16="B",INDEX(Batters[[#All],[GAP P]],MATCH(Table5[[#This Row],[PID]],Batters[[#All],[PID]],0)),INDEX(Table3[[#All],[MOV P]],MATCH(Table5[[#This Row],[PID]],Table3[[#All],[PID]],0)))</f>
        <v>6</v>
      </c>
      <c r="N16" s="58">
        <f>IF($C16="B",INDEX(Batters[[#All],[POW P]],MATCH(Table5[[#This Row],[PID]],Batters[[#All],[PID]],0)),INDEX(Table3[[#All],[CON P]],MATCH(Table5[[#This Row],[PID]],Table3[[#All],[PID]],0)))</f>
        <v>5</v>
      </c>
      <c r="O16" s="58">
        <f>IF($C16="B",INDEX(Batters[[#All],[EYE P]],MATCH(Table5[[#This Row],[PID]],Batters[[#All],[PID]],0)),INDEX(Table3[[#All],[VELO]],MATCH(Table5[[#This Row],[PID]],Table3[[#All],[PID]],0)))</f>
        <v>3</v>
      </c>
      <c r="P16" s="58">
        <f>IF($C16="B",INDEX(Batters[[#All],[K P]],MATCH(Table5[[#This Row],[PID]],Batters[[#All],[PID]],0)),INDEX(Table3[[#All],[STM]],MATCH(Table5[[#This Row],[PID]],Table3[[#All],[PID]],0)))</f>
        <v>6</v>
      </c>
      <c r="Q16" s="63">
        <f>IF($C16="B",INDEX(Batters[[#All],[Tot]],MATCH(Table5[[#This Row],[PID]],Batters[[#All],[PID]],0)),INDEX(Table3[[#All],[Tot]],MATCH(Table5[[#This Row],[PID]],Table3[[#All],[PID]],0)))</f>
        <v>57.192098457432309</v>
      </c>
      <c r="R16" s="54">
        <f>IF($C16="B",INDEX(Batters[[#All],[zScore]],MATCH(Table5[[#This Row],[PID]],Batters[[#All],[PID]],0)),INDEX(Table3[[#All],[zScore]],MATCH(Table5[[#This Row],[PID]],Table3[[#All],[PID]],0)))</f>
        <v>2.9635636515716701</v>
      </c>
      <c r="S16" s="60" t="str">
        <f>IF($C16="B",INDEX(Batters[[#All],[DEM]],MATCH(Table5[[#This Row],[PID]],Batters[[#All],[PID]],0)),INDEX(Table3[[#All],[DEM]],MATCH(Table5[[#This Row],[PID]],Table3[[#All],[PID]],0)))</f>
        <v>$3.8m</v>
      </c>
      <c r="T16" s="64">
        <f>IF($C16="B",VLOOKUP($A16,Bat!$A$4:$AU$1417,46,FALSE),VLOOKUP($A16,Pit!$A$4:$BD$570,55,FALSE))</f>
        <v>0</v>
      </c>
      <c r="U16" s="52">
        <f>IF($C16="B",VLOOKUP($A16,Bat!$A$4:$BA$1417,47,FALSE),VLOOKUP($A16,Pit!$A$4:$BF$570,56,FALSE))</f>
        <v>0</v>
      </c>
      <c r="V16" s="52">
        <f>IF($C16="B",VLOOKUP($A16,Bat!$A$4:$BA$1417,48,FALSE),VLOOKUP($A16,Pit!$A$4:$BF$570,57,FALSE))</f>
        <v>0</v>
      </c>
      <c r="W16" s="52">
        <f>Table5[[#This Row],[posRnk]]+Table5[[#This Row],[zRnk]]+IF($W$3&lt;&gt;Table5[[#This Row],[Type]],50,0)</f>
        <v>62</v>
      </c>
      <c r="X16" s="53">
        <f>RANK(Table5[[#This Row],[zScore]],Table5[[#All],[zScore]])</f>
        <v>12</v>
      </c>
      <c r="Y16" s="52" t="str">
        <f>IFERROR(INDEX(DraftResults[[#All],[OVR]],MATCH(Table5[[#This Row],[PID]],DraftResults[[#All],[Player ID]],0)),"")</f>
        <v/>
      </c>
      <c r="Z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" s="52" t="str">
        <f>IFERROR(INDEX(DraftResults[[#All],[Pick in Round]],MATCH(Table5[[#This Row],[PID]],DraftResults[[#All],[Player ID]],0)),"")</f>
        <v/>
      </c>
      <c r="AB16" s="52" t="str">
        <f>IFERROR(INDEX(DraftResults[[#All],[Team Name]],MATCH(Table5[[#This Row],[PID]],DraftResults[[#All],[Player ID]],0)),"")</f>
        <v/>
      </c>
      <c r="AC16" s="52" t="str">
        <f>IF(Table5[[#This Row],[Ovr]]="","",IF(Table5[[#This Row],[cmbList]]="","",Table5[[#This Row],[cmbList]]-Table5[[#This Row],[Ovr]]))</f>
        <v/>
      </c>
      <c r="AD16" s="56" t="str">
        <f>IF(ISERROR(VLOOKUP($AB16&amp;"-"&amp;$E16&amp;" "&amp;F16,Bonuses!$B$1:$G$1006,4,FALSE)),"",INT(VLOOKUP($AB16&amp;"-"&amp;$E16&amp;" "&amp;$F16,Bonuses!$B$1:$G$1006,4,FALSE)))</f>
        <v/>
      </c>
      <c r="AE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" spans="1:31" s="52" customFormat="1" x14ac:dyDescent="0.25">
      <c r="A17" s="52">
        <v>7687</v>
      </c>
      <c r="B17" s="52">
        <f>COUNTIF(Table5[PID],A17)</f>
        <v>1</v>
      </c>
      <c r="C17" s="52" t="str">
        <f>IF(COUNTIF(Table3[[#All],[PID]],A17)&gt;0,"P","B")</f>
        <v>P</v>
      </c>
      <c r="D17" s="61" t="str">
        <f>IF($C17="B",INDEX(Batters[[#All],[POS]],MATCH(Table5[[#This Row],[PID]],Batters[[#All],[PID]],0)),INDEX(Table3[[#All],[POS]],MATCH(Table5[[#This Row],[PID]],Table3[[#All],[PID]],0)))</f>
        <v>CL</v>
      </c>
      <c r="E17" s="54" t="str">
        <f>IF($C17="B",INDEX(Batters[[#All],[First]],MATCH(Table5[[#This Row],[PID]],Batters[[#All],[PID]],0)),INDEX(Table3[[#All],[First]],MATCH(Table5[[#This Row],[PID]],Table3[[#All],[PID]],0)))</f>
        <v>James</v>
      </c>
      <c r="F17" s="52" t="str">
        <f>IF($C17="B",INDEX(Batters[[#All],[Last]],MATCH(A17,Batters[[#All],[PID]],0)),INDEX(Table3[[#All],[Last]],MATCH(A17,Table3[[#All],[PID]],0)))</f>
        <v>McCoy</v>
      </c>
      <c r="G17" s="58">
        <f>IF($C17="B",INDEX(Batters[[#All],[Age]],MATCH(Table5[[#This Row],[PID]],Batters[[#All],[PID]],0)),INDEX(Table3[[#All],[Age]],MATCH(Table5[[#This Row],[PID]],Table3[[#All],[PID]],0)))</f>
        <v>18</v>
      </c>
      <c r="H17" s="54" t="str">
        <f>IF($C17="B",INDEX(Batters[[#All],[B]],MATCH(Table5[[#This Row],[PID]],Batters[[#All],[PID]],0)),INDEX(Table3[[#All],[B]],MATCH(Table5[[#This Row],[PID]],Table3[[#All],[PID]],0)))</f>
        <v>R</v>
      </c>
      <c r="I17" s="54" t="str">
        <f>IF($C17="B",INDEX(Batters[[#All],[T]],MATCH(Table5[[#This Row],[PID]],Batters[[#All],[PID]],0)),INDEX(Table3[[#All],[T]],MATCH(Table5[[#This Row],[PID]],Table3[[#All],[PID]],0)))</f>
        <v>R</v>
      </c>
      <c r="J17" s="54" t="str">
        <f>IF($C17="B",INDEX(Batters[[#All],[WE]],MATCH(Table5[[#This Row],[PID]],Batters[[#All],[PID]],0)),INDEX(Table3[[#All],[WE]],MATCH(Table5[[#This Row],[PID]],Table3[[#All],[PID]],0)))</f>
        <v>Normal</v>
      </c>
      <c r="K17" s="54" t="str">
        <f>IF($C17="B",INDEX(Batters[[#All],[INT]],MATCH(Table5[[#This Row],[PID]],Batters[[#All],[PID]],0)),INDEX(Table3[[#All],[INT]],MATCH(Table5[[#This Row],[PID]],Table3[[#All],[PID]],0)))</f>
        <v>Normal</v>
      </c>
      <c r="L17" s="62">
        <f>IF($C17="B",INDEX(Batters[[#All],[CON P]],MATCH(Table5[[#This Row],[PID]],Batters[[#All],[PID]],0)),INDEX(Table3[[#All],[STU P]],MATCH(Table5[[#This Row],[PID]],Table3[[#All],[PID]],0)))</f>
        <v>7</v>
      </c>
      <c r="M17" s="58">
        <f>IF($C17="B",INDEX(Batters[[#All],[GAP P]],MATCH(Table5[[#This Row],[PID]],Batters[[#All],[PID]],0)),INDEX(Table3[[#All],[MOV P]],MATCH(Table5[[#This Row],[PID]],Table3[[#All],[PID]],0)))</f>
        <v>5</v>
      </c>
      <c r="N17" s="58">
        <f>IF($C17="B",INDEX(Batters[[#All],[POW P]],MATCH(Table5[[#This Row],[PID]],Batters[[#All],[PID]],0)),INDEX(Table3[[#All],[CON P]],MATCH(Table5[[#This Row],[PID]],Table3[[#All],[PID]],0)))</f>
        <v>4</v>
      </c>
      <c r="O17" s="58" t="str">
        <f>IF($C17="B",INDEX(Batters[[#All],[EYE P]],MATCH(Table5[[#This Row],[PID]],Batters[[#All],[PID]],0)),INDEX(Table3[[#All],[VELO]],MATCH(Table5[[#This Row],[PID]],Table3[[#All],[PID]],0)))</f>
        <v>94-96 Mph</v>
      </c>
      <c r="P17" s="58">
        <f>IF($C17="B",INDEX(Batters[[#All],[K P]],MATCH(Table5[[#This Row],[PID]],Batters[[#All],[PID]],0)),INDEX(Table3[[#All],[STM]],MATCH(Table5[[#This Row],[PID]],Table3[[#All],[PID]],0)))</f>
        <v>6</v>
      </c>
      <c r="Q17" s="63">
        <f>IF($C17="B",INDEX(Batters[[#All],[Tot]],MATCH(Table5[[#This Row],[PID]],Batters[[#All],[PID]],0)),INDEX(Table3[[#All],[Tot]],MATCH(Table5[[#This Row],[PID]],Table3[[#All],[PID]],0)))</f>
        <v>63.836110495575234</v>
      </c>
      <c r="R17" s="54">
        <f>IF($C17="B",INDEX(Batters[[#All],[zScore]],MATCH(Table5[[#This Row],[PID]],Batters[[#All],[PID]],0)),INDEX(Table3[[#All],[zScore]],MATCH(Table5[[#This Row],[PID]],Table3[[#All],[PID]],0)))</f>
        <v>2.8532739125578583</v>
      </c>
      <c r="S17" s="60" t="str">
        <f>IF($C17="B",INDEX(Batters[[#All],[DEM]],MATCH(Table5[[#This Row],[PID]],Batters[[#All],[PID]],0)),INDEX(Table3[[#All],[DEM]],MATCH(Table5[[#This Row],[PID]],Table3[[#All],[PID]],0)))</f>
        <v>$280k</v>
      </c>
      <c r="T17" s="64">
        <f>IF($C17="B",VLOOKUP($A17,Bat!$A$4:$AU$1417,46,FALSE),VLOOKUP($A17,Pit!$A$4:$BD$570,55,FALSE))</f>
        <v>0</v>
      </c>
      <c r="U17" s="52">
        <f>IF($C17="B",VLOOKUP($A17,Bat!$A$4:$BA$1417,47,FALSE),VLOOKUP($A17,Pit!$A$4:$BF$570,56,FALSE))</f>
        <v>0</v>
      </c>
      <c r="V17" s="52">
        <f>IF($C17="B",VLOOKUP($A17,Bat!$A$4:$BA$1417,48,FALSE),VLOOKUP($A17,Pit!$A$4:$BF$570,57,FALSE))</f>
        <v>0</v>
      </c>
      <c r="W17" s="52">
        <f>Table5[[#This Row],[posRnk]]+Table5[[#This Row],[zRnk]]+IF($W$3&lt;&gt;Table5[[#This Row],[Type]],50,0)</f>
        <v>63</v>
      </c>
      <c r="X17" s="53">
        <f>RANK(Table5[[#This Row],[zScore]],Table5[[#All],[zScore]])</f>
        <v>13</v>
      </c>
      <c r="Y17" s="52" t="str">
        <f>IFERROR(INDEX(DraftResults[[#All],[OVR]],MATCH(Table5[[#This Row],[PID]],DraftResults[[#All],[Player ID]],0)),"")</f>
        <v/>
      </c>
      <c r="Z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" s="52" t="str">
        <f>IFERROR(INDEX(DraftResults[[#All],[Pick in Round]],MATCH(Table5[[#This Row],[PID]],DraftResults[[#All],[Player ID]],0)),"")</f>
        <v/>
      </c>
      <c r="AB17" s="52" t="str">
        <f>IFERROR(INDEX(DraftResults[[#All],[Team Name]],MATCH(Table5[[#This Row],[PID]],DraftResults[[#All],[Player ID]],0)),"")</f>
        <v/>
      </c>
      <c r="AC17" s="52" t="str">
        <f>IF(Table5[[#This Row],[Ovr]]="","",IF(Table5[[#This Row],[cmbList]]="","",Table5[[#This Row],[cmbList]]-Table5[[#This Row],[Ovr]]))</f>
        <v/>
      </c>
      <c r="AD17" s="56" t="str">
        <f>IF(ISERROR(VLOOKUP($AB17&amp;"-"&amp;$E17&amp;" "&amp;F17,Bonuses!$B$1:$G$1006,4,FALSE)),"",INT(VLOOKUP($AB17&amp;"-"&amp;$E17&amp;" "&amp;$F17,Bonuses!$B$1:$G$1006,4,FALSE)))</f>
        <v/>
      </c>
      <c r="AE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" spans="1:31" s="52" customFormat="1" x14ac:dyDescent="0.25">
      <c r="A18" s="52">
        <v>6572</v>
      </c>
      <c r="B18" s="52">
        <f>COUNTIF(Table5[PID],A18)</f>
        <v>1</v>
      </c>
      <c r="C18" s="52" t="str">
        <f>IF(COUNTIF(Table3[[#All],[PID]],A18)&gt;0,"P","B")</f>
        <v>B</v>
      </c>
      <c r="D18" s="61" t="str">
        <f>IF($C18="B",INDEX(Batters[[#All],[POS]],MATCH(Table5[[#This Row],[PID]],Batters[[#All],[PID]],0)),INDEX(Table3[[#All],[POS]],MATCH(Table5[[#This Row],[PID]],Table3[[#All],[PID]],0)))</f>
        <v>LF</v>
      </c>
      <c r="E18" s="54" t="str">
        <f>IF($C18="B",INDEX(Batters[[#All],[First]],MATCH(Table5[[#This Row],[PID]],Batters[[#All],[PID]],0)),INDEX(Table3[[#All],[First]],MATCH(Table5[[#This Row],[PID]],Table3[[#All],[PID]],0)))</f>
        <v>Yo</v>
      </c>
      <c r="F18" s="52" t="str">
        <f>IF($C18="B",INDEX(Batters[[#All],[Last]],MATCH(A18,Batters[[#All],[PID]],0)),INDEX(Table3[[#All],[Last]],MATCH(A18,Table3[[#All],[PID]],0)))</f>
        <v>Ito</v>
      </c>
      <c r="G18" s="58">
        <f>IF($C18="B",INDEX(Batters[[#All],[Age]],MATCH(Table5[[#This Row],[PID]],Batters[[#All],[PID]],0)),INDEX(Table3[[#All],[Age]],MATCH(Table5[[#This Row],[PID]],Table3[[#All],[PID]],0)))</f>
        <v>18</v>
      </c>
      <c r="H18" s="54" t="str">
        <f>IF($C18="B",INDEX(Batters[[#All],[B]],MATCH(Table5[[#This Row],[PID]],Batters[[#All],[PID]],0)),INDEX(Table3[[#All],[B]],MATCH(Table5[[#This Row],[PID]],Table3[[#All],[PID]],0)))</f>
        <v>L</v>
      </c>
      <c r="I18" s="54" t="str">
        <f>IF($C18="B",INDEX(Batters[[#All],[T]],MATCH(Table5[[#This Row],[PID]],Batters[[#All],[PID]],0)),INDEX(Table3[[#All],[T]],MATCH(Table5[[#This Row],[PID]],Table3[[#All],[PID]],0)))</f>
        <v>L</v>
      </c>
      <c r="J18" s="54" t="str">
        <f>IF($C18="B",INDEX(Batters[[#All],[WE]],MATCH(Table5[[#This Row],[PID]],Batters[[#All],[PID]],0)),INDEX(Table3[[#All],[WE]],MATCH(Table5[[#This Row],[PID]],Table3[[#All],[PID]],0)))</f>
        <v>Normal</v>
      </c>
      <c r="K18" s="54" t="str">
        <f>IF($C18="B",INDEX(Batters[[#All],[INT]],MATCH(Table5[[#This Row],[PID]],Batters[[#All],[PID]],0)),INDEX(Table3[[#All],[INT]],MATCH(Table5[[#This Row],[PID]],Table3[[#All],[PID]],0)))</f>
        <v>Normal</v>
      </c>
      <c r="L18" s="62">
        <f>IF($C18="B",INDEX(Batters[[#All],[CON P]],MATCH(Table5[[#This Row],[PID]],Batters[[#All],[PID]],0)),INDEX(Table3[[#All],[STU P]],MATCH(Table5[[#This Row],[PID]],Table3[[#All],[PID]],0)))</f>
        <v>5</v>
      </c>
      <c r="M18" s="58">
        <f>IF($C18="B",INDEX(Batters[[#All],[GAP P]],MATCH(Table5[[#This Row],[PID]],Batters[[#All],[PID]],0)),INDEX(Table3[[#All],[MOV P]],MATCH(Table5[[#This Row],[PID]],Table3[[#All],[PID]],0)))</f>
        <v>7</v>
      </c>
      <c r="N18" s="58">
        <f>IF($C18="B",INDEX(Batters[[#All],[POW P]],MATCH(Table5[[#This Row],[PID]],Batters[[#All],[PID]],0)),INDEX(Table3[[#All],[CON P]],MATCH(Table5[[#This Row],[PID]],Table3[[#All],[PID]],0)))</f>
        <v>6</v>
      </c>
      <c r="O18" s="58">
        <f>IF($C18="B",INDEX(Batters[[#All],[EYE P]],MATCH(Table5[[#This Row],[PID]],Batters[[#All],[PID]],0)),INDEX(Table3[[#All],[VELO]],MATCH(Table5[[#This Row],[PID]],Table3[[#All],[PID]],0)))</f>
        <v>6</v>
      </c>
      <c r="P18" s="58">
        <f>IF($C18="B",INDEX(Batters[[#All],[K P]],MATCH(Table5[[#This Row],[PID]],Batters[[#All],[PID]],0)),INDEX(Table3[[#All],[STM]],MATCH(Table5[[#This Row],[PID]],Table3[[#All],[PID]],0)))</f>
        <v>5</v>
      </c>
      <c r="Q18" s="63">
        <f>IF($C18="B",INDEX(Batters[[#All],[Tot]],MATCH(Table5[[#This Row],[PID]],Batters[[#All],[PID]],0)),INDEX(Table3[[#All],[Tot]],MATCH(Table5[[#This Row],[PID]],Table3[[#All],[PID]],0)))</f>
        <v>56.526537971903537</v>
      </c>
      <c r="R18" s="54">
        <f>IF($C18="B",INDEX(Batters[[#All],[zScore]],MATCH(Table5[[#This Row],[PID]],Batters[[#All],[PID]],0)),INDEX(Table3[[#All],[zScore]],MATCH(Table5[[#This Row],[PID]],Table3[[#All],[PID]],0)))</f>
        <v>2.8464627076597857</v>
      </c>
      <c r="S18" s="60" t="str">
        <f>IF($C18="B",INDEX(Batters[[#All],[DEM]],MATCH(Table5[[#This Row],[PID]],Batters[[#All],[PID]],0)),INDEX(Table3[[#All],[DEM]],MATCH(Table5[[#This Row],[PID]],Table3[[#All],[PID]],0)))</f>
        <v>$750k</v>
      </c>
      <c r="T18" s="64">
        <f>IF($C18="B",VLOOKUP($A18,Bat!$A$4:$AU$1417,46,FALSE),VLOOKUP($A18,Pit!$A$4:$BD$570,55,FALSE))</f>
        <v>0</v>
      </c>
      <c r="U18" s="52">
        <f>IF($C18="B",VLOOKUP($A18,Bat!$A$4:$BA$1417,47,FALSE),VLOOKUP($A18,Pit!$A$4:$BF$570,56,FALSE))</f>
        <v>0</v>
      </c>
      <c r="V18" s="52">
        <f>IF($C18="B",VLOOKUP($A18,Bat!$A$4:$BA$1417,48,FALSE),VLOOKUP($A18,Pit!$A$4:$BF$570,57,FALSE))</f>
        <v>0</v>
      </c>
      <c r="W18" s="52">
        <f>Table5[[#This Row],[posRnk]]+Table5[[#This Row],[zRnk]]+IF($W$3&lt;&gt;Table5[[#This Row],[Type]],50,0)</f>
        <v>64</v>
      </c>
      <c r="X18" s="53">
        <f>RANK(Table5[[#This Row],[zScore]],Table5[[#All],[zScore]])</f>
        <v>14</v>
      </c>
      <c r="Y18" s="52" t="str">
        <f>IFERROR(INDEX(DraftResults[[#All],[OVR]],MATCH(Table5[[#This Row],[PID]],DraftResults[[#All],[Player ID]],0)),"")</f>
        <v/>
      </c>
      <c r="Z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" s="52" t="str">
        <f>IFERROR(INDEX(DraftResults[[#All],[Pick in Round]],MATCH(Table5[[#This Row],[PID]],DraftResults[[#All],[Player ID]],0)),"")</f>
        <v/>
      </c>
      <c r="AB18" s="52" t="str">
        <f>IFERROR(INDEX(DraftResults[[#All],[Team Name]],MATCH(Table5[[#This Row],[PID]],DraftResults[[#All],[Player ID]],0)),"")</f>
        <v/>
      </c>
      <c r="AC18" s="52" t="str">
        <f>IF(Table5[[#This Row],[Ovr]]="","",IF(Table5[[#This Row],[cmbList]]="","",Table5[[#This Row],[cmbList]]-Table5[[#This Row],[Ovr]]))</f>
        <v/>
      </c>
      <c r="AD18" s="56" t="str">
        <f>IF(ISERROR(VLOOKUP($AB18&amp;"-"&amp;$E18&amp;" "&amp;F18,Bonuses!$B$1:$G$1006,4,FALSE)),"",INT(VLOOKUP($AB18&amp;"-"&amp;$E18&amp;" "&amp;$F18,Bonuses!$B$1:$G$1006,4,FALSE)))</f>
        <v/>
      </c>
      <c r="AE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" spans="1:31" s="52" customFormat="1" x14ac:dyDescent="0.25">
      <c r="A19" s="52">
        <v>9657</v>
      </c>
      <c r="B19" s="52">
        <f>COUNTIF(Table5[PID],A19)</f>
        <v>1</v>
      </c>
      <c r="C19" s="52" t="str">
        <f>IF(COUNTIF(Table3[[#All],[PID]],A19)&gt;0,"P","B")</f>
        <v>P</v>
      </c>
      <c r="D19" s="61" t="str">
        <f>IF($C19="B",INDEX(Batters[[#All],[POS]],MATCH(Table5[[#This Row],[PID]],Batters[[#All],[PID]],0)),INDEX(Table3[[#All],[POS]],MATCH(Table5[[#This Row],[PID]],Table3[[#All],[PID]],0)))</f>
        <v>CL</v>
      </c>
      <c r="E19" s="54" t="str">
        <f>IF($C19="B",INDEX(Batters[[#All],[First]],MATCH(Table5[[#This Row],[PID]],Batters[[#All],[PID]],0)),INDEX(Table3[[#All],[First]],MATCH(Table5[[#This Row],[PID]],Table3[[#All],[PID]],0)))</f>
        <v>Jimmy</v>
      </c>
      <c r="F19" s="52" t="str">
        <f>IF($C19="B",INDEX(Batters[[#All],[Last]],MATCH(A19,Batters[[#All],[PID]],0)),INDEX(Table3[[#All],[Last]],MATCH(A19,Table3[[#All],[PID]],0)))</f>
        <v>Reynolds</v>
      </c>
      <c r="G19" s="58">
        <f>IF($C19="B",INDEX(Batters[[#All],[Age]],MATCH(Table5[[#This Row],[PID]],Batters[[#All],[PID]],0)),INDEX(Table3[[#All],[Age]],MATCH(Table5[[#This Row],[PID]],Table3[[#All],[PID]],0)))</f>
        <v>21</v>
      </c>
      <c r="H19" s="54" t="str">
        <f>IF($C19="B",INDEX(Batters[[#All],[B]],MATCH(Table5[[#This Row],[PID]],Batters[[#All],[PID]],0)),INDEX(Table3[[#All],[B]],MATCH(Table5[[#This Row],[PID]],Table3[[#All],[PID]],0)))</f>
        <v>L</v>
      </c>
      <c r="I19" s="54" t="str">
        <f>IF($C19="B",INDEX(Batters[[#All],[T]],MATCH(Table5[[#This Row],[PID]],Batters[[#All],[PID]],0)),INDEX(Table3[[#All],[T]],MATCH(Table5[[#This Row],[PID]],Table3[[#All],[PID]],0)))</f>
        <v>R</v>
      </c>
      <c r="J19" s="54" t="str">
        <f>IF($C19="B",INDEX(Batters[[#All],[WE]],MATCH(Table5[[#This Row],[PID]],Batters[[#All],[PID]],0)),INDEX(Table3[[#All],[WE]],MATCH(Table5[[#This Row],[PID]],Table3[[#All],[PID]],0)))</f>
        <v>Normal</v>
      </c>
      <c r="K19" s="54" t="str">
        <f>IF($C19="B",INDEX(Batters[[#All],[INT]],MATCH(Table5[[#This Row],[PID]],Batters[[#All],[PID]],0)),INDEX(Table3[[#All],[INT]],MATCH(Table5[[#This Row],[PID]],Table3[[#All],[PID]],0)))</f>
        <v>Low</v>
      </c>
      <c r="L19" s="62">
        <f>IF($C19="B",INDEX(Batters[[#All],[CON P]],MATCH(Table5[[#This Row],[PID]],Batters[[#All],[PID]],0)),INDEX(Table3[[#All],[STU P]],MATCH(Table5[[#This Row],[PID]],Table3[[#All],[PID]],0)))</f>
        <v>8</v>
      </c>
      <c r="M19" s="58">
        <f>IF($C19="B",INDEX(Batters[[#All],[GAP P]],MATCH(Table5[[#This Row],[PID]],Batters[[#All],[PID]],0)),INDEX(Table3[[#All],[MOV P]],MATCH(Table5[[#This Row],[PID]],Table3[[#All],[PID]],0)))</f>
        <v>5</v>
      </c>
      <c r="N19" s="58">
        <f>IF($C19="B",INDEX(Batters[[#All],[POW P]],MATCH(Table5[[#This Row],[PID]],Batters[[#All],[PID]],0)),INDEX(Table3[[#All],[CON P]],MATCH(Table5[[#This Row],[PID]],Table3[[#All],[PID]],0)))</f>
        <v>4</v>
      </c>
      <c r="O19" s="58" t="str">
        <f>IF($C19="B",INDEX(Batters[[#All],[EYE P]],MATCH(Table5[[#This Row],[PID]],Batters[[#All],[PID]],0)),INDEX(Table3[[#All],[VELO]],MATCH(Table5[[#This Row],[PID]],Table3[[#All],[PID]],0)))</f>
        <v>98-100 Mph</v>
      </c>
      <c r="P19" s="58">
        <f>IF($C19="B",INDEX(Batters[[#All],[K P]],MATCH(Table5[[#This Row],[PID]],Batters[[#All],[PID]],0)),INDEX(Table3[[#All],[STM]],MATCH(Table5[[#This Row],[PID]],Table3[[#All],[PID]],0)))</f>
        <v>6</v>
      </c>
      <c r="Q19" s="63">
        <f>IF($C19="B",INDEX(Batters[[#All],[Tot]],MATCH(Table5[[#This Row],[PID]],Batters[[#All],[PID]],0)),INDEX(Table3[[#All],[Tot]],MATCH(Table5[[#This Row],[PID]],Table3[[#All],[PID]],0)))</f>
        <v>63.617012480031661</v>
      </c>
      <c r="R19" s="54">
        <f>IF($C19="B",INDEX(Batters[[#All],[zScore]],MATCH(Table5[[#This Row],[PID]],Batters[[#All],[PID]],0)),INDEX(Table3[[#All],[zScore]],MATCH(Table5[[#This Row],[PID]],Table3[[#All],[PID]],0)))</f>
        <v>2.833181688087913</v>
      </c>
      <c r="S19" s="60" t="str">
        <f>IF($C19="B",INDEX(Batters[[#All],[DEM]],MATCH(Table5[[#This Row],[PID]],Batters[[#All],[PID]],0)),INDEX(Table3[[#All],[DEM]],MATCH(Table5[[#This Row],[PID]],Table3[[#All],[PID]],0)))</f>
        <v>$270k</v>
      </c>
      <c r="T19" s="64">
        <f>IF($C19="B",VLOOKUP($A19,Bat!$A$4:$AU$1417,46,FALSE),VLOOKUP($A19,Pit!$A$4:$BD$570,55,FALSE))</f>
        <v>0</v>
      </c>
      <c r="U19" s="52">
        <f>IF($C19="B",VLOOKUP($A19,Bat!$A$4:$BA$1417,47,FALSE),VLOOKUP($A19,Pit!$A$4:$BF$570,56,FALSE))</f>
        <v>0</v>
      </c>
      <c r="V19" s="52">
        <f>IF($C19="B",VLOOKUP($A19,Bat!$A$4:$BA$1417,48,FALSE),VLOOKUP($A19,Pit!$A$4:$BF$570,57,FALSE))</f>
        <v>0</v>
      </c>
      <c r="W19" s="52">
        <f>Table5[[#This Row],[posRnk]]+Table5[[#This Row],[zRnk]]+IF($W$3&lt;&gt;Table5[[#This Row],[Type]],50,0)</f>
        <v>65</v>
      </c>
      <c r="X19" s="53">
        <f>RANK(Table5[[#This Row],[zScore]],Table5[[#All],[zScore]])</f>
        <v>15</v>
      </c>
      <c r="Y19" s="52" t="str">
        <f>IFERROR(INDEX(DraftResults[[#All],[OVR]],MATCH(Table5[[#This Row],[PID]],DraftResults[[#All],[Player ID]],0)),"")</f>
        <v/>
      </c>
      <c r="Z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" s="52" t="str">
        <f>IFERROR(INDEX(DraftResults[[#All],[Pick in Round]],MATCH(Table5[[#This Row],[PID]],DraftResults[[#All],[Player ID]],0)),"")</f>
        <v/>
      </c>
      <c r="AB19" s="52" t="str">
        <f>IFERROR(INDEX(DraftResults[[#All],[Team Name]],MATCH(Table5[[#This Row],[PID]],DraftResults[[#All],[Player ID]],0)),"")</f>
        <v/>
      </c>
      <c r="AC19" s="52" t="str">
        <f>IF(Table5[[#This Row],[Ovr]]="","",IF(Table5[[#This Row],[cmbList]]="","",Table5[[#This Row],[cmbList]]-Table5[[#This Row],[Ovr]]))</f>
        <v/>
      </c>
      <c r="AD19" s="56" t="str">
        <f>IF(ISERROR(VLOOKUP($AB19&amp;"-"&amp;$E19&amp;" "&amp;F19,Bonuses!$B$1:$G$1006,4,FALSE)),"",INT(VLOOKUP($AB19&amp;"-"&amp;$E19&amp;" "&amp;$F19,Bonuses!$B$1:$G$1006,4,FALSE)))</f>
        <v/>
      </c>
      <c r="AE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" spans="1:31" s="52" customFormat="1" x14ac:dyDescent="0.25">
      <c r="A20" s="52">
        <v>18040</v>
      </c>
      <c r="B20" s="52">
        <f>COUNTIF(Table5[PID],A20)</f>
        <v>1</v>
      </c>
      <c r="C20" s="52" t="str">
        <f>IF(COUNTIF(Table3[[#All],[PID]],A20)&gt;0,"P","B")</f>
        <v>P</v>
      </c>
      <c r="D20" s="61" t="str">
        <f>IF($C20="B",INDEX(Batters[[#All],[POS]],MATCH(Table5[[#This Row],[PID]],Batters[[#All],[PID]],0)),INDEX(Table3[[#All],[POS]],MATCH(Table5[[#This Row],[PID]],Table3[[#All],[PID]],0)))</f>
        <v>CL</v>
      </c>
      <c r="E20" s="54" t="str">
        <f>IF($C20="B",INDEX(Batters[[#All],[First]],MATCH(Table5[[#This Row],[PID]],Batters[[#All],[PID]],0)),INDEX(Table3[[#All],[First]],MATCH(Table5[[#This Row],[PID]],Table3[[#All],[PID]],0)))</f>
        <v>Barry</v>
      </c>
      <c r="F20" s="52" t="str">
        <f>IF($C20="B",INDEX(Batters[[#All],[Last]],MATCH(A20,Batters[[#All],[PID]],0)),INDEX(Table3[[#All],[Last]],MATCH(A20,Table3[[#All],[PID]],0)))</f>
        <v>Rodríguez</v>
      </c>
      <c r="G20" s="58">
        <f>IF($C20="B",INDEX(Batters[[#All],[Age]],MATCH(Table5[[#This Row],[PID]],Batters[[#All],[PID]],0)),INDEX(Table3[[#All],[Age]],MATCH(Table5[[#This Row],[PID]],Table3[[#All],[PID]],0)))</f>
        <v>21</v>
      </c>
      <c r="H20" s="54" t="str">
        <f>IF($C20="B",INDEX(Batters[[#All],[B]],MATCH(Table5[[#This Row],[PID]],Batters[[#All],[PID]],0)),INDEX(Table3[[#All],[B]],MATCH(Table5[[#This Row],[PID]],Table3[[#All],[PID]],0)))</f>
        <v>L</v>
      </c>
      <c r="I20" s="54" t="str">
        <f>IF($C20="B",INDEX(Batters[[#All],[T]],MATCH(Table5[[#This Row],[PID]],Batters[[#All],[PID]],0)),INDEX(Table3[[#All],[T]],MATCH(Table5[[#This Row],[PID]],Table3[[#All],[PID]],0)))</f>
        <v>R</v>
      </c>
      <c r="J20" s="54" t="str">
        <f>IF($C20="B",INDEX(Batters[[#All],[WE]],MATCH(Table5[[#This Row],[PID]],Batters[[#All],[PID]],0)),INDEX(Table3[[#All],[WE]],MATCH(Table5[[#This Row],[PID]],Table3[[#All],[PID]],0)))</f>
        <v>High</v>
      </c>
      <c r="K20" s="54" t="str">
        <f>IF($C20="B",INDEX(Batters[[#All],[INT]],MATCH(Table5[[#This Row],[PID]],Batters[[#All],[PID]],0)),INDEX(Table3[[#All],[INT]],MATCH(Table5[[#This Row],[PID]],Table3[[#All],[PID]],0)))</f>
        <v>Normal</v>
      </c>
      <c r="L20" s="62">
        <f>IF($C20="B",INDEX(Batters[[#All],[CON P]],MATCH(Table5[[#This Row],[PID]],Batters[[#All],[PID]],0)),INDEX(Table3[[#All],[STU P]],MATCH(Table5[[#This Row],[PID]],Table3[[#All],[PID]],0)))</f>
        <v>10</v>
      </c>
      <c r="M20" s="58">
        <f>IF($C20="B",INDEX(Batters[[#All],[GAP P]],MATCH(Table5[[#This Row],[PID]],Batters[[#All],[PID]],0)),INDEX(Table3[[#All],[MOV P]],MATCH(Table5[[#This Row],[PID]],Table3[[#All],[PID]],0)))</f>
        <v>4</v>
      </c>
      <c r="N20" s="58">
        <f>IF($C20="B",INDEX(Batters[[#All],[POW P]],MATCH(Table5[[#This Row],[PID]],Batters[[#All],[PID]],0)),INDEX(Table3[[#All],[CON P]],MATCH(Table5[[#This Row],[PID]],Table3[[#All],[PID]],0)))</f>
        <v>3</v>
      </c>
      <c r="O20" s="58" t="str">
        <f>IF($C20="B",INDEX(Batters[[#All],[EYE P]],MATCH(Table5[[#This Row],[PID]],Batters[[#All],[PID]],0)),INDEX(Table3[[#All],[VELO]],MATCH(Table5[[#This Row],[PID]],Table3[[#All],[PID]],0)))</f>
        <v>99-101 Mph</v>
      </c>
      <c r="P20" s="58">
        <f>IF($C20="B",INDEX(Batters[[#All],[K P]],MATCH(Table5[[#This Row],[PID]],Batters[[#All],[PID]],0)),INDEX(Table3[[#All],[STM]],MATCH(Table5[[#This Row],[PID]],Table3[[#All],[PID]],0)))</f>
        <v>9</v>
      </c>
      <c r="Q20" s="63">
        <f>IF($C20="B",INDEX(Batters[[#All],[Tot]],MATCH(Table5[[#This Row],[PID]],Batters[[#All],[PID]],0)),INDEX(Table3[[#All],[Tot]],MATCH(Table5[[#This Row],[PID]],Table3[[#All],[PID]],0)))</f>
        <v>63.474859535783025</v>
      </c>
      <c r="R20" s="54">
        <f>IF($C20="B",INDEX(Batters[[#All],[zScore]],MATCH(Table5[[#This Row],[PID]],Batters[[#All],[PID]],0)),INDEX(Table3[[#All],[zScore]],MATCH(Table5[[#This Row],[PID]],Table3[[#All],[PID]],0)))</f>
        <v>2.8201456555258599</v>
      </c>
      <c r="S20" s="60" t="str">
        <f>IF($C20="B",INDEX(Batters[[#All],[DEM]],MATCH(Table5[[#This Row],[PID]],Batters[[#All],[PID]],0)),INDEX(Table3[[#All],[DEM]],MATCH(Table5[[#This Row],[PID]],Table3[[#All],[PID]],0)))</f>
        <v>$550k</v>
      </c>
      <c r="T20" s="64">
        <f>IF($C20="B",VLOOKUP($A20,Bat!$A$4:$AU$1417,46,FALSE),VLOOKUP($A20,Pit!$A$4:$BD$570,55,FALSE))</f>
        <v>0</v>
      </c>
      <c r="U20" s="52">
        <f>IF($C20="B",VLOOKUP($A20,Bat!$A$4:$BA$1417,47,FALSE),VLOOKUP($A20,Pit!$A$4:$BF$570,56,FALSE))</f>
        <v>0</v>
      </c>
      <c r="V20" s="52">
        <f>IF($C20="B",VLOOKUP($A20,Bat!$A$4:$BA$1417,48,FALSE),VLOOKUP($A20,Pit!$A$4:$BF$570,57,FALSE))</f>
        <v>0</v>
      </c>
      <c r="W20" s="52">
        <f>Table5[[#This Row],[posRnk]]+Table5[[#This Row],[zRnk]]+IF($W$3&lt;&gt;Table5[[#This Row],[Type]],50,0)</f>
        <v>66</v>
      </c>
      <c r="X20" s="53">
        <f>RANK(Table5[[#This Row],[zScore]],Table5[[#All],[zScore]])</f>
        <v>16</v>
      </c>
      <c r="Y20" s="52" t="str">
        <f>IFERROR(INDEX(DraftResults[[#All],[OVR]],MATCH(Table5[[#This Row],[PID]],DraftResults[[#All],[Player ID]],0)),"")</f>
        <v/>
      </c>
      <c r="Z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" s="52" t="str">
        <f>IFERROR(INDEX(DraftResults[[#All],[Pick in Round]],MATCH(Table5[[#This Row],[PID]],DraftResults[[#All],[Player ID]],0)),"")</f>
        <v/>
      </c>
      <c r="AB20" s="52" t="str">
        <f>IFERROR(INDEX(DraftResults[[#All],[Team Name]],MATCH(Table5[[#This Row],[PID]],DraftResults[[#All],[Player ID]],0)),"")</f>
        <v/>
      </c>
      <c r="AC20" s="52" t="str">
        <f>IF(Table5[[#This Row],[Ovr]]="","",IF(Table5[[#This Row],[cmbList]]="","",Table5[[#This Row],[cmbList]]-Table5[[#This Row],[Ovr]]))</f>
        <v/>
      </c>
      <c r="AD20" s="56" t="str">
        <f>IF(ISERROR(VLOOKUP($AB20&amp;"-"&amp;$E20&amp;" "&amp;F20,Bonuses!$B$1:$G$1006,4,FALSE)),"",INT(VLOOKUP($AB20&amp;"-"&amp;$E20&amp;" "&amp;$F20,Bonuses!$B$1:$G$1006,4,FALSE)))</f>
        <v/>
      </c>
      <c r="AE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" spans="1:31" s="52" customFormat="1" x14ac:dyDescent="0.25">
      <c r="A21" s="52">
        <v>7114</v>
      </c>
      <c r="B21" s="52">
        <f>COUNTIF(Table5[PID],A21)</f>
        <v>1</v>
      </c>
      <c r="C21" s="52" t="str">
        <f>IF(COUNTIF(Table3[[#All],[PID]],A21)&gt;0,"P","B")</f>
        <v>P</v>
      </c>
      <c r="D21" s="61" t="str">
        <f>IF($C21="B",INDEX(Batters[[#All],[POS]],MATCH(Table5[[#This Row],[PID]],Batters[[#All],[PID]],0)),INDEX(Table3[[#All],[POS]],MATCH(Table5[[#This Row],[PID]],Table3[[#All],[PID]],0)))</f>
        <v>SP</v>
      </c>
      <c r="E21" s="54" t="str">
        <f>IF($C21="B",INDEX(Batters[[#All],[First]],MATCH(Table5[[#This Row],[PID]],Batters[[#All],[PID]],0)),INDEX(Table3[[#All],[First]],MATCH(Table5[[#This Row],[PID]],Table3[[#All],[PID]],0)))</f>
        <v>Eichiro</v>
      </c>
      <c r="F21" s="52" t="str">
        <f>IF($C21="B",INDEX(Batters[[#All],[Last]],MATCH(A21,Batters[[#All],[PID]],0)),INDEX(Table3[[#All],[Last]],MATCH(A21,Table3[[#All],[PID]],0)))</f>
        <v>Ogawa</v>
      </c>
      <c r="G21" s="58">
        <f>IF($C21="B",INDEX(Batters[[#All],[Age]],MATCH(Table5[[#This Row],[PID]],Batters[[#All],[PID]],0)),INDEX(Table3[[#All],[Age]],MATCH(Table5[[#This Row],[PID]],Table3[[#All],[PID]],0)))</f>
        <v>21</v>
      </c>
      <c r="H21" s="54" t="str">
        <f>IF($C21="B",INDEX(Batters[[#All],[B]],MATCH(Table5[[#This Row],[PID]],Batters[[#All],[PID]],0)),INDEX(Table3[[#All],[B]],MATCH(Table5[[#This Row],[PID]],Table3[[#All],[PID]],0)))</f>
        <v>R</v>
      </c>
      <c r="I21" s="54" t="str">
        <f>IF($C21="B",INDEX(Batters[[#All],[T]],MATCH(Table5[[#This Row],[PID]],Batters[[#All],[PID]],0)),INDEX(Table3[[#All],[T]],MATCH(Table5[[#This Row],[PID]],Table3[[#All],[PID]],0)))</f>
        <v>R</v>
      </c>
      <c r="J21" s="54" t="str">
        <f>IF($C21="B",INDEX(Batters[[#All],[WE]],MATCH(Table5[[#This Row],[PID]],Batters[[#All],[PID]],0)),INDEX(Table3[[#All],[WE]],MATCH(Table5[[#This Row],[PID]],Table3[[#All],[PID]],0)))</f>
        <v>Normal</v>
      </c>
      <c r="K21" s="54" t="str">
        <f>IF($C21="B",INDEX(Batters[[#All],[INT]],MATCH(Table5[[#This Row],[PID]],Batters[[#All],[PID]],0)),INDEX(Table3[[#All],[INT]],MATCH(Table5[[#This Row],[PID]],Table3[[#All],[PID]],0)))</f>
        <v>Normal</v>
      </c>
      <c r="L21" s="62">
        <f>IF($C21="B",INDEX(Batters[[#All],[CON P]],MATCH(Table5[[#This Row],[PID]],Batters[[#All],[PID]],0)),INDEX(Table3[[#All],[STU P]],MATCH(Table5[[#This Row],[PID]],Table3[[#All],[PID]],0)))</f>
        <v>6</v>
      </c>
      <c r="M21" s="58">
        <f>IF($C21="B",INDEX(Batters[[#All],[GAP P]],MATCH(Table5[[#This Row],[PID]],Batters[[#All],[PID]],0)),INDEX(Table3[[#All],[MOV P]],MATCH(Table5[[#This Row],[PID]],Table3[[#All],[PID]],0)))</f>
        <v>4</v>
      </c>
      <c r="N21" s="58">
        <f>IF($C21="B",INDEX(Batters[[#All],[POW P]],MATCH(Table5[[#This Row],[PID]],Batters[[#All],[PID]],0)),INDEX(Table3[[#All],[CON P]],MATCH(Table5[[#This Row],[PID]],Table3[[#All],[PID]],0)))</f>
        <v>6</v>
      </c>
      <c r="O21" s="58" t="str">
        <f>IF($C21="B",INDEX(Batters[[#All],[EYE P]],MATCH(Table5[[#This Row],[PID]],Batters[[#All],[PID]],0)),INDEX(Table3[[#All],[VELO]],MATCH(Table5[[#This Row],[PID]],Table3[[#All],[PID]],0)))</f>
        <v>94-96 Mph</v>
      </c>
      <c r="P21" s="58">
        <f>IF($C21="B",INDEX(Batters[[#All],[K P]],MATCH(Table5[[#This Row],[PID]],Batters[[#All],[PID]],0)),INDEX(Table3[[#All],[STM]],MATCH(Table5[[#This Row],[PID]],Table3[[#All],[PID]],0)))</f>
        <v>7</v>
      </c>
      <c r="Q21" s="63">
        <f>IF($C21="B",INDEX(Batters[[#All],[Tot]],MATCH(Table5[[#This Row],[PID]],Batters[[#All],[PID]],0)),INDEX(Table3[[#All],[Tot]],MATCH(Table5[[#This Row],[PID]],Table3[[#All],[PID]],0)))</f>
        <v>63.17384467921606</v>
      </c>
      <c r="R21" s="54">
        <f>IF($C21="B",INDEX(Batters[[#All],[zScore]],MATCH(Table5[[#This Row],[PID]],Batters[[#All],[PID]],0)),INDEX(Table3[[#All],[zScore]],MATCH(Table5[[#This Row],[PID]],Table3[[#All],[PID]],0)))</f>
        <v>2.7925413066141327</v>
      </c>
      <c r="S21" s="60" t="str">
        <f>IF($C21="B",INDEX(Batters[[#All],[DEM]],MATCH(Table5[[#This Row],[PID]],Batters[[#All],[PID]],0)),INDEX(Table3[[#All],[DEM]],MATCH(Table5[[#This Row],[PID]],Table3[[#All],[PID]],0)))</f>
        <v>$1.6m</v>
      </c>
      <c r="T21" s="64">
        <f>IF($C21="B",VLOOKUP($A21,Bat!$A$4:$AU$1417,46,FALSE),VLOOKUP($A21,Pit!$A$4:$BD$570,55,FALSE))</f>
        <v>0</v>
      </c>
      <c r="U21" s="52">
        <f>IF($C21="B",VLOOKUP($A21,Bat!$A$4:$BA$1417,47,FALSE),VLOOKUP($A21,Pit!$A$4:$BF$570,56,FALSE))</f>
        <v>0</v>
      </c>
      <c r="V21" s="52">
        <f>IF($C21="B",VLOOKUP($A21,Bat!$A$4:$BA$1417,48,FALSE),VLOOKUP($A21,Pit!$A$4:$BF$570,57,FALSE))</f>
        <v>0</v>
      </c>
      <c r="W21" s="52">
        <f>Table5[[#This Row],[posRnk]]+Table5[[#This Row],[zRnk]]+IF($W$3&lt;&gt;Table5[[#This Row],[Type]],50,0)</f>
        <v>67</v>
      </c>
      <c r="X21" s="53">
        <f>RANK(Table5[[#This Row],[zScore]],Table5[[#All],[zScore]])</f>
        <v>17</v>
      </c>
      <c r="Y21" s="52" t="str">
        <f>IFERROR(INDEX(DraftResults[[#All],[OVR]],MATCH(Table5[[#This Row],[PID]],DraftResults[[#All],[Player ID]],0)),"")</f>
        <v/>
      </c>
      <c r="Z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" s="52" t="str">
        <f>IFERROR(INDEX(DraftResults[[#All],[Pick in Round]],MATCH(Table5[[#This Row],[PID]],DraftResults[[#All],[Player ID]],0)),"")</f>
        <v/>
      </c>
      <c r="AB21" s="52" t="str">
        <f>IFERROR(INDEX(DraftResults[[#All],[Team Name]],MATCH(Table5[[#This Row],[PID]],DraftResults[[#All],[Player ID]],0)),"")</f>
        <v/>
      </c>
      <c r="AC21" s="52" t="str">
        <f>IF(Table5[[#This Row],[Ovr]]="","",IF(Table5[[#This Row],[cmbList]]="","",Table5[[#This Row],[cmbList]]-Table5[[#This Row],[Ovr]]))</f>
        <v/>
      </c>
      <c r="AD21" s="56" t="str">
        <f>IF(ISERROR(VLOOKUP($AB21&amp;"-"&amp;$E21&amp;" "&amp;F21,Bonuses!$B$1:$G$1006,4,FALSE)),"",INT(VLOOKUP($AB21&amp;"-"&amp;$E21&amp;" "&amp;$F21,Bonuses!$B$1:$G$1006,4,FALSE)))</f>
        <v/>
      </c>
      <c r="AE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" spans="1:31" s="52" customFormat="1" x14ac:dyDescent="0.25">
      <c r="A22" s="52">
        <v>13432</v>
      </c>
      <c r="B22" s="52">
        <f>COUNTIF(Table5[PID],A22)</f>
        <v>1</v>
      </c>
      <c r="C22" s="52" t="str">
        <f>IF(COUNTIF(Table3[[#All],[PID]],A22)&gt;0,"P","B")</f>
        <v>P</v>
      </c>
      <c r="D22" s="61" t="str">
        <f>IF($C22="B",INDEX(Batters[[#All],[POS]],MATCH(Table5[[#This Row],[PID]],Batters[[#All],[PID]],0)),INDEX(Table3[[#All],[POS]],MATCH(Table5[[#This Row],[PID]],Table3[[#All],[PID]],0)))</f>
        <v>CL</v>
      </c>
      <c r="E22" s="54" t="str">
        <f>IF($C22="B",INDEX(Batters[[#All],[First]],MATCH(Table5[[#This Row],[PID]],Batters[[#All],[PID]],0)),INDEX(Table3[[#All],[First]],MATCH(Table5[[#This Row],[PID]],Table3[[#All],[PID]],0)))</f>
        <v>John</v>
      </c>
      <c r="F22" s="52" t="str">
        <f>IF($C22="B",INDEX(Batters[[#All],[Last]],MATCH(A22,Batters[[#All],[PID]],0)),INDEX(Table3[[#All],[Last]],MATCH(A22,Table3[[#All],[PID]],0)))</f>
        <v>Murphy</v>
      </c>
      <c r="G22" s="58">
        <f>IF($C22="B",INDEX(Batters[[#All],[Age]],MATCH(Table5[[#This Row],[PID]],Batters[[#All],[PID]],0)),INDEX(Table3[[#All],[Age]],MATCH(Table5[[#This Row],[PID]],Table3[[#All],[PID]],0)))</f>
        <v>18</v>
      </c>
      <c r="H22" s="54" t="str">
        <f>IF($C22="B",INDEX(Batters[[#All],[B]],MATCH(Table5[[#This Row],[PID]],Batters[[#All],[PID]],0)),INDEX(Table3[[#All],[B]],MATCH(Table5[[#This Row],[PID]],Table3[[#All],[PID]],0)))</f>
        <v>R</v>
      </c>
      <c r="I22" s="54" t="str">
        <f>IF($C22="B",INDEX(Batters[[#All],[T]],MATCH(Table5[[#This Row],[PID]],Batters[[#All],[PID]],0)),INDEX(Table3[[#All],[T]],MATCH(Table5[[#This Row],[PID]],Table3[[#All],[PID]],0)))</f>
        <v>R</v>
      </c>
      <c r="J22" s="54" t="str">
        <f>IF($C22="B",INDEX(Batters[[#All],[WE]],MATCH(Table5[[#This Row],[PID]],Batters[[#All],[PID]],0)),INDEX(Table3[[#All],[WE]],MATCH(Table5[[#This Row],[PID]],Table3[[#All],[PID]],0)))</f>
        <v>Normal</v>
      </c>
      <c r="K22" s="54" t="str">
        <f>IF($C22="B",INDEX(Batters[[#All],[INT]],MATCH(Table5[[#This Row],[PID]],Batters[[#All],[PID]],0)),INDEX(Table3[[#All],[INT]],MATCH(Table5[[#This Row],[PID]],Table3[[#All],[PID]],0)))</f>
        <v>Normal</v>
      </c>
      <c r="L22" s="62">
        <f>IF($C22="B",INDEX(Batters[[#All],[CON P]],MATCH(Table5[[#This Row],[PID]],Batters[[#All],[PID]],0)),INDEX(Table3[[#All],[STU P]],MATCH(Table5[[#This Row],[PID]],Table3[[#All],[PID]],0)))</f>
        <v>8</v>
      </c>
      <c r="M22" s="58">
        <f>IF($C22="B",INDEX(Batters[[#All],[GAP P]],MATCH(Table5[[#This Row],[PID]],Batters[[#All],[PID]],0)),INDEX(Table3[[#All],[MOV P]],MATCH(Table5[[#This Row],[PID]],Table3[[#All],[PID]],0)))</f>
        <v>5</v>
      </c>
      <c r="N22" s="58">
        <f>IF($C22="B",INDEX(Batters[[#All],[POW P]],MATCH(Table5[[#This Row],[PID]],Batters[[#All],[PID]],0)),INDEX(Table3[[#All],[CON P]],MATCH(Table5[[#This Row],[PID]],Table3[[#All],[PID]],0)))</f>
        <v>3</v>
      </c>
      <c r="O22" s="58" t="str">
        <f>IF($C22="B",INDEX(Batters[[#All],[EYE P]],MATCH(Table5[[#This Row],[PID]],Batters[[#All],[PID]],0)),INDEX(Table3[[#All],[VELO]],MATCH(Table5[[#This Row],[PID]],Table3[[#All],[PID]],0)))</f>
        <v>91-93 Mph</v>
      </c>
      <c r="P22" s="58">
        <f>IF($C22="B",INDEX(Batters[[#All],[K P]],MATCH(Table5[[#This Row],[PID]],Batters[[#All],[PID]],0)),INDEX(Table3[[#All],[STM]],MATCH(Table5[[#This Row],[PID]],Table3[[#All],[PID]],0)))</f>
        <v>8</v>
      </c>
      <c r="Q22" s="63">
        <f>IF($C22="B",INDEX(Batters[[#All],[Tot]],MATCH(Table5[[#This Row],[PID]],Batters[[#All],[PID]],0)),INDEX(Table3[[#All],[Tot]],MATCH(Table5[[#This Row],[PID]],Table3[[#All],[PID]],0)))</f>
        <v>63.002083403836934</v>
      </c>
      <c r="R22" s="54">
        <f>IF($C22="B",INDEX(Batters[[#All],[zScore]],MATCH(Table5[[#This Row],[PID]],Batters[[#All],[PID]],0)),INDEX(Table3[[#All],[zScore]],MATCH(Table5[[#This Row],[PID]],Table3[[#All],[PID]],0)))</f>
        <v>2.7767900635387468</v>
      </c>
      <c r="S22" s="60" t="str">
        <f>IF($C22="B",INDEX(Batters[[#All],[DEM]],MATCH(Table5[[#This Row],[PID]],Batters[[#All],[PID]],0)),INDEX(Table3[[#All],[DEM]],MATCH(Table5[[#This Row],[PID]],Table3[[#All],[PID]],0)))</f>
        <v>$500k</v>
      </c>
      <c r="T22" s="64">
        <f>IF($C22="B",VLOOKUP($A22,Bat!$A$4:$AU$1417,46,FALSE),VLOOKUP($A22,Pit!$A$4:$BD$570,55,FALSE))</f>
        <v>0</v>
      </c>
      <c r="U22" s="52">
        <f>IF($C22="B",VLOOKUP($A22,Bat!$A$4:$BA$1417,47,FALSE),VLOOKUP($A22,Pit!$A$4:$BF$570,56,FALSE))</f>
        <v>0</v>
      </c>
      <c r="V22" s="52">
        <f>IF($C22="B",VLOOKUP($A22,Bat!$A$4:$BA$1417,48,FALSE),VLOOKUP($A22,Pit!$A$4:$BF$570,57,FALSE))</f>
        <v>0</v>
      </c>
      <c r="W22" s="52">
        <f>Table5[[#This Row],[posRnk]]+Table5[[#This Row],[zRnk]]+IF($W$3&lt;&gt;Table5[[#This Row],[Type]],50,0)</f>
        <v>68</v>
      </c>
      <c r="X22" s="53">
        <f>RANK(Table5[[#This Row],[zScore]],Table5[[#All],[zScore]])</f>
        <v>18</v>
      </c>
      <c r="Y22" s="52" t="str">
        <f>IFERROR(INDEX(DraftResults[[#All],[OVR]],MATCH(Table5[[#This Row],[PID]],DraftResults[[#All],[Player ID]],0)),"")</f>
        <v/>
      </c>
      <c r="Z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" s="52" t="str">
        <f>IFERROR(INDEX(DraftResults[[#All],[Pick in Round]],MATCH(Table5[[#This Row],[PID]],DraftResults[[#All],[Player ID]],0)),"")</f>
        <v/>
      </c>
      <c r="AB22" s="52" t="str">
        <f>IFERROR(INDEX(DraftResults[[#All],[Team Name]],MATCH(Table5[[#This Row],[PID]],DraftResults[[#All],[Player ID]],0)),"")</f>
        <v/>
      </c>
      <c r="AC22" s="52" t="str">
        <f>IF(Table5[[#This Row],[Ovr]]="","",IF(Table5[[#This Row],[cmbList]]="","",Table5[[#This Row],[cmbList]]-Table5[[#This Row],[Ovr]]))</f>
        <v/>
      </c>
      <c r="AD22" s="56" t="str">
        <f>IF(ISERROR(VLOOKUP($AB22&amp;"-"&amp;$E22&amp;" "&amp;F22,Bonuses!$B$1:$G$1006,4,FALSE)),"",INT(VLOOKUP($AB22&amp;"-"&amp;$E22&amp;" "&amp;$F22,Bonuses!$B$1:$G$1006,4,FALSE)))</f>
        <v/>
      </c>
      <c r="AE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" spans="1:31" s="52" customFormat="1" x14ac:dyDescent="0.25">
      <c r="A23" s="52">
        <v>7139</v>
      </c>
      <c r="B23" s="57">
        <f>COUNTIF(Table5[PID],A23)</f>
        <v>1</v>
      </c>
      <c r="C23" s="57" t="str">
        <f>IF(COUNTIF(Table3[[#All],[PID]],A23)&gt;0,"P","B")</f>
        <v>B</v>
      </c>
      <c r="D23" s="61" t="str">
        <f>IF($C23="B",INDEX(Batters[[#All],[POS]],MATCH(Table5[[#This Row],[PID]],Batters[[#All],[PID]],0)),INDEX(Table3[[#All],[POS]],MATCH(Table5[[#This Row],[PID]],Table3[[#All],[PID]],0)))</f>
        <v>RF</v>
      </c>
      <c r="E23" s="54" t="str">
        <f>IF($C23="B",INDEX(Batters[[#All],[First]],MATCH(Table5[[#This Row],[PID]],Batters[[#All],[PID]],0)),INDEX(Table3[[#All],[First]],MATCH(Table5[[#This Row],[PID]],Table3[[#All],[PID]],0)))</f>
        <v>Takeichi</v>
      </c>
      <c r="F23" s="52" t="str">
        <f>IF($C23="B",INDEX(Batters[[#All],[Last]],MATCH(A23,Batters[[#All],[PID]],0)),INDEX(Table3[[#All],[Last]],MATCH(A23,Table3[[#All],[PID]],0)))</f>
        <v>Kobayashi</v>
      </c>
      <c r="G23" s="58">
        <f>IF($C23="B",INDEX(Batters[[#All],[Age]],MATCH(Table5[[#This Row],[PID]],Batters[[#All],[PID]],0)),INDEX(Table3[[#All],[Age]],MATCH(Table5[[#This Row],[PID]],Table3[[#All],[PID]],0)))</f>
        <v>21</v>
      </c>
      <c r="H23" s="54" t="str">
        <f>IF($C23="B",INDEX(Batters[[#All],[B]],MATCH(Table5[[#This Row],[PID]],Batters[[#All],[PID]],0)),INDEX(Table3[[#All],[B]],MATCH(Table5[[#This Row],[PID]],Table3[[#All],[PID]],0)))</f>
        <v>L</v>
      </c>
      <c r="I23" s="54" t="str">
        <f>IF($C23="B",INDEX(Batters[[#All],[T]],MATCH(Table5[[#This Row],[PID]],Batters[[#All],[PID]],0)),INDEX(Table3[[#All],[T]],MATCH(Table5[[#This Row],[PID]],Table3[[#All],[PID]],0)))</f>
        <v>L</v>
      </c>
      <c r="J23" s="54" t="str">
        <f>IF($C23="B",INDEX(Batters[[#All],[WE]],MATCH(Table5[[#This Row],[PID]],Batters[[#All],[PID]],0)),INDEX(Table3[[#All],[WE]],MATCH(Table5[[#This Row],[PID]],Table3[[#All],[PID]],0)))</f>
        <v>High</v>
      </c>
      <c r="K23" s="54" t="str">
        <f>IF($C23="B",INDEX(Batters[[#All],[INT]],MATCH(Table5[[#This Row],[PID]],Batters[[#All],[PID]],0)),INDEX(Table3[[#All],[INT]],MATCH(Table5[[#This Row],[PID]],Table3[[#All],[PID]],0)))</f>
        <v>Normal</v>
      </c>
      <c r="L23" s="62">
        <f>IF($C23="B",INDEX(Batters[[#All],[CON P]],MATCH(Table5[[#This Row],[PID]],Batters[[#All],[PID]],0)),INDEX(Table3[[#All],[STU P]],MATCH(Table5[[#This Row],[PID]],Table3[[#All],[PID]],0)))</f>
        <v>6</v>
      </c>
      <c r="M23" s="58">
        <f>IF($C23="B",INDEX(Batters[[#All],[GAP P]],MATCH(Table5[[#This Row],[PID]],Batters[[#All],[PID]],0)),INDEX(Table3[[#All],[MOV P]],MATCH(Table5[[#This Row],[PID]],Table3[[#All],[PID]],0)))</f>
        <v>8</v>
      </c>
      <c r="N23" s="58">
        <f>IF($C23="B",INDEX(Batters[[#All],[POW P]],MATCH(Table5[[#This Row],[PID]],Batters[[#All],[PID]],0)),INDEX(Table3[[#All],[CON P]],MATCH(Table5[[#This Row],[PID]],Table3[[#All],[PID]],0)))</f>
        <v>6</v>
      </c>
      <c r="O23" s="58">
        <f>IF($C23="B",INDEX(Batters[[#All],[EYE P]],MATCH(Table5[[#This Row],[PID]],Batters[[#All],[PID]],0)),INDEX(Table3[[#All],[VELO]],MATCH(Table5[[#This Row],[PID]],Table3[[#All],[PID]],0)))</f>
        <v>5</v>
      </c>
      <c r="P23" s="58">
        <f>IF($C23="B",INDEX(Batters[[#All],[K P]],MATCH(Table5[[#This Row],[PID]],Batters[[#All],[PID]],0)),INDEX(Table3[[#All],[STM]],MATCH(Table5[[#This Row],[PID]],Table3[[#All],[PID]],0)))</f>
        <v>5</v>
      </c>
      <c r="Q23" s="63">
        <f>IF($C23="B",INDEX(Batters[[#All],[Tot]],MATCH(Table5[[#This Row],[PID]],Batters[[#All],[PID]],0)),INDEX(Table3[[#All],[Tot]],MATCH(Table5[[#This Row],[PID]],Table3[[#All],[PID]],0)))</f>
        <v>55.851933602502271</v>
      </c>
      <c r="R23" s="54">
        <f>IF($C23="B",INDEX(Batters[[#All],[zScore]],MATCH(Table5[[#This Row],[PID]],Batters[[#All],[PID]],0)),INDEX(Table3[[#All],[zScore]],MATCH(Table5[[#This Row],[PID]],Table3[[#All],[PID]],0)))</f>
        <v>2.727770552488932</v>
      </c>
      <c r="S23" s="60" t="str">
        <f>IF($C23="B",INDEX(Batters[[#All],[DEM]],MATCH(Table5[[#This Row],[PID]],Batters[[#All],[PID]],0)),INDEX(Table3[[#All],[DEM]],MATCH(Table5[[#This Row],[PID]],Table3[[#All],[PID]],0)))</f>
        <v>$320k</v>
      </c>
      <c r="T23" s="64">
        <f>IF($C23="B",VLOOKUP($A23,Bat!$A$4:$AU$1417,46,FALSE),VLOOKUP($A23,Pit!$A$4:$BD$570,55,FALSE))</f>
        <v>0</v>
      </c>
      <c r="U23" s="52">
        <f>IF($C23="B",VLOOKUP($A23,Bat!$A$4:$BA$1417,47,FALSE),VLOOKUP($A23,Pit!$A$4:$BF$570,56,FALSE))</f>
        <v>0</v>
      </c>
      <c r="V23" s="52">
        <f>IF($C23="B",VLOOKUP($A23,Bat!$A$4:$BA$1417,48,FALSE),VLOOKUP($A23,Pit!$A$4:$BF$570,57,FALSE))</f>
        <v>0</v>
      </c>
      <c r="W23" s="52">
        <f>Table5[[#This Row],[posRnk]]+Table5[[#This Row],[zRnk]]+IF($W$3&lt;&gt;Table5[[#This Row],[Type]],50,0)</f>
        <v>69</v>
      </c>
      <c r="X23" s="53">
        <f>RANK(Table5[[#This Row],[zScore]],Table5[[#All],[zScore]])</f>
        <v>19</v>
      </c>
      <c r="Y23" s="52" t="str">
        <f>IFERROR(INDEX(DraftResults[[#All],[OVR]],MATCH(Table5[[#This Row],[PID]],DraftResults[[#All],[Player ID]],0)),"")</f>
        <v/>
      </c>
      <c r="Z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" s="52" t="str">
        <f>IFERROR(INDEX(DraftResults[[#All],[Pick in Round]],MATCH(Table5[[#This Row],[PID]],DraftResults[[#All],[Player ID]],0)),"")</f>
        <v/>
      </c>
      <c r="AB23" s="52" t="str">
        <f>IFERROR(INDEX(DraftResults[[#All],[Team Name]],MATCH(Table5[[#This Row],[PID]],DraftResults[[#All],[Player ID]],0)),"")</f>
        <v/>
      </c>
      <c r="AC23" s="52" t="str">
        <f>IF(Table5[[#This Row],[Ovr]]="","",IF(Table5[[#This Row],[cmbList]]="","",Table5[[#This Row],[cmbList]]-Table5[[#This Row],[Ovr]]))</f>
        <v/>
      </c>
      <c r="AD23" s="56" t="str">
        <f>IF(ISERROR(VLOOKUP($AB23&amp;"-"&amp;$E23&amp;" "&amp;F23,Bonuses!$B$1:$G$1006,4,FALSE)),"",INT(VLOOKUP($AB23&amp;"-"&amp;$E23&amp;" "&amp;$F23,Bonuses!$B$1:$G$1006,4,FALSE)))</f>
        <v/>
      </c>
      <c r="AE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" spans="1:31" s="52" customFormat="1" x14ac:dyDescent="0.25">
      <c r="A24" s="52">
        <v>9624</v>
      </c>
      <c r="B24" s="52">
        <f>COUNTIF(Table5[PID],A24)</f>
        <v>1</v>
      </c>
      <c r="C24" s="52" t="str">
        <f>IF(COUNTIF(Table3[[#All],[PID]],A24)&gt;0,"P","B")</f>
        <v>P</v>
      </c>
      <c r="D24" s="61" t="str">
        <f>IF($C24="B",INDEX(Batters[[#All],[POS]],MATCH(Table5[[#This Row],[PID]],Batters[[#All],[PID]],0)),INDEX(Table3[[#All],[POS]],MATCH(Table5[[#This Row],[PID]],Table3[[#All],[PID]],0)))</f>
        <v>SP</v>
      </c>
      <c r="E24" s="54" t="str">
        <f>IF($C24="B",INDEX(Batters[[#All],[First]],MATCH(Table5[[#This Row],[PID]],Batters[[#All],[PID]],0)),INDEX(Table3[[#All],[First]],MATCH(Table5[[#This Row],[PID]],Table3[[#All],[PID]],0)))</f>
        <v>Mark</v>
      </c>
      <c r="F24" s="52" t="str">
        <f>IF($C24="B",INDEX(Batters[[#All],[Last]],MATCH(A24,Batters[[#All],[PID]],0)),INDEX(Table3[[#All],[Last]],MATCH(A24,Table3[[#All],[PID]],0)))</f>
        <v>Stanford</v>
      </c>
      <c r="G24" s="58">
        <f>IF($C24="B",INDEX(Batters[[#All],[Age]],MATCH(Table5[[#This Row],[PID]],Batters[[#All],[PID]],0)),INDEX(Table3[[#All],[Age]],MATCH(Table5[[#This Row],[PID]],Table3[[#All],[PID]],0)))</f>
        <v>21</v>
      </c>
      <c r="H24" s="54" t="str">
        <f>IF($C24="B",INDEX(Batters[[#All],[B]],MATCH(Table5[[#This Row],[PID]],Batters[[#All],[PID]],0)),INDEX(Table3[[#All],[B]],MATCH(Table5[[#This Row],[PID]],Table3[[#All],[PID]],0)))</f>
        <v>R</v>
      </c>
      <c r="I24" s="54" t="str">
        <f>IF($C24="B",INDEX(Batters[[#All],[T]],MATCH(Table5[[#This Row],[PID]],Batters[[#All],[PID]],0)),INDEX(Table3[[#All],[T]],MATCH(Table5[[#This Row],[PID]],Table3[[#All],[PID]],0)))</f>
        <v>R</v>
      </c>
      <c r="J24" s="54" t="str">
        <f>IF($C24="B",INDEX(Batters[[#All],[WE]],MATCH(Table5[[#This Row],[PID]],Batters[[#All],[PID]],0)),INDEX(Table3[[#All],[WE]],MATCH(Table5[[#This Row],[PID]],Table3[[#All],[PID]],0)))</f>
        <v>Low</v>
      </c>
      <c r="K24" s="54" t="str">
        <f>IF($C24="B",INDEX(Batters[[#All],[INT]],MATCH(Table5[[#This Row],[PID]],Batters[[#All],[PID]],0)),INDEX(Table3[[#All],[INT]],MATCH(Table5[[#This Row],[PID]],Table3[[#All],[PID]],0)))</f>
        <v>Low</v>
      </c>
      <c r="L24" s="62">
        <f>IF($C24="B",INDEX(Batters[[#All],[CON P]],MATCH(Table5[[#This Row],[PID]],Batters[[#All],[PID]],0)),INDEX(Table3[[#All],[STU P]],MATCH(Table5[[#This Row],[PID]],Table3[[#All],[PID]],0)))</f>
        <v>6</v>
      </c>
      <c r="M24" s="58">
        <f>IF($C24="B",INDEX(Batters[[#All],[GAP P]],MATCH(Table5[[#This Row],[PID]],Batters[[#All],[PID]],0)),INDEX(Table3[[#All],[MOV P]],MATCH(Table5[[#This Row],[PID]],Table3[[#All],[PID]],0)))</f>
        <v>4</v>
      </c>
      <c r="N24" s="58">
        <f>IF($C24="B",INDEX(Batters[[#All],[POW P]],MATCH(Table5[[#This Row],[PID]],Batters[[#All],[PID]],0)),INDEX(Table3[[#All],[CON P]],MATCH(Table5[[#This Row],[PID]],Table3[[#All],[PID]],0)))</f>
        <v>6</v>
      </c>
      <c r="O24" s="58" t="str">
        <f>IF($C24="B",INDEX(Batters[[#All],[EYE P]],MATCH(Table5[[#This Row],[PID]],Batters[[#All],[PID]],0)),INDEX(Table3[[#All],[VELO]],MATCH(Table5[[#This Row],[PID]],Table3[[#All],[PID]],0)))</f>
        <v>97-99 Mph</v>
      </c>
      <c r="P24" s="58">
        <f>IF($C24="B",INDEX(Batters[[#All],[K P]],MATCH(Table5[[#This Row],[PID]],Batters[[#All],[PID]],0)),INDEX(Table3[[#All],[STM]],MATCH(Table5[[#This Row],[PID]],Table3[[#All],[PID]],0)))</f>
        <v>8</v>
      </c>
      <c r="Q24" s="63">
        <f>IF($C24="B",INDEX(Batters[[#All],[Tot]],MATCH(Table5[[#This Row],[PID]],Batters[[#All],[PID]],0)),INDEX(Table3[[#All],[Tot]],MATCH(Table5[[#This Row],[PID]],Table3[[#All],[PID]],0)))</f>
        <v>62.392441376910952</v>
      </c>
      <c r="R24" s="54">
        <f>IF($C24="B",INDEX(Batters[[#All],[zScore]],MATCH(Table5[[#This Row],[PID]],Batters[[#All],[PID]],0)),INDEX(Table3[[#All],[zScore]],MATCH(Table5[[#This Row],[PID]],Table3[[#All],[PID]],0)))</f>
        <v>2.7208832840048474</v>
      </c>
      <c r="S24" s="60" t="str">
        <f>IF($C24="B",INDEX(Batters[[#All],[DEM]],MATCH(Table5[[#This Row],[PID]],Batters[[#All],[PID]],0)),INDEX(Table3[[#All],[DEM]],MATCH(Table5[[#This Row],[PID]],Table3[[#All],[PID]],0)))</f>
        <v>$2.8m</v>
      </c>
      <c r="T24" s="64">
        <f>IF($C24="B",VLOOKUP($A24,Bat!$A$4:$AU$1417,46,FALSE),VLOOKUP($A24,Pit!$A$4:$BD$570,55,FALSE))</f>
        <v>0</v>
      </c>
      <c r="U24" s="52">
        <f>IF($C24="B",VLOOKUP($A24,Bat!$A$4:$BA$1417,47,FALSE),VLOOKUP($A24,Pit!$A$4:$BF$570,56,FALSE))</f>
        <v>0</v>
      </c>
      <c r="V24" s="52">
        <f>IF($C24="B",VLOOKUP($A24,Bat!$A$4:$BA$1417,48,FALSE),VLOOKUP($A24,Pit!$A$4:$BF$570,57,FALSE))</f>
        <v>0</v>
      </c>
      <c r="W24" s="52">
        <f>Table5[[#This Row],[posRnk]]+Table5[[#This Row],[zRnk]]+IF($W$3&lt;&gt;Table5[[#This Row],[Type]],50,0)</f>
        <v>70</v>
      </c>
      <c r="X24" s="53">
        <f>RANK(Table5[[#This Row],[zScore]],Table5[[#All],[zScore]])</f>
        <v>20</v>
      </c>
      <c r="Y24" s="52" t="str">
        <f>IFERROR(INDEX(DraftResults[[#All],[OVR]],MATCH(Table5[[#This Row],[PID]],DraftResults[[#All],[Player ID]],0)),"")</f>
        <v/>
      </c>
      <c r="Z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" s="52" t="str">
        <f>IFERROR(INDEX(DraftResults[[#All],[Pick in Round]],MATCH(Table5[[#This Row],[PID]],DraftResults[[#All],[Player ID]],0)),"")</f>
        <v/>
      </c>
      <c r="AB24" s="52" t="str">
        <f>IFERROR(INDEX(DraftResults[[#All],[Team Name]],MATCH(Table5[[#This Row],[PID]],DraftResults[[#All],[Player ID]],0)),"")</f>
        <v/>
      </c>
      <c r="AC24" s="52" t="str">
        <f>IF(Table5[[#This Row],[Ovr]]="","",IF(Table5[[#This Row],[cmbList]]="","",Table5[[#This Row],[cmbList]]-Table5[[#This Row],[Ovr]]))</f>
        <v/>
      </c>
      <c r="AD24" s="56" t="str">
        <f>IF(ISERROR(VLOOKUP($AB24&amp;"-"&amp;$E24&amp;" "&amp;F24,Bonuses!$B$1:$G$1006,4,FALSE)),"",INT(VLOOKUP($AB24&amp;"-"&amp;$E24&amp;" "&amp;$F24,Bonuses!$B$1:$G$1006,4,FALSE)))</f>
        <v/>
      </c>
      <c r="AE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" spans="1:31" s="52" customFormat="1" x14ac:dyDescent="0.25">
      <c r="A25" s="52">
        <v>5184</v>
      </c>
      <c r="B25" s="52">
        <f>COUNTIF(Table5[PID],A25)</f>
        <v>1</v>
      </c>
      <c r="C25" s="52" t="str">
        <f>IF(COUNTIF(Table3[[#All],[PID]],A25)&gt;0,"P","B")</f>
        <v>P</v>
      </c>
      <c r="D25" s="61" t="str">
        <f>IF($C25="B",INDEX(Batters[[#All],[POS]],MATCH(Table5[[#This Row],[PID]],Batters[[#All],[PID]],0)),INDEX(Table3[[#All],[POS]],MATCH(Table5[[#This Row],[PID]],Table3[[#All],[PID]],0)))</f>
        <v>SP</v>
      </c>
      <c r="E25" s="54" t="str">
        <f>IF($C25="B",INDEX(Batters[[#All],[First]],MATCH(Table5[[#This Row],[PID]],Batters[[#All],[PID]],0)),INDEX(Table3[[#All],[First]],MATCH(Table5[[#This Row],[PID]],Table3[[#All],[PID]],0)))</f>
        <v>Haywood</v>
      </c>
      <c r="F25" s="52" t="str">
        <f>IF($C25="B",INDEX(Batters[[#All],[Last]],MATCH(A25,Batters[[#All],[PID]],0)),INDEX(Table3[[#All],[Last]],MATCH(A25,Table3[[#All],[PID]],0)))</f>
        <v>Pierson</v>
      </c>
      <c r="G25" s="58">
        <f>IF($C25="B",INDEX(Batters[[#All],[Age]],MATCH(Table5[[#This Row],[PID]],Batters[[#All],[PID]],0)),INDEX(Table3[[#All],[Age]],MATCH(Table5[[#This Row],[PID]],Table3[[#All],[PID]],0)))</f>
        <v>18</v>
      </c>
      <c r="H25" s="54" t="str">
        <f>IF($C25="B",INDEX(Batters[[#All],[B]],MATCH(Table5[[#This Row],[PID]],Batters[[#All],[PID]],0)),INDEX(Table3[[#All],[B]],MATCH(Table5[[#This Row],[PID]],Table3[[#All],[PID]],0)))</f>
        <v>R</v>
      </c>
      <c r="I25" s="54" t="str">
        <f>IF($C25="B",INDEX(Batters[[#All],[T]],MATCH(Table5[[#This Row],[PID]],Batters[[#All],[PID]],0)),INDEX(Table3[[#All],[T]],MATCH(Table5[[#This Row],[PID]],Table3[[#All],[PID]],0)))</f>
        <v>R</v>
      </c>
      <c r="J25" s="54" t="str">
        <f>IF($C25="B",INDEX(Batters[[#All],[WE]],MATCH(Table5[[#This Row],[PID]],Batters[[#All],[PID]],0)),INDEX(Table3[[#All],[WE]],MATCH(Table5[[#This Row],[PID]],Table3[[#All],[PID]],0)))</f>
        <v>Normal</v>
      </c>
      <c r="K25" s="54" t="str">
        <f>IF($C25="B",INDEX(Batters[[#All],[INT]],MATCH(Table5[[#This Row],[PID]],Batters[[#All],[PID]],0)),INDEX(Table3[[#All],[INT]],MATCH(Table5[[#This Row],[PID]],Table3[[#All],[PID]],0)))</f>
        <v>Normal</v>
      </c>
      <c r="L25" s="62">
        <f>IF($C25="B",INDEX(Batters[[#All],[CON P]],MATCH(Table5[[#This Row],[PID]],Batters[[#All],[PID]],0)),INDEX(Table3[[#All],[STU P]],MATCH(Table5[[#This Row],[PID]],Table3[[#All],[PID]],0)))</f>
        <v>5</v>
      </c>
      <c r="M25" s="58">
        <f>IF($C25="B",INDEX(Batters[[#All],[GAP P]],MATCH(Table5[[#This Row],[PID]],Batters[[#All],[PID]],0)),INDEX(Table3[[#All],[MOV P]],MATCH(Table5[[#This Row],[PID]],Table3[[#All],[PID]],0)))</f>
        <v>4</v>
      </c>
      <c r="N25" s="58">
        <f>IF($C25="B",INDEX(Batters[[#All],[POW P]],MATCH(Table5[[#This Row],[PID]],Batters[[#All],[PID]],0)),INDEX(Table3[[#All],[CON P]],MATCH(Table5[[#This Row],[PID]],Table3[[#All],[PID]],0)))</f>
        <v>6</v>
      </c>
      <c r="O25" s="58" t="str">
        <f>IF($C25="B",INDEX(Batters[[#All],[EYE P]],MATCH(Table5[[#This Row],[PID]],Batters[[#All],[PID]],0)),INDEX(Table3[[#All],[VELO]],MATCH(Table5[[#This Row],[PID]],Table3[[#All],[PID]],0)))</f>
        <v>91-93 Mph</v>
      </c>
      <c r="P25" s="58">
        <f>IF($C25="B",INDEX(Batters[[#All],[K P]],MATCH(Table5[[#This Row],[PID]],Batters[[#All],[PID]],0)),INDEX(Table3[[#All],[STM]],MATCH(Table5[[#This Row],[PID]],Table3[[#All],[PID]],0)))</f>
        <v>7</v>
      </c>
      <c r="Q25" s="63">
        <f>IF($C25="B",INDEX(Batters[[#All],[Tot]],MATCH(Table5[[#This Row],[PID]],Batters[[#All],[PID]],0)),INDEX(Table3[[#All],[Tot]],MATCH(Table5[[#This Row],[PID]],Table3[[#All],[PID]],0)))</f>
        <v>62.310729416241031</v>
      </c>
      <c r="R25" s="54">
        <f>IF($C25="B",INDEX(Batters[[#All],[zScore]],MATCH(Table5[[#This Row],[PID]],Batters[[#All],[PID]],0)),INDEX(Table3[[#All],[zScore]],MATCH(Table5[[#This Row],[PID]],Table3[[#All],[PID]],0)))</f>
        <v>2.7133899479671557</v>
      </c>
      <c r="S25" s="60" t="str">
        <f>IF($C25="B",INDEX(Batters[[#All],[DEM]],MATCH(Table5[[#This Row],[PID]],Batters[[#All],[PID]],0)),INDEX(Table3[[#All],[DEM]],MATCH(Table5[[#This Row],[PID]],Table3[[#All],[PID]],0)))</f>
        <v>$3.2m</v>
      </c>
      <c r="T25" s="64">
        <f>IF($C25="B",VLOOKUP($A25,Bat!$A$4:$AU$1417,46,FALSE),VLOOKUP($A25,Pit!$A$4:$BD$570,55,FALSE))</f>
        <v>0</v>
      </c>
      <c r="U25" s="52">
        <f>IF($C25="B",VLOOKUP($A25,Bat!$A$4:$BA$1417,47,FALSE),VLOOKUP($A25,Pit!$A$4:$BF$570,56,FALSE))</f>
        <v>0</v>
      </c>
      <c r="V25" s="52">
        <f>IF($C25="B",VLOOKUP($A25,Bat!$A$4:$BA$1417,48,FALSE),VLOOKUP($A25,Pit!$A$4:$BF$570,57,FALSE))</f>
        <v>0</v>
      </c>
      <c r="W25" s="52">
        <f>Table5[[#This Row],[posRnk]]+Table5[[#This Row],[zRnk]]+IF($W$3&lt;&gt;Table5[[#This Row],[Type]],50,0)</f>
        <v>71</v>
      </c>
      <c r="X25" s="53">
        <f>RANK(Table5[[#This Row],[zScore]],Table5[[#All],[zScore]])</f>
        <v>21</v>
      </c>
      <c r="Y25" s="52" t="str">
        <f>IFERROR(INDEX(DraftResults[[#All],[OVR]],MATCH(Table5[[#This Row],[PID]],DraftResults[[#All],[Player ID]],0)),"")</f>
        <v/>
      </c>
      <c r="Z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" s="52" t="str">
        <f>IFERROR(INDEX(DraftResults[[#All],[Pick in Round]],MATCH(Table5[[#This Row],[PID]],DraftResults[[#All],[Player ID]],0)),"")</f>
        <v/>
      </c>
      <c r="AB25" s="52" t="str">
        <f>IFERROR(INDEX(DraftResults[[#All],[Team Name]],MATCH(Table5[[#This Row],[PID]],DraftResults[[#All],[Player ID]],0)),"")</f>
        <v/>
      </c>
      <c r="AC25" s="52" t="str">
        <f>IF(Table5[[#This Row],[Ovr]]="","",IF(Table5[[#This Row],[cmbList]]="","",Table5[[#This Row],[cmbList]]-Table5[[#This Row],[Ovr]]))</f>
        <v/>
      </c>
      <c r="AD25" s="56" t="str">
        <f>IF(ISERROR(VLOOKUP($AB25&amp;"-"&amp;$E25&amp;" "&amp;F25,Bonuses!$B$1:$G$1006,4,FALSE)),"",INT(VLOOKUP($AB25&amp;"-"&amp;$E25&amp;" "&amp;$F25,Bonuses!$B$1:$G$1006,4,FALSE)))</f>
        <v/>
      </c>
      <c r="AE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" spans="1:31" s="52" customFormat="1" x14ac:dyDescent="0.25">
      <c r="A26" s="52">
        <v>8994</v>
      </c>
      <c r="B26" s="52">
        <f>COUNTIF(Table5[PID],A26)</f>
        <v>1</v>
      </c>
      <c r="C26" s="52" t="str">
        <f>IF(COUNTIF(Table3[[#All],[PID]],A26)&gt;0,"P","B")</f>
        <v>P</v>
      </c>
      <c r="D26" s="61" t="str">
        <f>IF($C26="B",INDEX(Batters[[#All],[POS]],MATCH(Table5[[#This Row],[PID]],Batters[[#All],[PID]],0)),INDEX(Table3[[#All],[POS]],MATCH(Table5[[#This Row],[PID]],Table3[[#All],[PID]],0)))</f>
        <v>CL</v>
      </c>
      <c r="E26" s="54" t="str">
        <f>IF($C26="B",INDEX(Batters[[#All],[First]],MATCH(Table5[[#This Row],[PID]],Batters[[#All],[PID]],0)),INDEX(Table3[[#All],[First]],MATCH(Table5[[#This Row],[PID]],Table3[[#All],[PID]],0)))</f>
        <v>José</v>
      </c>
      <c r="F26" s="52" t="str">
        <f>IF($C26="B",INDEX(Batters[[#All],[Last]],MATCH(A26,Batters[[#All],[PID]],0)),INDEX(Table3[[#All],[Last]],MATCH(A26,Table3[[#All],[PID]],0)))</f>
        <v>Montaño</v>
      </c>
      <c r="G26" s="58">
        <f>IF($C26="B",INDEX(Batters[[#All],[Age]],MATCH(Table5[[#This Row],[PID]],Batters[[#All],[PID]],0)),INDEX(Table3[[#All],[Age]],MATCH(Table5[[#This Row],[PID]],Table3[[#All],[PID]],0)))</f>
        <v>18</v>
      </c>
      <c r="H26" s="54" t="str">
        <f>IF($C26="B",INDEX(Batters[[#All],[B]],MATCH(Table5[[#This Row],[PID]],Batters[[#All],[PID]],0)),INDEX(Table3[[#All],[B]],MATCH(Table5[[#This Row],[PID]],Table3[[#All],[PID]],0)))</f>
        <v>L</v>
      </c>
      <c r="I26" s="54" t="str">
        <f>IF($C26="B",INDEX(Batters[[#All],[T]],MATCH(Table5[[#This Row],[PID]],Batters[[#All],[PID]],0)),INDEX(Table3[[#All],[T]],MATCH(Table5[[#This Row],[PID]],Table3[[#All],[PID]],0)))</f>
        <v>L</v>
      </c>
      <c r="J26" s="54" t="str">
        <f>IF($C26="B",INDEX(Batters[[#All],[WE]],MATCH(Table5[[#This Row],[PID]],Batters[[#All],[PID]],0)),INDEX(Table3[[#All],[WE]],MATCH(Table5[[#This Row],[PID]],Table3[[#All],[PID]],0)))</f>
        <v>Normal</v>
      </c>
      <c r="K26" s="54" t="str">
        <f>IF($C26="B",INDEX(Batters[[#All],[INT]],MATCH(Table5[[#This Row],[PID]],Batters[[#All],[PID]],0)),INDEX(Table3[[#All],[INT]],MATCH(Table5[[#This Row],[PID]],Table3[[#All],[PID]],0)))</f>
        <v>Normal</v>
      </c>
      <c r="L26" s="62">
        <f>IF($C26="B",INDEX(Batters[[#All],[CON P]],MATCH(Table5[[#This Row],[PID]],Batters[[#All],[PID]],0)),INDEX(Table3[[#All],[STU P]],MATCH(Table5[[#This Row],[PID]],Table3[[#All],[PID]],0)))</f>
        <v>6</v>
      </c>
      <c r="M26" s="58">
        <f>IF($C26="B",INDEX(Batters[[#All],[GAP P]],MATCH(Table5[[#This Row],[PID]],Batters[[#All],[PID]],0)),INDEX(Table3[[#All],[MOV P]],MATCH(Table5[[#This Row],[PID]],Table3[[#All],[PID]],0)))</f>
        <v>5</v>
      </c>
      <c r="N26" s="58">
        <f>IF($C26="B",INDEX(Batters[[#All],[POW P]],MATCH(Table5[[#This Row],[PID]],Batters[[#All],[PID]],0)),INDEX(Table3[[#All],[CON P]],MATCH(Table5[[#This Row],[PID]],Table3[[#All],[PID]],0)))</f>
        <v>5</v>
      </c>
      <c r="O26" s="58" t="str">
        <f>IF($C26="B",INDEX(Batters[[#All],[EYE P]],MATCH(Table5[[#This Row],[PID]],Batters[[#All],[PID]],0)),INDEX(Table3[[#All],[VELO]],MATCH(Table5[[#This Row],[PID]],Table3[[#All],[PID]],0)))</f>
        <v>91-93 Mph</v>
      </c>
      <c r="P26" s="58">
        <f>IF($C26="B",INDEX(Batters[[#All],[K P]],MATCH(Table5[[#This Row],[PID]],Batters[[#All],[PID]],0)),INDEX(Table3[[#All],[STM]],MATCH(Table5[[#This Row],[PID]],Table3[[#All],[PID]],0)))</f>
        <v>4</v>
      </c>
      <c r="Q26" s="63">
        <f>IF($C26="B",INDEX(Batters[[#All],[Tot]],MATCH(Table5[[#This Row],[PID]],Batters[[#All],[PID]],0)),INDEX(Table3[[#All],[Tot]],MATCH(Table5[[#This Row],[PID]],Table3[[#All],[PID]],0)))</f>
        <v>62.307931319902977</v>
      </c>
      <c r="R26" s="54">
        <f>IF($C26="B",INDEX(Batters[[#All],[zScore]],MATCH(Table5[[#This Row],[PID]],Batters[[#All],[PID]],0)),INDEX(Table3[[#All],[zScore]],MATCH(Table5[[#This Row],[PID]],Table3[[#All],[PID]],0)))</f>
        <v>2.7131333505736412</v>
      </c>
      <c r="S26" s="60" t="str">
        <f>IF($C26="B",INDEX(Batters[[#All],[DEM]],MATCH(Table5[[#This Row],[PID]],Batters[[#All],[PID]],0)),INDEX(Table3[[#All],[DEM]],MATCH(Table5[[#This Row],[PID]],Table3[[#All],[PID]],0)))</f>
        <v>$200k</v>
      </c>
      <c r="T26" s="64">
        <f>IF($C26="B",VLOOKUP($A26,Bat!$A$4:$AU$1417,46,FALSE),VLOOKUP($A26,Pit!$A$4:$BD$570,55,FALSE))</f>
        <v>0</v>
      </c>
      <c r="U26" s="52">
        <f>IF($C26="B",VLOOKUP($A26,Bat!$A$4:$BA$1417,47,FALSE),VLOOKUP($A26,Pit!$A$4:$BF$570,56,FALSE))</f>
        <v>0</v>
      </c>
      <c r="V26" s="52">
        <f>IF($C26="B",VLOOKUP($A26,Bat!$A$4:$BA$1417,48,FALSE),VLOOKUP($A26,Pit!$A$4:$BF$570,57,FALSE))</f>
        <v>0</v>
      </c>
      <c r="W26" s="52">
        <f>Table5[[#This Row],[posRnk]]+Table5[[#This Row],[zRnk]]+IF($W$3&lt;&gt;Table5[[#This Row],[Type]],50,0)</f>
        <v>72</v>
      </c>
      <c r="X26" s="53">
        <f>RANK(Table5[[#This Row],[zScore]],Table5[[#All],[zScore]])</f>
        <v>22</v>
      </c>
      <c r="Y26" s="52" t="str">
        <f>IFERROR(INDEX(DraftResults[[#All],[OVR]],MATCH(Table5[[#This Row],[PID]],DraftResults[[#All],[Player ID]],0)),"")</f>
        <v/>
      </c>
      <c r="Z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" s="52" t="str">
        <f>IFERROR(INDEX(DraftResults[[#All],[Pick in Round]],MATCH(Table5[[#This Row],[PID]],DraftResults[[#All],[Player ID]],0)),"")</f>
        <v/>
      </c>
      <c r="AB26" s="52" t="str">
        <f>IFERROR(INDEX(DraftResults[[#All],[Team Name]],MATCH(Table5[[#This Row],[PID]],DraftResults[[#All],[Player ID]],0)),"")</f>
        <v/>
      </c>
      <c r="AC26" s="52" t="str">
        <f>IF(Table5[[#This Row],[Ovr]]="","",IF(Table5[[#This Row],[cmbList]]="","",Table5[[#This Row],[cmbList]]-Table5[[#This Row],[Ovr]]))</f>
        <v/>
      </c>
      <c r="AD26" s="56" t="str">
        <f>IF(ISERROR(VLOOKUP($AB26&amp;"-"&amp;$E26&amp;" "&amp;F26,Bonuses!$B$1:$G$1006,4,FALSE)),"",INT(VLOOKUP($AB26&amp;"-"&amp;$E26&amp;" "&amp;$F26,Bonuses!$B$1:$G$1006,4,FALSE)))</f>
        <v/>
      </c>
      <c r="AE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" spans="1:31" s="52" customFormat="1" x14ac:dyDescent="0.25">
      <c r="A27" s="52">
        <v>16292</v>
      </c>
      <c r="B27" s="52">
        <f>COUNTIF(Table5[PID],A27)</f>
        <v>1</v>
      </c>
      <c r="C27" s="52" t="str">
        <f>IF(COUNTIF(Table3[[#All],[PID]],A27)&gt;0,"P","B")</f>
        <v>P</v>
      </c>
      <c r="D27" s="61" t="str">
        <f>IF($C27="B",INDEX(Batters[[#All],[POS]],MATCH(Table5[[#This Row],[PID]],Batters[[#All],[PID]],0)),INDEX(Table3[[#All],[POS]],MATCH(Table5[[#This Row],[PID]],Table3[[#All],[PID]],0)))</f>
        <v>SP</v>
      </c>
      <c r="E27" s="54" t="str">
        <f>IF($C27="B",INDEX(Batters[[#All],[First]],MATCH(Table5[[#This Row],[PID]],Batters[[#All],[PID]],0)),INDEX(Table3[[#All],[First]],MATCH(Table5[[#This Row],[PID]],Table3[[#All],[PID]],0)))</f>
        <v>Iemitsu</v>
      </c>
      <c r="F27" s="52" t="str">
        <f>IF($C27="B",INDEX(Batters[[#All],[Last]],MATCH(A27,Batters[[#All],[PID]],0)),INDEX(Table3[[#All],[Last]],MATCH(A27,Table3[[#All],[PID]],0)))</f>
        <v>Kato</v>
      </c>
      <c r="G27" s="58">
        <f>IF($C27="B",INDEX(Batters[[#All],[Age]],MATCH(Table5[[#This Row],[PID]],Batters[[#All],[PID]],0)),INDEX(Table3[[#All],[Age]],MATCH(Table5[[#This Row],[PID]],Table3[[#All],[PID]],0)))</f>
        <v>17</v>
      </c>
      <c r="H27" s="54" t="str">
        <f>IF($C27="B",INDEX(Batters[[#All],[B]],MATCH(Table5[[#This Row],[PID]],Batters[[#All],[PID]],0)),INDEX(Table3[[#All],[B]],MATCH(Table5[[#This Row],[PID]],Table3[[#All],[PID]],0)))</f>
        <v>L</v>
      </c>
      <c r="I27" s="54" t="str">
        <f>IF($C27="B",INDEX(Batters[[#All],[T]],MATCH(Table5[[#This Row],[PID]],Batters[[#All],[PID]],0)),INDEX(Table3[[#All],[T]],MATCH(Table5[[#This Row],[PID]],Table3[[#All],[PID]],0)))</f>
        <v>R</v>
      </c>
      <c r="J27" s="54" t="str">
        <f>IF($C27="B",INDEX(Batters[[#All],[WE]],MATCH(Table5[[#This Row],[PID]],Batters[[#All],[PID]],0)),INDEX(Table3[[#All],[WE]],MATCH(Table5[[#This Row],[PID]],Table3[[#All],[PID]],0)))</f>
        <v>High</v>
      </c>
      <c r="K27" s="54" t="str">
        <f>IF($C27="B",INDEX(Batters[[#All],[INT]],MATCH(Table5[[#This Row],[PID]],Batters[[#All],[PID]],0)),INDEX(Table3[[#All],[INT]],MATCH(Table5[[#This Row],[PID]],Table3[[#All],[PID]],0)))</f>
        <v>Normal</v>
      </c>
      <c r="L27" s="62">
        <f>IF($C27="B",INDEX(Batters[[#All],[CON P]],MATCH(Table5[[#This Row],[PID]],Batters[[#All],[PID]],0)),INDEX(Table3[[#All],[STU P]],MATCH(Table5[[#This Row],[PID]],Table3[[#All],[PID]],0)))</f>
        <v>4</v>
      </c>
      <c r="M27" s="58">
        <f>IF($C27="B",INDEX(Batters[[#All],[GAP P]],MATCH(Table5[[#This Row],[PID]],Batters[[#All],[PID]],0)),INDEX(Table3[[#All],[MOV P]],MATCH(Table5[[#This Row],[PID]],Table3[[#All],[PID]],0)))</f>
        <v>5</v>
      </c>
      <c r="N27" s="58">
        <f>IF($C27="B",INDEX(Batters[[#All],[POW P]],MATCH(Table5[[#This Row],[PID]],Batters[[#All],[PID]],0)),INDEX(Table3[[#All],[CON P]],MATCH(Table5[[#This Row],[PID]],Table3[[#All],[PID]],0)))</f>
        <v>6</v>
      </c>
      <c r="O27" s="58" t="str">
        <f>IF($C27="B",INDEX(Batters[[#All],[EYE P]],MATCH(Table5[[#This Row],[PID]],Batters[[#All],[PID]],0)),INDEX(Table3[[#All],[VELO]],MATCH(Table5[[#This Row],[PID]],Table3[[#All],[PID]],0)))</f>
        <v>87-89 Mph</v>
      </c>
      <c r="P27" s="58">
        <f>IF($C27="B",INDEX(Batters[[#All],[K P]],MATCH(Table5[[#This Row],[PID]],Batters[[#All],[PID]],0)),INDEX(Table3[[#All],[STM]],MATCH(Table5[[#This Row],[PID]],Table3[[#All],[PID]],0)))</f>
        <v>8</v>
      </c>
      <c r="Q27" s="63">
        <f>IF($C27="B",INDEX(Batters[[#All],[Tot]],MATCH(Table5[[#This Row],[PID]],Batters[[#All],[PID]],0)),INDEX(Table3[[#All],[Tot]],MATCH(Table5[[#This Row],[PID]],Table3[[#All],[PID]],0)))</f>
        <v>62.275537254658673</v>
      </c>
      <c r="R27" s="54">
        <f>IF($C27="B",INDEX(Batters[[#All],[zScore]],MATCH(Table5[[#This Row],[PID]],Batters[[#All],[PID]],0)),INDEX(Table3[[#All],[zScore]],MATCH(Table5[[#This Row],[PID]],Table3[[#All],[PID]],0)))</f>
        <v>2.7101626763355937</v>
      </c>
      <c r="S27" s="60" t="str">
        <f>IF($C27="B",INDEX(Batters[[#All],[DEM]],MATCH(Table5[[#This Row],[PID]],Batters[[#All],[PID]],0)),INDEX(Table3[[#All],[DEM]],MATCH(Table5[[#This Row],[PID]],Table3[[#All],[PID]],0)))</f>
        <v>$200k</v>
      </c>
      <c r="T27" s="64">
        <f>IF($C27="B",VLOOKUP($A27,Bat!$A$4:$AU$1417,46,FALSE),VLOOKUP($A27,Pit!$A$4:$BD$570,55,FALSE))</f>
        <v>0</v>
      </c>
      <c r="U27" s="52">
        <f>IF($C27="B",VLOOKUP($A27,Bat!$A$4:$BA$1417,47,FALSE),VLOOKUP($A27,Pit!$A$4:$BF$570,56,FALSE))</f>
        <v>0</v>
      </c>
      <c r="V27" s="52">
        <f>IF($C27="B",VLOOKUP($A27,Bat!$A$4:$BA$1417,48,FALSE),VLOOKUP($A27,Pit!$A$4:$BF$570,57,FALSE))</f>
        <v>0</v>
      </c>
      <c r="W27" s="52">
        <f>Table5[[#This Row],[posRnk]]+Table5[[#This Row],[zRnk]]+IF($W$3&lt;&gt;Table5[[#This Row],[Type]],50,0)</f>
        <v>73</v>
      </c>
      <c r="X27" s="53">
        <f>RANK(Table5[[#This Row],[zScore]],Table5[[#All],[zScore]])</f>
        <v>23</v>
      </c>
      <c r="Y27" s="52" t="str">
        <f>IFERROR(INDEX(DraftResults[[#All],[OVR]],MATCH(Table5[[#This Row],[PID]],DraftResults[[#All],[Player ID]],0)),"")</f>
        <v/>
      </c>
      <c r="Z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" s="52" t="str">
        <f>IFERROR(INDEX(DraftResults[[#All],[Pick in Round]],MATCH(Table5[[#This Row],[PID]],DraftResults[[#All],[Player ID]],0)),"")</f>
        <v/>
      </c>
      <c r="AB27" s="52" t="str">
        <f>IFERROR(INDEX(DraftResults[[#All],[Team Name]],MATCH(Table5[[#This Row],[PID]],DraftResults[[#All],[Player ID]],0)),"")</f>
        <v/>
      </c>
      <c r="AC27" s="52" t="str">
        <f>IF(Table5[[#This Row],[Ovr]]="","",IF(Table5[[#This Row],[cmbList]]="","",Table5[[#This Row],[cmbList]]-Table5[[#This Row],[Ovr]]))</f>
        <v/>
      </c>
      <c r="AD27" s="56" t="str">
        <f>IF(ISERROR(VLOOKUP($AB27&amp;"-"&amp;$E27&amp;" "&amp;F27,Bonuses!$B$1:$G$1006,4,FALSE)),"",INT(VLOOKUP($AB27&amp;"-"&amp;$E27&amp;" "&amp;$F27,Bonuses!$B$1:$G$1006,4,FALSE)))</f>
        <v/>
      </c>
      <c r="AE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" spans="1:31" s="52" customFormat="1" x14ac:dyDescent="0.25">
      <c r="A28" s="52">
        <v>6723</v>
      </c>
      <c r="B28" s="52">
        <f>COUNTIF(Table5[PID],A28)</f>
        <v>1</v>
      </c>
      <c r="C28" s="52" t="str">
        <f>IF(COUNTIF(Table3[[#All],[PID]],A28)&gt;0,"P","B")</f>
        <v>B</v>
      </c>
      <c r="D28" s="61" t="str">
        <f>IF($C28="B",INDEX(Batters[[#All],[POS]],MATCH(Table5[[#This Row],[PID]],Batters[[#All],[PID]],0)),INDEX(Table3[[#All],[POS]],MATCH(Table5[[#This Row],[PID]],Table3[[#All],[PID]],0)))</f>
        <v>LF</v>
      </c>
      <c r="E28" s="54" t="str">
        <f>IF($C28="B",INDEX(Batters[[#All],[First]],MATCH(Table5[[#This Row],[PID]],Batters[[#All],[PID]],0)),INDEX(Table3[[#All],[First]],MATCH(Table5[[#This Row],[PID]],Table3[[#All],[PID]],0)))</f>
        <v>Jordan</v>
      </c>
      <c r="F28" s="52" t="str">
        <f>IF($C28="B",INDEX(Batters[[#All],[Last]],MATCH(A28,Batters[[#All],[PID]],0)),INDEX(Table3[[#All],[Last]],MATCH(A28,Table3[[#All],[PID]],0)))</f>
        <v>MacNeil</v>
      </c>
      <c r="G28" s="58">
        <f>IF($C28="B",INDEX(Batters[[#All],[Age]],MATCH(Table5[[#This Row],[PID]],Batters[[#All],[PID]],0)),INDEX(Table3[[#All],[Age]],MATCH(Table5[[#This Row],[PID]],Table3[[#All],[PID]],0)))</f>
        <v>21</v>
      </c>
      <c r="H28" s="54" t="str">
        <f>IF($C28="B",INDEX(Batters[[#All],[B]],MATCH(Table5[[#This Row],[PID]],Batters[[#All],[PID]],0)),INDEX(Table3[[#All],[B]],MATCH(Table5[[#This Row],[PID]],Table3[[#All],[PID]],0)))</f>
        <v>R</v>
      </c>
      <c r="I28" s="54" t="str">
        <f>IF($C28="B",INDEX(Batters[[#All],[T]],MATCH(Table5[[#This Row],[PID]],Batters[[#All],[PID]],0)),INDEX(Table3[[#All],[T]],MATCH(Table5[[#This Row],[PID]],Table3[[#All],[PID]],0)))</f>
        <v>R</v>
      </c>
      <c r="J28" s="54" t="str">
        <f>IF($C28="B",INDEX(Batters[[#All],[WE]],MATCH(Table5[[#This Row],[PID]],Batters[[#All],[PID]],0)),INDEX(Table3[[#All],[WE]],MATCH(Table5[[#This Row],[PID]],Table3[[#All],[PID]],0)))</f>
        <v>Normal</v>
      </c>
      <c r="K28" s="54" t="str">
        <f>IF($C28="B",INDEX(Batters[[#All],[INT]],MATCH(Table5[[#This Row],[PID]],Batters[[#All],[PID]],0)),INDEX(Table3[[#All],[INT]],MATCH(Table5[[#This Row],[PID]],Table3[[#All],[PID]],0)))</f>
        <v>Normal</v>
      </c>
      <c r="L28" s="62">
        <f>IF($C28="B",INDEX(Batters[[#All],[CON P]],MATCH(Table5[[#This Row],[PID]],Batters[[#All],[PID]],0)),INDEX(Table3[[#All],[STU P]],MATCH(Table5[[#This Row],[PID]],Table3[[#All],[PID]],0)))</f>
        <v>6</v>
      </c>
      <c r="M28" s="58">
        <f>IF($C28="B",INDEX(Batters[[#All],[GAP P]],MATCH(Table5[[#This Row],[PID]],Batters[[#All],[PID]],0)),INDEX(Table3[[#All],[MOV P]],MATCH(Table5[[#This Row],[PID]],Table3[[#All],[PID]],0)))</f>
        <v>7</v>
      </c>
      <c r="N28" s="58">
        <f>IF($C28="B",INDEX(Batters[[#All],[POW P]],MATCH(Table5[[#This Row],[PID]],Batters[[#All],[PID]],0)),INDEX(Table3[[#All],[CON P]],MATCH(Table5[[#This Row],[PID]],Table3[[#All],[PID]],0)))</f>
        <v>7</v>
      </c>
      <c r="O28" s="58">
        <f>IF($C28="B",INDEX(Batters[[#All],[EYE P]],MATCH(Table5[[#This Row],[PID]],Batters[[#All],[PID]],0)),INDEX(Table3[[#All],[VELO]],MATCH(Table5[[#This Row],[PID]],Table3[[#All],[PID]],0)))</f>
        <v>5</v>
      </c>
      <c r="P28" s="58">
        <f>IF($C28="B",INDEX(Batters[[#All],[K P]],MATCH(Table5[[#This Row],[PID]],Batters[[#All],[PID]],0)),INDEX(Table3[[#All],[STM]],MATCH(Table5[[#This Row],[PID]],Table3[[#All],[PID]],0)))</f>
        <v>6</v>
      </c>
      <c r="Q28" s="63">
        <f>IF($C28="B",INDEX(Batters[[#All],[Tot]],MATCH(Table5[[#This Row],[PID]],Batters[[#All],[PID]],0)),INDEX(Table3[[#All],[Tot]],MATCH(Table5[[#This Row],[PID]],Table3[[#All],[PID]],0)))</f>
        <v>55.686707870806352</v>
      </c>
      <c r="R28" s="54">
        <f>IF($C28="B",INDEX(Batters[[#All],[zScore]],MATCH(Table5[[#This Row],[PID]],Batters[[#All],[PID]],0)),INDEX(Table3[[#All],[zScore]],MATCH(Table5[[#This Row],[PID]],Table3[[#All],[PID]],0)))</f>
        <v>2.6987001831373734</v>
      </c>
      <c r="S28" s="60" t="str">
        <f>IF($C28="B",INDEX(Batters[[#All],[DEM]],MATCH(Table5[[#This Row],[PID]],Batters[[#All],[PID]],0)),INDEX(Table3[[#All],[DEM]],MATCH(Table5[[#This Row],[PID]],Table3[[#All],[PID]],0)))</f>
        <v>$1.6m</v>
      </c>
      <c r="T28" s="64">
        <f>IF($C28="B",VLOOKUP($A28,Bat!$A$4:$AU$1417,46,FALSE),VLOOKUP($A28,Pit!$A$4:$BD$570,55,FALSE))</f>
        <v>0</v>
      </c>
      <c r="U28" s="52">
        <f>IF($C28="B",VLOOKUP($A28,Bat!$A$4:$BA$1417,47,FALSE),VLOOKUP($A28,Pit!$A$4:$BF$570,56,FALSE))</f>
        <v>0</v>
      </c>
      <c r="V28" s="52">
        <f>IF($C28="B",VLOOKUP($A28,Bat!$A$4:$BA$1417,48,FALSE),VLOOKUP($A28,Pit!$A$4:$BF$570,57,FALSE))</f>
        <v>0</v>
      </c>
      <c r="W28" s="52">
        <f>Table5[[#This Row],[posRnk]]+Table5[[#This Row],[zRnk]]+IF($W$3&lt;&gt;Table5[[#This Row],[Type]],50,0)</f>
        <v>74</v>
      </c>
      <c r="X28" s="53">
        <f>RANK(Table5[[#This Row],[zScore]],Table5[[#All],[zScore]])</f>
        <v>24</v>
      </c>
      <c r="Y28" s="52" t="str">
        <f>IFERROR(INDEX(DraftResults[[#All],[OVR]],MATCH(Table5[[#This Row],[PID]],DraftResults[[#All],[Player ID]],0)),"")</f>
        <v/>
      </c>
      <c r="Z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" s="52" t="str">
        <f>IFERROR(INDEX(DraftResults[[#All],[Pick in Round]],MATCH(Table5[[#This Row],[PID]],DraftResults[[#All],[Player ID]],0)),"")</f>
        <v/>
      </c>
      <c r="AB28" s="52" t="str">
        <f>IFERROR(INDEX(DraftResults[[#All],[Team Name]],MATCH(Table5[[#This Row],[PID]],DraftResults[[#All],[Player ID]],0)),"")</f>
        <v/>
      </c>
      <c r="AC28" s="52" t="str">
        <f>IF(Table5[[#This Row],[Ovr]]="","",IF(Table5[[#This Row],[cmbList]]="","",Table5[[#This Row],[cmbList]]-Table5[[#This Row],[Ovr]]))</f>
        <v/>
      </c>
      <c r="AD28" s="56" t="str">
        <f>IF(ISERROR(VLOOKUP($AB28&amp;"-"&amp;$E28&amp;" "&amp;F28,Bonuses!$B$1:$G$1006,4,FALSE)),"",INT(VLOOKUP($AB28&amp;"-"&amp;$E28&amp;" "&amp;$F28,Bonuses!$B$1:$G$1006,4,FALSE)))</f>
        <v/>
      </c>
      <c r="AE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" spans="1:31" s="52" customFormat="1" x14ac:dyDescent="0.25">
      <c r="A29" s="52">
        <v>7249</v>
      </c>
      <c r="B29" s="52">
        <f>COUNTIF(Table5[PID],A29)</f>
        <v>1</v>
      </c>
      <c r="C29" s="52" t="str">
        <f>IF(COUNTIF(Table3[[#All],[PID]],A29)&gt;0,"P","B")</f>
        <v>B</v>
      </c>
      <c r="D29" s="61" t="str">
        <f>IF($C29="B",INDEX(Batters[[#All],[POS]],MATCH(Table5[[#This Row],[PID]],Batters[[#All],[PID]],0)),INDEX(Table3[[#All],[POS]],MATCH(Table5[[#This Row],[PID]],Table3[[#All],[PID]],0)))</f>
        <v>3B</v>
      </c>
      <c r="E29" s="54" t="str">
        <f>IF($C29="B",INDEX(Batters[[#All],[First]],MATCH(Table5[[#This Row],[PID]],Batters[[#All],[PID]],0)),INDEX(Table3[[#All],[First]],MATCH(Table5[[#This Row],[PID]],Table3[[#All],[PID]],0)))</f>
        <v>Rien</v>
      </c>
      <c r="F29" s="52" t="str">
        <f>IF($C29="B",INDEX(Batters[[#All],[Last]],MATCH(A29,Batters[[#All],[PID]],0)),INDEX(Table3[[#All],[Last]],MATCH(A29,Table3[[#All],[PID]],0)))</f>
        <v>Leeuwenburgh</v>
      </c>
      <c r="G29" s="58">
        <f>IF($C29="B",INDEX(Batters[[#All],[Age]],MATCH(Table5[[#This Row],[PID]],Batters[[#All],[PID]],0)),INDEX(Table3[[#All],[Age]],MATCH(Table5[[#This Row],[PID]],Table3[[#All],[PID]],0)))</f>
        <v>21</v>
      </c>
      <c r="H29" s="54" t="str">
        <f>IF($C29="B",INDEX(Batters[[#All],[B]],MATCH(Table5[[#This Row],[PID]],Batters[[#All],[PID]],0)),INDEX(Table3[[#All],[B]],MATCH(Table5[[#This Row],[PID]],Table3[[#All],[PID]],0)))</f>
        <v>R</v>
      </c>
      <c r="I29" s="54" t="str">
        <f>IF($C29="B",INDEX(Batters[[#All],[T]],MATCH(Table5[[#This Row],[PID]],Batters[[#All],[PID]],0)),INDEX(Table3[[#All],[T]],MATCH(Table5[[#This Row],[PID]],Table3[[#All],[PID]],0)))</f>
        <v>R</v>
      </c>
      <c r="J29" s="54" t="str">
        <f>IF($C29="B",INDEX(Batters[[#All],[WE]],MATCH(Table5[[#This Row],[PID]],Batters[[#All],[PID]],0)),INDEX(Table3[[#All],[WE]],MATCH(Table5[[#This Row],[PID]],Table3[[#All],[PID]],0)))</f>
        <v>Low</v>
      </c>
      <c r="K29" s="54" t="str">
        <f>IF($C29="B",INDEX(Batters[[#All],[INT]],MATCH(Table5[[#This Row],[PID]],Batters[[#All],[PID]],0)),INDEX(Table3[[#All],[INT]],MATCH(Table5[[#This Row],[PID]],Table3[[#All],[PID]],0)))</f>
        <v>Normal</v>
      </c>
      <c r="L29" s="62">
        <f>IF($C29="B",INDEX(Batters[[#All],[CON P]],MATCH(Table5[[#This Row],[PID]],Batters[[#All],[PID]],0)),INDEX(Table3[[#All],[STU P]],MATCH(Table5[[#This Row],[PID]],Table3[[#All],[PID]],0)))</f>
        <v>6</v>
      </c>
      <c r="M29" s="58">
        <f>IF($C29="B",INDEX(Batters[[#All],[GAP P]],MATCH(Table5[[#This Row],[PID]],Batters[[#All],[PID]],0)),INDEX(Table3[[#All],[MOV P]],MATCH(Table5[[#This Row],[PID]],Table3[[#All],[PID]],0)))</f>
        <v>8</v>
      </c>
      <c r="N29" s="58">
        <f>IF($C29="B",INDEX(Batters[[#All],[POW P]],MATCH(Table5[[#This Row],[PID]],Batters[[#All],[PID]],0)),INDEX(Table3[[#All],[CON P]],MATCH(Table5[[#This Row],[PID]],Table3[[#All],[PID]],0)))</f>
        <v>6</v>
      </c>
      <c r="O29" s="58">
        <f>IF($C29="B",INDEX(Batters[[#All],[EYE P]],MATCH(Table5[[#This Row],[PID]],Batters[[#All],[PID]],0)),INDEX(Table3[[#All],[VELO]],MATCH(Table5[[#This Row],[PID]],Table3[[#All],[PID]],0)))</f>
        <v>5</v>
      </c>
      <c r="P29" s="58">
        <f>IF($C29="B",INDEX(Batters[[#All],[K P]],MATCH(Table5[[#This Row],[PID]],Batters[[#All],[PID]],0)),INDEX(Table3[[#All],[STM]],MATCH(Table5[[#This Row],[PID]],Table3[[#All],[PID]],0)))</f>
        <v>6</v>
      </c>
      <c r="Q29" s="63">
        <f>IF($C29="B",INDEX(Batters[[#All],[Tot]],MATCH(Table5[[#This Row],[PID]],Batters[[#All],[PID]],0)),INDEX(Table3[[#All],[Tot]],MATCH(Table5[[#This Row],[PID]],Table3[[#All],[PID]],0)))</f>
        <v>55.598823530904887</v>
      </c>
      <c r="R29" s="54">
        <f>IF($C29="B",INDEX(Batters[[#All],[zScore]],MATCH(Table5[[#This Row],[PID]],Batters[[#All],[PID]],0)),INDEX(Table3[[#All],[zScore]],MATCH(Table5[[#This Row],[PID]],Table3[[#All],[PID]],0)))</f>
        <v>2.6832375176376959</v>
      </c>
      <c r="S29" s="60" t="str">
        <f>IF($C29="B",INDEX(Batters[[#All],[DEM]],MATCH(Table5[[#This Row],[PID]],Batters[[#All],[PID]],0)),INDEX(Table3[[#All],[DEM]],MATCH(Table5[[#This Row],[PID]],Table3[[#All],[PID]],0)))</f>
        <v>$3.0m</v>
      </c>
      <c r="T29" s="64">
        <f>IF($C29="B",VLOOKUP($A29,Bat!$A$4:$AU$1417,46,FALSE),VLOOKUP($A29,Pit!$A$4:$BD$570,55,FALSE))</f>
        <v>0</v>
      </c>
      <c r="U29" s="52">
        <f>IF($C29="B",VLOOKUP($A29,Bat!$A$4:$BA$1417,47,FALSE),VLOOKUP($A29,Pit!$A$4:$BF$570,56,FALSE))</f>
        <v>0</v>
      </c>
      <c r="V29" s="52">
        <f>IF($C29="B",VLOOKUP($A29,Bat!$A$4:$BA$1417,48,FALSE),VLOOKUP($A29,Pit!$A$4:$BF$570,57,FALSE))</f>
        <v>0</v>
      </c>
      <c r="W29" s="52">
        <f>Table5[[#This Row],[posRnk]]+Table5[[#This Row],[zRnk]]+IF($W$3&lt;&gt;Table5[[#This Row],[Type]],50,0)</f>
        <v>75</v>
      </c>
      <c r="X29" s="53">
        <f>RANK(Table5[[#This Row],[zScore]],Table5[[#All],[zScore]])</f>
        <v>25</v>
      </c>
      <c r="Y29" s="52" t="str">
        <f>IFERROR(INDEX(DraftResults[[#All],[OVR]],MATCH(Table5[[#This Row],[PID]],DraftResults[[#All],[Player ID]],0)),"")</f>
        <v/>
      </c>
      <c r="Z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" s="52" t="str">
        <f>IFERROR(INDEX(DraftResults[[#All],[Pick in Round]],MATCH(Table5[[#This Row],[PID]],DraftResults[[#All],[Player ID]],0)),"")</f>
        <v/>
      </c>
      <c r="AB29" s="52" t="str">
        <f>IFERROR(INDEX(DraftResults[[#All],[Team Name]],MATCH(Table5[[#This Row],[PID]],DraftResults[[#All],[Player ID]],0)),"")</f>
        <v/>
      </c>
      <c r="AC29" s="52" t="str">
        <f>IF(Table5[[#This Row],[Ovr]]="","",IF(Table5[[#This Row],[cmbList]]="","",Table5[[#This Row],[cmbList]]-Table5[[#This Row],[Ovr]]))</f>
        <v/>
      </c>
      <c r="AD29" s="56" t="str">
        <f>IF(ISERROR(VLOOKUP($AB29&amp;"-"&amp;$E29&amp;" "&amp;F29,Bonuses!$B$1:$G$1006,4,FALSE)),"",INT(VLOOKUP($AB29&amp;"-"&amp;$E29&amp;" "&amp;$F29,Bonuses!$B$1:$G$1006,4,FALSE)))</f>
        <v/>
      </c>
      <c r="AE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" spans="1:31" s="52" customFormat="1" x14ac:dyDescent="0.25">
      <c r="A30" s="52">
        <v>11760</v>
      </c>
      <c r="B30" s="52">
        <f>COUNTIF(Table5[PID],A30)</f>
        <v>1</v>
      </c>
      <c r="C30" s="52" t="str">
        <f>IF(COUNTIF(Table3[[#All],[PID]],A30)&gt;0,"P","B")</f>
        <v>P</v>
      </c>
      <c r="D30" s="61" t="str">
        <f>IF($C30="B",INDEX(Batters[[#All],[POS]],MATCH(Table5[[#This Row],[PID]],Batters[[#All],[PID]],0)),INDEX(Table3[[#All],[POS]],MATCH(Table5[[#This Row],[PID]],Table3[[#All],[PID]],0)))</f>
        <v>SP</v>
      </c>
      <c r="E30" s="54" t="str">
        <f>IF($C30="B",INDEX(Batters[[#All],[First]],MATCH(Table5[[#This Row],[PID]],Batters[[#All],[PID]],0)),INDEX(Table3[[#All],[First]],MATCH(Table5[[#This Row],[PID]],Table3[[#All],[PID]],0)))</f>
        <v>Michael</v>
      </c>
      <c r="F30" s="52" t="str">
        <f>IF($C30="B",INDEX(Batters[[#All],[Last]],MATCH(A30,Batters[[#All],[PID]],0)),INDEX(Table3[[#All],[Last]],MATCH(A30,Table3[[#All],[PID]],0)))</f>
        <v>Farmer</v>
      </c>
      <c r="G30" s="58">
        <f>IF($C30="B",INDEX(Batters[[#All],[Age]],MATCH(Table5[[#This Row],[PID]],Batters[[#All],[PID]],0)),INDEX(Table3[[#All],[Age]],MATCH(Table5[[#This Row],[PID]],Table3[[#All],[PID]],0)))</f>
        <v>21</v>
      </c>
      <c r="H30" s="54" t="str">
        <f>IF($C30="B",INDEX(Batters[[#All],[B]],MATCH(Table5[[#This Row],[PID]],Batters[[#All],[PID]],0)),INDEX(Table3[[#All],[B]],MATCH(Table5[[#This Row],[PID]],Table3[[#All],[PID]],0)))</f>
        <v>R</v>
      </c>
      <c r="I30" s="54" t="str">
        <f>IF($C30="B",INDEX(Batters[[#All],[T]],MATCH(Table5[[#This Row],[PID]],Batters[[#All],[PID]],0)),INDEX(Table3[[#All],[T]],MATCH(Table5[[#This Row],[PID]],Table3[[#All],[PID]],0)))</f>
        <v>R</v>
      </c>
      <c r="J30" s="54" t="str">
        <f>IF($C30="B",INDEX(Batters[[#All],[WE]],MATCH(Table5[[#This Row],[PID]],Batters[[#All],[PID]],0)),INDEX(Table3[[#All],[WE]],MATCH(Table5[[#This Row],[PID]],Table3[[#All],[PID]],0)))</f>
        <v>Normal</v>
      </c>
      <c r="K30" s="54" t="str">
        <f>IF($C30="B",INDEX(Batters[[#All],[INT]],MATCH(Table5[[#This Row],[PID]],Batters[[#All],[PID]],0)),INDEX(Table3[[#All],[INT]],MATCH(Table5[[#This Row],[PID]],Table3[[#All],[PID]],0)))</f>
        <v>Normal</v>
      </c>
      <c r="L30" s="62">
        <f>IF($C30="B",INDEX(Batters[[#All],[CON P]],MATCH(Table5[[#This Row],[PID]],Batters[[#All],[PID]],0)),INDEX(Table3[[#All],[STU P]],MATCH(Table5[[#This Row],[PID]],Table3[[#All],[PID]],0)))</f>
        <v>8</v>
      </c>
      <c r="M30" s="58">
        <f>IF($C30="B",INDEX(Batters[[#All],[GAP P]],MATCH(Table5[[#This Row],[PID]],Batters[[#All],[PID]],0)),INDEX(Table3[[#All],[MOV P]],MATCH(Table5[[#This Row],[PID]],Table3[[#All],[PID]],0)))</f>
        <v>5</v>
      </c>
      <c r="N30" s="58">
        <f>IF($C30="B",INDEX(Batters[[#All],[POW P]],MATCH(Table5[[#This Row],[PID]],Batters[[#All],[PID]],0)),INDEX(Table3[[#All],[CON P]],MATCH(Table5[[#This Row],[PID]],Table3[[#All],[PID]],0)))</f>
        <v>3</v>
      </c>
      <c r="O30" s="58" t="str">
        <f>IF($C30="B",INDEX(Batters[[#All],[EYE P]],MATCH(Table5[[#This Row],[PID]],Batters[[#All],[PID]],0)),INDEX(Table3[[#All],[VELO]],MATCH(Table5[[#This Row],[PID]],Table3[[#All],[PID]],0)))</f>
        <v>98-100 Mph</v>
      </c>
      <c r="P30" s="58">
        <f>IF($C30="B",INDEX(Batters[[#All],[K P]],MATCH(Table5[[#This Row],[PID]],Batters[[#All],[PID]],0)),INDEX(Table3[[#All],[STM]],MATCH(Table5[[#This Row],[PID]],Table3[[#All],[PID]],0)))</f>
        <v>10</v>
      </c>
      <c r="Q30" s="63">
        <f>IF($C30="B",INDEX(Batters[[#All],[Tot]],MATCH(Table5[[#This Row],[PID]],Batters[[#All],[PID]],0)),INDEX(Table3[[#All],[Tot]],MATCH(Table5[[#This Row],[PID]],Table3[[#All],[PID]],0)))</f>
        <v>60.844305850365288</v>
      </c>
      <c r="R30" s="54">
        <f>IF($C30="B",INDEX(Batters[[#All],[zScore]],MATCH(Table5[[#This Row],[PID]],Batters[[#All],[PID]],0)),INDEX(Table3[[#All],[zScore]],MATCH(Table5[[#This Row],[PID]],Table3[[#All],[PID]],0)))</f>
        <v>2.5789126393503023</v>
      </c>
      <c r="S30" s="60" t="str">
        <f>IF($C30="B",INDEX(Batters[[#All],[DEM]],MATCH(Table5[[#This Row],[PID]],Batters[[#All],[PID]],0)),INDEX(Table3[[#All],[DEM]],MATCH(Table5[[#This Row],[PID]],Table3[[#All],[PID]],0)))</f>
        <v>$2.8m</v>
      </c>
      <c r="T30" s="64">
        <f>IF($C30="B",VLOOKUP($A30,Bat!$A$4:$AU$1417,46,FALSE),VLOOKUP($A30,Pit!$A$4:$BD$570,55,FALSE))</f>
        <v>0</v>
      </c>
      <c r="U30" s="52">
        <f>IF($C30="B",VLOOKUP($A30,Bat!$A$4:$BA$1417,47,FALSE),VLOOKUP($A30,Pit!$A$4:$BF$570,56,FALSE))</f>
        <v>0</v>
      </c>
      <c r="V30" s="52">
        <f>IF($C30="B",VLOOKUP($A30,Bat!$A$4:$BA$1417,48,FALSE),VLOOKUP($A30,Pit!$A$4:$BF$570,57,FALSE))</f>
        <v>0</v>
      </c>
      <c r="W30" s="52">
        <f>Table5[[#This Row],[posRnk]]+Table5[[#This Row],[zRnk]]+IF($W$3&lt;&gt;Table5[[#This Row],[Type]],50,0)</f>
        <v>76</v>
      </c>
      <c r="X30" s="53">
        <f>RANK(Table5[[#This Row],[zScore]],Table5[[#All],[zScore]])</f>
        <v>26</v>
      </c>
      <c r="Y30" s="52" t="str">
        <f>IFERROR(INDEX(DraftResults[[#All],[OVR]],MATCH(Table5[[#This Row],[PID]],DraftResults[[#All],[Player ID]],0)),"")</f>
        <v/>
      </c>
      <c r="Z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" s="52" t="str">
        <f>IFERROR(INDEX(DraftResults[[#All],[Pick in Round]],MATCH(Table5[[#This Row],[PID]],DraftResults[[#All],[Player ID]],0)),"")</f>
        <v/>
      </c>
      <c r="AB30" s="52" t="str">
        <f>IFERROR(INDEX(DraftResults[[#All],[Team Name]],MATCH(Table5[[#This Row],[PID]],DraftResults[[#All],[Player ID]],0)),"")</f>
        <v/>
      </c>
      <c r="AC30" s="52" t="str">
        <f>IF(Table5[[#This Row],[Ovr]]="","",IF(Table5[[#This Row],[cmbList]]="","",Table5[[#This Row],[cmbList]]-Table5[[#This Row],[Ovr]]))</f>
        <v/>
      </c>
      <c r="AD30" s="56" t="str">
        <f>IF(ISERROR(VLOOKUP($AB30&amp;"-"&amp;$E30&amp;" "&amp;F30,Bonuses!$B$1:$G$1006,4,FALSE)),"",INT(VLOOKUP($AB30&amp;"-"&amp;$E30&amp;" "&amp;$F30,Bonuses!$B$1:$G$1006,4,FALSE)))</f>
        <v/>
      </c>
      <c r="AE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" spans="1:31" s="52" customFormat="1" x14ac:dyDescent="0.25">
      <c r="A31" s="52">
        <v>7709</v>
      </c>
      <c r="B31" s="52">
        <f>COUNTIF(Table5[PID],A31)</f>
        <v>1</v>
      </c>
      <c r="C31" s="52" t="str">
        <f>IF(COUNTIF(Table3[[#All],[PID]],A31)&gt;0,"P","B")</f>
        <v>B</v>
      </c>
      <c r="D31" s="61" t="str">
        <f>IF($C31="B",INDEX(Batters[[#All],[POS]],MATCH(Table5[[#This Row],[PID]],Batters[[#All],[PID]],0)),INDEX(Table3[[#All],[POS]],MATCH(Table5[[#This Row],[PID]],Table3[[#All],[PID]],0)))</f>
        <v>1B</v>
      </c>
      <c r="E31" s="54" t="str">
        <f>IF($C31="B",INDEX(Batters[[#All],[First]],MATCH(Table5[[#This Row],[PID]],Batters[[#All],[PID]],0)),INDEX(Table3[[#All],[First]],MATCH(Table5[[#This Row],[PID]],Table3[[#All],[PID]],0)))</f>
        <v>Doug</v>
      </c>
      <c r="F31" s="52" t="str">
        <f>IF($C31="B",INDEX(Batters[[#All],[Last]],MATCH(A31,Batters[[#All],[PID]],0)),INDEX(Table3[[#All],[Last]],MATCH(A31,Table3[[#All],[PID]],0)))</f>
        <v>Knox</v>
      </c>
      <c r="G31" s="58">
        <f>IF($C31="B",INDEX(Batters[[#All],[Age]],MATCH(Table5[[#This Row],[PID]],Batters[[#All],[PID]],0)),INDEX(Table3[[#All],[Age]],MATCH(Table5[[#This Row],[PID]],Table3[[#All],[PID]],0)))</f>
        <v>18</v>
      </c>
      <c r="H31" s="54" t="str">
        <f>IF($C31="B",INDEX(Batters[[#All],[B]],MATCH(Table5[[#This Row],[PID]],Batters[[#All],[PID]],0)),INDEX(Table3[[#All],[B]],MATCH(Table5[[#This Row],[PID]],Table3[[#All],[PID]],0)))</f>
        <v>L</v>
      </c>
      <c r="I31" s="54" t="str">
        <f>IF($C31="B",INDEX(Batters[[#All],[T]],MATCH(Table5[[#This Row],[PID]],Batters[[#All],[PID]],0)),INDEX(Table3[[#All],[T]],MATCH(Table5[[#This Row],[PID]],Table3[[#All],[PID]],0)))</f>
        <v>R</v>
      </c>
      <c r="J31" s="54" t="str">
        <f>IF($C31="B",INDEX(Batters[[#All],[WE]],MATCH(Table5[[#This Row],[PID]],Batters[[#All],[PID]],0)),INDEX(Table3[[#All],[WE]],MATCH(Table5[[#This Row],[PID]],Table3[[#All],[PID]],0)))</f>
        <v>Normal</v>
      </c>
      <c r="K31" s="54" t="str">
        <f>IF($C31="B",INDEX(Batters[[#All],[INT]],MATCH(Table5[[#This Row],[PID]],Batters[[#All],[PID]],0)),INDEX(Table3[[#All],[INT]],MATCH(Table5[[#This Row],[PID]],Table3[[#All],[PID]],0)))</f>
        <v>High</v>
      </c>
      <c r="L31" s="62">
        <f>IF($C31="B",INDEX(Batters[[#All],[CON P]],MATCH(Table5[[#This Row],[PID]],Batters[[#All],[PID]],0)),INDEX(Table3[[#All],[STU P]],MATCH(Table5[[#This Row],[PID]],Table3[[#All],[PID]],0)))</f>
        <v>5</v>
      </c>
      <c r="M31" s="58">
        <f>IF($C31="B",INDEX(Batters[[#All],[GAP P]],MATCH(Table5[[#This Row],[PID]],Batters[[#All],[PID]],0)),INDEX(Table3[[#All],[MOV P]],MATCH(Table5[[#This Row],[PID]],Table3[[#All],[PID]],0)))</f>
        <v>6</v>
      </c>
      <c r="N31" s="58">
        <f>IF($C31="B",INDEX(Batters[[#All],[POW P]],MATCH(Table5[[#This Row],[PID]],Batters[[#All],[PID]],0)),INDEX(Table3[[#All],[CON P]],MATCH(Table5[[#This Row],[PID]],Table3[[#All],[PID]],0)))</f>
        <v>6</v>
      </c>
      <c r="O31" s="58">
        <f>IF($C31="B",INDEX(Batters[[#All],[EYE P]],MATCH(Table5[[#This Row],[PID]],Batters[[#All],[PID]],0)),INDEX(Table3[[#All],[VELO]],MATCH(Table5[[#This Row],[PID]],Table3[[#All],[PID]],0)))</f>
        <v>5</v>
      </c>
      <c r="P31" s="58">
        <f>IF($C31="B",INDEX(Batters[[#All],[K P]],MATCH(Table5[[#This Row],[PID]],Batters[[#All],[PID]],0)),INDEX(Table3[[#All],[STM]],MATCH(Table5[[#This Row],[PID]],Table3[[#All],[PID]],0)))</f>
        <v>5</v>
      </c>
      <c r="Q31" s="63">
        <f>IF($C31="B",INDEX(Batters[[#All],[Tot]],MATCH(Table5[[#This Row],[PID]],Batters[[#All],[PID]],0)),INDEX(Table3[[#All],[Tot]],MATCH(Table5[[#This Row],[PID]],Table3[[#All],[PID]],0)))</f>
        <v>54.862635461397886</v>
      </c>
      <c r="R31" s="54">
        <f>IF($C31="B",INDEX(Batters[[#All],[zScore]],MATCH(Table5[[#This Row],[PID]],Batters[[#All],[PID]],0)),INDEX(Table3[[#All],[zScore]],MATCH(Table5[[#This Row],[PID]],Table3[[#All],[PID]],0)))</f>
        <v>2.5537101197371919</v>
      </c>
      <c r="S31" s="60" t="str">
        <f>IF($C31="B",INDEX(Batters[[#All],[DEM]],MATCH(Table5[[#This Row],[PID]],Batters[[#All],[PID]],0)),INDEX(Table3[[#All],[DEM]],MATCH(Table5[[#This Row],[PID]],Table3[[#All],[PID]],0)))</f>
        <v>$850k</v>
      </c>
      <c r="T31" s="64">
        <f>IF($C31="B",VLOOKUP($A31,Bat!$A$4:$AU$1417,46,FALSE),VLOOKUP($A31,Pit!$A$4:$BD$570,55,FALSE))</f>
        <v>0</v>
      </c>
      <c r="U31" s="52">
        <f>IF($C31="B",VLOOKUP($A31,Bat!$A$4:$BA$1417,47,FALSE),VLOOKUP($A31,Pit!$A$4:$BF$570,56,FALSE))</f>
        <v>0</v>
      </c>
      <c r="V31" s="52">
        <f>IF($C31="B",VLOOKUP($A31,Bat!$A$4:$BA$1417,48,FALSE),VLOOKUP($A31,Pit!$A$4:$BF$570,57,FALSE))</f>
        <v>0</v>
      </c>
      <c r="W31" s="52">
        <f>Table5[[#This Row],[posRnk]]+Table5[[#This Row],[zRnk]]+IF($W$3&lt;&gt;Table5[[#This Row],[Type]],50,0)</f>
        <v>77</v>
      </c>
      <c r="X31" s="53">
        <f>RANK(Table5[[#This Row],[zScore]],Table5[[#All],[zScore]])</f>
        <v>27</v>
      </c>
      <c r="Y31" s="52" t="str">
        <f>IFERROR(INDEX(DraftResults[[#All],[OVR]],MATCH(Table5[[#This Row],[PID]],DraftResults[[#All],[Player ID]],0)),"")</f>
        <v/>
      </c>
      <c r="Z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" s="52" t="str">
        <f>IFERROR(INDEX(DraftResults[[#All],[Pick in Round]],MATCH(Table5[[#This Row],[PID]],DraftResults[[#All],[Player ID]],0)),"")</f>
        <v/>
      </c>
      <c r="AB31" s="52" t="str">
        <f>IFERROR(INDEX(DraftResults[[#All],[Team Name]],MATCH(Table5[[#This Row],[PID]],DraftResults[[#All],[Player ID]],0)),"")</f>
        <v/>
      </c>
      <c r="AC31" s="52" t="str">
        <f>IF(Table5[[#This Row],[Ovr]]="","",IF(Table5[[#This Row],[cmbList]]="","",Table5[[#This Row],[cmbList]]-Table5[[#This Row],[Ovr]]))</f>
        <v/>
      </c>
      <c r="AD31" s="56" t="str">
        <f>IF(ISERROR(VLOOKUP($AB31&amp;"-"&amp;$E31&amp;" "&amp;F31,Bonuses!$B$1:$G$1006,4,FALSE)),"",INT(VLOOKUP($AB31&amp;"-"&amp;$E31&amp;" "&amp;$F31,Bonuses!$B$1:$G$1006,4,FALSE)))</f>
        <v/>
      </c>
      <c r="AE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" spans="1:31" s="52" customFormat="1" x14ac:dyDescent="0.25">
      <c r="A32" s="52">
        <v>16102</v>
      </c>
      <c r="B32" s="52">
        <f>COUNTIF(Table5[PID],A32)</f>
        <v>1</v>
      </c>
      <c r="C32" s="52" t="str">
        <f>IF(COUNTIF(Table3[[#All],[PID]],A32)&gt;0,"P","B")</f>
        <v>P</v>
      </c>
      <c r="D32" s="61" t="str">
        <f>IF($C32="B",INDEX(Batters[[#All],[POS]],MATCH(Table5[[#This Row],[PID]],Batters[[#All],[PID]],0)),INDEX(Table3[[#All],[POS]],MATCH(Table5[[#This Row],[PID]],Table3[[#All],[PID]],0)))</f>
        <v>SP</v>
      </c>
      <c r="E32" s="54" t="str">
        <f>IF($C32="B",INDEX(Batters[[#All],[First]],MATCH(Table5[[#This Row],[PID]],Batters[[#All],[PID]],0)),INDEX(Table3[[#All],[First]],MATCH(Table5[[#This Row],[PID]],Table3[[#All],[PID]],0)))</f>
        <v>Paul</v>
      </c>
      <c r="F32" s="52" t="str">
        <f>IF($C32="B",INDEX(Batters[[#All],[Last]],MATCH(A32,Batters[[#All],[PID]],0)),INDEX(Table3[[#All],[Last]],MATCH(A32,Table3[[#All],[PID]],0)))</f>
        <v>Hay</v>
      </c>
      <c r="G32" s="58">
        <f>IF($C32="B",INDEX(Batters[[#All],[Age]],MATCH(Table5[[#This Row],[PID]],Batters[[#All],[PID]],0)),INDEX(Table3[[#All],[Age]],MATCH(Table5[[#This Row],[PID]],Table3[[#All],[PID]],0)))</f>
        <v>18</v>
      </c>
      <c r="H32" s="54" t="str">
        <f>IF($C32="B",INDEX(Batters[[#All],[B]],MATCH(Table5[[#This Row],[PID]],Batters[[#All],[PID]],0)),INDEX(Table3[[#All],[B]],MATCH(Table5[[#This Row],[PID]],Table3[[#All],[PID]],0)))</f>
        <v>R</v>
      </c>
      <c r="I32" s="54" t="str">
        <f>IF($C32="B",INDEX(Batters[[#All],[T]],MATCH(Table5[[#This Row],[PID]],Batters[[#All],[PID]],0)),INDEX(Table3[[#All],[T]],MATCH(Table5[[#This Row],[PID]],Table3[[#All],[PID]],0)))</f>
        <v>R</v>
      </c>
      <c r="J32" s="54" t="str">
        <f>IF($C32="B",INDEX(Batters[[#All],[WE]],MATCH(Table5[[#This Row],[PID]],Batters[[#All],[PID]],0)),INDEX(Table3[[#All],[WE]],MATCH(Table5[[#This Row],[PID]],Table3[[#All],[PID]],0)))</f>
        <v>Low</v>
      </c>
      <c r="K32" s="54" t="str">
        <f>IF($C32="B",INDEX(Batters[[#All],[INT]],MATCH(Table5[[#This Row],[PID]],Batters[[#All],[PID]],0)),INDEX(Table3[[#All],[INT]],MATCH(Table5[[#This Row],[PID]],Table3[[#All],[PID]],0)))</f>
        <v>Low</v>
      </c>
      <c r="L32" s="62">
        <f>IF($C32="B",INDEX(Batters[[#All],[CON P]],MATCH(Table5[[#This Row],[PID]],Batters[[#All],[PID]],0)),INDEX(Table3[[#All],[STU P]],MATCH(Table5[[#This Row],[PID]],Table3[[#All],[PID]],0)))</f>
        <v>6</v>
      </c>
      <c r="M32" s="58">
        <f>IF($C32="B",INDEX(Batters[[#All],[GAP P]],MATCH(Table5[[#This Row],[PID]],Batters[[#All],[PID]],0)),INDEX(Table3[[#All],[MOV P]],MATCH(Table5[[#This Row],[PID]],Table3[[#All],[PID]],0)))</f>
        <v>4</v>
      </c>
      <c r="N32" s="58">
        <f>IF($C32="B",INDEX(Batters[[#All],[POW P]],MATCH(Table5[[#This Row],[PID]],Batters[[#All],[PID]],0)),INDEX(Table3[[#All],[CON P]],MATCH(Table5[[#This Row],[PID]],Table3[[#All],[PID]],0)))</f>
        <v>5</v>
      </c>
      <c r="O32" s="58" t="str">
        <f>IF($C32="B",INDEX(Batters[[#All],[EYE P]],MATCH(Table5[[#This Row],[PID]],Batters[[#All],[PID]],0)),INDEX(Table3[[#All],[VELO]],MATCH(Table5[[#This Row],[PID]],Table3[[#All],[PID]],0)))</f>
        <v>92-94 Mph</v>
      </c>
      <c r="P32" s="58">
        <f>IF($C32="B",INDEX(Batters[[#All],[K P]],MATCH(Table5[[#This Row],[PID]],Batters[[#All],[PID]],0)),INDEX(Table3[[#All],[STM]],MATCH(Table5[[#This Row],[PID]],Table3[[#All],[PID]],0)))</f>
        <v>5</v>
      </c>
      <c r="Q32" s="63">
        <f>IF($C32="B",INDEX(Batters[[#All],[Tot]],MATCH(Table5[[#This Row],[PID]],Batters[[#All],[PID]],0)),INDEX(Table3[[#All],[Tot]],MATCH(Table5[[#This Row],[PID]],Table3[[#All],[PID]],0)))</f>
        <v>60.11815828936858</v>
      </c>
      <c r="R32" s="54">
        <f>IF($C32="B",INDEX(Batters[[#All],[zScore]],MATCH(Table5[[#This Row],[PID]],Batters[[#All],[PID]],0)),INDEX(Table3[[#All],[zScore]],MATCH(Table5[[#This Row],[PID]],Table3[[#All],[PID]],0)))</f>
        <v>2.5123218043869997</v>
      </c>
      <c r="S32" s="60" t="str">
        <f>IF($C32="B",INDEX(Batters[[#All],[DEM]],MATCH(Table5[[#This Row],[PID]],Batters[[#All],[PID]],0)),INDEX(Table3[[#All],[DEM]],MATCH(Table5[[#This Row],[PID]],Table3[[#All],[PID]],0)))</f>
        <v>$200k</v>
      </c>
      <c r="T32" s="64">
        <f>IF($C32="B",VLOOKUP($A32,Bat!$A$4:$AU$1417,46,FALSE),VLOOKUP($A32,Pit!$A$4:$BD$570,55,FALSE))</f>
        <v>0</v>
      </c>
      <c r="U32" s="52">
        <f>IF($C32="B",VLOOKUP($A32,Bat!$A$4:$BA$1417,47,FALSE),VLOOKUP($A32,Pit!$A$4:$BF$570,56,FALSE))</f>
        <v>0</v>
      </c>
      <c r="V32" s="52">
        <f>IF($C32="B",VLOOKUP($A32,Bat!$A$4:$BA$1417,48,FALSE),VLOOKUP($A32,Pit!$A$4:$BF$570,57,FALSE))</f>
        <v>0</v>
      </c>
      <c r="W32" s="52">
        <f>Table5[[#This Row],[posRnk]]+Table5[[#This Row],[zRnk]]+IF($W$3&lt;&gt;Table5[[#This Row],[Type]],50,0)</f>
        <v>78</v>
      </c>
      <c r="X32" s="53">
        <f>RANK(Table5[[#This Row],[zScore]],Table5[[#All],[zScore]])</f>
        <v>28</v>
      </c>
      <c r="Y32" s="52" t="str">
        <f>IFERROR(INDEX(DraftResults[[#All],[OVR]],MATCH(Table5[[#This Row],[PID]],DraftResults[[#All],[Player ID]],0)),"")</f>
        <v/>
      </c>
      <c r="Z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" s="52" t="str">
        <f>IFERROR(INDEX(DraftResults[[#All],[Pick in Round]],MATCH(Table5[[#This Row],[PID]],DraftResults[[#All],[Player ID]],0)),"")</f>
        <v/>
      </c>
      <c r="AB32" s="52" t="str">
        <f>IFERROR(INDEX(DraftResults[[#All],[Team Name]],MATCH(Table5[[#This Row],[PID]],DraftResults[[#All],[Player ID]],0)),"")</f>
        <v/>
      </c>
      <c r="AC32" s="52" t="str">
        <f>IF(Table5[[#This Row],[Ovr]]="","",IF(Table5[[#This Row],[cmbList]]="","",Table5[[#This Row],[cmbList]]-Table5[[#This Row],[Ovr]]))</f>
        <v/>
      </c>
      <c r="AD32" s="56" t="str">
        <f>IF(ISERROR(VLOOKUP($AB32&amp;"-"&amp;$E32&amp;" "&amp;F32,Bonuses!$B$1:$G$1006,4,FALSE)),"",INT(VLOOKUP($AB32&amp;"-"&amp;$E32&amp;" "&amp;$F32,Bonuses!$B$1:$G$1006,4,FALSE)))</f>
        <v/>
      </c>
      <c r="AE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" spans="1:31" s="52" customFormat="1" x14ac:dyDescent="0.25">
      <c r="A33" s="52">
        <v>12580</v>
      </c>
      <c r="B33" s="52">
        <f>COUNTIF(Table5[PID],A33)</f>
        <v>1</v>
      </c>
      <c r="C33" s="52" t="str">
        <f>IF(COUNTIF(Table3[[#All],[PID]],A33)&gt;0,"P","B")</f>
        <v>P</v>
      </c>
      <c r="D33" s="61" t="str">
        <f>IF($C33="B",INDEX(Batters[[#All],[POS]],MATCH(Table5[[#This Row],[PID]],Batters[[#All],[PID]],0)),INDEX(Table3[[#All],[POS]],MATCH(Table5[[#This Row],[PID]],Table3[[#All],[PID]],0)))</f>
        <v>CL</v>
      </c>
      <c r="E33" s="54" t="str">
        <f>IF($C33="B",INDEX(Batters[[#All],[First]],MATCH(Table5[[#This Row],[PID]],Batters[[#All],[PID]],0)),INDEX(Table3[[#All],[First]],MATCH(Table5[[#This Row],[PID]],Table3[[#All],[PID]],0)))</f>
        <v>Christopher</v>
      </c>
      <c r="F33" s="52" t="str">
        <f>IF($C33="B",INDEX(Batters[[#All],[Last]],MATCH(A33,Batters[[#All],[PID]],0)),INDEX(Table3[[#All],[Last]],MATCH(A33,Table3[[#All],[PID]],0)))</f>
        <v>MacWhirter</v>
      </c>
      <c r="G33" s="58">
        <f>IF($C33="B",INDEX(Batters[[#All],[Age]],MATCH(Table5[[#This Row],[PID]],Batters[[#All],[PID]],0)),INDEX(Table3[[#All],[Age]],MATCH(Table5[[#This Row],[PID]],Table3[[#All],[PID]],0)))</f>
        <v>21</v>
      </c>
      <c r="H33" s="54" t="str">
        <f>IF($C33="B",INDEX(Batters[[#All],[B]],MATCH(Table5[[#This Row],[PID]],Batters[[#All],[PID]],0)),INDEX(Table3[[#All],[B]],MATCH(Table5[[#This Row],[PID]],Table3[[#All],[PID]],0)))</f>
        <v>R</v>
      </c>
      <c r="I33" s="54" t="str">
        <f>IF($C33="B",INDEX(Batters[[#All],[T]],MATCH(Table5[[#This Row],[PID]],Batters[[#All],[PID]],0)),INDEX(Table3[[#All],[T]],MATCH(Table5[[#This Row],[PID]],Table3[[#All],[PID]],0)))</f>
        <v>R</v>
      </c>
      <c r="J33" s="54" t="str">
        <f>IF($C33="B",INDEX(Batters[[#All],[WE]],MATCH(Table5[[#This Row],[PID]],Batters[[#All],[PID]],0)),INDEX(Table3[[#All],[WE]],MATCH(Table5[[#This Row],[PID]],Table3[[#All],[PID]],0)))</f>
        <v>Normal</v>
      </c>
      <c r="K33" s="54" t="str">
        <f>IF($C33="B",INDEX(Batters[[#All],[INT]],MATCH(Table5[[#This Row],[PID]],Batters[[#All],[PID]],0)),INDEX(Table3[[#All],[INT]],MATCH(Table5[[#This Row],[PID]],Table3[[#All],[PID]],0)))</f>
        <v>Normal</v>
      </c>
      <c r="L33" s="62">
        <f>IF($C33="B",INDEX(Batters[[#All],[CON P]],MATCH(Table5[[#This Row],[PID]],Batters[[#All],[PID]],0)),INDEX(Table3[[#All],[STU P]],MATCH(Table5[[#This Row],[PID]],Table3[[#All],[PID]],0)))</f>
        <v>10</v>
      </c>
      <c r="M33" s="58">
        <f>IF($C33="B",INDEX(Batters[[#All],[GAP P]],MATCH(Table5[[#This Row],[PID]],Batters[[#All],[PID]],0)),INDEX(Table3[[#All],[MOV P]],MATCH(Table5[[#This Row],[PID]],Table3[[#All],[PID]],0)))</f>
        <v>5</v>
      </c>
      <c r="N33" s="58">
        <f>IF($C33="B",INDEX(Batters[[#All],[POW P]],MATCH(Table5[[#This Row],[PID]],Batters[[#All],[PID]],0)),INDEX(Table3[[#All],[CON P]],MATCH(Table5[[#This Row],[PID]],Table3[[#All],[PID]],0)))</f>
        <v>3</v>
      </c>
      <c r="O33" s="58" t="str">
        <f>IF($C33="B",INDEX(Batters[[#All],[EYE P]],MATCH(Table5[[#This Row],[PID]],Batters[[#All],[PID]],0)),INDEX(Table3[[#All],[VELO]],MATCH(Table5[[#This Row],[PID]],Table3[[#All],[PID]],0)))</f>
        <v>98-100 Mph</v>
      </c>
      <c r="P33" s="58">
        <f>IF($C33="B",INDEX(Batters[[#All],[K P]],MATCH(Table5[[#This Row],[PID]],Batters[[#All],[PID]],0)),INDEX(Table3[[#All],[STM]],MATCH(Table5[[#This Row],[PID]],Table3[[#All],[PID]],0)))</f>
        <v>6</v>
      </c>
      <c r="Q33" s="63">
        <f>IF($C33="B",INDEX(Batters[[#All],[Tot]],MATCH(Table5[[#This Row],[PID]],Batters[[#All],[PID]],0)),INDEX(Table3[[#All],[Tot]],MATCH(Table5[[#This Row],[PID]],Table3[[#All],[PID]],0)))</f>
        <v>59.292521659050806</v>
      </c>
      <c r="R33" s="54">
        <f>IF($C33="B",INDEX(Batters[[#All],[zScore]],MATCH(Table5[[#This Row],[PID]],Batters[[#All],[PID]],0)),INDEX(Table3[[#All],[zScore]],MATCH(Table5[[#This Row],[PID]],Table3[[#All],[PID]],0)))</f>
        <v>2.4366073965417359</v>
      </c>
      <c r="S33" s="60" t="str">
        <f>IF($C33="B",INDEX(Batters[[#All],[DEM]],MATCH(Table5[[#This Row],[PID]],Batters[[#All],[PID]],0)),INDEX(Table3[[#All],[DEM]],MATCH(Table5[[#This Row],[PID]],Table3[[#All],[PID]],0)))</f>
        <v>$2.0m</v>
      </c>
      <c r="T33" s="64">
        <f>IF($C33="B",VLOOKUP($A33,Bat!$A$4:$AU$1417,46,FALSE),VLOOKUP($A33,Pit!$A$4:$BD$570,55,FALSE))</f>
        <v>0</v>
      </c>
      <c r="U33" s="52">
        <f>IF($C33="B",VLOOKUP($A33,Bat!$A$4:$BA$1417,47,FALSE),VLOOKUP($A33,Pit!$A$4:$BF$570,56,FALSE))</f>
        <v>0</v>
      </c>
      <c r="V33" s="52">
        <f>IF($C33="B",VLOOKUP($A33,Bat!$A$4:$BA$1417,48,FALSE),VLOOKUP($A33,Pit!$A$4:$BF$570,57,FALSE))</f>
        <v>0</v>
      </c>
      <c r="W33" s="52">
        <f>Table5[[#This Row],[posRnk]]+Table5[[#This Row],[zRnk]]+IF($W$3&lt;&gt;Table5[[#This Row],[Type]],50,0)</f>
        <v>79</v>
      </c>
      <c r="X33" s="53">
        <f>RANK(Table5[[#This Row],[zScore]],Table5[[#All],[zScore]])</f>
        <v>29</v>
      </c>
      <c r="Y33" s="52" t="str">
        <f>IFERROR(INDEX(DraftResults[[#All],[OVR]],MATCH(Table5[[#This Row],[PID]],DraftResults[[#All],[Player ID]],0)),"")</f>
        <v/>
      </c>
      <c r="Z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" s="52" t="str">
        <f>IFERROR(INDEX(DraftResults[[#All],[Pick in Round]],MATCH(Table5[[#This Row],[PID]],DraftResults[[#All],[Player ID]],0)),"")</f>
        <v/>
      </c>
      <c r="AB33" s="52" t="str">
        <f>IFERROR(INDEX(DraftResults[[#All],[Team Name]],MATCH(Table5[[#This Row],[PID]],DraftResults[[#All],[Player ID]],0)),"")</f>
        <v/>
      </c>
      <c r="AC33" s="52" t="str">
        <f>IF(Table5[[#This Row],[Ovr]]="","",IF(Table5[[#This Row],[cmbList]]="","",Table5[[#This Row],[cmbList]]-Table5[[#This Row],[Ovr]]))</f>
        <v/>
      </c>
      <c r="AD33" s="56" t="str">
        <f>IF(ISERROR(VLOOKUP($AB33&amp;"-"&amp;$E33&amp;" "&amp;F33,Bonuses!$B$1:$G$1006,4,FALSE)),"",INT(VLOOKUP($AB33&amp;"-"&amp;$E33&amp;" "&amp;$F33,Bonuses!$B$1:$G$1006,4,FALSE)))</f>
        <v/>
      </c>
      <c r="AE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" spans="1:31" s="52" customFormat="1" x14ac:dyDescent="0.25">
      <c r="A34" s="52">
        <v>9402</v>
      </c>
      <c r="B34" s="52">
        <f>COUNTIF(Table5[PID],A34)</f>
        <v>1</v>
      </c>
      <c r="C34" s="52" t="str">
        <f>IF(COUNTIF(Table3[[#All],[PID]],A34)&gt;0,"P","B")</f>
        <v>P</v>
      </c>
      <c r="D34" s="61" t="str">
        <f>IF($C34="B",INDEX(Batters[[#All],[POS]],MATCH(Table5[[#This Row],[PID]],Batters[[#All],[PID]],0)),INDEX(Table3[[#All],[POS]],MATCH(Table5[[#This Row],[PID]],Table3[[#All],[PID]],0)))</f>
        <v>SP</v>
      </c>
      <c r="E34" s="54" t="str">
        <f>IF($C34="B",INDEX(Batters[[#All],[First]],MATCH(Table5[[#This Row],[PID]],Batters[[#All],[PID]],0)),INDEX(Table3[[#All],[First]],MATCH(Table5[[#This Row],[PID]],Table3[[#All],[PID]],0)))</f>
        <v>Ken</v>
      </c>
      <c r="F34" s="52" t="str">
        <f>IF($C34="B",INDEX(Batters[[#All],[Last]],MATCH(A34,Batters[[#All],[PID]],0)),INDEX(Table3[[#All],[Last]],MATCH(A34,Table3[[#All],[PID]],0)))</f>
        <v>Cole</v>
      </c>
      <c r="G34" s="58">
        <f>IF($C34="B",INDEX(Batters[[#All],[Age]],MATCH(Table5[[#This Row],[PID]],Batters[[#All],[PID]],0)),INDEX(Table3[[#All],[Age]],MATCH(Table5[[#This Row],[PID]],Table3[[#All],[PID]],0)))</f>
        <v>20</v>
      </c>
      <c r="H34" s="54" t="str">
        <f>IF($C34="B",INDEX(Batters[[#All],[B]],MATCH(Table5[[#This Row],[PID]],Batters[[#All],[PID]],0)),INDEX(Table3[[#All],[B]],MATCH(Table5[[#This Row],[PID]],Table3[[#All],[PID]],0)))</f>
        <v>R</v>
      </c>
      <c r="I34" s="54" t="str">
        <f>IF($C34="B",INDEX(Batters[[#All],[T]],MATCH(Table5[[#This Row],[PID]],Batters[[#All],[PID]],0)),INDEX(Table3[[#All],[T]],MATCH(Table5[[#This Row],[PID]],Table3[[#All],[PID]],0)))</f>
        <v>R</v>
      </c>
      <c r="J34" s="54" t="str">
        <f>IF($C34="B",INDEX(Batters[[#All],[WE]],MATCH(Table5[[#This Row],[PID]],Batters[[#All],[PID]],0)),INDEX(Table3[[#All],[WE]],MATCH(Table5[[#This Row],[PID]],Table3[[#All],[PID]],0)))</f>
        <v>Normal</v>
      </c>
      <c r="K34" s="54" t="str">
        <f>IF($C34="B",INDEX(Batters[[#All],[INT]],MATCH(Table5[[#This Row],[PID]],Batters[[#All],[PID]],0)),INDEX(Table3[[#All],[INT]],MATCH(Table5[[#This Row],[PID]],Table3[[#All],[PID]],0)))</f>
        <v>Normal</v>
      </c>
      <c r="L34" s="62">
        <f>IF($C34="B",INDEX(Batters[[#All],[CON P]],MATCH(Table5[[#This Row],[PID]],Batters[[#All],[PID]],0)),INDEX(Table3[[#All],[STU P]],MATCH(Table5[[#This Row],[PID]],Table3[[#All],[PID]],0)))</f>
        <v>6</v>
      </c>
      <c r="M34" s="58">
        <f>IF($C34="B",INDEX(Batters[[#All],[GAP P]],MATCH(Table5[[#This Row],[PID]],Batters[[#All],[PID]],0)),INDEX(Table3[[#All],[MOV P]],MATCH(Table5[[#This Row],[PID]],Table3[[#All],[PID]],0)))</f>
        <v>4</v>
      </c>
      <c r="N34" s="58">
        <f>IF($C34="B",INDEX(Batters[[#All],[POW P]],MATCH(Table5[[#This Row],[PID]],Batters[[#All],[PID]],0)),INDEX(Table3[[#All],[CON P]],MATCH(Table5[[#This Row],[PID]],Table3[[#All],[PID]],0)))</f>
        <v>5</v>
      </c>
      <c r="O34" s="58" t="str">
        <f>IF($C34="B",INDEX(Batters[[#All],[EYE P]],MATCH(Table5[[#This Row],[PID]],Batters[[#All],[PID]],0)),INDEX(Table3[[#All],[VELO]],MATCH(Table5[[#This Row],[PID]],Table3[[#All],[PID]],0)))</f>
        <v>95-97 Mph</v>
      </c>
      <c r="P34" s="58">
        <f>IF($C34="B",INDEX(Batters[[#All],[K P]],MATCH(Table5[[#This Row],[PID]],Batters[[#All],[PID]],0)),INDEX(Table3[[#All],[STM]],MATCH(Table5[[#This Row],[PID]],Table3[[#All],[PID]],0)))</f>
        <v>9</v>
      </c>
      <c r="Q34" s="63">
        <f>IF($C34="B",INDEX(Batters[[#All],[Tot]],MATCH(Table5[[#This Row],[PID]],Batters[[#All],[PID]],0)),INDEX(Table3[[#All],[Tot]],MATCH(Table5[[#This Row],[PID]],Table3[[#All],[PID]],0)))</f>
        <v>59.277822170903264</v>
      </c>
      <c r="R34" s="54">
        <f>IF($C34="B",INDEX(Batters[[#All],[zScore]],MATCH(Table5[[#This Row],[PID]],Batters[[#All],[PID]],0)),INDEX(Table3[[#All],[zScore]],MATCH(Table5[[#This Row],[PID]],Table3[[#All],[PID]],0)))</f>
        <v>2.4352593906516735</v>
      </c>
      <c r="S34" s="60" t="str">
        <f>IF($C34="B",INDEX(Batters[[#All],[DEM]],MATCH(Table5[[#This Row],[PID]],Batters[[#All],[PID]],0)),INDEX(Table3[[#All],[DEM]],MATCH(Table5[[#This Row],[PID]],Table3[[#All],[PID]],0)))</f>
        <v>$2.6m</v>
      </c>
      <c r="T34" s="64">
        <f>IF($C34="B",VLOOKUP($A34,Bat!$A$4:$AU$1417,46,FALSE),VLOOKUP($A34,Pit!$A$4:$BD$570,55,FALSE))</f>
        <v>0</v>
      </c>
      <c r="U34" s="52">
        <f>IF($C34="B",VLOOKUP($A34,Bat!$A$4:$BA$1417,47,FALSE),VLOOKUP($A34,Pit!$A$4:$BF$570,56,FALSE))</f>
        <v>0</v>
      </c>
      <c r="V34" s="52">
        <f>IF($C34="B",VLOOKUP($A34,Bat!$A$4:$BA$1417,48,FALSE),VLOOKUP($A34,Pit!$A$4:$BF$570,57,FALSE))</f>
        <v>0</v>
      </c>
      <c r="W34" s="52">
        <f>Table5[[#This Row],[posRnk]]+Table5[[#This Row],[zRnk]]+IF($W$3&lt;&gt;Table5[[#This Row],[Type]],50,0)</f>
        <v>80</v>
      </c>
      <c r="X34" s="53">
        <f>RANK(Table5[[#This Row],[zScore]],Table5[[#All],[zScore]])</f>
        <v>30</v>
      </c>
      <c r="Y34" s="52" t="str">
        <f>IFERROR(INDEX(DraftResults[[#All],[OVR]],MATCH(Table5[[#This Row],[PID]],DraftResults[[#All],[Player ID]],0)),"")</f>
        <v/>
      </c>
      <c r="Z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" s="52" t="str">
        <f>IFERROR(INDEX(DraftResults[[#All],[Pick in Round]],MATCH(Table5[[#This Row],[PID]],DraftResults[[#All],[Player ID]],0)),"")</f>
        <v/>
      </c>
      <c r="AB34" s="52" t="str">
        <f>IFERROR(INDEX(DraftResults[[#All],[Team Name]],MATCH(Table5[[#This Row],[PID]],DraftResults[[#All],[Player ID]],0)),"")</f>
        <v/>
      </c>
      <c r="AC34" s="52" t="str">
        <f>IF(Table5[[#This Row],[Ovr]]="","",IF(Table5[[#This Row],[cmbList]]="","",Table5[[#This Row],[cmbList]]-Table5[[#This Row],[Ovr]]))</f>
        <v/>
      </c>
      <c r="AD34" s="56" t="str">
        <f>IF(ISERROR(VLOOKUP($AB34&amp;"-"&amp;$E34&amp;" "&amp;F34,Bonuses!$B$1:$G$1006,4,FALSE)),"",INT(VLOOKUP($AB34&amp;"-"&amp;$E34&amp;" "&amp;$F34,Bonuses!$B$1:$G$1006,4,FALSE)))</f>
        <v/>
      </c>
      <c r="AE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" spans="1:31" s="52" customFormat="1" x14ac:dyDescent="0.25">
      <c r="A35" s="52">
        <v>11703</v>
      </c>
      <c r="B35" s="52">
        <f>COUNTIF(Table5[PID],A35)</f>
        <v>1</v>
      </c>
      <c r="C35" s="52" t="str">
        <f>IF(COUNTIF(Table3[[#All],[PID]],A35)&gt;0,"P","B")</f>
        <v>P</v>
      </c>
      <c r="D35" s="61" t="str">
        <f>IF($C35="B",INDEX(Batters[[#All],[POS]],MATCH(Table5[[#This Row],[PID]],Batters[[#All],[PID]],0)),INDEX(Table3[[#All],[POS]],MATCH(Table5[[#This Row],[PID]],Table3[[#All],[PID]],0)))</f>
        <v>CL</v>
      </c>
      <c r="E35" s="54" t="str">
        <f>IF($C35="B",INDEX(Batters[[#All],[First]],MATCH(Table5[[#This Row],[PID]],Batters[[#All],[PID]],0)),INDEX(Table3[[#All],[First]],MATCH(Table5[[#This Row],[PID]],Table3[[#All],[PID]],0)))</f>
        <v>Fernando</v>
      </c>
      <c r="F35" s="52" t="str">
        <f>IF($C35="B",INDEX(Batters[[#All],[Last]],MATCH(A35,Batters[[#All],[PID]],0)),INDEX(Table3[[#All],[Last]],MATCH(A35,Table3[[#All],[PID]],0)))</f>
        <v>Sánchez</v>
      </c>
      <c r="G35" s="58">
        <f>IF($C35="B",INDEX(Batters[[#All],[Age]],MATCH(Table5[[#This Row],[PID]],Batters[[#All],[PID]],0)),INDEX(Table3[[#All],[Age]],MATCH(Table5[[#This Row],[PID]],Table3[[#All],[PID]],0)))</f>
        <v>21</v>
      </c>
      <c r="H35" s="54" t="str">
        <f>IF($C35="B",INDEX(Batters[[#All],[B]],MATCH(Table5[[#This Row],[PID]],Batters[[#All],[PID]],0)),INDEX(Table3[[#All],[B]],MATCH(Table5[[#This Row],[PID]],Table3[[#All],[PID]],0)))</f>
        <v>R</v>
      </c>
      <c r="I35" s="54" t="str">
        <f>IF($C35="B",INDEX(Batters[[#All],[T]],MATCH(Table5[[#This Row],[PID]],Batters[[#All],[PID]],0)),INDEX(Table3[[#All],[T]],MATCH(Table5[[#This Row],[PID]],Table3[[#All],[PID]],0)))</f>
        <v>R</v>
      </c>
      <c r="J35" s="54" t="str">
        <f>IF($C35="B",INDEX(Batters[[#All],[WE]],MATCH(Table5[[#This Row],[PID]],Batters[[#All],[PID]],0)),INDEX(Table3[[#All],[WE]],MATCH(Table5[[#This Row],[PID]],Table3[[#All],[PID]],0)))</f>
        <v>Normal</v>
      </c>
      <c r="K35" s="54" t="str">
        <f>IF($C35="B",INDEX(Batters[[#All],[INT]],MATCH(Table5[[#This Row],[PID]],Batters[[#All],[PID]],0)),INDEX(Table3[[#All],[INT]],MATCH(Table5[[#This Row],[PID]],Table3[[#All],[PID]],0)))</f>
        <v>Normal</v>
      </c>
      <c r="L35" s="62">
        <f>IF($C35="B",INDEX(Batters[[#All],[CON P]],MATCH(Table5[[#This Row],[PID]],Batters[[#All],[PID]],0)),INDEX(Table3[[#All],[STU P]],MATCH(Table5[[#This Row],[PID]],Table3[[#All],[PID]],0)))</f>
        <v>7</v>
      </c>
      <c r="M35" s="58">
        <f>IF($C35="B",INDEX(Batters[[#All],[GAP P]],MATCH(Table5[[#This Row],[PID]],Batters[[#All],[PID]],0)),INDEX(Table3[[#All],[MOV P]],MATCH(Table5[[#This Row],[PID]],Table3[[#All],[PID]],0)))</f>
        <v>5</v>
      </c>
      <c r="N35" s="58">
        <f>IF($C35="B",INDEX(Batters[[#All],[POW P]],MATCH(Table5[[#This Row],[PID]],Batters[[#All],[PID]],0)),INDEX(Table3[[#All],[CON P]],MATCH(Table5[[#This Row],[PID]],Table3[[#All],[PID]],0)))</f>
        <v>4</v>
      </c>
      <c r="O35" s="58" t="str">
        <f>IF($C35="B",INDEX(Batters[[#All],[EYE P]],MATCH(Table5[[#This Row],[PID]],Batters[[#All],[PID]],0)),INDEX(Table3[[#All],[VELO]],MATCH(Table5[[#This Row],[PID]],Table3[[#All],[PID]],0)))</f>
        <v>94-96 Mph</v>
      </c>
      <c r="P35" s="58">
        <f>IF($C35="B",INDEX(Batters[[#All],[K P]],MATCH(Table5[[#This Row],[PID]],Batters[[#All],[PID]],0)),INDEX(Table3[[#All],[STM]],MATCH(Table5[[#This Row],[PID]],Table3[[#All],[PID]],0)))</f>
        <v>7</v>
      </c>
      <c r="Q35" s="63">
        <f>IF($C35="B",INDEX(Batters[[#All],[Tot]],MATCH(Table5[[#This Row],[PID]],Batters[[#All],[PID]],0)),INDEX(Table3[[#All],[Tot]],MATCH(Table5[[#This Row],[PID]],Table3[[#All],[PID]],0)))</f>
        <v>59.273097601562085</v>
      </c>
      <c r="R35" s="54">
        <f>IF($C35="B",INDEX(Batters[[#All],[zScore]],MATCH(Table5[[#This Row],[PID]],Batters[[#All],[PID]],0)),INDEX(Table3[[#All],[zScore]],MATCH(Table5[[#This Row],[PID]],Table3[[#All],[PID]],0)))</f>
        <v>2.4348261274498535</v>
      </c>
      <c r="S35" s="60" t="str">
        <f>IF($C35="B",INDEX(Batters[[#All],[DEM]],MATCH(Table5[[#This Row],[PID]],Batters[[#All],[PID]],0)),INDEX(Table3[[#All],[DEM]],MATCH(Table5[[#This Row],[PID]],Table3[[#All],[PID]],0)))</f>
        <v>$80k</v>
      </c>
      <c r="T35" s="64">
        <f>IF($C35="B",VLOOKUP($A35,Bat!$A$4:$AU$1417,46,FALSE),VLOOKUP($A35,Pit!$A$4:$BD$570,55,FALSE))</f>
        <v>0</v>
      </c>
      <c r="U35" s="52">
        <f>IF($C35="B",VLOOKUP($A35,Bat!$A$4:$BA$1417,47,FALSE),VLOOKUP($A35,Pit!$A$4:$BF$570,56,FALSE))</f>
        <v>0</v>
      </c>
      <c r="V35" s="52">
        <f>IF($C35="B",VLOOKUP($A35,Bat!$A$4:$BA$1417,48,FALSE),VLOOKUP($A35,Pit!$A$4:$BF$570,57,FALSE))</f>
        <v>0</v>
      </c>
      <c r="W35" s="52">
        <f>Table5[[#This Row],[posRnk]]+Table5[[#This Row],[zRnk]]+IF($W$3&lt;&gt;Table5[[#This Row],[Type]],50,0)</f>
        <v>81</v>
      </c>
      <c r="X35" s="53">
        <f>RANK(Table5[[#This Row],[zScore]],Table5[[#All],[zScore]])</f>
        <v>31</v>
      </c>
      <c r="Y35" s="52" t="str">
        <f>IFERROR(INDEX(DraftResults[[#All],[OVR]],MATCH(Table5[[#This Row],[PID]],DraftResults[[#All],[Player ID]],0)),"")</f>
        <v/>
      </c>
      <c r="Z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" s="52" t="str">
        <f>IFERROR(INDEX(DraftResults[[#All],[Pick in Round]],MATCH(Table5[[#This Row],[PID]],DraftResults[[#All],[Player ID]],0)),"")</f>
        <v/>
      </c>
      <c r="AB35" s="52" t="str">
        <f>IFERROR(INDEX(DraftResults[[#All],[Team Name]],MATCH(Table5[[#This Row],[PID]],DraftResults[[#All],[Player ID]],0)),"")</f>
        <v/>
      </c>
      <c r="AC35" s="52" t="str">
        <f>IF(Table5[[#This Row],[Ovr]]="","",IF(Table5[[#This Row],[cmbList]]="","",Table5[[#This Row],[cmbList]]-Table5[[#This Row],[Ovr]]))</f>
        <v/>
      </c>
      <c r="AD35" s="56" t="str">
        <f>IF(ISERROR(VLOOKUP($AB35&amp;"-"&amp;$E35&amp;" "&amp;F35,Bonuses!$B$1:$G$1006,4,FALSE)),"",INT(VLOOKUP($AB35&amp;"-"&amp;$E35&amp;" "&amp;$F35,Bonuses!$B$1:$G$1006,4,FALSE)))</f>
        <v/>
      </c>
      <c r="AE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" spans="1:31" s="52" customFormat="1" x14ac:dyDescent="0.25">
      <c r="A36" s="52">
        <v>5173</v>
      </c>
      <c r="B36" s="52">
        <f>COUNTIF(Table5[PID],A36)</f>
        <v>1</v>
      </c>
      <c r="C36" s="52" t="str">
        <f>IF(COUNTIF(Table3[[#All],[PID]],A36)&gt;0,"P","B")</f>
        <v>P</v>
      </c>
      <c r="D36" s="61" t="str">
        <f>IF($C36="B",INDEX(Batters[[#All],[POS]],MATCH(Table5[[#This Row],[PID]],Batters[[#All],[PID]],0)),INDEX(Table3[[#All],[POS]],MATCH(Table5[[#This Row],[PID]],Table3[[#All],[PID]],0)))</f>
        <v>CL</v>
      </c>
      <c r="E36" s="54" t="str">
        <f>IF($C36="B",INDEX(Batters[[#All],[First]],MATCH(Table5[[#This Row],[PID]],Batters[[#All],[PID]],0)),INDEX(Table3[[#All],[First]],MATCH(Table5[[#This Row],[PID]],Table3[[#All],[PID]],0)))</f>
        <v>Lyndon</v>
      </c>
      <c r="F36" s="52" t="str">
        <f>IF($C36="B",INDEX(Batters[[#All],[Last]],MATCH(A36,Batters[[#All],[PID]],0)),INDEX(Table3[[#All],[Last]],MATCH(A36,Table3[[#All],[PID]],0)))</f>
        <v>Hoath</v>
      </c>
      <c r="G36" s="58">
        <f>IF($C36="B",INDEX(Batters[[#All],[Age]],MATCH(Table5[[#This Row],[PID]],Batters[[#All],[PID]],0)),INDEX(Table3[[#All],[Age]],MATCH(Table5[[#This Row],[PID]],Table3[[#All],[PID]],0)))</f>
        <v>21</v>
      </c>
      <c r="H36" s="54" t="str">
        <f>IF($C36="B",INDEX(Batters[[#All],[B]],MATCH(Table5[[#This Row],[PID]],Batters[[#All],[PID]],0)),INDEX(Table3[[#All],[B]],MATCH(Table5[[#This Row],[PID]],Table3[[#All],[PID]],0)))</f>
        <v>L</v>
      </c>
      <c r="I36" s="54" t="str">
        <f>IF($C36="B",INDEX(Batters[[#All],[T]],MATCH(Table5[[#This Row],[PID]],Batters[[#All],[PID]],0)),INDEX(Table3[[#All],[T]],MATCH(Table5[[#This Row],[PID]],Table3[[#All],[PID]],0)))</f>
        <v>R</v>
      </c>
      <c r="J36" s="54" t="str">
        <f>IF($C36="B",INDEX(Batters[[#All],[WE]],MATCH(Table5[[#This Row],[PID]],Batters[[#All],[PID]],0)),INDEX(Table3[[#All],[WE]],MATCH(Table5[[#This Row],[PID]],Table3[[#All],[PID]],0)))</f>
        <v>Normal</v>
      </c>
      <c r="K36" s="54" t="str">
        <f>IF($C36="B",INDEX(Batters[[#All],[INT]],MATCH(Table5[[#This Row],[PID]],Batters[[#All],[PID]],0)),INDEX(Table3[[#All],[INT]],MATCH(Table5[[#This Row],[PID]],Table3[[#All],[PID]],0)))</f>
        <v>Normal</v>
      </c>
      <c r="L36" s="62">
        <f>IF($C36="B",INDEX(Batters[[#All],[CON P]],MATCH(Table5[[#This Row],[PID]],Batters[[#All],[PID]],0)),INDEX(Table3[[#All],[STU P]],MATCH(Table5[[#This Row],[PID]],Table3[[#All],[PID]],0)))</f>
        <v>7</v>
      </c>
      <c r="M36" s="58">
        <f>IF($C36="B",INDEX(Batters[[#All],[GAP P]],MATCH(Table5[[#This Row],[PID]],Batters[[#All],[PID]],0)),INDEX(Table3[[#All],[MOV P]],MATCH(Table5[[#This Row],[PID]],Table3[[#All],[PID]],0)))</f>
        <v>5</v>
      </c>
      <c r="N36" s="58">
        <f>IF($C36="B",INDEX(Batters[[#All],[POW P]],MATCH(Table5[[#This Row],[PID]],Batters[[#All],[PID]],0)),INDEX(Table3[[#All],[CON P]],MATCH(Table5[[#This Row],[PID]],Table3[[#All],[PID]],0)))</f>
        <v>4</v>
      </c>
      <c r="O36" s="58" t="str">
        <f>IF($C36="B",INDEX(Batters[[#All],[EYE P]],MATCH(Table5[[#This Row],[PID]],Batters[[#All],[PID]],0)),INDEX(Table3[[#All],[VELO]],MATCH(Table5[[#This Row],[PID]],Table3[[#All],[PID]],0)))</f>
        <v>96-98 Mph</v>
      </c>
      <c r="P36" s="58">
        <f>IF($C36="B",INDEX(Batters[[#All],[K P]],MATCH(Table5[[#This Row],[PID]],Batters[[#All],[PID]],0)),INDEX(Table3[[#All],[STM]],MATCH(Table5[[#This Row],[PID]],Table3[[#All],[PID]],0)))</f>
        <v>6</v>
      </c>
      <c r="Q36" s="63">
        <f>IF($C36="B",INDEX(Batters[[#All],[Tot]],MATCH(Table5[[#This Row],[PID]],Batters[[#All],[PID]],0)),INDEX(Table3[[#All],[Tot]],MATCH(Table5[[#This Row],[PID]],Table3[[#All],[PID]],0)))</f>
        <v>59.208332346636212</v>
      </c>
      <c r="R36" s="54">
        <f>IF($C36="B",INDEX(Batters[[#All],[zScore]],MATCH(Table5[[#This Row],[PID]],Batters[[#All],[PID]],0)),INDEX(Table3[[#All],[zScore]],MATCH(Table5[[#This Row],[PID]],Table3[[#All],[PID]],0)))</f>
        <v>2.4288868767606338</v>
      </c>
      <c r="S36" s="60" t="str">
        <f>IF($C36="B",INDEX(Batters[[#All],[DEM]],MATCH(Table5[[#This Row],[PID]],Batters[[#All],[PID]],0)),INDEX(Table3[[#All],[DEM]],MATCH(Table5[[#This Row],[PID]],Table3[[#All],[PID]],0)))</f>
        <v>$110k</v>
      </c>
      <c r="T36" s="64">
        <f>IF($C36="B",VLOOKUP($A36,Bat!$A$4:$AU$1417,46,FALSE),VLOOKUP($A36,Pit!$A$4:$BD$570,55,FALSE))</f>
        <v>0</v>
      </c>
      <c r="U36" s="52">
        <f>IF($C36="B",VLOOKUP($A36,Bat!$A$4:$BA$1417,47,FALSE),VLOOKUP($A36,Pit!$A$4:$BF$570,56,FALSE))</f>
        <v>0</v>
      </c>
      <c r="V36" s="52">
        <f>IF($C36="B",VLOOKUP($A36,Bat!$A$4:$BA$1417,48,FALSE),VLOOKUP($A36,Pit!$A$4:$BF$570,57,FALSE))</f>
        <v>0</v>
      </c>
      <c r="W36" s="52">
        <f>Table5[[#This Row],[posRnk]]+Table5[[#This Row],[zRnk]]+IF($W$3&lt;&gt;Table5[[#This Row],[Type]],50,0)</f>
        <v>82</v>
      </c>
      <c r="X36" s="53">
        <f>RANK(Table5[[#This Row],[zScore]],Table5[[#All],[zScore]])</f>
        <v>32</v>
      </c>
      <c r="Y36" s="52" t="str">
        <f>IFERROR(INDEX(DraftResults[[#All],[OVR]],MATCH(Table5[[#This Row],[PID]],DraftResults[[#All],[Player ID]],0)),"")</f>
        <v/>
      </c>
      <c r="Z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" s="52" t="str">
        <f>IFERROR(INDEX(DraftResults[[#All],[Pick in Round]],MATCH(Table5[[#This Row],[PID]],DraftResults[[#All],[Player ID]],0)),"")</f>
        <v/>
      </c>
      <c r="AB36" s="52" t="str">
        <f>IFERROR(INDEX(DraftResults[[#All],[Team Name]],MATCH(Table5[[#This Row],[PID]],DraftResults[[#All],[Player ID]],0)),"")</f>
        <v/>
      </c>
      <c r="AC36" s="52" t="str">
        <f>IF(Table5[[#This Row],[Ovr]]="","",IF(Table5[[#This Row],[cmbList]]="","",Table5[[#This Row],[cmbList]]-Table5[[#This Row],[Ovr]]))</f>
        <v/>
      </c>
      <c r="AD36" s="56" t="str">
        <f>IF(ISERROR(VLOOKUP($AB36&amp;"-"&amp;$E36&amp;" "&amp;F36,Bonuses!$B$1:$G$1006,4,FALSE)),"",INT(VLOOKUP($AB36&amp;"-"&amp;$E36&amp;" "&amp;$F36,Bonuses!$B$1:$G$1006,4,FALSE)))</f>
        <v/>
      </c>
      <c r="AE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" spans="1:31" s="52" customFormat="1" x14ac:dyDescent="0.25">
      <c r="A37" s="52">
        <v>13044</v>
      </c>
      <c r="B37" s="52">
        <f>COUNTIF(Table5[PID],A37)</f>
        <v>1</v>
      </c>
      <c r="C37" s="52" t="str">
        <f>IF(COUNTIF(Table3[[#All],[PID]],A37)&gt;0,"P","B")</f>
        <v>P</v>
      </c>
      <c r="D37" s="61" t="str">
        <f>IF($C37="B",INDEX(Batters[[#All],[POS]],MATCH(Table5[[#This Row],[PID]],Batters[[#All],[PID]],0)),INDEX(Table3[[#All],[POS]],MATCH(Table5[[#This Row],[PID]],Table3[[#All],[PID]],0)))</f>
        <v>SP</v>
      </c>
      <c r="E37" s="54" t="str">
        <f>IF($C37="B",INDEX(Batters[[#All],[First]],MATCH(Table5[[#This Row],[PID]],Batters[[#All],[PID]],0)),INDEX(Table3[[#All],[First]],MATCH(Table5[[#This Row],[PID]],Table3[[#All],[PID]],0)))</f>
        <v>León</v>
      </c>
      <c r="F37" s="52" t="str">
        <f>IF($C37="B",INDEX(Batters[[#All],[Last]],MATCH(A37,Batters[[#All],[PID]],0)),INDEX(Table3[[#All],[Last]],MATCH(A37,Table3[[#All],[PID]],0)))</f>
        <v>Zamora</v>
      </c>
      <c r="G37" s="58">
        <f>IF($C37="B",INDEX(Batters[[#All],[Age]],MATCH(Table5[[#This Row],[PID]],Batters[[#All],[PID]],0)),INDEX(Table3[[#All],[Age]],MATCH(Table5[[#This Row],[PID]],Table3[[#All],[PID]],0)))</f>
        <v>17</v>
      </c>
      <c r="H37" s="54" t="str">
        <f>IF($C37="B",INDEX(Batters[[#All],[B]],MATCH(Table5[[#This Row],[PID]],Batters[[#All],[PID]],0)),INDEX(Table3[[#All],[B]],MATCH(Table5[[#This Row],[PID]],Table3[[#All],[PID]],0)))</f>
        <v>R</v>
      </c>
      <c r="I37" s="54" t="str">
        <f>IF($C37="B",INDEX(Batters[[#All],[T]],MATCH(Table5[[#This Row],[PID]],Batters[[#All],[PID]],0)),INDEX(Table3[[#All],[T]],MATCH(Table5[[#This Row],[PID]],Table3[[#All],[PID]],0)))</f>
        <v>R</v>
      </c>
      <c r="J37" s="54" t="str">
        <f>IF($C37="B",INDEX(Batters[[#All],[WE]],MATCH(Table5[[#This Row],[PID]],Batters[[#All],[PID]],0)),INDEX(Table3[[#All],[WE]],MATCH(Table5[[#This Row],[PID]],Table3[[#All],[PID]],0)))</f>
        <v>Normal</v>
      </c>
      <c r="K37" s="54" t="str">
        <f>IF($C37="B",INDEX(Batters[[#All],[INT]],MATCH(Table5[[#This Row],[PID]],Batters[[#All],[PID]],0)),INDEX(Table3[[#All],[INT]],MATCH(Table5[[#This Row],[PID]],Table3[[#All],[PID]],0)))</f>
        <v>Normal</v>
      </c>
      <c r="L37" s="62">
        <f>IF($C37="B",INDEX(Batters[[#All],[CON P]],MATCH(Table5[[#This Row],[PID]],Batters[[#All],[PID]],0)),INDEX(Table3[[#All],[STU P]],MATCH(Table5[[#This Row],[PID]],Table3[[#All],[PID]],0)))</f>
        <v>7</v>
      </c>
      <c r="M37" s="58">
        <f>IF($C37="B",INDEX(Batters[[#All],[GAP P]],MATCH(Table5[[#This Row],[PID]],Batters[[#All],[PID]],0)),INDEX(Table3[[#All],[MOV P]],MATCH(Table5[[#This Row],[PID]],Table3[[#All],[PID]],0)))</f>
        <v>6</v>
      </c>
      <c r="N37" s="58">
        <f>IF($C37="B",INDEX(Batters[[#All],[POW P]],MATCH(Table5[[#This Row],[PID]],Batters[[#All],[PID]],0)),INDEX(Table3[[#All],[CON P]],MATCH(Table5[[#This Row],[PID]],Table3[[#All],[PID]],0)))</f>
        <v>2</v>
      </c>
      <c r="O37" s="58" t="str">
        <f>IF($C37="B",INDEX(Batters[[#All],[EYE P]],MATCH(Table5[[#This Row],[PID]],Batters[[#All],[PID]],0)),INDEX(Table3[[#All],[VELO]],MATCH(Table5[[#This Row],[PID]],Table3[[#All],[PID]],0)))</f>
        <v>94-96 Mph</v>
      </c>
      <c r="P37" s="58">
        <f>IF($C37="B",INDEX(Batters[[#All],[K P]],MATCH(Table5[[#This Row],[PID]],Batters[[#All],[PID]],0)),INDEX(Table3[[#All],[STM]],MATCH(Table5[[#This Row],[PID]],Table3[[#All],[PID]],0)))</f>
        <v>8</v>
      </c>
      <c r="Q37" s="63">
        <f>IF($C37="B",INDEX(Batters[[#All],[Tot]],MATCH(Table5[[#This Row],[PID]],Batters[[#All],[PID]],0)),INDEX(Table3[[#All],[Tot]],MATCH(Table5[[#This Row],[PID]],Table3[[#All],[PID]],0)))</f>
        <v>58.364805421069839</v>
      </c>
      <c r="R37" s="54">
        <f>IF($C37="B",INDEX(Batters[[#All],[zScore]],MATCH(Table5[[#This Row],[PID]],Batters[[#All],[PID]],0)),INDEX(Table3[[#All],[zScore]],MATCH(Table5[[#This Row],[PID]],Table3[[#All],[PID]],0)))</f>
        <v>2.3515318523763442</v>
      </c>
      <c r="S37" s="60" t="str">
        <f>IF($C37="B",INDEX(Batters[[#All],[DEM]],MATCH(Table5[[#This Row],[PID]],Batters[[#All],[PID]],0)),INDEX(Table3[[#All],[DEM]],MATCH(Table5[[#This Row],[PID]],Table3[[#All],[PID]],0)))</f>
        <v>$1.1m</v>
      </c>
      <c r="T37" s="64">
        <f>IF($C37="B",VLOOKUP($A37,Bat!$A$4:$AU$1417,46,FALSE),VLOOKUP($A37,Pit!$A$4:$BD$570,55,FALSE))</f>
        <v>0</v>
      </c>
      <c r="U37" s="52">
        <f>IF($C37="B",VLOOKUP($A37,Bat!$A$4:$BA$1417,47,FALSE),VLOOKUP($A37,Pit!$A$4:$BF$570,56,FALSE))</f>
        <v>0</v>
      </c>
      <c r="V37" s="52">
        <f>IF($C37="B",VLOOKUP($A37,Bat!$A$4:$BA$1417,48,FALSE),VLOOKUP($A37,Pit!$A$4:$BF$570,57,FALSE))</f>
        <v>0</v>
      </c>
      <c r="W37" s="52">
        <f>Table5[[#This Row],[posRnk]]+Table5[[#This Row],[zRnk]]+IF($W$3&lt;&gt;Table5[[#This Row],[Type]],50,0)</f>
        <v>83</v>
      </c>
      <c r="X37" s="53">
        <f>RANK(Table5[[#This Row],[zScore]],Table5[[#All],[zScore]])</f>
        <v>33</v>
      </c>
      <c r="Y37" s="52" t="str">
        <f>IFERROR(INDEX(DraftResults[[#All],[OVR]],MATCH(Table5[[#This Row],[PID]],DraftResults[[#All],[Player ID]],0)),"")</f>
        <v/>
      </c>
      <c r="Z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" s="52" t="str">
        <f>IFERROR(INDEX(DraftResults[[#All],[Pick in Round]],MATCH(Table5[[#This Row],[PID]],DraftResults[[#All],[Player ID]],0)),"")</f>
        <v/>
      </c>
      <c r="AB37" s="52" t="str">
        <f>IFERROR(INDEX(DraftResults[[#All],[Team Name]],MATCH(Table5[[#This Row],[PID]],DraftResults[[#All],[Player ID]],0)),"")</f>
        <v/>
      </c>
      <c r="AC37" s="52" t="str">
        <f>IF(Table5[[#This Row],[Ovr]]="","",IF(Table5[[#This Row],[cmbList]]="","",Table5[[#This Row],[cmbList]]-Table5[[#This Row],[Ovr]]))</f>
        <v/>
      </c>
      <c r="AD37" s="56" t="str">
        <f>IF(ISERROR(VLOOKUP($AB37&amp;"-"&amp;$E37&amp;" "&amp;F37,Bonuses!$B$1:$G$1006,4,FALSE)),"",INT(VLOOKUP($AB37&amp;"-"&amp;$E37&amp;" "&amp;$F37,Bonuses!$B$1:$G$1006,4,FALSE)))</f>
        <v/>
      </c>
      <c r="AE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" spans="1:31" s="52" customFormat="1" x14ac:dyDescent="0.25">
      <c r="A38" s="52">
        <v>6362</v>
      </c>
      <c r="B38" s="52">
        <f>COUNTIF(Table5[PID],A38)</f>
        <v>1</v>
      </c>
      <c r="C38" s="52" t="str">
        <f>IF(COUNTIF(Table3[[#All],[PID]],A38)&gt;0,"P","B")</f>
        <v>P</v>
      </c>
      <c r="D38" s="61" t="str">
        <f>IF($C38="B",INDEX(Batters[[#All],[POS]],MATCH(Table5[[#This Row],[PID]],Batters[[#All],[PID]],0)),INDEX(Table3[[#All],[POS]],MATCH(Table5[[#This Row],[PID]],Table3[[#All],[PID]],0)))</f>
        <v>SP</v>
      </c>
      <c r="E38" s="54" t="str">
        <f>IF($C38="B",INDEX(Batters[[#All],[First]],MATCH(Table5[[#This Row],[PID]],Batters[[#All],[PID]],0)),INDEX(Table3[[#All],[First]],MATCH(Table5[[#This Row],[PID]],Table3[[#All],[PID]],0)))</f>
        <v>António</v>
      </c>
      <c r="F38" s="52" t="str">
        <f>IF($C38="B",INDEX(Batters[[#All],[Last]],MATCH(A38,Batters[[#All],[PID]],0)),INDEX(Table3[[#All],[Last]],MATCH(A38,Table3[[#All],[PID]],0)))</f>
        <v>Mata</v>
      </c>
      <c r="G38" s="58">
        <f>IF($C38="B",INDEX(Batters[[#All],[Age]],MATCH(Table5[[#This Row],[PID]],Batters[[#All],[PID]],0)),INDEX(Table3[[#All],[Age]],MATCH(Table5[[#This Row],[PID]],Table3[[#All],[PID]],0)))</f>
        <v>18</v>
      </c>
      <c r="H38" s="54" t="str">
        <f>IF($C38="B",INDEX(Batters[[#All],[B]],MATCH(Table5[[#This Row],[PID]],Batters[[#All],[PID]],0)),INDEX(Table3[[#All],[B]],MATCH(Table5[[#This Row],[PID]],Table3[[#All],[PID]],0)))</f>
        <v>L</v>
      </c>
      <c r="I38" s="54" t="str">
        <f>IF($C38="B",INDEX(Batters[[#All],[T]],MATCH(Table5[[#This Row],[PID]],Batters[[#All],[PID]],0)),INDEX(Table3[[#All],[T]],MATCH(Table5[[#This Row],[PID]],Table3[[#All],[PID]],0)))</f>
        <v>L</v>
      </c>
      <c r="J38" s="54" t="str">
        <f>IF($C38="B",INDEX(Batters[[#All],[WE]],MATCH(Table5[[#This Row],[PID]],Batters[[#All],[PID]],0)),INDEX(Table3[[#All],[WE]],MATCH(Table5[[#This Row],[PID]],Table3[[#All],[PID]],0)))</f>
        <v>High</v>
      </c>
      <c r="K38" s="54" t="str">
        <f>IF($C38="B",INDEX(Batters[[#All],[INT]],MATCH(Table5[[#This Row],[PID]],Batters[[#All],[PID]],0)),INDEX(Table3[[#All],[INT]],MATCH(Table5[[#This Row],[PID]],Table3[[#All],[PID]],0)))</f>
        <v>High</v>
      </c>
      <c r="L38" s="62">
        <f>IF($C38="B",INDEX(Batters[[#All],[CON P]],MATCH(Table5[[#This Row],[PID]],Batters[[#All],[PID]],0)),INDEX(Table3[[#All],[STU P]],MATCH(Table5[[#This Row],[PID]],Table3[[#All],[PID]],0)))</f>
        <v>5</v>
      </c>
      <c r="M38" s="58">
        <f>IF($C38="B",INDEX(Batters[[#All],[GAP P]],MATCH(Table5[[#This Row],[PID]],Batters[[#All],[PID]],0)),INDEX(Table3[[#All],[MOV P]],MATCH(Table5[[#This Row],[PID]],Table3[[#All],[PID]],0)))</f>
        <v>5</v>
      </c>
      <c r="N38" s="58">
        <f>IF($C38="B",INDEX(Batters[[#All],[POW P]],MATCH(Table5[[#This Row],[PID]],Batters[[#All],[PID]],0)),INDEX(Table3[[#All],[CON P]],MATCH(Table5[[#This Row],[PID]],Table3[[#All],[PID]],0)))</f>
        <v>4</v>
      </c>
      <c r="O38" s="58" t="str">
        <f>IF($C38="B",INDEX(Batters[[#All],[EYE P]],MATCH(Table5[[#This Row],[PID]],Batters[[#All],[PID]],0)),INDEX(Table3[[#All],[VELO]],MATCH(Table5[[#This Row],[PID]],Table3[[#All],[PID]],0)))</f>
        <v>91-93 Mph</v>
      </c>
      <c r="P38" s="58">
        <f>IF($C38="B",INDEX(Batters[[#All],[K P]],MATCH(Table5[[#This Row],[PID]],Batters[[#All],[PID]],0)),INDEX(Table3[[#All],[STM]],MATCH(Table5[[#This Row],[PID]],Table3[[#All],[PID]],0)))</f>
        <v>6</v>
      </c>
      <c r="Q38" s="63">
        <f>IF($C38="B",INDEX(Batters[[#All],[Tot]],MATCH(Table5[[#This Row],[PID]],Batters[[#All],[PID]],0)),INDEX(Table3[[#All],[Tot]],MATCH(Table5[[#This Row],[PID]],Table3[[#All],[PID]],0)))</f>
        <v>58.172592383390068</v>
      </c>
      <c r="R38" s="54">
        <f>IF($C38="B",INDEX(Batters[[#All],[zScore]],MATCH(Table5[[#This Row],[PID]],Batters[[#All],[PID]],0)),INDEX(Table3[[#All],[zScore]],MATCH(Table5[[#This Row],[PID]],Table3[[#All],[PID]],0)))</f>
        <v>2.3339050952853198</v>
      </c>
      <c r="S38" s="60" t="str">
        <f>IF($C38="B",INDEX(Batters[[#All],[DEM]],MATCH(Table5[[#This Row],[PID]],Batters[[#All],[PID]],0)),INDEX(Table3[[#All],[DEM]],MATCH(Table5[[#This Row],[PID]],Table3[[#All],[PID]],0)))</f>
        <v>$1.8m</v>
      </c>
      <c r="T38" s="64">
        <f>IF($C38="B",VLOOKUP($A38,Bat!$A$4:$AU$1417,46,FALSE),VLOOKUP($A38,Pit!$A$4:$BD$570,55,FALSE))</f>
        <v>0</v>
      </c>
      <c r="U38" s="52">
        <f>IF($C38="B",VLOOKUP($A38,Bat!$A$4:$BA$1417,47,FALSE),VLOOKUP($A38,Pit!$A$4:$BF$570,56,FALSE))</f>
        <v>0</v>
      </c>
      <c r="V38" s="52">
        <f>IF($C38="B",VLOOKUP($A38,Bat!$A$4:$BA$1417,48,FALSE),VLOOKUP($A38,Pit!$A$4:$BF$570,57,FALSE))</f>
        <v>0</v>
      </c>
      <c r="W38" s="52">
        <f>Table5[[#This Row],[posRnk]]+Table5[[#This Row],[zRnk]]+IF($W$3&lt;&gt;Table5[[#This Row],[Type]],50,0)</f>
        <v>84</v>
      </c>
      <c r="X38" s="53">
        <f>RANK(Table5[[#This Row],[zScore]],Table5[[#All],[zScore]])</f>
        <v>34</v>
      </c>
      <c r="Y38" s="52" t="str">
        <f>IFERROR(INDEX(DraftResults[[#All],[OVR]],MATCH(Table5[[#This Row],[PID]],DraftResults[[#All],[Player ID]],0)),"")</f>
        <v/>
      </c>
      <c r="Z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" s="52" t="str">
        <f>IFERROR(INDEX(DraftResults[[#All],[Pick in Round]],MATCH(Table5[[#This Row],[PID]],DraftResults[[#All],[Player ID]],0)),"")</f>
        <v/>
      </c>
      <c r="AB38" s="52" t="str">
        <f>IFERROR(INDEX(DraftResults[[#All],[Team Name]],MATCH(Table5[[#This Row],[PID]],DraftResults[[#All],[Player ID]],0)),"")</f>
        <v/>
      </c>
      <c r="AC38" s="52" t="str">
        <f>IF(Table5[[#This Row],[Ovr]]="","",IF(Table5[[#This Row],[cmbList]]="","",Table5[[#This Row],[cmbList]]-Table5[[#This Row],[Ovr]]))</f>
        <v/>
      </c>
      <c r="AD38" s="56" t="str">
        <f>IF(ISERROR(VLOOKUP($AB38&amp;"-"&amp;$E38&amp;" "&amp;F38,Bonuses!$B$1:$G$1006,4,FALSE)),"",INT(VLOOKUP($AB38&amp;"-"&amp;$E38&amp;" "&amp;$F38,Bonuses!$B$1:$G$1006,4,FALSE)))</f>
        <v/>
      </c>
      <c r="AE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" spans="1:31" s="52" customFormat="1" x14ac:dyDescent="0.25">
      <c r="A39" s="52">
        <v>9981</v>
      </c>
      <c r="B39" s="52">
        <f>COUNTIF(Table5[PID],A39)</f>
        <v>1</v>
      </c>
      <c r="C39" s="52" t="str">
        <f>IF(COUNTIF(Table3[[#All],[PID]],A39)&gt;0,"P","B")</f>
        <v>B</v>
      </c>
      <c r="D39" s="61" t="str">
        <f>IF($C39="B",INDEX(Batters[[#All],[POS]],MATCH(Table5[[#This Row],[PID]],Batters[[#All],[PID]],0)),INDEX(Table3[[#All],[POS]],MATCH(Table5[[#This Row],[PID]],Table3[[#All],[PID]],0)))</f>
        <v>2B</v>
      </c>
      <c r="E39" s="54" t="str">
        <f>IF($C39="B",INDEX(Batters[[#All],[First]],MATCH(Table5[[#This Row],[PID]],Batters[[#All],[PID]],0)),INDEX(Table3[[#All],[First]],MATCH(Table5[[#This Row],[PID]],Table3[[#All],[PID]],0)))</f>
        <v>Al</v>
      </c>
      <c r="F39" s="52" t="str">
        <f>IF($C39="B",INDEX(Batters[[#All],[Last]],MATCH(A39,Batters[[#All],[PID]],0)),INDEX(Table3[[#All],[Last]],MATCH(A39,Table3[[#All],[PID]],0)))</f>
        <v>MacPherson</v>
      </c>
      <c r="G39" s="58">
        <f>IF($C39="B",INDEX(Batters[[#All],[Age]],MATCH(Table5[[#This Row],[PID]],Batters[[#All],[PID]],0)),INDEX(Table3[[#All],[Age]],MATCH(Table5[[#This Row],[PID]],Table3[[#All],[PID]],0)))</f>
        <v>21</v>
      </c>
      <c r="H39" s="54" t="str">
        <f>IF($C39="B",INDEX(Batters[[#All],[B]],MATCH(Table5[[#This Row],[PID]],Batters[[#All],[PID]],0)),INDEX(Table3[[#All],[B]],MATCH(Table5[[#This Row],[PID]],Table3[[#All],[PID]],0)))</f>
        <v>R</v>
      </c>
      <c r="I39" s="54" t="str">
        <f>IF($C39="B",INDEX(Batters[[#All],[T]],MATCH(Table5[[#This Row],[PID]],Batters[[#All],[PID]],0)),INDEX(Table3[[#All],[T]],MATCH(Table5[[#This Row],[PID]],Table3[[#All],[PID]],0)))</f>
        <v>R</v>
      </c>
      <c r="J39" s="54" t="str">
        <f>IF($C39="B",INDEX(Batters[[#All],[WE]],MATCH(Table5[[#This Row],[PID]],Batters[[#All],[PID]],0)),INDEX(Table3[[#All],[WE]],MATCH(Table5[[#This Row],[PID]],Table3[[#All],[PID]],0)))</f>
        <v>Low</v>
      </c>
      <c r="K39" s="54" t="str">
        <f>IF($C39="B",INDEX(Batters[[#All],[INT]],MATCH(Table5[[#This Row],[PID]],Batters[[#All],[PID]],0)),INDEX(Table3[[#All],[INT]],MATCH(Table5[[#This Row],[PID]],Table3[[#All],[PID]],0)))</f>
        <v>Low</v>
      </c>
      <c r="L39" s="62">
        <f>IF($C39="B",INDEX(Batters[[#All],[CON P]],MATCH(Table5[[#This Row],[PID]],Batters[[#All],[PID]],0)),INDEX(Table3[[#All],[STU P]],MATCH(Table5[[#This Row],[PID]],Table3[[#All],[PID]],0)))</f>
        <v>6</v>
      </c>
      <c r="M39" s="58">
        <f>IF($C39="B",INDEX(Batters[[#All],[GAP P]],MATCH(Table5[[#This Row],[PID]],Batters[[#All],[PID]],0)),INDEX(Table3[[#All],[MOV P]],MATCH(Table5[[#This Row],[PID]],Table3[[#All],[PID]],0)))</f>
        <v>6</v>
      </c>
      <c r="N39" s="58">
        <f>IF($C39="B",INDEX(Batters[[#All],[POW P]],MATCH(Table5[[#This Row],[PID]],Batters[[#All],[PID]],0)),INDEX(Table3[[#All],[CON P]],MATCH(Table5[[#This Row],[PID]],Table3[[#All],[PID]],0)))</f>
        <v>5</v>
      </c>
      <c r="O39" s="58">
        <f>IF($C39="B",INDEX(Batters[[#All],[EYE P]],MATCH(Table5[[#This Row],[PID]],Batters[[#All],[PID]],0)),INDEX(Table3[[#All],[VELO]],MATCH(Table5[[#This Row],[PID]],Table3[[#All],[PID]],0)))</f>
        <v>5</v>
      </c>
      <c r="P39" s="58">
        <f>IF($C39="B",INDEX(Batters[[#All],[K P]],MATCH(Table5[[#This Row],[PID]],Batters[[#All],[PID]],0)),INDEX(Table3[[#All],[STM]],MATCH(Table5[[#This Row],[PID]],Table3[[#All],[PID]],0)))</f>
        <v>7</v>
      </c>
      <c r="Q39" s="63">
        <f>IF($C39="B",INDEX(Batters[[#All],[Tot]],MATCH(Table5[[#This Row],[PID]],Batters[[#All],[PID]],0)),INDEX(Table3[[#All],[Tot]],MATCH(Table5[[#This Row],[PID]],Table3[[#All],[PID]],0)))</f>
        <v>53.491857250722333</v>
      </c>
      <c r="R39" s="54">
        <f>IF($C39="B",INDEX(Batters[[#All],[zScore]],MATCH(Table5[[#This Row],[PID]],Batters[[#All],[PID]],0)),INDEX(Table3[[#All],[zScore]],MATCH(Table5[[#This Row],[PID]],Table3[[#All],[PID]],0)))</f>
        <v>2.3125308041766797</v>
      </c>
      <c r="S39" s="60" t="str">
        <f>IF($C39="B",INDEX(Batters[[#All],[DEM]],MATCH(Table5[[#This Row],[PID]],Batters[[#All],[PID]],0)),INDEX(Table3[[#All],[DEM]],MATCH(Table5[[#This Row],[PID]],Table3[[#All],[PID]],0)))</f>
        <v>$1.6m</v>
      </c>
      <c r="T39" s="64">
        <f>IF($C39="B",VLOOKUP($A39,Bat!$A$4:$AU$1417,46,FALSE),VLOOKUP($A39,Pit!$A$4:$BD$570,55,FALSE))</f>
        <v>0</v>
      </c>
      <c r="U39" s="52">
        <f>IF($C39="B",VLOOKUP($A39,Bat!$A$4:$BA$1417,47,FALSE),VLOOKUP($A39,Pit!$A$4:$BF$570,56,FALSE))</f>
        <v>0</v>
      </c>
      <c r="V39" s="52">
        <f>IF($C39="B",VLOOKUP($A39,Bat!$A$4:$BA$1417,48,FALSE),VLOOKUP($A39,Pit!$A$4:$BF$570,57,FALSE))</f>
        <v>0</v>
      </c>
      <c r="W39" s="52">
        <f>Table5[[#This Row],[posRnk]]+Table5[[#This Row],[zRnk]]+IF($W$3&lt;&gt;Table5[[#This Row],[Type]],50,0)</f>
        <v>85</v>
      </c>
      <c r="X39" s="53">
        <f>RANK(Table5[[#This Row],[zScore]],Table5[[#All],[zScore]])</f>
        <v>35</v>
      </c>
      <c r="Y39" s="52" t="str">
        <f>IFERROR(INDEX(DraftResults[[#All],[OVR]],MATCH(Table5[[#This Row],[PID]],DraftResults[[#All],[Player ID]],0)),"")</f>
        <v/>
      </c>
      <c r="Z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" s="52" t="str">
        <f>IFERROR(INDEX(DraftResults[[#All],[Pick in Round]],MATCH(Table5[[#This Row],[PID]],DraftResults[[#All],[Player ID]],0)),"")</f>
        <v/>
      </c>
      <c r="AB39" s="52" t="str">
        <f>IFERROR(INDEX(DraftResults[[#All],[Team Name]],MATCH(Table5[[#This Row],[PID]],DraftResults[[#All],[Player ID]],0)),"")</f>
        <v/>
      </c>
      <c r="AC39" s="52" t="str">
        <f>IF(Table5[[#This Row],[Ovr]]="","",IF(Table5[[#This Row],[cmbList]]="","",Table5[[#This Row],[cmbList]]-Table5[[#This Row],[Ovr]]))</f>
        <v/>
      </c>
      <c r="AD39" s="56" t="str">
        <f>IF(ISERROR(VLOOKUP($AB39&amp;"-"&amp;$E39&amp;" "&amp;F39,Bonuses!$B$1:$G$1006,4,FALSE)),"",INT(VLOOKUP($AB39&amp;"-"&amp;$E39&amp;" "&amp;$F39,Bonuses!$B$1:$G$1006,4,FALSE)))</f>
        <v/>
      </c>
      <c r="AE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" spans="1:31" s="52" customFormat="1" x14ac:dyDescent="0.25">
      <c r="A40" s="52">
        <v>7410</v>
      </c>
      <c r="B40" s="52">
        <f>COUNTIF(Table5[PID],A40)</f>
        <v>1</v>
      </c>
      <c r="C40" s="52" t="str">
        <f>IF(COUNTIF(Table3[[#All],[PID]],A40)&gt;0,"P","B")</f>
        <v>P</v>
      </c>
      <c r="D40" s="61" t="str">
        <f>IF($C40="B",INDEX(Batters[[#All],[POS]],MATCH(Table5[[#This Row],[PID]],Batters[[#All],[PID]],0)),INDEX(Table3[[#All],[POS]],MATCH(Table5[[#This Row],[PID]],Table3[[#All],[PID]],0)))</f>
        <v>SP</v>
      </c>
      <c r="E40" s="54" t="str">
        <f>IF($C40="B",INDEX(Batters[[#All],[First]],MATCH(Table5[[#This Row],[PID]],Batters[[#All],[PID]],0)),INDEX(Table3[[#All],[First]],MATCH(Table5[[#This Row],[PID]],Table3[[#All],[PID]],0)))</f>
        <v>Fraser</v>
      </c>
      <c r="F40" s="52" t="str">
        <f>IF($C40="B",INDEX(Batters[[#All],[Last]],MATCH(A40,Batters[[#All],[PID]],0)),INDEX(Table3[[#All],[Last]],MATCH(A40,Table3[[#All],[PID]],0)))</f>
        <v>MacNaughton</v>
      </c>
      <c r="G40" s="58">
        <f>IF($C40="B",INDEX(Batters[[#All],[Age]],MATCH(Table5[[#This Row],[PID]],Batters[[#All],[PID]],0)),INDEX(Table3[[#All],[Age]],MATCH(Table5[[#This Row],[PID]],Table3[[#All],[PID]],0)))</f>
        <v>21</v>
      </c>
      <c r="H40" s="54" t="str">
        <f>IF($C40="B",INDEX(Batters[[#All],[B]],MATCH(Table5[[#This Row],[PID]],Batters[[#All],[PID]],0)),INDEX(Table3[[#All],[B]],MATCH(Table5[[#This Row],[PID]],Table3[[#All],[PID]],0)))</f>
        <v>R</v>
      </c>
      <c r="I40" s="54" t="str">
        <f>IF($C40="B",INDEX(Batters[[#All],[T]],MATCH(Table5[[#This Row],[PID]],Batters[[#All],[PID]],0)),INDEX(Table3[[#All],[T]],MATCH(Table5[[#This Row],[PID]],Table3[[#All],[PID]],0)))</f>
        <v>R</v>
      </c>
      <c r="J40" s="54" t="str">
        <f>IF($C40="B",INDEX(Batters[[#All],[WE]],MATCH(Table5[[#This Row],[PID]],Batters[[#All],[PID]],0)),INDEX(Table3[[#All],[WE]],MATCH(Table5[[#This Row],[PID]],Table3[[#All],[PID]],0)))</f>
        <v>Normal</v>
      </c>
      <c r="K40" s="54" t="str">
        <f>IF($C40="B",INDEX(Batters[[#All],[INT]],MATCH(Table5[[#This Row],[PID]],Batters[[#All],[PID]],0)),INDEX(Table3[[#All],[INT]],MATCH(Table5[[#This Row],[PID]],Table3[[#All],[PID]],0)))</f>
        <v>High</v>
      </c>
      <c r="L40" s="62">
        <f>IF($C40="B",INDEX(Batters[[#All],[CON P]],MATCH(Table5[[#This Row],[PID]],Batters[[#All],[PID]],0)),INDEX(Table3[[#All],[STU P]],MATCH(Table5[[#This Row],[PID]],Table3[[#All],[PID]],0)))</f>
        <v>5</v>
      </c>
      <c r="M40" s="58">
        <f>IF($C40="B",INDEX(Batters[[#All],[GAP P]],MATCH(Table5[[#This Row],[PID]],Batters[[#All],[PID]],0)),INDEX(Table3[[#All],[MOV P]],MATCH(Table5[[#This Row],[PID]],Table3[[#All],[PID]],0)))</f>
        <v>5</v>
      </c>
      <c r="N40" s="58">
        <f>IF($C40="B",INDEX(Batters[[#All],[POW P]],MATCH(Table5[[#This Row],[PID]],Batters[[#All],[PID]],0)),INDEX(Table3[[#All],[CON P]],MATCH(Table5[[#This Row],[PID]],Table3[[#All],[PID]],0)))</f>
        <v>5</v>
      </c>
      <c r="O40" s="58" t="str">
        <f>IF($C40="B",INDEX(Batters[[#All],[EYE P]],MATCH(Table5[[#This Row],[PID]],Batters[[#All],[PID]],0)),INDEX(Table3[[#All],[VELO]],MATCH(Table5[[#This Row],[PID]],Table3[[#All],[PID]],0)))</f>
        <v>94-96 Mph</v>
      </c>
      <c r="P40" s="58">
        <f>IF($C40="B",INDEX(Batters[[#All],[K P]],MATCH(Table5[[#This Row],[PID]],Batters[[#All],[PID]],0)),INDEX(Table3[[#All],[STM]],MATCH(Table5[[#This Row],[PID]],Table3[[#All],[PID]],0)))</f>
        <v>8</v>
      </c>
      <c r="Q40" s="63">
        <f>IF($C40="B",INDEX(Batters[[#All],[Tot]],MATCH(Table5[[#This Row],[PID]],Batters[[#All],[PID]],0)),INDEX(Table3[[#All],[Tot]],MATCH(Table5[[#This Row],[PID]],Table3[[#All],[PID]],0)))</f>
        <v>57.703025393443781</v>
      </c>
      <c r="R40" s="54">
        <f>IF($C40="B",INDEX(Batters[[#All],[zScore]],MATCH(Table5[[#This Row],[PID]],Batters[[#All],[PID]],0)),INDEX(Table3[[#All],[zScore]],MATCH(Table5[[#This Row],[PID]],Table3[[#All],[PID]],0)))</f>
        <v>2.2908437953357499</v>
      </c>
      <c r="S40" s="60" t="str">
        <f>IF($C40="B",INDEX(Batters[[#All],[DEM]],MATCH(Table5[[#This Row],[PID]],Batters[[#All],[PID]],0)),INDEX(Table3[[#All],[DEM]],MATCH(Table5[[#This Row],[PID]],Table3[[#All],[PID]],0)))</f>
        <v>$2.0m</v>
      </c>
      <c r="T40" s="64">
        <f>IF($C40="B",VLOOKUP($A40,Bat!$A$4:$AU$1417,46,FALSE),VLOOKUP($A40,Pit!$A$4:$BD$570,55,FALSE))</f>
        <v>0</v>
      </c>
      <c r="U40" s="52">
        <f>IF($C40="B",VLOOKUP($A40,Bat!$A$4:$BA$1417,47,FALSE),VLOOKUP($A40,Pit!$A$4:$BF$570,56,FALSE))</f>
        <v>0</v>
      </c>
      <c r="V40" s="52">
        <f>IF($C40="B",VLOOKUP($A40,Bat!$A$4:$BA$1417,48,FALSE),VLOOKUP($A40,Pit!$A$4:$BF$570,57,FALSE))</f>
        <v>0</v>
      </c>
      <c r="W40" s="52">
        <f>Table5[[#This Row],[posRnk]]+Table5[[#This Row],[zRnk]]+IF($W$3&lt;&gt;Table5[[#This Row],[Type]],50,0)</f>
        <v>86</v>
      </c>
      <c r="X40" s="53">
        <f>RANK(Table5[[#This Row],[zScore]],Table5[[#All],[zScore]])</f>
        <v>36</v>
      </c>
      <c r="Y40" s="52" t="str">
        <f>IFERROR(INDEX(DraftResults[[#All],[OVR]],MATCH(Table5[[#This Row],[PID]],DraftResults[[#All],[Player ID]],0)),"")</f>
        <v/>
      </c>
      <c r="Z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" s="52" t="str">
        <f>IFERROR(INDEX(DraftResults[[#All],[Pick in Round]],MATCH(Table5[[#This Row],[PID]],DraftResults[[#All],[Player ID]],0)),"")</f>
        <v/>
      </c>
      <c r="AB40" s="52" t="str">
        <f>IFERROR(INDEX(DraftResults[[#All],[Team Name]],MATCH(Table5[[#This Row],[PID]],DraftResults[[#All],[Player ID]],0)),"")</f>
        <v/>
      </c>
      <c r="AC40" s="52" t="str">
        <f>IF(Table5[[#This Row],[Ovr]]="","",IF(Table5[[#This Row],[cmbList]]="","",Table5[[#This Row],[cmbList]]-Table5[[#This Row],[Ovr]]))</f>
        <v/>
      </c>
      <c r="AD40" s="56" t="str">
        <f>IF(ISERROR(VLOOKUP($AB40&amp;"-"&amp;$E40&amp;" "&amp;F40,Bonuses!$B$1:$G$1006,4,FALSE)),"",INT(VLOOKUP($AB40&amp;"-"&amp;$E40&amp;" "&amp;$F40,Bonuses!$B$1:$G$1006,4,FALSE)))</f>
        <v/>
      </c>
      <c r="AE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" spans="1:31" s="52" customFormat="1" x14ac:dyDescent="0.25">
      <c r="A41" s="52">
        <v>7291</v>
      </c>
      <c r="B41" s="52">
        <f>COUNTIF(Table5[PID],A41)</f>
        <v>1</v>
      </c>
      <c r="C41" s="52" t="str">
        <f>IF(COUNTIF(Table3[[#All],[PID]],A41)&gt;0,"P","B")</f>
        <v>P</v>
      </c>
      <c r="D41" s="61" t="str">
        <f>IF($C41="B",INDEX(Batters[[#All],[POS]],MATCH(Table5[[#This Row],[PID]],Batters[[#All],[PID]],0)),INDEX(Table3[[#All],[POS]],MATCH(Table5[[#This Row],[PID]],Table3[[#All],[PID]],0)))</f>
        <v>SP</v>
      </c>
      <c r="E41" s="54" t="str">
        <f>IF($C41="B",INDEX(Batters[[#All],[First]],MATCH(Table5[[#This Row],[PID]],Batters[[#All],[PID]],0)),INDEX(Table3[[#All],[First]],MATCH(Table5[[#This Row],[PID]],Table3[[#All],[PID]],0)))</f>
        <v>José</v>
      </c>
      <c r="F41" s="52" t="str">
        <f>IF($C41="B",INDEX(Batters[[#All],[Last]],MATCH(A41,Batters[[#All],[PID]],0)),INDEX(Table3[[#All],[Last]],MATCH(A41,Table3[[#All],[PID]],0)))</f>
        <v>Figueroa</v>
      </c>
      <c r="G41" s="58">
        <f>IF($C41="B",INDEX(Batters[[#All],[Age]],MATCH(Table5[[#This Row],[PID]],Batters[[#All],[PID]],0)),INDEX(Table3[[#All],[Age]],MATCH(Table5[[#This Row],[PID]],Table3[[#All],[PID]],0)))</f>
        <v>21</v>
      </c>
      <c r="H41" s="54" t="str">
        <f>IF($C41="B",INDEX(Batters[[#All],[B]],MATCH(Table5[[#This Row],[PID]],Batters[[#All],[PID]],0)),INDEX(Table3[[#All],[B]],MATCH(Table5[[#This Row],[PID]],Table3[[#All],[PID]],0)))</f>
        <v>R</v>
      </c>
      <c r="I41" s="54" t="str">
        <f>IF($C41="B",INDEX(Batters[[#All],[T]],MATCH(Table5[[#This Row],[PID]],Batters[[#All],[PID]],0)),INDEX(Table3[[#All],[T]],MATCH(Table5[[#This Row],[PID]],Table3[[#All],[PID]],0)))</f>
        <v>R</v>
      </c>
      <c r="J41" s="54" t="str">
        <f>IF($C41="B",INDEX(Batters[[#All],[WE]],MATCH(Table5[[#This Row],[PID]],Batters[[#All],[PID]],0)),INDEX(Table3[[#All],[WE]],MATCH(Table5[[#This Row],[PID]],Table3[[#All],[PID]],0)))</f>
        <v>Low</v>
      </c>
      <c r="K41" s="54" t="str">
        <f>IF($C41="B",INDEX(Batters[[#All],[INT]],MATCH(Table5[[#This Row],[PID]],Batters[[#All],[PID]],0)),INDEX(Table3[[#All],[INT]],MATCH(Table5[[#This Row],[PID]],Table3[[#All],[PID]],0)))</f>
        <v>Normal</v>
      </c>
      <c r="L41" s="62">
        <f>IF($C41="B",INDEX(Batters[[#All],[CON P]],MATCH(Table5[[#This Row],[PID]],Batters[[#All],[PID]],0)),INDEX(Table3[[#All],[STU P]],MATCH(Table5[[#This Row],[PID]],Table3[[#All],[PID]],0)))</f>
        <v>5</v>
      </c>
      <c r="M41" s="58">
        <f>IF($C41="B",INDEX(Batters[[#All],[GAP P]],MATCH(Table5[[#This Row],[PID]],Batters[[#All],[PID]],0)),INDEX(Table3[[#All],[MOV P]],MATCH(Table5[[#This Row],[PID]],Table3[[#All],[PID]],0)))</f>
        <v>4</v>
      </c>
      <c r="N41" s="58">
        <f>IF($C41="B",INDEX(Batters[[#All],[POW P]],MATCH(Table5[[#This Row],[PID]],Batters[[#All],[PID]],0)),INDEX(Table3[[#All],[CON P]],MATCH(Table5[[#This Row],[PID]],Table3[[#All],[PID]],0)))</f>
        <v>6</v>
      </c>
      <c r="O41" s="58" t="str">
        <f>IF($C41="B",INDEX(Batters[[#All],[EYE P]],MATCH(Table5[[#This Row],[PID]],Batters[[#All],[PID]],0)),INDEX(Table3[[#All],[VELO]],MATCH(Table5[[#This Row],[PID]],Table3[[#All],[PID]],0)))</f>
        <v>93-95 Mph</v>
      </c>
      <c r="P41" s="58">
        <f>IF($C41="B",INDEX(Batters[[#All],[K P]],MATCH(Table5[[#This Row],[PID]],Batters[[#All],[PID]],0)),INDEX(Table3[[#All],[STM]],MATCH(Table5[[#This Row],[PID]],Table3[[#All],[PID]],0)))</f>
        <v>6</v>
      </c>
      <c r="Q41" s="63">
        <f>IF($C41="B",INDEX(Batters[[#All],[Tot]],MATCH(Table5[[#This Row],[PID]],Batters[[#All],[PID]],0)),INDEX(Table3[[#All],[Tot]],MATCH(Table5[[#This Row],[PID]],Table3[[#All],[PID]],0)))</f>
        <v>57.669202554789948</v>
      </c>
      <c r="R41" s="54">
        <f>IF($C41="B",INDEX(Batters[[#All],[zScore]],MATCH(Table5[[#This Row],[PID]],Batters[[#All],[PID]],0)),INDEX(Table3[[#All],[zScore]],MATCH(Table5[[#This Row],[PID]],Table3[[#All],[PID]],0)))</f>
        <v>2.2877420964693425</v>
      </c>
      <c r="S41" s="60" t="str">
        <f>IF($C41="B",INDEX(Batters[[#All],[DEM]],MATCH(Table5[[#This Row],[PID]],Batters[[#All],[PID]],0)),INDEX(Table3[[#All],[DEM]],MATCH(Table5[[#This Row],[PID]],Table3[[#All],[PID]],0)))</f>
        <v>$220k</v>
      </c>
      <c r="T41" s="64">
        <f>IF($C41="B",VLOOKUP($A41,Bat!$A$4:$AU$1417,46,FALSE),VLOOKUP($A41,Pit!$A$4:$BD$570,55,FALSE))</f>
        <v>0</v>
      </c>
      <c r="U41" s="52">
        <f>IF($C41="B",VLOOKUP($A41,Bat!$A$4:$BA$1417,47,FALSE),VLOOKUP($A41,Pit!$A$4:$BF$570,56,FALSE))</f>
        <v>0</v>
      </c>
      <c r="V41" s="52">
        <f>IF($C41="B",VLOOKUP($A41,Bat!$A$4:$BA$1417,48,FALSE),VLOOKUP($A41,Pit!$A$4:$BF$570,57,FALSE))</f>
        <v>0</v>
      </c>
      <c r="W41" s="52">
        <f>Table5[[#This Row],[posRnk]]+Table5[[#This Row],[zRnk]]+IF($W$3&lt;&gt;Table5[[#This Row],[Type]],50,0)</f>
        <v>87</v>
      </c>
      <c r="X41" s="53">
        <f>RANK(Table5[[#This Row],[zScore]],Table5[[#All],[zScore]])</f>
        <v>37</v>
      </c>
      <c r="Y41" s="52" t="str">
        <f>IFERROR(INDEX(DraftResults[[#All],[OVR]],MATCH(Table5[[#This Row],[PID]],DraftResults[[#All],[Player ID]],0)),"")</f>
        <v/>
      </c>
      <c r="Z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" s="52" t="str">
        <f>IFERROR(INDEX(DraftResults[[#All],[Pick in Round]],MATCH(Table5[[#This Row],[PID]],DraftResults[[#All],[Player ID]],0)),"")</f>
        <v/>
      </c>
      <c r="AB41" s="52" t="str">
        <f>IFERROR(INDEX(DraftResults[[#All],[Team Name]],MATCH(Table5[[#This Row],[PID]],DraftResults[[#All],[Player ID]],0)),"")</f>
        <v/>
      </c>
      <c r="AC41" s="52" t="str">
        <f>IF(Table5[[#This Row],[Ovr]]="","",IF(Table5[[#This Row],[cmbList]]="","",Table5[[#This Row],[cmbList]]-Table5[[#This Row],[Ovr]]))</f>
        <v/>
      </c>
      <c r="AD41" s="56" t="str">
        <f>IF(ISERROR(VLOOKUP($AB41&amp;"-"&amp;$E41&amp;" "&amp;F41,Bonuses!$B$1:$G$1006,4,FALSE)),"",INT(VLOOKUP($AB41&amp;"-"&amp;$E41&amp;" "&amp;$F41,Bonuses!$B$1:$G$1006,4,FALSE)))</f>
        <v/>
      </c>
      <c r="AE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" spans="1:31" s="52" customFormat="1" x14ac:dyDescent="0.25">
      <c r="A42" s="52">
        <v>17611</v>
      </c>
      <c r="B42" s="52">
        <f>COUNTIF(Table5[PID],A42)</f>
        <v>1</v>
      </c>
      <c r="C42" s="52" t="str">
        <f>IF(COUNTIF(Table3[[#All],[PID]],A42)&gt;0,"P","B")</f>
        <v>P</v>
      </c>
      <c r="D42" s="61" t="str">
        <f>IF($C42="B",INDEX(Batters[[#All],[POS]],MATCH(Table5[[#This Row],[PID]],Batters[[#All],[PID]],0)),INDEX(Table3[[#All],[POS]],MATCH(Table5[[#This Row],[PID]],Table3[[#All],[PID]],0)))</f>
        <v>SP</v>
      </c>
      <c r="E42" s="54" t="str">
        <f>IF($C42="B",INDEX(Batters[[#All],[First]],MATCH(Table5[[#This Row],[PID]],Batters[[#All],[PID]],0)),INDEX(Table3[[#All],[First]],MATCH(Table5[[#This Row],[PID]],Table3[[#All],[PID]],0)))</f>
        <v>Robert</v>
      </c>
      <c r="F42" s="52" t="str">
        <f>IF($C42="B",INDEX(Batters[[#All],[Last]],MATCH(A42,Batters[[#All],[PID]],0)),INDEX(Table3[[#All],[Last]],MATCH(A42,Table3[[#All],[PID]],0)))</f>
        <v>Haines</v>
      </c>
      <c r="G42" s="58">
        <f>IF($C42="B",INDEX(Batters[[#All],[Age]],MATCH(Table5[[#This Row],[PID]],Batters[[#All],[PID]],0)),INDEX(Table3[[#All],[Age]],MATCH(Table5[[#This Row],[PID]],Table3[[#All],[PID]],0)))</f>
        <v>18</v>
      </c>
      <c r="H42" s="54" t="str">
        <f>IF($C42="B",INDEX(Batters[[#All],[B]],MATCH(Table5[[#This Row],[PID]],Batters[[#All],[PID]],0)),INDEX(Table3[[#All],[B]],MATCH(Table5[[#This Row],[PID]],Table3[[#All],[PID]],0)))</f>
        <v>L</v>
      </c>
      <c r="I42" s="54" t="str">
        <f>IF($C42="B",INDEX(Batters[[#All],[T]],MATCH(Table5[[#This Row],[PID]],Batters[[#All],[PID]],0)),INDEX(Table3[[#All],[T]],MATCH(Table5[[#This Row],[PID]],Table3[[#All],[PID]],0)))</f>
        <v>L</v>
      </c>
      <c r="J42" s="54" t="str">
        <f>IF($C42="B",INDEX(Batters[[#All],[WE]],MATCH(Table5[[#This Row],[PID]],Batters[[#All],[PID]],0)),INDEX(Table3[[#All],[WE]],MATCH(Table5[[#This Row],[PID]],Table3[[#All],[PID]],0)))</f>
        <v>Normal</v>
      </c>
      <c r="K42" s="54" t="str">
        <f>IF($C42="B",INDEX(Batters[[#All],[INT]],MATCH(Table5[[#This Row],[PID]],Batters[[#All],[PID]],0)),INDEX(Table3[[#All],[INT]],MATCH(Table5[[#This Row],[PID]],Table3[[#All],[PID]],0)))</f>
        <v>High</v>
      </c>
      <c r="L42" s="62">
        <f>IF($C42="B",INDEX(Batters[[#All],[CON P]],MATCH(Table5[[#This Row],[PID]],Batters[[#All],[PID]],0)),INDEX(Table3[[#All],[STU P]],MATCH(Table5[[#This Row],[PID]],Table3[[#All],[PID]],0)))</f>
        <v>4</v>
      </c>
      <c r="M42" s="58">
        <f>IF($C42="B",INDEX(Batters[[#All],[GAP P]],MATCH(Table5[[#This Row],[PID]],Batters[[#All],[PID]],0)),INDEX(Table3[[#All],[MOV P]],MATCH(Table5[[#This Row],[PID]],Table3[[#All],[PID]],0)))</f>
        <v>5</v>
      </c>
      <c r="N42" s="58">
        <f>IF($C42="B",INDEX(Batters[[#All],[POW P]],MATCH(Table5[[#This Row],[PID]],Batters[[#All],[PID]],0)),INDEX(Table3[[#All],[CON P]],MATCH(Table5[[#This Row],[PID]],Table3[[#All],[PID]],0)))</f>
        <v>5</v>
      </c>
      <c r="O42" s="58" t="str">
        <f>IF($C42="B",INDEX(Batters[[#All],[EYE P]],MATCH(Table5[[#This Row],[PID]],Batters[[#All],[PID]],0)),INDEX(Table3[[#All],[VELO]],MATCH(Table5[[#This Row],[PID]],Table3[[#All],[PID]],0)))</f>
        <v>88-90 Mph</v>
      </c>
      <c r="P42" s="58">
        <f>IF($C42="B",INDEX(Batters[[#All],[K P]],MATCH(Table5[[#This Row],[PID]],Batters[[#All],[PID]],0)),INDEX(Table3[[#All],[STM]],MATCH(Table5[[#This Row],[PID]],Table3[[#All],[PID]],0)))</f>
        <v>9</v>
      </c>
      <c r="Q42" s="63">
        <f>IF($C42="B",INDEX(Batters[[#All],[Tot]],MATCH(Table5[[#This Row],[PID]],Batters[[#All],[PID]],0)),INDEX(Table3[[#All],[Tot]],MATCH(Table5[[#This Row],[PID]],Table3[[#All],[PID]],0)))</f>
        <v>57.380661820365646</v>
      </c>
      <c r="R42" s="54">
        <f>IF($C42="B",INDEX(Batters[[#All],[zScore]],MATCH(Table5[[#This Row],[PID]],Batters[[#All],[PID]],0)),INDEX(Table3[[#All],[zScore]],MATCH(Table5[[#This Row],[PID]],Table3[[#All],[PID]],0)))</f>
        <v>2.2612816778736158</v>
      </c>
      <c r="S42" s="60" t="str">
        <f>IF($C42="B",INDEX(Batters[[#All],[DEM]],MATCH(Table5[[#This Row],[PID]],Batters[[#All],[PID]],0)),INDEX(Table3[[#All],[DEM]],MATCH(Table5[[#This Row],[PID]],Table3[[#All],[PID]],0)))</f>
        <v>$190k</v>
      </c>
      <c r="T42" s="64">
        <f>IF($C42="B",VLOOKUP($A42,Bat!$A$4:$AU$1417,46,FALSE),VLOOKUP($A42,Pit!$A$4:$BD$570,55,FALSE))</f>
        <v>0</v>
      </c>
      <c r="U42" s="52">
        <f>IF($C42="B",VLOOKUP($A42,Bat!$A$4:$BA$1417,47,FALSE),VLOOKUP($A42,Pit!$A$4:$BF$570,56,FALSE))</f>
        <v>0</v>
      </c>
      <c r="V42" s="52">
        <f>IF($C42="B",VLOOKUP($A42,Bat!$A$4:$BA$1417,48,FALSE),VLOOKUP($A42,Pit!$A$4:$BF$570,57,FALSE))</f>
        <v>0</v>
      </c>
      <c r="W42" s="52">
        <f>Table5[[#This Row],[posRnk]]+Table5[[#This Row],[zRnk]]+IF($W$3&lt;&gt;Table5[[#This Row],[Type]],50,0)</f>
        <v>88</v>
      </c>
      <c r="X42" s="53">
        <f>RANK(Table5[[#This Row],[zScore]],Table5[[#All],[zScore]])</f>
        <v>38</v>
      </c>
      <c r="Y42" s="52" t="str">
        <f>IFERROR(INDEX(DraftResults[[#All],[OVR]],MATCH(Table5[[#This Row],[PID]],DraftResults[[#All],[Player ID]],0)),"")</f>
        <v/>
      </c>
      <c r="Z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" s="52" t="str">
        <f>IFERROR(INDEX(DraftResults[[#All],[Pick in Round]],MATCH(Table5[[#This Row],[PID]],DraftResults[[#All],[Player ID]],0)),"")</f>
        <v/>
      </c>
      <c r="AB42" s="52" t="str">
        <f>IFERROR(INDEX(DraftResults[[#All],[Team Name]],MATCH(Table5[[#This Row],[PID]],DraftResults[[#All],[Player ID]],0)),"")</f>
        <v/>
      </c>
      <c r="AC42" s="52" t="str">
        <f>IF(Table5[[#This Row],[Ovr]]="","",IF(Table5[[#This Row],[cmbList]]="","",Table5[[#This Row],[cmbList]]-Table5[[#This Row],[Ovr]]))</f>
        <v/>
      </c>
      <c r="AD42" s="56" t="str">
        <f>IF(ISERROR(VLOOKUP($AB42&amp;"-"&amp;$E42&amp;" "&amp;F42,Bonuses!$B$1:$G$1006,4,FALSE)),"",INT(VLOOKUP($AB42&amp;"-"&amp;$E42&amp;" "&amp;$F42,Bonuses!$B$1:$G$1006,4,FALSE)))</f>
        <v/>
      </c>
      <c r="AE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" spans="1:31" s="52" customFormat="1" x14ac:dyDescent="0.25">
      <c r="A43" s="52">
        <v>11503</v>
      </c>
      <c r="B43" s="52">
        <f>COUNTIF(Table5[PID],A43)</f>
        <v>1</v>
      </c>
      <c r="C43" s="52" t="str">
        <f>IF(COUNTIF(Table3[[#All],[PID]],A43)&gt;0,"P","B")</f>
        <v>P</v>
      </c>
      <c r="D43" s="61" t="str">
        <f>IF($C43="B",INDEX(Batters[[#All],[POS]],MATCH(Table5[[#This Row],[PID]],Batters[[#All],[PID]],0)),INDEX(Table3[[#All],[POS]],MATCH(Table5[[#This Row],[PID]],Table3[[#All],[PID]],0)))</f>
        <v>CL</v>
      </c>
      <c r="E43" s="54" t="str">
        <f>IF($C43="B",INDEX(Batters[[#All],[First]],MATCH(Table5[[#This Row],[PID]],Batters[[#All],[PID]],0)),INDEX(Table3[[#All],[First]],MATCH(Table5[[#This Row],[PID]],Table3[[#All],[PID]],0)))</f>
        <v>Tadamichi</v>
      </c>
      <c r="F43" s="52" t="str">
        <f>IF($C43="B",INDEX(Batters[[#All],[Last]],MATCH(A43,Batters[[#All],[PID]],0)),INDEX(Table3[[#All],[Last]],MATCH(A43,Table3[[#All],[PID]],0)))</f>
        <v>Jouon</v>
      </c>
      <c r="G43" s="58">
        <f>IF($C43="B",INDEX(Batters[[#All],[Age]],MATCH(Table5[[#This Row],[PID]],Batters[[#All],[PID]],0)),INDEX(Table3[[#All],[Age]],MATCH(Table5[[#This Row],[PID]],Table3[[#All],[PID]],0)))</f>
        <v>18</v>
      </c>
      <c r="H43" s="54" t="str">
        <f>IF($C43="B",INDEX(Batters[[#All],[B]],MATCH(Table5[[#This Row],[PID]],Batters[[#All],[PID]],0)),INDEX(Table3[[#All],[B]],MATCH(Table5[[#This Row],[PID]],Table3[[#All],[PID]],0)))</f>
        <v>R</v>
      </c>
      <c r="I43" s="54" t="str">
        <f>IF($C43="B",INDEX(Batters[[#All],[T]],MATCH(Table5[[#This Row],[PID]],Batters[[#All],[PID]],0)),INDEX(Table3[[#All],[T]],MATCH(Table5[[#This Row],[PID]],Table3[[#All],[PID]],0)))</f>
        <v>R</v>
      </c>
      <c r="J43" s="54" t="str">
        <f>IF($C43="B",INDEX(Batters[[#All],[WE]],MATCH(Table5[[#This Row],[PID]],Batters[[#All],[PID]],0)),INDEX(Table3[[#All],[WE]],MATCH(Table5[[#This Row],[PID]],Table3[[#All],[PID]],0)))</f>
        <v>Normal</v>
      </c>
      <c r="K43" s="54" t="str">
        <f>IF($C43="B",INDEX(Batters[[#All],[INT]],MATCH(Table5[[#This Row],[PID]],Batters[[#All],[PID]],0)),INDEX(Table3[[#All],[INT]],MATCH(Table5[[#This Row],[PID]],Table3[[#All],[PID]],0)))</f>
        <v>High</v>
      </c>
      <c r="L43" s="62">
        <f>IF($C43="B",INDEX(Batters[[#All],[CON P]],MATCH(Table5[[#This Row],[PID]],Batters[[#All],[PID]],0)),INDEX(Table3[[#All],[STU P]],MATCH(Table5[[#This Row],[PID]],Table3[[#All],[PID]],0)))</f>
        <v>6</v>
      </c>
      <c r="M43" s="58">
        <f>IF($C43="B",INDEX(Batters[[#All],[GAP P]],MATCH(Table5[[#This Row],[PID]],Batters[[#All],[PID]],0)),INDEX(Table3[[#All],[MOV P]],MATCH(Table5[[#This Row],[PID]],Table3[[#All],[PID]],0)))</f>
        <v>4</v>
      </c>
      <c r="N43" s="58">
        <f>IF($C43="B",INDEX(Batters[[#All],[POW P]],MATCH(Table5[[#This Row],[PID]],Batters[[#All],[PID]],0)),INDEX(Table3[[#All],[CON P]],MATCH(Table5[[#This Row],[PID]],Table3[[#All],[PID]],0)))</f>
        <v>5</v>
      </c>
      <c r="O43" s="58" t="str">
        <f>IF($C43="B",INDEX(Batters[[#All],[EYE P]],MATCH(Table5[[#This Row],[PID]],Batters[[#All],[PID]],0)),INDEX(Table3[[#All],[VELO]],MATCH(Table5[[#This Row],[PID]],Table3[[#All],[PID]],0)))</f>
        <v>86-88 Mph</v>
      </c>
      <c r="P43" s="58">
        <f>IF($C43="B",INDEX(Batters[[#All],[K P]],MATCH(Table5[[#This Row],[PID]],Batters[[#All],[PID]],0)),INDEX(Table3[[#All],[STM]],MATCH(Table5[[#This Row],[PID]],Table3[[#All],[PID]],0)))</f>
        <v>3</v>
      </c>
      <c r="Q43" s="63">
        <f>IF($C43="B",INDEX(Batters[[#All],[Tot]],MATCH(Table5[[#This Row],[PID]],Batters[[#All],[PID]],0)),INDEX(Table3[[#All],[Tot]],MATCH(Table5[[#This Row],[PID]],Table3[[#All],[PID]],0)))</f>
        <v>57.301725488271416</v>
      </c>
      <c r="R43" s="54">
        <f>IF($C43="B",INDEX(Batters[[#All],[zScore]],MATCH(Table5[[#This Row],[PID]],Batters[[#All],[PID]],0)),INDEX(Table3[[#All],[zScore]],MATCH(Table5[[#This Row],[PID]],Table3[[#All],[PID]],0)))</f>
        <v>2.2540428788396007</v>
      </c>
      <c r="S43" s="60" t="str">
        <f>IF($C43="B",INDEX(Batters[[#All],[DEM]],MATCH(Table5[[#This Row],[PID]],Batters[[#All],[PID]],0)),INDEX(Table3[[#All],[DEM]],MATCH(Table5[[#This Row],[PID]],Table3[[#All],[PID]],0)))</f>
        <v>$65k</v>
      </c>
      <c r="T43" s="64">
        <f>IF($C43="B",VLOOKUP($A43,Bat!$A$4:$AU$1417,46,FALSE),VLOOKUP($A43,Pit!$A$4:$BD$570,55,FALSE))</f>
        <v>0</v>
      </c>
      <c r="U43" s="52">
        <f>IF($C43="B",VLOOKUP($A43,Bat!$A$4:$BA$1417,47,FALSE),VLOOKUP($A43,Pit!$A$4:$BF$570,56,FALSE))</f>
        <v>0</v>
      </c>
      <c r="V43" s="52">
        <f>IF($C43="B",VLOOKUP($A43,Bat!$A$4:$BA$1417,48,FALSE),VLOOKUP($A43,Pit!$A$4:$BF$570,57,FALSE))</f>
        <v>0</v>
      </c>
      <c r="W43" s="52">
        <f>Table5[[#This Row],[posRnk]]+Table5[[#This Row],[zRnk]]+IF($W$3&lt;&gt;Table5[[#This Row],[Type]],50,0)</f>
        <v>89</v>
      </c>
      <c r="X43" s="53">
        <f>RANK(Table5[[#This Row],[zScore]],Table5[[#All],[zScore]])</f>
        <v>39</v>
      </c>
      <c r="Y43" s="52" t="str">
        <f>IFERROR(INDEX(DraftResults[[#All],[OVR]],MATCH(Table5[[#This Row],[PID]],DraftResults[[#All],[Player ID]],0)),"")</f>
        <v/>
      </c>
      <c r="Z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" s="52" t="str">
        <f>IFERROR(INDEX(DraftResults[[#All],[Pick in Round]],MATCH(Table5[[#This Row],[PID]],DraftResults[[#All],[Player ID]],0)),"")</f>
        <v/>
      </c>
      <c r="AB43" s="52" t="str">
        <f>IFERROR(INDEX(DraftResults[[#All],[Team Name]],MATCH(Table5[[#This Row],[PID]],DraftResults[[#All],[Player ID]],0)),"")</f>
        <v/>
      </c>
      <c r="AC43" s="52" t="str">
        <f>IF(Table5[[#This Row],[Ovr]]="","",IF(Table5[[#This Row],[cmbList]]="","",Table5[[#This Row],[cmbList]]-Table5[[#This Row],[Ovr]]))</f>
        <v/>
      </c>
      <c r="AD43" s="56" t="str">
        <f>IF(ISERROR(VLOOKUP($AB43&amp;"-"&amp;$E43&amp;" "&amp;F43,Bonuses!$B$1:$G$1006,4,FALSE)),"",INT(VLOOKUP($AB43&amp;"-"&amp;$E43&amp;" "&amp;$F43,Bonuses!$B$1:$G$1006,4,FALSE)))</f>
        <v/>
      </c>
      <c r="AE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" spans="1:31" s="52" customFormat="1" x14ac:dyDescent="0.25">
      <c r="A44" s="52">
        <v>6277</v>
      </c>
      <c r="B44" s="57">
        <f>COUNTIF(Table5[PID],A44)</f>
        <v>1</v>
      </c>
      <c r="C44" s="57" t="str">
        <f>IF(COUNTIF(Table3[[#All],[PID]],A44)&gt;0,"P","B")</f>
        <v>B</v>
      </c>
      <c r="D44" s="61" t="str">
        <f>IF($C44="B",INDEX(Batters[[#All],[POS]],MATCH(Table5[[#This Row],[PID]],Batters[[#All],[PID]],0)),INDEX(Table3[[#All],[POS]],MATCH(Table5[[#This Row],[PID]],Table3[[#All],[PID]],0)))</f>
        <v>RF</v>
      </c>
      <c r="E44" s="54" t="str">
        <f>IF($C44="B",INDEX(Batters[[#All],[First]],MATCH(Table5[[#This Row],[PID]],Batters[[#All],[PID]],0)),INDEX(Table3[[#All],[First]],MATCH(Table5[[#This Row],[PID]],Table3[[#All],[PID]],0)))</f>
        <v>Torvald</v>
      </c>
      <c r="F44" s="52" t="str">
        <f>IF($C44="B",INDEX(Batters[[#All],[Last]],MATCH(A44,Batters[[#All],[PID]],0)),INDEX(Table3[[#All],[Last]],MATCH(A44,Table3[[#All],[PID]],0)))</f>
        <v>Bouwman</v>
      </c>
      <c r="G44" s="58">
        <f>IF($C44="B",INDEX(Batters[[#All],[Age]],MATCH(Table5[[#This Row],[PID]],Batters[[#All],[PID]],0)),INDEX(Table3[[#All],[Age]],MATCH(Table5[[#This Row],[PID]],Table3[[#All],[PID]],0)))</f>
        <v>18</v>
      </c>
      <c r="H44" s="54" t="str">
        <f>IF($C44="B",INDEX(Batters[[#All],[B]],MATCH(Table5[[#This Row],[PID]],Batters[[#All],[PID]],0)),INDEX(Table3[[#All],[B]],MATCH(Table5[[#This Row],[PID]],Table3[[#All],[PID]],0)))</f>
        <v>R</v>
      </c>
      <c r="I44" s="54" t="str">
        <f>IF($C44="B",INDEX(Batters[[#All],[T]],MATCH(Table5[[#This Row],[PID]],Batters[[#All],[PID]],0)),INDEX(Table3[[#All],[T]],MATCH(Table5[[#This Row],[PID]],Table3[[#All],[PID]],0)))</f>
        <v>R</v>
      </c>
      <c r="J44" s="54" t="str">
        <f>IF($C44="B",INDEX(Batters[[#All],[WE]],MATCH(Table5[[#This Row],[PID]],Batters[[#All],[PID]],0)),INDEX(Table3[[#All],[WE]],MATCH(Table5[[#This Row],[PID]],Table3[[#All],[PID]],0)))</f>
        <v>Normal</v>
      </c>
      <c r="K44" s="54" t="str">
        <f>IF($C44="B",INDEX(Batters[[#All],[INT]],MATCH(Table5[[#This Row],[PID]],Batters[[#All],[PID]],0)),INDEX(Table3[[#All],[INT]],MATCH(Table5[[#This Row],[PID]],Table3[[#All],[PID]],0)))</f>
        <v>Normal</v>
      </c>
      <c r="L44" s="62">
        <f>IF($C44="B",INDEX(Batters[[#All],[CON P]],MATCH(Table5[[#This Row],[PID]],Batters[[#All],[PID]],0)),INDEX(Table3[[#All],[STU P]],MATCH(Table5[[#This Row],[PID]],Table3[[#All],[PID]],0)))</f>
        <v>5</v>
      </c>
      <c r="M44" s="58">
        <f>IF($C44="B",INDEX(Batters[[#All],[GAP P]],MATCH(Table5[[#This Row],[PID]],Batters[[#All],[PID]],0)),INDEX(Table3[[#All],[MOV P]],MATCH(Table5[[#This Row],[PID]],Table3[[#All],[PID]],0)))</f>
        <v>5</v>
      </c>
      <c r="N44" s="58">
        <f>IF($C44="B",INDEX(Batters[[#All],[POW P]],MATCH(Table5[[#This Row],[PID]],Batters[[#All],[PID]],0)),INDEX(Table3[[#All],[CON P]],MATCH(Table5[[#This Row],[PID]],Table3[[#All],[PID]],0)))</f>
        <v>6</v>
      </c>
      <c r="O44" s="58">
        <f>IF($C44="B",INDEX(Batters[[#All],[EYE P]],MATCH(Table5[[#This Row],[PID]],Batters[[#All],[PID]],0)),INDEX(Table3[[#All],[VELO]],MATCH(Table5[[#This Row],[PID]],Table3[[#All],[PID]],0)))</f>
        <v>3</v>
      </c>
      <c r="P44" s="58">
        <f>IF($C44="B",INDEX(Batters[[#All],[K P]],MATCH(Table5[[#This Row],[PID]],Batters[[#All],[PID]],0)),INDEX(Table3[[#All],[STM]],MATCH(Table5[[#This Row],[PID]],Table3[[#All],[PID]],0)))</f>
        <v>6</v>
      </c>
      <c r="Q44" s="63">
        <f>IF($C44="B",INDEX(Batters[[#All],[Tot]],MATCH(Table5[[#This Row],[PID]],Batters[[#All],[PID]],0)),INDEX(Table3[[#All],[Tot]],MATCH(Table5[[#This Row],[PID]],Table3[[#All],[PID]],0)))</f>
        <v>52.967782183513776</v>
      </c>
      <c r="R44" s="54">
        <f>IF($C44="B",INDEX(Batters[[#All],[zScore]],MATCH(Table5[[#This Row],[PID]],Batters[[#All],[PID]],0)),INDEX(Table3[[#All],[zScore]],MATCH(Table5[[#This Row],[PID]],Table3[[#All],[PID]],0)))</f>
        <v>2.2203232792632237</v>
      </c>
      <c r="S44" s="60" t="str">
        <f>IF($C44="B",INDEX(Batters[[#All],[DEM]],MATCH(Table5[[#This Row],[PID]],Batters[[#All],[PID]],0)),INDEX(Table3[[#All],[DEM]],MATCH(Table5[[#This Row],[PID]],Table3[[#All],[PID]],0)))</f>
        <v>$650k</v>
      </c>
      <c r="T44" s="64">
        <f>IF($C44="B",VLOOKUP($A44,Bat!$A$4:$AU$1417,46,FALSE),VLOOKUP($A44,Pit!$A$4:$BD$570,55,FALSE))</f>
        <v>0</v>
      </c>
      <c r="U44" s="52">
        <f>IF($C44="B",VLOOKUP($A44,Bat!$A$4:$BA$1417,47,FALSE),VLOOKUP($A44,Pit!$A$4:$BF$570,56,FALSE))</f>
        <v>0</v>
      </c>
      <c r="V44" s="52">
        <f>IF($C44="B",VLOOKUP($A44,Bat!$A$4:$BA$1417,48,FALSE),VLOOKUP($A44,Pit!$A$4:$BF$570,57,FALSE))</f>
        <v>0</v>
      </c>
      <c r="W44" s="52">
        <f>Table5[[#This Row],[posRnk]]+Table5[[#This Row],[zRnk]]+IF($W$3&lt;&gt;Table5[[#This Row],[Type]],50,0)</f>
        <v>90</v>
      </c>
      <c r="X44" s="53">
        <f>RANK(Table5[[#This Row],[zScore]],Table5[[#All],[zScore]])</f>
        <v>40</v>
      </c>
      <c r="Y44" s="52" t="str">
        <f>IFERROR(INDEX(DraftResults[[#All],[OVR]],MATCH(Table5[[#This Row],[PID]],DraftResults[[#All],[Player ID]],0)),"")</f>
        <v/>
      </c>
      <c r="Z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" s="52" t="str">
        <f>IFERROR(INDEX(DraftResults[[#All],[Pick in Round]],MATCH(Table5[[#This Row],[PID]],DraftResults[[#All],[Player ID]],0)),"")</f>
        <v/>
      </c>
      <c r="AB44" s="52" t="str">
        <f>IFERROR(INDEX(DraftResults[[#All],[Team Name]],MATCH(Table5[[#This Row],[PID]],DraftResults[[#All],[Player ID]],0)),"")</f>
        <v/>
      </c>
      <c r="AC44" s="52" t="str">
        <f>IF(Table5[[#This Row],[Ovr]]="","",IF(Table5[[#This Row],[cmbList]]="","",Table5[[#This Row],[cmbList]]-Table5[[#This Row],[Ovr]]))</f>
        <v/>
      </c>
      <c r="AD44" s="56" t="str">
        <f>IF(ISERROR(VLOOKUP($AB44&amp;"-"&amp;$E44&amp;" "&amp;F44,Bonuses!$B$1:$G$1006,4,FALSE)),"",INT(VLOOKUP($AB44&amp;"-"&amp;$E44&amp;" "&amp;$F44,Bonuses!$B$1:$G$1006,4,FALSE)))</f>
        <v/>
      </c>
      <c r="AE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" spans="1:31" s="52" customFormat="1" x14ac:dyDescent="0.25">
      <c r="A45" s="52">
        <v>17940</v>
      </c>
      <c r="B45" s="52">
        <f>COUNTIF(Table5[PID],A45)</f>
        <v>1</v>
      </c>
      <c r="C45" s="52" t="str">
        <f>IF(COUNTIF(Table3[[#All],[PID]],A45)&gt;0,"P","B")</f>
        <v>P</v>
      </c>
      <c r="D45" s="61" t="str">
        <f>IF($C45="B",INDEX(Batters[[#All],[POS]],MATCH(Table5[[#This Row],[PID]],Batters[[#All],[PID]],0)),INDEX(Table3[[#All],[POS]],MATCH(Table5[[#This Row],[PID]],Table3[[#All],[PID]],0)))</f>
        <v>SP</v>
      </c>
      <c r="E45" s="54" t="str">
        <f>IF($C45="B",INDEX(Batters[[#All],[First]],MATCH(Table5[[#This Row],[PID]],Batters[[#All],[PID]],0)),INDEX(Table3[[#All],[First]],MATCH(Table5[[#This Row],[PID]],Table3[[#All],[PID]],0)))</f>
        <v>Gilberto</v>
      </c>
      <c r="F45" s="52" t="str">
        <f>IF($C45="B",INDEX(Batters[[#All],[Last]],MATCH(A45,Batters[[#All],[PID]],0)),INDEX(Table3[[#All],[Last]],MATCH(A45,Table3[[#All],[PID]],0)))</f>
        <v>Flores</v>
      </c>
      <c r="G45" s="58">
        <f>IF($C45="B",INDEX(Batters[[#All],[Age]],MATCH(Table5[[#This Row],[PID]],Batters[[#All],[PID]],0)),INDEX(Table3[[#All],[Age]],MATCH(Table5[[#This Row],[PID]],Table3[[#All],[PID]],0)))</f>
        <v>18</v>
      </c>
      <c r="H45" s="54" t="str">
        <f>IF($C45="B",INDEX(Batters[[#All],[B]],MATCH(Table5[[#This Row],[PID]],Batters[[#All],[PID]],0)),INDEX(Table3[[#All],[B]],MATCH(Table5[[#This Row],[PID]],Table3[[#All],[PID]],0)))</f>
        <v>L</v>
      </c>
      <c r="I45" s="54" t="str">
        <f>IF($C45="B",INDEX(Batters[[#All],[T]],MATCH(Table5[[#This Row],[PID]],Batters[[#All],[PID]],0)),INDEX(Table3[[#All],[T]],MATCH(Table5[[#This Row],[PID]],Table3[[#All],[PID]],0)))</f>
        <v>R</v>
      </c>
      <c r="J45" s="54" t="str">
        <f>IF($C45="B",INDEX(Batters[[#All],[WE]],MATCH(Table5[[#This Row],[PID]],Batters[[#All],[PID]],0)),INDEX(Table3[[#All],[WE]],MATCH(Table5[[#This Row],[PID]],Table3[[#All],[PID]],0)))</f>
        <v>Low</v>
      </c>
      <c r="K45" s="54" t="str">
        <f>IF($C45="B",INDEX(Batters[[#All],[INT]],MATCH(Table5[[#This Row],[PID]],Batters[[#All],[PID]],0)),INDEX(Table3[[#All],[INT]],MATCH(Table5[[#This Row],[PID]],Table3[[#All],[PID]],0)))</f>
        <v>Normal</v>
      </c>
      <c r="L45" s="62">
        <f>IF($C45="B",INDEX(Batters[[#All],[CON P]],MATCH(Table5[[#This Row],[PID]],Batters[[#All],[PID]],0)),INDEX(Table3[[#All],[STU P]],MATCH(Table5[[#This Row],[PID]],Table3[[#All],[PID]],0)))</f>
        <v>4</v>
      </c>
      <c r="M45" s="58">
        <f>IF($C45="B",INDEX(Batters[[#All],[GAP P]],MATCH(Table5[[#This Row],[PID]],Batters[[#All],[PID]],0)),INDEX(Table3[[#All],[MOV P]],MATCH(Table5[[#This Row],[PID]],Table3[[#All],[PID]],0)))</f>
        <v>5</v>
      </c>
      <c r="N45" s="58">
        <f>IF($C45="B",INDEX(Batters[[#All],[POW P]],MATCH(Table5[[#This Row],[PID]],Batters[[#All],[PID]],0)),INDEX(Table3[[#All],[CON P]],MATCH(Table5[[#This Row],[PID]],Table3[[#All],[PID]],0)))</f>
        <v>5</v>
      </c>
      <c r="O45" s="58" t="str">
        <f>IF($C45="B",INDEX(Batters[[#All],[EYE P]],MATCH(Table5[[#This Row],[PID]],Batters[[#All],[PID]],0)),INDEX(Table3[[#All],[VELO]],MATCH(Table5[[#This Row],[PID]],Table3[[#All],[PID]],0)))</f>
        <v>92-94 Mph</v>
      </c>
      <c r="P45" s="58">
        <f>IF($C45="B",INDEX(Batters[[#All],[K P]],MATCH(Table5[[#This Row],[PID]],Batters[[#All],[PID]],0)),INDEX(Table3[[#All],[STM]],MATCH(Table5[[#This Row],[PID]],Table3[[#All],[PID]],0)))</f>
        <v>5</v>
      </c>
      <c r="Q45" s="63">
        <f>IF($C45="B",INDEX(Batters[[#All],[Tot]],MATCH(Table5[[#This Row],[PID]],Batters[[#All],[PID]],0)),INDEX(Table3[[#All],[Tot]],MATCH(Table5[[#This Row],[PID]],Table3[[#All],[PID]],0)))</f>
        <v>56.588862593516339</v>
      </c>
      <c r="R45" s="54">
        <f>IF($C45="B",INDEX(Batters[[#All],[zScore]],MATCH(Table5[[#This Row],[PID]],Batters[[#All],[PID]],0)),INDEX(Table3[[#All],[zScore]],MATCH(Table5[[#This Row],[PID]],Table3[[#All],[PID]],0)))</f>
        <v>2.1886703045505125</v>
      </c>
      <c r="S45" s="60" t="str">
        <f>IF($C45="B",INDEX(Batters[[#All],[DEM]],MATCH(Table5[[#This Row],[PID]],Batters[[#All],[PID]],0)),INDEX(Table3[[#All],[DEM]],MATCH(Table5[[#This Row],[PID]],Table3[[#All],[PID]],0)))</f>
        <v>$65k</v>
      </c>
      <c r="T45" s="64">
        <f>IF($C45="B",VLOOKUP($A45,Bat!$A$4:$AU$1417,46,FALSE),VLOOKUP($A45,Pit!$A$4:$BD$570,55,FALSE))</f>
        <v>0</v>
      </c>
      <c r="U45" s="52">
        <f>IF($C45="B",VLOOKUP($A45,Bat!$A$4:$BA$1417,47,FALSE),VLOOKUP($A45,Pit!$A$4:$BF$570,56,FALSE))</f>
        <v>0</v>
      </c>
      <c r="V45" s="52">
        <f>IF($C45="B",VLOOKUP($A45,Bat!$A$4:$BA$1417,48,FALSE),VLOOKUP($A45,Pit!$A$4:$BF$570,57,FALSE))</f>
        <v>0</v>
      </c>
      <c r="W45" s="52">
        <f>Table5[[#This Row],[posRnk]]+Table5[[#This Row],[zRnk]]+IF($W$3&lt;&gt;Table5[[#This Row],[Type]],50,0)</f>
        <v>91</v>
      </c>
      <c r="X45" s="53">
        <f>RANK(Table5[[#This Row],[zScore]],Table5[[#All],[zScore]])</f>
        <v>41</v>
      </c>
      <c r="Y45" s="52" t="str">
        <f>IFERROR(INDEX(DraftResults[[#All],[OVR]],MATCH(Table5[[#This Row],[PID]],DraftResults[[#All],[Player ID]],0)),"")</f>
        <v/>
      </c>
      <c r="Z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" s="52" t="str">
        <f>IFERROR(INDEX(DraftResults[[#All],[Pick in Round]],MATCH(Table5[[#This Row],[PID]],DraftResults[[#All],[Player ID]],0)),"")</f>
        <v/>
      </c>
      <c r="AB45" s="52" t="str">
        <f>IFERROR(INDEX(DraftResults[[#All],[Team Name]],MATCH(Table5[[#This Row],[PID]],DraftResults[[#All],[Player ID]],0)),"")</f>
        <v/>
      </c>
      <c r="AC45" s="52" t="str">
        <f>IF(Table5[[#This Row],[Ovr]]="","",IF(Table5[[#This Row],[cmbList]]="","",Table5[[#This Row],[cmbList]]-Table5[[#This Row],[Ovr]]))</f>
        <v/>
      </c>
      <c r="AD45" s="56" t="str">
        <f>IF(ISERROR(VLOOKUP($AB45&amp;"-"&amp;$E45&amp;" "&amp;F45,Bonuses!$B$1:$G$1006,4,FALSE)),"",INT(VLOOKUP($AB45&amp;"-"&amp;$E45&amp;" "&amp;$F45,Bonuses!$B$1:$G$1006,4,FALSE)))</f>
        <v/>
      </c>
      <c r="AE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" spans="1:31" s="52" customFormat="1" x14ac:dyDescent="0.25">
      <c r="A46" s="52">
        <v>6961</v>
      </c>
      <c r="B46" s="52">
        <f>COUNTIF(Table5[PID],A46)</f>
        <v>1</v>
      </c>
      <c r="C46" s="52" t="str">
        <f>IF(COUNTIF(Table3[[#All],[PID]],A46)&gt;0,"P","B")</f>
        <v>P</v>
      </c>
      <c r="D46" s="61" t="str">
        <f>IF($C46="B",INDEX(Batters[[#All],[POS]],MATCH(Table5[[#This Row],[PID]],Batters[[#All],[PID]],0)),INDEX(Table3[[#All],[POS]],MATCH(Table5[[#This Row],[PID]],Table3[[#All],[PID]],0)))</f>
        <v>RP</v>
      </c>
      <c r="E46" s="54" t="str">
        <f>IF($C46="B",INDEX(Batters[[#All],[First]],MATCH(Table5[[#This Row],[PID]],Batters[[#All],[PID]],0)),INDEX(Table3[[#All],[First]],MATCH(Table5[[#This Row],[PID]],Table3[[#All],[PID]],0)))</f>
        <v>Juan</v>
      </c>
      <c r="F46" s="52" t="str">
        <f>IF($C46="B",INDEX(Batters[[#All],[Last]],MATCH(A46,Batters[[#All],[PID]],0)),INDEX(Table3[[#All],[Last]],MATCH(A46,Table3[[#All],[PID]],0)))</f>
        <v>Núñes</v>
      </c>
      <c r="G46" s="58">
        <f>IF($C46="B",INDEX(Batters[[#All],[Age]],MATCH(Table5[[#This Row],[PID]],Batters[[#All],[PID]],0)),INDEX(Table3[[#All],[Age]],MATCH(Table5[[#This Row],[PID]],Table3[[#All],[PID]],0)))</f>
        <v>21</v>
      </c>
      <c r="H46" s="54" t="str">
        <f>IF($C46="B",INDEX(Batters[[#All],[B]],MATCH(Table5[[#This Row],[PID]],Batters[[#All],[PID]],0)),INDEX(Table3[[#All],[B]],MATCH(Table5[[#This Row],[PID]],Table3[[#All],[PID]],0)))</f>
        <v>L</v>
      </c>
      <c r="I46" s="54" t="str">
        <f>IF($C46="B",INDEX(Batters[[#All],[T]],MATCH(Table5[[#This Row],[PID]],Batters[[#All],[PID]],0)),INDEX(Table3[[#All],[T]],MATCH(Table5[[#This Row],[PID]],Table3[[#All],[PID]],0)))</f>
        <v>L</v>
      </c>
      <c r="J46" s="54" t="str">
        <f>IF($C46="B",INDEX(Batters[[#All],[WE]],MATCH(Table5[[#This Row],[PID]],Batters[[#All],[PID]],0)),INDEX(Table3[[#All],[WE]],MATCH(Table5[[#This Row],[PID]],Table3[[#All],[PID]],0)))</f>
        <v>Normal</v>
      </c>
      <c r="K46" s="54" t="str">
        <f>IF($C46="B",INDEX(Batters[[#All],[INT]],MATCH(Table5[[#This Row],[PID]],Batters[[#All],[PID]],0)),INDEX(Table3[[#All],[INT]],MATCH(Table5[[#This Row],[PID]],Table3[[#All],[PID]],0)))</f>
        <v>High</v>
      </c>
      <c r="L46" s="62">
        <f>IF($C46="B",INDEX(Batters[[#All],[CON P]],MATCH(Table5[[#This Row],[PID]],Batters[[#All],[PID]],0)),INDEX(Table3[[#All],[STU P]],MATCH(Table5[[#This Row],[PID]],Table3[[#All],[PID]],0)))</f>
        <v>7</v>
      </c>
      <c r="M46" s="58">
        <f>IF($C46="B",INDEX(Batters[[#All],[GAP P]],MATCH(Table5[[#This Row],[PID]],Batters[[#All],[PID]],0)),INDEX(Table3[[#All],[MOV P]],MATCH(Table5[[#This Row],[PID]],Table3[[#All],[PID]],0)))</f>
        <v>3</v>
      </c>
      <c r="N46" s="58">
        <f>IF($C46="B",INDEX(Batters[[#All],[POW P]],MATCH(Table5[[#This Row],[PID]],Batters[[#All],[PID]],0)),INDEX(Table3[[#All],[CON P]],MATCH(Table5[[#This Row],[PID]],Table3[[#All],[PID]],0)))</f>
        <v>5</v>
      </c>
      <c r="O46" s="58" t="str">
        <f>IF($C46="B",INDEX(Batters[[#All],[EYE P]],MATCH(Table5[[#This Row],[PID]],Batters[[#All],[PID]],0)),INDEX(Table3[[#All],[VELO]],MATCH(Table5[[#This Row],[PID]],Table3[[#All],[PID]],0)))</f>
        <v>90-92 Mph</v>
      </c>
      <c r="P46" s="58">
        <f>IF($C46="B",INDEX(Batters[[#All],[K P]],MATCH(Table5[[#This Row],[PID]],Batters[[#All],[PID]],0)),INDEX(Table3[[#All],[STM]],MATCH(Table5[[#This Row],[PID]],Table3[[#All],[PID]],0)))</f>
        <v>6</v>
      </c>
      <c r="Q46" s="63">
        <f>IF($C46="B",INDEX(Batters[[#All],[Tot]],MATCH(Table5[[#This Row],[PID]],Batters[[#All],[PID]],0)),INDEX(Table3[[#All],[Tot]],MATCH(Table5[[#This Row],[PID]],Table3[[#All],[PID]],0)))</f>
        <v>56.587120092510347</v>
      </c>
      <c r="R46" s="54">
        <f>IF($C46="B",INDEX(Batters[[#All],[zScore]],MATCH(Table5[[#This Row],[PID]],Batters[[#All],[PID]],0)),INDEX(Table3[[#All],[zScore]],MATCH(Table5[[#This Row],[PID]],Table3[[#All],[PID]],0)))</f>
        <v>2.1885105097606572</v>
      </c>
      <c r="S46" s="60" t="str">
        <f>IF($C46="B",INDEX(Batters[[#All],[DEM]],MATCH(Table5[[#This Row],[PID]],Batters[[#All],[PID]],0)),INDEX(Table3[[#All],[DEM]],MATCH(Table5[[#This Row],[PID]],Table3[[#All],[PID]],0)))</f>
        <v>-</v>
      </c>
      <c r="T46" s="64">
        <f>IF($C46="B",VLOOKUP($A46,Bat!$A$4:$AU$1417,46,FALSE),VLOOKUP($A46,Pit!$A$4:$BD$570,55,FALSE))</f>
        <v>0</v>
      </c>
      <c r="U46" s="52">
        <f>IF($C46="B",VLOOKUP($A46,Bat!$A$4:$BA$1417,47,FALSE),VLOOKUP($A46,Pit!$A$4:$BF$570,56,FALSE))</f>
        <v>0</v>
      </c>
      <c r="V46" s="52">
        <f>IF($C46="B",VLOOKUP($A46,Bat!$A$4:$BA$1417,48,FALSE),VLOOKUP($A46,Pit!$A$4:$BF$570,57,FALSE))</f>
        <v>0</v>
      </c>
      <c r="W46" s="52">
        <f>Table5[[#This Row],[posRnk]]+Table5[[#This Row],[zRnk]]+IF($W$3&lt;&gt;Table5[[#This Row],[Type]],50,0)</f>
        <v>92</v>
      </c>
      <c r="X46" s="53">
        <f>RANK(Table5[[#This Row],[zScore]],Table5[[#All],[zScore]])</f>
        <v>42</v>
      </c>
      <c r="Y46" s="52" t="str">
        <f>IFERROR(INDEX(DraftResults[[#All],[OVR]],MATCH(Table5[[#This Row],[PID]],DraftResults[[#All],[Player ID]],0)),"")</f>
        <v/>
      </c>
      <c r="Z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" s="52" t="str">
        <f>IFERROR(INDEX(DraftResults[[#All],[Pick in Round]],MATCH(Table5[[#This Row],[PID]],DraftResults[[#All],[Player ID]],0)),"")</f>
        <v/>
      </c>
      <c r="AB46" s="52" t="str">
        <f>IFERROR(INDEX(DraftResults[[#All],[Team Name]],MATCH(Table5[[#This Row],[PID]],DraftResults[[#All],[Player ID]],0)),"")</f>
        <v/>
      </c>
      <c r="AC46" s="52" t="str">
        <f>IF(Table5[[#This Row],[Ovr]]="","",IF(Table5[[#This Row],[cmbList]]="","",Table5[[#This Row],[cmbList]]-Table5[[#This Row],[Ovr]]))</f>
        <v/>
      </c>
      <c r="AD46" s="56" t="str">
        <f>IF(ISERROR(VLOOKUP($AB46&amp;"-"&amp;$E46&amp;" "&amp;F46,Bonuses!$B$1:$G$1006,4,FALSE)),"",INT(VLOOKUP($AB46&amp;"-"&amp;$E46&amp;" "&amp;$F46,Bonuses!$B$1:$G$1006,4,FALSE)))</f>
        <v/>
      </c>
      <c r="AE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" spans="1:31" s="52" customFormat="1" x14ac:dyDescent="0.25">
      <c r="A47" s="52">
        <v>6542</v>
      </c>
      <c r="B47" s="52">
        <f>COUNTIF(Table5[PID],A47)</f>
        <v>1</v>
      </c>
      <c r="C47" s="52" t="str">
        <f>IF(COUNTIF(Table3[[#All],[PID]],A47)&gt;0,"P","B")</f>
        <v>P</v>
      </c>
      <c r="D47" s="61" t="str">
        <f>IF($C47="B",INDEX(Batters[[#All],[POS]],MATCH(Table5[[#This Row],[PID]],Batters[[#All],[PID]],0)),INDEX(Table3[[#All],[POS]],MATCH(Table5[[#This Row],[PID]],Table3[[#All],[PID]],0)))</f>
        <v>SP</v>
      </c>
      <c r="E47" s="54" t="str">
        <f>IF($C47="B",INDEX(Batters[[#All],[First]],MATCH(Table5[[#This Row],[PID]],Batters[[#All],[PID]],0)),INDEX(Table3[[#All],[First]],MATCH(Table5[[#This Row],[PID]],Table3[[#All],[PID]],0)))</f>
        <v>Yoriyoshi</v>
      </c>
      <c r="F47" s="52" t="str">
        <f>IF($C47="B",INDEX(Batters[[#All],[Last]],MATCH(A47,Batters[[#All],[PID]],0)),INDEX(Table3[[#All],[Last]],MATCH(A47,Table3[[#All],[PID]],0)))</f>
        <v>Taniguchi</v>
      </c>
      <c r="G47" s="58">
        <f>IF($C47="B",INDEX(Batters[[#All],[Age]],MATCH(Table5[[#This Row],[PID]],Batters[[#All],[PID]],0)),INDEX(Table3[[#All],[Age]],MATCH(Table5[[#This Row],[PID]],Table3[[#All],[PID]],0)))</f>
        <v>18</v>
      </c>
      <c r="H47" s="54" t="str">
        <f>IF($C47="B",INDEX(Batters[[#All],[B]],MATCH(Table5[[#This Row],[PID]],Batters[[#All],[PID]],0)),INDEX(Table3[[#All],[B]],MATCH(Table5[[#This Row],[PID]],Table3[[#All],[PID]],0)))</f>
        <v>R</v>
      </c>
      <c r="I47" s="54" t="str">
        <f>IF($C47="B",INDEX(Batters[[#All],[T]],MATCH(Table5[[#This Row],[PID]],Batters[[#All],[PID]],0)),INDEX(Table3[[#All],[T]],MATCH(Table5[[#This Row],[PID]],Table3[[#All],[PID]],0)))</f>
        <v>R</v>
      </c>
      <c r="J47" s="54" t="str">
        <f>IF($C47="B",INDEX(Batters[[#All],[WE]],MATCH(Table5[[#This Row],[PID]],Batters[[#All],[PID]],0)),INDEX(Table3[[#All],[WE]],MATCH(Table5[[#This Row],[PID]],Table3[[#All],[PID]],0)))</f>
        <v>Normal</v>
      </c>
      <c r="K47" s="54" t="str">
        <f>IF($C47="B",INDEX(Batters[[#All],[INT]],MATCH(Table5[[#This Row],[PID]],Batters[[#All],[PID]],0)),INDEX(Table3[[#All],[INT]],MATCH(Table5[[#This Row],[PID]],Table3[[#All],[PID]],0)))</f>
        <v>Normal</v>
      </c>
      <c r="L47" s="62">
        <f>IF($C47="B",INDEX(Batters[[#All],[CON P]],MATCH(Table5[[#This Row],[PID]],Batters[[#All],[PID]],0)),INDEX(Table3[[#All],[STU P]],MATCH(Table5[[#This Row],[PID]],Table3[[#All],[PID]],0)))</f>
        <v>5</v>
      </c>
      <c r="M47" s="58">
        <f>IF($C47="B",INDEX(Batters[[#All],[GAP P]],MATCH(Table5[[#This Row],[PID]],Batters[[#All],[PID]],0)),INDEX(Table3[[#All],[MOV P]],MATCH(Table5[[#This Row],[PID]],Table3[[#All],[PID]],0)))</f>
        <v>5</v>
      </c>
      <c r="N47" s="58">
        <f>IF($C47="B",INDEX(Batters[[#All],[POW P]],MATCH(Table5[[#This Row],[PID]],Batters[[#All],[PID]],0)),INDEX(Table3[[#All],[CON P]],MATCH(Table5[[#This Row],[PID]],Table3[[#All],[PID]],0)))</f>
        <v>4</v>
      </c>
      <c r="O47" s="58" t="str">
        <f>IF($C47="B",INDEX(Batters[[#All],[EYE P]],MATCH(Table5[[#This Row],[PID]],Batters[[#All],[PID]],0)),INDEX(Table3[[#All],[VELO]],MATCH(Table5[[#This Row],[PID]],Table3[[#All],[PID]],0)))</f>
        <v>92-94 Mph</v>
      </c>
      <c r="P47" s="58">
        <f>IF($C47="B",INDEX(Batters[[#All],[K P]],MATCH(Table5[[#This Row],[PID]],Batters[[#All],[PID]],0)),INDEX(Table3[[#All],[STM]],MATCH(Table5[[#This Row],[PID]],Table3[[#All],[PID]],0)))</f>
        <v>5</v>
      </c>
      <c r="Q47" s="63">
        <f>IF($C47="B",INDEX(Batters[[#All],[Tot]],MATCH(Table5[[#This Row],[PID]],Batters[[#All],[PID]],0)),INDEX(Table3[[#All],[Tot]],MATCH(Table5[[#This Row],[PID]],Table3[[#All],[PID]],0)))</f>
        <v>56.072127575110784</v>
      </c>
      <c r="R47" s="54">
        <f>IF($C47="B",INDEX(Batters[[#All],[zScore]],MATCH(Table5[[#This Row],[PID]],Batters[[#All],[PID]],0)),INDEX(Table3[[#All],[zScore]],MATCH(Table5[[#This Row],[PID]],Table3[[#All],[PID]],0)))</f>
        <v>2.1412834947908368</v>
      </c>
      <c r="S47" s="60" t="str">
        <f>IF($C47="B",INDEX(Batters[[#All],[DEM]],MATCH(Table5[[#This Row],[PID]],Batters[[#All],[PID]],0)),INDEX(Table3[[#All],[DEM]],MATCH(Table5[[#This Row],[PID]],Table3[[#All],[PID]],0)))</f>
        <v>$390k</v>
      </c>
      <c r="T47" s="64">
        <f>IF($C47="B",VLOOKUP($A47,Bat!$A$4:$AU$1417,46,FALSE),VLOOKUP($A47,Pit!$A$4:$BD$570,55,FALSE))</f>
        <v>0</v>
      </c>
      <c r="U47" s="52">
        <f>IF($C47="B",VLOOKUP($A47,Bat!$A$4:$BA$1417,47,FALSE),VLOOKUP($A47,Pit!$A$4:$BF$570,56,FALSE))</f>
        <v>0</v>
      </c>
      <c r="V47" s="52">
        <f>IF($C47="B",VLOOKUP($A47,Bat!$A$4:$BA$1417,48,FALSE),VLOOKUP($A47,Pit!$A$4:$BF$570,57,FALSE))</f>
        <v>0</v>
      </c>
      <c r="W47" s="52">
        <f>Table5[[#This Row],[posRnk]]+Table5[[#This Row],[zRnk]]+IF($W$3&lt;&gt;Table5[[#This Row],[Type]],50,0)</f>
        <v>93</v>
      </c>
      <c r="X47" s="53">
        <f>RANK(Table5[[#This Row],[zScore]],Table5[[#All],[zScore]])</f>
        <v>43</v>
      </c>
      <c r="Y47" s="52" t="str">
        <f>IFERROR(INDEX(DraftResults[[#All],[OVR]],MATCH(Table5[[#This Row],[PID]],DraftResults[[#All],[Player ID]],0)),"")</f>
        <v/>
      </c>
      <c r="Z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" s="52" t="str">
        <f>IFERROR(INDEX(DraftResults[[#All],[Pick in Round]],MATCH(Table5[[#This Row],[PID]],DraftResults[[#All],[Player ID]],0)),"")</f>
        <v/>
      </c>
      <c r="AB47" s="52" t="str">
        <f>IFERROR(INDEX(DraftResults[[#All],[Team Name]],MATCH(Table5[[#This Row],[PID]],DraftResults[[#All],[Player ID]],0)),"")</f>
        <v/>
      </c>
      <c r="AC47" s="52" t="str">
        <f>IF(Table5[[#This Row],[Ovr]]="","",IF(Table5[[#This Row],[cmbList]]="","",Table5[[#This Row],[cmbList]]-Table5[[#This Row],[Ovr]]))</f>
        <v/>
      </c>
      <c r="AD47" s="56" t="str">
        <f>IF(ISERROR(VLOOKUP($AB47&amp;"-"&amp;$E47&amp;" "&amp;F47,Bonuses!$B$1:$G$1006,4,FALSE)),"",INT(VLOOKUP($AB47&amp;"-"&amp;$E47&amp;" "&amp;$F47,Bonuses!$B$1:$G$1006,4,FALSE)))</f>
        <v/>
      </c>
      <c r="AE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" spans="1:31" s="52" customFormat="1" x14ac:dyDescent="0.25">
      <c r="A48" s="52">
        <v>13815</v>
      </c>
      <c r="B48" s="52">
        <f>COUNTIF(Table5[PID],A48)</f>
        <v>1</v>
      </c>
      <c r="C48" s="52" t="str">
        <f>IF(COUNTIF(Table3[[#All],[PID]],A48)&gt;0,"P","B")</f>
        <v>P</v>
      </c>
      <c r="D48" s="61" t="str">
        <f>IF($C48="B",INDEX(Batters[[#All],[POS]],MATCH(Table5[[#This Row],[PID]],Batters[[#All],[PID]],0)),INDEX(Table3[[#All],[POS]],MATCH(Table5[[#This Row],[PID]],Table3[[#All],[PID]],0)))</f>
        <v>SP</v>
      </c>
      <c r="E48" s="54" t="str">
        <f>IF($C48="B",INDEX(Batters[[#All],[First]],MATCH(Table5[[#This Row],[PID]],Batters[[#All],[PID]],0)),INDEX(Table3[[#All],[First]],MATCH(Table5[[#This Row],[PID]],Table3[[#All],[PID]],0)))</f>
        <v>Wendell</v>
      </c>
      <c r="F48" s="52" t="str">
        <f>IF($C48="B",INDEX(Batters[[#All],[Last]],MATCH(A48,Batters[[#All],[PID]],0)),INDEX(Table3[[#All],[Last]],MATCH(A48,Table3[[#All],[PID]],0)))</f>
        <v>Phillips</v>
      </c>
      <c r="G48" s="58">
        <f>IF($C48="B",INDEX(Batters[[#All],[Age]],MATCH(Table5[[#This Row],[PID]],Batters[[#All],[PID]],0)),INDEX(Table3[[#All],[Age]],MATCH(Table5[[#This Row],[PID]],Table3[[#All],[PID]],0)))</f>
        <v>18</v>
      </c>
      <c r="H48" s="54" t="str">
        <f>IF($C48="B",INDEX(Batters[[#All],[B]],MATCH(Table5[[#This Row],[PID]],Batters[[#All],[PID]],0)),INDEX(Table3[[#All],[B]],MATCH(Table5[[#This Row],[PID]],Table3[[#All],[PID]],0)))</f>
        <v>L</v>
      </c>
      <c r="I48" s="54" t="str">
        <f>IF($C48="B",INDEX(Batters[[#All],[T]],MATCH(Table5[[#This Row],[PID]],Batters[[#All],[PID]],0)),INDEX(Table3[[#All],[T]],MATCH(Table5[[#This Row],[PID]],Table3[[#All],[PID]],0)))</f>
        <v>R</v>
      </c>
      <c r="J48" s="54" t="str">
        <f>IF($C48="B",INDEX(Batters[[#All],[WE]],MATCH(Table5[[#This Row],[PID]],Batters[[#All],[PID]],0)),INDEX(Table3[[#All],[WE]],MATCH(Table5[[#This Row],[PID]],Table3[[#All],[PID]],0)))</f>
        <v>Normal</v>
      </c>
      <c r="K48" s="54" t="str">
        <f>IF($C48="B",INDEX(Batters[[#All],[INT]],MATCH(Table5[[#This Row],[PID]],Batters[[#All],[PID]],0)),INDEX(Table3[[#All],[INT]],MATCH(Table5[[#This Row],[PID]],Table3[[#All],[PID]],0)))</f>
        <v>Normal</v>
      </c>
      <c r="L48" s="62">
        <f>IF($C48="B",INDEX(Batters[[#All],[CON P]],MATCH(Table5[[#This Row],[PID]],Batters[[#All],[PID]],0)),INDEX(Table3[[#All],[STU P]],MATCH(Table5[[#This Row],[PID]],Table3[[#All],[PID]],0)))</f>
        <v>5</v>
      </c>
      <c r="M48" s="58">
        <f>IF($C48="B",INDEX(Batters[[#All],[GAP P]],MATCH(Table5[[#This Row],[PID]],Batters[[#All],[PID]],0)),INDEX(Table3[[#All],[MOV P]],MATCH(Table5[[#This Row],[PID]],Table3[[#All],[PID]],0)))</f>
        <v>5</v>
      </c>
      <c r="N48" s="58">
        <f>IF($C48="B",INDEX(Batters[[#All],[POW P]],MATCH(Table5[[#This Row],[PID]],Batters[[#All],[PID]],0)),INDEX(Table3[[#All],[CON P]],MATCH(Table5[[#This Row],[PID]],Table3[[#All],[PID]],0)))</f>
        <v>4</v>
      </c>
      <c r="O48" s="58" t="str">
        <f>IF($C48="B",INDEX(Batters[[#All],[EYE P]],MATCH(Table5[[#This Row],[PID]],Batters[[#All],[PID]],0)),INDEX(Table3[[#All],[VELO]],MATCH(Table5[[#This Row],[PID]],Table3[[#All],[PID]],0)))</f>
        <v>89-91 Mph</v>
      </c>
      <c r="P48" s="58">
        <f>IF($C48="B",INDEX(Batters[[#All],[K P]],MATCH(Table5[[#This Row],[PID]],Batters[[#All],[PID]],0)),INDEX(Table3[[#All],[STM]],MATCH(Table5[[#This Row],[PID]],Table3[[#All],[PID]],0)))</f>
        <v>6</v>
      </c>
      <c r="Q48" s="63">
        <f>IF($C48="B",INDEX(Batters[[#All],[Tot]],MATCH(Table5[[#This Row],[PID]],Batters[[#All],[PID]],0)),INDEX(Table3[[#All],[Tot]],MATCH(Table5[[#This Row],[PID]],Table3[[#All],[PID]],0)))</f>
        <v>56.024875064730224</v>
      </c>
      <c r="R48" s="54">
        <f>IF($C48="B",INDEX(Batters[[#All],[zScore]],MATCH(Table5[[#This Row],[PID]],Batters[[#All],[PID]],0)),INDEX(Table3[[#All],[zScore]],MATCH(Table5[[#This Row],[PID]],Table3[[#All],[PID]],0)))</f>
        <v>2.1369502376274654</v>
      </c>
      <c r="S48" s="60" t="str">
        <f>IF($C48="B",INDEX(Batters[[#All],[DEM]],MATCH(Table5[[#This Row],[PID]],Batters[[#All],[PID]],0)),INDEX(Table3[[#All],[DEM]],MATCH(Table5[[#This Row],[PID]],Table3[[#All],[PID]],0)))</f>
        <v>$240k</v>
      </c>
      <c r="T48" s="64">
        <f>IF($C48="B",VLOOKUP($A48,Bat!$A$4:$AU$1417,46,FALSE),VLOOKUP($A48,Pit!$A$4:$BD$570,55,FALSE))</f>
        <v>0</v>
      </c>
      <c r="U48" s="52">
        <f>IF($C48="B",VLOOKUP($A48,Bat!$A$4:$BA$1417,47,FALSE),VLOOKUP($A48,Pit!$A$4:$BF$570,56,FALSE))</f>
        <v>0</v>
      </c>
      <c r="V48" s="52">
        <f>IF($C48="B",VLOOKUP($A48,Bat!$A$4:$BA$1417,48,FALSE),VLOOKUP($A48,Pit!$A$4:$BF$570,57,FALSE))</f>
        <v>0</v>
      </c>
      <c r="W48" s="52">
        <f>Table5[[#This Row],[posRnk]]+Table5[[#This Row],[zRnk]]+IF($W$3&lt;&gt;Table5[[#This Row],[Type]],50,0)</f>
        <v>94</v>
      </c>
      <c r="X48" s="53">
        <f>RANK(Table5[[#This Row],[zScore]],Table5[[#All],[zScore]])</f>
        <v>44</v>
      </c>
      <c r="Y48" s="52" t="str">
        <f>IFERROR(INDEX(DraftResults[[#All],[OVR]],MATCH(Table5[[#This Row],[PID]],DraftResults[[#All],[Player ID]],0)),"")</f>
        <v/>
      </c>
      <c r="Z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" s="52" t="str">
        <f>IFERROR(INDEX(DraftResults[[#All],[Pick in Round]],MATCH(Table5[[#This Row],[PID]],DraftResults[[#All],[Player ID]],0)),"")</f>
        <v/>
      </c>
      <c r="AB48" s="52" t="str">
        <f>IFERROR(INDEX(DraftResults[[#All],[Team Name]],MATCH(Table5[[#This Row],[PID]],DraftResults[[#All],[Player ID]],0)),"")</f>
        <v/>
      </c>
      <c r="AC48" s="52" t="str">
        <f>IF(Table5[[#This Row],[Ovr]]="","",IF(Table5[[#This Row],[cmbList]]="","",Table5[[#This Row],[cmbList]]-Table5[[#This Row],[Ovr]]))</f>
        <v/>
      </c>
      <c r="AD48" s="56" t="str">
        <f>IF(ISERROR(VLOOKUP($AB48&amp;"-"&amp;$E48&amp;" "&amp;F48,Bonuses!$B$1:$G$1006,4,FALSE)),"",INT(VLOOKUP($AB48&amp;"-"&amp;$E48&amp;" "&amp;$F48,Bonuses!$B$1:$G$1006,4,FALSE)))</f>
        <v/>
      </c>
      <c r="AE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" spans="1:31" s="52" customFormat="1" x14ac:dyDescent="0.25">
      <c r="A49" s="52">
        <v>7186</v>
      </c>
      <c r="B49" s="57">
        <f>COUNTIF(Table5[PID],A49)</f>
        <v>1</v>
      </c>
      <c r="C49" s="57" t="str">
        <f>IF(COUNTIF(Table3[[#All],[PID]],A49)&gt;0,"P","B")</f>
        <v>B</v>
      </c>
      <c r="D49" s="61" t="str">
        <f>IF($C49="B",INDEX(Batters[[#All],[POS]],MATCH(Table5[[#This Row],[PID]],Batters[[#All],[PID]],0)),INDEX(Table3[[#All],[POS]],MATCH(Table5[[#This Row],[PID]],Table3[[#All],[PID]],0)))</f>
        <v>SS</v>
      </c>
      <c r="E49" s="54" t="str">
        <f>IF($C49="B",INDEX(Batters[[#All],[First]],MATCH(Table5[[#This Row],[PID]],Batters[[#All],[PID]],0)),INDEX(Table3[[#All],[First]],MATCH(Table5[[#This Row],[PID]],Table3[[#All],[PID]],0)))</f>
        <v>Armando</v>
      </c>
      <c r="F49" s="52" t="str">
        <f>IF($C49="B",INDEX(Batters[[#All],[Last]],MATCH(A49,Batters[[#All],[PID]],0)),INDEX(Table3[[#All],[Last]],MATCH(A49,Table3[[#All],[PID]],0)))</f>
        <v>León</v>
      </c>
      <c r="G49" s="58">
        <f>IF($C49="B",INDEX(Batters[[#All],[Age]],MATCH(Table5[[#This Row],[PID]],Batters[[#All],[PID]],0)),INDEX(Table3[[#All],[Age]],MATCH(Table5[[#This Row],[PID]],Table3[[#All],[PID]],0)))</f>
        <v>20</v>
      </c>
      <c r="H49" s="54" t="str">
        <f>IF($C49="B",INDEX(Batters[[#All],[B]],MATCH(Table5[[#This Row],[PID]],Batters[[#All],[PID]],0)),INDEX(Table3[[#All],[B]],MATCH(Table5[[#This Row],[PID]],Table3[[#All],[PID]],0)))</f>
        <v>R</v>
      </c>
      <c r="I49" s="54" t="str">
        <f>IF($C49="B",INDEX(Batters[[#All],[T]],MATCH(Table5[[#This Row],[PID]],Batters[[#All],[PID]],0)),INDEX(Table3[[#All],[T]],MATCH(Table5[[#This Row],[PID]],Table3[[#All],[PID]],0)))</f>
        <v>R</v>
      </c>
      <c r="J49" s="54" t="str">
        <f>IF($C49="B",INDEX(Batters[[#All],[WE]],MATCH(Table5[[#This Row],[PID]],Batters[[#All],[PID]],0)),INDEX(Table3[[#All],[WE]],MATCH(Table5[[#This Row],[PID]],Table3[[#All],[PID]],0)))</f>
        <v>Normal</v>
      </c>
      <c r="K49" s="54" t="str">
        <f>IF($C49="B",INDEX(Batters[[#All],[INT]],MATCH(Table5[[#This Row],[PID]],Batters[[#All],[PID]],0)),INDEX(Table3[[#All],[INT]],MATCH(Table5[[#This Row],[PID]],Table3[[#All],[PID]],0)))</f>
        <v>High</v>
      </c>
      <c r="L49" s="62">
        <f>IF($C49="B",INDEX(Batters[[#All],[CON P]],MATCH(Table5[[#This Row],[PID]],Batters[[#All],[PID]],0)),INDEX(Table3[[#All],[STU P]],MATCH(Table5[[#This Row],[PID]],Table3[[#All],[PID]],0)))</f>
        <v>6</v>
      </c>
      <c r="M49" s="58">
        <f>IF($C49="B",INDEX(Batters[[#All],[GAP P]],MATCH(Table5[[#This Row],[PID]],Batters[[#All],[PID]],0)),INDEX(Table3[[#All],[MOV P]],MATCH(Table5[[#This Row],[PID]],Table3[[#All],[PID]],0)))</f>
        <v>6</v>
      </c>
      <c r="N49" s="58">
        <f>IF($C49="B",INDEX(Batters[[#All],[POW P]],MATCH(Table5[[#This Row],[PID]],Batters[[#All],[PID]],0)),INDEX(Table3[[#All],[CON P]],MATCH(Table5[[#This Row],[PID]],Table3[[#All],[PID]],0)))</f>
        <v>3</v>
      </c>
      <c r="O49" s="58">
        <f>IF($C49="B",INDEX(Batters[[#All],[EYE P]],MATCH(Table5[[#This Row],[PID]],Batters[[#All],[PID]],0)),INDEX(Table3[[#All],[VELO]],MATCH(Table5[[#This Row],[PID]],Table3[[#All],[PID]],0)))</f>
        <v>4</v>
      </c>
      <c r="P49" s="58">
        <f>IF($C49="B",INDEX(Batters[[#All],[K P]],MATCH(Table5[[#This Row],[PID]],Batters[[#All],[PID]],0)),INDEX(Table3[[#All],[STM]],MATCH(Table5[[#This Row],[PID]],Table3[[#All],[PID]],0)))</f>
        <v>6</v>
      </c>
      <c r="Q49" s="63">
        <f>IF($C49="B",INDEX(Batters[[#All],[Tot]],MATCH(Table5[[#This Row],[PID]],Batters[[#All],[PID]],0)),INDEX(Table3[[#All],[Tot]],MATCH(Table5[[#This Row],[PID]],Table3[[#All],[PID]],0)))</f>
        <v>52.116861171369393</v>
      </c>
      <c r="R49" s="54">
        <f>IF($C49="B",INDEX(Batters[[#All],[zScore]],MATCH(Table5[[#This Row],[PID]],Batters[[#All],[PID]],0)),INDEX(Table3[[#All],[zScore]],MATCH(Table5[[#This Row],[PID]],Table3[[#All],[PID]],0)))</f>
        <v>2.0706093826556167</v>
      </c>
      <c r="S49" s="60" t="str">
        <f>IF($C49="B",INDEX(Batters[[#All],[DEM]],MATCH(Table5[[#This Row],[PID]],Batters[[#All],[PID]],0)),INDEX(Table3[[#All],[DEM]],MATCH(Table5[[#This Row],[PID]],Table3[[#All],[PID]],0)))</f>
        <v>$190k</v>
      </c>
      <c r="T49" s="64">
        <f>IF($C49="B",VLOOKUP($A49,Bat!$A$4:$AU$1417,46,FALSE),VLOOKUP($A49,Pit!$A$4:$BD$570,55,FALSE))</f>
        <v>0</v>
      </c>
      <c r="U49" s="52">
        <f>IF($C49="B",VLOOKUP($A49,Bat!$A$4:$BA$1417,47,FALSE),VLOOKUP($A49,Pit!$A$4:$BF$570,56,FALSE))</f>
        <v>0</v>
      </c>
      <c r="V49" s="52">
        <f>IF($C49="B",VLOOKUP($A49,Bat!$A$4:$BA$1417,48,FALSE),VLOOKUP($A49,Pit!$A$4:$BF$570,57,FALSE))</f>
        <v>0</v>
      </c>
      <c r="W49" s="52">
        <f>Table5[[#This Row],[posRnk]]+Table5[[#This Row],[zRnk]]+IF($W$3&lt;&gt;Table5[[#This Row],[Type]],50,0)</f>
        <v>95</v>
      </c>
      <c r="X49" s="53">
        <f>RANK(Table5[[#This Row],[zScore]],Table5[[#All],[zScore]])</f>
        <v>45</v>
      </c>
      <c r="Y49" s="52" t="str">
        <f>IFERROR(INDEX(DraftResults[[#All],[OVR]],MATCH(Table5[[#This Row],[PID]],DraftResults[[#All],[Player ID]],0)),"")</f>
        <v/>
      </c>
      <c r="Z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" s="52" t="str">
        <f>IFERROR(INDEX(DraftResults[[#All],[Pick in Round]],MATCH(Table5[[#This Row],[PID]],DraftResults[[#All],[Player ID]],0)),"")</f>
        <v/>
      </c>
      <c r="AB49" s="52" t="str">
        <f>IFERROR(INDEX(DraftResults[[#All],[Team Name]],MATCH(Table5[[#This Row],[PID]],DraftResults[[#All],[Player ID]],0)),"")</f>
        <v/>
      </c>
      <c r="AC49" s="52" t="str">
        <f>IF(Table5[[#This Row],[Ovr]]="","",IF(Table5[[#This Row],[cmbList]]="","",Table5[[#This Row],[cmbList]]-Table5[[#This Row],[Ovr]]))</f>
        <v/>
      </c>
      <c r="AD49" s="56" t="str">
        <f>IF(ISERROR(VLOOKUP($AB49&amp;"-"&amp;$E49&amp;" "&amp;F49,Bonuses!$B$1:$G$1006,4,FALSE)),"",INT(VLOOKUP($AB49&amp;"-"&amp;$E49&amp;" "&amp;$F49,Bonuses!$B$1:$G$1006,4,FALSE)))</f>
        <v/>
      </c>
      <c r="AE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" spans="1:31" s="52" customFormat="1" x14ac:dyDescent="0.25">
      <c r="A50" s="52">
        <v>8178</v>
      </c>
      <c r="B50" s="52">
        <f>COUNTIF(Table5[PID],A50)</f>
        <v>1</v>
      </c>
      <c r="C50" s="52" t="str">
        <f>IF(COUNTIF(Table3[[#All],[PID]],A50)&gt;0,"P","B")</f>
        <v>B</v>
      </c>
      <c r="D50" s="61" t="str">
        <f>IF($C50="B",INDEX(Batters[[#All],[POS]],MATCH(Table5[[#This Row],[PID]],Batters[[#All],[PID]],0)),INDEX(Table3[[#All],[POS]],MATCH(Table5[[#This Row],[PID]],Table3[[#All],[PID]],0)))</f>
        <v>CF</v>
      </c>
      <c r="E50" s="54" t="str">
        <f>IF($C50="B",INDEX(Batters[[#All],[First]],MATCH(Table5[[#This Row],[PID]],Batters[[#All],[PID]],0)),INDEX(Table3[[#All],[First]],MATCH(Table5[[#This Row],[PID]],Table3[[#All],[PID]],0)))</f>
        <v>Melvin</v>
      </c>
      <c r="F50" s="52" t="str">
        <f>IF($C50="B",INDEX(Batters[[#All],[Last]],MATCH(A50,Batters[[#All],[PID]],0)),INDEX(Table3[[#All],[Last]],MATCH(A50,Table3[[#All],[PID]],0)))</f>
        <v>James</v>
      </c>
      <c r="G50" s="58">
        <f>IF($C50="B",INDEX(Batters[[#All],[Age]],MATCH(Table5[[#This Row],[PID]],Batters[[#All],[PID]],0)),INDEX(Table3[[#All],[Age]],MATCH(Table5[[#This Row],[PID]],Table3[[#All],[PID]],0)))</f>
        <v>18</v>
      </c>
      <c r="H50" s="54" t="str">
        <f>IF($C50="B",INDEX(Batters[[#All],[B]],MATCH(Table5[[#This Row],[PID]],Batters[[#All],[PID]],0)),INDEX(Table3[[#All],[B]],MATCH(Table5[[#This Row],[PID]],Table3[[#All],[PID]],0)))</f>
        <v>R</v>
      </c>
      <c r="I50" s="54" t="str">
        <f>IF($C50="B",INDEX(Batters[[#All],[T]],MATCH(Table5[[#This Row],[PID]],Batters[[#All],[PID]],0)),INDEX(Table3[[#All],[T]],MATCH(Table5[[#This Row],[PID]],Table3[[#All],[PID]],0)))</f>
        <v>R</v>
      </c>
      <c r="J50" s="54" t="str">
        <f>IF($C50="B",INDEX(Batters[[#All],[WE]],MATCH(Table5[[#This Row],[PID]],Batters[[#All],[PID]],0)),INDEX(Table3[[#All],[WE]],MATCH(Table5[[#This Row],[PID]],Table3[[#All],[PID]],0)))</f>
        <v>Normal</v>
      </c>
      <c r="K50" s="54" t="str">
        <f>IF($C50="B",INDEX(Batters[[#All],[INT]],MATCH(Table5[[#This Row],[PID]],Batters[[#All],[PID]],0)),INDEX(Table3[[#All],[INT]],MATCH(Table5[[#This Row],[PID]],Table3[[#All],[PID]],0)))</f>
        <v>High</v>
      </c>
      <c r="L50" s="62">
        <f>IF($C50="B",INDEX(Batters[[#All],[CON P]],MATCH(Table5[[#This Row],[PID]],Batters[[#All],[PID]],0)),INDEX(Table3[[#All],[STU P]],MATCH(Table5[[#This Row],[PID]],Table3[[#All],[PID]],0)))</f>
        <v>4</v>
      </c>
      <c r="M50" s="58">
        <f>IF($C50="B",INDEX(Batters[[#All],[GAP P]],MATCH(Table5[[#This Row],[PID]],Batters[[#All],[PID]],0)),INDEX(Table3[[#All],[MOV P]],MATCH(Table5[[#This Row],[PID]],Table3[[#All],[PID]],0)))</f>
        <v>6</v>
      </c>
      <c r="N50" s="58">
        <f>IF($C50="B",INDEX(Batters[[#All],[POW P]],MATCH(Table5[[#This Row],[PID]],Batters[[#All],[PID]],0)),INDEX(Table3[[#All],[CON P]],MATCH(Table5[[#This Row],[PID]],Table3[[#All],[PID]],0)))</f>
        <v>6</v>
      </c>
      <c r="O50" s="58">
        <f>IF($C50="B",INDEX(Batters[[#All],[EYE P]],MATCH(Table5[[#This Row],[PID]],Batters[[#All],[PID]],0)),INDEX(Table3[[#All],[VELO]],MATCH(Table5[[#This Row],[PID]],Table3[[#All],[PID]],0)))</f>
        <v>6</v>
      </c>
      <c r="P50" s="58">
        <f>IF($C50="B",INDEX(Batters[[#All],[K P]],MATCH(Table5[[#This Row],[PID]],Batters[[#All],[PID]],0)),INDEX(Table3[[#All],[STM]],MATCH(Table5[[#This Row],[PID]],Table3[[#All],[PID]],0)))</f>
        <v>5</v>
      </c>
      <c r="Q50" s="63">
        <f>IF($C50="B",INDEX(Batters[[#All],[Tot]],MATCH(Table5[[#This Row],[PID]],Batters[[#All],[PID]],0)),INDEX(Table3[[#All],[Tot]],MATCH(Table5[[#This Row],[PID]],Table3[[#All],[PID]],0)))</f>
        <v>52.076786176483154</v>
      </c>
      <c r="R50" s="54">
        <f>IF($C50="B",INDEX(Batters[[#All],[zScore]],MATCH(Table5[[#This Row],[PID]],Batters[[#All],[PID]],0)),INDEX(Table3[[#All],[zScore]],MATCH(Table5[[#This Row],[PID]],Table3[[#All],[PID]],0)))</f>
        <v>2.0635584536559564</v>
      </c>
      <c r="S50" s="60" t="str">
        <f>IF($C50="B",INDEX(Batters[[#All],[DEM]],MATCH(Table5[[#This Row],[PID]],Batters[[#All],[PID]],0)),INDEX(Table3[[#All],[DEM]],MATCH(Table5[[#This Row],[PID]],Table3[[#All],[PID]],0)))</f>
        <v>$3.0m</v>
      </c>
      <c r="T50" s="64">
        <f>IF($C50="B",VLOOKUP($A50,Bat!$A$4:$AU$1417,46,FALSE),VLOOKUP($A50,Pit!$A$4:$BD$570,55,FALSE))</f>
        <v>0</v>
      </c>
      <c r="U50" s="52">
        <f>IF($C50="B",VLOOKUP($A50,Bat!$A$4:$BA$1417,47,FALSE),VLOOKUP($A50,Pit!$A$4:$BF$570,56,FALSE))</f>
        <v>0</v>
      </c>
      <c r="V50" s="52">
        <f>IF($C50="B",VLOOKUP($A50,Bat!$A$4:$BA$1417,48,FALSE),VLOOKUP($A50,Pit!$A$4:$BF$570,57,FALSE))</f>
        <v>0</v>
      </c>
      <c r="W50" s="52">
        <f>Table5[[#This Row],[posRnk]]+Table5[[#This Row],[zRnk]]+IF($W$3&lt;&gt;Table5[[#This Row],[Type]],50,0)</f>
        <v>96</v>
      </c>
      <c r="X50" s="53">
        <f>RANK(Table5[[#This Row],[zScore]],Table5[[#All],[zScore]])</f>
        <v>46</v>
      </c>
      <c r="Y50" s="52" t="str">
        <f>IFERROR(INDEX(DraftResults[[#All],[OVR]],MATCH(Table5[[#This Row],[PID]],DraftResults[[#All],[Player ID]],0)),"")</f>
        <v/>
      </c>
      <c r="Z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" s="52" t="str">
        <f>IFERROR(INDEX(DraftResults[[#All],[Pick in Round]],MATCH(Table5[[#This Row],[PID]],DraftResults[[#All],[Player ID]],0)),"")</f>
        <v/>
      </c>
      <c r="AB50" s="52" t="str">
        <f>IFERROR(INDEX(DraftResults[[#All],[Team Name]],MATCH(Table5[[#This Row],[PID]],DraftResults[[#All],[Player ID]],0)),"")</f>
        <v/>
      </c>
      <c r="AC50" s="52" t="str">
        <f>IF(Table5[[#This Row],[Ovr]]="","",IF(Table5[[#This Row],[cmbList]]="","",Table5[[#This Row],[cmbList]]-Table5[[#This Row],[Ovr]]))</f>
        <v/>
      </c>
      <c r="AD50" s="56" t="str">
        <f>IF(ISERROR(VLOOKUP($AB50&amp;"-"&amp;$E50&amp;" "&amp;F50,Bonuses!$B$1:$G$1006,4,FALSE)),"",INT(VLOOKUP($AB50&amp;"-"&amp;$E50&amp;" "&amp;$F50,Bonuses!$B$1:$G$1006,4,FALSE)))</f>
        <v/>
      </c>
      <c r="AE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" spans="1:31" s="52" customFormat="1" x14ac:dyDescent="0.25">
      <c r="A51" s="52">
        <v>7963</v>
      </c>
      <c r="B51" s="52">
        <f>COUNTIF(Table5[PID],A51)</f>
        <v>1</v>
      </c>
      <c r="C51" s="52" t="str">
        <f>IF(COUNTIF(Table3[[#All],[PID]],A51)&gt;0,"P","B")</f>
        <v>P</v>
      </c>
      <c r="D51" s="61" t="str">
        <f>IF($C51="B",INDEX(Batters[[#All],[POS]],MATCH(Table5[[#This Row],[PID]],Batters[[#All],[PID]],0)),INDEX(Table3[[#All],[POS]],MATCH(Table5[[#This Row],[PID]],Table3[[#All],[PID]],0)))</f>
        <v>RP</v>
      </c>
      <c r="E51" s="54" t="str">
        <f>IF($C51="B",INDEX(Batters[[#All],[First]],MATCH(Table5[[#This Row],[PID]],Batters[[#All],[PID]],0)),INDEX(Table3[[#All],[First]],MATCH(Table5[[#This Row],[PID]],Table3[[#All],[PID]],0)))</f>
        <v>Mike</v>
      </c>
      <c r="F51" s="52" t="str">
        <f>IF($C51="B",INDEX(Batters[[#All],[Last]],MATCH(A51,Batters[[#All],[PID]],0)),INDEX(Table3[[#All],[Last]],MATCH(A51,Table3[[#All],[PID]],0)))</f>
        <v>Travis</v>
      </c>
      <c r="G51" s="58">
        <f>IF($C51="B",INDEX(Batters[[#All],[Age]],MATCH(Table5[[#This Row],[PID]],Batters[[#All],[PID]],0)),INDEX(Table3[[#All],[Age]],MATCH(Table5[[#This Row],[PID]],Table3[[#All],[PID]],0)))</f>
        <v>18</v>
      </c>
      <c r="H51" s="54" t="str">
        <f>IF($C51="B",INDEX(Batters[[#All],[B]],MATCH(Table5[[#This Row],[PID]],Batters[[#All],[PID]],0)),INDEX(Table3[[#All],[B]],MATCH(Table5[[#This Row],[PID]],Table3[[#All],[PID]],0)))</f>
        <v>L</v>
      </c>
      <c r="I51" s="54" t="str">
        <f>IF($C51="B",INDEX(Batters[[#All],[T]],MATCH(Table5[[#This Row],[PID]],Batters[[#All],[PID]],0)),INDEX(Table3[[#All],[T]],MATCH(Table5[[#This Row],[PID]],Table3[[#All],[PID]],0)))</f>
        <v>L</v>
      </c>
      <c r="J51" s="54" t="str">
        <f>IF($C51="B",INDEX(Batters[[#All],[WE]],MATCH(Table5[[#This Row],[PID]],Batters[[#All],[PID]],0)),INDEX(Table3[[#All],[WE]],MATCH(Table5[[#This Row],[PID]],Table3[[#All],[PID]],0)))</f>
        <v>Normal</v>
      </c>
      <c r="K51" s="54" t="str">
        <f>IF($C51="B",INDEX(Batters[[#All],[INT]],MATCH(Table5[[#This Row],[PID]],Batters[[#All],[PID]],0)),INDEX(Table3[[#All],[INT]],MATCH(Table5[[#This Row],[PID]],Table3[[#All],[PID]],0)))</f>
        <v>Normal</v>
      </c>
      <c r="L51" s="62">
        <f>IF($C51="B",INDEX(Batters[[#All],[CON P]],MATCH(Table5[[#This Row],[PID]],Batters[[#All],[PID]],0)),INDEX(Table3[[#All],[STU P]],MATCH(Table5[[#This Row],[PID]],Table3[[#All],[PID]],0)))</f>
        <v>6</v>
      </c>
      <c r="M51" s="58">
        <f>IF($C51="B",INDEX(Batters[[#All],[GAP P]],MATCH(Table5[[#This Row],[PID]],Batters[[#All],[PID]],0)),INDEX(Table3[[#All],[MOV P]],MATCH(Table5[[#This Row],[PID]],Table3[[#All],[PID]],0)))</f>
        <v>5</v>
      </c>
      <c r="N51" s="58">
        <f>IF($C51="B",INDEX(Batters[[#All],[POW P]],MATCH(Table5[[#This Row],[PID]],Batters[[#All],[PID]],0)),INDEX(Table3[[#All],[CON P]],MATCH(Table5[[#This Row],[PID]],Table3[[#All],[PID]],0)))</f>
        <v>3</v>
      </c>
      <c r="O51" s="58" t="str">
        <f>IF($C51="B",INDEX(Batters[[#All],[EYE P]],MATCH(Table5[[#This Row],[PID]],Batters[[#All],[PID]],0)),INDEX(Table3[[#All],[VELO]],MATCH(Table5[[#This Row],[PID]],Table3[[#All],[PID]],0)))</f>
        <v>92-94 Mph</v>
      </c>
      <c r="P51" s="58">
        <f>IF($C51="B",INDEX(Batters[[#All],[K P]],MATCH(Table5[[#This Row],[PID]],Batters[[#All],[PID]],0)),INDEX(Table3[[#All],[STM]],MATCH(Table5[[#This Row],[PID]],Table3[[#All],[PID]],0)))</f>
        <v>9</v>
      </c>
      <c r="Q51" s="63">
        <f>IF($C51="B",INDEX(Batters[[#All],[Tot]],MATCH(Table5[[#This Row],[PID]],Batters[[#All],[PID]],0)),INDEX(Table3[[#All],[Tot]],MATCH(Table5[[#This Row],[PID]],Table3[[#All],[PID]],0)))</f>
        <v>55.214430423469999</v>
      </c>
      <c r="R51" s="54">
        <f>IF($C51="B",INDEX(Batters[[#All],[zScore]],MATCH(Table5[[#This Row],[PID]],Batters[[#All],[PID]],0)),INDEX(Table3[[#All],[zScore]],MATCH(Table5[[#This Row],[PID]],Table3[[#All],[PID]],0)))</f>
        <v>2.0626290001107046</v>
      </c>
      <c r="S51" s="60" t="str">
        <f>IF($C51="B",INDEX(Batters[[#All],[DEM]],MATCH(Table5[[#This Row],[PID]],Batters[[#All],[PID]],0)),INDEX(Table3[[#All],[DEM]],MATCH(Table5[[#This Row],[PID]],Table3[[#All],[PID]],0)))</f>
        <v>$200k</v>
      </c>
      <c r="T51" s="64">
        <f>IF($C51="B",VLOOKUP($A51,Bat!$A$4:$AU$1417,46,FALSE),VLOOKUP($A51,Pit!$A$4:$BD$570,55,FALSE))</f>
        <v>0</v>
      </c>
      <c r="U51" s="52">
        <f>IF($C51="B",VLOOKUP($A51,Bat!$A$4:$BA$1417,47,FALSE),VLOOKUP($A51,Pit!$A$4:$BF$570,56,FALSE))</f>
        <v>0</v>
      </c>
      <c r="V51" s="52">
        <f>IF($C51="B",VLOOKUP($A51,Bat!$A$4:$BA$1417,48,FALSE),VLOOKUP($A51,Pit!$A$4:$BF$570,57,FALSE))</f>
        <v>0</v>
      </c>
      <c r="W51" s="52">
        <f>Table5[[#This Row],[posRnk]]+Table5[[#This Row],[zRnk]]+IF($W$3&lt;&gt;Table5[[#This Row],[Type]],50,0)</f>
        <v>97</v>
      </c>
      <c r="X51" s="53">
        <f>RANK(Table5[[#This Row],[zScore]],Table5[[#All],[zScore]])</f>
        <v>47</v>
      </c>
      <c r="Y51" s="52" t="str">
        <f>IFERROR(INDEX(DraftResults[[#All],[OVR]],MATCH(Table5[[#This Row],[PID]],DraftResults[[#All],[Player ID]],0)),"")</f>
        <v/>
      </c>
      <c r="Z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" s="52" t="str">
        <f>IFERROR(INDEX(DraftResults[[#All],[Pick in Round]],MATCH(Table5[[#This Row],[PID]],DraftResults[[#All],[Player ID]],0)),"")</f>
        <v/>
      </c>
      <c r="AB51" s="52" t="str">
        <f>IFERROR(INDEX(DraftResults[[#All],[Team Name]],MATCH(Table5[[#This Row],[PID]],DraftResults[[#All],[Player ID]],0)),"")</f>
        <v/>
      </c>
      <c r="AC51" s="52" t="str">
        <f>IF(Table5[[#This Row],[Ovr]]="","",IF(Table5[[#This Row],[cmbList]]="","",Table5[[#This Row],[cmbList]]-Table5[[#This Row],[Ovr]]))</f>
        <v/>
      </c>
      <c r="AD51" s="56" t="str">
        <f>IF(ISERROR(VLOOKUP($AB51&amp;"-"&amp;$E51&amp;" "&amp;F51,Bonuses!$B$1:$G$1006,4,FALSE)),"",INT(VLOOKUP($AB51&amp;"-"&amp;$E51&amp;" "&amp;$F51,Bonuses!$B$1:$G$1006,4,FALSE)))</f>
        <v/>
      </c>
      <c r="AE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" spans="1:31" s="52" customFormat="1" x14ac:dyDescent="0.25">
      <c r="A52" s="52">
        <v>6891</v>
      </c>
      <c r="B52" s="52">
        <f>COUNTIF(Table5[PID],A52)</f>
        <v>1</v>
      </c>
      <c r="C52" s="52" t="str">
        <f>IF(COUNTIF(Table3[[#All],[PID]],A52)&gt;0,"P","B")</f>
        <v>P</v>
      </c>
      <c r="D52" s="61" t="str">
        <f>IF($C52="B",INDEX(Batters[[#All],[POS]],MATCH(Table5[[#This Row],[PID]],Batters[[#All],[PID]],0)),INDEX(Table3[[#All],[POS]],MATCH(Table5[[#This Row],[PID]],Table3[[#All],[PID]],0)))</f>
        <v>CL</v>
      </c>
      <c r="E52" s="54" t="str">
        <f>IF($C52="B",INDEX(Batters[[#All],[First]],MATCH(Table5[[#This Row],[PID]],Batters[[#All],[PID]],0)),INDEX(Table3[[#All],[First]],MATCH(Table5[[#This Row],[PID]],Table3[[#All],[PID]],0)))</f>
        <v>Blaine</v>
      </c>
      <c r="F52" s="52" t="str">
        <f>IF($C52="B",INDEX(Batters[[#All],[Last]],MATCH(A52,Batters[[#All],[PID]],0)),INDEX(Table3[[#All],[Last]],MATCH(A52,Table3[[#All],[PID]],0)))</f>
        <v>Julien</v>
      </c>
      <c r="G52" s="58">
        <f>IF($C52="B",INDEX(Batters[[#All],[Age]],MATCH(Table5[[#This Row],[PID]],Batters[[#All],[PID]],0)),INDEX(Table3[[#All],[Age]],MATCH(Table5[[#This Row],[PID]],Table3[[#All],[PID]],0)))</f>
        <v>20</v>
      </c>
      <c r="H52" s="54" t="str">
        <f>IF($C52="B",INDEX(Batters[[#All],[B]],MATCH(Table5[[#This Row],[PID]],Batters[[#All],[PID]],0)),INDEX(Table3[[#All],[B]],MATCH(Table5[[#This Row],[PID]],Table3[[#All],[PID]],0)))</f>
        <v>R</v>
      </c>
      <c r="I52" s="54" t="str">
        <f>IF($C52="B",INDEX(Batters[[#All],[T]],MATCH(Table5[[#This Row],[PID]],Batters[[#All],[PID]],0)),INDEX(Table3[[#All],[T]],MATCH(Table5[[#This Row],[PID]],Table3[[#All],[PID]],0)))</f>
        <v>R</v>
      </c>
      <c r="J52" s="54" t="str">
        <f>IF($C52="B",INDEX(Batters[[#All],[WE]],MATCH(Table5[[#This Row],[PID]],Batters[[#All],[PID]],0)),INDEX(Table3[[#All],[WE]],MATCH(Table5[[#This Row],[PID]],Table3[[#All],[PID]],0)))</f>
        <v>Normal</v>
      </c>
      <c r="K52" s="54" t="str">
        <f>IF($C52="B",INDEX(Batters[[#All],[INT]],MATCH(Table5[[#This Row],[PID]],Batters[[#All],[PID]],0)),INDEX(Table3[[#All],[INT]],MATCH(Table5[[#This Row],[PID]],Table3[[#All],[PID]],0)))</f>
        <v>High</v>
      </c>
      <c r="L52" s="62">
        <f>IF($C52="B",INDEX(Batters[[#All],[CON P]],MATCH(Table5[[#This Row],[PID]],Batters[[#All],[PID]],0)),INDEX(Table3[[#All],[STU P]],MATCH(Table5[[#This Row],[PID]],Table3[[#All],[PID]],0)))</f>
        <v>9</v>
      </c>
      <c r="M52" s="58">
        <f>IF($C52="B",INDEX(Batters[[#All],[GAP P]],MATCH(Table5[[#This Row],[PID]],Batters[[#All],[PID]],0)),INDEX(Table3[[#All],[MOV P]],MATCH(Table5[[#This Row],[PID]],Table3[[#All],[PID]],0)))</f>
        <v>3</v>
      </c>
      <c r="N52" s="58">
        <f>IF($C52="B",INDEX(Batters[[#All],[POW P]],MATCH(Table5[[#This Row],[PID]],Batters[[#All],[PID]],0)),INDEX(Table3[[#All],[CON P]],MATCH(Table5[[#This Row],[PID]],Table3[[#All],[PID]],0)))</f>
        <v>3</v>
      </c>
      <c r="O52" s="58" t="str">
        <f>IF($C52="B",INDEX(Batters[[#All],[EYE P]],MATCH(Table5[[#This Row],[PID]],Batters[[#All],[PID]],0)),INDEX(Table3[[#All],[VELO]],MATCH(Table5[[#This Row],[PID]],Table3[[#All],[PID]],0)))</f>
        <v>98-100 Mph</v>
      </c>
      <c r="P52" s="58">
        <f>IF($C52="B",INDEX(Batters[[#All],[K P]],MATCH(Table5[[#This Row],[PID]],Batters[[#All],[PID]],0)),INDEX(Table3[[#All],[STM]],MATCH(Table5[[#This Row],[PID]],Table3[[#All],[PID]],0)))</f>
        <v>6</v>
      </c>
      <c r="Q52" s="63">
        <f>IF($C52="B",INDEX(Batters[[#All],[Tot]],MATCH(Table5[[#This Row],[PID]],Batters[[#All],[PID]],0)),INDEX(Table3[[#All],[Tot]],MATCH(Table5[[#This Row],[PID]],Table3[[#All],[PID]],0)))</f>
        <v>54.974158139500332</v>
      </c>
      <c r="R52" s="54">
        <f>IF($C52="B",INDEX(Batters[[#All],[zScore]],MATCH(Table5[[#This Row],[PID]],Batters[[#All],[PID]],0)),INDEX(Table3[[#All],[zScore]],MATCH(Table5[[#This Row],[PID]],Table3[[#All],[PID]],0)))</f>
        <v>2.0405950047253612</v>
      </c>
      <c r="S52" s="60" t="str">
        <f>IF($C52="B",INDEX(Batters[[#All],[DEM]],MATCH(Table5[[#This Row],[PID]],Batters[[#All],[PID]],0)),INDEX(Table3[[#All],[DEM]],MATCH(Table5[[#This Row],[PID]],Table3[[#All],[PID]],0)))</f>
        <v>-</v>
      </c>
      <c r="T52" s="64">
        <f>IF($C52="B",VLOOKUP($A52,Bat!$A$4:$AU$1417,46,FALSE),VLOOKUP($A52,Pit!$A$4:$BD$570,55,FALSE))</f>
        <v>0</v>
      </c>
      <c r="U52" s="52">
        <f>IF($C52="B",VLOOKUP($A52,Bat!$A$4:$BA$1417,47,FALSE),VLOOKUP($A52,Pit!$A$4:$BF$570,56,FALSE))</f>
        <v>0</v>
      </c>
      <c r="V52" s="52">
        <f>IF($C52="B",VLOOKUP($A52,Bat!$A$4:$BA$1417,48,FALSE),VLOOKUP($A52,Pit!$A$4:$BF$570,57,FALSE))</f>
        <v>0</v>
      </c>
      <c r="W52" s="52">
        <f>Table5[[#This Row],[posRnk]]+Table5[[#This Row],[zRnk]]+IF($W$3&lt;&gt;Table5[[#This Row],[Type]],50,0)</f>
        <v>98</v>
      </c>
      <c r="X52" s="53">
        <f>RANK(Table5[[#This Row],[zScore]],Table5[[#All],[zScore]])</f>
        <v>48</v>
      </c>
      <c r="Y52" s="52" t="str">
        <f>IFERROR(INDEX(DraftResults[[#All],[OVR]],MATCH(Table5[[#This Row],[PID]],DraftResults[[#All],[Player ID]],0)),"")</f>
        <v/>
      </c>
      <c r="Z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" s="52" t="str">
        <f>IFERROR(INDEX(DraftResults[[#All],[Pick in Round]],MATCH(Table5[[#This Row],[PID]],DraftResults[[#All],[Player ID]],0)),"")</f>
        <v/>
      </c>
      <c r="AB52" s="52" t="str">
        <f>IFERROR(INDEX(DraftResults[[#All],[Team Name]],MATCH(Table5[[#This Row],[PID]],DraftResults[[#All],[Player ID]],0)),"")</f>
        <v/>
      </c>
      <c r="AC52" s="52" t="str">
        <f>IF(Table5[[#This Row],[Ovr]]="","",IF(Table5[[#This Row],[cmbList]]="","",Table5[[#This Row],[cmbList]]-Table5[[#This Row],[Ovr]]))</f>
        <v/>
      </c>
      <c r="AD52" s="56" t="str">
        <f>IF(ISERROR(VLOOKUP($AB52&amp;"-"&amp;$E52&amp;" "&amp;F52,Bonuses!$B$1:$G$1006,4,FALSE)),"",INT(VLOOKUP($AB52&amp;"-"&amp;$E52&amp;" "&amp;$F52,Bonuses!$B$1:$G$1006,4,FALSE)))</f>
        <v/>
      </c>
      <c r="AE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" spans="1:31" s="52" customFormat="1" x14ac:dyDescent="0.25">
      <c r="A53" s="52">
        <v>9283</v>
      </c>
      <c r="B53" s="52">
        <f>COUNTIF(Table5[PID],A53)</f>
        <v>1</v>
      </c>
      <c r="C53" s="52" t="str">
        <f>IF(COUNTIF(Table3[[#All],[PID]],A53)&gt;0,"P","B")</f>
        <v>B</v>
      </c>
      <c r="D53" s="61" t="str">
        <f>IF($C53="B",INDEX(Batters[[#All],[POS]],MATCH(Table5[[#This Row],[PID]],Batters[[#All],[PID]],0)),INDEX(Table3[[#All],[POS]],MATCH(Table5[[#This Row],[PID]],Table3[[#All],[PID]],0)))</f>
        <v>2B</v>
      </c>
      <c r="E53" s="54" t="str">
        <f>IF($C53="B",INDEX(Batters[[#All],[First]],MATCH(Table5[[#This Row],[PID]],Batters[[#All],[PID]],0)),INDEX(Table3[[#All],[First]],MATCH(Table5[[#This Row],[PID]],Table3[[#All],[PID]],0)))</f>
        <v>Jimmy</v>
      </c>
      <c r="F53" s="52" t="str">
        <f>IF($C53="B",INDEX(Batters[[#All],[Last]],MATCH(A53,Batters[[#All],[PID]],0)),INDEX(Table3[[#All],[Last]],MATCH(A53,Table3[[#All],[PID]],0)))</f>
        <v>Bradford</v>
      </c>
      <c r="G53" s="58">
        <f>IF($C53="B",INDEX(Batters[[#All],[Age]],MATCH(Table5[[#This Row],[PID]],Batters[[#All],[PID]],0)),INDEX(Table3[[#All],[Age]],MATCH(Table5[[#This Row],[PID]],Table3[[#All],[PID]],0)))</f>
        <v>21</v>
      </c>
      <c r="H53" s="54" t="str">
        <f>IF($C53="B",INDEX(Batters[[#All],[B]],MATCH(Table5[[#This Row],[PID]],Batters[[#All],[PID]],0)),INDEX(Table3[[#All],[B]],MATCH(Table5[[#This Row],[PID]],Table3[[#All],[PID]],0)))</f>
        <v>R</v>
      </c>
      <c r="I53" s="54" t="str">
        <f>IF($C53="B",INDEX(Batters[[#All],[T]],MATCH(Table5[[#This Row],[PID]],Batters[[#All],[PID]],0)),INDEX(Table3[[#All],[T]],MATCH(Table5[[#This Row],[PID]],Table3[[#All],[PID]],0)))</f>
        <v>R</v>
      </c>
      <c r="J53" s="54" t="str">
        <f>IF($C53="B",INDEX(Batters[[#All],[WE]],MATCH(Table5[[#This Row],[PID]],Batters[[#All],[PID]],0)),INDEX(Table3[[#All],[WE]],MATCH(Table5[[#This Row],[PID]],Table3[[#All],[PID]],0)))</f>
        <v>Normal</v>
      </c>
      <c r="K53" s="54" t="str">
        <f>IF($C53="B",INDEX(Batters[[#All],[INT]],MATCH(Table5[[#This Row],[PID]],Batters[[#All],[PID]],0)),INDEX(Table3[[#All],[INT]],MATCH(Table5[[#This Row],[PID]],Table3[[#All],[PID]],0)))</f>
        <v>Normal</v>
      </c>
      <c r="L53" s="62">
        <f>IF($C53="B",INDEX(Batters[[#All],[CON P]],MATCH(Table5[[#This Row],[PID]],Batters[[#All],[PID]],0)),INDEX(Table3[[#All],[STU P]],MATCH(Table5[[#This Row],[PID]],Table3[[#All],[PID]],0)))</f>
        <v>6</v>
      </c>
      <c r="M53" s="58">
        <f>IF($C53="B",INDEX(Batters[[#All],[GAP P]],MATCH(Table5[[#This Row],[PID]],Batters[[#All],[PID]],0)),INDEX(Table3[[#All],[MOV P]],MATCH(Table5[[#This Row],[PID]],Table3[[#All],[PID]],0)))</f>
        <v>6</v>
      </c>
      <c r="N53" s="58">
        <f>IF($C53="B",INDEX(Batters[[#All],[POW P]],MATCH(Table5[[#This Row],[PID]],Batters[[#All],[PID]],0)),INDEX(Table3[[#All],[CON P]],MATCH(Table5[[#This Row],[PID]],Table3[[#All],[PID]],0)))</f>
        <v>3</v>
      </c>
      <c r="O53" s="58">
        <f>IF($C53="B",INDEX(Batters[[#All],[EYE P]],MATCH(Table5[[#This Row],[PID]],Batters[[#All],[PID]],0)),INDEX(Table3[[#All],[VELO]],MATCH(Table5[[#This Row],[PID]],Table3[[#All],[PID]],0)))</f>
        <v>4</v>
      </c>
      <c r="P53" s="58">
        <f>IF($C53="B",INDEX(Batters[[#All],[K P]],MATCH(Table5[[#This Row],[PID]],Batters[[#All],[PID]],0)),INDEX(Table3[[#All],[STM]],MATCH(Table5[[#This Row],[PID]],Table3[[#All],[PID]],0)))</f>
        <v>6</v>
      </c>
      <c r="Q53" s="63">
        <f>IF($C53="B",INDEX(Batters[[#All],[Tot]],MATCH(Table5[[#This Row],[PID]],Batters[[#All],[PID]],0)),INDEX(Table3[[#All],[Tot]],MATCH(Table5[[#This Row],[PID]],Table3[[#All],[PID]],0)))</f>
        <v>51.691060278492046</v>
      </c>
      <c r="R53" s="54">
        <f>IF($C53="B",INDEX(Batters[[#All],[zScore]],MATCH(Table5[[#This Row],[PID]],Batters[[#All],[PID]],0)),INDEX(Table3[[#All],[zScore]],MATCH(Table5[[#This Row],[PID]],Table3[[#All],[PID]],0)))</f>
        <v>1.9956925455557597</v>
      </c>
      <c r="S53" s="60" t="str">
        <f>IF($C53="B",INDEX(Batters[[#All],[DEM]],MATCH(Table5[[#This Row],[PID]],Batters[[#All],[PID]],0)),INDEX(Table3[[#All],[DEM]],MATCH(Table5[[#This Row],[PID]],Table3[[#All],[PID]],0)))</f>
        <v>$650k</v>
      </c>
      <c r="T53" s="64">
        <f>IF($C53="B",VLOOKUP($A53,Bat!$A$4:$AU$1417,46,FALSE),VLOOKUP($A53,Pit!$A$4:$BD$570,55,FALSE))</f>
        <v>0</v>
      </c>
      <c r="U53" s="52">
        <f>IF($C53="B",VLOOKUP($A53,Bat!$A$4:$BA$1417,47,FALSE),VLOOKUP($A53,Pit!$A$4:$BF$570,56,FALSE))</f>
        <v>0</v>
      </c>
      <c r="V53" s="52">
        <f>IF($C53="B",VLOOKUP($A53,Bat!$A$4:$BA$1417,48,FALSE),VLOOKUP($A53,Pit!$A$4:$BF$570,57,FALSE))</f>
        <v>0</v>
      </c>
      <c r="W53" s="52">
        <f>Table5[[#This Row],[posRnk]]+Table5[[#This Row],[zRnk]]+IF($W$3&lt;&gt;Table5[[#This Row],[Type]],50,0)</f>
        <v>99</v>
      </c>
      <c r="X53" s="53">
        <f>RANK(Table5[[#This Row],[zScore]],Table5[[#All],[zScore]])</f>
        <v>49</v>
      </c>
      <c r="Y53" s="52" t="str">
        <f>IFERROR(INDEX(DraftResults[[#All],[OVR]],MATCH(Table5[[#This Row],[PID]],DraftResults[[#All],[Player ID]],0)),"")</f>
        <v/>
      </c>
      <c r="Z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" s="52" t="str">
        <f>IFERROR(INDEX(DraftResults[[#All],[Pick in Round]],MATCH(Table5[[#This Row],[PID]],DraftResults[[#All],[Player ID]],0)),"")</f>
        <v/>
      </c>
      <c r="AB53" s="52" t="str">
        <f>IFERROR(INDEX(DraftResults[[#All],[Team Name]],MATCH(Table5[[#This Row],[PID]],DraftResults[[#All],[Player ID]],0)),"")</f>
        <v/>
      </c>
      <c r="AC53" s="52" t="str">
        <f>IF(Table5[[#This Row],[Ovr]]="","",IF(Table5[[#This Row],[cmbList]]="","",Table5[[#This Row],[cmbList]]-Table5[[#This Row],[Ovr]]))</f>
        <v/>
      </c>
      <c r="AD53" s="56" t="str">
        <f>IF(ISERROR(VLOOKUP($AB53&amp;"-"&amp;$E53&amp;" "&amp;F53,Bonuses!$B$1:$G$1006,4,FALSE)),"",INT(VLOOKUP($AB53&amp;"-"&amp;$E53&amp;" "&amp;$F53,Bonuses!$B$1:$G$1006,4,FALSE)))</f>
        <v/>
      </c>
      <c r="AE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" spans="1:31" s="52" customFormat="1" x14ac:dyDescent="0.25">
      <c r="A54" s="52">
        <v>5703</v>
      </c>
      <c r="B54" s="52">
        <f>COUNTIF(Table5[PID],A54)</f>
        <v>1</v>
      </c>
      <c r="C54" s="52" t="str">
        <f>IF(COUNTIF(Table3[[#All],[PID]],A54)&gt;0,"P","B")</f>
        <v>P</v>
      </c>
      <c r="D54" s="61" t="str">
        <f>IF($C54="B",INDEX(Batters[[#All],[POS]],MATCH(Table5[[#This Row],[PID]],Batters[[#All],[PID]],0)),INDEX(Table3[[#All],[POS]],MATCH(Table5[[#This Row],[PID]],Table3[[#All],[PID]],0)))</f>
        <v>SP</v>
      </c>
      <c r="E54" s="54" t="str">
        <f>IF($C54="B",INDEX(Batters[[#All],[First]],MATCH(Table5[[#This Row],[PID]],Batters[[#All],[PID]],0)),INDEX(Table3[[#All],[First]],MATCH(Table5[[#This Row],[PID]],Table3[[#All],[PID]],0)))</f>
        <v>Skip</v>
      </c>
      <c r="F54" s="52" t="str">
        <f>IF($C54="B",INDEX(Batters[[#All],[Last]],MATCH(A54,Batters[[#All],[PID]],0)),INDEX(Table3[[#All],[Last]],MATCH(A54,Table3[[#All],[PID]],0)))</f>
        <v>Foster</v>
      </c>
      <c r="G54" s="58">
        <f>IF($C54="B",INDEX(Batters[[#All],[Age]],MATCH(Table5[[#This Row],[PID]],Batters[[#All],[PID]],0)),INDEX(Table3[[#All],[Age]],MATCH(Table5[[#This Row],[PID]],Table3[[#All],[PID]],0)))</f>
        <v>21</v>
      </c>
      <c r="H54" s="54" t="str">
        <f>IF($C54="B",INDEX(Batters[[#All],[B]],MATCH(Table5[[#This Row],[PID]],Batters[[#All],[PID]],0)),INDEX(Table3[[#All],[B]],MATCH(Table5[[#This Row],[PID]],Table3[[#All],[PID]],0)))</f>
        <v>S</v>
      </c>
      <c r="I54" s="54" t="str">
        <f>IF($C54="B",INDEX(Batters[[#All],[T]],MATCH(Table5[[#This Row],[PID]],Batters[[#All],[PID]],0)),INDEX(Table3[[#All],[T]],MATCH(Table5[[#This Row],[PID]],Table3[[#All],[PID]],0)))</f>
        <v>R</v>
      </c>
      <c r="J54" s="54" t="str">
        <f>IF($C54="B",INDEX(Batters[[#All],[WE]],MATCH(Table5[[#This Row],[PID]],Batters[[#All],[PID]],0)),INDEX(Table3[[#All],[WE]],MATCH(Table5[[#This Row],[PID]],Table3[[#All],[PID]],0)))</f>
        <v>Normal</v>
      </c>
      <c r="K54" s="54" t="str">
        <f>IF($C54="B",INDEX(Batters[[#All],[INT]],MATCH(Table5[[#This Row],[PID]],Batters[[#All],[PID]],0)),INDEX(Table3[[#All],[INT]],MATCH(Table5[[#This Row],[PID]],Table3[[#All],[PID]],0)))</f>
        <v>Normal</v>
      </c>
      <c r="L54" s="62">
        <f>IF($C54="B",INDEX(Batters[[#All],[CON P]],MATCH(Table5[[#This Row],[PID]],Batters[[#All],[PID]],0)),INDEX(Table3[[#All],[STU P]],MATCH(Table5[[#This Row],[PID]],Table3[[#All],[PID]],0)))</f>
        <v>5</v>
      </c>
      <c r="M54" s="58">
        <f>IF($C54="B",INDEX(Batters[[#All],[GAP P]],MATCH(Table5[[#This Row],[PID]],Batters[[#All],[PID]],0)),INDEX(Table3[[#All],[MOV P]],MATCH(Table5[[#This Row],[PID]],Table3[[#All],[PID]],0)))</f>
        <v>5</v>
      </c>
      <c r="N54" s="58">
        <f>IF($C54="B",INDEX(Batters[[#All],[POW P]],MATCH(Table5[[#This Row],[PID]],Batters[[#All],[PID]],0)),INDEX(Table3[[#All],[CON P]],MATCH(Table5[[#This Row],[PID]],Table3[[#All],[PID]],0)))</f>
        <v>5</v>
      </c>
      <c r="O54" s="58" t="str">
        <f>IF($C54="B",INDEX(Batters[[#All],[EYE P]],MATCH(Table5[[#This Row],[PID]],Batters[[#All],[PID]],0)),INDEX(Table3[[#All],[VELO]],MATCH(Table5[[#This Row],[PID]],Table3[[#All],[PID]],0)))</f>
        <v>91-93 Mph</v>
      </c>
      <c r="P54" s="58">
        <f>IF($C54="B",INDEX(Batters[[#All],[K P]],MATCH(Table5[[#This Row],[PID]],Batters[[#All],[PID]],0)),INDEX(Table3[[#All],[STM]],MATCH(Table5[[#This Row],[PID]],Table3[[#All],[PID]],0)))</f>
        <v>4</v>
      </c>
      <c r="Q54" s="63">
        <f>IF($C54="B",INDEX(Batters[[#All],[Tot]],MATCH(Table5[[#This Row],[PID]],Batters[[#All],[PID]],0)),INDEX(Table3[[#All],[Tot]],MATCH(Table5[[#This Row],[PID]],Table3[[#All],[PID]],0)))</f>
        <v>54.308796154228673</v>
      </c>
      <c r="R54" s="54">
        <f>IF($C54="B",INDEX(Batters[[#All],[zScore]],MATCH(Table5[[#This Row],[PID]],Batters[[#All],[PID]],0)),INDEX(Table3[[#All],[zScore]],MATCH(Table5[[#This Row],[PID]],Table3[[#All],[PID]],0)))</f>
        <v>1.9795784668590561</v>
      </c>
      <c r="S54" s="60" t="str">
        <f>IF($C54="B",INDEX(Batters[[#All],[DEM]],MATCH(Table5[[#This Row],[PID]],Batters[[#All],[PID]],0)),INDEX(Table3[[#All],[DEM]],MATCH(Table5[[#This Row],[PID]],Table3[[#All],[PID]],0)))</f>
        <v>$260k</v>
      </c>
      <c r="T54" s="64">
        <f>IF($C54="B",VLOOKUP($A54,Bat!$A$4:$AU$1417,46,FALSE),VLOOKUP($A54,Pit!$A$4:$BD$570,55,FALSE))</f>
        <v>0</v>
      </c>
      <c r="U54" s="52">
        <f>IF($C54="B",VLOOKUP($A54,Bat!$A$4:$BA$1417,47,FALSE),VLOOKUP($A54,Pit!$A$4:$BF$570,56,FALSE))</f>
        <v>0</v>
      </c>
      <c r="V54" s="52">
        <f>IF($C54="B",VLOOKUP($A54,Bat!$A$4:$BA$1417,48,FALSE),VLOOKUP($A54,Pit!$A$4:$BF$570,57,FALSE))</f>
        <v>0</v>
      </c>
      <c r="W54" s="52">
        <f>Table5[[#This Row],[posRnk]]+Table5[[#This Row],[zRnk]]+IF($W$3&lt;&gt;Table5[[#This Row],[Type]],50,0)</f>
        <v>100</v>
      </c>
      <c r="X54" s="53">
        <f>RANK(Table5[[#This Row],[zScore]],Table5[[#All],[zScore]])</f>
        <v>50</v>
      </c>
      <c r="Y54" s="52" t="str">
        <f>IFERROR(INDEX(DraftResults[[#All],[OVR]],MATCH(Table5[[#This Row],[PID]],DraftResults[[#All],[Player ID]],0)),"")</f>
        <v/>
      </c>
      <c r="Z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" s="52" t="str">
        <f>IFERROR(INDEX(DraftResults[[#All],[Pick in Round]],MATCH(Table5[[#This Row],[PID]],DraftResults[[#All],[Player ID]],0)),"")</f>
        <v/>
      </c>
      <c r="AB54" s="52" t="str">
        <f>IFERROR(INDEX(DraftResults[[#All],[Team Name]],MATCH(Table5[[#This Row],[PID]],DraftResults[[#All],[Player ID]],0)),"")</f>
        <v/>
      </c>
      <c r="AC54" s="52" t="str">
        <f>IF(Table5[[#This Row],[Ovr]]="","",IF(Table5[[#This Row],[cmbList]]="","",Table5[[#This Row],[cmbList]]-Table5[[#This Row],[Ovr]]))</f>
        <v/>
      </c>
      <c r="AD54" s="56" t="str">
        <f>IF(ISERROR(VLOOKUP($AB54&amp;"-"&amp;$E54&amp;" "&amp;F54,Bonuses!$B$1:$G$1006,4,FALSE)),"",INT(VLOOKUP($AB54&amp;"-"&amp;$E54&amp;" "&amp;$F54,Bonuses!$B$1:$G$1006,4,FALSE)))</f>
        <v/>
      </c>
      <c r="AE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" spans="1:31" s="52" customFormat="1" x14ac:dyDescent="0.25">
      <c r="A55" s="52">
        <v>5686</v>
      </c>
      <c r="B55" s="52">
        <f>COUNTIF(Table5[PID],A55)</f>
        <v>1</v>
      </c>
      <c r="C55" s="52" t="str">
        <f>IF(COUNTIF(Table3[[#All],[PID]],A55)&gt;0,"P","B")</f>
        <v>P</v>
      </c>
      <c r="D55" s="61" t="str">
        <f>IF($C55="B",INDEX(Batters[[#All],[POS]],MATCH(Table5[[#This Row],[PID]],Batters[[#All],[PID]],0)),INDEX(Table3[[#All],[POS]],MATCH(Table5[[#This Row],[PID]],Table3[[#All],[PID]],0)))</f>
        <v>SP</v>
      </c>
      <c r="E55" s="54" t="str">
        <f>IF($C55="B",INDEX(Batters[[#All],[First]],MATCH(Table5[[#This Row],[PID]],Batters[[#All],[PID]],0)),INDEX(Table3[[#All],[First]],MATCH(Table5[[#This Row],[PID]],Table3[[#All],[PID]],0)))</f>
        <v>Nathan</v>
      </c>
      <c r="F55" s="52" t="str">
        <f>IF($C55="B",INDEX(Batters[[#All],[Last]],MATCH(A55,Batters[[#All],[PID]],0)),INDEX(Table3[[#All],[Last]],MATCH(A55,Table3[[#All],[PID]],0)))</f>
        <v>Moore</v>
      </c>
      <c r="G55" s="58">
        <f>IF($C55="B",INDEX(Batters[[#All],[Age]],MATCH(Table5[[#This Row],[PID]],Batters[[#All],[PID]],0)),INDEX(Table3[[#All],[Age]],MATCH(Table5[[#This Row],[PID]],Table3[[#All],[PID]],0)))</f>
        <v>18</v>
      </c>
      <c r="H55" s="54" t="str">
        <f>IF($C55="B",INDEX(Batters[[#All],[B]],MATCH(Table5[[#This Row],[PID]],Batters[[#All],[PID]],0)),INDEX(Table3[[#All],[B]],MATCH(Table5[[#This Row],[PID]],Table3[[#All],[PID]],0)))</f>
        <v>R</v>
      </c>
      <c r="I55" s="54" t="str">
        <f>IF($C55="B",INDEX(Batters[[#All],[T]],MATCH(Table5[[#This Row],[PID]],Batters[[#All],[PID]],0)),INDEX(Table3[[#All],[T]],MATCH(Table5[[#This Row],[PID]],Table3[[#All],[PID]],0)))</f>
        <v>R</v>
      </c>
      <c r="J55" s="54" t="str">
        <f>IF($C55="B",INDEX(Batters[[#All],[WE]],MATCH(Table5[[#This Row],[PID]],Batters[[#All],[PID]],0)),INDEX(Table3[[#All],[WE]],MATCH(Table5[[#This Row],[PID]],Table3[[#All],[PID]],0)))</f>
        <v>Normal</v>
      </c>
      <c r="K55" s="54" t="str">
        <f>IF($C55="B",INDEX(Batters[[#All],[INT]],MATCH(Table5[[#This Row],[PID]],Batters[[#All],[PID]],0)),INDEX(Table3[[#All],[INT]],MATCH(Table5[[#This Row],[PID]],Table3[[#All],[PID]],0)))</f>
        <v>High</v>
      </c>
      <c r="L55" s="62">
        <f>IF($C55="B",INDEX(Batters[[#All],[CON P]],MATCH(Table5[[#This Row],[PID]],Batters[[#All],[PID]],0)),INDEX(Table3[[#All],[STU P]],MATCH(Table5[[#This Row],[PID]],Table3[[#All],[PID]],0)))</f>
        <v>5</v>
      </c>
      <c r="M55" s="58">
        <f>IF($C55="B",INDEX(Batters[[#All],[GAP P]],MATCH(Table5[[#This Row],[PID]],Batters[[#All],[PID]],0)),INDEX(Table3[[#All],[MOV P]],MATCH(Table5[[#This Row],[PID]],Table3[[#All],[PID]],0)))</f>
        <v>4</v>
      </c>
      <c r="N55" s="58">
        <f>IF($C55="B",INDEX(Batters[[#All],[POW P]],MATCH(Table5[[#This Row],[PID]],Batters[[#All],[PID]],0)),INDEX(Table3[[#All],[CON P]],MATCH(Table5[[#This Row],[PID]],Table3[[#All],[PID]],0)))</f>
        <v>4</v>
      </c>
      <c r="O55" s="58" t="str">
        <f>IF($C55="B",INDEX(Batters[[#All],[EYE P]],MATCH(Table5[[#This Row],[PID]],Batters[[#All],[PID]],0)),INDEX(Table3[[#All],[VELO]],MATCH(Table5[[#This Row],[PID]],Table3[[#All],[PID]],0)))</f>
        <v>91-93 Mph</v>
      </c>
      <c r="P55" s="58">
        <f>IF($C55="B",INDEX(Batters[[#All],[K P]],MATCH(Table5[[#This Row],[PID]],Batters[[#All],[PID]],0)),INDEX(Table3[[#All],[STM]],MATCH(Table5[[#This Row],[PID]],Table3[[#All],[PID]],0)))</f>
        <v>10</v>
      </c>
      <c r="Q55" s="63">
        <f>IF($C55="B",INDEX(Batters[[#All],[Tot]],MATCH(Table5[[#This Row],[PID]],Batters[[#All],[PID]],0)),INDEX(Table3[[#All],[Tot]],MATCH(Table5[[#This Row],[PID]],Table3[[#All],[PID]],0)))</f>
        <v>54.308380925767622</v>
      </c>
      <c r="R55" s="54">
        <f>IF($C55="B",INDEX(Batters[[#All],[zScore]],MATCH(Table5[[#This Row],[PID]],Batters[[#All],[PID]],0)),INDEX(Table3[[#All],[zScore]],MATCH(Table5[[#This Row],[PID]],Table3[[#All],[PID]],0)))</f>
        <v>1.979540388634454</v>
      </c>
      <c r="S55" s="60" t="str">
        <f>IF($C55="B",INDEX(Batters[[#All],[DEM]],MATCH(Table5[[#This Row],[PID]],Batters[[#All],[PID]],0)),INDEX(Table3[[#All],[DEM]],MATCH(Table5[[#This Row],[PID]],Table3[[#All],[PID]],0)))</f>
        <v>$3.0m</v>
      </c>
      <c r="T55" s="64">
        <f>IF($C55="B",VLOOKUP($A55,Bat!$A$4:$AU$1417,46,FALSE),VLOOKUP($A55,Pit!$A$4:$BD$570,55,FALSE))</f>
        <v>0</v>
      </c>
      <c r="U55" s="52">
        <f>IF($C55="B",VLOOKUP($A55,Bat!$A$4:$BA$1417,47,FALSE),VLOOKUP($A55,Pit!$A$4:$BF$570,56,FALSE))</f>
        <v>0</v>
      </c>
      <c r="V55" s="52">
        <f>IF($C55="B",VLOOKUP($A55,Bat!$A$4:$BA$1417,48,FALSE),VLOOKUP($A55,Pit!$A$4:$BF$570,57,FALSE))</f>
        <v>0</v>
      </c>
      <c r="W55" s="52">
        <f>Table5[[#This Row],[posRnk]]+Table5[[#This Row],[zRnk]]+IF($W$3&lt;&gt;Table5[[#This Row],[Type]],50,0)</f>
        <v>101</v>
      </c>
      <c r="X55" s="53">
        <f>RANK(Table5[[#This Row],[zScore]],Table5[[#All],[zScore]])</f>
        <v>51</v>
      </c>
      <c r="Y55" s="52" t="str">
        <f>IFERROR(INDEX(DraftResults[[#All],[OVR]],MATCH(Table5[[#This Row],[PID]],DraftResults[[#All],[Player ID]],0)),"")</f>
        <v/>
      </c>
      <c r="Z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" s="52" t="str">
        <f>IFERROR(INDEX(DraftResults[[#All],[Pick in Round]],MATCH(Table5[[#This Row],[PID]],DraftResults[[#All],[Player ID]],0)),"")</f>
        <v/>
      </c>
      <c r="AB55" s="52" t="str">
        <f>IFERROR(INDEX(DraftResults[[#All],[Team Name]],MATCH(Table5[[#This Row],[PID]],DraftResults[[#All],[Player ID]],0)),"")</f>
        <v/>
      </c>
      <c r="AC55" s="52" t="str">
        <f>IF(Table5[[#This Row],[Ovr]]="","",IF(Table5[[#This Row],[cmbList]]="","",Table5[[#This Row],[cmbList]]-Table5[[#This Row],[Ovr]]))</f>
        <v/>
      </c>
      <c r="AD55" s="56" t="str">
        <f>IF(ISERROR(VLOOKUP($AB55&amp;"-"&amp;$E55&amp;" "&amp;F55,Bonuses!$B$1:$G$1006,4,FALSE)),"",INT(VLOOKUP($AB55&amp;"-"&amp;$E55&amp;" "&amp;$F55,Bonuses!$B$1:$G$1006,4,FALSE)))</f>
        <v/>
      </c>
      <c r="AE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" spans="1:31" s="52" customFormat="1" x14ac:dyDescent="0.25">
      <c r="A56" s="52">
        <v>11072</v>
      </c>
      <c r="B56" s="57">
        <f>COUNTIF(Table5[PID],A56)</f>
        <v>1</v>
      </c>
      <c r="C56" s="57" t="str">
        <f>IF(COUNTIF(Table3[[#All],[PID]],A56)&gt;0,"P","B")</f>
        <v>B</v>
      </c>
      <c r="D56" s="61" t="str">
        <f>IF($C56="B",INDEX(Batters[[#All],[POS]],MATCH(Table5[[#This Row],[PID]],Batters[[#All],[PID]],0)),INDEX(Table3[[#All],[POS]],MATCH(Table5[[#This Row],[PID]],Table3[[#All],[PID]],0)))</f>
        <v>RF</v>
      </c>
      <c r="E56" s="54" t="str">
        <f>IF($C56="B",INDEX(Batters[[#All],[First]],MATCH(Table5[[#This Row],[PID]],Batters[[#All],[PID]],0)),INDEX(Table3[[#All],[First]],MATCH(Table5[[#This Row],[PID]],Table3[[#All],[PID]],0)))</f>
        <v>Mitsuhide</v>
      </c>
      <c r="F56" s="52" t="str">
        <f>IF($C56="B",INDEX(Batters[[#All],[Last]],MATCH(A56,Batters[[#All],[PID]],0)),INDEX(Table3[[#All],[Last]],MATCH(A56,Table3[[#All],[PID]],0)))</f>
        <v>Nii</v>
      </c>
      <c r="G56" s="58">
        <f>IF($C56="B",INDEX(Batters[[#All],[Age]],MATCH(Table5[[#This Row],[PID]],Batters[[#All],[PID]],0)),INDEX(Table3[[#All],[Age]],MATCH(Table5[[#This Row],[PID]],Table3[[#All],[PID]],0)))</f>
        <v>18</v>
      </c>
      <c r="H56" s="54" t="str">
        <f>IF($C56="B",INDEX(Batters[[#All],[B]],MATCH(Table5[[#This Row],[PID]],Batters[[#All],[PID]],0)),INDEX(Table3[[#All],[B]],MATCH(Table5[[#This Row],[PID]],Table3[[#All],[PID]],0)))</f>
        <v>L</v>
      </c>
      <c r="I56" s="54" t="str">
        <f>IF($C56="B",INDEX(Batters[[#All],[T]],MATCH(Table5[[#This Row],[PID]],Batters[[#All],[PID]],0)),INDEX(Table3[[#All],[T]],MATCH(Table5[[#This Row],[PID]],Table3[[#All],[PID]],0)))</f>
        <v>L</v>
      </c>
      <c r="J56" s="54" t="str">
        <f>IF($C56="B",INDEX(Batters[[#All],[WE]],MATCH(Table5[[#This Row],[PID]],Batters[[#All],[PID]],0)),INDEX(Table3[[#All],[WE]],MATCH(Table5[[#This Row],[PID]],Table3[[#All],[PID]],0)))</f>
        <v>Normal</v>
      </c>
      <c r="K56" s="54" t="str">
        <f>IF($C56="B",INDEX(Batters[[#All],[INT]],MATCH(Table5[[#This Row],[PID]],Batters[[#All],[PID]],0)),INDEX(Table3[[#All],[INT]],MATCH(Table5[[#This Row],[PID]],Table3[[#All],[PID]],0)))</f>
        <v>High</v>
      </c>
      <c r="L56" s="62">
        <f>IF($C56="B",INDEX(Batters[[#All],[CON P]],MATCH(Table5[[#This Row],[PID]],Batters[[#All],[PID]],0)),INDEX(Table3[[#All],[STU P]],MATCH(Table5[[#This Row],[PID]],Table3[[#All],[PID]],0)))</f>
        <v>5</v>
      </c>
      <c r="M56" s="58">
        <f>IF($C56="B",INDEX(Batters[[#All],[GAP P]],MATCH(Table5[[#This Row],[PID]],Batters[[#All],[PID]],0)),INDEX(Table3[[#All],[MOV P]],MATCH(Table5[[#This Row],[PID]],Table3[[#All],[PID]],0)))</f>
        <v>5</v>
      </c>
      <c r="N56" s="58">
        <f>IF($C56="B",INDEX(Batters[[#All],[POW P]],MATCH(Table5[[#This Row],[PID]],Batters[[#All],[PID]],0)),INDEX(Table3[[#All],[CON P]],MATCH(Table5[[#This Row],[PID]],Table3[[#All],[PID]],0)))</f>
        <v>5</v>
      </c>
      <c r="O56" s="58">
        <f>IF($C56="B",INDEX(Batters[[#All],[EYE P]],MATCH(Table5[[#This Row],[PID]],Batters[[#All],[PID]],0)),INDEX(Table3[[#All],[VELO]],MATCH(Table5[[#This Row],[PID]],Table3[[#All],[PID]],0)))</f>
        <v>3</v>
      </c>
      <c r="P56" s="58">
        <f>IF($C56="B",INDEX(Batters[[#All],[K P]],MATCH(Table5[[#This Row],[PID]],Batters[[#All],[PID]],0)),INDEX(Table3[[#All],[STM]],MATCH(Table5[[#This Row],[PID]],Table3[[#All],[PID]],0)))</f>
        <v>5</v>
      </c>
      <c r="Q56" s="63">
        <f>IF($C56="B",INDEX(Batters[[#All],[Tot]],MATCH(Table5[[#This Row],[PID]],Batters[[#All],[PID]],0)),INDEX(Table3[[#All],[Tot]],MATCH(Table5[[#This Row],[PID]],Table3[[#All],[PID]],0)))</f>
        <v>51.086072834493855</v>
      </c>
      <c r="R56" s="54">
        <f>IF($C56="B",INDEX(Batters[[#All],[zScore]],MATCH(Table5[[#This Row],[PID]],Batters[[#All],[PID]],0)),INDEX(Table3[[#All],[zScore]],MATCH(Table5[[#This Row],[PID]],Table3[[#All],[PID]],0)))</f>
        <v>1.8892490257143704</v>
      </c>
      <c r="S56" s="60" t="str">
        <f>IF($C56="B",INDEX(Batters[[#All],[DEM]],MATCH(Table5[[#This Row],[PID]],Batters[[#All],[PID]],0)),INDEX(Table3[[#All],[DEM]],MATCH(Table5[[#This Row],[PID]],Table3[[#All],[PID]],0)))</f>
        <v>$340k</v>
      </c>
      <c r="T56" s="64">
        <f>IF($C56="B",VLOOKUP($A56,Bat!$A$4:$AU$1417,46,FALSE),VLOOKUP($A56,Pit!$A$4:$BD$570,55,FALSE))</f>
        <v>0</v>
      </c>
      <c r="U56" s="52">
        <f>IF($C56="B",VLOOKUP($A56,Bat!$A$4:$BA$1417,47,FALSE),VLOOKUP($A56,Pit!$A$4:$BF$570,56,FALSE))</f>
        <v>0</v>
      </c>
      <c r="V56" s="52">
        <f>IF($C56="B",VLOOKUP($A56,Bat!$A$4:$BA$1417,48,FALSE),VLOOKUP($A56,Pit!$A$4:$BF$570,57,FALSE))</f>
        <v>0</v>
      </c>
      <c r="W56" s="52">
        <f>Table5[[#This Row],[posRnk]]+Table5[[#This Row],[zRnk]]+IF($W$3&lt;&gt;Table5[[#This Row],[Type]],50,0)</f>
        <v>102</v>
      </c>
      <c r="X56" s="53">
        <f>RANK(Table5[[#This Row],[zScore]],Table5[[#All],[zScore]])</f>
        <v>52</v>
      </c>
      <c r="Y56" s="52" t="str">
        <f>IFERROR(INDEX(DraftResults[[#All],[OVR]],MATCH(Table5[[#This Row],[PID]],DraftResults[[#All],[Player ID]],0)),"")</f>
        <v/>
      </c>
      <c r="Z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" s="52" t="str">
        <f>IFERROR(INDEX(DraftResults[[#All],[Pick in Round]],MATCH(Table5[[#This Row],[PID]],DraftResults[[#All],[Player ID]],0)),"")</f>
        <v/>
      </c>
      <c r="AB56" s="52" t="str">
        <f>IFERROR(INDEX(DraftResults[[#All],[Team Name]],MATCH(Table5[[#This Row],[PID]],DraftResults[[#All],[Player ID]],0)),"")</f>
        <v/>
      </c>
      <c r="AC56" s="52" t="str">
        <f>IF(Table5[[#This Row],[Ovr]]="","",IF(Table5[[#This Row],[cmbList]]="","",Table5[[#This Row],[cmbList]]-Table5[[#This Row],[Ovr]]))</f>
        <v/>
      </c>
      <c r="AD56" s="56" t="str">
        <f>IF(ISERROR(VLOOKUP($AB56&amp;"-"&amp;$E56&amp;" "&amp;F56,Bonuses!$B$1:$G$1006,4,FALSE)),"",INT(VLOOKUP($AB56&amp;"-"&amp;$E56&amp;" "&amp;$F56,Bonuses!$B$1:$G$1006,4,FALSE)))</f>
        <v/>
      </c>
      <c r="AE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" spans="1:31" s="52" customFormat="1" x14ac:dyDescent="0.25">
      <c r="A57" s="52">
        <v>9678</v>
      </c>
      <c r="B57" s="52">
        <f>COUNTIF(Table5[PID],A57)</f>
        <v>1</v>
      </c>
      <c r="C57" s="52" t="str">
        <f>IF(COUNTIF(Table3[[#All],[PID]],A57)&gt;0,"P","B")</f>
        <v>P</v>
      </c>
      <c r="D57" s="61" t="str">
        <f>IF($C57="B",INDEX(Batters[[#All],[POS]],MATCH(Table5[[#This Row],[PID]],Batters[[#All],[PID]],0)),INDEX(Table3[[#All],[POS]],MATCH(Table5[[#This Row],[PID]],Table3[[#All],[PID]],0)))</f>
        <v>CL</v>
      </c>
      <c r="E57" s="54" t="str">
        <f>IF($C57="B",INDEX(Batters[[#All],[First]],MATCH(Table5[[#This Row],[PID]],Batters[[#All],[PID]],0)),INDEX(Table3[[#All],[First]],MATCH(Table5[[#This Row],[PID]],Table3[[#All],[PID]],0)))</f>
        <v>Curt</v>
      </c>
      <c r="F57" s="52" t="str">
        <f>IF($C57="B",INDEX(Batters[[#All],[Last]],MATCH(A57,Batters[[#All],[PID]],0)),INDEX(Table3[[#All],[Last]],MATCH(A57,Table3[[#All],[PID]],0)))</f>
        <v>Merrill</v>
      </c>
      <c r="G57" s="58">
        <f>IF($C57="B",INDEX(Batters[[#All],[Age]],MATCH(Table5[[#This Row],[PID]],Batters[[#All],[PID]],0)),INDEX(Table3[[#All],[Age]],MATCH(Table5[[#This Row],[PID]],Table3[[#All],[PID]],0)))</f>
        <v>18</v>
      </c>
      <c r="H57" s="54" t="str">
        <f>IF($C57="B",INDEX(Batters[[#All],[B]],MATCH(Table5[[#This Row],[PID]],Batters[[#All],[PID]],0)),INDEX(Table3[[#All],[B]],MATCH(Table5[[#This Row],[PID]],Table3[[#All],[PID]],0)))</f>
        <v>S</v>
      </c>
      <c r="I57" s="54" t="str">
        <f>IF($C57="B",INDEX(Batters[[#All],[T]],MATCH(Table5[[#This Row],[PID]],Batters[[#All],[PID]],0)),INDEX(Table3[[#All],[T]],MATCH(Table5[[#This Row],[PID]],Table3[[#All],[PID]],0)))</f>
        <v>R</v>
      </c>
      <c r="J57" s="54" t="str">
        <f>IF($C57="B",INDEX(Batters[[#All],[WE]],MATCH(Table5[[#This Row],[PID]],Batters[[#All],[PID]],0)),INDEX(Table3[[#All],[WE]],MATCH(Table5[[#This Row],[PID]],Table3[[#All],[PID]],0)))</f>
        <v>Normal</v>
      </c>
      <c r="K57" s="54" t="str">
        <f>IF($C57="B",INDEX(Batters[[#All],[INT]],MATCH(Table5[[#This Row],[PID]],Batters[[#All],[PID]],0)),INDEX(Table3[[#All],[INT]],MATCH(Table5[[#This Row],[PID]],Table3[[#All],[PID]],0)))</f>
        <v>Low</v>
      </c>
      <c r="L57" s="62">
        <f>IF($C57="B",INDEX(Batters[[#All],[CON P]],MATCH(Table5[[#This Row],[PID]],Batters[[#All],[PID]],0)),INDEX(Table3[[#All],[STU P]],MATCH(Table5[[#This Row],[PID]],Table3[[#All],[PID]],0)))</f>
        <v>5</v>
      </c>
      <c r="M57" s="58">
        <f>IF($C57="B",INDEX(Batters[[#All],[GAP P]],MATCH(Table5[[#This Row],[PID]],Batters[[#All],[PID]],0)),INDEX(Table3[[#All],[MOV P]],MATCH(Table5[[#This Row],[PID]],Table3[[#All],[PID]],0)))</f>
        <v>6</v>
      </c>
      <c r="N57" s="58">
        <f>IF($C57="B",INDEX(Batters[[#All],[POW P]],MATCH(Table5[[#This Row],[PID]],Batters[[#All],[PID]],0)),INDEX(Table3[[#All],[CON P]],MATCH(Table5[[#This Row],[PID]],Table3[[#All],[PID]],0)))</f>
        <v>3</v>
      </c>
      <c r="O57" s="58" t="str">
        <f>IF($C57="B",INDEX(Batters[[#All],[EYE P]],MATCH(Table5[[#This Row],[PID]],Batters[[#All],[PID]],0)),INDEX(Table3[[#All],[VELO]],MATCH(Table5[[#This Row],[PID]],Table3[[#All],[PID]],0)))</f>
        <v>91-93 Mph</v>
      </c>
      <c r="P57" s="58">
        <f>IF($C57="B",INDEX(Batters[[#All],[K P]],MATCH(Table5[[#This Row],[PID]],Batters[[#All],[PID]],0)),INDEX(Table3[[#All],[STM]],MATCH(Table5[[#This Row],[PID]],Table3[[#All],[PID]],0)))</f>
        <v>2</v>
      </c>
      <c r="Q57" s="63">
        <f>IF($C57="B",INDEX(Batters[[#All],[Tot]],MATCH(Table5[[#This Row],[PID]],Batters[[#All],[PID]],0)),INDEX(Table3[[#All],[Tot]],MATCH(Table5[[#This Row],[PID]],Table3[[#All],[PID]],0)))</f>
        <v>52.804908374914973</v>
      </c>
      <c r="R57" s="54">
        <f>IF($C57="B",INDEX(Batters[[#All],[zScore]],MATCH(Table5[[#This Row],[PID]],Batters[[#All],[PID]],0)),INDEX(Table3[[#All],[zScore]],MATCH(Table5[[#This Row],[PID]],Table3[[#All],[PID]],0)))</f>
        <v>1.8416655297445284</v>
      </c>
      <c r="S57" s="60" t="str">
        <f>IF($C57="B",INDEX(Batters[[#All],[DEM]],MATCH(Table5[[#This Row],[PID]],Batters[[#All],[PID]],0)),INDEX(Table3[[#All],[DEM]],MATCH(Table5[[#This Row],[PID]],Table3[[#All],[PID]],0)))</f>
        <v>$200k</v>
      </c>
      <c r="T57" s="64">
        <f>IF($C57="B",VLOOKUP($A57,Bat!$A$4:$AU$1417,46,FALSE),VLOOKUP($A57,Pit!$A$4:$BD$570,55,FALSE))</f>
        <v>0</v>
      </c>
      <c r="U57" s="52">
        <f>IF($C57="B",VLOOKUP($A57,Bat!$A$4:$BA$1417,47,FALSE),VLOOKUP($A57,Pit!$A$4:$BF$570,56,FALSE))</f>
        <v>0</v>
      </c>
      <c r="V57" s="52">
        <f>IF($C57="B",VLOOKUP($A57,Bat!$A$4:$BA$1417,48,FALSE),VLOOKUP($A57,Pit!$A$4:$BF$570,57,FALSE))</f>
        <v>0</v>
      </c>
      <c r="W57" s="52">
        <f>Table5[[#This Row],[posRnk]]+Table5[[#This Row],[zRnk]]+IF($W$3&lt;&gt;Table5[[#This Row],[Type]],50,0)</f>
        <v>103</v>
      </c>
      <c r="X57" s="53">
        <f>RANK(Table5[[#This Row],[zScore]],Table5[[#All],[zScore]])</f>
        <v>53</v>
      </c>
      <c r="Y57" s="52" t="str">
        <f>IFERROR(INDEX(DraftResults[[#All],[OVR]],MATCH(Table5[[#This Row],[PID]],DraftResults[[#All],[Player ID]],0)),"")</f>
        <v/>
      </c>
      <c r="Z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" s="52" t="str">
        <f>IFERROR(INDEX(DraftResults[[#All],[Pick in Round]],MATCH(Table5[[#This Row],[PID]],DraftResults[[#All],[Player ID]],0)),"")</f>
        <v/>
      </c>
      <c r="AB57" s="52" t="str">
        <f>IFERROR(INDEX(DraftResults[[#All],[Team Name]],MATCH(Table5[[#This Row],[PID]],DraftResults[[#All],[Player ID]],0)),"")</f>
        <v/>
      </c>
      <c r="AC57" s="52" t="str">
        <f>IF(Table5[[#This Row],[Ovr]]="","",IF(Table5[[#This Row],[cmbList]]="","",Table5[[#This Row],[cmbList]]-Table5[[#This Row],[Ovr]]))</f>
        <v/>
      </c>
      <c r="AD57" s="56" t="str">
        <f>IF(ISERROR(VLOOKUP($AB57&amp;"-"&amp;$E57&amp;" "&amp;F57,Bonuses!$B$1:$G$1006,4,FALSE)),"",INT(VLOOKUP($AB57&amp;"-"&amp;$E57&amp;" "&amp;$F57,Bonuses!$B$1:$G$1006,4,FALSE)))</f>
        <v/>
      </c>
      <c r="AE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" spans="1:31" s="52" customFormat="1" x14ac:dyDescent="0.25">
      <c r="A58" s="52">
        <v>14490</v>
      </c>
      <c r="B58" s="52">
        <f>COUNTIF(Table5[PID],A58)</f>
        <v>1</v>
      </c>
      <c r="C58" s="52" t="str">
        <f>IF(COUNTIF(Table3[[#All],[PID]],A58)&gt;0,"P","B")</f>
        <v>P</v>
      </c>
      <c r="D58" s="61" t="str">
        <f>IF($C58="B",INDEX(Batters[[#All],[POS]],MATCH(Table5[[#This Row],[PID]],Batters[[#All],[PID]],0)),INDEX(Table3[[#All],[POS]],MATCH(Table5[[#This Row],[PID]],Table3[[#All],[PID]],0)))</f>
        <v>SP</v>
      </c>
      <c r="E58" s="54" t="str">
        <f>IF($C58="B",INDEX(Batters[[#All],[First]],MATCH(Table5[[#This Row],[PID]],Batters[[#All],[PID]],0)),INDEX(Table3[[#All],[First]],MATCH(Table5[[#This Row],[PID]],Table3[[#All],[PID]],0)))</f>
        <v>David</v>
      </c>
      <c r="F58" s="52" t="str">
        <f>IF($C58="B",INDEX(Batters[[#All],[Last]],MATCH(A58,Batters[[#All],[PID]],0)),INDEX(Table3[[#All],[Last]],MATCH(A58,Table3[[#All],[PID]],0)))</f>
        <v>Truscott</v>
      </c>
      <c r="G58" s="58">
        <f>IF($C58="B",INDEX(Batters[[#All],[Age]],MATCH(Table5[[#This Row],[PID]],Batters[[#All],[PID]],0)),INDEX(Table3[[#All],[Age]],MATCH(Table5[[#This Row],[PID]],Table3[[#All],[PID]],0)))</f>
        <v>18</v>
      </c>
      <c r="H58" s="54" t="str">
        <f>IF($C58="B",INDEX(Batters[[#All],[B]],MATCH(Table5[[#This Row],[PID]],Batters[[#All],[PID]],0)),INDEX(Table3[[#All],[B]],MATCH(Table5[[#This Row],[PID]],Table3[[#All],[PID]],0)))</f>
        <v>R</v>
      </c>
      <c r="I58" s="54" t="str">
        <f>IF($C58="B",INDEX(Batters[[#All],[T]],MATCH(Table5[[#This Row],[PID]],Batters[[#All],[PID]],0)),INDEX(Table3[[#All],[T]],MATCH(Table5[[#This Row],[PID]],Table3[[#All],[PID]],0)))</f>
        <v>R</v>
      </c>
      <c r="J58" s="54" t="str">
        <f>IF($C58="B",INDEX(Batters[[#All],[WE]],MATCH(Table5[[#This Row],[PID]],Batters[[#All],[PID]],0)),INDEX(Table3[[#All],[WE]],MATCH(Table5[[#This Row],[PID]],Table3[[#All],[PID]],0)))</f>
        <v>Normal</v>
      </c>
      <c r="K58" s="54" t="str">
        <f>IF($C58="B",INDEX(Batters[[#All],[INT]],MATCH(Table5[[#This Row],[PID]],Batters[[#All],[PID]],0)),INDEX(Table3[[#All],[INT]],MATCH(Table5[[#This Row],[PID]],Table3[[#All],[PID]],0)))</f>
        <v>Normal</v>
      </c>
      <c r="L58" s="62">
        <f>IF($C58="B",INDEX(Batters[[#All],[CON P]],MATCH(Table5[[#This Row],[PID]],Batters[[#All],[PID]],0)),INDEX(Table3[[#All],[STU P]],MATCH(Table5[[#This Row],[PID]],Table3[[#All],[PID]],0)))</f>
        <v>4</v>
      </c>
      <c r="M58" s="58">
        <f>IF($C58="B",INDEX(Batters[[#All],[GAP P]],MATCH(Table5[[#This Row],[PID]],Batters[[#All],[PID]],0)),INDEX(Table3[[#All],[MOV P]],MATCH(Table5[[#This Row],[PID]],Table3[[#All],[PID]],0)))</f>
        <v>4</v>
      </c>
      <c r="N58" s="58">
        <f>IF($C58="B",INDEX(Batters[[#All],[POW P]],MATCH(Table5[[#This Row],[PID]],Batters[[#All],[PID]],0)),INDEX(Table3[[#All],[CON P]],MATCH(Table5[[#This Row],[PID]],Table3[[#All],[PID]],0)))</f>
        <v>6</v>
      </c>
      <c r="O58" s="58" t="str">
        <f>IF($C58="B",INDEX(Batters[[#All],[EYE P]],MATCH(Table5[[#This Row],[PID]],Batters[[#All],[PID]],0)),INDEX(Table3[[#All],[VELO]],MATCH(Table5[[#This Row],[PID]],Table3[[#All],[PID]],0)))</f>
        <v>88-90 Mph</v>
      </c>
      <c r="P58" s="58">
        <f>IF($C58="B",INDEX(Batters[[#All],[K P]],MATCH(Table5[[#This Row],[PID]],Batters[[#All],[PID]],0)),INDEX(Table3[[#All],[STM]],MATCH(Table5[[#This Row],[PID]],Table3[[#All],[PID]],0)))</f>
        <v>10</v>
      </c>
      <c r="Q58" s="63">
        <f>IF($C58="B",INDEX(Batters[[#All],[Tot]],MATCH(Table5[[#This Row],[PID]],Batters[[#All],[PID]],0)),INDEX(Table3[[#All],[Tot]],MATCH(Table5[[#This Row],[PID]],Table3[[#All],[PID]],0)))</f>
        <v>52.566902926057558</v>
      </c>
      <c r="R58" s="54">
        <f>IF($C58="B",INDEX(Batters[[#All],[zScore]],MATCH(Table5[[#This Row],[PID]],Batters[[#All],[PID]],0)),INDEX(Table3[[#All],[zScore]],MATCH(Table5[[#This Row],[PID]],Table3[[#All],[PID]],0)))</f>
        <v>1.8198394128276354</v>
      </c>
      <c r="S58" s="60" t="str">
        <f>IF($C58="B",INDEX(Batters[[#All],[DEM]],MATCH(Table5[[#This Row],[PID]],Batters[[#All],[PID]],0)),INDEX(Table3[[#All],[DEM]],MATCH(Table5[[#This Row],[PID]],Table3[[#All],[PID]],0)))</f>
        <v>$200k</v>
      </c>
      <c r="T58" s="64">
        <f>IF($C58="B",VLOOKUP($A58,Bat!$A$4:$AU$1417,46,FALSE),VLOOKUP($A58,Pit!$A$4:$BD$570,55,FALSE))</f>
        <v>0</v>
      </c>
      <c r="U58" s="52">
        <f>IF($C58="B",VLOOKUP($A58,Bat!$A$4:$BA$1417,47,FALSE),VLOOKUP($A58,Pit!$A$4:$BF$570,56,FALSE))</f>
        <v>0</v>
      </c>
      <c r="V58" s="52">
        <f>IF($C58="B",VLOOKUP($A58,Bat!$A$4:$BA$1417,48,FALSE),VLOOKUP($A58,Pit!$A$4:$BF$570,57,FALSE))</f>
        <v>0</v>
      </c>
      <c r="W58" s="52">
        <f>Table5[[#This Row],[posRnk]]+Table5[[#This Row],[zRnk]]+IF($W$3&lt;&gt;Table5[[#This Row],[Type]],50,0)</f>
        <v>104</v>
      </c>
      <c r="X58" s="53">
        <f>RANK(Table5[[#This Row],[zScore]],Table5[[#All],[zScore]])</f>
        <v>54</v>
      </c>
      <c r="Y58" s="52" t="str">
        <f>IFERROR(INDEX(DraftResults[[#All],[OVR]],MATCH(Table5[[#This Row],[PID]],DraftResults[[#All],[Player ID]],0)),"")</f>
        <v/>
      </c>
      <c r="Z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" s="52" t="str">
        <f>IFERROR(INDEX(DraftResults[[#All],[Pick in Round]],MATCH(Table5[[#This Row],[PID]],DraftResults[[#All],[Player ID]],0)),"")</f>
        <v/>
      </c>
      <c r="AB58" s="52" t="str">
        <f>IFERROR(INDEX(DraftResults[[#All],[Team Name]],MATCH(Table5[[#This Row],[PID]],DraftResults[[#All],[Player ID]],0)),"")</f>
        <v/>
      </c>
      <c r="AC58" s="52" t="str">
        <f>IF(Table5[[#This Row],[Ovr]]="","",IF(Table5[[#This Row],[cmbList]]="","",Table5[[#This Row],[cmbList]]-Table5[[#This Row],[Ovr]]))</f>
        <v/>
      </c>
      <c r="AD58" s="56" t="str">
        <f>IF(ISERROR(VLOOKUP($AB58&amp;"-"&amp;$E58&amp;" "&amp;F58,Bonuses!$B$1:$G$1006,4,FALSE)),"",INT(VLOOKUP($AB58&amp;"-"&amp;$E58&amp;" "&amp;$F58,Bonuses!$B$1:$G$1006,4,FALSE)))</f>
        <v/>
      </c>
      <c r="AE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" spans="1:31" s="52" customFormat="1" x14ac:dyDescent="0.25">
      <c r="A59" s="52">
        <v>8315</v>
      </c>
      <c r="B59" s="52">
        <f>COUNTIF(Table5[PID],A59)</f>
        <v>1</v>
      </c>
      <c r="C59" s="52" t="str">
        <f>IF(COUNTIF(Table3[[#All],[PID]],A59)&gt;0,"P","B")</f>
        <v>P</v>
      </c>
      <c r="D59" s="61" t="str">
        <f>IF($C59="B",INDEX(Batters[[#All],[POS]],MATCH(Table5[[#This Row],[PID]],Batters[[#All],[PID]],0)),INDEX(Table3[[#All],[POS]],MATCH(Table5[[#This Row],[PID]],Table3[[#All],[PID]],0)))</f>
        <v>SP</v>
      </c>
      <c r="E59" s="54" t="str">
        <f>IF($C59="B",INDEX(Batters[[#All],[First]],MATCH(Table5[[#This Row],[PID]],Batters[[#All],[PID]],0)),INDEX(Table3[[#All],[First]],MATCH(Table5[[#This Row],[PID]],Table3[[#All],[PID]],0)))</f>
        <v>Jordan</v>
      </c>
      <c r="F59" s="52" t="str">
        <f>IF($C59="B",INDEX(Batters[[#All],[Last]],MATCH(A59,Batters[[#All],[PID]],0)),INDEX(Table3[[#All],[Last]],MATCH(A59,Table3[[#All],[PID]],0)))</f>
        <v>Morgan</v>
      </c>
      <c r="G59" s="58">
        <f>IF($C59="B",INDEX(Batters[[#All],[Age]],MATCH(Table5[[#This Row],[PID]],Batters[[#All],[PID]],0)),INDEX(Table3[[#All],[Age]],MATCH(Table5[[#This Row],[PID]],Table3[[#All],[PID]],0)))</f>
        <v>18</v>
      </c>
      <c r="H59" s="54" t="str">
        <f>IF($C59="B",INDEX(Batters[[#All],[B]],MATCH(Table5[[#This Row],[PID]],Batters[[#All],[PID]],0)),INDEX(Table3[[#All],[B]],MATCH(Table5[[#This Row],[PID]],Table3[[#All],[PID]],0)))</f>
        <v>R</v>
      </c>
      <c r="I59" s="54" t="str">
        <f>IF($C59="B",INDEX(Batters[[#All],[T]],MATCH(Table5[[#This Row],[PID]],Batters[[#All],[PID]],0)),INDEX(Table3[[#All],[T]],MATCH(Table5[[#This Row],[PID]],Table3[[#All],[PID]],0)))</f>
        <v>L</v>
      </c>
      <c r="J59" s="54" t="str">
        <f>IF($C59="B",INDEX(Batters[[#All],[WE]],MATCH(Table5[[#This Row],[PID]],Batters[[#All],[PID]],0)),INDEX(Table3[[#All],[WE]],MATCH(Table5[[#This Row],[PID]],Table3[[#All],[PID]],0)))</f>
        <v>High</v>
      </c>
      <c r="K59" s="54" t="str">
        <f>IF($C59="B",INDEX(Batters[[#All],[INT]],MATCH(Table5[[#This Row],[PID]],Batters[[#All],[PID]],0)),INDEX(Table3[[#All],[INT]],MATCH(Table5[[#This Row],[PID]],Table3[[#All],[PID]],0)))</f>
        <v>Normal</v>
      </c>
      <c r="L59" s="62">
        <f>IF($C59="B",INDEX(Batters[[#All],[CON P]],MATCH(Table5[[#This Row],[PID]],Batters[[#All],[PID]],0)),INDEX(Table3[[#All],[STU P]],MATCH(Table5[[#This Row],[PID]],Table3[[#All],[PID]],0)))</f>
        <v>4</v>
      </c>
      <c r="M59" s="58">
        <f>IF($C59="B",INDEX(Batters[[#All],[GAP P]],MATCH(Table5[[#This Row],[PID]],Batters[[#All],[PID]],0)),INDEX(Table3[[#All],[MOV P]],MATCH(Table5[[#This Row],[PID]],Table3[[#All],[PID]],0)))</f>
        <v>5</v>
      </c>
      <c r="N59" s="58">
        <f>IF($C59="B",INDEX(Batters[[#All],[POW P]],MATCH(Table5[[#This Row],[PID]],Batters[[#All],[PID]],0)),INDEX(Table3[[#All],[CON P]],MATCH(Table5[[#This Row],[PID]],Table3[[#All],[PID]],0)))</f>
        <v>4</v>
      </c>
      <c r="O59" s="58" t="str">
        <f>IF($C59="B",INDEX(Batters[[#All],[EYE P]],MATCH(Table5[[#This Row],[PID]],Batters[[#All],[PID]],0)),INDEX(Table3[[#All],[VELO]],MATCH(Table5[[#This Row],[PID]],Table3[[#All],[PID]],0)))</f>
        <v>89-91 Mph</v>
      </c>
      <c r="P59" s="58">
        <f>IF($C59="B",INDEX(Batters[[#All],[K P]],MATCH(Table5[[#This Row],[PID]],Batters[[#All],[PID]],0)),INDEX(Table3[[#All],[STM]],MATCH(Table5[[#This Row],[PID]],Table3[[#All],[PID]],0)))</f>
        <v>6</v>
      </c>
      <c r="Q59" s="63">
        <f>IF($C59="B",INDEX(Batters[[#All],[Tot]],MATCH(Table5[[#This Row],[PID]],Batters[[#All],[PID]],0)),INDEX(Table3[[#All],[Tot]],MATCH(Table5[[#This Row],[PID]],Table3[[#All],[PID]],0)))</f>
        <v>52.528394236801347</v>
      </c>
      <c r="R59" s="54">
        <f>IF($C59="B",INDEX(Batters[[#All],[zScore]],MATCH(Table5[[#This Row],[PID]],Batters[[#All],[PID]],0)),INDEX(Table3[[#All],[zScore]],MATCH(Table5[[#This Row],[PID]],Table3[[#All],[PID]],0)))</f>
        <v>1.8163080014332438</v>
      </c>
      <c r="S59" s="60" t="str">
        <f>IF($C59="B",INDEX(Batters[[#All],[DEM]],MATCH(Table5[[#This Row],[PID]],Batters[[#All],[PID]],0)),INDEX(Table3[[#All],[DEM]],MATCH(Table5[[#This Row],[PID]],Table3[[#All],[PID]],0)))</f>
        <v>$370k</v>
      </c>
      <c r="T59" s="64">
        <f>IF($C59="B",VLOOKUP($A59,Bat!$A$4:$AU$1417,46,FALSE),VLOOKUP($A59,Pit!$A$4:$BD$570,55,FALSE))</f>
        <v>0</v>
      </c>
      <c r="U59" s="52">
        <f>IF($C59="B",VLOOKUP($A59,Bat!$A$4:$BA$1417,47,FALSE),VLOOKUP($A59,Pit!$A$4:$BF$570,56,FALSE))</f>
        <v>0</v>
      </c>
      <c r="V59" s="52">
        <f>IF($C59="B",VLOOKUP($A59,Bat!$A$4:$BA$1417,48,FALSE),VLOOKUP($A59,Pit!$A$4:$BF$570,57,FALSE))</f>
        <v>0</v>
      </c>
      <c r="W59" s="52">
        <f>Table5[[#This Row],[posRnk]]+Table5[[#This Row],[zRnk]]+IF($W$3&lt;&gt;Table5[[#This Row],[Type]],50,0)</f>
        <v>105</v>
      </c>
      <c r="X59" s="53">
        <f>RANK(Table5[[#This Row],[zScore]],Table5[[#All],[zScore]])</f>
        <v>55</v>
      </c>
      <c r="Y59" s="52" t="str">
        <f>IFERROR(INDEX(DraftResults[[#All],[OVR]],MATCH(Table5[[#This Row],[PID]],DraftResults[[#All],[Player ID]],0)),"")</f>
        <v/>
      </c>
      <c r="Z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" s="52" t="str">
        <f>IFERROR(INDEX(DraftResults[[#All],[Pick in Round]],MATCH(Table5[[#This Row],[PID]],DraftResults[[#All],[Player ID]],0)),"")</f>
        <v/>
      </c>
      <c r="AB59" s="52" t="str">
        <f>IFERROR(INDEX(DraftResults[[#All],[Team Name]],MATCH(Table5[[#This Row],[PID]],DraftResults[[#All],[Player ID]],0)),"")</f>
        <v/>
      </c>
      <c r="AC59" s="52" t="str">
        <f>IF(Table5[[#This Row],[Ovr]]="","",IF(Table5[[#This Row],[cmbList]]="","",Table5[[#This Row],[cmbList]]-Table5[[#This Row],[Ovr]]))</f>
        <v/>
      </c>
      <c r="AD59" s="56" t="str">
        <f>IF(ISERROR(VLOOKUP($AB59&amp;"-"&amp;$E59&amp;" "&amp;F59,Bonuses!$B$1:$G$1006,4,FALSE)),"",INT(VLOOKUP($AB59&amp;"-"&amp;$E59&amp;" "&amp;$F59,Bonuses!$B$1:$G$1006,4,FALSE)))</f>
        <v/>
      </c>
      <c r="AE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" spans="1:31" s="52" customFormat="1" x14ac:dyDescent="0.25">
      <c r="A60" s="52">
        <v>13318</v>
      </c>
      <c r="B60" s="52">
        <f>COUNTIF(Table5[PID],A60)</f>
        <v>1</v>
      </c>
      <c r="C60" s="52" t="str">
        <f>IF(COUNTIF(Table3[[#All],[PID]],A60)&gt;0,"P","B")</f>
        <v>P</v>
      </c>
      <c r="D60" s="61" t="str">
        <f>IF($C60="B",INDEX(Batters[[#All],[POS]],MATCH(Table5[[#This Row],[PID]],Batters[[#All],[PID]],0)),INDEX(Table3[[#All],[POS]],MATCH(Table5[[#This Row],[PID]],Table3[[#All],[PID]],0)))</f>
        <v>RP</v>
      </c>
      <c r="E60" s="54" t="str">
        <f>IF($C60="B",INDEX(Batters[[#All],[First]],MATCH(Table5[[#This Row],[PID]],Batters[[#All],[PID]],0)),INDEX(Table3[[#All],[First]],MATCH(Table5[[#This Row],[PID]],Table3[[#All],[PID]],0)))</f>
        <v>Bill</v>
      </c>
      <c r="F60" s="52" t="str">
        <f>IF($C60="B",INDEX(Batters[[#All],[Last]],MATCH(A60,Batters[[#All],[PID]],0)),INDEX(Table3[[#All],[Last]],MATCH(A60,Table3[[#All],[PID]],0)))</f>
        <v>Frederick</v>
      </c>
      <c r="G60" s="58">
        <f>IF($C60="B",INDEX(Batters[[#All],[Age]],MATCH(Table5[[#This Row],[PID]],Batters[[#All],[PID]],0)),INDEX(Table3[[#All],[Age]],MATCH(Table5[[#This Row],[PID]],Table3[[#All],[PID]],0)))</f>
        <v>18</v>
      </c>
      <c r="H60" s="54" t="str">
        <f>IF($C60="B",INDEX(Batters[[#All],[B]],MATCH(Table5[[#This Row],[PID]],Batters[[#All],[PID]],0)),INDEX(Table3[[#All],[B]],MATCH(Table5[[#This Row],[PID]],Table3[[#All],[PID]],0)))</f>
        <v>R</v>
      </c>
      <c r="I60" s="54" t="str">
        <f>IF($C60="B",INDEX(Batters[[#All],[T]],MATCH(Table5[[#This Row],[PID]],Batters[[#All],[PID]],0)),INDEX(Table3[[#All],[T]],MATCH(Table5[[#This Row],[PID]],Table3[[#All],[PID]],0)))</f>
        <v>R</v>
      </c>
      <c r="J60" s="54" t="str">
        <f>IF($C60="B",INDEX(Batters[[#All],[WE]],MATCH(Table5[[#This Row],[PID]],Batters[[#All],[PID]],0)),INDEX(Table3[[#All],[WE]],MATCH(Table5[[#This Row],[PID]],Table3[[#All],[PID]],0)))</f>
        <v>Low</v>
      </c>
      <c r="K60" s="54" t="str">
        <f>IF($C60="B",INDEX(Batters[[#All],[INT]],MATCH(Table5[[#This Row],[PID]],Batters[[#All],[PID]],0)),INDEX(Table3[[#All],[INT]],MATCH(Table5[[#This Row],[PID]],Table3[[#All],[PID]],0)))</f>
        <v>Normal</v>
      </c>
      <c r="L60" s="62">
        <f>IF($C60="B",INDEX(Batters[[#All],[CON P]],MATCH(Table5[[#This Row],[PID]],Batters[[#All],[PID]],0)),INDEX(Table3[[#All],[STU P]],MATCH(Table5[[#This Row],[PID]],Table3[[#All],[PID]],0)))</f>
        <v>4</v>
      </c>
      <c r="M60" s="58">
        <f>IF($C60="B",INDEX(Batters[[#All],[GAP P]],MATCH(Table5[[#This Row],[PID]],Batters[[#All],[PID]],0)),INDEX(Table3[[#All],[MOV P]],MATCH(Table5[[#This Row],[PID]],Table3[[#All],[PID]],0)))</f>
        <v>6</v>
      </c>
      <c r="N60" s="58">
        <f>IF($C60="B",INDEX(Batters[[#All],[POW P]],MATCH(Table5[[#This Row],[PID]],Batters[[#All],[PID]],0)),INDEX(Table3[[#All],[CON P]],MATCH(Table5[[#This Row],[PID]],Table3[[#All],[PID]],0)))</f>
        <v>4</v>
      </c>
      <c r="O60" s="58" t="str">
        <f>IF($C60="B",INDEX(Batters[[#All],[EYE P]],MATCH(Table5[[#This Row],[PID]],Batters[[#All],[PID]],0)),INDEX(Table3[[#All],[VELO]],MATCH(Table5[[#This Row],[PID]],Table3[[#All],[PID]],0)))</f>
        <v>90-92 Mph</v>
      </c>
      <c r="P60" s="58">
        <f>IF($C60="B",INDEX(Batters[[#All],[K P]],MATCH(Table5[[#This Row],[PID]],Batters[[#All],[PID]],0)),INDEX(Table3[[#All],[STM]],MATCH(Table5[[#This Row],[PID]],Table3[[#All],[PID]],0)))</f>
        <v>4</v>
      </c>
      <c r="Q60" s="63">
        <f>IF($C60="B",INDEX(Batters[[#All],[Tot]],MATCH(Table5[[#This Row],[PID]],Batters[[#All],[PID]],0)),INDEX(Table3[[#All],[Tot]],MATCH(Table5[[#This Row],[PID]],Table3[[#All],[PID]],0)))</f>
        <v>52.522363964268763</v>
      </c>
      <c r="R60" s="54">
        <f>IF($C60="B",INDEX(Batters[[#All],[zScore]],MATCH(Table5[[#This Row],[PID]],Batters[[#All],[PID]],0)),INDEX(Table3[[#All],[zScore]],MATCH(Table5[[#This Row],[PID]],Table3[[#All],[PID]],0)))</f>
        <v>1.8157549996680793</v>
      </c>
      <c r="S60" s="60" t="str">
        <f>IF($C60="B",INDEX(Batters[[#All],[DEM]],MATCH(Table5[[#This Row],[PID]],Batters[[#All],[PID]],0)),INDEX(Table3[[#All],[DEM]],MATCH(Table5[[#This Row],[PID]],Table3[[#All],[PID]],0)))</f>
        <v>$65k</v>
      </c>
      <c r="T60" s="64">
        <f>IF($C60="B",VLOOKUP($A60,Bat!$A$4:$AU$1417,46,FALSE),VLOOKUP($A60,Pit!$A$4:$BD$570,55,FALSE))</f>
        <v>0</v>
      </c>
      <c r="U60" s="52">
        <f>IF($C60="B",VLOOKUP($A60,Bat!$A$4:$BA$1417,47,FALSE),VLOOKUP($A60,Pit!$A$4:$BF$570,56,FALSE))</f>
        <v>0</v>
      </c>
      <c r="V60" s="52">
        <f>IF($C60="B",VLOOKUP($A60,Bat!$A$4:$BA$1417,48,FALSE),VLOOKUP($A60,Pit!$A$4:$BF$570,57,FALSE))</f>
        <v>0</v>
      </c>
      <c r="W60" s="52">
        <f>Table5[[#This Row],[posRnk]]+Table5[[#This Row],[zRnk]]+IF($W$3&lt;&gt;Table5[[#This Row],[Type]],50,0)</f>
        <v>106</v>
      </c>
      <c r="X60" s="53">
        <f>RANK(Table5[[#This Row],[zScore]],Table5[[#All],[zScore]])</f>
        <v>56</v>
      </c>
      <c r="Y60" s="52" t="str">
        <f>IFERROR(INDEX(DraftResults[[#All],[OVR]],MATCH(Table5[[#This Row],[PID]],DraftResults[[#All],[Player ID]],0)),"")</f>
        <v/>
      </c>
      <c r="Z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" s="52" t="str">
        <f>IFERROR(INDEX(DraftResults[[#All],[Pick in Round]],MATCH(Table5[[#This Row],[PID]],DraftResults[[#All],[Player ID]],0)),"")</f>
        <v/>
      </c>
      <c r="AB60" s="52" t="str">
        <f>IFERROR(INDEX(DraftResults[[#All],[Team Name]],MATCH(Table5[[#This Row],[PID]],DraftResults[[#All],[Player ID]],0)),"")</f>
        <v/>
      </c>
      <c r="AC60" s="52" t="str">
        <f>IF(Table5[[#This Row],[Ovr]]="","",IF(Table5[[#This Row],[cmbList]]="","",Table5[[#This Row],[cmbList]]-Table5[[#This Row],[Ovr]]))</f>
        <v/>
      </c>
      <c r="AD60" s="56" t="str">
        <f>IF(ISERROR(VLOOKUP($AB60&amp;"-"&amp;$E60&amp;" "&amp;F60,Bonuses!$B$1:$G$1006,4,FALSE)),"",INT(VLOOKUP($AB60&amp;"-"&amp;$E60&amp;" "&amp;$F60,Bonuses!$B$1:$G$1006,4,FALSE)))</f>
        <v/>
      </c>
      <c r="AE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" spans="1:31" s="52" customFormat="1" x14ac:dyDescent="0.25">
      <c r="A61" s="52">
        <v>9858</v>
      </c>
      <c r="B61" s="52">
        <f>COUNTIF(Table5[PID],A61)</f>
        <v>1</v>
      </c>
      <c r="C61" s="52" t="str">
        <f>IF(COUNTIF(Table3[[#All],[PID]],A61)&gt;0,"P","B")</f>
        <v>P</v>
      </c>
      <c r="D61" s="61" t="str">
        <f>IF($C61="B",INDEX(Batters[[#All],[POS]],MATCH(Table5[[#This Row],[PID]],Batters[[#All],[PID]],0)),INDEX(Table3[[#All],[POS]],MATCH(Table5[[#This Row],[PID]],Table3[[#All],[PID]],0)))</f>
        <v>CL</v>
      </c>
      <c r="E61" s="54" t="str">
        <f>IF($C61="B",INDEX(Batters[[#All],[First]],MATCH(Table5[[#This Row],[PID]],Batters[[#All],[PID]],0)),INDEX(Table3[[#All],[First]],MATCH(Table5[[#This Row],[PID]],Table3[[#All],[PID]],0)))</f>
        <v>Austin</v>
      </c>
      <c r="F61" s="52" t="str">
        <f>IF($C61="B",INDEX(Batters[[#All],[Last]],MATCH(A61,Batters[[#All],[PID]],0)),INDEX(Table3[[#All],[Last]],MATCH(A61,Table3[[#All],[PID]],0)))</f>
        <v>Moore</v>
      </c>
      <c r="G61" s="58">
        <f>IF($C61="B",INDEX(Batters[[#All],[Age]],MATCH(Table5[[#This Row],[PID]],Batters[[#All],[PID]],0)),INDEX(Table3[[#All],[Age]],MATCH(Table5[[#This Row],[PID]],Table3[[#All],[PID]],0)))</f>
        <v>21</v>
      </c>
      <c r="H61" s="54" t="str">
        <f>IF($C61="B",INDEX(Batters[[#All],[B]],MATCH(Table5[[#This Row],[PID]],Batters[[#All],[PID]],0)),INDEX(Table3[[#All],[B]],MATCH(Table5[[#This Row],[PID]],Table3[[#All],[PID]],0)))</f>
        <v>R</v>
      </c>
      <c r="I61" s="54" t="str">
        <f>IF($C61="B",INDEX(Batters[[#All],[T]],MATCH(Table5[[#This Row],[PID]],Batters[[#All],[PID]],0)),INDEX(Table3[[#All],[T]],MATCH(Table5[[#This Row],[PID]],Table3[[#All],[PID]],0)))</f>
        <v>R</v>
      </c>
      <c r="J61" s="54" t="str">
        <f>IF($C61="B",INDEX(Batters[[#All],[WE]],MATCH(Table5[[#This Row],[PID]],Batters[[#All],[PID]],0)),INDEX(Table3[[#All],[WE]],MATCH(Table5[[#This Row],[PID]],Table3[[#All],[PID]],0)))</f>
        <v>Normal</v>
      </c>
      <c r="K61" s="54" t="str">
        <f>IF($C61="B",INDEX(Batters[[#All],[INT]],MATCH(Table5[[#This Row],[PID]],Batters[[#All],[PID]],0)),INDEX(Table3[[#All],[INT]],MATCH(Table5[[#This Row],[PID]],Table3[[#All],[PID]],0)))</f>
        <v>Normal</v>
      </c>
      <c r="L61" s="62">
        <f>IF($C61="B",INDEX(Batters[[#All],[CON P]],MATCH(Table5[[#This Row],[PID]],Batters[[#All],[PID]],0)),INDEX(Table3[[#All],[STU P]],MATCH(Table5[[#This Row],[PID]],Table3[[#All],[PID]],0)))</f>
        <v>8</v>
      </c>
      <c r="M61" s="58">
        <f>IF($C61="B",INDEX(Batters[[#All],[GAP P]],MATCH(Table5[[#This Row],[PID]],Batters[[#All],[PID]],0)),INDEX(Table3[[#All],[MOV P]],MATCH(Table5[[#This Row],[PID]],Table3[[#All],[PID]],0)))</f>
        <v>3</v>
      </c>
      <c r="N61" s="58">
        <f>IF($C61="B",INDEX(Batters[[#All],[POW P]],MATCH(Table5[[#This Row],[PID]],Batters[[#All],[PID]],0)),INDEX(Table3[[#All],[CON P]],MATCH(Table5[[#This Row],[PID]],Table3[[#All],[PID]],0)))</f>
        <v>5</v>
      </c>
      <c r="O61" s="58" t="str">
        <f>IF($C61="B",INDEX(Batters[[#All],[EYE P]],MATCH(Table5[[#This Row],[PID]],Batters[[#All],[PID]],0)),INDEX(Table3[[#All],[VELO]],MATCH(Table5[[#This Row],[PID]],Table3[[#All],[PID]],0)))</f>
        <v>96-98 Mph</v>
      </c>
      <c r="P61" s="58">
        <f>IF($C61="B",INDEX(Batters[[#All],[K P]],MATCH(Table5[[#This Row],[PID]],Batters[[#All],[PID]],0)),INDEX(Table3[[#All],[STM]],MATCH(Table5[[#This Row],[PID]],Table3[[#All],[PID]],0)))</f>
        <v>1</v>
      </c>
      <c r="Q61" s="63">
        <f>IF($C61="B",INDEX(Batters[[#All],[Tot]],MATCH(Table5[[#This Row],[PID]],Batters[[#All],[PID]],0)),INDEX(Table3[[#All],[Tot]],MATCH(Table5[[#This Row],[PID]],Table3[[#All],[PID]],0)))</f>
        <v>52.521061039661888</v>
      </c>
      <c r="R61" s="54">
        <f>IF($C61="B",INDEX(Batters[[#All],[zScore]],MATCH(Table5[[#This Row],[PID]],Batters[[#All],[PID]],0)),INDEX(Table3[[#All],[zScore]],MATCH(Table5[[#This Row],[PID]],Table3[[#All],[PID]],0)))</f>
        <v>1.8156355159128119</v>
      </c>
      <c r="S61" s="60" t="str">
        <f>IF($C61="B",INDEX(Batters[[#All],[DEM]],MATCH(Table5[[#This Row],[PID]],Batters[[#All],[PID]],0)),INDEX(Table3[[#All],[DEM]],MATCH(Table5[[#This Row],[PID]],Table3[[#All],[PID]],0)))</f>
        <v>$85k</v>
      </c>
      <c r="T61" s="64">
        <f>IF($C61="B",VLOOKUP($A61,Bat!$A$4:$AU$1417,46,FALSE),VLOOKUP($A61,Pit!$A$4:$BD$570,55,FALSE))</f>
        <v>0</v>
      </c>
      <c r="U61" s="52">
        <f>IF($C61="B",VLOOKUP($A61,Bat!$A$4:$BA$1417,47,FALSE),VLOOKUP($A61,Pit!$A$4:$BF$570,56,FALSE))</f>
        <v>0</v>
      </c>
      <c r="V61" s="52">
        <f>IF($C61="B",VLOOKUP($A61,Bat!$A$4:$BA$1417,48,FALSE),VLOOKUP($A61,Pit!$A$4:$BF$570,57,FALSE))</f>
        <v>0</v>
      </c>
      <c r="W61" s="52">
        <f>Table5[[#This Row],[posRnk]]+Table5[[#This Row],[zRnk]]+IF($W$3&lt;&gt;Table5[[#This Row],[Type]],50,0)</f>
        <v>107</v>
      </c>
      <c r="X61" s="53">
        <f>RANK(Table5[[#This Row],[zScore]],Table5[[#All],[zScore]])</f>
        <v>57</v>
      </c>
      <c r="Y61" s="52" t="str">
        <f>IFERROR(INDEX(DraftResults[[#All],[OVR]],MATCH(Table5[[#This Row],[PID]],DraftResults[[#All],[Player ID]],0)),"")</f>
        <v/>
      </c>
      <c r="Z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" s="52" t="str">
        <f>IFERROR(INDEX(DraftResults[[#All],[Pick in Round]],MATCH(Table5[[#This Row],[PID]],DraftResults[[#All],[Player ID]],0)),"")</f>
        <v/>
      </c>
      <c r="AB61" s="52" t="str">
        <f>IFERROR(INDEX(DraftResults[[#All],[Team Name]],MATCH(Table5[[#This Row],[PID]],DraftResults[[#All],[Player ID]],0)),"")</f>
        <v/>
      </c>
      <c r="AC61" s="52" t="str">
        <f>IF(Table5[[#This Row],[Ovr]]="","",IF(Table5[[#This Row],[cmbList]]="","",Table5[[#This Row],[cmbList]]-Table5[[#This Row],[Ovr]]))</f>
        <v/>
      </c>
      <c r="AD61" s="56" t="str">
        <f>IF(ISERROR(VLOOKUP($AB61&amp;"-"&amp;$E61&amp;" "&amp;F61,Bonuses!$B$1:$G$1006,4,FALSE)),"",INT(VLOOKUP($AB61&amp;"-"&amp;$E61&amp;" "&amp;$F61,Bonuses!$B$1:$G$1006,4,FALSE)))</f>
        <v/>
      </c>
      <c r="AE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" spans="1:31" s="52" customFormat="1" x14ac:dyDescent="0.25">
      <c r="A62" s="52">
        <v>6482</v>
      </c>
      <c r="B62" s="57">
        <f>COUNTIF(Table5[PID],A62)</f>
        <v>1</v>
      </c>
      <c r="C62" s="57" t="str">
        <f>IF(COUNTIF(Table3[[#All],[PID]],A62)&gt;0,"P","B")</f>
        <v>B</v>
      </c>
      <c r="D62" s="61" t="str">
        <f>IF($C62="B",INDEX(Batters[[#All],[POS]],MATCH(Table5[[#This Row],[PID]],Batters[[#All],[PID]],0)),INDEX(Table3[[#All],[POS]],MATCH(Table5[[#This Row],[PID]],Table3[[#All],[PID]],0)))</f>
        <v>LF</v>
      </c>
      <c r="E62" s="54" t="str">
        <f>IF($C62="B",INDEX(Batters[[#All],[First]],MATCH(Table5[[#This Row],[PID]],Batters[[#All],[PID]],0)),INDEX(Table3[[#All],[First]],MATCH(Table5[[#This Row],[PID]],Table3[[#All],[PID]],0)))</f>
        <v>Raúl</v>
      </c>
      <c r="F62" s="52" t="str">
        <f>IF($C62="B",INDEX(Batters[[#All],[Last]],MATCH(A62,Batters[[#All],[PID]],0)),INDEX(Table3[[#All],[Last]],MATCH(A62,Table3[[#All],[PID]],0)))</f>
        <v>Rodríguez</v>
      </c>
      <c r="G62" s="58">
        <f>IF($C62="B",INDEX(Batters[[#All],[Age]],MATCH(Table5[[#This Row],[PID]],Batters[[#All],[PID]],0)),INDEX(Table3[[#All],[Age]],MATCH(Table5[[#This Row],[PID]],Table3[[#All],[PID]],0)))</f>
        <v>18</v>
      </c>
      <c r="H62" s="54" t="str">
        <f>IF($C62="B",INDEX(Batters[[#All],[B]],MATCH(Table5[[#This Row],[PID]],Batters[[#All],[PID]],0)),INDEX(Table3[[#All],[B]],MATCH(Table5[[#This Row],[PID]],Table3[[#All],[PID]],0)))</f>
        <v>L</v>
      </c>
      <c r="I62" s="54" t="str">
        <f>IF($C62="B",INDEX(Batters[[#All],[T]],MATCH(Table5[[#This Row],[PID]],Batters[[#All],[PID]],0)),INDEX(Table3[[#All],[T]],MATCH(Table5[[#This Row],[PID]],Table3[[#All],[PID]],0)))</f>
        <v>L</v>
      </c>
      <c r="J62" s="54" t="str">
        <f>IF($C62="B",INDEX(Batters[[#All],[WE]],MATCH(Table5[[#This Row],[PID]],Batters[[#All],[PID]],0)),INDEX(Table3[[#All],[WE]],MATCH(Table5[[#This Row],[PID]],Table3[[#All],[PID]],0)))</f>
        <v>Normal</v>
      </c>
      <c r="K62" s="54" t="str">
        <f>IF($C62="B",INDEX(Batters[[#All],[INT]],MATCH(Table5[[#This Row],[PID]],Batters[[#All],[PID]],0)),INDEX(Table3[[#All],[INT]],MATCH(Table5[[#This Row],[PID]],Table3[[#All],[PID]],0)))</f>
        <v>Normal</v>
      </c>
      <c r="L62" s="62">
        <f>IF($C62="B",INDEX(Batters[[#All],[CON P]],MATCH(Table5[[#This Row],[PID]],Batters[[#All],[PID]],0)),INDEX(Table3[[#All],[STU P]],MATCH(Table5[[#This Row],[PID]],Table3[[#All],[PID]],0)))</f>
        <v>4</v>
      </c>
      <c r="M62" s="58">
        <f>IF($C62="B",INDEX(Batters[[#All],[GAP P]],MATCH(Table5[[#This Row],[PID]],Batters[[#All],[PID]],0)),INDEX(Table3[[#All],[MOV P]],MATCH(Table5[[#This Row],[PID]],Table3[[#All],[PID]],0)))</f>
        <v>7</v>
      </c>
      <c r="N62" s="58">
        <f>IF($C62="B",INDEX(Batters[[#All],[POW P]],MATCH(Table5[[#This Row],[PID]],Batters[[#All],[PID]],0)),INDEX(Table3[[#All],[CON P]],MATCH(Table5[[#This Row],[PID]],Table3[[#All],[PID]],0)))</f>
        <v>5</v>
      </c>
      <c r="O62" s="58">
        <f>IF($C62="B",INDEX(Batters[[#All],[EYE P]],MATCH(Table5[[#This Row],[PID]],Batters[[#All],[PID]],0)),INDEX(Table3[[#All],[VELO]],MATCH(Table5[[#This Row],[PID]],Table3[[#All],[PID]],0)))</f>
        <v>5</v>
      </c>
      <c r="P62" s="58">
        <f>IF($C62="B",INDEX(Batters[[#All],[K P]],MATCH(Table5[[#This Row],[PID]],Batters[[#All],[PID]],0)),INDEX(Table3[[#All],[STM]],MATCH(Table5[[#This Row],[PID]],Table3[[#All],[PID]],0)))</f>
        <v>5</v>
      </c>
      <c r="Q62" s="63">
        <f>IF($C62="B",INDEX(Batters[[#All],[Tot]],MATCH(Table5[[#This Row],[PID]],Batters[[#All],[PID]],0)),INDEX(Table3[[#All],[Tot]],MATCH(Table5[[#This Row],[PID]],Table3[[#All],[PID]],0)))</f>
        <v>50.546054730364858</v>
      </c>
      <c r="R62" s="54">
        <f>IF($C62="B",INDEX(Batters[[#All],[zScore]],MATCH(Table5[[#This Row],[PID]],Batters[[#All],[PID]],0)),INDEX(Table3[[#All],[zScore]],MATCH(Table5[[#This Row],[PID]],Table3[[#All],[PID]],0)))</f>
        <v>1.7942364294170228</v>
      </c>
      <c r="S62" s="60" t="str">
        <f>IF($C62="B",INDEX(Batters[[#All],[DEM]],MATCH(Table5[[#This Row],[PID]],Batters[[#All],[PID]],0)),INDEX(Table3[[#All],[DEM]],MATCH(Table5[[#This Row],[PID]],Table3[[#All],[PID]],0)))</f>
        <v>$650k</v>
      </c>
      <c r="T62" s="64">
        <f>IF($C62="B",VLOOKUP($A62,Bat!$A$4:$AU$1417,46,FALSE),VLOOKUP($A62,Pit!$A$4:$BD$570,55,FALSE))</f>
        <v>0</v>
      </c>
      <c r="U62" s="52">
        <f>IF($C62="B",VLOOKUP($A62,Bat!$A$4:$BA$1417,47,FALSE),VLOOKUP($A62,Pit!$A$4:$BF$570,56,FALSE))</f>
        <v>0</v>
      </c>
      <c r="V62" s="52">
        <f>IF($C62="B",VLOOKUP($A62,Bat!$A$4:$BA$1417,48,FALSE),VLOOKUP($A62,Pit!$A$4:$BF$570,57,FALSE))</f>
        <v>0</v>
      </c>
      <c r="W62" s="52">
        <f>Table5[[#This Row],[posRnk]]+Table5[[#This Row],[zRnk]]+IF($W$3&lt;&gt;Table5[[#This Row],[Type]],50,0)</f>
        <v>108</v>
      </c>
      <c r="X62" s="53">
        <f>RANK(Table5[[#This Row],[zScore]],Table5[[#All],[zScore]])</f>
        <v>58</v>
      </c>
      <c r="Y62" s="52" t="str">
        <f>IFERROR(INDEX(DraftResults[[#All],[OVR]],MATCH(Table5[[#This Row],[PID]],DraftResults[[#All],[Player ID]],0)),"")</f>
        <v/>
      </c>
      <c r="Z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" s="52" t="str">
        <f>IFERROR(INDEX(DraftResults[[#All],[Pick in Round]],MATCH(Table5[[#This Row],[PID]],DraftResults[[#All],[Player ID]],0)),"")</f>
        <v/>
      </c>
      <c r="AB62" s="52" t="str">
        <f>IFERROR(INDEX(DraftResults[[#All],[Team Name]],MATCH(Table5[[#This Row],[PID]],DraftResults[[#All],[Player ID]],0)),"")</f>
        <v/>
      </c>
      <c r="AC62" s="52" t="str">
        <f>IF(Table5[[#This Row],[Ovr]]="","",IF(Table5[[#This Row],[cmbList]]="","",Table5[[#This Row],[cmbList]]-Table5[[#This Row],[Ovr]]))</f>
        <v/>
      </c>
      <c r="AD62" s="56" t="str">
        <f>IF(ISERROR(VLOOKUP($AB62&amp;"-"&amp;$E62&amp;" "&amp;F62,Bonuses!$B$1:$G$1006,4,FALSE)),"",INT(VLOOKUP($AB62&amp;"-"&amp;$E62&amp;" "&amp;$F62,Bonuses!$B$1:$G$1006,4,FALSE)))</f>
        <v/>
      </c>
      <c r="AE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" spans="1:31" s="52" customFormat="1" x14ac:dyDescent="0.25">
      <c r="A63" s="52">
        <v>14101</v>
      </c>
      <c r="B63" s="52">
        <f>COUNTIF(Table5[PID],A63)</f>
        <v>1</v>
      </c>
      <c r="C63" s="52" t="str">
        <f>IF(COUNTIF(Table3[[#All],[PID]],A63)&gt;0,"P","B")</f>
        <v>B</v>
      </c>
      <c r="D63" s="61" t="str">
        <f>IF($C63="B",INDEX(Batters[[#All],[POS]],MATCH(Table5[[#This Row],[PID]],Batters[[#All],[PID]],0)),INDEX(Table3[[#All],[POS]],MATCH(Table5[[#This Row],[PID]],Table3[[#All],[PID]],0)))</f>
        <v>C</v>
      </c>
      <c r="E63" s="54" t="str">
        <f>IF($C63="B",INDEX(Batters[[#All],[First]],MATCH(Table5[[#This Row],[PID]],Batters[[#All],[PID]],0)),INDEX(Table3[[#All],[First]],MATCH(Table5[[#This Row],[PID]],Table3[[#All],[PID]],0)))</f>
        <v>Shaun</v>
      </c>
      <c r="F63" s="52" t="str">
        <f>IF($C63="B",INDEX(Batters[[#All],[Last]],MATCH(A63,Batters[[#All],[PID]],0)),INDEX(Table3[[#All],[Last]],MATCH(A63,Table3[[#All],[PID]],0)))</f>
        <v>Taylor</v>
      </c>
      <c r="G63" s="58">
        <f>IF($C63="B",INDEX(Batters[[#All],[Age]],MATCH(Table5[[#This Row],[PID]],Batters[[#All],[PID]],0)),INDEX(Table3[[#All],[Age]],MATCH(Table5[[#This Row],[PID]],Table3[[#All],[PID]],0)))</f>
        <v>18</v>
      </c>
      <c r="H63" s="54" t="str">
        <f>IF($C63="B",INDEX(Batters[[#All],[B]],MATCH(Table5[[#This Row],[PID]],Batters[[#All],[PID]],0)),INDEX(Table3[[#All],[B]],MATCH(Table5[[#This Row],[PID]],Table3[[#All],[PID]],0)))</f>
        <v>R</v>
      </c>
      <c r="I63" s="54" t="str">
        <f>IF($C63="B",INDEX(Batters[[#All],[T]],MATCH(Table5[[#This Row],[PID]],Batters[[#All],[PID]],0)),INDEX(Table3[[#All],[T]],MATCH(Table5[[#This Row],[PID]],Table3[[#All],[PID]],0)))</f>
        <v>R</v>
      </c>
      <c r="J63" s="54" t="str">
        <f>IF($C63="B",INDEX(Batters[[#All],[WE]],MATCH(Table5[[#This Row],[PID]],Batters[[#All],[PID]],0)),INDEX(Table3[[#All],[WE]],MATCH(Table5[[#This Row],[PID]],Table3[[#All],[PID]],0)))</f>
        <v>High</v>
      </c>
      <c r="K63" s="54" t="str">
        <f>IF($C63="B",INDEX(Batters[[#All],[INT]],MATCH(Table5[[#This Row],[PID]],Batters[[#All],[PID]],0)),INDEX(Table3[[#All],[INT]],MATCH(Table5[[#This Row],[PID]],Table3[[#All],[PID]],0)))</f>
        <v>Normal</v>
      </c>
      <c r="L63" s="62">
        <f>IF($C63="B",INDEX(Batters[[#All],[CON P]],MATCH(Table5[[#This Row],[PID]],Batters[[#All],[PID]],0)),INDEX(Table3[[#All],[STU P]],MATCH(Table5[[#This Row],[PID]],Table3[[#All],[PID]],0)))</f>
        <v>2</v>
      </c>
      <c r="M63" s="58">
        <f>IF($C63="B",INDEX(Batters[[#All],[GAP P]],MATCH(Table5[[#This Row],[PID]],Batters[[#All],[PID]],0)),INDEX(Table3[[#All],[MOV P]],MATCH(Table5[[#This Row],[PID]],Table3[[#All],[PID]],0)))</f>
        <v>3</v>
      </c>
      <c r="N63" s="58">
        <f>IF($C63="B",INDEX(Batters[[#All],[POW P]],MATCH(Table5[[#This Row],[PID]],Batters[[#All],[PID]],0)),INDEX(Table3[[#All],[CON P]],MATCH(Table5[[#This Row],[PID]],Table3[[#All],[PID]],0)))</f>
        <v>4</v>
      </c>
      <c r="O63" s="58">
        <f>IF($C63="B",INDEX(Batters[[#All],[EYE P]],MATCH(Table5[[#This Row],[PID]],Batters[[#All],[PID]],0)),INDEX(Table3[[#All],[VELO]],MATCH(Table5[[#This Row],[PID]],Table3[[#All],[PID]],0)))</f>
        <v>5</v>
      </c>
      <c r="P63" s="58">
        <f>IF($C63="B",INDEX(Batters[[#All],[K P]],MATCH(Table5[[#This Row],[PID]],Batters[[#All],[PID]],0)),INDEX(Table3[[#All],[STM]],MATCH(Table5[[#This Row],[PID]],Table3[[#All],[PID]],0)))</f>
        <v>2</v>
      </c>
      <c r="Q63" s="63">
        <f>IF($C63="B",INDEX(Batters[[#All],[Tot]],MATCH(Table5[[#This Row],[PID]],Batters[[#All],[PID]],0)),INDEX(Table3[[#All],[Tot]],MATCH(Table5[[#This Row],[PID]],Table3[[#All],[PID]],0)))</f>
        <v>50.524999999999999</v>
      </c>
      <c r="R63" s="54">
        <f>IF($C63="B",INDEX(Batters[[#All],[zScore]],MATCH(Table5[[#This Row],[PID]],Batters[[#All],[PID]],0)),INDEX(Table3[[#All],[zScore]],MATCH(Table5[[#This Row],[PID]],Table3[[#All],[PID]],0)))</f>
        <v>1.7905319895454512</v>
      </c>
      <c r="S63" s="60" t="str">
        <f>IF($C63="B",INDEX(Batters[[#All],[DEM]],MATCH(Table5[[#This Row],[PID]],Batters[[#All],[PID]],0)),INDEX(Table3[[#All],[DEM]],MATCH(Table5[[#This Row],[PID]],Table3[[#All],[PID]],0)))</f>
        <v>$65k</v>
      </c>
      <c r="T63" s="64">
        <f>IF($C63="B",VLOOKUP($A63,Bat!$A$4:$AU$1417,46,FALSE),VLOOKUP($A63,Pit!$A$4:$BD$570,55,FALSE))</f>
        <v>0</v>
      </c>
      <c r="U63" s="52">
        <f>IF($C63="B",VLOOKUP($A63,Bat!$A$4:$BA$1417,47,FALSE),VLOOKUP($A63,Pit!$A$4:$BF$570,56,FALSE))</f>
        <v>0</v>
      </c>
      <c r="V63" s="52">
        <f>IF($C63="B",VLOOKUP($A63,Bat!$A$4:$BA$1417,48,FALSE),VLOOKUP($A63,Pit!$A$4:$BF$570,57,FALSE))</f>
        <v>0</v>
      </c>
      <c r="W63" s="52">
        <f>Table5[[#This Row],[posRnk]]+Table5[[#This Row],[zRnk]]+IF($W$3&lt;&gt;Table5[[#This Row],[Type]],50,0)</f>
        <v>109</v>
      </c>
      <c r="X63" s="53">
        <f>RANK(Table5[[#This Row],[zScore]],Table5[[#All],[zScore]])</f>
        <v>59</v>
      </c>
      <c r="Y63" s="52" t="str">
        <f>IFERROR(INDEX(DraftResults[[#All],[OVR]],MATCH(Table5[[#This Row],[PID]],DraftResults[[#All],[Player ID]],0)),"")</f>
        <v/>
      </c>
      <c r="Z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" s="52" t="str">
        <f>IFERROR(INDEX(DraftResults[[#All],[Pick in Round]],MATCH(Table5[[#This Row],[PID]],DraftResults[[#All],[Player ID]],0)),"")</f>
        <v/>
      </c>
      <c r="AB63" s="52" t="str">
        <f>IFERROR(INDEX(DraftResults[[#All],[Team Name]],MATCH(Table5[[#This Row],[PID]],DraftResults[[#All],[Player ID]],0)),"")</f>
        <v/>
      </c>
      <c r="AC63" s="52" t="str">
        <f>IF(Table5[[#This Row],[Ovr]]="","",IF(Table5[[#This Row],[cmbList]]="","",Table5[[#This Row],[cmbList]]-Table5[[#This Row],[Ovr]]))</f>
        <v/>
      </c>
      <c r="AD63" s="56" t="str">
        <f>IF(ISERROR(VLOOKUP($AB63&amp;"-"&amp;$E63&amp;" "&amp;F63,Bonuses!$B$1:$G$1006,4,FALSE)),"",INT(VLOOKUP($AB63&amp;"-"&amp;$E63&amp;" "&amp;$F63,Bonuses!$B$1:$G$1006,4,FALSE)))</f>
        <v/>
      </c>
      <c r="AE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" spans="1:31" s="52" customFormat="1" x14ac:dyDescent="0.25">
      <c r="A64" s="52">
        <v>12831</v>
      </c>
      <c r="B64" s="57">
        <f>COUNTIF(Table5[PID],A64)</f>
        <v>1</v>
      </c>
      <c r="C64" s="57" t="str">
        <f>IF(COUNTIF(Table3[[#All],[PID]],A64)&gt;0,"P","B")</f>
        <v>B</v>
      </c>
      <c r="D64" s="61" t="str">
        <f>IF($C64="B",INDEX(Batters[[#All],[POS]],MATCH(Table5[[#This Row],[PID]],Batters[[#All],[PID]],0)),INDEX(Table3[[#All],[POS]],MATCH(Table5[[#This Row],[PID]],Table3[[#All],[PID]],0)))</f>
        <v>LF</v>
      </c>
      <c r="E64" s="54" t="str">
        <f>IF($C64="B",INDEX(Batters[[#All],[First]],MATCH(Table5[[#This Row],[PID]],Batters[[#All],[PID]],0)),INDEX(Table3[[#All],[First]],MATCH(Table5[[#This Row],[PID]],Table3[[#All],[PID]],0)))</f>
        <v>Cedric</v>
      </c>
      <c r="F64" s="52" t="str">
        <f>IF($C64="B",INDEX(Batters[[#All],[Last]],MATCH(A64,Batters[[#All],[PID]],0)),INDEX(Table3[[#All],[Last]],MATCH(A64,Table3[[#All],[PID]],0)))</f>
        <v>Wilson</v>
      </c>
      <c r="G64" s="58">
        <f>IF($C64="B",INDEX(Batters[[#All],[Age]],MATCH(Table5[[#This Row],[PID]],Batters[[#All],[PID]],0)),INDEX(Table3[[#All],[Age]],MATCH(Table5[[#This Row],[PID]],Table3[[#All],[PID]],0)))</f>
        <v>18</v>
      </c>
      <c r="H64" s="54" t="str">
        <f>IF($C64="B",INDEX(Batters[[#All],[B]],MATCH(Table5[[#This Row],[PID]],Batters[[#All],[PID]],0)),INDEX(Table3[[#All],[B]],MATCH(Table5[[#This Row],[PID]],Table3[[#All],[PID]],0)))</f>
        <v>S</v>
      </c>
      <c r="I64" s="54" t="str">
        <f>IF($C64="B",INDEX(Batters[[#All],[T]],MATCH(Table5[[#This Row],[PID]],Batters[[#All],[PID]],0)),INDEX(Table3[[#All],[T]],MATCH(Table5[[#This Row],[PID]],Table3[[#All],[PID]],0)))</f>
        <v>R</v>
      </c>
      <c r="J64" s="54" t="str">
        <f>IF($C64="B",INDEX(Batters[[#All],[WE]],MATCH(Table5[[#This Row],[PID]],Batters[[#All],[PID]],0)),INDEX(Table3[[#All],[WE]],MATCH(Table5[[#This Row],[PID]],Table3[[#All],[PID]],0)))</f>
        <v>High</v>
      </c>
      <c r="K64" s="54" t="str">
        <f>IF($C64="B",INDEX(Batters[[#All],[INT]],MATCH(Table5[[#This Row],[PID]],Batters[[#All],[PID]],0)),INDEX(Table3[[#All],[INT]],MATCH(Table5[[#This Row],[PID]],Table3[[#All],[PID]],0)))</f>
        <v>Normal</v>
      </c>
      <c r="L64" s="62">
        <f>IF($C64="B",INDEX(Batters[[#All],[CON P]],MATCH(Table5[[#This Row],[PID]],Batters[[#All],[PID]],0)),INDEX(Table3[[#All],[STU P]],MATCH(Table5[[#This Row],[PID]],Table3[[#All],[PID]],0)))</f>
        <v>2</v>
      </c>
      <c r="M64" s="58">
        <f>IF($C64="B",INDEX(Batters[[#All],[GAP P]],MATCH(Table5[[#This Row],[PID]],Batters[[#All],[PID]],0)),INDEX(Table3[[#All],[MOV P]],MATCH(Table5[[#This Row],[PID]],Table3[[#All],[PID]],0)))</f>
        <v>3</v>
      </c>
      <c r="N64" s="58">
        <f>IF($C64="B",INDEX(Batters[[#All],[POW P]],MATCH(Table5[[#This Row],[PID]],Batters[[#All],[PID]],0)),INDEX(Table3[[#All],[CON P]],MATCH(Table5[[#This Row],[PID]],Table3[[#All],[PID]],0)))</f>
        <v>7</v>
      </c>
      <c r="O64" s="58">
        <f>IF($C64="B",INDEX(Batters[[#All],[EYE P]],MATCH(Table5[[#This Row],[PID]],Batters[[#All],[PID]],0)),INDEX(Table3[[#All],[VELO]],MATCH(Table5[[#This Row],[PID]],Table3[[#All],[PID]],0)))</f>
        <v>4</v>
      </c>
      <c r="P64" s="58">
        <f>IF($C64="B",INDEX(Batters[[#All],[K P]],MATCH(Table5[[#This Row],[PID]],Batters[[#All],[PID]],0)),INDEX(Table3[[#All],[STM]],MATCH(Table5[[#This Row],[PID]],Table3[[#All],[PID]],0)))</f>
        <v>2</v>
      </c>
      <c r="Q64" s="63">
        <f>IF($C64="B",INDEX(Batters[[#All],[Tot]],MATCH(Table5[[#This Row],[PID]],Batters[[#All],[PID]],0)),INDEX(Table3[[#All],[Tot]],MATCH(Table5[[#This Row],[PID]],Table3[[#All],[PID]],0)))</f>
        <v>50.524999999999999</v>
      </c>
      <c r="R64" s="54">
        <f>IF($C64="B",INDEX(Batters[[#All],[zScore]],MATCH(Table5[[#This Row],[PID]],Batters[[#All],[PID]],0)),INDEX(Table3[[#All],[zScore]],MATCH(Table5[[#This Row],[PID]],Table3[[#All],[PID]],0)))</f>
        <v>1.7905319895454512</v>
      </c>
      <c r="S64" s="60" t="str">
        <f>IF($C64="B",INDEX(Batters[[#All],[DEM]],MATCH(Table5[[#This Row],[PID]],Batters[[#All],[PID]],0)),INDEX(Table3[[#All],[DEM]],MATCH(Table5[[#This Row],[PID]],Table3[[#All],[PID]],0)))</f>
        <v>$190k</v>
      </c>
      <c r="T64" s="64">
        <f>IF($C64="B",VLOOKUP($A64,Bat!$A$4:$AU$1417,46,FALSE),VLOOKUP($A64,Pit!$A$4:$BD$570,55,FALSE))</f>
        <v>0</v>
      </c>
      <c r="U64" s="52">
        <f>IF($C64="B",VLOOKUP($A64,Bat!$A$4:$BA$1417,47,FALSE),VLOOKUP($A64,Pit!$A$4:$BF$570,56,FALSE))</f>
        <v>0</v>
      </c>
      <c r="V64" s="52">
        <f>IF($C64="B",VLOOKUP($A64,Bat!$A$4:$BA$1417,48,FALSE),VLOOKUP($A64,Pit!$A$4:$BF$570,57,FALSE))</f>
        <v>0</v>
      </c>
      <c r="W64" s="52">
        <f>Table5[[#This Row],[posRnk]]+Table5[[#This Row],[zRnk]]+IF($W$3&lt;&gt;Table5[[#This Row],[Type]],50,0)</f>
        <v>109</v>
      </c>
      <c r="X64" s="53">
        <f>RANK(Table5[[#This Row],[zScore]],Table5[[#All],[zScore]])</f>
        <v>59</v>
      </c>
      <c r="Y64" s="52" t="str">
        <f>IFERROR(INDEX(DraftResults[[#All],[OVR]],MATCH(Table5[[#This Row],[PID]],DraftResults[[#All],[Player ID]],0)),"")</f>
        <v/>
      </c>
      <c r="Z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" s="52" t="str">
        <f>IFERROR(INDEX(DraftResults[[#All],[Pick in Round]],MATCH(Table5[[#This Row],[PID]],DraftResults[[#All],[Player ID]],0)),"")</f>
        <v/>
      </c>
      <c r="AB64" s="52" t="str">
        <f>IFERROR(INDEX(DraftResults[[#All],[Team Name]],MATCH(Table5[[#This Row],[PID]],DraftResults[[#All],[Player ID]],0)),"")</f>
        <v/>
      </c>
      <c r="AC64" s="52" t="str">
        <f>IF(Table5[[#This Row],[Ovr]]="","",IF(Table5[[#This Row],[cmbList]]="","",Table5[[#This Row],[cmbList]]-Table5[[#This Row],[Ovr]]))</f>
        <v/>
      </c>
      <c r="AD64" s="56" t="str">
        <f>IF(ISERROR(VLOOKUP($AB64&amp;"-"&amp;$E64&amp;" "&amp;F64,Bonuses!$B$1:$G$1006,4,FALSE)),"",INT(VLOOKUP($AB64&amp;"-"&amp;$E64&amp;" "&amp;$F64,Bonuses!$B$1:$G$1006,4,FALSE)))</f>
        <v/>
      </c>
      <c r="AE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" spans="1:31" s="52" customFormat="1" x14ac:dyDescent="0.25">
      <c r="A65" s="52">
        <v>9478</v>
      </c>
      <c r="B65" s="57">
        <f>COUNTIF(Table5[PID],A65)</f>
        <v>1</v>
      </c>
      <c r="C65" s="57" t="str">
        <f>IF(COUNTIF(Table3[[#All],[PID]],A65)&gt;0,"P","B")</f>
        <v>B</v>
      </c>
      <c r="D65" s="61" t="str">
        <f>IF($C65="B",INDEX(Batters[[#All],[POS]],MATCH(Table5[[#This Row],[PID]],Batters[[#All],[PID]],0)),INDEX(Table3[[#All],[POS]],MATCH(Table5[[#This Row],[PID]],Table3[[#All],[PID]],0)))</f>
        <v>LF</v>
      </c>
      <c r="E65" s="54" t="str">
        <f>IF($C65="B",INDEX(Batters[[#All],[First]],MATCH(Table5[[#This Row],[PID]],Batters[[#All],[PID]],0)),INDEX(Table3[[#All],[First]],MATCH(Table5[[#This Row],[PID]],Table3[[#All],[PID]],0)))</f>
        <v>Reggie</v>
      </c>
      <c r="F65" s="52" t="str">
        <f>IF($C65="B",INDEX(Batters[[#All],[Last]],MATCH(A65,Batters[[#All],[PID]],0)),INDEX(Table3[[#All],[Last]],MATCH(A65,Table3[[#All],[PID]],0)))</f>
        <v>Raines</v>
      </c>
      <c r="G65" s="58">
        <f>IF($C65="B",INDEX(Batters[[#All],[Age]],MATCH(Table5[[#This Row],[PID]],Batters[[#All],[PID]],0)),INDEX(Table3[[#All],[Age]],MATCH(Table5[[#This Row],[PID]],Table3[[#All],[PID]],0)))</f>
        <v>18</v>
      </c>
      <c r="H65" s="54" t="str">
        <f>IF($C65="B",INDEX(Batters[[#All],[B]],MATCH(Table5[[#This Row],[PID]],Batters[[#All],[PID]],0)),INDEX(Table3[[#All],[B]],MATCH(Table5[[#This Row],[PID]],Table3[[#All],[PID]],0)))</f>
        <v>L</v>
      </c>
      <c r="I65" s="54" t="str">
        <f>IF($C65="B",INDEX(Batters[[#All],[T]],MATCH(Table5[[#This Row],[PID]],Batters[[#All],[PID]],0)),INDEX(Table3[[#All],[T]],MATCH(Table5[[#This Row],[PID]],Table3[[#All],[PID]],0)))</f>
        <v>L</v>
      </c>
      <c r="J65" s="54" t="str">
        <f>IF($C65="B",INDEX(Batters[[#All],[WE]],MATCH(Table5[[#This Row],[PID]],Batters[[#All],[PID]],0)),INDEX(Table3[[#All],[WE]],MATCH(Table5[[#This Row],[PID]],Table3[[#All],[PID]],0)))</f>
        <v>High</v>
      </c>
      <c r="K65" s="54" t="str">
        <f>IF($C65="B",INDEX(Batters[[#All],[INT]],MATCH(Table5[[#This Row],[PID]],Batters[[#All],[PID]],0)),INDEX(Table3[[#All],[INT]],MATCH(Table5[[#This Row],[PID]],Table3[[#All],[PID]],0)))</f>
        <v>Normal</v>
      </c>
      <c r="L65" s="62">
        <f>IF($C65="B",INDEX(Batters[[#All],[CON P]],MATCH(Table5[[#This Row],[PID]],Batters[[#All],[PID]],0)),INDEX(Table3[[#All],[STU P]],MATCH(Table5[[#This Row],[PID]],Table3[[#All],[PID]],0)))</f>
        <v>4</v>
      </c>
      <c r="M65" s="58">
        <f>IF($C65="B",INDEX(Batters[[#All],[GAP P]],MATCH(Table5[[#This Row],[PID]],Batters[[#All],[PID]],0)),INDEX(Table3[[#All],[MOV P]],MATCH(Table5[[#This Row],[PID]],Table3[[#All],[PID]],0)))</f>
        <v>4</v>
      </c>
      <c r="N65" s="58">
        <f>IF($C65="B",INDEX(Batters[[#All],[POW P]],MATCH(Table5[[#This Row],[PID]],Batters[[#All],[PID]],0)),INDEX(Table3[[#All],[CON P]],MATCH(Table5[[#This Row],[PID]],Table3[[#All],[PID]],0)))</f>
        <v>5</v>
      </c>
      <c r="O65" s="58">
        <f>IF($C65="B",INDEX(Batters[[#All],[EYE P]],MATCH(Table5[[#This Row],[PID]],Batters[[#All],[PID]],0)),INDEX(Table3[[#All],[VELO]],MATCH(Table5[[#This Row],[PID]],Table3[[#All],[PID]],0)))</f>
        <v>7</v>
      </c>
      <c r="P65" s="58">
        <f>IF($C65="B",INDEX(Batters[[#All],[K P]],MATCH(Table5[[#This Row],[PID]],Batters[[#All],[PID]],0)),INDEX(Table3[[#All],[STM]],MATCH(Table5[[#This Row],[PID]],Table3[[#All],[PID]],0)))</f>
        <v>4</v>
      </c>
      <c r="Q65" s="63">
        <f>IF($C65="B",INDEX(Batters[[#All],[Tot]],MATCH(Table5[[#This Row],[PID]],Batters[[#All],[PID]],0)),INDEX(Table3[[#All],[Tot]],MATCH(Table5[[#This Row],[PID]],Table3[[#All],[PID]],0)))</f>
        <v>50.478744060914387</v>
      </c>
      <c r="R65" s="54">
        <f>IF($C65="B",INDEX(Batters[[#All],[zScore]],MATCH(Table5[[#This Row],[PID]],Batters[[#All],[PID]],0)),INDEX(Table3[[#All],[zScore]],MATCH(Table5[[#This Row],[PID]],Table3[[#All],[PID]],0)))</f>
        <v>1.7823935644943423</v>
      </c>
      <c r="S65" s="60" t="str">
        <f>IF($C65="B",INDEX(Batters[[#All],[DEM]],MATCH(Table5[[#This Row],[PID]],Batters[[#All],[PID]],0)),INDEX(Table3[[#All],[DEM]],MATCH(Table5[[#This Row],[PID]],Table3[[#All],[PID]],0)))</f>
        <v>$2.0m</v>
      </c>
      <c r="T65" s="64">
        <f>IF($C65="B",VLOOKUP($A65,Bat!$A$4:$AU$1417,46,FALSE),VLOOKUP($A65,Pit!$A$4:$BD$570,55,FALSE))</f>
        <v>0</v>
      </c>
      <c r="U65" s="52">
        <f>IF($C65="B",VLOOKUP($A65,Bat!$A$4:$BA$1417,47,FALSE),VLOOKUP($A65,Pit!$A$4:$BF$570,56,FALSE))</f>
        <v>0</v>
      </c>
      <c r="V65" s="52">
        <f>IF($C65="B",VLOOKUP($A65,Bat!$A$4:$BA$1417,48,FALSE),VLOOKUP($A65,Pit!$A$4:$BF$570,57,FALSE))</f>
        <v>0</v>
      </c>
      <c r="W65" s="52">
        <f>Table5[[#This Row],[posRnk]]+Table5[[#This Row],[zRnk]]+IF($W$3&lt;&gt;Table5[[#This Row],[Type]],50,0)</f>
        <v>111</v>
      </c>
      <c r="X65" s="53">
        <f>RANK(Table5[[#This Row],[zScore]],Table5[[#All],[zScore]])</f>
        <v>61</v>
      </c>
      <c r="Y65" s="52" t="str">
        <f>IFERROR(INDEX(DraftResults[[#All],[OVR]],MATCH(Table5[[#This Row],[PID]],DraftResults[[#All],[Player ID]],0)),"")</f>
        <v/>
      </c>
      <c r="Z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" s="52" t="str">
        <f>IFERROR(INDEX(DraftResults[[#All],[Pick in Round]],MATCH(Table5[[#This Row],[PID]],DraftResults[[#All],[Player ID]],0)),"")</f>
        <v/>
      </c>
      <c r="AB65" s="52" t="str">
        <f>IFERROR(INDEX(DraftResults[[#All],[Team Name]],MATCH(Table5[[#This Row],[PID]],DraftResults[[#All],[Player ID]],0)),"")</f>
        <v/>
      </c>
      <c r="AC65" s="52" t="str">
        <f>IF(Table5[[#This Row],[Ovr]]="","",IF(Table5[[#This Row],[cmbList]]="","",Table5[[#This Row],[cmbList]]-Table5[[#This Row],[Ovr]]))</f>
        <v/>
      </c>
      <c r="AD65" s="56" t="str">
        <f>IF(ISERROR(VLOOKUP($AB65&amp;"-"&amp;$E65&amp;" "&amp;F65,Bonuses!$B$1:$G$1006,4,FALSE)),"",INT(VLOOKUP($AB65&amp;"-"&amp;$E65&amp;" "&amp;$F65,Bonuses!$B$1:$G$1006,4,FALSE)))</f>
        <v/>
      </c>
      <c r="AE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" spans="1:31" s="52" customFormat="1" x14ac:dyDescent="0.25">
      <c r="A66" s="52">
        <v>7081</v>
      </c>
      <c r="B66" s="52">
        <f>COUNTIF(Table5[PID],A66)</f>
        <v>1</v>
      </c>
      <c r="C66" s="52" t="str">
        <f>IF(COUNTIF(Table3[[#All],[PID]],A66)&gt;0,"P","B")</f>
        <v>P</v>
      </c>
      <c r="D66" s="61" t="str">
        <f>IF($C66="B",INDEX(Batters[[#All],[POS]],MATCH(Table5[[#This Row],[PID]],Batters[[#All],[PID]],0)),INDEX(Table3[[#All],[POS]],MATCH(Table5[[#This Row],[PID]],Table3[[#All],[PID]],0)))</f>
        <v>RP</v>
      </c>
      <c r="E66" s="54" t="str">
        <f>IF($C66="B",INDEX(Batters[[#All],[First]],MATCH(Table5[[#This Row],[PID]],Batters[[#All],[PID]],0)),INDEX(Table3[[#All],[First]],MATCH(Table5[[#This Row],[PID]],Table3[[#All],[PID]],0)))</f>
        <v>Hyobe</v>
      </c>
      <c r="F66" s="52" t="str">
        <f>IF($C66="B",INDEX(Batters[[#All],[Last]],MATCH(A66,Batters[[#All],[PID]],0)),INDEX(Table3[[#All],[Last]],MATCH(A66,Table3[[#All],[PID]],0)))</f>
        <v>Miura</v>
      </c>
      <c r="G66" s="58">
        <f>IF($C66="B",INDEX(Batters[[#All],[Age]],MATCH(Table5[[#This Row],[PID]],Batters[[#All],[PID]],0)),INDEX(Table3[[#All],[Age]],MATCH(Table5[[#This Row],[PID]],Table3[[#All],[PID]],0)))</f>
        <v>21</v>
      </c>
      <c r="H66" s="54" t="str">
        <f>IF($C66="B",INDEX(Batters[[#All],[B]],MATCH(Table5[[#This Row],[PID]],Batters[[#All],[PID]],0)),INDEX(Table3[[#All],[B]],MATCH(Table5[[#This Row],[PID]],Table3[[#All],[PID]],0)))</f>
        <v>R</v>
      </c>
      <c r="I66" s="54" t="str">
        <f>IF($C66="B",INDEX(Batters[[#All],[T]],MATCH(Table5[[#This Row],[PID]],Batters[[#All],[PID]],0)),INDEX(Table3[[#All],[T]],MATCH(Table5[[#This Row],[PID]],Table3[[#All],[PID]],0)))</f>
        <v>R</v>
      </c>
      <c r="J66" s="54" t="str">
        <f>IF($C66="B",INDEX(Batters[[#All],[WE]],MATCH(Table5[[#This Row],[PID]],Batters[[#All],[PID]],0)),INDEX(Table3[[#All],[WE]],MATCH(Table5[[#This Row],[PID]],Table3[[#All],[PID]],0)))</f>
        <v>Normal</v>
      </c>
      <c r="K66" s="54" t="str">
        <f>IF($C66="B",INDEX(Batters[[#All],[INT]],MATCH(Table5[[#This Row],[PID]],Batters[[#All],[PID]],0)),INDEX(Table3[[#All],[INT]],MATCH(Table5[[#This Row],[PID]],Table3[[#All],[PID]],0)))</f>
        <v>Normal</v>
      </c>
      <c r="L66" s="62">
        <f>IF($C66="B",INDEX(Batters[[#All],[CON P]],MATCH(Table5[[#This Row],[PID]],Batters[[#All],[PID]],0)),INDEX(Table3[[#All],[STU P]],MATCH(Table5[[#This Row],[PID]],Table3[[#All],[PID]],0)))</f>
        <v>7</v>
      </c>
      <c r="M66" s="58">
        <f>IF($C66="B",INDEX(Batters[[#All],[GAP P]],MATCH(Table5[[#This Row],[PID]],Batters[[#All],[PID]],0)),INDEX(Table3[[#All],[MOV P]],MATCH(Table5[[#This Row],[PID]],Table3[[#All],[PID]],0)))</f>
        <v>3</v>
      </c>
      <c r="N66" s="58">
        <f>IF($C66="B",INDEX(Batters[[#All],[POW P]],MATCH(Table5[[#This Row],[PID]],Batters[[#All],[PID]],0)),INDEX(Table3[[#All],[CON P]],MATCH(Table5[[#This Row],[PID]],Table3[[#All],[PID]],0)))</f>
        <v>4</v>
      </c>
      <c r="O66" s="58" t="str">
        <f>IF($C66="B",INDEX(Batters[[#All],[EYE P]],MATCH(Table5[[#This Row],[PID]],Batters[[#All],[PID]],0)),INDEX(Table3[[#All],[VELO]],MATCH(Table5[[#This Row],[PID]],Table3[[#All],[PID]],0)))</f>
        <v>95-97 Mph</v>
      </c>
      <c r="P66" s="58">
        <f>IF($C66="B",INDEX(Batters[[#All],[K P]],MATCH(Table5[[#This Row],[PID]],Batters[[#All],[PID]],0)),INDEX(Table3[[#All],[STM]],MATCH(Table5[[#This Row],[PID]],Table3[[#All],[PID]],0)))</f>
        <v>6</v>
      </c>
      <c r="Q66" s="63">
        <f>IF($C66="B",INDEX(Batters[[#All],[Tot]],MATCH(Table5[[#This Row],[PID]],Batters[[#All],[PID]],0)),INDEX(Table3[[#All],[Tot]],MATCH(Table5[[#This Row],[PID]],Table3[[#All],[PID]],0)))</f>
        <v>52.151494186685539</v>
      </c>
      <c r="R66" s="54">
        <f>IF($C66="B",INDEX(Batters[[#All],[zScore]],MATCH(Table5[[#This Row],[PID]],Batters[[#All],[PID]],0)),INDEX(Table3[[#All],[zScore]],MATCH(Table5[[#This Row],[PID]],Table3[[#All],[PID]],0)))</f>
        <v>1.7817446559329535</v>
      </c>
      <c r="S66" s="60" t="str">
        <f>IF($C66="B",INDEX(Batters[[#All],[DEM]],MATCH(Table5[[#This Row],[PID]],Batters[[#All],[PID]],0)),INDEX(Table3[[#All],[DEM]],MATCH(Table5[[#This Row],[PID]],Table3[[#All],[PID]],0)))</f>
        <v>-</v>
      </c>
      <c r="T66" s="64">
        <f>IF($C66="B",VLOOKUP($A66,Bat!$A$4:$AU$1417,46,FALSE),VLOOKUP($A66,Pit!$A$4:$BD$570,55,FALSE))</f>
        <v>0</v>
      </c>
      <c r="U66" s="52">
        <f>IF($C66="B",VLOOKUP($A66,Bat!$A$4:$BA$1417,47,FALSE),VLOOKUP($A66,Pit!$A$4:$BF$570,56,FALSE))</f>
        <v>0</v>
      </c>
      <c r="V66" s="52">
        <f>IF($C66="B",VLOOKUP($A66,Bat!$A$4:$BA$1417,48,FALSE),VLOOKUP($A66,Pit!$A$4:$BF$570,57,FALSE))</f>
        <v>0</v>
      </c>
      <c r="W66" s="52">
        <f>Table5[[#This Row],[posRnk]]+Table5[[#This Row],[zRnk]]+IF($W$3&lt;&gt;Table5[[#This Row],[Type]],50,0)</f>
        <v>112</v>
      </c>
      <c r="X66" s="53">
        <f>RANK(Table5[[#This Row],[zScore]],Table5[[#All],[zScore]])</f>
        <v>62</v>
      </c>
      <c r="Y66" s="52" t="str">
        <f>IFERROR(INDEX(DraftResults[[#All],[OVR]],MATCH(Table5[[#This Row],[PID]],DraftResults[[#All],[Player ID]],0)),"")</f>
        <v/>
      </c>
      <c r="Z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" s="52" t="str">
        <f>IFERROR(INDEX(DraftResults[[#All],[Pick in Round]],MATCH(Table5[[#This Row],[PID]],DraftResults[[#All],[Player ID]],0)),"")</f>
        <v/>
      </c>
      <c r="AB66" s="52" t="str">
        <f>IFERROR(INDEX(DraftResults[[#All],[Team Name]],MATCH(Table5[[#This Row],[PID]],DraftResults[[#All],[Player ID]],0)),"")</f>
        <v/>
      </c>
      <c r="AC66" s="52" t="str">
        <f>IF(Table5[[#This Row],[Ovr]]="","",IF(Table5[[#This Row],[cmbList]]="","",Table5[[#This Row],[cmbList]]-Table5[[#This Row],[Ovr]]))</f>
        <v/>
      </c>
      <c r="AD66" s="56" t="str">
        <f>IF(ISERROR(VLOOKUP($AB66&amp;"-"&amp;$E66&amp;" "&amp;F66,Bonuses!$B$1:$G$1006,4,FALSE)),"",INT(VLOOKUP($AB66&amp;"-"&amp;$E66&amp;" "&amp;$F66,Bonuses!$B$1:$G$1006,4,FALSE)))</f>
        <v/>
      </c>
      <c r="AE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" spans="1:31" s="52" customFormat="1" x14ac:dyDescent="0.25">
      <c r="A67" s="52">
        <v>15165</v>
      </c>
      <c r="B67" s="52">
        <f>COUNTIF(Table5[PID],A67)</f>
        <v>1</v>
      </c>
      <c r="C67" s="52" t="str">
        <f>IF(COUNTIF(Table3[[#All],[PID]],A67)&gt;0,"P","B")</f>
        <v>P</v>
      </c>
      <c r="D67" s="61" t="str">
        <f>IF($C67="B",INDEX(Batters[[#All],[POS]],MATCH(Table5[[#This Row],[PID]],Batters[[#All],[PID]],0)),INDEX(Table3[[#All],[POS]],MATCH(Table5[[#This Row],[PID]],Table3[[#All],[PID]],0)))</f>
        <v>CL</v>
      </c>
      <c r="E67" s="54" t="str">
        <f>IF($C67="B",INDEX(Batters[[#All],[First]],MATCH(Table5[[#This Row],[PID]],Batters[[#All],[PID]],0)),INDEX(Table3[[#All],[First]],MATCH(Table5[[#This Row],[PID]],Table3[[#All],[PID]],0)))</f>
        <v>Tsugumichi</v>
      </c>
      <c r="F67" s="52" t="str">
        <f>IF($C67="B",INDEX(Batters[[#All],[Last]],MATCH(A67,Batters[[#All],[PID]],0)),INDEX(Table3[[#All],[Last]],MATCH(A67,Table3[[#All],[PID]],0)))</f>
        <v>Kobayashi</v>
      </c>
      <c r="G67" s="58">
        <f>IF($C67="B",INDEX(Batters[[#All],[Age]],MATCH(Table5[[#This Row],[PID]],Batters[[#All],[PID]],0)),INDEX(Table3[[#All],[Age]],MATCH(Table5[[#This Row],[PID]],Table3[[#All],[PID]],0)))</f>
        <v>18</v>
      </c>
      <c r="H67" s="54" t="str">
        <f>IF($C67="B",INDEX(Batters[[#All],[B]],MATCH(Table5[[#This Row],[PID]],Batters[[#All],[PID]],0)),INDEX(Table3[[#All],[B]],MATCH(Table5[[#This Row],[PID]],Table3[[#All],[PID]],0)))</f>
        <v>L</v>
      </c>
      <c r="I67" s="54" t="str">
        <f>IF($C67="B",INDEX(Batters[[#All],[T]],MATCH(Table5[[#This Row],[PID]],Batters[[#All],[PID]],0)),INDEX(Table3[[#All],[T]],MATCH(Table5[[#This Row],[PID]],Table3[[#All],[PID]],0)))</f>
        <v>L</v>
      </c>
      <c r="J67" s="54" t="str">
        <f>IF($C67="B",INDEX(Batters[[#All],[WE]],MATCH(Table5[[#This Row],[PID]],Batters[[#All],[PID]],0)),INDEX(Table3[[#All],[WE]],MATCH(Table5[[#This Row],[PID]],Table3[[#All],[PID]],0)))</f>
        <v>Low</v>
      </c>
      <c r="K67" s="54" t="str">
        <f>IF($C67="B",INDEX(Batters[[#All],[INT]],MATCH(Table5[[#This Row],[PID]],Batters[[#All],[PID]],0)),INDEX(Table3[[#All],[INT]],MATCH(Table5[[#This Row],[PID]],Table3[[#All],[PID]],0)))</f>
        <v>Normal</v>
      </c>
      <c r="L67" s="62">
        <f>IF($C67="B",INDEX(Batters[[#All],[CON P]],MATCH(Table5[[#This Row],[PID]],Batters[[#All],[PID]],0)),INDEX(Table3[[#All],[STU P]],MATCH(Table5[[#This Row],[PID]],Table3[[#All],[PID]],0)))</f>
        <v>5</v>
      </c>
      <c r="M67" s="58">
        <f>IF($C67="B",INDEX(Batters[[#All],[GAP P]],MATCH(Table5[[#This Row],[PID]],Batters[[#All],[PID]],0)),INDEX(Table3[[#All],[MOV P]],MATCH(Table5[[#This Row],[PID]],Table3[[#All],[PID]],0)))</f>
        <v>4</v>
      </c>
      <c r="N67" s="58">
        <f>IF($C67="B",INDEX(Batters[[#All],[POW P]],MATCH(Table5[[#This Row],[PID]],Batters[[#All],[PID]],0)),INDEX(Table3[[#All],[CON P]],MATCH(Table5[[#This Row],[PID]],Table3[[#All],[PID]],0)))</f>
        <v>4</v>
      </c>
      <c r="O67" s="58" t="str">
        <f>IF($C67="B",INDEX(Batters[[#All],[EYE P]],MATCH(Table5[[#This Row],[PID]],Batters[[#All],[PID]],0)),INDEX(Table3[[#All],[VELO]],MATCH(Table5[[#This Row],[PID]],Table3[[#All],[PID]],0)))</f>
        <v>87-89 Mph</v>
      </c>
      <c r="P67" s="58">
        <f>IF($C67="B",INDEX(Batters[[#All],[K P]],MATCH(Table5[[#This Row],[PID]],Batters[[#All],[PID]],0)),INDEX(Table3[[#All],[STM]],MATCH(Table5[[#This Row],[PID]],Table3[[#All],[PID]],0)))</f>
        <v>10</v>
      </c>
      <c r="Q67" s="63">
        <f>IF($C67="B",INDEX(Batters[[#All],[Tot]],MATCH(Table5[[#This Row],[PID]],Batters[[#All],[PID]],0)),INDEX(Table3[[#All],[Tot]],MATCH(Table5[[#This Row],[PID]],Table3[[#All],[PID]],0)))</f>
        <v>51.96790677407661</v>
      </c>
      <c r="R67" s="54">
        <f>IF($C67="B",INDEX(Batters[[#All],[zScore]],MATCH(Table5[[#This Row],[PID]],Batters[[#All],[PID]],0)),INDEX(Table3[[#All],[zScore]],MATCH(Table5[[#This Row],[PID]],Table3[[#All],[PID]],0)))</f>
        <v>1.7649089055276217</v>
      </c>
      <c r="S67" s="60" t="str">
        <f>IF($C67="B",INDEX(Batters[[#All],[DEM]],MATCH(Table5[[#This Row],[PID]],Batters[[#All],[PID]],0)),INDEX(Table3[[#All],[DEM]],MATCH(Table5[[#This Row],[PID]],Table3[[#All],[PID]],0)))</f>
        <v>$190k</v>
      </c>
      <c r="T67" s="64">
        <f>IF($C67="B",VLOOKUP($A67,Bat!$A$4:$AU$1417,46,FALSE),VLOOKUP($A67,Pit!$A$4:$BD$570,55,FALSE))</f>
        <v>0</v>
      </c>
      <c r="U67" s="52">
        <f>IF($C67="B",VLOOKUP($A67,Bat!$A$4:$BA$1417,47,FALSE),VLOOKUP($A67,Pit!$A$4:$BF$570,56,FALSE))</f>
        <v>0</v>
      </c>
      <c r="V67" s="52">
        <f>IF($C67="B",VLOOKUP($A67,Bat!$A$4:$BA$1417,48,FALSE),VLOOKUP($A67,Pit!$A$4:$BF$570,57,FALSE))</f>
        <v>0</v>
      </c>
      <c r="W67" s="52">
        <f>Table5[[#This Row],[posRnk]]+Table5[[#This Row],[zRnk]]+IF($W$3&lt;&gt;Table5[[#This Row],[Type]],50,0)</f>
        <v>113</v>
      </c>
      <c r="X67" s="53">
        <f>RANK(Table5[[#This Row],[zScore]],Table5[[#All],[zScore]])</f>
        <v>63</v>
      </c>
      <c r="Y67" s="52" t="str">
        <f>IFERROR(INDEX(DraftResults[[#All],[OVR]],MATCH(Table5[[#This Row],[PID]],DraftResults[[#All],[Player ID]],0)),"")</f>
        <v/>
      </c>
      <c r="Z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" s="52" t="str">
        <f>IFERROR(INDEX(DraftResults[[#All],[Pick in Round]],MATCH(Table5[[#This Row],[PID]],DraftResults[[#All],[Player ID]],0)),"")</f>
        <v/>
      </c>
      <c r="AB67" s="52" t="str">
        <f>IFERROR(INDEX(DraftResults[[#All],[Team Name]],MATCH(Table5[[#This Row],[PID]],DraftResults[[#All],[Player ID]],0)),"")</f>
        <v/>
      </c>
      <c r="AC67" s="52" t="str">
        <f>IF(Table5[[#This Row],[Ovr]]="","",IF(Table5[[#This Row],[cmbList]]="","",Table5[[#This Row],[cmbList]]-Table5[[#This Row],[Ovr]]))</f>
        <v/>
      </c>
      <c r="AD67" s="56" t="str">
        <f>IF(ISERROR(VLOOKUP($AB67&amp;"-"&amp;$E67&amp;" "&amp;F67,Bonuses!$B$1:$G$1006,4,FALSE)),"",INT(VLOOKUP($AB67&amp;"-"&amp;$E67&amp;" "&amp;$F67,Bonuses!$B$1:$G$1006,4,FALSE)))</f>
        <v/>
      </c>
      <c r="AE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" spans="1:31" s="52" customFormat="1" x14ac:dyDescent="0.25">
      <c r="A68" s="52">
        <v>13000</v>
      </c>
      <c r="B68" s="52">
        <f>COUNTIF(Table5[PID],A68)</f>
        <v>1</v>
      </c>
      <c r="C68" s="52" t="str">
        <f>IF(COUNTIF(Table3[[#All],[PID]],A68)&gt;0,"P","B")</f>
        <v>P</v>
      </c>
      <c r="D68" s="61" t="str">
        <f>IF($C68="B",INDEX(Batters[[#All],[POS]],MATCH(Table5[[#This Row],[PID]],Batters[[#All],[PID]],0)),INDEX(Table3[[#All],[POS]],MATCH(Table5[[#This Row],[PID]],Table3[[#All],[PID]],0)))</f>
        <v>RP</v>
      </c>
      <c r="E68" s="54" t="str">
        <f>IF($C68="B",INDEX(Batters[[#All],[First]],MATCH(Table5[[#This Row],[PID]],Batters[[#All],[PID]],0)),INDEX(Table3[[#All],[First]],MATCH(Table5[[#This Row],[PID]],Table3[[#All],[PID]],0)))</f>
        <v>Trevor</v>
      </c>
      <c r="F68" s="52" t="str">
        <f>IF($C68="B",INDEX(Batters[[#All],[Last]],MATCH(A68,Batters[[#All],[PID]],0)),INDEX(Table3[[#All],[Last]],MATCH(A68,Table3[[#All],[PID]],0)))</f>
        <v>Ross</v>
      </c>
      <c r="G68" s="58">
        <f>IF($C68="B",INDEX(Batters[[#All],[Age]],MATCH(Table5[[#This Row],[PID]],Batters[[#All],[PID]],0)),INDEX(Table3[[#All],[Age]],MATCH(Table5[[#This Row],[PID]],Table3[[#All],[PID]],0)))</f>
        <v>18</v>
      </c>
      <c r="H68" s="54" t="str">
        <f>IF($C68="B",INDEX(Batters[[#All],[B]],MATCH(Table5[[#This Row],[PID]],Batters[[#All],[PID]],0)),INDEX(Table3[[#All],[B]],MATCH(Table5[[#This Row],[PID]],Table3[[#All],[PID]],0)))</f>
        <v>R</v>
      </c>
      <c r="I68" s="54" t="str">
        <f>IF($C68="B",INDEX(Batters[[#All],[T]],MATCH(Table5[[#This Row],[PID]],Batters[[#All],[PID]],0)),INDEX(Table3[[#All],[T]],MATCH(Table5[[#This Row],[PID]],Table3[[#All],[PID]],0)))</f>
        <v>R</v>
      </c>
      <c r="J68" s="54" t="str">
        <f>IF($C68="B",INDEX(Batters[[#All],[WE]],MATCH(Table5[[#This Row],[PID]],Batters[[#All],[PID]],0)),INDEX(Table3[[#All],[WE]],MATCH(Table5[[#This Row],[PID]],Table3[[#All],[PID]],0)))</f>
        <v>Normal</v>
      </c>
      <c r="K68" s="54" t="str">
        <f>IF($C68="B",INDEX(Batters[[#All],[INT]],MATCH(Table5[[#This Row],[PID]],Batters[[#All],[PID]],0)),INDEX(Table3[[#All],[INT]],MATCH(Table5[[#This Row],[PID]],Table3[[#All],[PID]],0)))</f>
        <v>Low</v>
      </c>
      <c r="L68" s="62">
        <f>IF($C68="B",INDEX(Batters[[#All],[CON P]],MATCH(Table5[[#This Row],[PID]],Batters[[#All],[PID]],0)),INDEX(Table3[[#All],[STU P]],MATCH(Table5[[#This Row],[PID]],Table3[[#All],[PID]],0)))</f>
        <v>5</v>
      </c>
      <c r="M68" s="58">
        <f>IF($C68="B",INDEX(Batters[[#All],[GAP P]],MATCH(Table5[[#This Row],[PID]],Batters[[#All],[PID]],0)),INDEX(Table3[[#All],[MOV P]],MATCH(Table5[[#This Row],[PID]],Table3[[#All],[PID]],0)))</f>
        <v>4</v>
      </c>
      <c r="N68" s="58">
        <f>IF($C68="B",INDEX(Batters[[#All],[POW P]],MATCH(Table5[[#This Row],[PID]],Batters[[#All],[PID]],0)),INDEX(Table3[[#All],[CON P]],MATCH(Table5[[#This Row],[PID]],Table3[[#All],[PID]],0)))</f>
        <v>4</v>
      </c>
      <c r="O68" s="58" t="str">
        <f>IF($C68="B",INDEX(Batters[[#All],[EYE P]],MATCH(Table5[[#This Row],[PID]],Batters[[#All],[PID]],0)),INDEX(Table3[[#All],[VELO]],MATCH(Table5[[#This Row],[PID]],Table3[[#All],[PID]],0)))</f>
        <v>91-93 Mph</v>
      </c>
      <c r="P68" s="58">
        <f>IF($C68="B",INDEX(Batters[[#All],[K P]],MATCH(Table5[[#This Row],[PID]],Batters[[#All],[PID]],0)),INDEX(Table3[[#All],[STM]],MATCH(Table5[[#This Row],[PID]],Table3[[#All],[PID]],0)))</f>
        <v>6</v>
      </c>
      <c r="Q68" s="63">
        <f>IF($C68="B",INDEX(Batters[[#All],[Tot]],MATCH(Table5[[#This Row],[PID]],Batters[[#All],[PID]],0)),INDEX(Table3[[#All],[Tot]],MATCH(Table5[[#This Row],[PID]],Table3[[#All],[PID]],0)))</f>
        <v>51.951921402623441</v>
      </c>
      <c r="R68" s="54">
        <f>IF($C68="B",INDEX(Batters[[#All],[zScore]],MATCH(Table5[[#This Row],[PID]],Batters[[#All],[PID]],0)),INDEX(Table3[[#All],[zScore]],MATCH(Table5[[#This Row],[PID]],Table3[[#All],[PID]],0)))</f>
        <v>1.7634429786424526</v>
      </c>
      <c r="S68" s="60" t="str">
        <f>IF($C68="B",INDEX(Batters[[#All],[DEM]],MATCH(Table5[[#This Row],[PID]],Batters[[#All],[PID]],0)),INDEX(Table3[[#All],[DEM]],MATCH(Table5[[#This Row],[PID]],Table3[[#All],[PID]],0)))</f>
        <v>$95k</v>
      </c>
      <c r="T68" s="64">
        <f>IF($C68="B",VLOOKUP($A68,Bat!$A$4:$AU$1417,46,FALSE),VLOOKUP($A68,Pit!$A$4:$BD$570,55,FALSE))</f>
        <v>0</v>
      </c>
      <c r="U68" s="52">
        <f>IF($C68="B",VLOOKUP($A68,Bat!$A$4:$BA$1417,47,FALSE),VLOOKUP($A68,Pit!$A$4:$BF$570,56,FALSE))</f>
        <v>0</v>
      </c>
      <c r="V68" s="52">
        <f>IF($C68="B",VLOOKUP($A68,Bat!$A$4:$BA$1417,48,FALSE),VLOOKUP($A68,Pit!$A$4:$BF$570,57,FALSE))</f>
        <v>0</v>
      </c>
      <c r="W68" s="52">
        <f>Table5[[#This Row],[posRnk]]+Table5[[#This Row],[zRnk]]+IF($W$3&lt;&gt;Table5[[#This Row],[Type]],50,0)</f>
        <v>114</v>
      </c>
      <c r="X68" s="53">
        <f>RANK(Table5[[#This Row],[zScore]],Table5[[#All],[zScore]])</f>
        <v>64</v>
      </c>
      <c r="Y68" s="52" t="str">
        <f>IFERROR(INDEX(DraftResults[[#All],[OVR]],MATCH(Table5[[#This Row],[PID]],DraftResults[[#All],[Player ID]],0)),"")</f>
        <v/>
      </c>
      <c r="Z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" s="52" t="str">
        <f>IFERROR(INDEX(DraftResults[[#All],[Pick in Round]],MATCH(Table5[[#This Row],[PID]],DraftResults[[#All],[Player ID]],0)),"")</f>
        <v/>
      </c>
      <c r="AB68" s="52" t="str">
        <f>IFERROR(INDEX(DraftResults[[#All],[Team Name]],MATCH(Table5[[#This Row],[PID]],DraftResults[[#All],[Player ID]],0)),"")</f>
        <v/>
      </c>
      <c r="AC68" s="52" t="str">
        <f>IF(Table5[[#This Row],[Ovr]]="","",IF(Table5[[#This Row],[cmbList]]="","",Table5[[#This Row],[cmbList]]-Table5[[#This Row],[Ovr]]))</f>
        <v/>
      </c>
      <c r="AD68" s="56" t="str">
        <f>IF(ISERROR(VLOOKUP($AB68&amp;"-"&amp;$E68&amp;" "&amp;F68,Bonuses!$B$1:$G$1006,4,FALSE)),"",INT(VLOOKUP($AB68&amp;"-"&amp;$E68&amp;" "&amp;$F68,Bonuses!$B$1:$G$1006,4,FALSE)))</f>
        <v/>
      </c>
      <c r="AE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" spans="1:31" s="52" customFormat="1" x14ac:dyDescent="0.25">
      <c r="A69" s="52">
        <v>12805</v>
      </c>
      <c r="B69" s="52">
        <f>COUNTIF(Table5[PID],A69)</f>
        <v>1</v>
      </c>
      <c r="C69" s="52" t="str">
        <f>IF(COUNTIF(Table3[[#All],[PID]],A69)&gt;0,"P","B")</f>
        <v>B</v>
      </c>
      <c r="D69" s="61" t="str">
        <f>IF($C69="B",INDEX(Batters[[#All],[POS]],MATCH(Table5[[#This Row],[PID]],Batters[[#All],[PID]],0)),INDEX(Table3[[#All],[POS]],MATCH(Table5[[#This Row],[PID]],Table3[[#All],[PID]],0)))</f>
        <v>1B</v>
      </c>
      <c r="E69" s="54" t="str">
        <f>IF($C69="B",INDEX(Batters[[#All],[First]],MATCH(Table5[[#This Row],[PID]],Batters[[#All],[PID]],0)),INDEX(Table3[[#All],[First]],MATCH(Table5[[#This Row],[PID]],Table3[[#All],[PID]],0)))</f>
        <v>Larry</v>
      </c>
      <c r="F69" s="52" t="str">
        <f>IF($C69="B",INDEX(Batters[[#All],[Last]],MATCH(A69,Batters[[#All],[PID]],0)),INDEX(Table3[[#All],[Last]],MATCH(A69,Table3[[#All],[PID]],0)))</f>
        <v>Ryan</v>
      </c>
      <c r="G69" s="58">
        <f>IF($C69="B",INDEX(Batters[[#All],[Age]],MATCH(Table5[[#This Row],[PID]],Batters[[#All],[PID]],0)),INDEX(Table3[[#All],[Age]],MATCH(Table5[[#This Row],[PID]],Table3[[#All],[PID]],0)))</f>
        <v>18</v>
      </c>
      <c r="H69" s="54" t="str">
        <f>IF($C69="B",INDEX(Batters[[#All],[B]],MATCH(Table5[[#This Row],[PID]],Batters[[#All],[PID]],0)),INDEX(Table3[[#All],[B]],MATCH(Table5[[#This Row],[PID]],Table3[[#All],[PID]],0)))</f>
        <v>R</v>
      </c>
      <c r="I69" s="54" t="str">
        <f>IF($C69="B",INDEX(Batters[[#All],[T]],MATCH(Table5[[#This Row],[PID]],Batters[[#All],[PID]],0)),INDEX(Table3[[#All],[T]],MATCH(Table5[[#This Row],[PID]],Table3[[#All],[PID]],0)))</f>
        <v>R</v>
      </c>
      <c r="J69" s="54" t="str">
        <f>IF($C69="B",INDEX(Batters[[#All],[WE]],MATCH(Table5[[#This Row],[PID]],Batters[[#All],[PID]],0)),INDEX(Table3[[#All],[WE]],MATCH(Table5[[#This Row],[PID]],Table3[[#All],[PID]],0)))</f>
        <v>Normal</v>
      </c>
      <c r="K69" s="54" t="str">
        <f>IF($C69="B",INDEX(Batters[[#All],[INT]],MATCH(Table5[[#This Row],[PID]],Batters[[#All],[PID]],0)),INDEX(Table3[[#All],[INT]],MATCH(Table5[[#This Row],[PID]],Table3[[#All],[PID]],0)))</f>
        <v>High</v>
      </c>
      <c r="L69" s="62">
        <f>IF($C69="B",INDEX(Batters[[#All],[CON P]],MATCH(Table5[[#This Row],[PID]],Batters[[#All],[PID]],0)),INDEX(Table3[[#All],[STU P]],MATCH(Table5[[#This Row],[PID]],Table3[[#All],[PID]],0)))</f>
        <v>2</v>
      </c>
      <c r="M69" s="58">
        <f>IF($C69="B",INDEX(Batters[[#All],[GAP P]],MATCH(Table5[[#This Row],[PID]],Batters[[#All],[PID]],0)),INDEX(Table3[[#All],[MOV P]],MATCH(Table5[[#This Row],[PID]],Table3[[#All],[PID]],0)))</f>
        <v>6</v>
      </c>
      <c r="N69" s="58">
        <f>IF($C69="B",INDEX(Batters[[#All],[POW P]],MATCH(Table5[[#This Row],[PID]],Batters[[#All],[PID]],0)),INDEX(Table3[[#All],[CON P]],MATCH(Table5[[#This Row],[PID]],Table3[[#All],[PID]],0)))</f>
        <v>6</v>
      </c>
      <c r="O69" s="58">
        <f>IF($C69="B",INDEX(Batters[[#All],[EYE P]],MATCH(Table5[[#This Row],[PID]],Batters[[#All],[PID]],0)),INDEX(Table3[[#All],[VELO]],MATCH(Table5[[#This Row],[PID]],Table3[[#All],[PID]],0)))</f>
        <v>3</v>
      </c>
      <c r="P69" s="58">
        <f>IF($C69="B",INDEX(Batters[[#All],[K P]],MATCH(Table5[[#This Row],[PID]],Batters[[#All],[PID]],0)),INDEX(Table3[[#All],[STM]],MATCH(Table5[[#This Row],[PID]],Table3[[#All],[PID]],0)))</f>
        <v>2</v>
      </c>
      <c r="Q69" s="63">
        <f>IF($C69="B",INDEX(Batters[[#All],[Tot]],MATCH(Table5[[#This Row],[PID]],Batters[[#All],[PID]],0)),INDEX(Table3[[#All],[Tot]],MATCH(Table5[[#This Row],[PID]],Table3[[#All],[PID]],0)))</f>
        <v>50.3</v>
      </c>
      <c r="R69" s="54">
        <f>IF($C69="B",INDEX(Batters[[#All],[zScore]],MATCH(Table5[[#This Row],[PID]],Batters[[#All],[PID]],0)),INDEX(Table3[[#All],[zScore]],MATCH(Table5[[#This Row],[PID]],Table3[[#All],[PID]],0)))</f>
        <v>1.7509447349637111</v>
      </c>
      <c r="S69" s="60" t="str">
        <f>IF($C69="B",INDEX(Batters[[#All],[DEM]],MATCH(Table5[[#This Row],[PID]],Batters[[#All],[PID]],0)),INDEX(Table3[[#All],[DEM]],MATCH(Table5[[#This Row],[PID]],Table3[[#All],[PID]],0)))</f>
        <v>$200k</v>
      </c>
      <c r="T69" s="64">
        <f>IF($C69="B",VLOOKUP($A69,Bat!$A$4:$AU$1417,46,FALSE),VLOOKUP($A69,Pit!$A$4:$BD$570,55,FALSE))</f>
        <v>0</v>
      </c>
      <c r="U69" s="52">
        <f>IF($C69="B",VLOOKUP($A69,Bat!$A$4:$BA$1417,47,FALSE),VLOOKUP($A69,Pit!$A$4:$BF$570,56,FALSE))</f>
        <v>0</v>
      </c>
      <c r="V69" s="52">
        <f>IF($C69="B",VLOOKUP($A69,Bat!$A$4:$BA$1417,48,FALSE),VLOOKUP($A69,Pit!$A$4:$BF$570,57,FALSE))</f>
        <v>0</v>
      </c>
      <c r="W69" s="52">
        <f>Table5[[#This Row],[posRnk]]+Table5[[#This Row],[zRnk]]+IF($W$3&lt;&gt;Table5[[#This Row],[Type]],50,0)</f>
        <v>115</v>
      </c>
      <c r="X69" s="53">
        <f>RANK(Table5[[#This Row],[zScore]],Table5[[#All],[zScore]])</f>
        <v>65</v>
      </c>
      <c r="Y69" s="52" t="str">
        <f>IFERROR(INDEX(DraftResults[[#All],[OVR]],MATCH(Table5[[#This Row],[PID]],DraftResults[[#All],[Player ID]],0)),"")</f>
        <v/>
      </c>
      <c r="Z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" s="52" t="str">
        <f>IFERROR(INDEX(DraftResults[[#All],[Pick in Round]],MATCH(Table5[[#This Row],[PID]],DraftResults[[#All],[Player ID]],0)),"")</f>
        <v/>
      </c>
      <c r="AB69" s="52" t="str">
        <f>IFERROR(INDEX(DraftResults[[#All],[Team Name]],MATCH(Table5[[#This Row],[PID]],DraftResults[[#All],[Player ID]],0)),"")</f>
        <v/>
      </c>
      <c r="AC69" s="52" t="str">
        <f>IF(Table5[[#This Row],[Ovr]]="","",IF(Table5[[#This Row],[cmbList]]="","",Table5[[#This Row],[cmbList]]-Table5[[#This Row],[Ovr]]))</f>
        <v/>
      </c>
      <c r="AD69" s="56" t="str">
        <f>IF(ISERROR(VLOOKUP($AB69&amp;"-"&amp;$E69&amp;" "&amp;F69,Bonuses!$B$1:$G$1006,4,FALSE)),"",INT(VLOOKUP($AB69&amp;"-"&amp;$E69&amp;" "&amp;$F69,Bonuses!$B$1:$G$1006,4,FALSE)))</f>
        <v/>
      </c>
      <c r="AE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" spans="1:31" s="52" customFormat="1" x14ac:dyDescent="0.25">
      <c r="A70" s="52">
        <v>11034</v>
      </c>
      <c r="B70" s="52">
        <f>COUNTIF(Table5[PID],A70)</f>
        <v>1</v>
      </c>
      <c r="C70" s="52" t="str">
        <f>IF(COUNTIF(Table3[[#All],[PID]],A70)&gt;0,"P","B")</f>
        <v>B</v>
      </c>
      <c r="D70" s="61" t="str">
        <f>IF($C70="B",INDEX(Batters[[#All],[POS]],MATCH(Table5[[#This Row],[PID]],Batters[[#All],[PID]],0)),INDEX(Table3[[#All],[POS]],MATCH(Table5[[#This Row],[PID]],Table3[[#All],[PID]],0)))</f>
        <v>1B</v>
      </c>
      <c r="E70" s="54" t="str">
        <f>IF($C70="B",INDEX(Batters[[#All],[First]],MATCH(Table5[[#This Row],[PID]],Batters[[#All],[PID]],0)),INDEX(Table3[[#All],[First]],MATCH(Table5[[#This Row],[PID]],Table3[[#All],[PID]],0)))</f>
        <v>Raúl</v>
      </c>
      <c r="F70" s="52" t="str">
        <f>IF($C70="B",INDEX(Batters[[#All],[Last]],MATCH(A70,Batters[[#All],[PID]],0)),INDEX(Table3[[#All],[Last]],MATCH(A70,Table3[[#All],[PID]],0)))</f>
        <v>Sosa</v>
      </c>
      <c r="G70" s="58">
        <f>IF($C70="B",INDEX(Batters[[#All],[Age]],MATCH(Table5[[#This Row],[PID]],Batters[[#All],[PID]],0)),INDEX(Table3[[#All],[Age]],MATCH(Table5[[#This Row],[PID]],Table3[[#All],[PID]],0)))</f>
        <v>18</v>
      </c>
      <c r="H70" s="54" t="str">
        <f>IF($C70="B",INDEX(Batters[[#All],[B]],MATCH(Table5[[#This Row],[PID]],Batters[[#All],[PID]],0)),INDEX(Table3[[#All],[B]],MATCH(Table5[[#This Row],[PID]],Table3[[#All],[PID]],0)))</f>
        <v>R</v>
      </c>
      <c r="I70" s="54" t="str">
        <f>IF($C70="B",INDEX(Batters[[#All],[T]],MATCH(Table5[[#This Row],[PID]],Batters[[#All],[PID]],0)),INDEX(Table3[[#All],[T]],MATCH(Table5[[#This Row],[PID]],Table3[[#All],[PID]],0)))</f>
        <v>R</v>
      </c>
      <c r="J70" s="54" t="str">
        <f>IF($C70="B",INDEX(Batters[[#All],[WE]],MATCH(Table5[[#This Row],[PID]],Batters[[#All],[PID]],0)),INDEX(Table3[[#All],[WE]],MATCH(Table5[[#This Row],[PID]],Table3[[#All],[PID]],0)))</f>
        <v>High</v>
      </c>
      <c r="K70" s="54" t="str">
        <f>IF($C70="B",INDEX(Batters[[#All],[INT]],MATCH(Table5[[#This Row],[PID]],Batters[[#All],[PID]],0)),INDEX(Table3[[#All],[INT]],MATCH(Table5[[#This Row],[PID]],Table3[[#All],[PID]],0)))</f>
        <v>Normal</v>
      </c>
      <c r="L70" s="62">
        <f>IF($C70="B",INDEX(Batters[[#All],[CON P]],MATCH(Table5[[#This Row],[PID]],Batters[[#All],[PID]],0)),INDEX(Table3[[#All],[STU P]],MATCH(Table5[[#This Row],[PID]],Table3[[#All],[PID]],0)))</f>
        <v>2</v>
      </c>
      <c r="M70" s="58">
        <f>IF($C70="B",INDEX(Batters[[#All],[GAP P]],MATCH(Table5[[#This Row],[PID]],Batters[[#All],[PID]],0)),INDEX(Table3[[#All],[MOV P]],MATCH(Table5[[#This Row],[PID]],Table3[[#All],[PID]],0)))</f>
        <v>1</v>
      </c>
      <c r="N70" s="58">
        <f>IF($C70="B",INDEX(Batters[[#All],[POW P]],MATCH(Table5[[#This Row],[PID]],Batters[[#All],[PID]],0)),INDEX(Table3[[#All],[CON P]],MATCH(Table5[[#This Row],[PID]],Table3[[#All],[PID]],0)))</f>
        <v>3</v>
      </c>
      <c r="O70" s="58">
        <f>IF($C70="B",INDEX(Batters[[#All],[EYE P]],MATCH(Table5[[#This Row],[PID]],Batters[[#All],[PID]],0)),INDEX(Table3[[#All],[VELO]],MATCH(Table5[[#This Row],[PID]],Table3[[#All],[PID]],0)))</f>
        <v>4</v>
      </c>
      <c r="P70" s="58">
        <f>IF($C70="B",INDEX(Batters[[#All],[K P]],MATCH(Table5[[#This Row],[PID]],Batters[[#All],[PID]],0)),INDEX(Table3[[#All],[STM]],MATCH(Table5[[#This Row],[PID]],Table3[[#All],[PID]],0)))</f>
        <v>2</v>
      </c>
      <c r="Q70" s="63">
        <f>IF($C70="B",INDEX(Batters[[#All],[Tot]],MATCH(Table5[[#This Row],[PID]],Batters[[#All],[PID]],0)),INDEX(Table3[[#All],[Tot]],MATCH(Table5[[#This Row],[PID]],Table3[[#All],[PID]],0)))</f>
        <v>50.3</v>
      </c>
      <c r="R70" s="54">
        <f>IF($C70="B",INDEX(Batters[[#All],[zScore]],MATCH(Table5[[#This Row],[PID]],Batters[[#All],[PID]],0)),INDEX(Table3[[#All],[zScore]],MATCH(Table5[[#This Row],[PID]],Table3[[#All],[PID]],0)))</f>
        <v>1.7509447349637111</v>
      </c>
      <c r="S70" s="60" t="str">
        <f>IF($C70="B",INDEX(Batters[[#All],[DEM]],MATCH(Table5[[#This Row],[PID]],Batters[[#All],[PID]],0)),INDEX(Table3[[#All],[DEM]],MATCH(Table5[[#This Row],[PID]],Table3[[#All],[PID]],0)))</f>
        <v>$65k</v>
      </c>
      <c r="T70" s="64">
        <f>IF($C70="B",VLOOKUP($A70,Bat!$A$4:$AU$1417,46,FALSE),VLOOKUP($A70,Pit!$A$4:$BD$570,55,FALSE))</f>
        <v>0</v>
      </c>
      <c r="U70" s="52">
        <f>IF($C70="B",VLOOKUP($A70,Bat!$A$4:$BA$1417,47,FALSE),VLOOKUP($A70,Pit!$A$4:$BF$570,56,FALSE))</f>
        <v>0</v>
      </c>
      <c r="V70" s="52">
        <f>IF($C70="B",VLOOKUP($A70,Bat!$A$4:$BA$1417,48,FALSE),VLOOKUP($A70,Pit!$A$4:$BF$570,57,FALSE))</f>
        <v>0</v>
      </c>
      <c r="W70" s="52">
        <f>Table5[[#This Row],[posRnk]]+Table5[[#This Row],[zRnk]]+IF($W$3&lt;&gt;Table5[[#This Row],[Type]],50,0)</f>
        <v>115</v>
      </c>
      <c r="X70" s="53">
        <f>RANK(Table5[[#This Row],[zScore]],Table5[[#All],[zScore]])</f>
        <v>65</v>
      </c>
      <c r="Y70" s="52" t="str">
        <f>IFERROR(INDEX(DraftResults[[#All],[OVR]],MATCH(Table5[[#This Row],[PID]],DraftResults[[#All],[Player ID]],0)),"")</f>
        <v/>
      </c>
      <c r="Z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" s="52" t="str">
        <f>IFERROR(INDEX(DraftResults[[#All],[Pick in Round]],MATCH(Table5[[#This Row],[PID]],DraftResults[[#All],[Player ID]],0)),"")</f>
        <v/>
      </c>
      <c r="AB70" s="52" t="str">
        <f>IFERROR(INDEX(DraftResults[[#All],[Team Name]],MATCH(Table5[[#This Row],[PID]],DraftResults[[#All],[Player ID]],0)),"")</f>
        <v/>
      </c>
      <c r="AC70" s="52" t="str">
        <f>IF(Table5[[#This Row],[Ovr]]="","",IF(Table5[[#This Row],[cmbList]]="","",Table5[[#This Row],[cmbList]]-Table5[[#This Row],[Ovr]]))</f>
        <v/>
      </c>
      <c r="AD70" s="56" t="str">
        <f>IF(ISERROR(VLOOKUP($AB70&amp;"-"&amp;$E70&amp;" "&amp;F70,Bonuses!$B$1:$G$1006,4,FALSE)),"",INT(VLOOKUP($AB70&amp;"-"&amp;$E70&amp;" "&amp;$F70,Bonuses!$B$1:$G$1006,4,FALSE)))</f>
        <v/>
      </c>
      <c r="AE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" spans="1:31" s="52" customFormat="1" x14ac:dyDescent="0.25">
      <c r="A71" s="52">
        <v>10763</v>
      </c>
      <c r="B71" s="52">
        <f>COUNTIF(Table5[PID],A71)</f>
        <v>1</v>
      </c>
      <c r="C71" s="52" t="str">
        <f>IF(COUNTIF(Table3[[#All],[PID]],A71)&gt;0,"P","B")</f>
        <v>B</v>
      </c>
      <c r="D71" s="61" t="str">
        <f>IF($C71="B",INDEX(Batters[[#All],[POS]],MATCH(Table5[[#This Row],[PID]],Batters[[#All],[PID]],0)),INDEX(Table3[[#All],[POS]],MATCH(Table5[[#This Row],[PID]],Table3[[#All],[PID]],0)))</f>
        <v>1B</v>
      </c>
      <c r="E71" s="54" t="str">
        <f>IF($C71="B",INDEX(Batters[[#All],[First]],MATCH(Table5[[#This Row],[PID]],Batters[[#All],[PID]],0)),INDEX(Table3[[#All],[First]],MATCH(Table5[[#This Row],[PID]],Table3[[#All],[PID]],0)))</f>
        <v>Horiuchi</v>
      </c>
      <c r="F71" s="52" t="str">
        <f>IF($C71="B",INDEX(Batters[[#All],[Last]],MATCH(A71,Batters[[#All],[PID]],0)),INDEX(Table3[[#All],[Last]],MATCH(A71,Table3[[#All],[PID]],0)))</f>
        <v>Suzuki</v>
      </c>
      <c r="G71" s="58">
        <f>IF($C71="B",INDEX(Batters[[#All],[Age]],MATCH(Table5[[#This Row],[PID]],Batters[[#All],[PID]],0)),INDEX(Table3[[#All],[Age]],MATCH(Table5[[#This Row],[PID]],Table3[[#All],[PID]],0)))</f>
        <v>18</v>
      </c>
      <c r="H71" s="54" t="str">
        <f>IF($C71="B",INDEX(Batters[[#All],[B]],MATCH(Table5[[#This Row],[PID]],Batters[[#All],[PID]],0)),INDEX(Table3[[#All],[B]],MATCH(Table5[[#This Row],[PID]],Table3[[#All],[PID]],0)))</f>
        <v>R</v>
      </c>
      <c r="I71" s="54" t="str">
        <f>IF($C71="B",INDEX(Batters[[#All],[T]],MATCH(Table5[[#This Row],[PID]],Batters[[#All],[PID]],0)),INDEX(Table3[[#All],[T]],MATCH(Table5[[#This Row],[PID]],Table3[[#All],[PID]],0)))</f>
        <v>R</v>
      </c>
      <c r="J71" s="54" t="str">
        <f>IF($C71="B",INDEX(Batters[[#All],[WE]],MATCH(Table5[[#This Row],[PID]],Batters[[#All],[PID]],0)),INDEX(Table3[[#All],[WE]],MATCH(Table5[[#This Row],[PID]],Table3[[#All],[PID]],0)))</f>
        <v>Normal</v>
      </c>
      <c r="K71" s="54" t="str">
        <f>IF($C71="B",INDEX(Batters[[#All],[INT]],MATCH(Table5[[#This Row],[PID]],Batters[[#All],[PID]],0)),INDEX(Table3[[#All],[INT]],MATCH(Table5[[#This Row],[PID]],Table3[[#All],[PID]],0)))</f>
        <v>High</v>
      </c>
      <c r="L71" s="62">
        <f>IF($C71="B",INDEX(Batters[[#All],[CON P]],MATCH(Table5[[#This Row],[PID]],Batters[[#All],[PID]],0)),INDEX(Table3[[#All],[STU P]],MATCH(Table5[[#This Row],[PID]],Table3[[#All],[PID]],0)))</f>
        <v>2</v>
      </c>
      <c r="M71" s="58">
        <f>IF($C71="B",INDEX(Batters[[#All],[GAP P]],MATCH(Table5[[#This Row],[PID]],Batters[[#All],[PID]],0)),INDEX(Table3[[#All],[MOV P]],MATCH(Table5[[#This Row],[PID]],Table3[[#All],[PID]],0)))</f>
        <v>2</v>
      </c>
      <c r="N71" s="58">
        <f>IF($C71="B",INDEX(Batters[[#All],[POW P]],MATCH(Table5[[#This Row],[PID]],Batters[[#All],[PID]],0)),INDEX(Table3[[#All],[CON P]],MATCH(Table5[[#This Row],[PID]],Table3[[#All],[PID]],0)))</f>
        <v>2</v>
      </c>
      <c r="O71" s="58">
        <f>IF($C71="B",INDEX(Batters[[#All],[EYE P]],MATCH(Table5[[#This Row],[PID]],Batters[[#All],[PID]],0)),INDEX(Table3[[#All],[VELO]],MATCH(Table5[[#This Row],[PID]],Table3[[#All],[PID]],0)))</f>
        <v>2</v>
      </c>
      <c r="P71" s="58">
        <f>IF($C71="B",INDEX(Batters[[#All],[K P]],MATCH(Table5[[#This Row],[PID]],Batters[[#All],[PID]],0)),INDEX(Table3[[#All],[STM]],MATCH(Table5[[#This Row],[PID]],Table3[[#All],[PID]],0)))</f>
        <v>4</v>
      </c>
      <c r="Q71" s="63">
        <f>IF($C71="B",INDEX(Batters[[#All],[Tot]],MATCH(Table5[[#This Row],[PID]],Batters[[#All],[PID]],0)),INDEX(Table3[[#All],[Tot]],MATCH(Table5[[#This Row],[PID]],Table3[[#All],[PID]],0)))</f>
        <v>50.3</v>
      </c>
      <c r="R71" s="54">
        <f>IF($C71="B",INDEX(Batters[[#All],[zScore]],MATCH(Table5[[#This Row],[PID]],Batters[[#All],[PID]],0)),INDEX(Table3[[#All],[zScore]],MATCH(Table5[[#This Row],[PID]],Table3[[#All],[PID]],0)))</f>
        <v>1.7509447349637111</v>
      </c>
      <c r="S71" s="60" t="str">
        <f>IF($C71="B",INDEX(Batters[[#All],[DEM]],MATCH(Table5[[#This Row],[PID]],Batters[[#All],[PID]],0)),INDEX(Table3[[#All],[DEM]],MATCH(Table5[[#This Row],[PID]],Table3[[#All],[PID]],0)))</f>
        <v>$2.2m</v>
      </c>
      <c r="T71" s="64">
        <f>IF($C71="B",VLOOKUP($A71,Bat!$A$4:$AU$1417,46,FALSE),VLOOKUP($A71,Pit!$A$4:$BD$570,55,FALSE))</f>
        <v>0</v>
      </c>
      <c r="U71" s="52">
        <f>IF($C71="B",VLOOKUP($A71,Bat!$A$4:$BA$1417,47,FALSE),VLOOKUP($A71,Pit!$A$4:$BF$570,56,FALSE))</f>
        <v>0</v>
      </c>
      <c r="V71" s="52">
        <f>IF($C71="B",VLOOKUP($A71,Bat!$A$4:$BA$1417,48,FALSE),VLOOKUP($A71,Pit!$A$4:$BF$570,57,FALSE))</f>
        <v>0</v>
      </c>
      <c r="W71" s="52">
        <f>Table5[[#This Row],[posRnk]]+Table5[[#This Row],[zRnk]]+IF($W$3&lt;&gt;Table5[[#This Row],[Type]],50,0)</f>
        <v>115</v>
      </c>
      <c r="X71" s="53">
        <f>RANK(Table5[[#This Row],[zScore]],Table5[[#All],[zScore]])</f>
        <v>65</v>
      </c>
      <c r="Y71" s="52" t="str">
        <f>IFERROR(INDEX(DraftResults[[#All],[OVR]],MATCH(Table5[[#This Row],[PID]],DraftResults[[#All],[Player ID]],0)),"")</f>
        <v/>
      </c>
      <c r="Z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" s="52" t="str">
        <f>IFERROR(INDEX(DraftResults[[#All],[Pick in Round]],MATCH(Table5[[#This Row],[PID]],DraftResults[[#All],[Player ID]],0)),"")</f>
        <v/>
      </c>
      <c r="AB71" s="52" t="str">
        <f>IFERROR(INDEX(DraftResults[[#All],[Team Name]],MATCH(Table5[[#This Row],[PID]],DraftResults[[#All],[Player ID]],0)),"")</f>
        <v/>
      </c>
      <c r="AC71" s="52" t="str">
        <f>IF(Table5[[#This Row],[Ovr]]="","",IF(Table5[[#This Row],[cmbList]]="","",Table5[[#This Row],[cmbList]]-Table5[[#This Row],[Ovr]]))</f>
        <v/>
      </c>
      <c r="AD71" s="56" t="str">
        <f>IF(ISERROR(VLOOKUP($AB71&amp;"-"&amp;$E71&amp;" "&amp;F71,Bonuses!$B$1:$G$1006,4,FALSE)),"",INT(VLOOKUP($AB71&amp;"-"&amp;$E71&amp;" "&amp;$F71,Bonuses!$B$1:$G$1006,4,FALSE)))</f>
        <v/>
      </c>
      <c r="AE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" spans="1:31" s="52" customFormat="1" x14ac:dyDescent="0.25">
      <c r="A72" s="52">
        <v>7463</v>
      </c>
      <c r="B72" s="52">
        <f>COUNTIF(Table5[PID],A72)</f>
        <v>1</v>
      </c>
      <c r="C72" s="52" t="str">
        <f>IF(COUNTIF(Table3[[#All],[PID]],A72)&gt;0,"P","B")</f>
        <v>B</v>
      </c>
      <c r="D72" s="61" t="str">
        <f>IF($C72="B",INDEX(Batters[[#All],[POS]],MATCH(Table5[[#This Row],[PID]],Batters[[#All],[PID]],0)),INDEX(Table3[[#All],[POS]],MATCH(Table5[[#This Row],[PID]],Table3[[#All],[PID]],0)))</f>
        <v>3B</v>
      </c>
      <c r="E72" s="54" t="str">
        <f>IF($C72="B",INDEX(Batters[[#All],[First]],MATCH(Table5[[#This Row],[PID]],Batters[[#All],[PID]],0)),INDEX(Table3[[#All],[First]],MATCH(Table5[[#This Row],[PID]],Table3[[#All],[PID]],0)))</f>
        <v>Frank</v>
      </c>
      <c r="F72" s="52" t="str">
        <f>IF($C72="B",INDEX(Batters[[#All],[Last]],MATCH(A72,Batters[[#All],[PID]],0)),INDEX(Table3[[#All],[Last]],MATCH(A72,Table3[[#All],[PID]],0)))</f>
        <v>Smith</v>
      </c>
      <c r="G72" s="58">
        <f>IF($C72="B",INDEX(Batters[[#All],[Age]],MATCH(Table5[[#This Row],[PID]],Batters[[#All],[PID]],0)),INDEX(Table3[[#All],[Age]],MATCH(Table5[[#This Row],[PID]],Table3[[#All],[PID]],0)))</f>
        <v>18</v>
      </c>
      <c r="H72" s="54" t="str">
        <f>IF($C72="B",INDEX(Batters[[#All],[B]],MATCH(Table5[[#This Row],[PID]],Batters[[#All],[PID]],0)),INDEX(Table3[[#All],[B]],MATCH(Table5[[#This Row],[PID]],Table3[[#All],[PID]],0)))</f>
        <v>R</v>
      </c>
      <c r="I72" s="54" t="str">
        <f>IF($C72="B",INDEX(Batters[[#All],[T]],MATCH(Table5[[#This Row],[PID]],Batters[[#All],[PID]],0)),INDEX(Table3[[#All],[T]],MATCH(Table5[[#This Row],[PID]],Table3[[#All],[PID]],0)))</f>
        <v>R</v>
      </c>
      <c r="J72" s="54" t="str">
        <f>IF($C72="B",INDEX(Batters[[#All],[WE]],MATCH(Table5[[#This Row],[PID]],Batters[[#All],[PID]],0)),INDEX(Table3[[#All],[WE]],MATCH(Table5[[#This Row],[PID]],Table3[[#All],[PID]],0)))</f>
        <v>High</v>
      </c>
      <c r="K72" s="54" t="str">
        <f>IF($C72="B",INDEX(Batters[[#All],[INT]],MATCH(Table5[[#This Row],[PID]],Batters[[#All],[PID]],0)),INDEX(Table3[[#All],[INT]],MATCH(Table5[[#This Row],[PID]],Table3[[#All],[PID]],0)))</f>
        <v>Normal</v>
      </c>
      <c r="L72" s="62">
        <f>IF($C72="B",INDEX(Batters[[#All],[CON P]],MATCH(Table5[[#This Row],[PID]],Batters[[#All],[PID]],0)),INDEX(Table3[[#All],[STU P]],MATCH(Table5[[#This Row],[PID]],Table3[[#All],[PID]],0)))</f>
        <v>2</v>
      </c>
      <c r="M72" s="58">
        <f>IF($C72="B",INDEX(Batters[[#All],[GAP P]],MATCH(Table5[[#This Row],[PID]],Batters[[#All],[PID]],0)),INDEX(Table3[[#All],[MOV P]],MATCH(Table5[[#This Row],[PID]],Table3[[#All],[PID]],0)))</f>
        <v>4</v>
      </c>
      <c r="N72" s="58">
        <f>IF($C72="B",INDEX(Batters[[#All],[POW P]],MATCH(Table5[[#This Row],[PID]],Batters[[#All],[PID]],0)),INDEX(Table3[[#All],[CON P]],MATCH(Table5[[#This Row],[PID]],Table3[[#All],[PID]],0)))</f>
        <v>3</v>
      </c>
      <c r="O72" s="58">
        <f>IF($C72="B",INDEX(Batters[[#All],[EYE P]],MATCH(Table5[[#This Row],[PID]],Batters[[#All],[PID]],0)),INDEX(Table3[[#All],[VELO]],MATCH(Table5[[#This Row],[PID]],Table3[[#All],[PID]],0)))</f>
        <v>4</v>
      </c>
      <c r="P72" s="58">
        <f>IF($C72="B",INDEX(Batters[[#All],[K P]],MATCH(Table5[[#This Row],[PID]],Batters[[#All],[PID]],0)),INDEX(Table3[[#All],[STM]],MATCH(Table5[[#This Row],[PID]],Table3[[#All],[PID]],0)))</f>
        <v>4</v>
      </c>
      <c r="Q72" s="63">
        <f>IF($C72="B",INDEX(Batters[[#All],[Tot]],MATCH(Table5[[#This Row],[PID]],Batters[[#All],[PID]],0)),INDEX(Table3[[#All],[Tot]],MATCH(Table5[[#This Row],[PID]],Table3[[#All],[PID]],0)))</f>
        <v>50.3</v>
      </c>
      <c r="R72" s="54">
        <f>IF($C72="B",INDEX(Batters[[#All],[zScore]],MATCH(Table5[[#This Row],[PID]],Batters[[#All],[PID]],0)),INDEX(Table3[[#All],[zScore]],MATCH(Table5[[#This Row],[PID]],Table3[[#All],[PID]],0)))</f>
        <v>1.7509447349637111</v>
      </c>
      <c r="S72" s="60" t="str">
        <f>IF($C72="B",INDEX(Batters[[#All],[DEM]],MATCH(Table5[[#This Row],[PID]],Batters[[#All],[PID]],0)),INDEX(Table3[[#All],[DEM]],MATCH(Table5[[#This Row],[PID]],Table3[[#All],[PID]],0)))</f>
        <v>$65k</v>
      </c>
      <c r="T72" s="64">
        <f>IF($C72="B",VLOOKUP($A72,Bat!$A$4:$AU$1417,46,FALSE),VLOOKUP($A72,Pit!$A$4:$BD$570,55,FALSE))</f>
        <v>0</v>
      </c>
      <c r="U72" s="52">
        <f>IF($C72="B",VLOOKUP($A72,Bat!$A$4:$BA$1417,47,FALSE),VLOOKUP($A72,Pit!$A$4:$BF$570,56,FALSE))</f>
        <v>0</v>
      </c>
      <c r="V72" s="52">
        <f>IF($C72="B",VLOOKUP($A72,Bat!$A$4:$BA$1417,48,FALSE),VLOOKUP($A72,Pit!$A$4:$BF$570,57,FALSE))</f>
        <v>0</v>
      </c>
      <c r="W72" s="52">
        <f>Table5[[#This Row],[posRnk]]+Table5[[#This Row],[zRnk]]+IF($W$3&lt;&gt;Table5[[#This Row],[Type]],50,0)</f>
        <v>115</v>
      </c>
      <c r="X72" s="53">
        <f>RANK(Table5[[#This Row],[zScore]],Table5[[#All],[zScore]])</f>
        <v>65</v>
      </c>
      <c r="Y72" s="52" t="str">
        <f>IFERROR(INDEX(DraftResults[[#All],[OVR]],MATCH(Table5[[#This Row],[PID]],DraftResults[[#All],[Player ID]],0)),"")</f>
        <v/>
      </c>
      <c r="Z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" s="52" t="str">
        <f>IFERROR(INDEX(DraftResults[[#All],[Pick in Round]],MATCH(Table5[[#This Row],[PID]],DraftResults[[#All],[Player ID]],0)),"")</f>
        <v/>
      </c>
      <c r="AB72" s="52" t="str">
        <f>IFERROR(INDEX(DraftResults[[#All],[Team Name]],MATCH(Table5[[#This Row],[PID]],DraftResults[[#All],[Player ID]],0)),"")</f>
        <v/>
      </c>
      <c r="AC72" s="52" t="str">
        <f>IF(Table5[[#This Row],[Ovr]]="","",IF(Table5[[#This Row],[cmbList]]="","",Table5[[#This Row],[cmbList]]-Table5[[#This Row],[Ovr]]))</f>
        <v/>
      </c>
      <c r="AD72" s="56" t="str">
        <f>IF(ISERROR(VLOOKUP($AB72&amp;"-"&amp;$E72&amp;" "&amp;F72,Bonuses!$B$1:$G$1006,4,FALSE)),"",INT(VLOOKUP($AB72&amp;"-"&amp;$E72&amp;" "&amp;$F72,Bonuses!$B$1:$G$1006,4,FALSE)))</f>
        <v/>
      </c>
      <c r="AE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" spans="1:31" s="52" customFormat="1" x14ac:dyDescent="0.25">
      <c r="A73" s="52">
        <v>9111</v>
      </c>
      <c r="B73" s="52">
        <f>COUNTIF(Table5[PID],A73)</f>
        <v>1</v>
      </c>
      <c r="C73" s="52" t="str">
        <f>IF(COUNTIF(Table3[[#All],[PID]],A73)&gt;0,"P","B")</f>
        <v>B</v>
      </c>
      <c r="D73" s="61" t="str">
        <f>IF($C73="B",INDEX(Batters[[#All],[POS]],MATCH(Table5[[#This Row],[PID]],Batters[[#All],[PID]],0)),INDEX(Table3[[#All],[POS]],MATCH(Table5[[#This Row],[PID]],Table3[[#All],[PID]],0)))</f>
        <v>C</v>
      </c>
      <c r="E73" s="54" t="str">
        <f>IF($C73="B",INDEX(Batters[[#All],[First]],MATCH(Table5[[#This Row],[PID]],Batters[[#All],[PID]],0)),INDEX(Table3[[#All],[First]],MATCH(Table5[[#This Row],[PID]],Table3[[#All],[PID]],0)))</f>
        <v>Roberto</v>
      </c>
      <c r="F73" s="52" t="str">
        <f>IF($C73="B",INDEX(Batters[[#All],[Last]],MATCH(A73,Batters[[#All],[PID]],0)),INDEX(Table3[[#All],[Last]],MATCH(A73,Table3[[#All],[PID]],0)))</f>
        <v>Rodríguez</v>
      </c>
      <c r="G73" s="58">
        <f>IF($C73="B",INDEX(Batters[[#All],[Age]],MATCH(Table5[[#This Row],[PID]],Batters[[#All],[PID]],0)),INDEX(Table3[[#All],[Age]],MATCH(Table5[[#This Row],[PID]],Table3[[#All],[PID]],0)))</f>
        <v>18</v>
      </c>
      <c r="H73" s="54" t="str">
        <f>IF($C73="B",INDEX(Batters[[#All],[B]],MATCH(Table5[[#This Row],[PID]],Batters[[#All],[PID]],0)),INDEX(Table3[[#All],[B]],MATCH(Table5[[#This Row],[PID]],Table3[[#All],[PID]],0)))</f>
        <v>R</v>
      </c>
      <c r="I73" s="54" t="str">
        <f>IF($C73="B",INDEX(Batters[[#All],[T]],MATCH(Table5[[#This Row],[PID]],Batters[[#All],[PID]],0)),INDEX(Table3[[#All],[T]],MATCH(Table5[[#This Row],[PID]],Table3[[#All],[PID]],0)))</f>
        <v>R</v>
      </c>
      <c r="J73" s="54" t="str">
        <f>IF($C73="B",INDEX(Batters[[#All],[WE]],MATCH(Table5[[#This Row],[PID]],Batters[[#All],[PID]],0)),INDEX(Table3[[#All],[WE]],MATCH(Table5[[#This Row],[PID]],Table3[[#All],[PID]],0)))</f>
        <v>High</v>
      </c>
      <c r="K73" s="54" t="str">
        <f>IF($C73="B",INDEX(Batters[[#All],[INT]],MATCH(Table5[[#This Row],[PID]],Batters[[#All],[PID]],0)),INDEX(Table3[[#All],[INT]],MATCH(Table5[[#This Row],[PID]],Table3[[#All],[PID]],0)))</f>
        <v>Normal</v>
      </c>
      <c r="L73" s="62">
        <f>IF($C73="B",INDEX(Batters[[#All],[CON P]],MATCH(Table5[[#This Row],[PID]],Batters[[#All],[PID]],0)),INDEX(Table3[[#All],[STU P]],MATCH(Table5[[#This Row],[PID]],Table3[[#All],[PID]],0)))</f>
        <v>2</v>
      </c>
      <c r="M73" s="58">
        <f>IF($C73="B",INDEX(Batters[[#All],[GAP P]],MATCH(Table5[[#This Row],[PID]],Batters[[#All],[PID]],0)),INDEX(Table3[[#All],[MOV P]],MATCH(Table5[[#This Row],[PID]],Table3[[#All],[PID]],0)))</f>
        <v>3</v>
      </c>
      <c r="N73" s="58">
        <f>IF($C73="B",INDEX(Batters[[#All],[POW P]],MATCH(Table5[[#This Row],[PID]],Batters[[#All],[PID]],0)),INDEX(Table3[[#All],[CON P]],MATCH(Table5[[#This Row],[PID]],Table3[[#All],[PID]],0)))</f>
        <v>5</v>
      </c>
      <c r="O73" s="58">
        <f>IF($C73="B",INDEX(Batters[[#All],[EYE P]],MATCH(Table5[[#This Row],[PID]],Batters[[#All],[PID]],0)),INDEX(Table3[[#All],[VELO]],MATCH(Table5[[#This Row],[PID]],Table3[[#All],[PID]],0)))</f>
        <v>5</v>
      </c>
      <c r="P73" s="58">
        <f>IF($C73="B",INDEX(Batters[[#All],[K P]],MATCH(Table5[[#This Row],[PID]],Batters[[#All],[PID]],0)),INDEX(Table3[[#All],[STM]],MATCH(Table5[[#This Row],[PID]],Table3[[#All],[PID]],0)))</f>
        <v>2</v>
      </c>
      <c r="Q73" s="63">
        <f>IF($C73="B",INDEX(Batters[[#All],[Tot]],MATCH(Table5[[#This Row],[PID]],Batters[[#All],[PID]],0)),INDEX(Table3[[#All],[Tot]],MATCH(Table5[[#This Row],[PID]],Table3[[#All],[PID]],0)))</f>
        <v>50.3</v>
      </c>
      <c r="R73" s="54">
        <f>IF($C73="B",INDEX(Batters[[#All],[zScore]],MATCH(Table5[[#This Row],[PID]],Batters[[#All],[PID]],0)),INDEX(Table3[[#All],[zScore]],MATCH(Table5[[#This Row],[PID]],Table3[[#All],[PID]],0)))</f>
        <v>1.7509447349637111</v>
      </c>
      <c r="S73" s="60" t="str">
        <f>IF($C73="B",INDEX(Batters[[#All],[DEM]],MATCH(Table5[[#This Row],[PID]],Batters[[#All],[PID]],0)),INDEX(Table3[[#All],[DEM]],MATCH(Table5[[#This Row],[PID]],Table3[[#All],[PID]],0)))</f>
        <v>$65k</v>
      </c>
      <c r="T73" s="64">
        <f>IF($C73="B",VLOOKUP($A73,Bat!$A$4:$AU$1417,46,FALSE),VLOOKUP($A73,Pit!$A$4:$BD$570,55,FALSE))</f>
        <v>0</v>
      </c>
      <c r="U73" s="52">
        <f>IF($C73="B",VLOOKUP($A73,Bat!$A$4:$BA$1417,47,FALSE),VLOOKUP($A73,Pit!$A$4:$BF$570,56,FALSE))</f>
        <v>0</v>
      </c>
      <c r="V73" s="52">
        <f>IF($C73="B",VLOOKUP($A73,Bat!$A$4:$BA$1417,48,FALSE),VLOOKUP($A73,Pit!$A$4:$BF$570,57,FALSE))</f>
        <v>0</v>
      </c>
      <c r="W73" s="52">
        <f>Table5[[#This Row],[posRnk]]+Table5[[#This Row],[zRnk]]+IF($W$3&lt;&gt;Table5[[#This Row],[Type]],50,0)</f>
        <v>115</v>
      </c>
      <c r="X73" s="53">
        <f>RANK(Table5[[#This Row],[zScore]],Table5[[#All],[zScore]])</f>
        <v>65</v>
      </c>
      <c r="Y73" s="52" t="str">
        <f>IFERROR(INDEX(DraftResults[[#All],[OVR]],MATCH(Table5[[#This Row],[PID]],DraftResults[[#All],[Player ID]],0)),"")</f>
        <v/>
      </c>
      <c r="Z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" s="52" t="str">
        <f>IFERROR(INDEX(DraftResults[[#All],[Pick in Round]],MATCH(Table5[[#This Row],[PID]],DraftResults[[#All],[Player ID]],0)),"")</f>
        <v/>
      </c>
      <c r="AB73" s="52" t="str">
        <f>IFERROR(INDEX(DraftResults[[#All],[Team Name]],MATCH(Table5[[#This Row],[PID]],DraftResults[[#All],[Player ID]],0)),"")</f>
        <v/>
      </c>
      <c r="AC73" s="52" t="str">
        <f>IF(Table5[[#This Row],[Ovr]]="","",IF(Table5[[#This Row],[cmbList]]="","",Table5[[#This Row],[cmbList]]-Table5[[#This Row],[Ovr]]))</f>
        <v/>
      </c>
      <c r="AD73" s="56" t="str">
        <f>IF(ISERROR(VLOOKUP($AB73&amp;"-"&amp;$E73&amp;" "&amp;F73,Bonuses!$B$1:$G$1006,4,FALSE)),"",INT(VLOOKUP($AB73&amp;"-"&amp;$E73&amp;" "&amp;$F73,Bonuses!$B$1:$G$1006,4,FALSE)))</f>
        <v/>
      </c>
      <c r="AE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" spans="1:31" s="52" customFormat="1" x14ac:dyDescent="0.25">
      <c r="A74" s="52">
        <v>6278</v>
      </c>
      <c r="B74" s="52">
        <f>COUNTIF(Table5[PID],A74)</f>
        <v>1</v>
      </c>
      <c r="C74" s="52" t="str">
        <f>IF(COUNTIF(Table3[[#All],[PID]],A74)&gt;0,"P","B")</f>
        <v>B</v>
      </c>
      <c r="D74" s="61" t="str">
        <f>IF($C74="B",INDEX(Batters[[#All],[POS]],MATCH(Table5[[#This Row],[PID]],Batters[[#All],[PID]],0)),INDEX(Table3[[#All],[POS]],MATCH(Table5[[#This Row],[PID]],Table3[[#All],[PID]],0)))</f>
        <v>C</v>
      </c>
      <c r="E74" s="54" t="str">
        <f>IF($C74="B",INDEX(Batters[[#All],[First]],MATCH(Table5[[#This Row],[PID]],Batters[[#All],[PID]],0)),INDEX(Table3[[#All],[First]],MATCH(Table5[[#This Row],[PID]],Table3[[#All],[PID]],0)))</f>
        <v>Masafumi</v>
      </c>
      <c r="F74" s="52" t="str">
        <f>IF($C74="B",INDEX(Batters[[#All],[Last]],MATCH(A74,Batters[[#All],[PID]],0)),INDEX(Table3[[#All],[Last]],MATCH(A74,Table3[[#All],[PID]],0)))</f>
        <v>Tanaka</v>
      </c>
      <c r="G74" s="58">
        <f>IF($C74="B",INDEX(Batters[[#All],[Age]],MATCH(Table5[[#This Row],[PID]],Batters[[#All],[PID]],0)),INDEX(Table3[[#All],[Age]],MATCH(Table5[[#This Row],[PID]],Table3[[#All],[PID]],0)))</f>
        <v>18</v>
      </c>
      <c r="H74" s="54" t="str">
        <f>IF($C74="B",INDEX(Batters[[#All],[B]],MATCH(Table5[[#This Row],[PID]],Batters[[#All],[PID]],0)),INDEX(Table3[[#All],[B]],MATCH(Table5[[#This Row],[PID]],Table3[[#All],[PID]],0)))</f>
        <v>R</v>
      </c>
      <c r="I74" s="54" t="str">
        <f>IF($C74="B",INDEX(Batters[[#All],[T]],MATCH(Table5[[#This Row],[PID]],Batters[[#All],[PID]],0)),INDEX(Table3[[#All],[T]],MATCH(Table5[[#This Row],[PID]],Table3[[#All],[PID]],0)))</f>
        <v>R</v>
      </c>
      <c r="J74" s="54" t="str">
        <f>IF($C74="B",INDEX(Batters[[#All],[WE]],MATCH(Table5[[#This Row],[PID]],Batters[[#All],[PID]],0)),INDEX(Table3[[#All],[WE]],MATCH(Table5[[#This Row],[PID]],Table3[[#All],[PID]],0)))</f>
        <v>Normal</v>
      </c>
      <c r="K74" s="54" t="str">
        <f>IF($C74="B",INDEX(Batters[[#All],[INT]],MATCH(Table5[[#This Row],[PID]],Batters[[#All],[PID]],0)),INDEX(Table3[[#All],[INT]],MATCH(Table5[[#This Row],[PID]],Table3[[#All],[PID]],0)))</f>
        <v>High</v>
      </c>
      <c r="L74" s="62">
        <f>IF($C74="B",INDEX(Batters[[#All],[CON P]],MATCH(Table5[[#This Row],[PID]],Batters[[#All],[PID]],0)),INDEX(Table3[[#All],[STU P]],MATCH(Table5[[#This Row],[PID]],Table3[[#All],[PID]],0)))</f>
        <v>2</v>
      </c>
      <c r="M74" s="58">
        <f>IF($C74="B",INDEX(Batters[[#All],[GAP P]],MATCH(Table5[[#This Row],[PID]],Batters[[#All],[PID]],0)),INDEX(Table3[[#All],[MOV P]],MATCH(Table5[[#This Row],[PID]],Table3[[#All],[PID]],0)))</f>
        <v>2</v>
      </c>
      <c r="N74" s="58">
        <f>IF($C74="B",INDEX(Batters[[#All],[POW P]],MATCH(Table5[[#This Row],[PID]],Batters[[#All],[PID]],0)),INDEX(Table3[[#All],[CON P]],MATCH(Table5[[#This Row],[PID]],Table3[[#All],[PID]],0)))</f>
        <v>4</v>
      </c>
      <c r="O74" s="58">
        <f>IF($C74="B",INDEX(Batters[[#All],[EYE P]],MATCH(Table5[[#This Row],[PID]],Batters[[#All],[PID]],0)),INDEX(Table3[[#All],[VELO]],MATCH(Table5[[#This Row],[PID]],Table3[[#All],[PID]],0)))</f>
        <v>4</v>
      </c>
      <c r="P74" s="58">
        <f>IF($C74="B",INDEX(Batters[[#All],[K P]],MATCH(Table5[[#This Row],[PID]],Batters[[#All],[PID]],0)),INDEX(Table3[[#All],[STM]],MATCH(Table5[[#This Row],[PID]],Table3[[#All],[PID]],0)))</f>
        <v>2</v>
      </c>
      <c r="Q74" s="63">
        <f>IF($C74="B",INDEX(Batters[[#All],[Tot]],MATCH(Table5[[#This Row],[PID]],Batters[[#All],[PID]],0)),INDEX(Table3[[#All],[Tot]],MATCH(Table5[[#This Row],[PID]],Table3[[#All],[PID]],0)))</f>
        <v>50.3</v>
      </c>
      <c r="R74" s="54">
        <f>IF($C74="B",INDEX(Batters[[#All],[zScore]],MATCH(Table5[[#This Row],[PID]],Batters[[#All],[PID]],0)),INDEX(Table3[[#All],[zScore]],MATCH(Table5[[#This Row],[PID]],Table3[[#All],[PID]],0)))</f>
        <v>1.7509447349637111</v>
      </c>
      <c r="S74" s="60" t="str">
        <f>IF($C74="B",INDEX(Batters[[#All],[DEM]],MATCH(Table5[[#This Row],[PID]],Batters[[#All],[PID]],0)),INDEX(Table3[[#All],[DEM]],MATCH(Table5[[#This Row],[PID]],Table3[[#All],[PID]],0)))</f>
        <v>$75k</v>
      </c>
      <c r="T74" s="64">
        <f>IF($C74="B",VLOOKUP($A74,Bat!$A$4:$AU$1417,46,FALSE),VLOOKUP($A74,Pit!$A$4:$BD$570,55,FALSE))</f>
        <v>0</v>
      </c>
      <c r="U74" s="52">
        <f>IF($C74="B",VLOOKUP($A74,Bat!$A$4:$BA$1417,47,FALSE),VLOOKUP($A74,Pit!$A$4:$BF$570,56,FALSE))</f>
        <v>0</v>
      </c>
      <c r="V74" s="52">
        <f>IF($C74="B",VLOOKUP($A74,Bat!$A$4:$BA$1417,48,FALSE),VLOOKUP($A74,Pit!$A$4:$BF$570,57,FALSE))</f>
        <v>0</v>
      </c>
      <c r="W74" s="52">
        <f>Table5[[#This Row],[posRnk]]+Table5[[#This Row],[zRnk]]+IF($W$3&lt;&gt;Table5[[#This Row],[Type]],50,0)</f>
        <v>115</v>
      </c>
      <c r="X74" s="53">
        <f>RANK(Table5[[#This Row],[zScore]],Table5[[#All],[zScore]])</f>
        <v>65</v>
      </c>
      <c r="Y74" s="52" t="str">
        <f>IFERROR(INDEX(DraftResults[[#All],[OVR]],MATCH(Table5[[#This Row],[PID]],DraftResults[[#All],[Player ID]],0)),"")</f>
        <v/>
      </c>
      <c r="Z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" s="52" t="str">
        <f>IFERROR(INDEX(DraftResults[[#All],[Pick in Round]],MATCH(Table5[[#This Row],[PID]],DraftResults[[#All],[Player ID]],0)),"")</f>
        <v/>
      </c>
      <c r="AB74" s="52" t="str">
        <f>IFERROR(INDEX(DraftResults[[#All],[Team Name]],MATCH(Table5[[#This Row],[PID]],DraftResults[[#All],[Player ID]],0)),"")</f>
        <v/>
      </c>
      <c r="AC74" s="52" t="str">
        <f>IF(Table5[[#This Row],[Ovr]]="","",IF(Table5[[#This Row],[cmbList]]="","",Table5[[#This Row],[cmbList]]-Table5[[#This Row],[Ovr]]))</f>
        <v/>
      </c>
      <c r="AD74" s="56" t="str">
        <f>IF(ISERROR(VLOOKUP($AB74&amp;"-"&amp;$E74&amp;" "&amp;F74,Bonuses!$B$1:$G$1006,4,FALSE)),"",INT(VLOOKUP($AB74&amp;"-"&amp;$E74&amp;" "&amp;$F74,Bonuses!$B$1:$G$1006,4,FALSE)))</f>
        <v/>
      </c>
      <c r="AE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" spans="1:31" s="52" customFormat="1" x14ac:dyDescent="0.25">
      <c r="A75" s="52">
        <v>7442</v>
      </c>
      <c r="B75" s="57">
        <f>COUNTIF(Table5[PID],A75)</f>
        <v>1</v>
      </c>
      <c r="C75" s="57" t="str">
        <f>IF(COUNTIF(Table3[[#All],[PID]],A75)&gt;0,"P","B")</f>
        <v>B</v>
      </c>
      <c r="D75" s="61" t="str">
        <f>IF($C75="B",INDEX(Batters[[#All],[POS]],MATCH(Table5[[#This Row],[PID]],Batters[[#All],[PID]],0)),INDEX(Table3[[#All],[POS]],MATCH(Table5[[#This Row],[PID]],Table3[[#All],[PID]],0)))</f>
        <v>RF</v>
      </c>
      <c r="E75" s="54" t="str">
        <f>IF($C75="B",INDEX(Batters[[#All],[First]],MATCH(Table5[[#This Row],[PID]],Batters[[#All],[PID]],0)),INDEX(Table3[[#All],[First]],MATCH(Table5[[#This Row],[PID]],Table3[[#All],[PID]],0)))</f>
        <v>Juan</v>
      </c>
      <c r="F75" s="52" t="str">
        <f>IF($C75="B",INDEX(Batters[[#All],[Last]],MATCH(A75,Batters[[#All],[PID]],0)),INDEX(Table3[[#All],[Last]],MATCH(A75,Table3[[#All],[PID]],0)))</f>
        <v>Sánchez</v>
      </c>
      <c r="G75" s="58">
        <f>IF($C75="B",INDEX(Batters[[#All],[Age]],MATCH(Table5[[#This Row],[PID]],Batters[[#All],[PID]],0)),INDEX(Table3[[#All],[Age]],MATCH(Table5[[#This Row],[PID]],Table3[[#All],[PID]],0)))</f>
        <v>18</v>
      </c>
      <c r="H75" s="54" t="str">
        <f>IF($C75="B",INDEX(Batters[[#All],[B]],MATCH(Table5[[#This Row],[PID]],Batters[[#All],[PID]],0)),INDEX(Table3[[#All],[B]],MATCH(Table5[[#This Row],[PID]],Table3[[#All],[PID]],0)))</f>
        <v>R</v>
      </c>
      <c r="I75" s="54" t="str">
        <f>IF($C75="B",INDEX(Batters[[#All],[T]],MATCH(Table5[[#This Row],[PID]],Batters[[#All],[PID]],0)),INDEX(Table3[[#All],[T]],MATCH(Table5[[#This Row],[PID]],Table3[[#All],[PID]],0)))</f>
        <v>R</v>
      </c>
      <c r="J75" s="54" t="str">
        <f>IF($C75="B",INDEX(Batters[[#All],[WE]],MATCH(Table5[[#This Row],[PID]],Batters[[#All],[PID]],0)),INDEX(Table3[[#All],[WE]],MATCH(Table5[[#This Row],[PID]],Table3[[#All],[PID]],0)))</f>
        <v>High</v>
      </c>
      <c r="K75" s="54" t="str">
        <f>IF($C75="B",INDEX(Batters[[#All],[INT]],MATCH(Table5[[#This Row],[PID]],Batters[[#All],[PID]],0)),INDEX(Table3[[#All],[INT]],MATCH(Table5[[#This Row],[PID]],Table3[[#All],[PID]],0)))</f>
        <v>Normal</v>
      </c>
      <c r="L75" s="62">
        <f>IF($C75="B",INDEX(Batters[[#All],[CON P]],MATCH(Table5[[#This Row],[PID]],Batters[[#All],[PID]],0)),INDEX(Table3[[#All],[STU P]],MATCH(Table5[[#This Row],[PID]],Table3[[#All],[PID]],0)))</f>
        <v>2</v>
      </c>
      <c r="M75" s="58">
        <f>IF($C75="B",INDEX(Batters[[#All],[GAP P]],MATCH(Table5[[#This Row],[PID]],Batters[[#All],[PID]],0)),INDEX(Table3[[#All],[MOV P]],MATCH(Table5[[#This Row],[PID]],Table3[[#All],[PID]],0)))</f>
        <v>2</v>
      </c>
      <c r="N75" s="58">
        <f>IF($C75="B",INDEX(Batters[[#All],[POW P]],MATCH(Table5[[#This Row],[PID]],Batters[[#All],[PID]],0)),INDEX(Table3[[#All],[CON P]],MATCH(Table5[[#This Row],[PID]],Table3[[#All],[PID]],0)))</f>
        <v>2</v>
      </c>
      <c r="O75" s="58">
        <f>IF($C75="B",INDEX(Batters[[#All],[EYE P]],MATCH(Table5[[#This Row],[PID]],Batters[[#All],[PID]],0)),INDEX(Table3[[#All],[VELO]],MATCH(Table5[[#This Row],[PID]],Table3[[#All],[PID]],0)))</f>
        <v>3</v>
      </c>
      <c r="P75" s="58">
        <f>IF($C75="B",INDEX(Batters[[#All],[K P]],MATCH(Table5[[#This Row],[PID]],Batters[[#All],[PID]],0)),INDEX(Table3[[#All],[STM]],MATCH(Table5[[#This Row],[PID]],Table3[[#All],[PID]],0)))</f>
        <v>5</v>
      </c>
      <c r="Q75" s="63">
        <f>IF($C75="B",INDEX(Batters[[#All],[Tot]],MATCH(Table5[[#This Row],[PID]],Batters[[#All],[PID]],0)),INDEX(Table3[[#All],[Tot]],MATCH(Table5[[#This Row],[PID]],Table3[[#All],[PID]],0)))</f>
        <v>50.3</v>
      </c>
      <c r="R75" s="54">
        <f>IF($C75="B",INDEX(Batters[[#All],[zScore]],MATCH(Table5[[#This Row],[PID]],Batters[[#All],[PID]],0)),INDEX(Table3[[#All],[zScore]],MATCH(Table5[[#This Row],[PID]],Table3[[#All],[PID]],0)))</f>
        <v>1.7509447349637111</v>
      </c>
      <c r="S75" s="60" t="str">
        <f>IF($C75="B",INDEX(Batters[[#All],[DEM]],MATCH(Table5[[#This Row],[PID]],Batters[[#All],[PID]],0)),INDEX(Table3[[#All],[DEM]],MATCH(Table5[[#This Row],[PID]],Table3[[#All],[PID]],0)))</f>
        <v>$65k</v>
      </c>
      <c r="T75" s="64">
        <f>IF($C75="B",VLOOKUP($A75,Bat!$A$4:$AU$1417,46,FALSE),VLOOKUP($A75,Pit!$A$4:$BD$570,55,FALSE))</f>
        <v>0</v>
      </c>
      <c r="U75" s="52">
        <f>IF($C75="B",VLOOKUP($A75,Bat!$A$4:$BA$1417,47,FALSE),VLOOKUP($A75,Pit!$A$4:$BF$570,56,FALSE))</f>
        <v>0</v>
      </c>
      <c r="V75" s="52">
        <f>IF($C75="B",VLOOKUP($A75,Bat!$A$4:$BA$1417,48,FALSE),VLOOKUP($A75,Pit!$A$4:$BF$570,57,FALSE))</f>
        <v>0</v>
      </c>
      <c r="W75" s="52">
        <f>Table5[[#This Row],[posRnk]]+Table5[[#This Row],[zRnk]]+IF($W$3&lt;&gt;Table5[[#This Row],[Type]],50,0)</f>
        <v>115</v>
      </c>
      <c r="X75" s="53">
        <f>RANK(Table5[[#This Row],[zScore]],Table5[[#All],[zScore]])</f>
        <v>65</v>
      </c>
      <c r="Y75" s="52" t="str">
        <f>IFERROR(INDEX(DraftResults[[#All],[OVR]],MATCH(Table5[[#This Row],[PID]],DraftResults[[#All],[Player ID]],0)),"")</f>
        <v/>
      </c>
      <c r="Z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" s="52" t="str">
        <f>IFERROR(INDEX(DraftResults[[#All],[Pick in Round]],MATCH(Table5[[#This Row],[PID]],DraftResults[[#All],[Player ID]],0)),"")</f>
        <v/>
      </c>
      <c r="AB75" s="52" t="str">
        <f>IFERROR(INDEX(DraftResults[[#All],[Team Name]],MATCH(Table5[[#This Row],[PID]],DraftResults[[#All],[Player ID]],0)),"")</f>
        <v/>
      </c>
      <c r="AC75" s="52" t="str">
        <f>IF(Table5[[#This Row],[Ovr]]="","",IF(Table5[[#This Row],[cmbList]]="","",Table5[[#This Row],[cmbList]]-Table5[[#This Row],[Ovr]]))</f>
        <v/>
      </c>
      <c r="AD75" s="56" t="str">
        <f>IF(ISERROR(VLOOKUP($AB75&amp;"-"&amp;$E75&amp;" "&amp;F75,Bonuses!$B$1:$G$1006,4,FALSE)),"",INT(VLOOKUP($AB75&amp;"-"&amp;$E75&amp;" "&amp;$F75,Bonuses!$B$1:$G$1006,4,FALSE)))</f>
        <v/>
      </c>
      <c r="AE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" spans="1:31" s="52" customFormat="1" x14ac:dyDescent="0.25">
      <c r="A76" s="52">
        <v>11235</v>
      </c>
      <c r="B76" s="57">
        <f>COUNTIF(Table5[PID],A76)</f>
        <v>1</v>
      </c>
      <c r="C76" s="57" t="str">
        <f>IF(COUNTIF(Table3[[#All],[PID]],A76)&gt;0,"P","B")</f>
        <v>B</v>
      </c>
      <c r="D76" s="61" t="str">
        <f>IF($C76="B",INDEX(Batters[[#All],[POS]],MATCH(Table5[[#This Row],[PID]],Batters[[#All],[PID]],0)),INDEX(Table3[[#All],[POS]],MATCH(Table5[[#This Row],[PID]],Table3[[#All],[PID]],0)))</f>
        <v>SS</v>
      </c>
      <c r="E76" s="54" t="str">
        <f>IF($C76="B",INDEX(Batters[[#All],[First]],MATCH(Table5[[#This Row],[PID]],Batters[[#All],[PID]],0)),INDEX(Table3[[#All],[First]],MATCH(Table5[[#This Row],[PID]],Table3[[#All],[PID]],0)))</f>
        <v>Kiyohira</v>
      </c>
      <c r="F76" s="52" t="str">
        <f>IF($C76="B",INDEX(Batters[[#All],[Last]],MATCH(A76,Batters[[#All],[PID]],0)),INDEX(Table3[[#All],[Last]],MATCH(A76,Table3[[#All],[PID]],0)))</f>
        <v>Takahashi</v>
      </c>
      <c r="G76" s="58">
        <f>IF($C76="B",INDEX(Batters[[#All],[Age]],MATCH(Table5[[#This Row],[PID]],Batters[[#All],[PID]],0)),INDEX(Table3[[#All],[Age]],MATCH(Table5[[#This Row],[PID]],Table3[[#All],[PID]],0)))</f>
        <v>18</v>
      </c>
      <c r="H76" s="54" t="str">
        <f>IF($C76="B",INDEX(Batters[[#All],[B]],MATCH(Table5[[#This Row],[PID]],Batters[[#All],[PID]],0)),INDEX(Table3[[#All],[B]],MATCH(Table5[[#This Row],[PID]],Table3[[#All],[PID]],0)))</f>
        <v>R</v>
      </c>
      <c r="I76" s="54" t="str">
        <f>IF($C76="B",INDEX(Batters[[#All],[T]],MATCH(Table5[[#This Row],[PID]],Batters[[#All],[PID]],0)),INDEX(Table3[[#All],[T]],MATCH(Table5[[#This Row],[PID]],Table3[[#All],[PID]],0)))</f>
        <v>R</v>
      </c>
      <c r="J76" s="54" t="str">
        <f>IF($C76="B",INDEX(Batters[[#All],[WE]],MATCH(Table5[[#This Row],[PID]],Batters[[#All],[PID]],0)),INDEX(Table3[[#All],[WE]],MATCH(Table5[[#This Row],[PID]],Table3[[#All],[PID]],0)))</f>
        <v>Normal</v>
      </c>
      <c r="K76" s="54" t="str">
        <f>IF($C76="B",INDEX(Batters[[#All],[INT]],MATCH(Table5[[#This Row],[PID]],Batters[[#All],[PID]],0)),INDEX(Table3[[#All],[INT]],MATCH(Table5[[#This Row],[PID]],Table3[[#All],[PID]],0)))</f>
        <v>High</v>
      </c>
      <c r="L76" s="62">
        <f>IF($C76="B",INDEX(Batters[[#All],[CON P]],MATCH(Table5[[#This Row],[PID]],Batters[[#All],[PID]],0)),INDEX(Table3[[#All],[STU P]],MATCH(Table5[[#This Row],[PID]],Table3[[#All],[PID]],0)))</f>
        <v>2</v>
      </c>
      <c r="M76" s="58">
        <f>IF($C76="B",INDEX(Batters[[#All],[GAP P]],MATCH(Table5[[#This Row],[PID]],Batters[[#All],[PID]],0)),INDEX(Table3[[#All],[MOV P]],MATCH(Table5[[#This Row],[PID]],Table3[[#All],[PID]],0)))</f>
        <v>4</v>
      </c>
      <c r="N76" s="58">
        <f>IF($C76="B",INDEX(Batters[[#All],[POW P]],MATCH(Table5[[#This Row],[PID]],Batters[[#All],[PID]],0)),INDEX(Table3[[#All],[CON P]],MATCH(Table5[[#This Row],[PID]],Table3[[#All],[PID]],0)))</f>
        <v>3</v>
      </c>
      <c r="O76" s="58">
        <f>IF($C76="B",INDEX(Batters[[#All],[EYE P]],MATCH(Table5[[#This Row],[PID]],Batters[[#All],[PID]],0)),INDEX(Table3[[#All],[VELO]],MATCH(Table5[[#This Row],[PID]],Table3[[#All],[PID]],0)))</f>
        <v>5</v>
      </c>
      <c r="P76" s="58">
        <f>IF($C76="B",INDEX(Batters[[#All],[K P]],MATCH(Table5[[#This Row],[PID]],Batters[[#All],[PID]],0)),INDEX(Table3[[#All],[STM]],MATCH(Table5[[#This Row],[PID]],Table3[[#All],[PID]],0)))</f>
        <v>3</v>
      </c>
      <c r="Q76" s="63">
        <f>IF($C76="B",INDEX(Batters[[#All],[Tot]],MATCH(Table5[[#This Row],[PID]],Batters[[#All],[PID]],0)),INDEX(Table3[[#All],[Tot]],MATCH(Table5[[#This Row],[PID]],Table3[[#All],[PID]],0)))</f>
        <v>50.3</v>
      </c>
      <c r="R76" s="54">
        <f>IF($C76="B",INDEX(Batters[[#All],[zScore]],MATCH(Table5[[#This Row],[PID]],Batters[[#All],[PID]],0)),INDEX(Table3[[#All],[zScore]],MATCH(Table5[[#This Row],[PID]],Table3[[#All],[PID]],0)))</f>
        <v>1.7509447349637111</v>
      </c>
      <c r="S76" s="60" t="str">
        <f>IF($C76="B",INDEX(Batters[[#All],[DEM]],MATCH(Table5[[#This Row],[PID]],Batters[[#All],[PID]],0)),INDEX(Table3[[#All],[DEM]],MATCH(Table5[[#This Row],[PID]],Table3[[#All],[PID]],0)))</f>
        <v>$190k</v>
      </c>
      <c r="T76" s="64">
        <f>IF($C76="B",VLOOKUP($A76,Bat!$A$4:$AU$1417,46,FALSE),VLOOKUP($A76,Pit!$A$4:$BD$570,55,FALSE))</f>
        <v>0</v>
      </c>
      <c r="U76" s="52">
        <f>IF($C76="B",VLOOKUP($A76,Bat!$A$4:$BA$1417,47,FALSE),VLOOKUP($A76,Pit!$A$4:$BF$570,56,FALSE))</f>
        <v>0</v>
      </c>
      <c r="V76" s="52">
        <f>IF($C76="B",VLOOKUP($A76,Bat!$A$4:$BA$1417,48,FALSE),VLOOKUP($A76,Pit!$A$4:$BF$570,57,FALSE))</f>
        <v>0</v>
      </c>
      <c r="W76" s="52">
        <f>Table5[[#This Row],[posRnk]]+Table5[[#This Row],[zRnk]]+IF($W$3&lt;&gt;Table5[[#This Row],[Type]],50,0)</f>
        <v>115</v>
      </c>
      <c r="X76" s="53">
        <f>RANK(Table5[[#This Row],[zScore]],Table5[[#All],[zScore]])</f>
        <v>65</v>
      </c>
      <c r="Y76" s="52" t="str">
        <f>IFERROR(INDEX(DraftResults[[#All],[OVR]],MATCH(Table5[[#This Row],[PID]],DraftResults[[#All],[Player ID]],0)),"")</f>
        <v/>
      </c>
      <c r="Z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" s="52" t="str">
        <f>IFERROR(INDEX(DraftResults[[#All],[Pick in Round]],MATCH(Table5[[#This Row],[PID]],DraftResults[[#All],[Player ID]],0)),"")</f>
        <v/>
      </c>
      <c r="AB76" s="52" t="str">
        <f>IFERROR(INDEX(DraftResults[[#All],[Team Name]],MATCH(Table5[[#This Row],[PID]],DraftResults[[#All],[Player ID]],0)),"")</f>
        <v/>
      </c>
      <c r="AC76" s="52" t="str">
        <f>IF(Table5[[#This Row],[Ovr]]="","",IF(Table5[[#This Row],[cmbList]]="","",Table5[[#This Row],[cmbList]]-Table5[[#This Row],[Ovr]]))</f>
        <v/>
      </c>
      <c r="AD76" s="56" t="str">
        <f>IF(ISERROR(VLOOKUP($AB76&amp;"-"&amp;$E76&amp;" "&amp;F76,Bonuses!$B$1:$G$1006,4,FALSE)),"",INT(VLOOKUP($AB76&amp;"-"&amp;$E76&amp;" "&amp;$F76,Bonuses!$B$1:$G$1006,4,FALSE)))</f>
        <v/>
      </c>
      <c r="AE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" spans="1:31" s="52" customFormat="1" x14ac:dyDescent="0.25">
      <c r="A77" s="52">
        <v>11155</v>
      </c>
      <c r="B77" s="57">
        <f>COUNTIF(Table5[PID],A77)</f>
        <v>1</v>
      </c>
      <c r="C77" s="57" t="str">
        <f>IF(COUNTIF(Table3[[#All],[PID]],A77)&gt;0,"P","B")</f>
        <v>B</v>
      </c>
      <c r="D77" s="61" t="str">
        <f>IF($C77="B",INDEX(Batters[[#All],[POS]],MATCH(Table5[[#This Row],[PID]],Batters[[#All],[PID]],0)),INDEX(Table3[[#All],[POS]],MATCH(Table5[[#This Row],[PID]],Table3[[#All],[PID]],0)))</f>
        <v>SS</v>
      </c>
      <c r="E77" s="54" t="str">
        <f>IF($C77="B",INDEX(Batters[[#All],[First]],MATCH(Table5[[#This Row],[PID]],Batters[[#All],[PID]],0)),INDEX(Table3[[#All],[First]],MATCH(Table5[[#This Row],[PID]],Table3[[#All],[PID]],0)))</f>
        <v>Motoichi</v>
      </c>
      <c r="F77" s="52" t="str">
        <f>IF($C77="B",INDEX(Batters[[#All],[Last]],MATCH(A77,Batters[[#All],[PID]],0)),INDEX(Table3[[#All],[Last]],MATCH(A77,Table3[[#All],[PID]],0)))</f>
        <v>Yamada</v>
      </c>
      <c r="G77" s="58">
        <f>IF($C77="B",INDEX(Batters[[#All],[Age]],MATCH(Table5[[#This Row],[PID]],Batters[[#All],[PID]],0)),INDEX(Table3[[#All],[Age]],MATCH(Table5[[#This Row],[PID]],Table3[[#All],[PID]],0)))</f>
        <v>18</v>
      </c>
      <c r="H77" s="54" t="str">
        <f>IF($C77="B",INDEX(Batters[[#All],[B]],MATCH(Table5[[#This Row],[PID]],Batters[[#All],[PID]],0)),INDEX(Table3[[#All],[B]],MATCH(Table5[[#This Row],[PID]],Table3[[#All],[PID]],0)))</f>
        <v>R</v>
      </c>
      <c r="I77" s="54" t="str">
        <f>IF($C77="B",INDEX(Batters[[#All],[T]],MATCH(Table5[[#This Row],[PID]],Batters[[#All],[PID]],0)),INDEX(Table3[[#All],[T]],MATCH(Table5[[#This Row],[PID]],Table3[[#All],[PID]],0)))</f>
        <v>R</v>
      </c>
      <c r="J77" s="54" t="str">
        <f>IF($C77="B",INDEX(Batters[[#All],[WE]],MATCH(Table5[[#This Row],[PID]],Batters[[#All],[PID]],0)),INDEX(Table3[[#All],[WE]],MATCH(Table5[[#This Row],[PID]],Table3[[#All],[PID]],0)))</f>
        <v>High</v>
      </c>
      <c r="K77" s="54" t="str">
        <f>IF($C77="B",INDEX(Batters[[#All],[INT]],MATCH(Table5[[#This Row],[PID]],Batters[[#All],[PID]],0)),INDEX(Table3[[#All],[INT]],MATCH(Table5[[#This Row],[PID]],Table3[[#All],[PID]],0)))</f>
        <v>Normal</v>
      </c>
      <c r="L77" s="62">
        <f>IF($C77="B",INDEX(Batters[[#All],[CON P]],MATCH(Table5[[#This Row],[PID]],Batters[[#All],[PID]],0)),INDEX(Table3[[#All],[STU P]],MATCH(Table5[[#This Row],[PID]],Table3[[#All],[PID]],0)))</f>
        <v>2</v>
      </c>
      <c r="M77" s="58">
        <f>IF($C77="B",INDEX(Batters[[#All],[GAP P]],MATCH(Table5[[#This Row],[PID]],Batters[[#All],[PID]],0)),INDEX(Table3[[#All],[MOV P]],MATCH(Table5[[#This Row],[PID]],Table3[[#All],[PID]],0)))</f>
        <v>4</v>
      </c>
      <c r="N77" s="58">
        <f>IF($C77="B",INDEX(Batters[[#All],[POW P]],MATCH(Table5[[#This Row],[PID]],Batters[[#All],[PID]],0)),INDEX(Table3[[#All],[CON P]],MATCH(Table5[[#This Row],[PID]],Table3[[#All],[PID]],0)))</f>
        <v>3</v>
      </c>
      <c r="O77" s="58">
        <f>IF($C77="B",INDEX(Batters[[#All],[EYE P]],MATCH(Table5[[#This Row],[PID]],Batters[[#All],[PID]],0)),INDEX(Table3[[#All],[VELO]],MATCH(Table5[[#This Row],[PID]],Table3[[#All],[PID]],0)))</f>
        <v>3</v>
      </c>
      <c r="P77" s="58">
        <f>IF($C77="B",INDEX(Batters[[#All],[K P]],MATCH(Table5[[#This Row],[PID]],Batters[[#All],[PID]],0)),INDEX(Table3[[#All],[STM]],MATCH(Table5[[#This Row],[PID]],Table3[[#All],[PID]],0)))</f>
        <v>2</v>
      </c>
      <c r="Q77" s="63">
        <f>IF($C77="B",INDEX(Batters[[#All],[Tot]],MATCH(Table5[[#This Row],[PID]],Batters[[#All],[PID]],0)),INDEX(Table3[[#All],[Tot]],MATCH(Table5[[#This Row],[PID]],Table3[[#All],[PID]],0)))</f>
        <v>50.3</v>
      </c>
      <c r="R77" s="54">
        <f>IF($C77="B",INDEX(Batters[[#All],[zScore]],MATCH(Table5[[#This Row],[PID]],Batters[[#All],[PID]],0)),INDEX(Table3[[#All],[zScore]],MATCH(Table5[[#This Row],[PID]],Table3[[#All],[PID]],0)))</f>
        <v>1.7509447349637111</v>
      </c>
      <c r="S77" s="60" t="str">
        <f>IF($C77="B",INDEX(Batters[[#All],[DEM]],MATCH(Table5[[#This Row],[PID]],Batters[[#All],[PID]],0)),INDEX(Table3[[#All],[DEM]],MATCH(Table5[[#This Row],[PID]],Table3[[#All],[PID]],0)))</f>
        <v>$75k</v>
      </c>
      <c r="T77" s="64">
        <f>IF($C77="B",VLOOKUP($A77,Bat!$A$4:$AU$1417,46,FALSE),VLOOKUP($A77,Pit!$A$4:$BD$570,55,FALSE))</f>
        <v>0</v>
      </c>
      <c r="U77" s="52">
        <f>IF($C77="B",VLOOKUP($A77,Bat!$A$4:$BA$1417,47,FALSE),VLOOKUP($A77,Pit!$A$4:$BF$570,56,FALSE))</f>
        <v>0</v>
      </c>
      <c r="V77" s="52">
        <f>IF($C77="B",VLOOKUP($A77,Bat!$A$4:$BA$1417,48,FALSE),VLOOKUP($A77,Pit!$A$4:$BF$570,57,FALSE))</f>
        <v>0</v>
      </c>
      <c r="W77" s="52">
        <f>Table5[[#This Row],[posRnk]]+Table5[[#This Row],[zRnk]]+IF($W$3&lt;&gt;Table5[[#This Row],[Type]],50,0)</f>
        <v>115</v>
      </c>
      <c r="X77" s="53">
        <f>RANK(Table5[[#This Row],[zScore]],Table5[[#All],[zScore]])</f>
        <v>65</v>
      </c>
      <c r="Y77" s="52" t="str">
        <f>IFERROR(INDEX(DraftResults[[#All],[OVR]],MATCH(Table5[[#This Row],[PID]],DraftResults[[#All],[Player ID]],0)),"")</f>
        <v/>
      </c>
      <c r="Z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" s="52" t="str">
        <f>IFERROR(INDEX(DraftResults[[#All],[Pick in Round]],MATCH(Table5[[#This Row],[PID]],DraftResults[[#All],[Player ID]],0)),"")</f>
        <v/>
      </c>
      <c r="AB77" s="52" t="str">
        <f>IFERROR(INDEX(DraftResults[[#All],[Team Name]],MATCH(Table5[[#This Row],[PID]],DraftResults[[#All],[Player ID]],0)),"")</f>
        <v/>
      </c>
      <c r="AC77" s="52" t="str">
        <f>IF(Table5[[#This Row],[Ovr]]="","",IF(Table5[[#This Row],[cmbList]]="","",Table5[[#This Row],[cmbList]]-Table5[[#This Row],[Ovr]]))</f>
        <v/>
      </c>
      <c r="AD77" s="56" t="str">
        <f>IF(ISERROR(VLOOKUP($AB77&amp;"-"&amp;$E77&amp;" "&amp;F77,Bonuses!$B$1:$G$1006,4,FALSE)),"",INT(VLOOKUP($AB77&amp;"-"&amp;$E77&amp;" "&amp;$F77,Bonuses!$B$1:$G$1006,4,FALSE)))</f>
        <v/>
      </c>
      <c r="AE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" spans="1:31" s="52" customFormat="1" x14ac:dyDescent="0.25">
      <c r="A78" s="52">
        <v>8990</v>
      </c>
      <c r="B78" s="57">
        <f>COUNTIF(Table5[PID],A78)</f>
        <v>1</v>
      </c>
      <c r="C78" s="57" t="str">
        <f>IF(COUNTIF(Table3[[#All],[PID]],A78)&gt;0,"P","B")</f>
        <v>B</v>
      </c>
      <c r="D78" s="61" t="str">
        <f>IF($C78="B",INDEX(Batters[[#All],[POS]],MATCH(Table5[[#This Row],[PID]],Batters[[#All],[PID]],0)),INDEX(Table3[[#All],[POS]],MATCH(Table5[[#This Row],[PID]],Table3[[#All],[PID]],0)))</f>
        <v>RF</v>
      </c>
      <c r="E78" s="54" t="str">
        <f>IF($C78="B",INDEX(Batters[[#All],[First]],MATCH(Table5[[#This Row],[PID]],Batters[[#All],[PID]],0)),INDEX(Table3[[#All],[First]],MATCH(Table5[[#This Row],[PID]],Table3[[#All],[PID]],0)))</f>
        <v>Kyle</v>
      </c>
      <c r="F78" s="52" t="str">
        <f>IF($C78="B",INDEX(Batters[[#All],[Last]],MATCH(A78,Batters[[#All],[PID]],0)),INDEX(Table3[[#All],[Last]],MATCH(A78,Table3[[#All],[PID]],0)))</f>
        <v>Ferguson</v>
      </c>
      <c r="G78" s="58">
        <f>IF($C78="B",INDEX(Batters[[#All],[Age]],MATCH(Table5[[#This Row],[PID]],Batters[[#All],[PID]],0)),INDEX(Table3[[#All],[Age]],MATCH(Table5[[#This Row],[PID]],Table3[[#All],[PID]],0)))</f>
        <v>18</v>
      </c>
      <c r="H78" s="54" t="str">
        <f>IF($C78="B",INDEX(Batters[[#All],[B]],MATCH(Table5[[#This Row],[PID]],Batters[[#All],[PID]],0)),INDEX(Table3[[#All],[B]],MATCH(Table5[[#This Row],[PID]],Table3[[#All],[PID]],0)))</f>
        <v>L</v>
      </c>
      <c r="I78" s="54" t="str">
        <f>IF($C78="B",INDEX(Batters[[#All],[T]],MATCH(Table5[[#This Row],[PID]],Batters[[#All],[PID]],0)),INDEX(Table3[[#All],[T]],MATCH(Table5[[#This Row],[PID]],Table3[[#All],[PID]],0)))</f>
        <v>L</v>
      </c>
      <c r="J78" s="54" t="str">
        <f>IF($C78="B",INDEX(Batters[[#All],[WE]],MATCH(Table5[[#This Row],[PID]],Batters[[#All],[PID]],0)),INDEX(Table3[[#All],[WE]],MATCH(Table5[[#This Row],[PID]],Table3[[#All],[PID]],0)))</f>
        <v>Normal</v>
      </c>
      <c r="K78" s="54" t="str">
        <f>IF($C78="B",INDEX(Batters[[#All],[INT]],MATCH(Table5[[#This Row],[PID]],Batters[[#All],[PID]],0)),INDEX(Table3[[#All],[INT]],MATCH(Table5[[#This Row],[PID]],Table3[[#All],[PID]],0)))</f>
        <v>Normal</v>
      </c>
      <c r="L78" s="62">
        <f>IF($C78="B",INDEX(Batters[[#All],[CON P]],MATCH(Table5[[#This Row],[PID]],Batters[[#All],[PID]],0)),INDEX(Table3[[#All],[STU P]],MATCH(Table5[[#This Row],[PID]],Table3[[#All],[PID]],0)))</f>
        <v>4</v>
      </c>
      <c r="M78" s="58">
        <f>IF($C78="B",INDEX(Batters[[#All],[GAP P]],MATCH(Table5[[#This Row],[PID]],Batters[[#All],[PID]],0)),INDEX(Table3[[#All],[MOV P]],MATCH(Table5[[#This Row],[PID]],Table3[[#All],[PID]],0)))</f>
        <v>6</v>
      </c>
      <c r="N78" s="58">
        <f>IF($C78="B",INDEX(Batters[[#All],[POW P]],MATCH(Table5[[#This Row],[PID]],Batters[[#All],[PID]],0)),INDEX(Table3[[#All],[CON P]],MATCH(Table5[[#This Row],[PID]],Table3[[#All],[PID]],0)))</f>
        <v>6</v>
      </c>
      <c r="O78" s="58">
        <f>IF($C78="B",INDEX(Batters[[#All],[EYE P]],MATCH(Table5[[#This Row],[PID]],Batters[[#All],[PID]],0)),INDEX(Table3[[#All],[VELO]],MATCH(Table5[[#This Row],[PID]],Table3[[#All],[PID]],0)))</f>
        <v>5</v>
      </c>
      <c r="P78" s="58">
        <f>IF($C78="B",INDEX(Batters[[#All],[K P]],MATCH(Table5[[#This Row],[PID]],Batters[[#All],[PID]],0)),INDEX(Table3[[#All],[STM]],MATCH(Table5[[#This Row],[PID]],Table3[[#All],[PID]],0)))</f>
        <v>4</v>
      </c>
      <c r="Q78" s="63">
        <f>IF($C78="B",INDEX(Batters[[#All],[Tot]],MATCH(Table5[[#This Row],[PID]],Batters[[#All],[PID]],0)),INDEX(Table3[[#All],[Tot]],MATCH(Table5[[#This Row],[PID]],Table3[[#All],[PID]],0)))</f>
        <v>50.214969510601307</v>
      </c>
      <c r="R78" s="54">
        <f>IF($C78="B",INDEX(Batters[[#All],[zScore]],MATCH(Table5[[#This Row],[PID]],Batters[[#All],[PID]],0)),INDEX(Table3[[#All],[zScore]],MATCH(Table5[[#This Row],[PID]],Table3[[#All],[PID]],0)))</f>
        <v>1.7359841854924403</v>
      </c>
      <c r="S78" s="60" t="str">
        <f>IF($C78="B",INDEX(Batters[[#All],[DEM]],MATCH(Table5[[#This Row],[PID]],Batters[[#All],[PID]],0)),INDEX(Table3[[#All],[DEM]],MATCH(Table5[[#This Row],[PID]],Table3[[#All],[PID]],0)))</f>
        <v>$750k</v>
      </c>
      <c r="T78" s="64">
        <f>IF($C78="B",VLOOKUP($A78,Bat!$A$4:$AU$1417,46,FALSE),VLOOKUP($A78,Pit!$A$4:$BD$570,55,FALSE))</f>
        <v>0</v>
      </c>
      <c r="U78" s="52">
        <f>IF($C78="B",VLOOKUP($A78,Bat!$A$4:$BA$1417,47,FALSE),VLOOKUP($A78,Pit!$A$4:$BF$570,56,FALSE))</f>
        <v>0</v>
      </c>
      <c r="V78" s="52">
        <f>IF($C78="B",VLOOKUP($A78,Bat!$A$4:$BA$1417,48,FALSE),VLOOKUP($A78,Pit!$A$4:$BF$570,57,FALSE))</f>
        <v>0</v>
      </c>
      <c r="W78" s="52">
        <f>Table5[[#This Row],[posRnk]]+Table5[[#This Row],[zRnk]]+IF($W$3&lt;&gt;Table5[[#This Row],[Type]],50,0)</f>
        <v>124</v>
      </c>
      <c r="X78" s="53">
        <f>RANK(Table5[[#This Row],[zScore]],Table5[[#All],[zScore]])</f>
        <v>74</v>
      </c>
      <c r="Y78" s="52" t="str">
        <f>IFERROR(INDEX(DraftResults[[#All],[OVR]],MATCH(Table5[[#This Row],[PID]],DraftResults[[#All],[Player ID]],0)),"")</f>
        <v/>
      </c>
      <c r="Z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" s="52" t="str">
        <f>IFERROR(INDEX(DraftResults[[#All],[Pick in Round]],MATCH(Table5[[#This Row],[PID]],DraftResults[[#All],[Player ID]],0)),"")</f>
        <v/>
      </c>
      <c r="AB78" s="52" t="str">
        <f>IFERROR(INDEX(DraftResults[[#All],[Team Name]],MATCH(Table5[[#This Row],[PID]],DraftResults[[#All],[Player ID]],0)),"")</f>
        <v/>
      </c>
      <c r="AC78" s="52" t="str">
        <f>IF(Table5[[#This Row],[Ovr]]="","",IF(Table5[[#This Row],[cmbList]]="","",Table5[[#This Row],[cmbList]]-Table5[[#This Row],[Ovr]]))</f>
        <v/>
      </c>
      <c r="AD78" s="56" t="str">
        <f>IF(ISERROR(VLOOKUP($AB78&amp;"-"&amp;$E78&amp;" "&amp;F78,Bonuses!$B$1:$G$1006,4,FALSE)),"",INT(VLOOKUP($AB78&amp;"-"&amp;$E78&amp;" "&amp;$F78,Bonuses!$B$1:$G$1006,4,FALSE)))</f>
        <v/>
      </c>
      <c r="AE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" spans="1:31" s="52" customFormat="1" x14ac:dyDescent="0.25">
      <c r="A79" s="52">
        <v>11022</v>
      </c>
      <c r="B79" s="52">
        <f>COUNTIF(Table5[PID],A79)</f>
        <v>1</v>
      </c>
      <c r="C79" s="52" t="str">
        <f>IF(COUNTIF(Table3[[#All],[PID]],A79)&gt;0,"P","B")</f>
        <v>P</v>
      </c>
      <c r="D79" s="61" t="str">
        <f>IF($C79="B",INDEX(Batters[[#All],[POS]],MATCH(Table5[[#This Row],[PID]],Batters[[#All],[PID]],0)),INDEX(Table3[[#All],[POS]],MATCH(Table5[[#This Row],[PID]],Table3[[#All],[PID]],0)))</f>
        <v>SP</v>
      </c>
      <c r="E79" s="54" t="str">
        <f>IF($C79="B",INDEX(Batters[[#All],[First]],MATCH(Table5[[#This Row],[PID]],Batters[[#All],[PID]],0)),INDEX(Table3[[#All],[First]],MATCH(Table5[[#This Row],[PID]],Table3[[#All],[PID]],0)))</f>
        <v>Alberto</v>
      </c>
      <c r="F79" s="52" t="str">
        <f>IF($C79="B",INDEX(Batters[[#All],[Last]],MATCH(A79,Batters[[#All],[PID]],0)),INDEX(Table3[[#All],[Last]],MATCH(A79,Table3[[#All],[PID]],0)))</f>
        <v>Martínez</v>
      </c>
      <c r="G79" s="58">
        <f>IF($C79="B",INDEX(Batters[[#All],[Age]],MATCH(Table5[[#This Row],[PID]],Batters[[#All],[PID]],0)),INDEX(Table3[[#All],[Age]],MATCH(Table5[[#This Row],[PID]],Table3[[#All],[PID]],0)))</f>
        <v>18</v>
      </c>
      <c r="H79" s="54" t="str">
        <f>IF($C79="B",INDEX(Batters[[#All],[B]],MATCH(Table5[[#This Row],[PID]],Batters[[#All],[PID]],0)),INDEX(Table3[[#All],[B]],MATCH(Table5[[#This Row],[PID]],Table3[[#All],[PID]],0)))</f>
        <v>R</v>
      </c>
      <c r="I79" s="54" t="str">
        <f>IF($C79="B",INDEX(Batters[[#All],[T]],MATCH(Table5[[#This Row],[PID]],Batters[[#All],[PID]],0)),INDEX(Table3[[#All],[T]],MATCH(Table5[[#This Row],[PID]],Table3[[#All],[PID]],0)))</f>
        <v>R</v>
      </c>
      <c r="J79" s="54" t="str">
        <f>IF($C79="B",INDEX(Batters[[#All],[WE]],MATCH(Table5[[#This Row],[PID]],Batters[[#All],[PID]],0)),INDEX(Table3[[#All],[WE]],MATCH(Table5[[#This Row],[PID]],Table3[[#All],[PID]],0)))</f>
        <v>Normal</v>
      </c>
      <c r="K79" s="54" t="str">
        <f>IF($C79="B",INDEX(Batters[[#All],[INT]],MATCH(Table5[[#This Row],[PID]],Batters[[#All],[PID]],0)),INDEX(Table3[[#All],[INT]],MATCH(Table5[[#This Row],[PID]],Table3[[#All],[PID]],0)))</f>
        <v>Normal</v>
      </c>
      <c r="L79" s="62">
        <f>IF($C79="B",INDEX(Batters[[#All],[CON P]],MATCH(Table5[[#This Row],[PID]],Batters[[#All],[PID]],0)),INDEX(Table3[[#All],[STU P]],MATCH(Table5[[#This Row],[PID]],Table3[[#All],[PID]],0)))</f>
        <v>5</v>
      </c>
      <c r="M79" s="58">
        <f>IF($C79="B",INDEX(Batters[[#All],[GAP P]],MATCH(Table5[[#This Row],[PID]],Batters[[#All],[PID]],0)),INDEX(Table3[[#All],[MOV P]],MATCH(Table5[[#This Row],[PID]],Table3[[#All],[PID]],0)))</f>
        <v>5</v>
      </c>
      <c r="N79" s="58">
        <f>IF($C79="B",INDEX(Batters[[#All],[POW P]],MATCH(Table5[[#This Row],[PID]],Batters[[#All],[PID]],0)),INDEX(Table3[[#All],[CON P]],MATCH(Table5[[#This Row],[PID]],Table3[[#All],[PID]],0)))</f>
        <v>3</v>
      </c>
      <c r="O79" s="58" t="str">
        <f>IF($C79="B",INDEX(Batters[[#All],[EYE P]],MATCH(Table5[[#This Row],[PID]],Batters[[#All],[PID]],0)),INDEX(Table3[[#All],[VELO]],MATCH(Table5[[#This Row],[PID]],Table3[[#All],[PID]],0)))</f>
        <v>95-97 Mph</v>
      </c>
      <c r="P79" s="58">
        <f>IF($C79="B",INDEX(Batters[[#All],[K P]],MATCH(Table5[[#This Row],[PID]],Batters[[#All],[PID]],0)),INDEX(Table3[[#All],[STM]],MATCH(Table5[[#This Row],[PID]],Table3[[#All],[PID]],0)))</f>
        <v>7</v>
      </c>
      <c r="Q79" s="63">
        <f>IF($C79="B",INDEX(Batters[[#All],[Tot]],MATCH(Table5[[#This Row],[PID]],Batters[[#All],[PID]],0)),INDEX(Table3[[#All],[Tot]],MATCH(Table5[[#This Row],[PID]],Table3[[#All],[PID]],0)))</f>
        <v>51.327519308097777</v>
      </c>
      <c r="R79" s="54">
        <f>IF($C79="B",INDEX(Batters[[#All],[zScore]],MATCH(Table5[[#This Row],[PID]],Batters[[#All],[PID]],0)),INDEX(Table3[[#All],[zScore]],MATCH(Table5[[#This Row],[PID]],Table3[[#All],[PID]],0)))</f>
        <v>1.7061826378238079</v>
      </c>
      <c r="S79" s="60" t="str">
        <f>IF($C79="B",INDEX(Batters[[#All],[DEM]],MATCH(Table5[[#This Row],[PID]],Batters[[#All],[PID]],0)),INDEX(Table3[[#All],[DEM]],MATCH(Table5[[#This Row],[PID]],Table3[[#All],[PID]],0)))</f>
        <v>$230k</v>
      </c>
      <c r="T79" s="64">
        <f>IF($C79="B",VLOOKUP($A79,Bat!$A$4:$AU$1417,46,FALSE),VLOOKUP($A79,Pit!$A$4:$BD$570,55,FALSE))</f>
        <v>0</v>
      </c>
      <c r="U79" s="52">
        <f>IF($C79="B",VLOOKUP($A79,Bat!$A$4:$BA$1417,47,FALSE),VLOOKUP($A79,Pit!$A$4:$BF$570,56,FALSE))</f>
        <v>0</v>
      </c>
      <c r="V79" s="52">
        <f>IF($C79="B",VLOOKUP($A79,Bat!$A$4:$BA$1417,48,FALSE),VLOOKUP($A79,Pit!$A$4:$BF$570,57,FALSE))</f>
        <v>0</v>
      </c>
      <c r="W79" s="52">
        <f>Table5[[#This Row],[posRnk]]+Table5[[#This Row],[zRnk]]+IF($W$3&lt;&gt;Table5[[#This Row],[Type]],50,0)</f>
        <v>125</v>
      </c>
      <c r="X79" s="53">
        <f>RANK(Table5[[#This Row],[zScore]],Table5[[#All],[zScore]])</f>
        <v>75</v>
      </c>
      <c r="Y79" s="52" t="str">
        <f>IFERROR(INDEX(DraftResults[[#All],[OVR]],MATCH(Table5[[#This Row],[PID]],DraftResults[[#All],[Player ID]],0)),"")</f>
        <v/>
      </c>
      <c r="Z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" s="52" t="str">
        <f>IFERROR(INDEX(DraftResults[[#All],[Pick in Round]],MATCH(Table5[[#This Row],[PID]],DraftResults[[#All],[Player ID]],0)),"")</f>
        <v/>
      </c>
      <c r="AB79" s="52" t="str">
        <f>IFERROR(INDEX(DraftResults[[#All],[Team Name]],MATCH(Table5[[#This Row],[PID]],DraftResults[[#All],[Player ID]],0)),"")</f>
        <v/>
      </c>
      <c r="AC79" s="52" t="str">
        <f>IF(Table5[[#This Row],[Ovr]]="","",IF(Table5[[#This Row],[cmbList]]="","",Table5[[#This Row],[cmbList]]-Table5[[#This Row],[Ovr]]))</f>
        <v/>
      </c>
      <c r="AD79" s="56" t="str">
        <f>IF(ISERROR(VLOOKUP($AB79&amp;"-"&amp;$E79&amp;" "&amp;F79,Bonuses!$B$1:$G$1006,4,FALSE)),"",INT(VLOOKUP($AB79&amp;"-"&amp;$E79&amp;" "&amp;$F79,Bonuses!$B$1:$G$1006,4,FALSE)))</f>
        <v/>
      </c>
      <c r="AE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" spans="1:31" s="52" customFormat="1" x14ac:dyDescent="0.25">
      <c r="A80" s="52">
        <v>8241</v>
      </c>
      <c r="B80" s="52">
        <f>COUNTIF(Table5[PID],A80)</f>
        <v>1</v>
      </c>
      <c r="C80" s="52" t="str">
        <f>IF(COUNTIF(Table3[[#All],[PID]],A80)&gt;0,"P","B")</f>
        <v>P</v>
      </c>
      <c r="D80" s="61" t="str">
        <f>IF($C80="B",INDEX(Batters[[#All],[POS]],MATCH(Table5[[#This Row],[PID]],Batters[[#All],[PID]],0)),INDEX(Table3[[#All],[POS]],MATCH(Table5[[#This Row],[PID]],Table3[[#All],[PID]],0)))</f>
        <v>SP</v>
      </c>
      <c r="E80" s="54" t="str">
        <f>IF($C80="B",INDEX(Batters[[#All],[First]],MATCH(Table5[[#This Row],[PID]],Batters[[#All],[PID]],0)),INDEX(Table3[[#All],[First]],MATCH(Table5[[#This Row],[PID]],Table3[[#All],[PID]],0)))</f>
        <v>Pat</v>
      </c>
      <c r="F80" s="52" t="str">
        <f>IF($C80="B",INDEX(Batters[[#All],[Last]],MATCH(A80,Batters[[#All],[PID]],0)),INDEX(Table3[[#All],[Last]],MATCH(A80,Table3[[#All],[PID]],0)))</f>
        <v>Nicholson</v>
      </c>
      <c r="G80" s="58">
        <f>IF($C80="B",INDEX(Batters[[#All],[Age]],MATCH(Table5[[#This Row],[PID]],Batters[[#All],[PID]],0)),INDEX(Table3[[#All],[Age]],MATCH(Table5[[#This Row],[PID]],Table3[[#All],[PID]],0)))</f>
        <v>18</v>
      </c>
      <c r="H80" s="54" t="str">
        <f>IF($C80="B",INDEX(Batters[[#All],[B]],MATCH(Table5[[#This Row],[PID]],Batters[[#All],[PID]],0)),INDEX(Table3[[#All],[B]],MATCH(Table5[[#This Row],[PID]],Table3[[#All],[PID]],0)))</f>
        <v>R</v>
      </c>
      <c r="I80" s="54" t="str">
        <f>IF($C80="B",INDEX(Batters[[#All],[T]],MATCH(Table5[[#This Row],[PID]],Batters[[#All],[PID]],0)),INDEX(Table3[[#All],[T]],MATCH(Table5[[#This Row],[PID]],Table3[[#All],[PID]],0)))</f>
        <v>R</v>
      </c>
      <c r="J80" s="54" t="str">
        <f>IF($C80="B",INDEX(Batters[[#All],[WE]],MATCH(Table5[[#This Row],[PID]],Batters[[#All],[PID]],0)),INDEX(Table3[[#All],[WE]],MATCH(Table5[[#This Row],[PID]],Table3[[#All],[PID]],0)))</f>
        <v>Normal</v>
      </c>
      <c r="K80" s="54" t="str">
        <f>IF($C80="B",INDEX(Batters[[#All],[INT]],MATCH(Table5[[#This Row],[PID]],Batters[[#All],[PID]],0)),INDEX(Table3[[#All],[INT]],MATCH(Table5[[#This Row],[PID]],Table3[[#All],[PID]],0)))</f>
        <v>Normal</v>
      </c>
      <c r="L80" s="62">
        <f>IF($C80="B",INDEX(Batters[[#All],[CON P]],MATCH(Table5[[#This Row],[PID]],Batters[[#All],[PID]],0)),INDEX(Table3[[#All],[STU P]],MATCH(Table5[[#This Row],[PID]],Table3[[#All],[PID]],0)))</f>
        <v>5</v>
      </c>
      <c r="M80" s="58">
        <f>IF($C80="B",INDEX(Batters[[#All],[GAP P]],MATCH(Table5[[#This Row],[PID]],Batters[[#All],[PID]],0)),INDEX(Table3[[#All],[MOV P]],MATCH(Table5[[#This Row],[PID]],Table3[[#All],[PID]],0)))</f>
        <v>5</v>
      </c>
      <c r="N80" s="58">
        <f>IF($C80="B",INDEX(Batters[[#All],[POW P]],MATCH(Table5[[#This Row],[PID]],Batters[[#All],[PID]],0)),INDEX(Table3[[#All],[CON P]],MATCH(Table5[[#This Row],[PID]],Table3[[#All],[PID]],0)))</f>
        <v>3</v>
      </c>
      <c r="O80" s="58" t="str">
        <f>IF($C80="B",INDEX(Batters[[#All],[EYE P]],MATCH(Table5[[#This Row],[PID]],Batters[[#All],[PID]],0)),INDEX(Table3[[#All],[VELO]],MATCH(Table5[[#This Row],[PID]],Table3[[#All],[PID]],0)))</f>
        <v>92-94 Mph</v>
      </c>
      <c r="P80" s="58">
        <f>IF($C80="B",INDEX(Batters[[#All],[K P]],MATCH(Table5[[#This Row],[PID]],Batters[[#All],[PID]],0)),INDEX(Table3[[#All],[STM]],MATCH(Table5[[#This Row],[PID]],Table3[[#All],[PID]],0)))</f>
        <v>7</v>
      </c>
      <c r="Q80" s="63">
        <f>IF($C80="B",INDEX(Batters[[#All],[Tot]],MATCH(Table5[[#This Row],[PID]],Batters[[#All],[PID]],0)),INDEX(Table3[[#All],[Tot]],MATCH(Table5[[#This Row],[PID]],Table3[[#All],[PID]],0)))</f>
        <v>51.320603933286527</v>
      </c>
      <c r="R80" s="54">
        <f>IF($C80="B",INDEX(Batters[[#All],[zScore]],MATCH(Table5[[#This Row],[PID]],Batters[[#All],[PID]],0)),INDEX(Table3[[#All],[zScore]],MATCH(Table5[[#This Row],[PID]],Table3[[#All],[PID]],0)))</f>
        <v>1.7055484683966831</v>
      </c>
      <c r="S80" s="60" t="str">
        <f>IF($C80="B",INDEX(Batters[[#All],[DEM]],MATCH(Table5[[#This Row],[PID]],Batters[[#All],[PID]],0)),INDEX(Table3[[#All],[DEM]],MATCH(Table5[[#This Row],[PID]],Table3[[#All],[PID]],0)))</f>
        <v>$200k</v>
      </c>
      <c r="T80" s="64">
        <f>IF($C80="B",VLOOKUP($A80,Bat!$A$4:$AU$1417,46,FALSE),VLOOKUP($A80,Pit!$A$4:$BD$570,55,FALSE))</f>
        <v>0</v>
      </c>
      <c r="U80" s="52">
        <f>IF($C80="B",VLOOKUP($A80,Bat!$A$4:$BA$1417,47,FALSE),VLOOKUP($A80,Pit!$A$4:$BF$570,56,FALSE))</f>
        <v>0</v>
      </c>
      <c r="V80" s="52">
        <f>IF($C80="B",VLOOKUP($A80,Bat!$A$4:$BA$1417,48,FALSE),VLOOKUP($A80,Pit!$A$4:$BF$570,57,FALSE))</f>
        <v>0</v>
      </c>
      <c r="W80" s="52">
        <f>Table5[[#This Row],[posRnk]]+Table5[[#This Row],[zRnk]]+IF($W$3&lt;&gt;Table5[[#This Row],[Type]],50,0)</f>
        <v>126</v>
      </c>
      <c r="X80" s="53">
        <f>RANK(Table5[[#This Row],[zScore]],Table5[[#All],[zScore]])</f>
        <v>76</v>
      </c>
      <c r="Y80" s="52" t="str">
        <f>IFERROR(INDEX(DraftResults[[#All],[OVR]],MATCH(Table5[[#This Row],[PID]],DraftResults[[#All],[Player ID]],0)),"")</f>
        <v/>
      </c>
      <c r="Z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" s="52" t="str">
        <f>IFERROR(INDEX(DraftResults[[#All],[Pick in Round]],MATCH(Table5[[#This Row],[PID]],DraftResults[[#All],[Player ID]],0)),"")</f>
        <v/>
      </c>
      <c r="AB80" s="52" t="str">
        <f>IFERROR(INDEX(DraftResults[[#All],[Team Name]],MATCH(Table5[[#This Row],[PID]],DraftResults[[#All],[Player ID]],0)),"")</f>
        <v/>
      </c>
      <c r="AC80" s="52" t="str">
        <f>IF(Table5[[#This Row],[Ovr]]="","",IF(Table5[[#This Row],[cmbList]]="","",Table5[[#This Row],[cmbList]]-Table5[[#This Row],[Ovr]]))</f>
        <v/>
      </c>
      <c r="AD80" s="56" t="str">
        <f>IF(ISERROR(VLOOKUP($AB80&amp;"-"&amp;$E80&amp;" "&amp;F80,Bonuses!$B$1:$G$1006,4,FALSE)),"",INT(VLOOKUP($AB80&amp;"-"&amp;$E80&amp;" "&amp;$F80,Bonuses!$B$1:$G$1006,4,FALSE)))</f>
        <v/>
      </c>
      <c r="AE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" spans="1:31" s="52" customFormat="1" x14ac:dyDescent="0.25">
      <c r="A81" s="52">
        <v>5971</v>
      </c>
      <c r="B81" s="52">
        <f>COUNTIF(Table5[PID],A81)</f>
        <v>1</v>
      </c>
      <c r="C81" s="52" t="str">
        <f>IF(COUNTIF(Table3[[#All],[PID]],A81)&gt;0,"P","B")</f>
        <v>B</v>
      </c>
      <c r="D81" s="61" t="str">
        <f>IF($C81="B",INDEX(Batters[[#All],[POS]],MATCH(Table5[[#This Row],[PID]],Batters[[#All],[PID]],0)),INDEX(Table3[[#All],[POS]],MATCH(Table5[[#This Row],[PID]],Table3[[#All],[PID]],0)))</f>
        <v>1B</v>
      </c>
      <c r="E81" s="54" t="str">
        <f>IF($C81="B",INDEX(Batters[[#All],[First]],MATCH(Table5[[#This Row],[PID]],Batters[[#All],[PID]],0)),INDEX(Table3[[#All],[First]],MATCH(Table5[[#This Row],[PID]],Table3[[#All],[PID]],0)))</f>
        <v>Roberto</v>
      </c>
      <c r="F81" s="52" t="str">
        <f>IF($C81="B",INDEX(Batters[[#All],[Last]],MATCH(A81,Batters[[#All],[PID]],0)),INDEX(Table3[[#All],[Last]],MATCH(A81,Table3[[#All],[PID]],0)))</f>
        <v>Rivera</v>
      </c>
      <c r="G81" s="58">
        <f>IF($C81="B",INDEX(Batters[[#All],[Age]],MATCH(Table5[[#This Row],[PID]],Batters[[#All],[PID]],0)),INDEX(Table3[[#All],[Age]],MATCH(Table5[[#This Row],[PID]],Table3[[#All],[PID]],0)))</f>
        <v>18</v>
      </c>
      <c r="H81" s="54" t="str">
        <f>IF($C81="B",INDEX(Batters[[#All],[B]],MATCH(Table5[[#This Row],[PID]],Batters[[#All],[PID]],0)),INDEX(Table3[[#All],[B]],MATCH(Table5[[#This Row],[PID]],Table3[[#All],[PID]],0)))</f>
        <v>R</v>
      </c>
      <c r="I81" s="54" t="str">
        <f>IF($C81="B",INDEX(Batters[[#All],[T]],MATCH(Table5[[#This Row],[PID]],Batters[[#All],[PID]],0)),INDEX(Table3[[#All],[T]],MATCH(Table5[[#This Row],[PID]],Table3[[#All],[PID]],0)))</f>
        <v>R</v>
      </c>
      <c r="J81" s="54" t="str">
        <f>IF($C81="B",INDEX(Batters[[#All],[WE]],MATCH(Table5[[#This Row],[PID]],Batters[[#All],[PID]],0)),INDEX(Table3[[#All],[WE]],MATCH(Table5[[#This Row],[PID]],Table3[[#All],[PID]],0)))</f>
        <v>Normal</v>
      </c>
      <c r="K81" s="54" t="str">
        <f>IF($C81="B",INDEX(Batters[[#All],[INT]],MATCH(Table5[[#This Row],[PID]],Batters[[#All],[PID]],0)),INDEX(Table3[[#All],[INT]],MATCH(Table5[[#This Row],[PID]],Table3[[#All],[PID]],0)))</f>
        <v>Normal</v>
      </c>
      <c r="L81" s="62">
        <f>IF($C81="B",INDEX(Batters[[#All],[CON P]],MATCH(Table5[[#This Row],[PID]],Batters[[#All],[PID]],0)),INDEX(Table3[[#All],[STU P]],MATCH(Table5[[#This Row],[PID]],Table3[[#All],[PID]],0)))</f>
        <v>2</v>
      </c>
      <c r="M81" s="58">
        <f>IF($C81="B",INDEX(Batters[[#All],[GAP P]],MATCH(Table5[[#This Row],[PID]],Batters[[#All],[PID]],0)),INDEX(Table3[[#All],[MOV P]],MATCH(Table5[[#This Row],[PID]],Table3[[#All],[PID]],0)))</f>
        <v>3</v>
      </c>
      <c r="N81" s="58">
        <f>IF($C81="B",INDEX(Batters[[#All],[POW P]],MATCH(Table5[[#This Row],[PID]],Batters[[#All],[PID]],0)),INDEX(Table3[[#All],[CON P]],MATCH(Table5[[#This Row],[PID]],Table3[[#All],[PID]],0)))</f>
        <v>2</v>
      </c>
      <c r="O81" s="58">
        <f>IF($C81="B",INDEX(Batters[[#All],[EYE P]],MATCH(Table5[[#This Row],[PID]],Batters[[#All],[PID]],0)),INDEX(Table3[[#All],[VELO]],MATCH(Table5[[#This Row],[PID]],Table3[[#All],[PID]],0)))</f>
        <v>1</v>
      </c>
      <c r="P81" s="58">
        <f>IF($C81="B",INDEX(Batters[[#All],[K P]],MATCH(Table5[[#This Row],[PID]],Batters[[#All],[PID]],0)),INDEX(Table3[[#All],[STM]],MATCH(Table5[[#This Row],[PID]],Table3[[#All],[PID]],0)))</f>
        <v>3</v>
      </c>
      <c r="Q81" s="63">
        <f>IF($C81="B",INDEX(Batters[[#All],[Tot]],MATCH(Table5[[#This Row],[PID]],Batters[[#All],[PID]],0)),INDEX(Table3[[#All],[Tot]],MATCH(Table5[[#This Row],[PID]],Table3[[#All],[PID]],0)))</f>
        <v>50</v>
      </c>
      <c r="R81" s="54">
        <f>IF($C81="B",INDEX(Batters[[#All],[zScore]],MATCH(Table5[[#This Row],[PID]],Batters[[#All],[PID]],0)),INDEX(Table3[[#All],[zScore]],MATCH(Table5[[#This Row],[PID]],Table3[[#All],[PID]],0)))</f>
        <v>1.6981617288547248</v>
      </c>
      <c r="S81" s="60" t="str">
        <f>IF($C81="B",INDEX(Batters[[#All],[DEM]],MATCH(Table5[[#This Row],[PID]],Batters[[#All],[PID]],0)),INDEX(Table3[[#All],[DEM]],MATCH(Table5[[#This Row],[PID]],Table3[[#All],[PID]],0)))</f>
        <v>$65k</v>
      </c>
      <c r="T81" s="64">
        <f>IF($C81="B",VLOOKUP($A81,Bat!$A$4:$AU$1417,46,FALSE),VLOOKUP($A81,Pit!$A$4:$BD$570,55,FALSE))</f>
        <v>0</v>
      </c>
      <c r="U81" s="52">
        <f>IF($C81="B",VLOOKUP($A81,Bat!$A$4:$BA$1417,47,FALSE),VLOOKUP($A81,Pit!$A$4:$BF$570,56,FALSE))</f>
        <v>0</v>
      </c>
      <c r="V81" s="52">
        <f>IF($C81="B",VLOOKUP($A81,Bat!$A$4:$BA$1417,48,FALSE),VLOOKUP($A81,Pit!$A$4:$BF$570,57,FALSE))</f>
        <v>0</v>
      </c>
      <c r="W81" s="52">
        <f>Table5[[#This Row],[posRnk]]+Table5[[#This Row],[zRnk]]+IF($W$3&lt;&gt;Table5[[#This Row],[Type]],50,0)</f>
        <v>127</v>
      </c>
      <c r="X81" s="53">
        <f>RANK(Table5[[#This Row],[zScore]],Table5[[#All],[zScore]])</f>
        <v>77</v>
      </c>
      <c r="Y81" s="52" t="str">
        <f>IFERROR(INDEX(DraftResults[[#All],[OVR]],MATCH(Table5[[#This Row],[PID]],DraftResults[[#All],[Player ID]],0)),"")</f>
        <v/>
      </c>
      <c r="Z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" s="52" t="str">
        <f>IFERROR(INDEX(DraftResults[[#All],[Pick in Round]],MATCH(Table5[[#This Row],[PID]],DraftResults[[#All],[Player ID]],0)),"")</f>
        <v/>
      </c>
      <c r="AB81" s="52" t="str">
        <f>IFERROR(INDEX(DraftResults[[#All],[Team Name]],MATCH(Table5[[#This Row],[PID]],DraftResults[[#All],[Player ID]],0)),"")</f>
        <v/>
      </c>
      <c r="AC81" s="52" t="str">
        <f>IF(Table5[[#This Row],[Ovr]]="","",IF(Table5[[#This Row],[cmbList]]="","",Table5[[#This Row],[cmbList]]-Table5[[#This Row],[Ovr]]))</f>
        <v/>
      </c>
      <c r="AD81" s="56" t="str">
        <f>IF(ISERROR(VLOOKUP($AB81&amp;"-"&amp;$E81&amp;" "&amp;F81,Bonuses!$B$1:$G$1006,4,FALSE)),"",INT(VLOOKUP($AB81&amp;"-"&amp;$E81&amp;" "&amp;$F81,Bonuses!$B$1:$G$1006,4,FALSE)))</f>
        <v/>
      </c>
      <c r="AE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" spans="1:31" s="52" customFormat="1" x14ac:dyDescent="0.25">
      <c r="A82" s="52">
        <v>11104</v>
      </c>
      <c r="B82" s="52">
        <f>COUNTIF(Table5[PID],A82)</f>
        <v>1</v>
      </c>
      <c r="C82" s="52" t="str">
        <f>IF(COUNTIF(Table3[[#All],[PID]],A82)&gt;0,"P","B")</f>
        <v>B</v>
      </c>
      <c r="D82" s="61" t="str">
        <f>IF($C82="B",INDEX(Batters[[#All],[POS]],MATCH(Table5[[#This Row],[PID]],Batters[[#All],[PID]],0)),INDEX(Table3[[#All],[POS]],MATCH(Table5[[#This Row],[PID]],Table3[[#All],[PID]],0)))</f>
        <v>1B</v>
      </c>
      <c r="E82" s="54" t="str">
        <f>IF($C82="B",INDEX(Batters[[#All],[First]],MATCH(Table5[[#This Row],[PID]],Batters[[#All],[PID]],0)),INDEX(Table3[[#All],[First]],MATCH(Table5[[#This Row],[PID]],Table3[[#All],[PID]],0)))</f>
        <v>Luke</v>
      </c>
      <c r="F82" s="52" t="str">
        <f>IF($C82="B",INDEX(Batters[[#All],[Last]],MATCH(A82,Batters[[#All],[PID]],0)),INDEX(Table3[[#All],[Last]],MATCH(A82,Table3[[#All],[PID]],0)))</f>
        <v>Wright</v>
      </c>
      <c r="G82" s="58">
        <f>IF($C82="B",INDEX(Batters[[#All],[Age]],MATCH(Table5[[#This Row],[PID]],Batters[[#All],[PID]],0)),INDEX(Table3[[#All],[Age]],MATCH(Table5[[#This Row],[PID]],Table3[[#All],[PID]],0)))</f>
        <v>18</v>
      </c>
      <c r="H82" s="54" t="str">
        <f>IF($C82="B",INDEX(Batters[[#All],[B]],MATCH(Table5[[#This Row],[PID]],Batters[[#All],[PID]],0)),INDEX(Table3[[#All],[B]],MATCH(Table5[[#This Row],[PID]],Table3[[#All],[PID]],0)))</f>
        <v>S</v>
      </c>
      <c r="I82" s="54" t="str">
        <f>IF($C82="B",INDEX(Batters[[#All],[T]],MATCH(Table5[[#This Row],[PID]],Batters[[#All],[PID]],0)),INDEX(Table3[[#All],[T]],MATCH(Table5[[#This Row],[PID]],Table3[[#All],[PID]],0)))</f>
        <v>R</v>
      </c>
      <c r="J82" s="54" t="str">
        <f>IF($C82="B",INDEX(Batters[[#All],[WE]],MATCH(Table5[[#This Row],[PID]],Batters[[#All],[PID]],0)),INDEX(Table3[[#All],[WE]],MATCH(Table5[[#This Row],[PID]],Table3[[#All],[PID]],0)))</f>
        <v>Normal</v>
      </c>
      <c r="K82" s="54" t="str">
        <f>IF($C82="B",INDEX(Batters[[#All],[INT]],MATCH(Table5[[#This Row],[PID]],Batters[[#All],[PID]],0)),INDEX(Table3[[#All],[INT]],MATCH(Table5[[#This Row],[PID]],Table3[[#All],[PID]],0)))</f>
        <v>Normal</v>
      </c>
      <c r="L82" s="62">
        <f>IF($C82="B",INDEX(Batters[[#All],[CON P]],MATCH(Table5[[#This Row],[PID]],Batters[[#All],[PID]],0)),INDEX(Table3[[#All],[STU P]],MATCH(Table5[[#This Row],[PID]],Table3[[#All],[PID]],0)))</f>
        <v>2</v>
      </c>
      <c r="M82" s="58">
        <f>IF($C82="B",INDEX(Batters[[#All],[GAP P]],MATCH(Table5[[#This Row],[PID]],Batters[[#All],[PID]],0)),INDEX(Table3[[#All],[MOV P]],MATCH(Table5[[#This Row],[PID]],Table3[[#All],[PID]],0)))</f>
        <v>2</v>
      </c>
      <c r="N82" s="58">
        <f>IF($C82="B",INDEX(Batters[[#All],[POW P]],MATCH(Table5[[#This Row],[PID]],Batters[[#All],[PID]],0)),INDEX(Table3[[#All],[CON P]],MATCH(Table5[[#This Row],[PID]],Table3[[#All],[PID]],0)))</f>
        <v>3</v>
      </c>
      <c r="O82" s="58">
        <f>IF($C82="B",INDEX(Batters[[#All],[EYE P]],MATCH(Table5[[#This Row],[PID]],Batters[[#All],[PID]],0)),INDEX(Table3[[#All],[VELO]],MATCH(Table5[[#This Row],[PID]],Table3[[#All],[PID]],0)))</f>
        <v>3</v>
      </c>
      <c r="P82" s="58">
        <f>IF($C82="B",INDEX(Batters[[#All],[K P]],MATCH(Table5[[#This Row],[PID]],Batters[[#All],[PID]],0)),INDEX(Table3[[#All],[STM]],MATCH(Table5[[#This Row],[PID]],Table3[[#All],[PID]],0)))</f>
        <v>2</v>
      </c>
      <c r="Q82" s="63">
        <f>IF($C82="B",INDEX(Batters[[#All],[Tot]],MATCH(Table5[[#This Row],[PID]],Batters[[#All],[PID]],0)),INDEX(Table3[[#All],[Tot]],MATCH(Table5[[#This Row],[PID]],Table3[[#All],[PID]],0)))</f>
        <v>50</v>
      </c>
      <c r="R82" s="54">
        <f>IF($C82="B",INDEX(Batters[[#All],[zScore]],MATCH(Table5[[#This Row],[PID]],Batters[[#All],[PID]],0)),INDEX(Table3[[#All],[zScore]],MATCH(Table5[[#This Row],[PID]],Table3[[#All],[PID]],0)))</f>
        <v>1.6981617288547248</v>
      </c>
      <c r="S82" s="60" t="str">
        <f>IF($C82="B",INDEX(Batters[[#All],[DEM]],MATCH(Table5[[#This Row],[PID]],Batters[[#All],[PID]],0)),INDEX(Table3[[#All],[DEM]],MATCH(Table5[[#This Row],[PID]],Table3[[#All],[PID]],0)))</f>
        <v>$75k</v>
      </c>
      <c r="T82" s="64">
        <f>IF($C82="B",VLOOKUP($A82,Bat!$A$4:$AU$1417,46,FALSE),VLOOKUP($A82,Pit!$A$4:$BD$570,55,FALSE))</f>
        <v>0</v>
      </c>
      <c r="U82" s="52">
        <f>IF($C82="B",VLOOKUP($A82,Bat!$A$4:$BA$1417,47,FALSE),VLOOKUP($A82,Pit!$A$4:$BF$570,56,FALSE))</f>
        <v>0</v>
      </c>
      <c r="V82" s="52">
        <f>IF($C82="B",VLOOKUP($A82,Bat!$A$4:$BA$1417,48,FALSE),VLOOKUP($A82,Pit!$A$4:$BF$570,57,FALSE))</f>
        <v>0</v>
      </c>
      <c r="W82" s="52">
        <f>Table5[[#This Row],[posRnk]]+Table5[[#This Row],[zRnk]]+IF($W$3&lt;&gt;Table5[[#This Row],[Type]],50,0)</f>
        <v>127</v>
      </c>
      <c r="X82" s="53">
        <f>RANK(Table5[[#This Row],[zScore]],Table5[[#All],[zScore]])</f>
        <v>77</v>
      </c>
      <c r="Y82" s="52" t="str">
        <f>IFERROR(INDEX(DraftResults[[#All],[OVR]],MATCH(Table5[[#This Row],[PID]],DraftResults[[#All],[Player ID]],0)),"")</f>
        <v/>
      </c>
      <c r="Z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" s="52" t="str">
        <f>IFERROR(INDEX(DraftResults[[#All],[Pick in Round]],MATCH(Table5[[#This Row],[PID]],DraftResults[[#All],[Player ID]],0)),"")</f>
        <v/>
      </c>
      <c r="AB82" s="52" t="str">
        <f>IFERROR(INDEX(DraftResults[[#All],[Team Name]],MATCH(Table5[[#This Row],[PID]],DraftResults[[#All],[Player ID]],0)),"")</f>
        <v/>
      </c>
      <c r="AC82" s="52" t="str">
        <f>IF(Table5[[#This Row],[Ovr]]="","",IF(Table5[[#This Row],[cmbList]]="","",Table5[[#This Row],[cmbList]]-Table5[[#This Row],[Ovr]]))</f>
        <v/>
      </c>
      <c r="AD82" s="56" t="str">
        <f>IF(ISERROR(VLOOKUP($AB82&amp;"-"&amp;$E82&amp;" "&amp;F82,Bonuses!$B$1:$G$1006,4,FALSE)),"",INT(VLOOKUP($AB82&amp;"-"&amp;$E82&amp;" "&amp;$F82,Bonuses!$B$1:$G$1006,4,FALSE)))</f>
        <v/>
      </c>
      <c r="AE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" spans="1:31" s="52" customFormat="1" x14ac:dyDescent="0.25">
      <c r="A83" s="52">
        <v>14075</v>
      </c>
      <c r="B83" s="52">
        <f>COUNTIF(Table5[PID],A83)</f>
        <v>1</v>
      </c>
      <c r="C83" s="52" t="str">
        <f>IF(COUNTIF(Table3[[#All],[PID]],A83)&gt;0,"P","B")</f>
        <v>B</v>
      </c>
      <c r="D83" s="61" t="str">
        <f>IF($C83="B",INDEX(Batters[[#All],[POS]],MATCH(Table5[[#This Row],[PID]],Batters[[#All],[PID]],0)),INDEX(Table3[[#All],[POS]],MATCH(Table5[[#This Row],[PID]],Table3[[#All],[PID]],0)))</f>
        <v>3B</v>
      </c>
      <c r="E83" s="54" t="str">
        <f>IF($C83="B",INDEX(Batters[[#All],[First]],MATCH(Table5[[#This Row],[PID]],Batters[[#All],[PID]],0)),INDEX(Table3[[#All],[First]],MATCH(Table5[[#This Row],[PID]],Table3[[#All],[PID]],0)))</f>
        <v>Patrick</v>
      </c>
      <c r="F83" s="52" t="str">
        <f>IF($C83="B",INDEX(Batters[[#All],[Last]],MATCH(A83,Batters[[#All],[PID]],0)),INDEX(Table3[[#All],[Last]],MATCH(A83,Table3[[#All],[PID]],0)))</f>
        <v>Reive</v>
      </c>
      <c r="G83" s="58">
        <f>IF($C83="B",INDEX(Batters[[#All],[Age]],MATCH(Table5[[#This Row],[PID]],Batters[[#All],[PID]],0)),INDEX(Table3[[#All],[Age]],MATCH(Table5[[#This Row],[PID]],Table3[[#All],[PID]],0)))</f>
        <v>18</v>
      </c>
      <c r="H83" s="54" t="str">
        <f>IF($C83="B",INDEX(Batters[[#All],[B]],MATCH(Table5[[#This Row],[PID]],Batters[[#All],[PID]],0)),INDEX(Table3[[#All],[B]],MATCH(Table5[[#This Row],[PID]],Table3[[#All],[PID]],0)))</f>
        <v>R</v>
      </c>
      <c r="I83" s="54" t="str">
        <f>IF($C83="B",INDEX(Batters[[#All],[T]],MATCH(Table5[[#This Row],[PID]],Batters[[#All],[PID]],0)),INDEX(Table3[[#All],[T]],MATCH(Table5[[#This Row],[PID]],Table3[[#All],[PID]],0)))</f>
        <v>R</v>
      </c>
      <c r="J83" s="54" t="str">
        <f>IF($C83="B",INDEX(Batters[[#All],[WE]],MATCH(Table5[[#This Row],[PID]],Batters[[#All],[PID]],0)),INDEX(Table3[[#All],[WE]],MATCH(Table5[[#This Row],[PID]],Table3[[#All],[PID]],0)))</f>
        <v>Normal</v>
      </c>
      <c r="K83" s="54" t="str">
        <f>IF($C83="B",INDEX(Batters[[#All],[INT]],MATCH(Table5[[#This Row],[PID]],Batters[[#All],[PID]],0)),INDEX(Table3[[#All],[INT]],MATCH(Table5[[#This Row],[PID]],Table3[[#All],[PID]],0)))</f>
        <v>Normal</v>
      </c>
      <c r="L83" s="62">
        <f>IF($C83="B",INDEX(Batters[[#All],[CON P]],MATCH(Table5[[#This Row],[PID]],Batters[[#All],[PID]],0)),INDEX(Table3[[#All],[STU P]],MATCH(Table5[[#This Row],[PID]],Table3[[#All],[PID]],0)))</f>
        <v>2</v>
      </c>
      <c r="M83" s="58">
        <f>IF($C83="B",INDEX(Batters[[#All],[GAP P]],MATCH(Table5[[#This Row],[PID]],Batters[[#All],[PID]],0)),INDEX(Table3[[#All],[MOV P]],MATCH(Table5[[#This Row],[PID]],Table3[[#All],[PID]],0)))</f>
        <v>3</v>
      </c>
      <c r="N83" s="58">
        <f>IF($C83="B",INDEX(Batters[[#All],[POW P]],MATCH(Table5[[#This Row],[PID]],Batters[[#All],[PID]],0)),INDEX(Table3[[#All],[CON P]],MATCH(Table5[[#This Row],[PID]],Table3[[#All],[PID]],0)))</f>
        <v>6</v>
      </c>
      <c r="O83" s="58">
        <f>IF($C83="B",INDEX(Batters[[#All],[EYE P]],MATCH(Table5[[#This Row],[PID]],Batters[[#All],[PID]],0)),INDEX(Table3[[#All],[VELO]],MATCH(Table5[[#This Row],[PID]],Table3[[#All],[PID]],0)))</f>
        <v>5</v>
      </c>
      <c r="P83" s="58">
        <f>IF($C83="B",INDEX(Batters[[#All],[K P]],MATCH(Table5[[#This Row],[PID]],Batters[[#All],[PID]],0)),INDEX(Table3[[#All],[STM]],MATCH(Table5[[#This Row],[PID]],Table3[[#All],[PID]],0)))</f>
        <v>1</v>
      </c>
      <c r="Q83" s="63">
        <f>IF($C83="B",INDEX(Batters[[#All],[Tot]],MATCH(Table5[[#This Row],[PID]],Batters[[#All],[PID]],0)),INDEX(Table3[[#All],[Tot]],MATCH(Table5[[#This Row],[PID]],Table3[[#All],[PID]],0)))</f>
        <v>50</v>
      </c>
      <c r="R83" s="54">
        <f>IF($C83="B",INDEX(Batters[[#All],[zScore]],MATCH(Table5[[#This Row],[PID]],Batters[[#All],[PID]],0)),INDEX(Table3[[#All],[zScore]],MATCH(Table5[[#This Row],[PID]],Table3[[#All],[PID]],0)))</f>
        <v>1.6981617288547248</v>
      </c>
      <c r="S83" s="60" t="str">
        <f>IF($C83="B",INDEX(Batters[[#All],[DEM]],MATCH(Table5[[#This Row],[PID]],Batters[[#All],[PID]],0)),INDEX(Table3[[#All],[DEM]],MATCH(Table5[[#This Row],[PID]],Table3[[#All],[PID]],0)))</f>
        <v>$200k</v>
      </c>
      <c r="T83" s="64">
        <f>IF($C83="B",VLOOKUP($A83,Bat!$A$4:$AU$1417,46,FALSE),VLOOKUP($A83,Pit!$A$4:$BD$570,55,FALSE))</f>
        <v>0</v>
      </c>
      <c r="U83" s="52">
        <f>IF($C83="B",VLOOKUP($A83,Bat!$A$4:$BA$1417,47,FALSE),VLOOKUP($A83,Pit!$A$4:$BF$570,56,FALSE))</f>
        <v>0</v>
      </c>
      <c r="V83" s="52">
        <f>IF($C83="B",VLOOKUP($A83,Bat!$A$4:$BA$1417,48,FALSE),VLOOKUP($A83,Pit!$A$4:$BF$570,57,FALSE))</f>
        <v>0</v>
      </c>
      <c r="W83" s="52">
        <f>Table5[[#This Row],[posRnk]]+Table5[[#This Row],[zRnk]]+IF($W$3&lt;&gt;Table5[[#This Row],[Type]],50,0)</f>
        <v>127</v>
      </c>
      <c r="X83" s="53">
        <f>RANK(Table5[[#This Row],[zScore]],Table5[[#All],[zScore]])</f>
        <v>77</v>
      </c>
      <c r="Y83" s="52" t="str">
        <f>IFERROR(INDEX(DraftResults[[#All],[OVR]],MATCH(Table5[[#This Row],[PID]],DraftResults[[#All],[Player ID]],0)),"")</f>
        <v/>
      </c>
      <c r="Z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" s="52" t="str">
        <f>IFERROR(INDEX(DraftResults[[#All],[Pick in Round]],MATCH(Table5[[#This Row],[PID]],DraftResults[[#All],[Player ID]],0)),"")</f>
        <v/>
      </c>
      <c r="AB83" s="52" t="str">
        <f>IFERROR(INDEX(DraftResults[[#All],[Team Name]],MATCH(Table5[[#This Row],[PID]],DraftResults[[#All],[Player ID]],0)),"")</f>
        <v/>
      </c>
      <c r="AC83" s="52" t="str">
        <f>IF(Table5[[#This Row],[Ovr]]="","",IF(Table5[[#This Row],[cmbList]]="","",Table5[[#This Row],[cmbList]]-Table5[[#This Row],[Ovr]]))</f>
        <v/>
      </c>
      <c r="AD83" s="56" t="str">
        <f>IF(ISERROR(VLOOKUP($AB83&amp;"-"&amp;$E83&amp;" "&amp;F83,Bonuses!$B$1:$G$1006,4,FALSE)),"",INT(VLOOKUP($AB83&amp;"-"&amp;$E83&amp;" "&amp;$F83,Bonuses!$B$1:$G$1006,4,FALSE)))</f>
        <v/>
      </c>
      <c r="AE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" spans="1:31" s="52" customFormat="1" x14ac:dyDescent="0.25">
      <c r="A84" s="52">
        <v>8757</v>
      </c>
      <c r="B84" s="52">
        <f>COUNTIF(Table5[PID],A84)</f>
        <v>1</v>
      </c>
      <c r="C84" s="52" t="str">
        <f>IF(COUNTIF(Table3[[#All],[PID]],A84)&gt;0,"P","B")</f>
        <v>B</v>
      </c>
      <c r="D84" s="61" t="str">
        <f>IF($C84="B",INDEX(Batters[[#All],[POS]],MATCH(Table5[[#This Row],[PID]],Batters[[#All],[PID]],0)),INDEX(Table3[[#All],[POS]],MATCH(Table5[[#This Row],[PID]],Table3[[#All],[PID]],0)))</f>
        <v>3B</v>
      </c>
      <c r="E84" s="54" t="str">
        <f>IF($C84="B",INDEX(Batters[[#All],[First]],MATCH(Table5[[#This Row],[PID]],Batters[[#All],[PID]],0)),INDEX(Table3[[#All],[First]],MATCH(Table5[[#This Row],[PID]],Table3[[#All],[PID]],0)))</f>
        <v>Rob</v>
      </c>
      <c r="F84" s="52" t="str">
        <f>IF($C84="B",INDEX(Batters[[#All],[Last]],MATCH(A84,Batters[[#All],[PID]],0)),INDEX(Table3[[#All],[Last]],MATCH(A84,Table3[[#All],[PID]],0)))</f>
        <v>Robertson</v>
      </c>
      <c r="G84" s="58">
        <f>IF($C84="B",INDEX(Batters[[#All],[Age]],MATCH(Table5[[#This Row],[PID]],Batters[[#All],[PID]],0)),INDEX(Table3[[#All],[Age]],MATCH(Table5[[#This Row],[PID]],Table3[[#All],[PID]],0)))</f>
        <v>18</v>
      </c>
      <c r="H84" s="54" t="str">
        <f>IF($C84="B",INDEX(Batters[[#All],[B]],MATCH(Table5[[#This Row],[PID]],Batters[[#All],[PID]],0)),INDEX(Table3[[#All],[B]],MATCH(Table5[[#This Row],[PID]],Table3[[#All],[PID]],0)))</f>
        <v>R</v>
      </c>
      <c r="I84" s="54" t="str">
        <f>IF($C84="B",INDEX(Batters[[#All],[T]],MATCH(Table5[[#This Row],[PID]],Batters[[#All],[PID]],0)),INDEX(Table3[[#All],[T]],MATCH(Table5[[#This Row],[PID]],Table3[[#All],[PID]],0)))</f>
        <v>R</v>
      </c>
      <c r="J84" s="54" t="str">
        <f>IF($C84="B",INDEX(Batters[[#All],[WE]],MATCH(Table5[[#This Row],[PID]],Batters[[#All],[PID]],0)),INDEX(Table3[[#All],[WE]],MATCH(Table5[[#This Row],[PID]],Table3[[#All],[PID]],0)))</f>
        <v>Normal</v>
      </c>
      <c r="K84" s="54" t="str">
        <f>IF($C84="B",INDEX(Batters[[#All],[INT]],MATCH(Table5[[#This Row],[PID]],Batters[[#All],[PID]],0)),INDEX(Table3[[#All],[INT]],MATCH(Table5[[#This Row],[PID]],Table3[[#All],[PID]],0)))</f>
        <v>Normal</v>
      </c>
      <c r="L84" s="62">
        <f>IF($C84="B",INDEX(Batters[[#All],[CON P]],MATCH(Table5[[#This Row],[PID]],Batters[[#All],[PID]],0)),INDEX(Table3[[#All],[STU P]],MATCH(Table5[[#This Row],[PID]],Table3[[#All],[PID]],0)))</f>
        <v>2</v>
      </c>
      <c r="M84" s="58">
        <f>IF($C84="B",INDEX(Batters[[#All],[GAP P]],MATCH(Table5[[#This Row],[PID]],Batters[[#All],[PID]],0)),INDEX(Table3[[#All],[MOV P]],MATCH(Table5[[#This Row],[PID]],Table3[[#All],[PID]],0)))</f>
        <v>3</v>
      </c>
      <c r="N84" s="58">
        <f>IF($C84="B",INDEX(Batters[[#All],[POW P]],MATCH(Table5[[#This Row],[PID]],Batters[[#All],[PID]],0)),INDEX(Table3[[#All],[CON P]],MATCH(Table5[[#This Row],[PID]],Table3[[#All],[PID]],0)))</f>
        <v>5</v>
      </c>
      <c r="O84" s="58">
        <f>IF($C84="B",INDEX(Batters[[#All],[EYE P]],MATCH(Table5[[#This Row],[PID]],Batters[[#All],[PID]],0)),INDEX(Table3[[#All],[VELO]],MATCH(Table5[[#This Row],[PID]],Table3[[#All],[PID]],0)))</f>
        <v>5</v>
      </c>
      <c r="P84" s="58">
        <f>IF($C84="B",INDEX(Batters[[#All],[K P]],MATCH(Table5[[#This Row],[PID]],Batters[[#All],[PID]],0)),INDEX(Table3[[#All],[STM]],MATCH(Table5[[#This Row],[PID]],Table3[[#All],[PID]],0)))</f>
        <v>3</v>
      </c>
      <c r="Q84" s="63">
        <f>IF($C84="B",INDEX(Batters[[#All],[Tot]],MATCH(Table5[[#This Row],[PID]],Batters[[#All],[PID]],0)),INDEX(Table3[[#All],[Tot]],MATCH(Table5[[#This Row],[PID]],Table3[[#All],[PID]],0)))</f>
        <v>50</v>
      </c>
      <c r="R84" s="54">
        <f>IF($C84="B",INDEX(Batters[[#All],[zScore]],MATCH(Table5[[#This Row],[PID]],Batters[[#All],[PID]],0)),INDEX(Table3[[#All],[zScore]],MATCH(Table5[[#This Row],[PID]],Table3[[#All],[PID]],0)))</f>
        <v>1.6981617288547248</v>
      </c>
      <c r="S84" s="60" t="str">
        <f>IF($C84="B",INDEX(Batters[[#All],[DEM]],MATCH(Table5[[#This Row],[PID]],Batters[[#All],[PID]],0)),INDEX(Table3[[#All],[DEM]],MATCH(Table5[[#This Row],[PID]],Table3[[#All],[PID]],0)))</f>
        <v>$38k</v>
      </c>
      <c r="T84" s="64">
        <f>IF($C84="B",VLOOKUP($A84,Bat!$A$4:$AU$1417,46,FALSE),VLOOKUP($A84,Pit!$A$4:$BD$570,55,FALSE))</f>
        <v>0</v>
      </c>
      <c r="U84" s="52">
        <f>IF($C84="B",VLOOKUP($A84,Bat!$A$4:$BA$1417,47,FALSE),VLOOKUP($A84,Pit!$A$4:$BF$570,56,FALSE))</f>
        <v>0</v>
      </c>
      <c r="V84" s="52">
        <f>IF($C84="B",VLOOKUP($A84,Bat!$A$4:$BA$1417,48,FALSE),VLOOKUP($A84,Pit!$A$4:$BF$570,57,FALSE))</f>
        <v>0</v>
      </c>
      <c r="W84" s="52">
        <f>Table5[[#This Row],[posRnk]]+Table5[[#This Row],[zRnk]]+IF($W$3&lt;&gt;Table5[[#This Row],[Type]],50,0)</f>
        <v>127</v>
      </c>
      <c r="X84" s="53">
        <f>RANK(Table5[[#This Row],[zScore]],Table5[[#All],[zScore]])</f>
        <v>77</v>
      </c>
      <c r="Y84" s="52" t="str">
        <f>IFERROR(INDEX(DraftResults[[#All],[OVR]],MATCH(Table5[[#This Row],[PID]],DraftResults[[#All],[Player ID]],0)),"")</f>
        <v/>
      </c>
      <c r="Z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" s="52" t="str">
        <f>IFERROR(INDEX(DraftResults[[#All],[Pick in Round]],MATCH(Table5[[#This Row],[PID]],DraftResults[[#All],[Player ID]],0)),"")</f>
        <v/>
      </c>
      <c r="AB84" s="52" t="str">
        <f>IFERROR(INDEX(DraftResults[[#All],[Team Name]],MATCH(Table5[[#This Row],[PID]],DraftResults[[#All],[Player ID]],0)),"")</f>
        <v/>
      </c>
      <c r="AC84" s="52" t="str">
        <f>IF(Table5[[#This Row],[Ovr]]="","",IF(Table5[[#This Row],[cmbList]]="","",Table5[[#This Row],[cmbList]]-Table5[[#This Row],[Ovr]]))</f>
        <v/>
      </c>
      <c r="AD84" s="56" t="str">
        <f>IF(ISERROR(VLOOKUP($AB84&amp;"-"&amp;$E84&amp;" "&amp;F84,Bonuses!$B$1:$G$1006,4,FALSE)),"",INT(VLOOKUP($AB84&amp;"-"&amp;$E84&amp;" "&amp;$F84,Bonuses!$B$1:$G$1006,4,FALSE)))</f>
        <v/>
      </c>
      <c r="AE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" spans="1:31" s="52" customFormat="1" x14ac:dyDescent="0.25">
      <c r="A85" s="52">
        <v>7819</v>
      </c>
      <c r="B85" s="52">
        <f>COUNTIF(Table5[PID],A85)</f>
        <v>1</v>
      </c>
      <c r="C85" s="52" t="str">
        <f>IF(COUNTIF(Table3[[#All],[PID]],A85)&gt;0,"P","B")</f>
        <v>B</v>
      </c>
      <c r="D85" s="61" t="str">
        <f>IF($C85="B",INDEX(Batters[[#All],[POS]],MATCH(Table5[[#This Row],[PID]],Batters[[#All],[PID]],0)),INDEX(Table3[[#All],[POS]],MATCH(Table5[[#This Row],[PID]],Table3[[#All],[PID]],0)))</f>
        <v>3B</v>
      </c>
      <c r="E85" s="54" t="str">
        <f>IF($C85="B",INDEX(Batters[[#All],[First]],MATCH(Table5[[#This Row],[PID]],Batters[[#All],[PID]],0)),INDEX(Table3[[#All],[First]],MATCH(Table5[[#This Row],[PID]],Table3[[#All],[PID]],0)))</f>
        <v>R.J.</v>
      </c>
      <c r="F85" s="52" t="str">
        <f>IF($C85="B",INDEX(Batters[[#All],[Last]],MATCH(A85,Batters[[#All],[PID]],0)),INDEX(Table3[[#All],[Last]],MATCH(A85,Table3[[#All],[PID]],0)))</f>
        <v>Rogers</v>
      </c>
      <c r="G85" s="58">
        <f>IF($C85="B",INDEX(Batters[[#All],[Age]],MATCH(Table5[[#This Row],[PID]],Batters[[#All],[PID]],0)),INDEX(Table3[[#All],[Age]],MATCH(Table5[[#This Row],[PID]],Table3[[#All],[PID]],0)))</f>
        <v>18</v>
      </c>
      <c r="H85" s="54" t="str">
        <f>IF($C85="B",INDEX(Batters[[#All],[B]],MATCH(Table5[[#This Row],[PID]],Batters[[#All],[PID]],0)),INDEX(Table3[[#All],[B]],MATCH(Table5[[#This Row],[PID]],Table3[[#All],[PID]],0)))</f>
        <v>R</v>
      </c>
      <c r="I85" s="54" t="str">
        <f>IF($C85="B",INDEX(Batters[[#All],[T]],MATCH(Table5[[#This Row],[PID]],Batters[[#All],[PID]],0)),INDEX(Table3[[#All],[T]],MATCH(Table5[[#This Row],[PID]],Table3[[#All],[PID]],0)))</f>
        <v>R</v>
      </c>
      <c r="J85" s="54" t="str">
        <f>IF($C85="B",INDEX(Batters[[#All],[WE]],MATCH(Table5[[#This Row],[PID]],Batters[[#All],[PID]],0)),INDEX(Table3[[#All],[WE]],MATCH(Table5[[#This Row],[PID]],Table3[[#All],[PID]],0)))</f>
        <v>Normal</v>
      </c>
      <c r="K85" s="54" t="str">
        <f>IF($C85="B",INDEX(Batters[[#All],[INT]],MATCH(Table5[[#This Row],[PID]],Batters[[#All],[PID]],0)),INDEX(Table3[[#All],[INT]],MATCH(Table5[[#This Row],[PID]],Table3[[#All],[PID]],0)))</f>
        <v>Normal</v>
      </c>
      <c r="L85" s="62">
        <f>IF($C85="B",INDEX(Batters[[#All],[CON P]],MATCH(Table5[[#This Row],[PID]],Batters[[#All],[PID]],0)),INDEX(Table3[[#All],[STU P]],MATCH(Table5[[#This Row],[PID]],Table3[[#All],[PID]],0)))</f>
        <v>2</v>
      </c>
      <c r="M85" s="58">
        <f>IF($C85="B",INDEX(Batters[[#All],[GAP P]],MATCH(Table5[[#This Row],[PID]],Batters[[#All],[PID]],0)),INDEX(Table3[[#All],[MOV P]],MATCH(Table5[[#This Row],[PID]],Table3[[#All],[PID]],0)))</f>
        <v>4</v>
      </c>
      <c r="N85" s="58">
        <f>IF($C85="B",INDEX(Batters[[#All],[POW P]],MATCH(Table5[[#This Row],[PID]],Batters[[#All],[PID]],0)),INDEX(Table3[[#All],[CON P]],MATCH(Table5[[#This Row],[PID]],Table3[[#All],[PID]],0)))</f>
        <v>3</v>
      </c>
      <c r="O85" s="58">
        <f>IF($C85="B",INDEX(Batters[[#All],[EYE P]],MATCH(Table5[[#This Row],[PID]],Batters[[#All],[PID]],0)),INDEX(Table3[[#All],[VELO]],MATCH(Table5[[#This Row],[PID]],Table3[[#All],[PID]],0)))</f>
        <v>4</v>
      </c>
      <c r="P85" s="58">
        <f>IF($C85="B",INDEX(Batters[[#All],[K P]],MATCH(Table5[[#This Row],[PID]],Batters[[#All],[PID]],0)),INDEX(Table3[[#All],[STM]],MATCH(Table5[[#This Row],[PID]],Table3[[#All],[PID]],0)))</f>
        <v>3</v>
      </c>
      <c r="Q85" s="63">
        <f>IF($C85="B",INDEX(Batters[[#All],[Tot]],MATCH(Table5[[#This Row],[PID]],Batters[[#All],[PID]],0)),INDEX(Table3[[#All],[Tot]],MATCH(Table5[[#This Row],[PID]],Table3[[#All],[PID]],0)))</f>
        <v>50</v>
      </c>
      <c r="R85" s="54">
        <f>IF($C85="B",INDEX(Batters[[#All],[zScore]],MATCH(Table5[[#This Row],[PID]],Batters[[#All],[PID]],0)),INDEX(Table3[[#All],[zScore]],MATCH(Table5[[#This Row],[PID]],Table3[[#All],[PID]],0)))</f>
        <v>1.6981617288547248</v>
      </c>
      <c r="S85" s="60" t="str">
        <f>IF($C85="B",INDEX(Batters[[#All],[DEM]],MATCH(Table5[[#This Row],[PID]],Batters[[#All],[PID]],0)),INDEX(Table3[[#All],[DEM]],MATCH(Table5[[#This Row],[PID]],Table3[[#All],[PID]],0)))</f>
        <v>$100k</v>
      </c>
      <c r="T85" s="64">
        <f>IF($C85="B",VLOOKUP($A85,Bat!$A$4:$AU$1417,46,FALSE),VLOOKUP($A85,Pit!$A$4:$BD$570,55,FALSE))</f>
        <v>0</v>
      </c>
      <c r="U85" s="52">
        <f>IF($C85="B",VLOOKUP($A85,Bat!$A$4:$BA$1417,47,FALSE),VLOOKUP($A85,Pit!$A$4:$BF$570,56,FALSE))</f>
        <v>0</v>
      </c>
      <c r="V85" s="52">
        <f>IF($C85="B",VLOOKUP($A85,Bat!$A$4:$BA$1417,48,FALSE),VLOOKUP($A85,Pit!$A$4:$BF$570,57,FALSE))</f>
        <v>0</v>
      </c>
      <c r="W85" s="52">
        <f>Table5[[#This Row],[posRnk]]+Table5[[#This Row],[zRnk]]+IF($W$3&lt;&gt;Table5[[#This Row],[Type]],50,0)</f>
        <v>127</v>
      </c>
      <c r="X85" s="53">
        <f>RANK(Table5[[#This Row],[zScore]],Table5[[#All],[zScore]])</f>
        <v>77</v>
      </c>
      <c r="Y85" s="52" t="str">
        <f>IFERROR(INDEX(DraftResults[[#All],[OVR]],MATCH(Table5[[#This Row],[PID]],DraftResults[[#All],[Player ID]],0)),"")</f>
        <v/>
      </c>
      <c r="Z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" s="52" t="str">
        <f>IFERROR(INDEX(DraftResults[[#All],[Pick in Round]],MATCH(Table5[[#This Row],[PID]],DraftResults[[#All],[Player ID]],0)),"")</f>
        <v/>
      </c>
      <c r="AB85" s="52" t="str">
        <f>IFERROR(INDEX(DraftResults[[#All],[Team Name]],MATCH(Table5[[#This Row],[PID]],DraftResults[[#All],[Player ID]],0)),"")</f>
        <v/>
      </c>
      <c r="AC85" s="52" t="str">
        <f>IF(Table5[[#This Row],[Ovr]]="","",IF(Table5[[#This Row],[cmbList]]="","",Table5[[#This Row],[cmbList]]-Table5[[#This Row],[Ovr]]))</f>
        <v/>
      </c>
      <c r="AD85" s="56" t="str">
        <f>IF(ISERROR(VLOOKUP($AB85&amp;"-"&amp;$E85&amp;" "&amp;F85,Bonuses!$B$1:$G$1006,4,FALSE)),"",INT(VLOOKUP($AB85&amp;"-"&amp;$E85&amp;" "&amp;$F85,Bonuses!$B$1:$G$1006,4,FALSE)))</f>
        <v/>
      </c>
      <c r="AE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" spans="1:31" s="52" customFormat="1" x14ac:dyDescent="0.25">
      <c r="A86" s="52">
        <v>13612</v>
      </c>
      <c r="B86" s="52">
        <f>COUNTIF(Table5[PID],A86)</f>
        <v>1</v>
      </c>
      <c r="C86" s="52" t="str">
        <f>IF(COUNTIF(Table3[[#All],[PID]],A86)&gt;0,"P","B")</f>
        <v>B</v>
      </c>
      <c r="D86" s="61" t="str">
        <f>IF($C86="B",INDEX(Batters[[#All],[POS]],MATCH(Table5[[#This Row],[PID]],Batters[[#All],[PID]],0)),INDEX(Table3[[#All],[POS]],MATCH(Table5[[#This Row],[PID]],Table3[[#All],[PID]],0)))</f>
        <v>3B</v>
      </c>
      <c r="E86" s="54" t="str">
        <f>IF($C86="B",INDEX(Batters[[#All],[First]],MATCH(Table5[[#This Row],[PID]],Batters[[#All],[PID]],0)),INDEX(Table3[[#All],[First]],MATCH(Table5[[#This Row],[PID]],Table3[[#All],[PID]],0)))</f>
        <v>Larry</v>
      </c>
      <c r="F86" s="52" t="str">
        <f>IF($C86="B",INDEX(Batters[[#All],[Last]],MATCH(A86,Batters[[#All],[PID]],0)),INDEX(Table3[[#All],[Last]],MATCH(A86,Table3[[#All],[PID]],0)))</f>
        <v>Willis</v>
      </c>
      <c r="G86" s="58">
        <f>IF($C86="B",INDEX(Batters[[#All],[Age]],MATCH(Table5[[#This Row],[PID]],Batters[[#All],[PID]],0)),INDEX(Table3[[#All],[Age]],MATCH(Table5[[#This Row],[PID]],Table3[[#All],[PID]],0)))</f>
        <v>18</v>
      </c>
      <c r="H86" s="54" t="str">
        <f>IF($C86="B",INDEX(Batters[[#All],[B]],MATCH(Table5[[#This Row],[PID]],Batters[[#All],[PID]],0)),INDEX(Table3[[#All],[B]],MATCH(Table5[[#This Row],[PID]],Table3[[#All],[PID]],0)))</f>
        <v>R</v>
      </c>
      <c r="I86" s="54" t="str">
        <f>IF($C86="B",INDEX(Batters[[#All],[T]],MATCH(Table5[[#This Row],[PID]],Batters[[#All],[PID]],0)),INDEX(Table3[[#All],[T]],MATCH(Table5[[#This Row],[PID]],Table3[[#All],[PID]],0)))</f>
        <v>R</v>
      </c>
      <c r="J86" s="54" t="str">
        <f>IF($C86="B",INDEX(Batters[[#All],[WE]],MATCH(Table5[[#This Row],[PID]],Batters[[#All],[PID]],0)),INDEX(Table3[[#All],[WE]],MATCH(Table5[[#This Row],[PID]],Table3[[#All],[PID]],0)))</f>
        <v>Low</v>
      </c>
      <c r="K86" s="54" t="str">
        <f>IF($C86="B",INDEX(Batters[[#All],[INT]],MATCH(Table5[[#This Row],[PID]],Batters[[#All],[PID]],0)),INDEX(Table3[[#All],[INT]],MATCH(Table5[[#This Row],[PID]],Table3[[#All],[PID]],0)))</f>
        <v>High</v>
      </c>
      <c r="L86" s="62">
        <f>IF($C86="B",INDEX(Batters[[#All],[CON P]],MATCH(Table5[[#This Row],[PID]],Batters[[#All],[PID]],0)),INDEX(Table3[[#All],[STU P]],MATCH(Table5[[#This Row],[PID]],Table3[[#All],[PID]],0)))</f>
        <v>2</v>
      </c>
      <c r="M86" s="58">
        <f>IF($C86="B",INDEX(Batters[[#All],[GAP P]],MATCH(Table5[[#This Row],[PID]],Batters[[#All],[PID]],0)),INDEX(Table3[[#All],[MOV P]],MATCH(Table5[[#This Row],[PID]],Table3[[#All],[PID]],0)))</f>
        <v>3</v>
      </c>
      <c r="N86" s="58">
        <f>IF($C86="B",INDEX(Batters[[#All],[POW P]],MATCH(Table5[[#This Row],[PID]],Batters[[#All],[PID]],0)),INDEX(Table3[[#All],[CON P]],MATCH(Table5[[#This Row],[PID]],Table3[[#All],[PID]],0)))</f>
        <v>3</v>
      </c>
      <c r="O86" s="58">
        <f>IF($C86="B",INDEX(Batters[[#All],[EYE P]],MATCH(Table5[[#This Row],[PID]],Batters[[#All],[PID]],0)),INDEX(Table3[[#All],[VELO]],MATCH(Table5[[#This Row],[PID]],Table3[[#All],[PID]],0)))</f>
        <v>5</v>
      </c>
      <c r="P86" s="58">
        <f>IF($C86="B",INDEX(Batters[[#All],[K P]],MATCH(Table5[[#This Row],[PID]],Batters[[#All],[PID]],0)),INDEX(Table3[[#All],[STM]],MATCH(Table5[[#This Row],[PID]],Table3[[#All],[PID]],0)))</f>
        <v>2</v>
      </c>
      <c r="Q86" s="63">
        <f>IF($C86="B",INDEX(Batters[[#All],[Tot]],MATCH(Table5[[#This Row],[PID]],Batters[[#All],[PID]],0)),INDEX(Table3[[#All],[Tot]],MATCH(Table5[[#This Row],[PID]],Table3[[#All],[PID]],0)))</f>
        <v>50</v>
      </c>
      <c r="R86" s="54">
        <f>IF($C86="B",INDEX(Batters[[#All],[zScore]],MATCH(Table5[[#This Row],[PID]],Batters[[#All],[PID]],0)),INDEX(Table3[[#All],[zScore]],MATCH(Table5[[#This Row],[PID]],Table3[[#All],[PID]],0)))</f>
        <v>1.6981617288547248</v>
      </c>
      <c r="S86" s="60" t="str">
        <f>IF($C86="B",INDEX(Batters[[#All],[DEM]],MATCH(Table5[[#This Row],[PID]],Batters[[#All],[PID]],0)),INDEX(Table3[[#All],[DEM]],MATCH(Table5[[#This Row],[PID]],Table3[[#All],[PID]],0)))</f>
        <v>$75k</v>
      </c>
      <c r="T86" s="64">
        <f>IF($C86="B",VLOOKUP($A86,Bat!$A$4:$AU$1417,46,FALSE),VLOOKUP($A86,Pit!$A$4:$BD$570,55,FALSE))</f>
        <v>0</v>
      </c>
      <c r="U86" s="52">
        <f>IF($C86="B",VLOOKUP($A86,Bat!$A$4:$BA$1417,47,FALSE),VLOOKUP($A86,Pit!$A$4:$BF$570,56,FALSE))</f>
        <v>0</v>
      </c>
      <c r="V86" s="52">
        <f>IF($C86="B",VLOOKUP($A86,Bat!$A$4:$BA$1417,48,FALSE),VLOOKUP($A86,Pit!$A$4:$BF$570,57,FALSE))</f>
        <v>0</v>
      </c>
      <c r="W86" s="52">
        <f>Table5[[#This Row],[posRnk]]+Table5[[#This Row],[zRnk]]+IF($W$3&lt;&gt;Table5[[#This Row],[Type]],50,0)</f>
        <v>127</v>
      </c>
      <c r="X86" s="53">
        <f>RANK(Table5[[#This Row],[zScore]],Table5[[#All],[zScore]])</f>
        <v>77</v>
      </c>
      <c r="Y86" s="52" t="str">
        <f>IFERROR(INDEX(DraftResults[[#All],[OVR]],MATCH(Table5[[#This Row],[PID]],DraftResults[[#All],[Player ID]],0)),"")</f>
        <v/>
      </c>
      <c r="Z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" s="52" t="str">
        <f>IFERROR(INDEX(DraftResults[[#All],[Pick in Round]],MATCH(Table5[[#This Row],[PID]],DraftResults[[#All],[Player ID]],0)),"")</f>
        <v/>
      </c>
      <c r="AB86" s="52" t="str">
        <f>IFERROR(INDEX(DraftResults[[#All],[Team Name]],MATCH(Table5[[#This Row],[PID]],DraftResults[[#All],[Player ID]],0)),"")</f>
        <v/>
      </c>
      <c r="AC86" s="52" t="str">
        <f>IF(Table5[[#This Row],[Ovr]]="","",IF(Table5[[#This Row],[cmbList]]="","",Table5[[#This Row],[cmbList]]-Table5[[#This Row],[Ovr]]))</f>
        <v/>
      </c>
      <c r="AD86" s="56" t="str">
        <f>IF(ISERROR(VLOOKUP($AB86&amp;"-"&amp;$E86&amp;" "&amp;F86,Bonuses!$B$1:$G$1006,4,FALSE)),"",INT(VLOOKUP($AB86&amp;"-"&amp;$E86&amp;" "&amp;$F86,Bonuses!$B$1:$G$1006,4,FALSE)))</f>
        <v/>
      </c>
      <c r="AE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" spans="1:31" s="52" customFormat="1" x14ac:dyDescent="0.25">
      <c r="A87" s="52">
        <v>11107</v>
      </c>
      <c r="B87" s="52">
        <f>COUNTIF(Table5[PID],A87)</f>
        <v>1</v>
      </c>
      <c r="C87" s="52" t="str">
        <f>IF(COUNTIF(Table3[[#All],[PID]],A87)&gt;0,"P","B")</f>
        <v>B</v>
      </c>
      <c r="D87" s="61" t="str">
        <f>IF($C87="B",INDEX(Batters[[#All],[POS]],MATCH(Table5[[#This Row],[PID]],Batters[[#All],[PID]],0)),INDEX(Table3[[#All],[POS]],MATCH(Table5[[#This Row],[PID]],Table3[[#All],[PID]],0)))</f>
        <v>C</v>
      </c>
      <c r="E87" s="54" t="str">
        <f>IF($C87="B",INDEX(Batters[[#All],[First]],MATCH(Table5[[#This Row],[PID]],Batters[[#All],[PID]],0)),INDEX(Table3[[#All],[First]],MATCH(Table5[[#This Row],[PID]],Table3[[#All],[PID]],0)))</f>
        <v>Daisuke</v>
      </c>
      <c r="F87" s="52" t="str">
        <f>IF($C87="B",INDEX(Batters[[#All],[Last]],MATCH(A87,Batters[[#All],[PID]],0)),INDEX(Table3[[#All],[Last]],MATCH(A87,Table3[[#All],[PID]],0)))</f>
        <v>Chouda</v>
      </c>
      <c r="G87" s="58">
        <f>IF($C87="B",INDEX(Batters[[#All],[Age]],MATCH(Table5[[#This Row],[PID]],Batters[[#All],[PID]],0)),INDEX(Table3[[#All],[Age]],MATCH(Table5[[#This Row],[PID]],Table3[[#All],[PID]],0)))</f>
        <v>18</v>
      </c>
      <c r="H87" s="54" t="str">
        <f>IF($C87="B",INDEX(Batters[[#All],[B]],MATCH(Table5[[#This Row],[PID]],Batters[[#All],[PID]],0)),INDEX(Table3[[#All],[B]],MATCH(Table5[[#This Row],[PID]],Table3[[#All],[PID]],0)))</f>
        <v>S</v>
      </c>
      <c r="I87" s="54" t="str">
        <f>IF($C87="B",INDEX(Batters[[#All],[T]],MATCH(Table5[[#This Row],[PID]],Batters[[#All],[PID]],0)),INDEX(Table3[[#All],[T]],MATCH(Table5[[#This Row],[PID]],Table3[[#All],[PID]],0)))</f>
        <v>R</v>
      </c>
      <c r="J87" s="54" t="str">
        <f>IF($C87="B",INDEX(Batters[[#All],[WE]],MATCH(Table5[[#This Row],[PID]],Batters[[#All],[PID]],0)),INDEX(Table3[[#All],[WE]],MATCH(Table5[[#This Row],[PID]],Table3[[#All],[PID]],0)))</f>
        <v>Normal</v>
      </c>
      <c r="K87" s="54" t="str">
        <f>IF($C87="B",INDEX(Batters[[#All],[INT]],MATCH(Table5[[#This Row],[PID]],Batters[[#All],[PID]],0)),INDEX(Table3[[#All],[INT]],MATCH(Table5[[#This Row],[PID]],Table3[[#All],[PID]],0)))</f>
        <v>Normal</v>
      </c>
      <c r="L87" s="62">
        <f>IF($C87="B",INDEX(Batters[[#All],[CON P]],MATCH(Table5[[#This Row],[PID]],Batters[[#All],[PID]],0)),INDEX(Table3[[#All],[STU P]],MATCH(Table5[[#This Row],[PID]],Table3[[#All],[PID]],0)))</f>
        <v>1</v>
      </c>
      <c r="M87" s="58">
        <f>IF($C87="B",INDEX(Batters[[#All],[GAP P]],MATCH(Table5[[#This Row],[PID]],Batters[[#All],[PID]],0)),INDEX(Table3[[#All],[MOV P]],MATCH(Table5[[#This Row],[PID]],Table3[[#All],[PID]],0)))</f>
        <v>3</v>
      </c>
      <c r="N87" s="58">
        <f>IF($C87="B",INDEX(Batters[[#All],[POW P]],MATCH(Table5[[#This Row],[PID]],Batters[[#All],[PID]],0)),INDEX(Table3[[#All],[CON P]],MATCH(Table5[[#This Row],[PID]],Table3[[#All],[PID]],0)))</f>
        <v>3</v>
      </c>
      <c r="O87" s="58">
        <f>IF($C87="B",INDEX(Batters[[#All],[EYE P]],MATCH(Table5[[#This Row],[PID]],Batters[[#All],[PID]],0)),INDEX(Table3[[#All],[VELO]],MATCH(Table5[[#This Row],[PID]],Table3[[#All],[PID]],0)))</f>
        <v>5</v>
      </c>
      <c r="P87" s="58">
        <f>IF($C87="B",INDEX(Batters[[#All],[K P]],MATCH(Table5[[#This Row],[PID]],Batters[[#All],[PID]],0)),INDEX(Table3[[#All],[STM]],MATCH(Table5[[#This Row],[PID]],Table3[[#All],[PID]],0)))</f>
        <v>1</v>
      </c>
      <c r="Q87" s="63">
        <f>IF($C87="B",INDEX(Batters[[#All],[Tot]],MATCH(Table5[[#This Row],[PID]],Batters[[#All],[PID]],0)),INDEX(Table3[[#All],[Tot]],MATCH(Table5[[#This Row],[PID]],Table3[[#All],[PID]],0)))</f>
        <v>50</v>
      </c>
      <c r="R87" s="54">
        <f>IF($C87="B",INDEX(Batters[[#All],[zScore]],MATCH(Table5[[#This Row],[PID]],Batters[[#All],[PID]],0)),INDEX(Table3[[#All],[zScore]],MATCH(Table5[[#This Row],[PID]],Table3[[#All],[PID]],0)))</f>
        <v>1.6981617288547248</v>
      </c>
      <c r="S87" s="60" t="str">
        <f>IF($C87="B",INDEX(Batters[[#All],[DEM]],MATCH(Table5[[#This Row],[PID]],Batters[[#All],[PID]],0)),INDEX(Table3[[#All],[DEM]],MATCH(Table5[[#This Row],[PID]],Table3[[#All],[PID]],0)))</f>
        <v>$75k</v>
      </c>
      <c r="T87" s="64">
        <f>IF($C87="B",VLOOKUP($A87,Bat!$A$4:$AU$1417,46,FALSE),VLOOKUP($A87,Pit!$A$4:$BD$570,55,FALSE))</f>
        <v>0</v>
      </c>
      <c r="U87" s="52">
        <f>IF($C87="B",VLOOKUP($A87,Bat!$A$4:$BA$1417,47,FALSE),VLOOKUP($A87,Pit!$A$4:$BF$570,56,FALSE))</f>
        <v>0</v>
      </c>
      <c r="V87" s="52">
        <f>IF($C87="B",VLOOKUP($A87,Bat!$A$4:$BA$1417,48,FALSE),VLOOKUP($A87,Pit!$A$4:$BF$570,57,FALSE))</f>
        <v>0</v>
      </c>
      <c r="W87" s="52">
        <f>Table5[[#This Row],[posRnk]]+Table5[[#This Row],[zRnk]]+IF($W$3&lt;&gt;Table5[[#This Row],[Type]],50,0)</f>
        <v>127</v>
      </c>
      <c r="X87" s="53">
        <f>RANK(Table5[[#This Row],[zScore]],Table5[[#All],[zScore]])</f>
        <v>77</v>
      </c>
      <c r="Y87" s="52" t="str">
        <f>IFERROR(INDEX(DraftResults[[#All],[OVR]],MATCH(Table5[[#This Row],[PID]],DraftResults[[#All],[Player ID]],0)),"")</f>
        <v/>
      </c>
      <c r="Z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" s="52" t="str">
        <f>IFERROR(INDEX(DraftResults[[#All],[Pick in Round]],MATCH(Table5[[#This Row],[PID]],DraftResults[[#All],[Player ID]],0)),"")</f>
        <v/>
      </c>
      <c r="AB87" s="52" t="str">
        <f>IFERROR(INDEX(DraftResults[[#All],[Team Name]],MATCH(Table5[[#This Row],[PID]],DraftResults[[#All],[Player ID]],0)),"")</f>
        <v/>
      </c>
      <c r="AC87" s="52" t="str">
        <f>IF(Table5[[#This Row],[Ovr]]="","",IF(Table5[[#This Row],[cmbList]]="","",Table5[[#This Row],[cmbList]]-Table5[[#This Row],[Ovr]]))</f>
        <v/>
      </c>
      <c r="AD87" s="56" t="str">
        <f>IF(ISERROR(VLOOKUP($AB87&amp;"-"&amp;$E87&amp;" "&amp;F87,Bonuses!$B$1:$G$1006,4,FALSE)),"",INT(VLOOKUP($AB87&amp;"-"&amp;$E87&amp;" "&amp;$F87,Bonuses!$B$1:$G$1006,4,FALSE)))</f>
        <v/>
      </c>
      <c r="AE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" spans="1:31" s="52" customFormat="1" x14ac:dyDescent="0.25">
      <c r="A88" s="52">
        <v>11088</v>
      </c>
      <c r="B88" s="52">
        <f>COUNTIF(Table5[PID],A88)</f>
        <v>1</v>
      </c>
      <c r="C88" s="52" t="str">
        <f>IF(COUNTIF(Table3[[#All],[PID]],A88)&gt;0,"P","B")</f>
        <v>B</v>
      </c>
      <c r="D88" s="61" t="str">
        <f>IF($C88="B",INDEX(Batters[[#All],[POS]],MATCH(Table5[[#This Row],[PID]],Batters[[#All],[PID]],0)),INDEX(Table3[[#All],[POS]],MATCH(Table5[[#This Row],[PID]],Table3[[#All],[PID]],0)))</f>
        <v>C</v>
      </c>
      <c r="E88" s="54" t="str">
        <f>IF($C88="B",INDEX(Batters[[#All],[First]],MATCH(Table5[[#This Row],[PID]],Batters[[#All],[PID]],0)),INDEX(Table3[[#All],[First]],MATCH(Table5[[#This Row],[PID]],Table3[[#All],[PID]],0)))</f>
        <v>Masato</v>
      </c>
      <c r="F88" s="52" t="str">
        <f>IF($C88="B",INDEX(Batters[[#All],[Last]],MATCH(A88,Batters[[#All],[PID]],0)),INDEX(Table3[[#All],[Last]],MATCH(A88,Table3[[#All],[PID]],0)))</f>
        <v>Saito</v>
      </c>
      <c r="G88" s="58">
        <f>IF($C88="B",INDEX(Batters[[#All],[Age]],MATCH(Table5[[#This Row],[PID]],Batters[[#All],[PID]],0)),INDEX(Table3[[#All],[Age]],MATCH(Table5[[#This Row],[PID]],Table3[[#All],[PID]],0)))</f>
        <v>18</v>
      </c>
      <c r="H88" s="54" t="str">
        <f>IF($C88="B",INDEX(Batters[[#All],[B]],MATCH(Table5[[#This Row],[PID]],Batters[[#All],[PID]],0)),INDEX(Table3[[#All],[B]],MATCH(Table5[[#This Row],[PID]],Table3[[#All],[PID]],0)))</f>
        <v>S</v>
      </c>
      <c r="I88" s="54" t="str">
        <f>IF($C88="B",INDEX(Batters[[#All],[T]],MATCH(Table5[[#This Row],[PID]],Batters[[#All],[PID]],0)),INDEX(Table3[[#All],[T]],MATCH(Table5[[#This Row],[PID]],Table3[[#All],[PID]],0)))</f>
        <v>R</v>
      </c>
      <c r="J88" s="54" t="str">
        <f>IF($C88="B",INDEX(Batters[[#All],[WE]],MATCH(Table5[[#This Row],[PID]],Batters[[#All],[PID]],0)),INDEX(Table3[[#All],[WE]],MATCH(Table5[[#This Row],[PID]],Table3[[#All],[PID]],0)))</f>
        <v>Normal</v>
      </c>
      <c r="K88" s="54" t="str">
        <f>IF($C88="B",INDEX(Batters[[#All],[INT]],MATCH(Table5[[#This Row],[PID]],Batters[[#All],[PID]],0)),INDEX(Table3[[#All],[INT]],MATCH(Table5[[#This Row],[PID]],Table3[[#All],[PID]],0)))</f>
        <v>Normal</v>
      </c>
      <c r="L88" s="62">
        <f>IF($C88="B",INDEX(Batters[[#All],[CON P]],MATCH(Table5[[#This Row],[PID]],Batters[[#All],[PID]],0)),INDEX(Table3[[#All],[STU P]],MATCH(Table5[[#This Row],[PID]],Table3[[#All],[PID]],0)))</f>
        <v>2</v>
      </c>
      <c r="M88" s="58">
        <f>IF($C88="B",INDEX(Batters[[#All],[GAP P]],MATCH(Table5[[#This Row],[PID]],Batters[[#All],[PID]],0)),INDEX(Table3[[#All],[MOV P]],MATCH(Table5[[#This Row],[PID]],Table3[[#All],[PID]],0)))</f>
        <v>3</v>
      </c>
      <c r="N88" s="58">
        <f>IF($C88="B",INDEX(Batters[[#All],[POW P]],MATCH(Table5[[#This Row],[PID]],Batters[[#All],[PID]],0)),INDEX(Table3[[#All],[CON P]],MATCH(Table5[[#This Row],[PID]],Table3[[#All],[PID]],0)))</f>
        <v>3</v>
      </c>
      <c r="O88" s="58">
        <f>IF($C88="B",INDEX(Batters[[#All],[EYE P]],MATCH(Table5[[#This Row],[PID]],Batters[[#All],[PID]],0)),INDEX(Table3[[#All],[VELO]],MATCH(Table5[[#This Row],[PID]],Table3[[#All],[PID]],0)))</f>
        <v>5</v>
      </c>
      <c r="P88" s="58">
        <f>IF($C88="B",INDEX(Batters[[#All],[K P]],MATCH(Table5[[#This Row],[PID]],Batters[[#All],[PID]],0)),INDEX(Table3[[#All],[STM]],MATCH(Table5[[#This Row],[PID]],Table3[[#All],[PID]],0)))</f>
        <v>1</v>
      </c>
      <c r="Q88" s="63">
        <f>IF($C88="B",INDEX(Batters[[#All],[Tot]],MATCH(Table5[[#This Row],[PID]],Batters[[#All],[PID]],0)),INDEX(Table3[[#All],[Tot]],MATCH(Table5[[#This Row],[PID]],Table3[[#All],[PID]],0)))</f>
        <v>50</v>
      </c>
      <c r="R88" s="54">
        <f>IF($C88="B",INDEX(Batters[[#All],[zScore]],MATCH(Table5[[#This Row],[PID]],Batters[[#All],[PID]],0)),INDEX(Table3[[#All],[zScore]],MATCH(Table5[[#This Row],[PID]],Table3[[#All],[PID]],0)))</f>
        <v>1.6981617288547248</v>
      </c>
      <c r="S88" s="60" t="str">
        <f>IF($C88="B",INDEX(Batters[[#All],[DEM]],MATCH(Table5[[#This Row],[PID]],Batters[[#All],[PID]],0)),INDEX(Table3[[#All],[DEM]],MATCH(Table5[[#This Row],[PID]],Table3[[#All],[PID]],0)))</f>
        <v>$65k</v>
      </c>
      <c r="T88" s="64">
        <f>IF($C88="B",VLOOKUP($A88,Bat!$A$4:$AU$1417,46,FALSE),VLOOKUP($A88,Pit!$A$4:$BD$570,55,FALSE))</f>
        <v>0</v>
      </c>
      <c r="U88" s="52">
        <f>IF($C88="B",VLOOKUP($A88,Bat!$A$4:$BA$1417,47,FALSE),VLOOKUP($A88,Pit!$A$4:$BF$570,56,FALSE))</f>
        <v>0</v>
      </c>
      <c r="V88" s="52">
        <f>IF($C88="B",VLOOKUP($A88,Bat!$A$4:$BA$1417,48,FALSE),VLOOKUP($A88,Pit!$A$4:$BF$570,57,FALSE))</f>
        <v>0</v>
      </c>
      <c r="W88" s="52">
        <f>Table5[[#This Row],[posRnk]]+Table5[[#This Row],[zRnk]]+IF($W$3&lt;&gt;Table5[[#This Row],[Type]],50,0)</f>
        <v>127</v>
      </c>
      <c r="X88" s="53">
        <f>RANK(Table5[[#This Row],[zScore]],Table5[[#All],[zScore]])</f>
        <v>77</v>
      </c>
      <c r="Y88" s="52" t="str">
        <f>IFERROR(INDEX(DraftResults[[#All],[OVR]],MATCH(Table5[[#This Row],[PID]],DraftResults[[#All],[Player ID]],0)),"")</f>
        <v/>
      </c>
      <c r="Z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" s="52" t="str">
        <f>IFERROR(INDEX(DraftResults[[#All],[Pick in Round]],MATCH(Table5[[#This Row],[PID]],DraftResults[[#All],[Player ID]],0)),"")</f>
        <v/>
      </c>
      <c r="AB88" s="52" t="str">
        <f>IFERROR(INDEX(DraftResults[[#All],[Team Name]],MATCH(Table5[[#This Row],[PID]],DraftResults[[#All],[Player ID]],0)),"")</f>
        <v/>
      </c>
      <c r="AC88" s="52" t="str">
        <f>IF(Table5[[#This Row],[Ovr]]="","",IF(Table5[[#This Row],[cmbList]]="","",Table5[[#This Row],[cmbList]]-Table5[[#This Row],[Ovr]]))</f>
        <v/>
      </c>
      <c r="AD88" s="56" t="str">
        <f>IF(ISERROR(VLOOKUP($AB88&amp;"-"&amp;$E88&amp;" "&amp;F88,Bonuses!$B$1:$G$1006,4,FALSE)),"",INT(VLOOKUP($AB88&amp;"-"&amp;$E88&amp;" "&amp;$F88,Bonuses!$B$1:$G$1006,4,FALSE)))</f>
        <v/>
      </c>
      <c r="AE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" spans="1:31" s="52" customFormat="1" x14ac:dyDescent="0.25">
      <c r="A89" s="52">
        <v>14804</v>
      </c>
      <c r="B89" s="52">
        <f>COUNTIF(Table5[PID],A89)</f>
        <v>1</v>
      </c>
      <c r="C89" s="52" t="str">
        <f>IF(COUNTIF(Table3[[#All],[PID]],A89)&gt;0,"P","B")</f>
        <v>B</v>
      </c>
      <c r="D89" s="61" t="str">
        <f>IF($C89="B",INDEX(Batters[[#All],[POS]],MATCH(Table5[[#This Row],[PID]],Batters[[#All],[PID]],0)),INDEX(Table3[[#All],[POS]],MATCH(Table5[[#This Row],[PID]],Table3[[#All],[PID]],0)))</f>
        <v>C</v>
      </c>
      <c r="E89" s="54" t="str">
        <f>IF($C89="B",INDEX(Batters[[#All],[First]],MATCH(Table5[[#This Row],[PID]],Batters[[#All],[PID]],0)),INDEX(Table3[[#All],[First]],MATCH(Table5[[#This Row],[PID]],Table3[[#All],[PID]],0)))</f>
        <v>Pablo</v>
      </c>
      <c r="F89" s="52" t="str">
        <f>IF($C89="B",INDEX(Batters[[#All],[Last]],MATCH(A89,Batters[[#All],[PID]],0)),INDEX(Table3[[#All],[Last]],MATCH(A89,Table3[[#All],[PID]],0)))</f>
        <v>Santiago</v>
      </c>
      <c r="G89" s="58">
        <f>IF($C89="B",INDEX(Batters[[#All],[Age]],MATCH(Table5[[#This Row],[PID]],Batters[[#All],[PID]],0)),INDEX(Table3[[#All],[Age]],MATCH(Table5[[#This Row],[PID]],Table3[[#All],[PID]],0)))</f>
        <v>18</v>
      </c>
      <c r="H89" s="54" t="str">
        <f>IF($C89="B",INDEX(Batters[[#All],[B]],MATCH(Table5[[#This Row],[PID]],Batters[[#All],[PID]],0)),INDEX(Table3[[#All],[B]],MATCH(Table5[[#This Row],[PID]],Table3[[#All],[PID]],0)))</f>
        <v>R</v>
      </c>
      <c r="I89" s="54" t="str">
        <f>IF($C89="B",INDEX(Batters[[#All],[T]],MATCH(Table5[[#This Row],[PID]],Batters[[#All],[PID]],0)),INDEX(Table3[[#All],[T]],MATCH(Table5[[#This Row],[PID]],Table3[[#All],[PID]],0)))</f>
        <v>R</v>
      </c>
      <c r="J89" s="54" t="str">
        <f>IF($C89="B",INDEX(Batters[[#All],[WE]],MATCH(Table5[[#This Row],[PID]],Batters[[#All],[PID]],0)),INDEX(Table3[[#All],[WE]],MATCH(Table5[[#This Row],[PID]],Table3[[#All],[PID]],0)))</f>
        <v>Normal</v>
      </c>
      <c r="K89" s="54" t="str">
        <f>IF($C89="B",INDEX(Batters[[#All],[INT]],MATCH(Table5[[#This Row],[PID]],Batters[[#All],[PID]],0)),INDEX(Table3[[#All],[INT]],MATCH(Table5[[#This Row],[PID]],Table3[[#All],[PID]],0)))</f>
        <v>Normal</v>
      </c>
      <c r="L89" s="62">
        <f>IF($C89="B",INDEX(Batters[[#All],[CON P]],MATCH(Table5[[#This Row],[PID]],Batters[[#All],[PID]],0)),INDEX(Table3[[#All],[STU P]],MATCH(Table5[[#This Row],[PID]],Table3[[#All],[PID]],0)))</f>
        <v>2</v>
      </c>
      <c r="M89" s="58">
        <f>IF($C89="B",INDEX(Batters[[#All],[GAP P]],MATCH(Table5[[#This Row],[PID]],Batters[[#All],[PID]],0)),INDEX(Table3[[#All],[MOV P]],MATCH(Table5[[#This Row],[PID]],Table3[[#All],[PID]],0)))</f>
        <v>3</v>
      </c>
      <c r="N89" s="58">
        <f>IF($C89="B",INDEX(Batters[[#All],[POW P]],MATCH(Table5[[#This Row],[PID]],Batters[[#All],[PID]],0)),INDEX(Table3[[#All],[CON P]],MATCH(Table5[[#This Row],[PID]],Table3[[#All],[PID]],0)))</f>
        <v>5</v>
      </c>
      <c r="O89" s="58">
        <f>IF($C89="B",INDEX(Batters[[#All],[EYE P]],MATCH(Table5[[#This Row],[PID]],Batters[[#All],[PID]],0)),INDEX(Table3[[#All],[VELO]],MATCH(Table5[[#This Row],[PID]],Table3[[#All],[PID]],0)))</f>
        <v>6</v>
      </c>
      <c r="P89" s="58">
        <f>IF($C89="B",INDEX(Batters[[#All],[K P]],MATCH(Table5[[#This Row],[PID]],Batters[[#All],[PID]],0)),INDEX(Table3[[#All],[STM]],MATCH(Table5[[#This Row],[PID]],Table3[[#All],[PID]],0)))</f>
        <v>2</v>
      </c>
      <c r="Q89" s="63">
        <f>IF($C89="B",INDEX(Batters[[#All],[Tot]],MATCH(Table5[[#This Row],[PID]],Batters[[#All],[PID]],0)),INDEX(Table3[[#All],[Tot]],MATCH(Table5[[#This Row],[PID]],Table3[[#All],[PID]],0)))</f>
        <v>50</v>
      </c>
      <c r="R89" s="54">
        <f>IF($C89="B",INDEX(Batters[[#All],[zScore]],MATCH(Table5[[#This Row],[PID]],Batters[[#All],[PID]],0)),INDEX(Table3[[#All],[zScore]],MATCH(Table5[[#This Row],[PID]],Table3[[#All],[PID]],0)))</f>
        <v>1.6981617288547248</v>
      </c>
      <c r="S89" s="60" t="str">
        <f>IF($C89="B",INDEX(Batters[[#All],[DEM]],MATCH(Table5[[#This Row],[PID]],Batters[[#All],[PID]],0)),INDEX(Table3[[#All],[DEM]],MATCH(Table5[[#This Row],[PID]],Table3[[#All],[PID]],0)))</f>
        <v>$75k</v>
      </c>
      <c r="T89" s="64">
        <f>IF($C89="B",VLOOKUP($A89,Bat!$A$4:$AU$1417,46,FALSE),VLOOKUP($A89,Pit!$A$4:$BD$570,55,FALSE))</f>
        <v>0</v>
      </c>
      <c r="U89" s="52">
        <f>IF($C89="B",VLOOKUP($A89,Bat!$A$4:$BA$1417,47,FALSE),VLOOKUP($A89,Pit!$A$4:$BF$570,56,FALSE))</f>
        <v>0</v>
      </c>
      <c r="V89" s="52">
        <f>IF($C89="B",VLOOKUP($A89,Bat!$A$4:$BA$1417,48,FALSE),VLOOKUP($A89,Pit!$A$4:$BF$570,57,FALSE))</f>
        <v>0</v>
      </c>
      <c r="W89" s="52">
        <f>Table5[[#This Row],[posRnk]]+Table5[[#This Row],[zRnk]]+IF($W$3&lt;&gt;Table5[[#This Row],[Type]],50,0)</f>
        <v>127</v>
      </c>
      <c r="X89" s="53">
        <f>RANK(Table5[[#This Row],[zScore]],Table5[[#All],[zScore]])</f>
        <v>77</v>
      </c>
      <c r="Y89" s="52" t="str">
        <f>IFERROR(INDEX(DraftResults[[#All],[OVR]],MATCH(Table5[[#This Row],[PID]],DraftResults[[#All],[Player ID]],0)),"")</f>
        <v/>
      </c>
      <c r="Z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" s="52" t="str">
        <f>IFERROR(INDEX(DraftResults[[#All],[Pick in Round]],MATCH(Table5[[#This Row],[PID]],DraftResults[[#All],[Player ID]],0)),"")</f>
        <v/>
      </c>
      <c r="AB89" s="52" t="str">
        <f>IFERROR(INDEX(DraftResults[[#All],[Team Name]],MATCH(Table5[[#This Row],[PID]],DraftResults[[#All],[Player ID]],0)),"")</f>
        <v/>
      </c>
      <c r="AC89" s="52" t="str">
        <f>IF(Table5[[#This Row],[Ovr]]="","",IF(Table5[[#This Row],[cmbList]]="","",Table5[[#This Row],[cmbList]]-Table5[[#This Row],[Ovr]]))</f>
        <v/>
      </c>
      <c r="AD89" s="56" t="str">
        <f>IF(ISERROR(VLOOKUP($AB89&amp;"-"&amp;$E89&amp;" "&amp;F89,Bonuses!$B$1:$G$1006,4,FALSE)),"",INT(VLOOKUP($AB89&amp;"-"&amp;$E89&amp;" "&amp;$F89,Bonuses!$B$1:$G$1006,4,FALSE)))</f>
        <v/>
      </c>
      <c r="AE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" spans="1:31" s="52" customFormat="1" x14ac:dyDescent="0.25">
      <c r="A90" s="52">
        <v>6403</v>
      </c>
      <c r="B90" s="52">
        <f>COUNTIF(Table5[PID],A90)</f>
        <v>1</v>
      </c>
      <c r="C90" s="52" t="str">
        <f>IF(COUNTIF(Table3[[#All],[PID]],A90)&gt;0,"P","B")</f>
        <v>B</v>
      </c>
      <c r="D90" s="61" t="str">
        <f>IF($C90="B",INDEX(Batters[[#All],[POS]],MATCH(Table5[[#This Row],[PID]],Batters[[#All],[PID]],0)),INDEX(Table3[[#All],[POS]],MATCH(Table5[[#This Row],[PID]],Table3[[#All],[PID]],0)))</f>
        <v>C</v>
      </c>
      <c r="E90" s="54" t="str">
        <f>IF($C90="B",INDEX(Batters[[#All],[First]],MATCH(Table5[[#This Row],[PID]],Batters[[#All],[PID]],0)),INDEX(Table3[[#All],[First]],MATCH(Table5[[#This Row],[PID]],Table3[[#All],[PID]],0)))</f>
        <v>Takashi</v>
      </c>
      <c r="F90" s="52" t="str">
        <f>IF($C90="B",INDEX(Batters[[#All],[Last]],MATCH(A90,Batters[[#All],[PID]],0)),INDEX(Table3[[#All],[Last]],MATCH(A90,Table3[[#All],[PID]],0)))</f>
        <v>Tanaka</v>
      </c>
      <c r="G90" s="58">
        <f>IF($C90="B",INDEX(Batters[[#All],[Age]],MATCH(Table5[[#This Row],[PID]],Batters[[#All],[PID]],0)),INDEX(Table3[[#All],[Age]],MATCH(Table5[[#This Row],[PID]],Table3[[#All],[PID]],0)))</f>
        <v>17</v>
      </c>
      <c r="H90" s="54" t="str">
        <f>IF($C90="B",INDEX(Batters[[#All],[B]],MATCH(Table5[[#This Row],[PID]],Batters[[#All],[PID]],0)),INDEX(Table3[[#All],[B]],MATCH(Table5[[#This Row],[PID]],Table3[[#All],[PID]],0)))</f>
        <v>R</v>
      </c>
      <c r="I90" s="54" t="str">
        <f>IF($C90="B",INDEX(Batters[[#All],[T]],MATCH(Table5[[#This Row],[PID]],Batters[[#All],[PID]],0)),INDEX(Table3[[#All],[T]],MATCH(Table5[[#This Row],[PID]],Table3[[#All],[PID]],0)))</f>
        <v>R</v>
      </c>
      <c r="J90" s="54" t="str">
        <f>IF($C90="B",INDEX(Batters[[#All],[WE]],MATCH(Table5[[#This Row],[PID]],Batters[[#All],[PID]],0)),INDEX(Table3[[#All],[WE]],MATCH(Table5[[#This Row],[PID]],Table3[[#All],[PID]],0)))</f>
        <v>Normal</v>
      </c>
      <c r="K90" s="54" t="str">
        <f>IF($C90="B",INDEX(Batters[[#All],[INT]],MATCH(Table5[[#This Row],[PID]],Batters[[#All],[PID]],0)),INDEX(Table3[[#All],[INT]],MATCH(Table5[[#This Row],[PID]],Table3[[#All],[PID]],0)))</f>
        <v>Normal</v>
      </c>
      <c r="L90" s="62">
        <f>IF($C90="B",INDEX(Batters[[#All],[CON P]],MATCH(Table5[[#This Row],[PID]],Batters[[#All],[PID]],0)),INDEX(Table3[[#All],[STU P]],MATCH(Table5[[#This Row],[PID]],Table3[[#All],[PID]],0)))</f>
        <v>2</v>
      </c>
      <c r="M90" s="58">
        <f>IF($C90="B",INDEX(Batters[[#All],[GAP P]],MATCH(Table5[[#This Row],[PID]],Batters[[#All],[PID]],0)),INDEX(Table3[[#All],[MOV P]],MATCH(Table5[[#This Row],[PID]],Table3[[#All],[PID]],0)))</f>
        <v>5</v>
      </c>
      <c r="N90" s="58">
        <f>IF($C90="B",INDEX(Batters[[#All],[POW P]],MATCH(Table5[[#This Row],[PID]],Batters[[#All],[PID]],0)),INDEX(Table3[[#All],[CON P]],MATCH(Table5[[#This Row],[PID]],Table3[[#All],[PID]],0)))</f>
        <v>4</v>
      </c>
      <c r="O90" s="58">
        <f>IF($C90="B",INDEX(Batters[[#All],[EYE P]],MATCH(Table5[[#This Row],[PID]],Batters[[#All],[PID]],0)),INDEX(Table3[[#All],[VELO]],MATCH(Table5[[#This Row],[PID]],Table3[[#All],[PID]],0)))</f>
        <v>5</v>
      </c>
      <c r="P90" s="58">
        <f>IF($C90="B",INDEX(Batters[[#All],[K P]],MATCH(Table5[[#This Row],[PID]],Batters[[#All],[PID]],0)),INDEX(Table3[[#All],[STM]],MATCH(Table5[[#This Row],[PID]],Table3[[#All],[PID]],0)))</f>
        <v>2</v>
      </c>
      <c r="Q90" s="63">
        <f>IF($C90="B",INDEX(Batters[[#All],[Tot]],MATCH(Table5[[#This Row],[PID]],Batters[[#All],[PID]],0)),INDEX(Table3[[#All],[Tot]],MATCH(Table5[[#This Row],[PID]],Table3[[#All],[PID]],0)))</f>
        <v>50</v>
      </c>
      <c r="R90" s="54">
        <f>IF($C90="B",INDEX(Batters[[#All],[zScore]],MATCH(Table5[[#This Row],[PID]],Batters[[#All],[PID]],0)),INDEX(Table3[[#All],[zScore]],MATCH(Table5[[#This Row],[PID]],Table3[[#All],[PID]],0)))</f>
        <v>1.6981617288547248</v>
      </c>
      <c r="S90" s="60" t="str">
        <f>IF($C90="B",INDEX(Batters[[#All],[DEM]],MATCH(Table5[[#This Row],[PID]],Batters[[#All],[PID]],0)),INDEX(Table3[[#All],[DEM]],MATCH(Table5[[#This Row],[PID]],Table3[[#All],[PID]],0)))</f>
        <v>$65k</v>
      </c>
      <c r="T90" s="64">
        <f>IF($C90="B",VLOOKUP($A90,Bat!$A$4:$AU$1417,46,FALSE),VLOOKUP($A90,Pit!$A$4:$BD$570,55,FALSE))</f>
        <v>0</v>
      </c>
      <c r="U90" s="52">
        <f>IF($C90="B",VLOOKUP($A90,Bat!$A$4:$BA$1417,47,FALSE),VLOOKUP($A90,Pit!$A$4:$BF$570,56,FALSE))</f>
        <v>0</v>
      </c>
      <c r="V90" s="52">
        <f>IF($C90="B",VLOOKUP($A90,Bat!$A$4:$BA$1417,48,FALSE),VLOOKUP($A90,Pit!$A$4:$BF$570,57,FALSE))</f>
        <v>0</v>
      </c>
      <c r="W90" s="52">
        <f>Table5[[#This Row],[posRnk]]+Table5[[#This Row],[zRnk]]+IF($W$3&lt;&gt;Table5[[#This Row],[Type]],50,0)</f>
        <v>127</v>
      </c>
      <c r="X90" s="53">
        <f>RANK(Table5[[#This Row],[zScore]],Table5[[#All],[zScore]])</f>
        <v>77</v>
      </c>
      <c r="Y90" s="52" t="str">
        <f>IFERROR(INDEX(DraftResults[[#All],[OVR]],MATCH(Table5[[#This Row],[PID]],DraftResults[[#All],[Player ID]],0)),"")</f>
        <v/>
      </c>
      <c r="Z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" s="52" t="str">
        <f>IFERROR(INDEX(DraftResults[[#All],[Pick in Round]],MATCH(Table5[[#This Row],[PID]],DraftResults[[#All],[Player ID]],0)),"")</f>
        <v/>
      </c>
      <c r="AB90" s="52" t="str">
        <f>IFERROR(INDEX(DraftResults[[#All],[Team Name]],MATCH(Table5[[#This Row],[PID]],DraftResults[[#All],[Player ID]],0)),"")</f>
        <v/>
      </c>
      <c r="AC90" s="52" t="str">
        <f>IF(Table5[[#This Row],[Ovr]]="","",IF(Table5[[#This Row],[cmbList]]="","",Table5[[#This Row],[cmbList]]-Table5[[#This Row],[Ovr]]))</f>
        <v/>
      </c>
      <c r="AD90" s="56" t="str">
        <f>IF(ISERROR(VLOOKUP($AB90&amp;"-"&amp;$E90&amp;" "&amp;F90,Bonuses!$B$1:$G$1006,4,FALSE)),"",INT(VLOOKUP($AB90&amp;"-"&amp;$E90&amp;" "&amp;$F90,Bonuses!$B$1:$G$1006,4,FALSE)))</f>
        <v/>
      </c>
      <c r="AE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" spans="1:31" s="52" customFormat="1" x14ac:dyDescent="0.25">
      <c r="A91" s="52">
        <v>8094</v>
      </c>
      <c r="B91" s="52">
        <f>COUNTIF(Table5[PID],A91)</f>
        <v>1</v>
      </c>
      <c r="C91" s="52" t="str">
        <f>IF(COUNTIF(Table3[[#All],[PID]],A91)&gt;0,"P","B")</f>
        <v>B</v>
      </c>
      <c r="D91" s="61" t="str">
        <f>IF($C91="B",INDEX(Batters[[#All],[POS]],MATCH(Table5[[#This Row],[PID]],Batters[[#All],[PID]],0)),INDEX(Table3[[#All],[POS]],MATCH(Table5[[#This Row],[PID]],Table3[[#All],[PID]],0)))</f>
        <v>C</v>
      </c>
      <c r="E91" s="54" t="str">
        <f>IF($C91="B",INDEX(Batters[[#All],[First]],MATCH(Table5[[#This Row],[PID]],Batters[[#All],[PID]],0)),INDEX(Table3[[#All],[First]],MATCH(Table5[[#This Row],[PID]],Table3[[#All],[PID]],0)))</f>
        <v>Jerry</v>
      </c>
      <c r="F91" s="52" t="str">
        <f>IF($C91="B",INDEX(Batters[[#All],[Last]],MATCH(A91,Batters[[#All],[PID]],0)),INDEX(Table3[[#All],[Last]],MATCH(A91,Table3[[#All],[PID]],0)))</f>
        <v>Williams</v>
      </c>
      <c r="G91" s="58">
        <f>IF($C91="B",INDEX(Batters[[#All],[Age]],MATCH(Table5[[#This Row],[PID]],Batters[[#All],[PID]],0)),INDEX(Table3[[#All],[Age]],MATCH(Table5[[#This Row],[PID]],Table3[[#All],[PID]],0)))</f>
        <v>18</v>
      </c>
      <c r="H91" s="54" t="str">
        <f>IF($C91="B",INDEX(Batters[[#All],[B]],MATCH(Table5[[#This Row],[PID]],Batters[[#All],[PID]],0)),INDEX(Table3[[#All],[B]],MATCH(Table5[[#This Row],[PID]],Table3[[#All],[PID]],0)))</f>
        <v>R</v>
      </c>
      <c r="I91" s="54" t="str">
        <f>IF($C91="B",INDEX(Batters[[#All],[T]],MATCH(Table5[[#This Row],[PID]],Batters[[#All],[PID]],0)),INDEX(Table3[[#All],[T]],MATCH(Table5[[#This Row],[PID]],Table3[[#All],[PID]],0)))</f>
        <v>R</v>
      </c>
      <c r="J91" s="54" t="str">
        <f>IF($C91="B",INDEX(Batters[[#All],[WE]],MATCH(Table5[[#This Row],[PID]],Batters[[#All],[PID]],0)),INDEX(Table3[[#All],[WE]],MATCH(Table5[[#This Row],[PID]],Table3[[#All],[PID]],0)))</f>
        <v>Normal</v>
      </c>
      <c r="K91" s="54" t="str">
        <f>IF($C91="B",INDEX(Batters[[#All],[INT]],MATCH(Table5[[#This Row],[PID]],Batters[[#All],[PID]],0)),INDEX(Table3[[#All],[INT]],MATCH(Table5[[#This Row],[PID]],Table3[[#All],[PID]],0)))</f>
        <v>Normal</v>
      </c>
      <c r="L91" s="62">
        <f>IF($C91="B",INDEX(Batters[[#All],[CON P]],MATCH(Table5[[#This Row],[PID]],Batters[[#All],[PID]],0)),INDEX(Table3[[#All],[STU P]],MATCH(Table5[[#This Row],[PID]],Table3[[#All],[PID]],0)))</f>
        <v>2</v>
      </c>
      <c r="M91" s="58">
        <f>IF($C91="B",INDEX(Batters[[#All],[GAP P]],MATCH(Table5[[#This Row],[PID]],Batters[[#All],[PID]],0)),INDEX(Table3[[#All],[MOV P]],MATCH(Table5[[#This Row],[PID]],Table3[[#All],[PID]],0)))</f>
        <v>3</v>
      </c>
      <c r="N91" s="58">
        <f>IF($C91="B",INDEX(Batters[[#All],[POW P]],MATCH(Table5[[#This Row],[PID]],Batters[[#All],[PID]],0)),INDEX(Table3[[#All],[CON P]],MATCH(Table5[[#This Row],[PID]],Table3[[#All],[PID]],0)))</f>
        <v>3</v>
      </c>
      <c r="O91" s="58">
        <f>IF($C91="B",INDEX(Batters[[#All],[EYE P]],MATCH(Table5[[#This Row],[PID]],Batters[[#All],[PID]],0)),INDEX(Table3[[#All],[VELO]],MATCH(Table5[[#This Row],[PID]],Table3[[#All],[PID]],0)))</f>
        <v>4</v>
      </c>
      <c r="P91" s="58">
        <f>IF($C91="B",INDEX(Batters[[#All],[K P]],MATCH(Table5[[#This Row],[PID]],Batters[[#All],[PID]],0)),INDEX(Table3[[#All],[STM]],MATCH(Table5[[#This Row],[PID]],Table3[[#All],[PID]],0)))</f>
        <v>2</v>
      </c>
      <c r="Q91" s="63">
        <f>IF($C91="B",INDEX(Batters[[#All],[Tot]],MATCH(Table5[[#This Row],[PID]],Batters[[#All],[PID]],0)),INDEX(Table3[[#All],[Tot]],MATCH(Table5[[#This Row],[PID]],Table3[[#All],[PID]],0)))</f>
        <v>50</v>
      </c>
      <c r="R91" s="54">
        <f>IF($C91="B",INDEX(Batters[[#All],[zScore]],MATCH(Table5[[#This Row],[PID]],Batters[[#All],[PID]],0)),INDEX(Table3[[#All],[zScore]],MATCH(Table5[[#This Row],[PID]],Table3[[#All],[PID]],0)))</f>
        <v>1.6981617288547248</v>
      </c>
      <c r="S91" s="60" t="str">
        <f>IF($C91="B",INDEX(Batters[[#All],[DEM]],MATCH(Table5[[#This Row],[PID]],Batters[[#All],[PID]],0)),INDEX(Table3[[#All],[DEM]],MATCH(Table5[[#This Row],[PID]],Table3[[#All],[PID]],0)))</f>
        <v>$70k</v>
      </c>
      <c r="T91" s="64">
        <f>IF($C91="B",VLOOKUP($A91,Bat!$A$4:$AU$1417,46,FALSE),VLOOKUP($A91,Pit!$A$4:$BD$570,55,FALSE))</f>
        <v>0</v>
      </c>
      <c r="U91" s="52">
        <f>IF($C91="B",VLOOKUP($A91,Bat!$A$4:$BA$1417,47,FALSE),VLOOKUP($A91,Pit!$A$4:$BF$570,56,FALSE))</f>
        <v>0</v>
      </c>
      <c r="V91" s="52">
        <f>IF($C91="B",VLOOKUP($A91,Bat!$A$4:$BA$1417,48,FALSE),VLOOKUP($A91,Pit!$A$4:$BF$570,57,FALSE))</f>
        <v>0</v>
      </c>
      <c r="W91" s="52">
        <f>Table5[[#This Row],[posRnk]]+Table5[[#This Row],[zRnk]]+IF($W$3&lt;&gt;Table5[[#This Row],[Type]],50,0)</f>
        <v>127</v>
      </c>
      <c r="X91" s="53">
        <f>RANK(Table5[[#This Row],[zScore]],Table5[[#All],[zScore]])</f>
        <v>77</v>
      </c>
      <c r="Y91" s="52" t="str">
        <f>IFERROR(INDEX(DraftResults[[#All],[OVR]],MATCH(Table5[[#This Row],[PID]],DraftResults[[#All],[Player ID]],0)),"")</f>
        <v/>
      </c>
      <c r="Z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" s="52" t="str">
        <f>IFERROR(INDEX(DraftResults[[#All],[Pick in Round]],MATCH(Table5[[#This Row],[PID]],DraftResults[[#All],[Player ID]],0)),"")</f>
        <v/>
      </c>
      <c r="AB91" s="52" t="str">
        <f>IFERROR(INDEX(DraftResults[[#All],[Team Name]],MATCH(Table5[[#This Row],[PID]],DraftResults[[#All],[Player ID]],0)),"")</f>
        <v/>
      </c>
      <c r="AC91" s="52" t="str">
        <f>IF(Table5[[#This Row],[Ovr]]="","",IF(Table5[[#This Row],[cmbList]]="","",Table5[[#This Row],[cmbList]]-Table5[[#This Row],[Ovr]]))</f>
        <v/>
      </c>
      <c r="AD91" s="56" t="str">
        <f>IF(ISERROR(VLOOKUP($AB91&amp;"-"&amp;$E91&amp;" "&amp;F91,Bonuses!$B$1:$G$1006,4,FALSE)),"",INT(VLOOKUP($AB91&amp;"-"&amp;$E91&amp;" "&amp;$F91,Bonuses!$B$1:$G$1006,4,FALSE)))</f>
        <v/>
      </c>
      <c r="AE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" spans="1:31" s="52" customFormat="1" x14ac:dyDescent="0.25">
      <c r="A92" s="52">
        <v>7432</v>
      </c>
      <c r="B92" s="52">
        <f>COUNTIF(Table5[PID],A92)</f>
        <v>1</v>
      </c>
      <c r="C92" s="52" t="str">
        <f>IF(COUNTIF(Table3[[#All],[PID]],A92)&gt;0,"P","B")</f>
        <v>B</v>
      </c>
      <c r="D92" s="61" t="str">
        <f>IF($C92="B",INDEX(Batters[[#All],[POS]],MATCH(Table5[[#This Row],[PID]],Batters[[#All],[PID]],0)),INDEX(Table3[[#All],[POS]],MATCH(Table5[[#This Row],[PID]],Table3[[#All],[PID]],0)))</f>
        <v>CF</v>
      </c>
      <c r="E92" s="54" t="str">
        <f>IF($C92="B",INDEX(Batters[[#All],[First]],MATCH(Table5[[#This Row],[PID]],Batters[[#All],[PID]],0)),INDEX(Table3[[#All],[First]],MATCH(Table5[[#This Row],[PID]],Table3[[#All],[PID]],0)))</f>
        <v>Dave</v>
      </c>
      <c r="F92" s="52" t="str">
        <f>IF($C92="B",INDEX(Batters[[#All],[Last]],MATCH(A92,Batters[[#All],[PID]],0)),INDEX(Table3[[#All],[Last]],MATCH(A92,Table3[[#All],[PID]],0)))</f>
        <v>Shaffer</v>
      </c>
      <c r="G92" s="58">
        <f>IF($C92="B",INDEX(Batters[[#All],[Age]],MATCH(Table5[[#This Row],[PID]],Batters[[#All],[PID]],0)),INDEX(Table3[[#All],[Age]],MATCH(Table5[[#This Row],[PID]],Table3[[#All],[PID]],0)))</f>
        <v>17</v>
      </c>
      <c r="H92" s="54" t="str">
        <f>IF($C92="B",INDEX(Batters[[#All],[B]],MATCH(Table5[[#This Row],[PID]],Batters[[#All],[PID]],0)),INDEX(Table3[[#All],[B]],MATCH(Table5[[#This Row],[PID]],Table3[[#All],[PID]],0)))</f>
        <v>R</v>
      </c>
      <c r="I92" s="54" t="str">
        <f>IF($C92="B",INDEX(Batters[[#All],[T]],MATCH(Table5[[#This Row],[PID]],Batters[[#All],[PID]],0)),INDEX(Table3[[#All],[T]],MATCH(Table5[[#This Row],[PID]],Table3[[#All],[PID]],0)))</f>
        <v>R</v>
      </c>
      <c r="J92" s="54" t="str">
        <f>IF($C92="B",INDEX(Batters[[#All],[WE]],MATCH(Table5[[#This Row],[PID]],Batters[[#All],[PID]],0)),INDEX(Table3[[#All],[WE]],MATCH(Table5[[#This Row],[PID]],Table3[[#All],[PID]],0)))</f>
        <v>Normal</v>
      </c>
      <c r="K92" s="54" t="str">
        <f>IF($C92="B",INDEX(Batters[[#All],[INT]],MATCH(Table5[[#This Row],[PID]],Batters[[#All],[PID]],0)),INDEX(Table3[[#All],[INT]],MATCH(Table5[[#This Row],[PID]],Table3[[#All],[PID]],0)))</f>
        <v>Normal</v>
      </c>
      <c r="L92" s="62">
        <f>IF($C92="B",INDEX(Batters[[#All],[CON P]],MATCH(Table5[[#This Row],[PID]],Batters[[#All],[PID]],0)),INDEX(Table3[[#All],[STU P]],MATCH(Table5[[#This Row],[PID]],Table3[[#All],[PID]],0)))</f>
        <v>2</v>
      </c>
      <c r="M92" s="58">
        <f>IF($C92="B",INDEX(Batters[[#All],[GAP P]],MATCH(Table5[[#This Row],[PID]],Batters[[#All],[PID]],0)),INDEX(Table3[[#All],[MOV P]],MATCH(Table5[[#This Row],[PID]],Table3[[#All],[PID]],0)))</f>
        <v>3</v>
      </c>
      <c r="N92" s="58">
        <f>IF($C92="B",INDEX(Batters[[#All],[POW P]],MATCH(Table5[[#This Row],[PID]],Batters[[#All],[PID]],0)),INDEX(Table3[[#All],[CON P]],MATCH(Table5[[#This Row],[PID]],Table3[[#All],[PID]],0)))</f>
        <v>4</v>
      </c>
      <c r="O92" s="58">
        <f>IF($C92="B",INDEX(Batters[[#All],[EYE P]],MATCH(Table5[[#This Row],[PID]],Batters[[#All],[PID]],0)),INDEX(Table3[[#All],[VELO]],MATCH(Table5[[#This Row],[PID]],Table3[[#All],[PID]],0)))</f>
        <v>5</v>
      </c>
      <c r="P92" s="58">
        <f>IF($C92="B",INDEX(Batters[[#All],[K P]],MATCH(Table5[[#This Row],[PID]],Batters[[#All],[PID]],0)),INDEX(Table3[[#All],[STM]],MATCH(Table5[[#This Row],[PID]],Table3[[#All],[PID]],0)))</f>
        <v>2</v>
      </c>
      <c r="Q92" s="63">
        <f>IF($C92="B",INDEX(Batters[[#All],[Tot]],MATCH(Table5[[#This Row],[PID]],Batters[[#All],[PID]],0)),INDEX(Table3[[#All],[Tot]],MATCH(Table5[[#This Row],[PID]],Table3[[#All],[PID]],0)))</f>
        <v>50</v>
      </c>
      <c r="R92" s="54">
        <f>IF($C92="B",INDEX(Batters[[#All],[zScore]],MATCH(Table5[[#This Row],[PID]],Batters[[#All],[PID]],0)),INDEX(Table3[[#All],[zScore]],MATCH(Table5[[#This Row],[PID]],Table3[[#All],[PID]],0)))</f>
        <v>1.6981617288547248</v>
      </c>
      <c r="S92" s="60" t="str">
        <f>IF($C92="B",INDEX(Batters[[#All],[DEM]],MATCH(Table5[[#This Row],[PID]],Batters[[#All],[PID]],0)),INDEX(Table3[[#All],[DEM]],MATCH(Table5[[#This Row],[PID]],Table3[[#All],[PID]],0)))</f>
        <v>$65k</v>
      </c>
      <c r="T92" s="64">
        <f>IF($C92="B",VLOOKUP($A92,Bat!$A$4:$AU$1417,46,FALSE),VLOOKUP($A92,Pit!$A$4:$BD$570,55,FALSE))</f>
        <v>0</v>
      </c>
      <c r="U92" s="52">
        <f>IF($C92="B",VLOOKUP($A92,Bat!$A$4:$BA$1417,47,FALSE),VLOOKUP($A92,Pit!$A$4:$BF$570,56,FALSE))</f>
        <v>0</v>
      </c>
      <c r="V92" s="52">
        <f>IF($C92="B",VLOOKUP($A92,Bat!$A$4:$BA$1417,48,FALSE),VLOOKUP($A92,Pit!$A$4:$BF$570,57,FALSE))</f>
        <v>0</v>
      </c>
      <c r="W92" s="52">
        <f>Table5[[#This Row],[posRnk]]+Table5[[#This Row],[zRnk]]+IF($W$3&lt;&gt;Table5[[#This Row],[Type]],50,0)</f>
        <v>127</v>
      </c>
      <c r="X92" s="53">
        <f>RANK(Table5[[#This Row],[zScore]],Table5[[#All],[zScore]])</f>
        <v>77</v>
      </c>
      <c r="Y92" s="52" t="str">
        <f>IFERROR(INDEX(DraftResults[[#All],[OVR]],MATCH(Table5[[#This Row],[PID]],DraftResults[[#All],[Player ID]],0)),"")</f>
        <v/>
      </c>
      <c r="Z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" s="52" t="str">
        <f>IFERROR(INDEX(DraftResults[[#All],[Pick in Round]],MATCH(Table5[[#This Row],[PID]],DraftResults[[#All],[Player ID]],0)),"")</f>
        <v/>
      </c>
      <c r="AB92" s="52" t="str">
        <f>IFERROR(INDEX(DraftResults[[#All],[Team Name]],MATCH(Table5[[#This Row],[PID]],DraftResults[[#All],[Player ID]],0)),"")</f>
        <v/>
      </c>
      <c r="AC92" s="52" t="str">
        <f>IF(Table5[[#This Row],[Ovr]]="","",IF(Table5[[#This Row],[cmbList]]="","",Table5[[#This Row],[cmbList]]-Table5[[#This Row],[Ovr]]))</f>
        <v/>
      </c>
      <c r="AD92" s="56" t="str">
        <f>IF(ISERROR(VLOOKUP($AB92&amp;"-"&amp;$E92&amp;" "&amp;F92,Bonuses!$B$1:$G$1006,4,FALSE)),"",INT(VLOOKUP($AB92&amp;"-"&amp;$E92&amp;" "&amp;$F92,Bonuses!$B$1:$G$1006,4,FALSE)))</f>
        <v/>
      </c>
      <c r="AE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" spans="1:31" s="52" customFormat="1" x14ac:dyDescent="0.25">
      <c r="A93" s="52">
        <v>8331</v>
      </c>
      <c r="B93" s="57">
        <f>COUNTIF(Table5[PID],A93)</f>
        <v>1</v>
      </c>
      <c r="C93" s="57" t="str">
        <f>IF(COUNTIF(Table3[[#All],[PID]],A93)&gt;0,"P","B")</f>
        <v>B</v>
      </c>
      <c r="D93" s="61" t="str">
        <f>IF($C93="B",INDEX(Batters[[#All],[POS]],MATCH(Table5[[#This Row],[PID]],Batters[[#All],[PID]],0)),INDEX(Table3[[#All],[POS]],MATCH(Table5[[#This Row],[PID]],Table3[[#All],[PID]],0)))</f>
        <v>LF</v>
      </c>
      <c r="E93" s="54" t="str">
        <f>IF($C93="B",INDEX(Batters[[#All],[First]],MATCH(Table5[[#This Row],[PID]],Batters[[#All],[PID]],0)),INDEX(Table3[[#All],[First]],MATCH(Table5[[#This Row],[PID]],Table3[[#All],[PID]],0)))</f>
        <v>Juan</v>
      </c>
      <c r="F93" s="52" t="str">
        <f>IF($C93="B",INDEX(Batters[[#All],[Last]],MATCH(A93,Batters[[#All],[PID]],0)),INDEX(Table3[[#All],[Last]],MATCH(A93,Table3[[#All],[PID]],0)))</f>
        <v>Valadez</v>
      </c>
      <c r="G93" s="58">
        <f>IF($C93="B",INDEX(Batters[[#All],[Age]],MATCH(Table5[[#This Row],[PID]],Batters[[#All],[PID]],0)),INDEX(Table3[[#All],[Age]],MATCH(Table5[[#This Row],[PID]],Table3[[#All],[PID]],0)))</f>
        <v>18</v>
      </c>
      <c r="H93" s="54" t="str">
        <f>IF($C93="B",INDEX(Batters[[#All],[B]],MATCH(Table5[[#This Row],[PID]],Batters[[#All],[PID]],0)),INDEX(Table3[[#All],[B]],MATCH(Table5[[#This Row],[PID]],Table3[[#All],[PID]],0)))</f>
        <v>L</v>
      </c>
      <c r="I93" s="54" t="str">
        <f>IF($C93="B",INDEX(Batters[[#All],[T]],MATCH(Table5[[#This Row],[PID]],Batters[[#All],[PID]],0)),INDEX(Table3[[#All],[T]],MATCH(Table5[[#This Row],[PID]],Table3[[#All],[PID]],0)))</f>
        <v>L</v>
      </c>
      <c r="J93" s="54" t="str">
        <f>IF($C93="B",INDEX(Batters[[#All],[WE]],MATCH(Table5[[#This Row],[PID]],Batters[[#All],[PID]],0)),INDEX(Table3[[#All],[WE]],MATCH(Table5[[#This Row],[PID]],Table3[[#All],[PID]],0)))</f>
        <v>Normal</v>
      </c>
      <c r="K93" s="54" t="str">
        <f>IF($C93="B",INDEX(Batters[[#All],[INT]],MATCH(Table5[[#This Row],[PID]],Batters[[#All],[PID]],0)),INDEX(Table3[[#All],[INT]],MATCH(Table5[[#This Row],[PID]],Table3[[#All],[PID]],0)))</f>
        <v>Normal</v>
      </c>
      <c r="L93" s="62">
        <f>IF($C93="B",INDEX(Batters[[#All],[CON P]],MATCH(Table5[[#This Row],[PID]],Batters[[#All],[PID]],0)),INDEX(Table3[[#All],[STU P]],MATCH(Table5[[#This Row],[PID]],Table3[[#All],[PID]],0)))</f>
        <v>2</v>
      </c>
      <c r="M93" s="58">
        <f>IF($C93="B",INDEX(Batters[[#All],[GAP P]],MATCH(Table5[[#This Row],[PID]],Batters[[#All],[PID]],0)),INDEX(Table3[[#All],[MOV P]],MATCH(Table5[[#This Row],[PID]],Table3[[#All],[PID]],0)))</f>
        <v>3</v>
      </c>
      <c r="N93" s="58">
        <f>IF($C93="B",INDEX(Batters[[#All],[POW P]],MATCH(Table5[[#This Row],[PID]],Batters[[#All],[PID]],0)),INDEX(Table3[[#All],[CON P]],MATCH(Table5[[#This Row],[PID]],Table3[[#All],[PID]],0)))</f>
        <v>3</v>
      </c>
      <c r="O93" s="58">
        <f>IF($C93="B",INDEX(Batters[[#All],[EYE P]],MATCH(Table5[[#This Row],[PID]],Batters[[#All],[PID]],0)),INDEX(Table3[[#All],[VELO]],MATCH(Table5[[#This Row],[PID]],Table3[[#All],[PID]],0)))</f>
        <v>5</v>
      </c>
      <c r="P93" s="58">
        <f>IF($C93="B",INDEX(Batters[[#All],[K P]],MATCH(Table5[[#This Row],[PID]],Batters[[#All],[PID]],0)),INDEX(Table3[[#All],[STM]],MATCH(Table5[[#This Row],[PID]],Table3[[#All],[PID]],0)))</f>
        <v>3</v>
      </c>
      <c r="Q93" s="63">
        <f>IF($C93="B",INDEX(Batters[[#All],[Tot]],MATCH(Table5[[#This Row],[PID]],Batters[[#All],[PID]],0)),INDEX(Table3[[#All],[Tot]],MATCH(Table5[[#This Row],[PID]],Table3[[#All],[PID]],0)))</f>
        <v>50</v>
      </c>
      <c r="R93" s="54">
        <f>IF($C93="B",INDEX(Batters[[#All],[zScore]],MATCH(Table5[[#This Row],[PID]],Batters[[#All],[PID]],0)),INDEX(Table3[[#All],[zScore]],MATCH(Table5[[#This Row],[PID]],Table3[[#All],[PID]],0)))</f>
        <v>1.6981617288547248</v>
      </c>
      <c r="S93" s="60" t="str">
        <f>IF($C93="B",INDEX(Batters[[#All],[DEM]],MATCH(Table5[[#This Row],[PID]],Batters[[#All],[PID]],0)),INDEX(Table3[[#All],[DEM]],MATCH(Table5[[#This Row],[PID]],Table3[[#All],[PID]],0)))</f>
        <v>$130k</v>
      </c>
      <c r="T93" s="64">
        <f>IF($C93="B",VLOOKUP($A93,Bat!$A$4:$AU$1417,46,FALSE),VLOOKUP($A93,Pit!$A$4:$BD$570,55,FALSE))</f>
        <v>0</v>
      </c>
      <c r="U93" s="52">
        <f>IF($C93="B",VLOOKUP($A93,Bat!$A$4:$BA$1417,47,FALSE),VLOOKUP($A93,Pit!$A$4:$BF$570,56,FALSE))</f>
        <v>0</v>
      </c>
      <c r="V93" s="52">
        <f>IF($C93="B",VLOOKUP($A93,Bat!$A$4:$BA$1417,48,FALSE),VLOOKUP($A93,Pit!$A$4:$BF$570,57,FALSE))</f>
        <v>0</v>
      </c>
      <c r="W93" s="52">
        <f>Table5[[#This Row],[posRnk]]+Table5[[#This Row],[zRnk]]+IF($W$3&lt;&gt;Table5[[#This Row],[Type]],50,0)</f>
        <v>127</v>
      </c>
      <c r="X93" s="53">
        <f>RANK(Table5[[#This Row],[zScore]],Table5[[#All],[zScore]])</f>
        <v>77</v>
      </c>
      <c r="Y93" s="52" t="str">
        <f>IFERROR(INDEX(DraftResults[[#All],[OVR]],MATCH(Table5[[#This Row],[PID]],DraftResults[[#All],[Player ID]],0)),"")</f>
        <v/>
      </c>
      <c r="Z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" s="52" t="str">
        <f>IFERROR(INDEX(DraftResults[[#All],[Pick in Round]],MATCH(Table5[[#This Row],[PID]],DraftResults[[#All],[Player ID]],0)),"")</f>
        <v/>
      </c>
      <c r="AB93" s="52" t="str">
        <f>IFERROR(INDEX(DraftResults[[#All],[Team Name]],MATCH(Table5[[#This Row],[PID]],DraftResults[[#All],[Player ID]],0)),"")</f>
        <v/>
      </c>
      <c r="AC93" s="52" t="str">
        <f>IF(Table5[[#This Row],[Ovr]]="","",IF(Table5[[#This Row],[cmbList]]="","",Table5[[#This Row],[cmbList]]-Table5[[#This Row],[Ovr]]))</f>
        <v/>
      </c>
      <c r="AD93" s="56" t="str">
        <f>IF(ISERROR(VLOOKUP($AB93&amp;"-"&amp;$E93&amp;" "&amp;F93,Bonuses!$B$1:$G$1006,4,FALSE)),"",INT(VLOOKUP($AB93&amp;"-"&amp;$E93&amp;" "&amp;$F93,Bonuses!$B$1:$G$1006,4,FALSE)))</f>
        <v/>
      </c>
      <c r="AE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" spans="1:31" s="52" customFormat="1" x14ac:dyDescent="0.25">
      <c r="A94" s="52">
        <v>12328</v>
      </c>
      <c r="B94" s="57">
        <f>COUNTIF(Table5[PID],A94)</f>
        <v>1</v>
      </c>
      <c r="C94" s="57" t="str">
        <f>IF(COUNTIF(Table3[[#All],[PID]],A94)&gt;0,"P","B")</f>
        <v>B</v>
      </c>
      <c r="D94" s="61" t="str">
        <f>IF($C94="B",INDEX(Batters[[#All],[POS]],MATCH(Table5[[#This Row],[PID]],Batters[[#All],[PID]],0)),INDEX(Table3[[#All],[POS]],MATCH(Table5[[#This Row],[PID]],Table3[[#All],[PID]],0)))</f>
        <v>LF</v>
      </c>
      <c r="E94" s="54" t="str">
        <f>IF($C94="B",INDEX(Batters[[#All],[First]],MATCH(Table5[[#This Row],[PID]],Batters[[#All],[PID]],0)),INDEX(Table3[[#All],[First]],MATCH(Table5[[#This Row],[PID]],Table3[[#All],[PID]],0)))</f>
        <v>Christian</v>
      </c>
      <c r="F94" s="52" t="str">
        <f>IF($C94="B",INDEX(Batters[[#All],[Last]],MATCH(A94,Batters[[#All],[PID]],0)),INDEX(Table3[[#All],[Last]],MATCH(A94,Table3[[#All],[PID]],0)))</f>
        <v>Wilson</v>
      </c>
      <c r="G94" s="58">
        <f>IF($C94="B",INDEX(Batters[[#All],[Age]],MATCH(Table5[[#This Row],[PID]],Batters[[#All],[PID]],0)),INDEX(Table3[[#All],[Age]],MATCH(Table5[[#This Row],[PID]],Table3[[#All],[PID]],0)))</f>
        <v>18</v>
      </c>
      <c r="H94" s="54" t="str">
        <f>IF($C94="B",INDEX(Batters[[#All],[B]],MATCH(Table5[[#This Row],[PID]],Batters[[#All],[PID]],0)),INDEX(Table3[[#All],[B]],MATCH(Table5[[#This Row],[PID]],Table3[[#All],[PID]],0)))</f>
        <v>L</v>
      </c>
      <c r="I94" s="54" t="str">
        <f>IF($C94="B",INDEX(Batters[[#All],[T]],MATCH(Table5[[#This Row],[PID]],Batters[[#All],[PID]],0)),INDEX(Table3[[#All],[T]],MATCH(Table5[[#This Row],[PID]],Table3[[#All],[PID]],0)))</f>
        <v>R</v>
      </c>
      <c r="J94" s="54" t="str">
        <f>IF($C94="B",INDEX(Batters[[#All],[WE]],MATCH(Table5[[#This Row],[PID]],Batters[[#All],[PID]],0)),INDEX(Table3[[#All],[WE]],MATCH(Table5[[#This Row],[PID]],Table3[[#All],[PID]],0)))</f>
        <v>Normal</v>
      </c>
      <c r="K94" s="54" t="str">
        <f>IF($C94="B",INDEX(Batters[[#All],[INT]],MATCH(Table5[[#This Row],[PID]],Batters[[#All],[PID]],0)),INDEX(Table3[[#All],[INT]],MATCH(Table5[[#This Row],[PID]],Table3[[#All],[PID]],0)))</f>
        <v>Normal</v>
      </c>
      <c r="L94" s="62">
        <f>IF($C94="B",INDEX(Batters[[#All],[CON P]],MATCH(Table5[[#This Row],[PID]],Batters[[#All],[PID]],0)),INDEX(Table3[[#All],[STU P]],MATCH(Table5[[#This Row],[PID]],Table3[[#All],[PID]],0)))</f>
        <v>2</v>
      </c>
      <c r="M94" s="58">
        <f>IF($C94="B",INDEX(Batters[[#All],[GAP P]],MATCH(Table5[[#This Row],[PID]],Batters[[#All],[PID]],0)),INDEX(Table3[[#All],[MOV P]],MATCH(Table5[[#This Row],[PID]],Table3[[#All],[PID]],0)))</f>
        <v>3</v>
      </c>
      <c r="N94" s="58">
        <f>IF($C94="B",INDEX(Batters[[#All],[POW P]],MATCH(Table5[[#This Row],[PID]],Batters[[#All],[PID]],0)),INDEX(Table3[[#All],[CON P]],MATCH(Table5[[#This Row],[PID]],Table3[[#All],[PID]],0)))</f>
        <v>4</v>
      </c>
      <c r="O94" s="58">
        <f>IF($C94="B",INDEX(Batters[[#All],[EYE P]],MATCH(Table5[[#This Row],[PID]],Batters[[#All],[PID]],0)),INDEX(Table3[[#All],[VELO]],MATCH(Table5[[#This Row],[PID]],Table3[[#All],[PID]],0)))</f>
        <v>6</v>
      </c>
      <c r="P94" s="58">
        <f>IF($C94="B",INDEX(Batters[[#All],[K P]],MATCH(Table5[[#This Row],[PID]],Batters[[#All],[PID]],0)),INDEX(Table3[[#All],[STM]],MATCH(Table5[[#This Row],[PID]],Table3[[#All],[PID]],0)))</f>
        <v>2</v>
      </c>
      <c r="Q94" s="63">
        <f>IF($C94="B",INDEX(Batters[[#All],[Tot]],MATCH(Table5[[#This Row],[PID]],Batters[[#All],[PID]],0)),INDEX(Table3[[#All],[Tot]],MATCH(Table5[[#This Row],[PID]],Table3[[#All],[PID]],0)))</f>
        <v>50</v>
      </c>
      <c r="R94" s="54">
        <f>IF($C94="B",INDEX(Batters[[#All],[zScore]],MATCH(Table5[[#This Row],[PID]],Batters[[#All],[PID]],0)),INDEX(Table3[[#All],[zScore]],MATCH(Table5[[#This Row],[PID]],Table3[[#All],[PID]],0)))</f>
        <v>1.6981617288547248</v>
      </c>
      <c r="S94" s="60" t="str">
        <f>IF($C94="B",INDEX(Batters[[#All],[DEM]],MATCH(Table5[[#This Row],[PID]],Batters[[#All],[PID]],0)),INDEX(Table3[[#All],[DEM]],MATCH(Table5[[#This Row],[PID]],Table3[[#All],[PID]],0)))</f>
        <v>$65k</v>
      </c>
      <c r="T94" s="64">
        <f>IF($C94="B",VLOOKUP($A94,Bat!$A$4:$AU$1417,46,FALSE),VLOOKUP($A94,Pit!$A$4:$BD$570,55,FALSE))</f>
        <v>0</v>
      </c>
      <c r="U94" s="52">
        <f>IF($C94="B",VLOOKUP($A94,Bat!$A$4:$BA$1417,47,FALSE),VLOOKUP($A94,Pit!$A$4:$BF$570,56,FALSE))</f>
        <v>0</v>
      </c>
      <c r="V94" s="52">
        <f>IF($C94="B",VLOOKUP($A94,Bat!$A$4:$BA$1417,48,FALSE),VLOOKUP($A94,Pit!$A$4:$BF$570,57,FALSE))</f>
        <v>0</v>
      </c>
      <c r="W94" s="52">
        <f>Table5[[#This Row],[posRnk]]+Table5[[#This Row],[zRnk]]+IF($W$3&lt;&gt;Table5[[#This Row],[Type]],50,0)</f>
        <v>127</v>
      </c>
      <c r="X94" s="53">
        <f>RANK(Table5[[#This Row],[zScore]],Table5[[#All],[zScore]])</f>
        <v>77</v>
      </c>
      <c r="Y94" s="52" t="str">
        <f>IFERROR(INDEX(DraftResults[[#All],[OVR]],MATCH(Table5[[#This Row],[PID]],DraftResults[[#All],[Player ID]],0)),"")</f>
        <v/>
      </c>
      <c r="Z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" s="52" t="str">
        <f>IFERROR(INDEX(DraftResults[[#All],[Pick in Round]],MATCH(Table5[[#This Row],[PID]],DraftResults[[#All],[Player ID]],0)),"")</f>
        <v/>
      </c>
      <c r="AB94" s="52" t="str">
        <f>IFERROR(INDEX(DraftResults[[#All],[Team Name]],MATCH(Table5[[#This Row],[PID]],DraftResults[[#All],[Player ID]],0)),"")</f>
        <v/>
      </c>
      <c r="AC94" s="52" t="str">
        <f>IF(Table5[[#This Row],[Ovr]]="","",IF(Table5[[#This Row],[cmbList]]="","",Table5[[#This Row],[cmbList]]-Table5[[#This Row],[Ovr]]))</f>
        <v/>
      </c>
      <c r="AD94" s="56" t="str">
        <f>IF(ISERROR(VLOOKUP($AB94&amp;"-"&amp;$E94&amp;" "&amp;F94,Bonuses!$B$1:$G$1006,4,FALSE)),"",INT(VLOOKUP($AB94&amp;"-"&amp;$E94&amp;" "&amp;$F94,Bonuses!$B$1:$G$1006,4,FALSE)))</f>
        <v/>
      </c>
      <c r="AE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" spans="1:31" s="52" customFormat="1" x14ac:dyDescent="0.25">
      <c r="A95" s="52">
        <v>6322</v>
      </c>
      <c r="B95" s="52">
        <f>COUNTIF(Table5[PID],A95)</f>
        <v>1</v>
      </c>
      <c r="C95" s="52" t="str">
        <f>IF(COUNTIF(Table3[[#All],[PID]],A95)&gt;0,"P","B")</f>
        <v>B</v>
      </c>
      <c r="D95" s="61" t="str">
        <f>IF($C95="B",INDEX(Batters[[#All],[POS]],MATCH(Table5[[#This Row],[PID]],Batters[[#All],[PID]],0)),INDEX(Table3[[#All],[POS]],MATCH(Table5[[#This Row],[PID]],Table3[[#All],[PID]],0)))</f>
        <v>LF</v>
      </c>
      <c r="E95" s="54" t="str">
        <f>IF($C95="B",INDEX(Batters[[#All],[First]],MATCH(Table5[[#This Row],[PID]],Batters[[#All],[PID]],0)),INDEX(Table3[[#All],[First]],MATCH(Table5[[#This Row],[PID]],Table3[[#All],[PID]],0)))</f>
        <v>Koji</v>
      </c>
      <c r="F95" s="52" t="str">
        <f>IF($C95="B",INDEX(Batters[[#All],[Last]],MATCH(A95,Batters[[#All],[PID]],0)),INDEX(Table3[[#All],[Last]],MATCH(A95,Table3[[#All],[PID]],0)))</f>
        <v>Matsuoka</v>
      </c>
      <c r="G95" s="58">
        <f>IF($C95="B",INDEX(Batters[[#All],[Age]],MATCH(Table5[[#This Row],[PID]],Batters[[#All],[PID]],0)),INDEX(Table3[[#All],[Age]],MATCH(Table5[[#This Row],[PID]],Table3[[#All],[PID]],0)))</f>
        <v>18</v>
      </c>
      <c r="H95" s="54" t="str">
        <f>IF($C95="B",INDEX(Batters[[#All],[B]],MATCH(Table5[[#This Row],[PID]],Batters[[#All],[PID]],0)),INDEX(Table3[[#All],[B]],MATCH(Table5[[#This Row],[PID]],Table3[[#All],[PID]],0)))</f>
        <v>L</v>
      </c>
      <c r="I95" s="54" t="str">
        <f>IF($C95="B",INDEX(Batters[[#All],[T]],MATCH(Table5[[#This Row],[PID]],Batters[[#All],[PID]],0)),INDEX(Table3[[#All],[T]],MATCH(Table5[[#This Row],[PID]],Table3[[#All],[PID]],0)))</f>
        <v>L</v>
      </c>
      <c r="J95" s="54" t="str">
        <f>IF($C95="B",INDEX(Batters[[#All],[WE]],MATCH(Table5[[#This Row],[PID]],Batters[[#All],[PID]],0)),INDEX(Table3[[#All],[WE]],MATCH(Table5[[#This Row],[PID]],Table3[[#All],[PID]],0)))</f>
        <v>Normal</v>
      </c>
      <c r="K95" s="54" t="str">
        <f>IF($C95="B",INDEX(Batters[[#All],[INT]],MATCH(Table5[[#This Row],[PID]],Batters[[#All],[PID]],0)),INDEX(Table3[[#All],[INT]],MATCH(Table5[[#This Row],[PID]],Table3[[#All],[PID]],0)))</f>
        <v>Low</v>
      </c>
      <c r="L95" s="62">
        <f>IF($C95="B",INDEX(Batters[[#All],[CON P]],MATCH(Table5[[#This Row],[PID]],Batters[[#All],[PID]],0)),INDEX(Table3[[#All],[STU P]],MATCH(Table5[[#This Row],[PID]],Table3[[#All],[PID]],0)))</f>
        <v>4</v>
      </c>
      <c r="M95" s="58">
        <f>IF($C95="B",INDEX(Batters[[#All],[GAP P]],MATCH(Table5[[#This Row],[PID]],Batters[[#All],[PID]],0)),INDEX(Table3[[#All],[MOV P]],MATCH(Table5[[#This Row],[PID]],Table3[[#All],[PID]],0)))</f>
        <v>5</v>
      </c>
      <c r="N95" s="58">
        <f>IF($C95="B",INDEX(Batters[[#All],[POW P]],MATCH(Table5[[#This Row],[PID]],Batters[[#All],[PID]],0)),INDEX(Table3[[#All],[CON P]],MATCH(Table5[[#This Row],[PID]],Table3[[#All],[PID]],0)))</f>
        <v>6</v>
      </c>
      <c r="O95" s="58">
        <f>IF($C95="B",INDEX(Batters[[#All],[EYE P]],MATCH(Table5[[#This Row],[PID]],Batters[[#All],[PID]],0)),INDEX(Table3[[#All],[VELO]],MATCH(Table5[[#This Row],[PID]],Table3[[#All],[PID]],0)))</f>
        <v>5</v>
      </c>
      <c r="P95" s="58">
        <f>IF($C95="B",INDEX(Batters[[#All],[K P]],MATCH(Table5[[#This Row],[PID]],Batters[[#All],[PID]],0)),INDEX(Table3[[#All],[STM]],MATCH(Table5[[#This Row],[PID]],Table3[[#All],[PID]],0)))</f>
        <v>4</v>
      </c>
      <c r="Q95" s="63">
        <f>IF($C95="B",INDEX(Batters[[#All],[Tot]],MATCH(Table5[[#This Row],[PID]],Batters[[#All],[PID]],0)),INDEX(Table3[[#All],[Tot]],MATCH(Table5[[#This Row],[PID]],Table3[[#All],[PID]],0)))</f>
        <v>49.978025243787116</v>
      </c>
      <c r="R95" s="54">
        <f>IF($C95="B",INDEX(Batters[[#All],[zScore]],MATCH(Table5[[#This Row],[PID]],Batters[[#All],[PID]],0)),INDEX(Table3[[#All],[zScore]],MATCH(Table5[[#This Row],[PID]],Table3[[#All],[PID]],0)))</f>
        <v>1.6942954165499642</v>
      </c>
      <c r="S95" s="60" t="str">
        <f>IF($C95="B",INDEX(Batters[[#All],[DEM]],MATCH(Table5[[#This Row],[PID]],Batters[[#All],[PID]],0)),INDEX(Table3[[#All],[DEM]],MATCH(Table5[[#This Row],[PID]],Table3[[#All],[PID]],0)))</f>
        <v>$270k</v>
      </c>
      <c r="T95" s="64">
        <f>IF($C95="B",VLOOKUP($A95,Bat!$A$4:$AU$1417,46,FALSE),VLOOKUP($A95,Pit!$A$4:$BD$570,55,FALSE))</f>
        <v>0</v>
      </c>
      <c r="U95" s="52">
        <f>IF($C95="B",VLOOKUP($A95,Bat!$A$4:$BA$1417,47,FALSE),VLOOKUP($A95,Pit!$A$4:$BF$570,56,FALSE))</f>
        <v>0</v>
      </c>
      <c r="V95" s="52">
        <f>IF($C95="B",VLOOKUP($A95,Bat!$A$4:$BA$1417,48,FALSE),VLOOKUP($A95,Pit!$A$4:$BF$570,57,FALSE))</f>
        <v>0</v>
      </c>
      <c r="W95" s="52">
        <f>Table5[[#This Row],[posRnk]]+Table5[[#This Row],[zRnk]]+IF($W$3&lt;&gt;Table5[[#This Row],[Type]],50,0)</f>
        <v>141</v>
      </c>
      <c r="X95" s="53">
        <f>RANK(Table5[[#This Row],[zScore]],Table5[[#All],[zScore]])</f>
        <v>91</v>
      </c>
      <c r="Y95" s="52" t="str">
        <f>IFERROR(INDEX(DraftResults[[#All],[OVR]],MATCH(Table5[[#This Row],[PID]],DraftResults[[#All],[Player ID]],0)),"")</f>
        <v/>
      </c>
      <c r="Z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" s="52" t="str">
        <f>IFERROR(INDEX(DraftResults[[#All],[Pick in Round]],MATCH(Table5[[#This Row],[PID]],DraftResults[[#All],[Player ID]],0)),"")</f>
        <v/>
      </c>
      <c r="AB95" s="52" t="str">
        <f>IFERROR(INDEX(DraftResults[[#All],[Team Name]],MATCH(Table5[[#This Row],[PID]],DraftResults[[#All],[Player ID]],0)),"")</f>
        <v/>
      </c>
      <c r="AC95" s="52" t="str">
        <f>IF(Table5[[#This Row],[Ovr]]="","",IF(Table5[[#This Row],[cmbList]]="","",Table5[[#This Row],[cmbList]]-Table5[[#This Row],[Ovr]]))</f>
        <v/>
      </c>
      <c r="AD95" s="56" t="str">
        <f>IF(ISERROR(VLOOKUP($AB95&amp;"-"&amp;$E95&amp;" "&amp;F95,Bonuses!$B$1:$G$1006,4,FALSE)),"",INT(VLOOKUP($AB95&amp;"-"&amp;$E95&amp;" "&amp;$F95,Bonuses!$B$1:$G$1006,4,FALSE)))</f>
        <v/>
      </c>
      <c r="AE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" spans="1:31" s="52" customFormat="1" x14ac:dyDescent="0.25">
      <c r="A96" s="52">
        <v>9440</v>
      </c>
      <c r="B96" s="52">
        <f>COUNTIF(Table5[PID],A96)</f>
        <v>1</v>
      </c>
      <c r="C96" s="52" t="str">
        <f>IF(COUNTIF(Table3[[#All],[PID]],A96)&gt;0,"P","B")</f>
        <v>P</v>
      </c>
      <c r="D96" s="61" t="str">
        <f>IF($C96="B",INDEX(Batters[[#All],[POS]],MATCH(Table5[[#This Row],[PID]],Batters[[#All],[PID]],0)),INDEX(Table3[[#All],[POS]],MATCH(Table5[[#This Row],[PID]],Table3[[#All],[PID]],0)))</f>
        <v>CL</v>
      </c>
      <c r="E96" s="54" t="str">
        <f>IF($C96="B",INDEX(Batters[[#All],[First]],MATCH(Table5[[#This Row],[PID]],Batters[[#All],[PID]],0)),INDEX(Table3[[#All],[First]],MATCH(Table5[[#This Row],[PID]],Table3[[#All],[PID]],0)))</f>
        <v>Sergio</v>
      </c>
      <c r="F96" s="52" t="str">
        <f>IF($C96="B",INDEX(Batters[[#All],[Last]],MATCH(A96,Batters[[#All],[PID]],0)),INDEX(Table3[[#All],[Last]],MATCH(A96,Table3[[#All],[PID]],0)))</f>
        <v>Rivera</v>
      </c>
      <c r="G96" s="58">
        <f>IF($C96="B",INDEX(Batters[[#All],[Age]],MATCH(Table5[[#This Row],[PID]],Batters[[#All],[PID]],0)),INDEX(Table3[[#All],[Age]],MATCH(Table5[[#This Row],[PID]],Table3[[#All],[PID]],0)))</f>
        <v>21</v>
      </c>
      <c r="H96" s="54" t="str">
        <f>IF($C96="B",INDEX(Batters[[#All],[B]],MATCH(Table5[[#This Row],[PID]],Batters[[#All],[PID]],0)),INDEX(Table3[[#All],[B]],MATCH(Table5[[#This Row],[PID]],Table3[[#All],[PID]],0)))</f>
        <v>R</v>
      </c>
      <c r="I96" s="54" t="str">
        <f>IF($C96="B",INDEX(Batters[[#All],[T]],MATCH(Table5[[#This Row],[PID]],Batters[[#All],[PID]],0)),INDEX(Table3[[#All],[T]],MATCH(Table5[[#This Row],[PID]],Table3[[#All],[PID]],0)))</f>
        <v>R</v>
      </c>
      <c r="J96" s="54" t="str">
        <f>IF($C96="B",INDEX(Batters[[#All],[WE]],MATCH(Table5[[#This Row],[PID]],Batters[[#All],[PID]],0)),INDEX(Table3[[#All],[WE]],MATCH(Table5[[#This Row],[PID]],Table3[[#All],[PID]],0)))</f>
        <v>Normal</v>
      </c>
      <c r="K96" s="54" t="str">
        <f>IF($C96="B",INDEX(Batters[[#All],[INT]],MATCH(Table5[[#This Row],[PID]],Batters[[#All],[PID]],0)),INDEX(Table3[[#All],[INT]],MATCH(Table5[[#This Row],[PID]],Table3[[#All],[PID]],0)))</f>
        <v>Normal</v>
      </c>
      <c r="L96" s="62">
        <f>IF($C96="B",INDEX(Batters[[#All],[CON P]],MATCH(Table5[[#This Row],[PID]],Batters[[#All],[PID]],0)),INDEX(Table3[[#All],[STU P]],MATCH(Table5[[#This Row],[PID]],Table3[[#All],[PID]],0)))</f>
        <v>6</v>
      </c>
      <c r="M96" s="58">
        <f>IF($C96="B",INDEX(Batters[[#All],[GAP P]],MATCH(Table5[[#This Row],[PID]],Batters[[#All],[PID]],0)),INDEX(Table3[[#All],[MOV P]],MATCH(Table5[[#This Row],[PID]],Table3[[#All],[PID]],0)))</f>
        <v>4</v>
      </c>
      <c r="N96" s="58">
        <f>IF($C96="B",INDEX(Batters[[#All],[POW P]],MATCH(Table5[[#This Row],[PID]],Batters[[#All],[PID]],0)),INDEX(Table3[[#All],[CON P]],MATCH(Table5[[#This Row],[PID]],Table3[[#All],[PID]],0)))</f>
        <v>5</v>
      </c>
      <c r="O96" s="58" t="str">
        <f>IF($C96="B",INDEX(Batters[[#All],[EYE P]],MATCH(Table5[[#This Row],[PID]],Batters[[#All],[PID]],0)),INDEX(Table3[[#All],[VELO]],MATCH(Table5[[#This Row],[PID]],Table3[[#All],[PID]],0)))</f>
        <v>95-97 Mph</v>
      </c>
      <c r="P96" s="58">
        <f>IF($C96="B",INDEX(Batters[[#All],[K P]],MATCH(Table5[[#This Row],[PID]],Batters[[#All],[PID]],0)),INDEX(Table3[[#All],[STM]],MATCH(Table5[[#This Row],[PID]],Table3[[#All],[PID]],0)))</f>
        <v>8</v>
      </c>
      <c r="Q96" s="63">
        <f>IF($C96="B",INDEX(Batters[[#All],[Tot]],MATCH(Table5[[#This Row],[PID]],Batters[[#All],[PID]],0)),INDEX(Table3[[#All],[Tot]],MATCH(Table5[[#This Row],[PID]],Table3[[#All],[PID]],0)))</f>
        <v>51.015322170903261</v>
      </c>
      <c r="R96" s="54">
        <f>IF($C96="B",INDEX(Batters[[#All],[zScore]],MATCH(Table5[[#This Row],[PID]],Batters[[#All],[PID]],0)),INDEX(Table3[[#All],[zScore]],MATCH(Table5[[#This Row],[PID]],Table3[[#All],[PID]],0)))</f>
        <v>1.6775528259844619</v>
      </c>
      <c r="S96" s="60" t="str">
        <f>IF($C96="B",INDEX(Batters[[#All],[DEM]],MATCH(Table5[[#This Row],[PID]],Batters[[#All],[PID]],0)),INDEX(Table3[[#All],[DEM]],MATCH(Table5[[#This Row],[PID]],Table3[[#All],[PID]],0)))</f>
        <v>$110k</v>
      </c>
      <c r="T96" s="64">
        <f>IF($C96="B",VLOOKUP($A96,Bat!$A$4:$AU$1417,46,FALSE),VLOOKUP($A96,Pit!$A$4:$BD$570,55,FALSE))</f>
        <v>0</v>
      </c>
      <c r="U96" s="52">
        <f>IF($C96="B",VLOOKUP($A96,Bat!$A$4:$BA$1417,47,FALSE),VLOOKUP($A96,Pit!$A$4:$BF$570,56,FALSE))</f>
        <v>0</v>
      </c>
      <c r="V96" s="52">
        <f>IF($C96="B",VLOOKUP($A96,Bat!$A$4:$BA$1417,48,FALSE),VLOOKUP($A96,Pit!$A$4:$BF$570,57,FALSE))</f>
        <v>0</v>
      </c>
      <c r="W96" s="52">
        <f>Table5[[#This Row],[posRnk]]+Table5[[#This Row],[zRnk]]+IF($W$3&lt;&gt;Table5[[#This Row],[Type]],50,0)</f>
        <v>142</v>
      </c>
      <c r="X96" s="53">
        <f>RANK(Table5[[#This Row],[zScore]],Table5[[#All],[zScore]])</f>
        <v>92</v>
      </c>
      <c r="Y96" s="52" t="str">
        <f>IFERROR(INDEX(DraftResults[[#All],[OVR]],MATCH(Table5[[#This Row],[PID]],DraftResults[[#All],[Player ID]],0)),"")</f>
        <v/>
      </c>
      <c r="Z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" s="52" t="str">
        <f>IFERROR(INDEX(DraftResults[[#All],[Pick in Round]],MATCH(Table5[[#This Row],[PID]],DraftResults[[#All],[Player ID]],0)),"")</f>
        <v/>
      </c>
      <c r="AB96" s="52" t="str">
        <f>IFERROR(INDEX(DraftResults[[#All],[Team Name]],MATCH(Table5[[#This Row],[PID]],DraftResults[[#All],[Player ID]],0)),"")</f>
        <v/>
      </c>
      <c r="AC96" s="52" t="str">
        <f>IF(Table5[[#This Row],[Ovr]]="","",IF(Table5[[#This Row],[cmbList]]="","",Table5[[#This Row],[cmbList]]-Table5[[#This Row],[Ovr]]))</f>
        <v/>
      </c>
      <c r="AD96" s="56" t="str">
        <f>IF(ISERROR(VLOOKUP($AB96&amp;"-"&amp;$E96&amp;" "&amp;F96,Bonuses!$B$1:$G$1006,4,FALSE)),"",INT(VLOOKUP($AB96&amp;"-"&amp;$E96&amp;" "&amp;$F96,Bonuses!$B$1:$G$1006,4,FALSE)))</f>
        <v/>
      </c>
      <c r="AE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" spans="1:31" s="52" customFormat="1" x14ac:dyDescent="0.25">
      <c r="A97" s="52">
        <v>13655</v>
      </c>
      <c r="B97" s="52">
        <f>COUNTIF(Table5[PID],A97)</f>
        <v>1</v>
      </c>
      <c r="C97" s="52" t="str">
        <f>IF(COUNTIF(Table3[[#All],[PID]],A97)&gt;0,"P","B")</f>
        <v>B</v>
      </c>
      <c r="D97" s="61" t="str">
        <f>IF($C97="B",INDEX(Batters[[#All],[POS]],MATCH(Table5[[#This Row],[PID]],Batters[[#All],[PID]],0)),INDEX(Table3[[#All],[POS]],MATCH(Table5[[#This Row],[PID]],Table3[[#All],[PID]],0)))</f>
        <v>C</v>
      </c>
      <c r="E97" s="54" t="str">
        <f>IF($C97="B",INDEX(Batters[[#All],[First]],MATCH(Table5[[#This Row],[PID]],Batters[[#All],[PID]],0)),INDEX(Table3[[#All],[First]],MATCH(Table5[[#This Row],[PID]],Table3[[#All],[PID]],0)))</f>
        <v>Fernando</v>
      </c>
      <c r="F97" s="52" t="str">
        <f>IF($C97="B",INDEX(Batters[[#All],[Last]],MATCH(A97,Batters[[#All],[PID]],0)),INDEX(Table3[[#All],[Last]],MATCH(A97,Table3[[#All],[PID]],0)))</f>
        <v>Rodríguez</v>
      </c>
      <c r="G97" s="58">
        <f>IF($C97="B",INDEX(Batters[[#All],[Age]],MATCH(Table5[[#This Row],[PID]],Batters[[#All],[PID]],0)),INDEX(Table3[[#All],[Age]],MATCH(Table5[[#This Row],[PID]],Table3[[#All],[PID]],0)))</f>
        <v>18</v>
      </c>
      <c r="H97" s="54" t="str">
        <f>IF($C97="B",INDEX(Batters[[#All],[B]],MATCH(Table5[[#This Row],[PID]],Batters[[#All],[PID]],0)),INDEX(Table3[[#All],[B]],MATCH(Table5[[#This Row],[PID]],Table3[[#All],[PID]],0)))</f>
        <v>R</v>
      </c>
      <c r="I97" s="54" t="str">
        <f>IF($C97="B",INDEX(Batters[[#All],[T]],MATCH(Table5[[#This Row],[PID]],Batters[[#All],[PID]],0)),INDEX(Table3[[#All],[T]],MATCH(Table5[[#This Row],[PID]],Table3[[#All],[PID]],0)))</f>
        <v>R</v>
      </c>
      <c r="J97" s="54" t="str">
        <f>IF($C97="B",INDEX(Batters[[#All],[WE]],MATCH(Table5[[#This Row],[PID]],Batters[[#All],[PID]],0)),INDEX(Table3[[#All],[WE]],MATCH(Table5[[#This Row],[PID]],Table3[[#All],[PID]],0)))</f>
        <v>Normal</v>
      </c>
      <c r="K97" s="54" t="str">
        <f>IF($C97="B",INDEX(Batters[[#All],[INT]],MATCH(Table5[[#This Row],[PID]],Batters[[#All],[PID]],0)),INDEX(Table3[[#All],[INT]],MATCH(Table5[[#This Row],[PID]],Table3[[#All],[PID]],0)))</f>
        <v>Normal</v>
      </c>
      <c r="L97" s="62">
        <f>IF($C97="B",INDEX(Batters[[#All],[CON P]],MATCH(Table5[[#This Row],[PID]],Batters[[#All],[PID]],0)),INDEX(Table3[[#All],[STU P]],MATCH(Table5[[#This Row],[PID]],Table3[[#All],[PID]],0)))</f>
        <v>2</v>
      </c>
      <c r="M97" s="58">
        <f>IF($C97="B",INDEX(Batters[[#All],[GAP P]],MATCH(Table5[[#This Row],[PID]],Batters[[#All],[PID]],0)),INDEX(Table3[[#All],[MOV P]],MATCH(Table5[[#This Row],[PID]],Table3[[#All],[PID]],0)))</f>
        <v>4</v>
      </c>
      <c r="N97" s="58">
        <f>IF($C97="B",INDEX(Batters[[#All],[POW P]],MATCH(Table5[[#This Row],[PID]],Batters[[#All],[PID]],0)),INDEX(Table3[[#All],[CON P]],MATCH(Table5[[#This Row],[PID]],Table3[[#All],[PID]],0)))</f>
        <v>5</v>
      </c>
      <c r="O97" s="58">
        <f>IF($C97="B",INDEX(Batters[[#All],[EYE P]],MATCH(Table5[[#This Row],[PID]],Batters[[#All],[PID]],0)),INDEX(Table3[[#All],[VELO]],MATCH(Table5[[#This Row],[PID]],Table3[[#All],[PID]],0)))</f>
        <v>5</v>
      </c>
      <c r="P97" s="58">
        <f>IF($C97="B",INDEX(Batters[[#All],[K P]],MATCH(Table5[[#This Row],[PID]],Batters[[#All],[PID]],0)),INDEX(Table3[[#All],[STM]],MATCH(Table5[[#This Row],[PID]],Table3[[#All],[PID]],0)))</f>
        <v>1</v>
      </c>
      <c r="Q97" s="63">
        <f>IF($C97="B",INDEX(Batters[[#All],[Tot]],MATCH(Table5[[#This Row],[PID]],Batters[[#All],[PID]],0)),INDEX(Table3[[#All],[Tot]],MATCH(Table5[[#This Row],[PID]],Table3[[#All],[PID]],0)))</f>
        <v>49.85</v>
      </c>
      <c r="R97" s="54">
        <f>IF($C97="B",INDEX(Batters[[#All],[zScore]],MATCH(Table5[[#This Row],[PID]],Batters[[#All],[PID]],0)),INDEX(Table3[[#All],[zScore]],MATCH(Table5[[#This Row],[PID]],Table3[[#All],[PID]],0)))</f>
        <v>1.6717702258002316</v>
      </c>
      <c r="S97" s="60" t="str">
        <f>IF($C97="B",INDEX(Batters[[#All],[DEM]],MATCH(Table5[[#This Row],[PID]],Batters[[#All],[PID]],0)),INDEX(Table3[[#All],[DEM]],MATCH(Table5[[#This Row],[PID]],Table3[[#All],[PID]],0)))</f>
        <v>$480k</v>
      </c>
      <c r="T97" s="64">
        <f>IF($C97="B",VLOOKUP($A97,Bat!$A$4:$AU$1417,46,FALSE),VLOOKUP($A97,Pit!$A$4:$BD$570,55,FALSE))</f>
        <v>0</v>
      </c>
      <c r="U97" s="52">
        <f>IF($C97="B",VLOOKUP($A97,Bat!$A$4:$BA$1417,47,FALSE),VLOOKUP($A97,Pit!$A$4:$BF$570,56,FALSE))</f>
        <v>0</v>
      </c>
      <c r="V97" s="52">
        <f>IF($C97="B",VLOOKUP($A97,Bat!$A$4:$BA$1417,48,FALSE),VLOOKUP($A97,Pit!$A$4:$BF$570,57,FALSE))</f>
        <v>0</v>
      </c>
      <c r="W97" s="52">
        <f>Table5[[#This Row],[posRnk]]+Table5[[#This Row],[zRnk]]+IF($W$3&lt;&gt;Table5[[#This Row],[Type]],50,0)</f>
        <v>143</v>
      </c>
      <c r="X97" s="53">
        <f>RANK(Table5[[#This Row],[zScore]],Table5[[#All],[zScore]])</f>
        <v>93</v>
      </c>
      <c r="Y97" s="52" t="str">
        <f>IFERROR(INDEX(DraftResults[[#All],[OVR]],MATCH(Table5[[#This Row],[PID]],DraftResults[[#All],[Player ID]],0)),"")</f>
        <v/>
      </c>
      <c r="Z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" s="52" t="str">
        <f>IFERROR(INDEX(DraftResults[[#All],[Pick in Round]],MATCH(Table5[[#This Row],[PID]],DraftResults[[#All],[Player ID]],0)),"")</f>
        <v/>
      </c>
      <c r="AB97" s="52" t="str">
        <f>IFERROR(INDEX(DraftResults[[#All],[Team Name]],MATCH(Table5[[#This Row],[PID]],DraftResults[[#All],[Player ID]],0)),"")</f>
        <v/>
      </c>
      <c r="AC97" s="52" t="str">
        <f>IF(Table5[[#This Row],[Ovr]]="","",IF(Table5[[#This Row],[cmbList]]="","",Table5[[#This Row],[cmbList]]-Table5[[#This Row],[Ovr]]))</f>
        <v/>
      </c>
      <c r="AD97" s="56" t="str">
        <f>IF(ISERROR(VLOOKUP($AB97&amp;"-"&amp;$E97&amp;" "&amp;F97,Bonuses!$B$1:$G$1006,4,FALSE)),"",INT(VLOOKUP($AB97&amp;"-"&amp;$E97&amp;" "&amp;$F97,Bonuses!$B$1:$G$1006,4,FALSE)))</f>
        <v/>
      </c>
      <c r="AE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" spans="1:31" s="52" customFormat="1" x14ac:dyDescent="0.25">
      <c r="A98" s="52">
        <v>17631</v>
      </c>
      <c r="B98" s="52">
        <f>COUNTIF(Table5[PID],A98)</f>
        <v>1</v>
      </c>
      <c r="C98" s="52" t="str">
        <f>IF(COUNTIF(Table3[[#All],[PID]],A98)&gt;0,"P","B")</f>
        <v>B</v>
      </c>
      <c r="D98" s="61" t="str">
        <f>IF($C98="B",INDEX(Batters[[#All],[POS]],MATCH(Table5[[#This Row],[PID]],Batters[[#All],[PID]],0)),INDEX(Table3[[#All],[POS]],MATCH(Table5[[#This Row],[PID]],Table3[[#All],[PID]],0)))</f>
        <v>C</v>
      </c>
      <c r="E98" s="54" t="str">
        <f>IF($C98="B",INDEX(Batters[[#All],[First]],MATCH(Table5[[#This Row],[PID]],Batters[[#All],[PID]],0)),INDEX(Table3[[#All],[First]],MATCH(Table5[[#This Row],[PID]],Table3[[#All],[PID]],0)))</f>
        <v>Erik</v>
      </c>
      <c r="F98" s="52" t="str">
        <f>IF($C98="B",INDEX(Batters[[#All],[Last]],MATCH(A98,Batters[[#All],[PID]],0)),INDEX(Table3[[#All],[Last]],MATCH(A98,Table3[[#All],[PID]],0)))</f>
        <v>Warren</v>
      </c>
      <c r="G98" s="58">
        <f>IF($C98="B",INDEX(Batters[[#All],[Age]],MATCH(Table5[[#This Row],[PID]],Batters[[#All],[PID]],0)),INDEX(Table3[[#All],[Age]],MATCH(Table5[[#This Row],[PID]],Table3[[#All],[PID]],0)))</f>
        <v>18</v>
      </c>
      <c r="H98" s="54" t="str">
        <f>IF($C98="B",INDEX(Batters[[#All],[B]],MATCH(Table5[[#This Row],[PID]],Batters[[#All],[PID]],0)),INDEX(Table3[[#All],[B]],MATCH(Table5[[#This Row],[PID]],Table3[[#All],[PID]],0)))</f>
        <v>L</v>
      </c>
      <c r="I98" s="54" t="str">
        <f>IF($C98="B",INDEX(Batters[[#All],[T]],MATCH(Table5[[#This Row],[PID]],Batters[[#All],[PID]],0)),INDEX(Table3[[#All],[T]],MATCH(Table5[[#This Row],[PID]],Table3[[#All],[PID]],0)))</f>
        <v>R</v>
      </c>
      <c r="J98" s="54" t="str">
        <f>IF($C98="B",INDEX(Batters[[#All],[WE]],MATCH(Table5[[#This Row],[PID]],Batters[[#All],[PID]],0)),INDEX(Table3[[#All],[WE]],MATCH(Table5[[#This Row],[PID]],Table3[[#All],[PID]],0)))</f>
        <v>Normal</v>
      </c>
      <c r="K98" s="54" t="str">
        <f>IF($C98="B",INDEX(Batters[[#All],[INT]],MATCH(Table5[[#This Row],[PID]],Batters[[#All],[PID]],0)),INDEX(Table3[[#All],[INT]],MATCH(Table5[[#This Row],[PID]],Table3[[#All],[PID]],0)))</f>
        <v>Normal</v>
      </c>
      <c r="L98" s="62">
        <f>IF($C98="B",INDEX(Batters[[#All],[CON P]],MATCH(Table5[[#This Row],[PID]],Batters[[#All],[PID]],0)),INDEX(Table3[[#All],[STU P]],MATCH(Table5[[#This Row],[PID]],Table3[[#All],[PID]],0)))</f>
        <v>2</v>
      </c>
      <c r="M98" s="58">
        <f>IF($C98="B",INDEX(Batters[[#All],[GAP P]],MATCH(Table5[[#This Row],[PID]],Batters[[#All],[PID]],0)),INDEX(Table3[[#All],[MOV P]],MATCH(Table5[[#This Row],[PID]],Table3[[#All],[PID]],0)))</f>
        <v>4</v>
      </c>
      <c r="N98" s="58">
        <f>IF($C98="B",INDEX(Batters[[#All],[POW P]],MATCH(Table5[[#This Row],[PID]],Batters[[#All],[PID]],0)),INDEX(Table3[[#All],[CON P]],MATCH(Table5[[#This Row],[PID]],Table3[[#All],[PID]],0)))</f>
        <v>4</v>
      </c>
      <c r="O98" s="58">
        <f>IF($C98="B",INDEX(Batters[[#All],[EYE P]],MATCH(Table5[[#This Row],[PID]],Batters[[#All],[PID]],0)),INDEX(Table3[[#All],[VELO]],MATCH(Table5[[#This Row],[PID]],Table3[[#All],[PID]],0)))</f>
        <v>4</v>
      </c>
      <c r="P98" s="58">
        <f>IF($C98="B",INDEX(Batters[[#All],[K P]],MATCH(Table5[[#This Row],[PID]],Batters[[#All],[PID]],0)),INDEX(Table3[[#All],[STM]],MATCH(Table5[[#This Row],[PID]],Table3[[#All],[PID]],0)))</f>
        <v>2</v>
      </c>
      <c r="Q98" s="63">
        <f>IF($C98="B",INDEX(Batters[[#All],[Tot]],MATCH(Table5[[#This Row],[PID]],Batters[[#All],[PID]],0)),INDEX(Table3[[#All],[Tot]],MATCH(Table5[[#This Row],[PID]],Table3[[#All],[PID]],0)))</f>
        <v>49.85</v>
      </c>
      <c r="R98" s="54">
        <f>IF($C98="B",INDEX(Batters[[#All],[zScore]],MATCH(Table5[[#This Row],[PID]],Batters[[#All],[PID]],0)),INDEX(Table3[[#All],[zScore]],MATCH(Table5[[#This Row],[PID]],Table3[[#All],[PID]],0)))</f>
        <v>1.6717702258002316</v>
      </c>
      <c r="S98" s="60" t="str">
        <f>IF($C98="B",INDEX(Batters[[#All],[DEM]],MATCH(Table5[[#This Row],[PID]],Batters[[#All],[PID]],0)),INDEX(Table3[[#All],[DEM]],MATCH(Table5[[#This Row],[PID]],Table3[[#All],[PID]],0)))</f>
        <v>$70k</v>
      </c>
      <c r="T98" s="64">
        <f>IF($C98="B",VLOOKUP($A98,Bat!$A$4:$AU$1417,46,FALSE),VLOOKUP($A98,Pit!$A$4:$BD$570,55,FALSE))</f>
        <v>0</v>
      </c>
      <c r="U98" s="52">
        <f>IF($C98="B",VLOOKUP($A98,Bat!$A$4:$BA$1417,47,FALSE),VLOOKUP($A98,Pit!$A$4:$BF$570,56,FALSE))</f>
        <v>0</v>
      </c>
      <c r="V98" s="52">
        <f>IF($C98="B",VLOOKUP($A98,Bat!$A$4:$BA$1417,48,FALSE),VLOOKUP($A98,Pit!$A$4:$BF$570,57,FALSE))</f>
        <v>0</v>
      </c>
      <c r="W98" s="52">
        <f>Table5[[#This Row],[posRnk]]+Table5[[#This Row],[zRnk]]+IF($W$3&lt;&gt;Table5[[#This Row],[Type]],50,0)</f>
        <v>143</v>
      </c>
      <c r="X98" s="53">
        <f>RANK(Table5[[#This Row],[zScore]],Table5[[#All],[zScore]])</f>
        <v>93</v>
      </c>
      <c r="Y98" s="52" t="str">
        <f>IFERROR(INDEX(DraftResults[[#All],[OVR]],MATCH(Table5[[#This Row],[PID]],DraftResults[[#All],[Player ID]],0)),"")</f>
        <v/>
      </c>
      <c r="Z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" s="52" t="str">
        <f>IFERROR(INDEX(DraftResults[[#All],[Pick in Round]],MATCH(Table5[[#This Row],[PID]],DraftResults[[#All],[Player ID]],0)),"")</f>
        <v/>
      </c>
      <c r="AB98" s="52" t="str">
        <f>IFERROR(INDEX(DraftResults[[#All],[Team Name]],MATCH(Table5[[#This Row],[PID]],DraftResults[[#All],[Player ID]],0)),"")</f>
        <v/>
      </c>
      <c r="AC98" s="52" t="str">
        <f>IF(Table5[[#This Row],[Ovr]]="","",IF(Table5[[#This Row],[cmbList]]="","",Table5[[#This Row],[cmbList]]-Table5[[#This Row],[Ovr]]))</f>
        <v/>
      </c>
      <c r="AD98" s="56" t="str">
        <f>IF(ISERROR(VLOOKUP($AB98&amp;"-"&amp;$E98&amp;" "&amp;F98,Bonuses!$B$1:$G$1006,4,FALSE)),"",INT(VLOOKUP($AB98&amp;"-"&amp;$E98&amp;" "&amp;$F98,Bonuses!$B$1:$G$1006,4,FALSE)))</f>
        <v/>
      </c>
      <c r="AE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" spans="1:31" s="52" customFormat="1" x14ac:dyDescent="0.25">
      <c r="A99" s="52">
        <v>14639</v>
      </c>
      <c r="B99" s="52">
        <f>COUNTIF(Table5[PID],A99)</f>
        <v>1</v>
      </c>
      <c r="C99" s="52" t="str">
        <f>IF(COUNTIF(Table3[[#All],[PID]],A99)&gt;0,"P","B")</f>
        <v>B</v>
      </c>
      <c r="D99" s="61" t="str">
        <f>IF($C99="B",INDEX(Batters[[#All],[POS]],MATCH(Table5[[#This Row],[PID]],Batters[[#All],[PID]],0)),INDEX(Table3[[#All],[POS]],MATCH(Table5[[#This Row],[PID]],Table3[[#All],[PID]],0)))</f>
        <v>CF</v>
      </c>
      <c r="E99" s="54" t="str">
        <f>IF($C99="B",INDEX(Batters[[#All],[First]],MATCH(Table5[[#This Row],[PID]],Batters[[#All],[PID]],0)),INDEX(Table3[[#All],[First]],MATCH(Table5[[#This Row],[PID]],Table3[[#All],[PID]],0)))</f>
        <v>Rolph</v>
      </c>
      <c r="F99" s="52" t="str">
        <f>IF($C99="B",INDEX(Batters[[#All],[Last]],MATCH(A99,Batters[[#All],[PID]],0)),INDEX(Table3[[#All],[Last]],MATCH(A99,Table3[[#All],[PID]],0)))</f>
        <v>Scarlett</v>
      </c>
      <c r="G99" s="58">
        <f>IF($C99="B",INDEX(Batters[[#All],[Age]],MATCH(Table5[[#This Row],[PID]],Batters[[#All],[PID]],0)),INDEX(Table3[[#All],[Age]],MATCH(Table5[[#This Row],[PID]],Table3[[#All],[PID]],0)))</f>
        <v>18</v>
      </c>
      <c r="H99" s="54" t="str">
        <f>IF($C99="B",INDEX(Batters[[#All],[B]],MATCH(Table5[[#This Row],[PID]],Batters[[#All],[PID]],0)),INDEX(Table3[[#All],[B]],MATCH(Table5[[#This Row],[PID]],Table3[[#All],[PID]],0)))</f>
        <v>R</v>
      </c>
      <c r="I99" s="54" t="str">
        <f>IF($C99="B",INDEX(Batters[[#All],[T]],MATCH(Table5[[#This Row],[PID]],Batters[[#All],[PID]],0)),INDEX(Table3[[#All],[T]],MATCH(Table5[[#This Row],[PID]],Table3[[#All],[PID]],0)))</f>
        <v>R</v>
      </c>
      <c r="J99" s="54" t="str">
        <f>IF($C99="B",INDEX(Batters[[#All],[WE]],MATCH(Table5[[#This Row],[PID]],Batters[[#All],[PID]],0)),INDEX(Table3[[#All],[WE]],MATCH(Table5[[#This Row],[PID]],Table3[[#All],[PID]],0)))</f>
        <v>Normal</v>
      </c>
      <c r="K99" s="54" t="str">
        <f>IF($C99="B",INDEX(Batters[[#All],[INT]],MATCH(Table5[[#This Row],[PID]],Batters[[#All],[PID]],0)),INDEX(Table3[[#All],[INT]],MATCH(Table5[[#This Row],[PID]],Table3[[#All],[PID]],0)))</f>
        <v>Normal</v>
      </c>
      <c r="L99" s="62">
        <f>IF($C99="B",INDEX(Batters[[#All],[CON P]],MATCH(Table5[[#This Row],[PID]],Batters[[#All],[PID]],0)),INDEX(Table3[[#All],[STU P]],MATCH(Table5[[#This Row],[PID]],Table3[[#All],[PID]],0)))</f>
        <v>2</v>
      </c>
      <c r="M99" s="58">
        <f>IF($C99="B",INDEX(Batters[[#All],[GAP P]],MATCH(Table5[[#This Row],[PID]],Batters[[#All],[PID]],0)),INDEX(Table3[[#All],[MOV P]],MATCH(Table5[[#This Row],[PID]],Table3[[#All],[PID]],0)))</f>
        <v>4</v>
      </c>
      <c r="N99" s="58">
        <f>IF($C99="B",INDEX(Batters[[#All],[POW P]],MATCH(Table5[[#This Row],[PID]],Batters[[#All],[PID]],0)),INDEX(Table3[[#All],[CON P]],MATCH(Table5[[#This Row],[PID]],Table3[[#All],[PID]],0)))</f>
        <v>3</v>
      </c>
      <c r="O99" s="58">
        <f>IF($C99="B",INDEX(Batters[[#All],[EYE P]],MATCH(Table5[[#This Row],[PID]],Batters[[#All],[PID]],0)),INDEX(Table3[[#All],[VELO]],MATCH(Table5[[#This Row],[PID]],Table3[[#All],[PID]],0)))</f>
        <v>3</v>
      </c>
      <c r="P99" s="58">
        <f>IF($C99="B",INDEX(Batters[[#All],[K P]],MATCH(Table5[[#This Row],[PID]],Batters[[#All],[PID]],0)),INDEX(Table3[[#All],[STM]],MATCH(Table5[[#This Row],[PID]],Table3[[#All],[PID]],0)))</f>
        <v>3</v>
      </c>
      <c r="Q99" s="63">
        <f>IF($C99="B",INDEX(Batters[[#All],[Tot]],MATCH(Table5[[#This Row],[PID]],Batters[[#All],[PID]],0)),INDEX(Table3[[#All],[Tot]],MATCH(Table5[[#This Row],[PID]],Table3[[#All],[PID]],0)))</f>
        <v>49.85</v>
      </c>
      <c r="R99" s="54">
        <f>IF($C99="B",INDEX(Batters[[#All],[zScore]],MATCH(Table5[[#This Row],[PID]],Batters[[#All],[PID]],0)),INDEX(Table3[[#All],[zScore]],MATCH(Table5[[#This Row],[PID]],Table3[[#All],[PID]],0)))</f>
        <v>1.6717702258002316</v>
      </c>
      <c r="S99" s="60" t="str">
        <f>IF($C99="B",INDEX(Batters[[#All],[DEM]],MATCH(Table5[[#This Row],[PID]],Batters[[#All],[PID]],0)),INDEX(Table3[[#All],[DEM]],MATCH(Table5[[#This Row],[PID]],Table3[[#All],[PID]],0)))</f>
        <v>$90k</v>
      </c>
      <c r="T99" s="64">
        <f>IF($C99="B",VLOOKUP($A99,Bat!$A$4:$AU$1417,46,FALSE),VLOOKUP($A99,Pit!$A$4:$BD$570,55,FALSE))</f>
        <v>0</v>
      </c>
      <c r="U99" s="52">
        <f>IF($C99="B",VLOOKUP($A99,Bat!$A$4:$BA$1417,47,FALSE),VLOOKUP($A99,Pit!$A$4:$BF$570,56,FALSE))</f>
        <v>0</v>
      </c>
      <c r="V99" s="52">
        <f>IF($C99="B",VLOOKUP($A99,Bat!$A$4:$BA$1417,48,FALSE),VLOOKUP($A99,Pit!$A$4:$BF$570,57,FALSE))</f>
        <v>0</v>
      </c>
      <c r="W99" s="52">
        <f>Table5[[#This Row],[posRnk]]+Table5[[#This Row],[zRnk]]+IF($W$3&lt;&gt;Table5[[#This Row],[Type]],50,0)</f>
        <v>143</v>
      </c>
      <c r="X99" s="53">
        <f>RANK(Table5[[#This Row],[zScore]],Table5[[#All],[zScore]])</f>
        <v>93</v>
      </c>
      <c r="Y99" s="52" t="str">
        <f>IFERROR(INDEX(DraftResults[[#All],[OVR]],MATCH(Table5[[#This Row],[PID]],DraftResults[[#All],[Player ID]],0)),"")</f>
        <v/>
      </c>
      <c r="Z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" s="52" t="str">
        <f>IFERROR(INDEX(DraftResults[[#All],[Pick in Round]],MATCH(Table5[[#This Row],[PID]],DraftResults[[#All],[Player ID]],0)),"")</f>
        <v/>
      </c>
      <c r="AB99" s="52" t="str">
        <f>IFERROR(INDEX(DraftResults[[#All],[Team Name]],MATCH(Table5[[#This Row],[PID]],DraftResults[[#All],[Player ID]],0)),"")</f>
        <v/>
      </c>
      <c r="AC99" s="52" t="str">
        <f>IF(Table5[[#This Row],[Ovr]]="","",IF(Table5[[#This Row],[cmbList]]="","",Table5[[#This Row],[cmbList]]-Table5[[#This Row],[Ovr]]))</f>
        <v/>
      </c>
      <c r="AD99" s="56" t="str">
        <f>IF(ISERROR(VLOOKUP($AB99&amp;"-"&amp;$E99&amp;" "&amp;F99,Bonuses!$B$1:$G$1006,4,FALSE)),"",INT(VLOOKUP($AB99&amp;"-"&amp;$E99&amp;" "&amp;$F99,Bonuses!$B$1:$G$1006,4,FALSE)))</f>
        <v/>
      </c>
      <c r="AE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" spans="1:31" s="52" customFormat="1" x14ac:dyDescent="0.25">
      <c r="A100" s="52">
        <v>8068</v>
      </c>
      <c r="B100" s="52">
        <f>COUNTIF(Table5[PID],A100)</f>
        <v>1</v>
      </c>
      <c r="C100" s="52" t="str">
        <f>IF(COUNTIF(Table3[[#All],[PID]],A100)&gt;0,"P","B")</f>
        <v>B</v>
      </c>
      <c r="D100" s="61" t="str">
        <f>IF($C100="B",INDEX(Batters[[#All],[POS]],MATCH(Table5[[#This Row],[PID]],Batters[[#All],[PID]],0)),INDEX(Table3[[#All],[POS]],MATCH(Table5[[#This Row],[PID]],Table3[[#All],[PID]],0)))</f>
        <v>3B</v>
      </c>
      <c r="E100" s="54" t="str">
        <f>IF($C100="B",INDEX(Batters[[#All],[First]],MATCH(Table5[[#This Row],[PID]],Batters[[#All],[PID]],0)),INDEX(Table3[[#All],[First]],MATCH(Table5[[#This Row],[PID]],Table3[[#All],[PID]],0)))</f>
        <v>Bill</v>
      </c>
      <c r="F100" s="52" t="str">
        <f>IF($C100="B",INDEX(Batters[[#All],[Last]],MATCH(A100,Batters[[#All],[PID]],0)),INDEX(Table3[[#All],[Last]],MATCH(A100,Table3[[#All],[PID]],0)))</f>
        <v>Johnson</v>
      </c>
      <c r="G100" s="58">
        <f>IF($C100="B",INDEX(Batters[[#All],[Age]],MATCH(Table5[[#This Row],[PID]],Batters[[#All],[PID]],0)),INDEX(Table3[[#All],[Age]],MATCH(Table5[[#This Row],[PID]],Table3[[#All],[PID]],0)))</f>
        <v>18</v>
      </c>
      <c r="H100" s="54" t="str">
        <f>IF($C100="B",INDEX(Batters[[#All],[B]],MATCH(Table5[[#This Row],[PID]],Batters[[#All],[PID]],0)),INDEX(Table3[[#All],[B]],MATCH(Table5[[#This Row],[PID]],Table3[[#All],[PID]],0)))</f>
        <v>S</v>
      </c>
      <c r="I100" s="54" t="str">
        <f>IF($C100="B",INDEX(Batters[[#All],[T]],MATCH(Table5[[#This Row],[PID]],Batters[[#All],[PID]],0)),INDEX(Table3[[#All],[T]],MATCH(Table5[[#This Row],[PID]],Table3[[#All],[PID]],0)))</f>
        <v>R</v>
      </c>
      <c r="J100" s="54" t="str">
        <f>IF($C100="B",INDEX(Batters[[#All],[WE]],MATCH(Table5[[#This Row],[PID]],Batters[[#All],[PID]],0)),INDEX(Table3[[#All],[WE]],MATCH(Table5[[#This Row],[PID]],Table3[[#All],[PID]],0)))</f>
        <v>Normal</v>
      </c>
      <c r="K100" s="54" t="str">
        <f>IF($C100="B",INDEX(Batters[[#All],[INT]],MATCH(Table5[[#This Row],[PID]],Batters[[#All],[PID]],0)),INDEX(Table3[[#All],[INT]],MATCH(Table5[[#This Row],[PID]],Table3[[#All],[PID]],0)))</f>
        <v>Normal</v>
      </c>
      <c r="L100" s="62">
        <f>IF($C100="B",INDEX(Batters[[#All],[CON P]],MATCH(Table5[[#This Row],[PID]],Batters[[#All],[PID]],0)),INDEX(Table3[[#All],[STU P]],MATCH(Table5[[#This Row],[PID]],Table3[[#All],[PID]],0)))</f>
        <v>4</v>
      </c>
      <c r="M100" s="58">
        <f>IF($C100="B",INDEX(Batters[[#All],[GAP P]],MATCH(Table5[[#This Row],[PID]],Batters[[#All],[PID]],0)),INDEX(Table3[[#All],[MOV P]],MATCH(Table5[[#This Row],[PID]],Table3[[#All],[PID]],0)))</f>
        <v>6</v>
      </c>
      <c r="N100" s="58">
        <f>IF($C100="B",INDEX(Batters[[#All],[POW P]],MATCH(Table5[[#This Row],[PID]],Batters[[#All],[PID]],0)),INDEX(Table3[[#All],[CON P]],MATCH(Table5[[#This Row],[PID]],Table3[[#All],[PID]],0)))</f>
        <v>5</v>
      </c>
      <c r="O100" s="58">
        <f>IF($C100="B",INDEX(Batters[[#All],[EYE P]],MATCH(Table5[[#This Row],[PID]],Batters[[#All],[PID]],0)),INDEX(Table3[[#All],[VELO]],MATCH(Table5[[#This Row],[PID]],Table3[[#All],[PID]],0)))</f>
        <v>5</v>
      </c>
      <c r="P100" s="58">
        <f>IF($C100="B",INDEX(Batters[[#All],[K P]],MATCH(Table5[[#This Row],[PID]],Batters[[#All],[PID]],0)),INDEX(Table3[[#All],[STM]],MATCH(Table5[[#This Row],[PID]],Table3[[#All],[PID]],0)))</f>
        <v>5</v>
      </c>
      <c r="Q100" s="63">
        <f>IF($C100="B",INDEX(Batters[[#All],[Tot]],MATCH(Table5[[#This Row],[PID]],Batters[[#All],[PID]],0)),INDEX(Table3[[#All],[Tot]],MATCH(Table5[[#This Row],[PID]],Table3[[#All],[PID]],0)))</f>
        <v>49.847817222382815</v>
      </c>
      <c r="R100" s="54">
        <f>IF($C100="B",INDEX(Batters[[#All],[zScore]],MATCH(Table5[[#This Row],[PID]],Batters[[#All],[PID]],0)),INDEX(Table3[[#All],[zScore]],MATCH(Table5[[#This Row],[PID]],Table3[[#All],[PID]],0)))</f>
        <v>1.6713861805858901</v>
      </c>
      <c r="S100" s="60" t="str">
        <f>IF($C100="B",INDEX(Batters[[#All],[DEM]],MATCH(Table5[[#This Row],[PID]],Batters[[#All],[PID]],0)),INDEX(Table3[[#All],[DEM]],MATCH(Table5[[#This Row],[PID]],Table3[[#All],[PID]],0)))</f>
        <v>$2.8m</v>
      </c>
      <c r="T100" s="64">
        <f>IF($C100="B",VLOOKUP($A100,Bat!$A$4:$AU$1417,46,FALSE),VLOOKUP($A100,Pit!$A$4:$BD$570,55,FALSE))</f>
        <v>0</v>
      </c>
      <c r="U100" s="52">
        <f>IF($C100="B",VLOOKUP($A100,Bat!$A$4:$BA$1417,47,FALSE),VLOOKUP($A100,Pit!$A$4:$BF$570,56,FALSE))</f>
        <v>0</v>
      </c>
      <c r="V100" s="52">
        <f>IF($C100="B",VLOOKUP($A100,Bat!$A$4:$BA$1417,48,FALSE),VLOOKUP($A100,Pit!$A$4:$BF$570,57,FALSE))</f>
        <v>0</v>
      </c>
      <c r="W100" s="52">
        <f>Table5[[#This Row],[posRnk]]+Table5[[#This Row],[zRnk]]+IF($W$3&lt;&gt;Table5[[#This Row],[Type]],50,0)</f>
        <v>146</v>
      </c>
      <c r="X100" s="53">
        <f>RANK(Table5[[#This Row],[zScore]],Table5[[#All],[zScore]])</f>
        <v>96</v>
      </c>
      <c r="Y100" s="52" t="str">
        <f>IFERROR(INDEX(DraftResults[[#All],[OVR]],MATCH(Table5[[#This Row],[PID]],DraftResults[[#All],[Player ID]],0)),"")</f>
        <v/>
      </c>
      <c r="Z1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" s="52" t="str">
        <f>IFERROR(INDEX(DraftResults[[#All],[Pick in Round]],MATCH(Table5[[#This Row],[PID]],DraftResults[[#All],[Player ID]],0)),"")</f>
        <v/>
      </c>
      <c r="AB100" s="52" t="str">
        <f>IFERROR(INDEX(DraftResults[[#All],[Team Name]],MATCH(Table5[[#This Row],[PID]],DraftResults[[#All],[Player ID]],0)),"")</f>
        <v/>
      </c>
      <c r="AC100" s="52" t="str">
        <f>IF(Table5[[#This Row],[Ovr]]="","",IF(Table5[[#This Row],[cmbList]]="","",Table5[[#This Row],[cmbList]]-Table5[[#This Row],[Ovr]]))</f>
        <v/>
      </c>
      <c r="AD100" s="56" t="str">
        <f>IF(ISERROR(VLOOKUP($AB100&amp;"-"&amp;$E100&amp;" "&amp;F100,Bonuses!$B$1:$G$1006,4,FALSE)),"",INT(VLOOKUP($AB100&amp;"-"&amp;$E100&amp;" "&amp;$F100,Bonuses!$B$1:$G$1006,4,FALSE)))</f>
        <v/>
      </c>
      <c r="AE1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" spans="1:31" s="52" customFormat="1" x14ac:dyDescent="0.25">
      <c r="A101" s="52">
        <v>7330</v>
      </c>
      <c r="B101" s="57">
        <f>COUNTIF(Table5[PID],A101)</f>
        <v>1</v>
      </c>
      <c r="C101" s="57" t="str">
        <f>IF(COUNTIF(Table3[[#All],[PID]],A101)&gt;0,"P","B")</f>
        <v>B</v>
      </c>
      <c r="D101" s="61" t="str">
        <f>IF($C101="B",INDEX(Batters[[#All],[POS]],MATCH(Table5[[#This Row],[PID]],Batters[[#All],[PID]],0)),INDEX(Table3[[#All],[POS]],MATCH(Table5[[#This Row],[PID]],Table3[[#All],[PID]],0)))</f>
        <v>LF</v>
      </c>
      <c r="E101" s="54" t="str">
        <f>IF($C101="B",INDEX(Batters[[#All],[First]],MATCH(Table5[[#This Row],[PID]],Batters[[#All],[PID]],0)),INDEX(Table3[[#All],[First]],MATCH(Table5[[#This Row],[PID]],Table3[[#All],[PID]],0)))</f>
        <v>Toshinobu</v>
      </c>
      <c r="F101" s="52" t="str">
        <f>IF($C101="B",INDEX(Batters[[#All],[Last]],MATCH(A101,Batters[[#All],[PID]],0)),INDEX(Table3[[#All],[Last]],MATCH(A101,Table3[[#All],[PID]],0)))</f>
        <v>Nakao</v>
      </c>
      <c r="G101" s="58">
        <f>IF($C101="B",INDEX(Batters[[#All],[Age]],MATCH(Table5[[#This Row],[PID]],Batters[[#All],[PID]],0)),INDEX(Table3[[#All],[Age]],MATCH(Table5[[#This Row],[PID]],Table3[[#All],[PID]],0)))</f>
        <v>21</v>
      </c>
      <c r="H101" s="54" t="str">
        <f>IF($C101="B",INDEX(Batters[[#All],[B]],MATCH(Table5[[#This Row],[PID]],Batters[[#All],[PID]],0)),INDEX(Table3[[#All],[B]],MATCH(Table5[[#This Row],[PID]],Table3[[#All],[PID]],0)))</f>
        <v>R</v>
      </c>
      <c r="I101" s="54" t="str">
        <f>IF($C101="B",INDEX(Batters[[#All],[T]],MATCH(Table5[[#This Row],[PID]],Batters[[#All],[PID]],0)),INDEX(Table3[[#All],[T]],MATCH(Table5[[#This Row],[PID]],Table3[[#All],[PID]],0)))</f>
        <v>R</v>
      </c>
      <c r="J101" s="54" t="str">
        <f>IF($C101="B",INDEX(Batters[[#All],[WE]],MATCH(Table5[[#This Row],[PID]],Batters[[#All],[PID]],0)),INDEX(Table3[[#All],[WE]],MATCH(Table5[[#This Row],[PID]],Table3[[#All],[PID]],0)))</f>
        <v>Normal</v>
      </c>
      <c r="K101" s="54" t="str">
        <f>IF($C101="B",INDEX(Batters[[#All],[INT]],MATCH(Table5[[#This Row],[PID]],Batters[[#All],[PID]],0)),INDEX(Table3[[#All],[INT]],MATCH(Table5[[#This Row],[PID]],Table3[[#All],[PID]],0)))</f>
        <v>Normal</v>
      </c>
      <c r="L101" s="62">
        <f>IF($C101="B",INDEX(Batters[[#All],[CON P]],MATCH(Table5[[#This Row],[PID]],Batters[[#All],[PID]],0)),INDEX(Table3[[#All],[STU P]],MATCH(Table5[[#This Row],[PID]],Table3[[#All],[PID]],0)))</f>
        <v>6</v>
      </c>
      <c r="M101" s="58">
        <f>IF($C101="B",INDEX(Batters[[#All],[GAP P]],MATCH(Table5[[#This Row],[PID]],Batters[[#All],[PID]],0)),INDEX(Table3[[#All],[MOV P]],MATCH(Table5[[#This Row],[PID]],Table3[[#All],[PID]],0)))</f>
        <v>6</v>
      </c>
      <c r="N101" s="58">
        <f>IF($C101="B",INDEX(Batters[[#All],[POW P]],MATCH(Table5[[#This Row],[PID]],Batters[[#All],[PID]],0)),INDEX(Table3[[#All],[CON P]],MATCH(Table5[[#This Row],[PID]],Table3[[#All],[PID]],0)))</f>
        <v>2</v>
      </c>
      <c r="O101" s="58">
        <f>IF($C101="B",INDEX(Batters[[#All],[EYE P]],MATCH(Table5[[#This Row],[PID]],Batters[[#All],[PID]],0)),INDEX(Table3[[#All],[VELO]],MATCH(Table5[[#This Row],[PID]],Table3[[#All],[PID]],0)))</f>
        <v>3</v>
      </c>
      <c r="P101" s="58">
        <f>IF($C101="B",INDEX(Batters[[#All],[K P]],MATCH(Table5[[#This Row],[PID]],Batters[[#All],[PID]],0)),INDEX(Table3[[#All],[STM]],MATCH(Table5[[#This Row],[PID]],Table3[[#All],[PID]],0)))</f>
        <v>8</v>
      </c>
      <c r="Q101" s="63">
        <f>IF($C101="B",INDEX(Batters[[#All],[Tot]],MATCH(Table5[[#This Row],[PID]],Batters[[#All],[PID]],0)),INDEX(Table3[[#All],[Tot]],MATCH(Table5[[#This Row],[PID]],Table3[[#All],[PID]],0)))</f>
        <v>49.77867073320769</v>
      </c>
      <c r="R101" s="54">
        <f>IF($C101="B",INDEX(Batters[[#All],[zScore]],MATCH(Table5[[#This Row],[PID]],Batters[[#All],[PID]],0)),INDEX(Table3[[#All],[zScore]],MATCH(Table5[[#This Row],[PID]],Table3[[#All],[PID]],0)))</f>
        <v>1.6592203153840712</v>
      </c>
      <c r="S101" s="60" t="str">
        <f>IF($C101="B",INDEX(Batters[[#All],[DEM]],MATCH(Table5[[#This Row],[PID]],Batters[[#All],[PID]],0)),INDEX(Table3[[#All],[DEM]],MATCH(Table5[[#This Row],[PID]],Table3[[#All],[PID]],0)))</f>
        <v>-</v>
      </c>
      <c r="T101" s="64">
        <f>IF($C101="B",VLOOKUP($A101,Bat!$A$4:$AU$1417,46,FALSE),VLOOKUP($A101,Pit!$A$4:$BD$570,55,FALSE))</f>
        <v>0</v>
      </c>
      <c r="U101" s="52">
        <f>IF($C101="B",VLOOKUP($A101,Bat!$A$4:$BA$1417,47,FALSE),VLOOKUP($A101,Pit!$A$4:$BF$570,56,FALSE))</f>
        <v>0</v>
      </c>
      <c r="V101" s="52">
        <f>IF($C101="B",VLOOKUP($A101,Bat!$A$4:$BA$1417,48,FALSE),VLOOKUP($A101,Pit!$A$4:$BF$570,57,FALSE))</f>
        <v>0</v>
      </c>
      <c r="W101" s="52">
        <f>Table5[[#This Row],[posRnk]]+Table5[[#This Row],[zRnk]]+IF($W$3&lt;&gt;Table5[[#This Row],[Type]],50,0)</f>
        <v>147</v>
      </c>
      <c r="X101" s="53">
        <f>RANK(Table5[[#This Row],[zScore]],Table5[[#All],[zScore]])</f>
        <v>97</v>
      </c>
      <c r="Y101" s="52" t="str">
        <f>IFERROR(INDEX(DraftResults[[#All],[OVR]],MATCH(Table5[[#This Row],[PID]],DraftResults[[#All],[Player ID]],0)),"")</f>
        <v/>
      </c>
      <c r="Z1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" s="52" t="str">
        <f>IFERROR(INDEX(DraftResults[[#All],[Pick in Round]],MATCH(Table5[[#This Row],[PID]],DraftResults[[#All],[Player ID]],0)),"")</f>
        <v/>
      </c>
      <c r="AB101" s="52" t="str">
        <f>IFERROR(INDEX(DraftResults[[#All],[Team Name]],MATCH(Table5[[#This Row],[PID]],DraftResults[[#All],[Player ID]],0)),"")</f>
        <v/>
      </c>
      <c r="AC101" s="52" t="str">
        <f>IF(Table5[[#This Row],[Ovr]]="","",IF(Table5[[#This Row],[cmbList]]="","",Table5[[#This Row],[cmbList]]-Table5[[#This Row],[Ovr]]))</f>
        <v/>
      </c>
      <c r="AD101" s="56" t="str">
        <f>IF(ISERROR(VLOOKUP($AB101&amp;"-"&amp;$E101&amp;" "&amp;F101,Bonuses!$B$1:$G$1006,4,FALSE)),"",INT(VLOOKUP($AB101&amp;"-"&amp;$E101&amp;" "&amp;$F101,Bonuses!$B$1:$G$1006,4,FALSE)))</f>
        <v/>
      </c>
      <c r="AE1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" spans="1:31" s="52" customFormat="1" x14ac:dyDescent="0.25">
      <c r="A102" s="52">
        <v>17892</v>
      </c>
      <c r="B102" s="52">
        <f>COUNTIF(Table5[PID],A102)</f>
        <v>1</v>
      </c>
      <c r="C102" s="52" t="str">
        <f>IF(COUNTIF(Table3[[#All],[PID]],A102)&gt;0,"P","B")</f>
        <v>P</v>
      </c>
      <c r="D102" s="61" t="str">
        <f>IF($C102="B",INDEX(Batters[[#All],[POS]],MATCH(Table5[[#This Row],[PID]],Batters[[#All],[PID]],0)),INDEX(Table3[[#All],[POS]],MATCH(Table5[[#This Row],[PID]],Table3[[#All],[PID]],0)))</f>
        <v>SP</v>
      </c>
      <c r="E102" s="54" t="str">
        <f>IF($C102="B",INDEX(Batters[[#All],[First]],MATCH(Table5[[#This Row],[PID]],Batters[[#All],[PID]],0)),INDEX(Table3[[#All],[First]],MATCH(Table5[[#This Row],[PID]],Table3[[#All],[PID]],0)))</f>
        <v>Kisho</v>
      </c>
      <c r="F102" s="52" t="str">
        <f>IF($C102="B",INDEX(Batters[[#All],[Last]],MATCH(A102,Batters[[#All],[PID]],0)),INDEX(Table3[[#All],[Last]],MATCH(A102,Table3[[#All],[PID]],0)))</f>
        <v>Kamuta</v>
      </c>
      <c r="G102" s="58">
        <f>IF($C102="B",INDEX(Batters[[#All],[Age]],MATCH(Table5[[#This Row],[PID]],Batters[[#All],[PID]],0)),INDEX(Table3[[#All],[Age]],MATCH(Table5[[#This Row],[PID]],Table3[[#All],[PID]],0)))</f>
        <v>18</v>
      </c>
      <c r="H102" s="54" t="str">
        <f>IF($C102="B",INDEX(Batters[[#All],[B]],MATCH(Table5[[#This Row],[PID]],Batters[[#All],[PID]],0)),INDEX(Table3[[#All],[B]],MATCH(Table5[[#This Row],[PID]],Table3[[#All],[PID]],0)))</f>
        <v>R</v>
      </c>
      <c r="I102" s="54" t="str">
        <f>IF($C102="B",INDEX(Batters[[#All],[T]],MATCH(Table5[[#This Row],[PID]],Batters[[#All],[PID]],0)),INDEX(Table3[[#All],[T]],MATCH(Table5[[#This Row],[PID]],Table3[[#All],[PID]],0)))</f>
        <v>R</v>
      </c>
      <c r="J102" s="54" t="str">
        <f>IF($C102="B",INDEX(Batters[[#All],[WE]],MATCH(Table5[[#This Row],[PID]],Batters[[#All],[PID]],0)),INDEX(Table3[[#All],[WE]],MATCH(Table5[[#This Row],[PID]],Table3[[#All],[PID]],0)))</f>
        <v>Normal</v>
      </c>
      <c r="K102" s="54" t="str">
        <f>IF($C102="B",INDEX(Batters[[#All],[INT]],MATCH(Table5[[#This Row],[PID]],Batters[[#All],[PID]],0)),INDEX(Table3[[#All],[INT]],MATCH(Table5[[#This Row],[PID]],Table3[[#All],[PID]],0)))</f>
        <v>Normal</v>
      </c>
      <c r="L102" s="62">
        <f>IF($C102="B",INDEX(Batters[[#All],[CON P]],MATCH(Table5[[#This Row],[PID]],Batters[[#All],[PID]],0)),INDEX(Table3[[#All],[STU P]],MATCH(Table5[[#This Row],[PID]],Table3[[#All],[PID]],0)))</f>
        <v>5</v>
      </c>
      <c r="M102" s="58">
        <f>IF($C102="B",INDEX(Batters[[#All],[GAP P]],MATCH(Table5[[#This Row],[PID]],Batters[[#All],[PID]],0)),INDEX(Table3[[#All],[MOV P]],MATCH(Table5[[#This Row],[PID]],Table3[[#All],[PID]],0)))</f>
        <v>5</v>
      </c>
      <c r="N102" s="58">
        <f>IF($C102="B",INDEX(Batters[[#All],[POW P]],MATCH(Table5[[#This Row],[PID]],Batters[[#All],[PID]],0)),INDEX(Table3[[#All],[CON P]],MATCH(Table5[[#This Row],[PID]],Table3[[#All],[PID]],0)))</f>
        <v>3</v>
      </c>
      <c r="O102" s="58" t="str">
        <f>IF($C102="B",INDEX(Batters[[#All],[EYE P]],MATCH(Table5[[#This Row],[PID]],Batters[[#All],[PID]],0)),INDEX(Table3[[#All],[VELO]],MATCH(Table5[[#This Row],[PID]],Table3[[#All],[PID]],0)))</f>
        <v>90-92 Mph</v>
      </c>
      <c r="P102" s="58">
        <f>IF($C102="B",INDEX(Batters[[#All],[K P]],MATCH(Table5[[#This Row],[PID]],Batters[[#All],[PID]],0)),INDEX(Table3[[#All],[STM]],MATCH(Table5[[#This Row],[PID]],Table3[[#All],[PID]],0)))</f>
        <v>4</v>
      </c>
      <c r="Q102" s="63">
        <f>IF($C102="B",INDEX(Batters[[#All],[Tot]],MATCH(Table5[[#This Row],[PID]],Batters[[#All],[PID]],0)),INDEX(Table3[[#All],[Tot]],MATCH(Table5[[#This Row],[PID]],Table3[[#All],[PID]],0)))</f>
        <v>50.675614644172484</v>
      </c>
      <c r="R102" s="54">
        <f>IF($C102="B",INDEX(Batters[[#All],[zScore]],MATCH(Table5[[#This Row],[PID]],Batters[[#All],[PID]],0)),INDEX(Table3[[#All],[zScore]],MATCH(Table5[[#This Row],[PID]],Table3[[#All],[PID]],0)))</f>
        <v>1.6464001938427648</v>
      </c>
      <c r="S102" s="60" t="str">
        <f>IF($C102="B",INDEX(Batters[[#All],[DEM]],MATCH(Table5[[#This Row],[PID]],Batters[[#All],[PID]],0)),INDEX(Table3[[#All],[DEM]],MATCH(Table5[[#This Row],[PID]],Table3[[#All],[PID]],0)))</f>
        <v>$330k</v>
      </c>
      <c r="T102" s="64">
        <f>IF($C102="B",VLOOKUP($A102,Bat!$A$4:$AU$1417,46,FALSE),VLOOKUP($A102,Pit!$A$4:$BD$570,55,FALSE))</f>
        <v>0</v>
      </c>
      <c r="U102" s="52">
        <f>IF($C102="B",VLOOKUP($A102,Bat!$A$4:$BA$1417,47,FALSE),VLOOKUP($A102,Pit!$A$4:$BF$570,56,FALSE))</f>
        <v>0</v>
      </c>
      <c r="V102" s="52">
        <f>IF($C102="B",VLOOKUP($A102,Bat!$A$4:$BA$1417,48,FALSE),VLOOKUP($A102,Pit!$A$4:$BF$570,57,FALSE))</f>
        <v>0</v>
      </c>
      <c r="W102" s="52">
        <f>Table5[[#This Row],[posRnk]]+Table5[[#This Row],[zRnk]]+IF($W$3&lt;&gt;Table5[[#This Row],[Type]],50,0)</f>
        <v>148</v>
      </c>
      <c r="X102" s="53">
        <f>RANK(Table5[[#This Row],[zScore]],Table5[[#All],[zScore]])</f>
        <v>98</v>
      </c>
      <c r="Y102" s="52" t="str">
        <f>IFERROR(INDEX(DraftResults[[#All],[OVR]],MATCH(Table5[[#This Row],[PID]],DraftResults[[#All],[Player ID]],0)),"")</f>
        <v/>
      </c>
      <c r="Z1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" s="52" t="str">
        <f>IFERROR(INDEX(DraftResults[[#All],[Pick in Round]],MATCH(Table5[[#This Row],[PID]],DraftResults[[#All],[Player ID]],0)),"")</f>
        <v/>
      </c>
      <c r="AB102" s="52" t="str">
        <f>IFERROR(INDEX(DraftResults[[#All],[Team Name]],MATCH(Table5[[#This Row],[PID]],DraftResults[[#All],[Player ID]],0)),"")</f>
        <v/>
      </c>
      <c r="AC102" s="52" t="str">
        <f>IF(Table5[[#This Row],[Ovr]]="","",IF(Table5[[#This Row],[cmbList]]="","",Table5[[#This Row],[cmbList]]-Table5[[#This Row],[Ovr]]))</f>
        <v/>
      </c>
      <c r="AD102" s="56" t="str">
        <f>IF(ISERROR(VLOOKUP($AB102&amp;"-"&amp;$E102&amp;" "&amp;F102,Bonuses!$B$1:$G$1006,4,FALSE)),"",INT(VLOOKUP($AB102&amp;"-"&amp;$E102&amp;" "&amp;$F102,Bonuses!$B$1:$G$1006,4,FALSE)))</f>
        <v/>
      </c>
      <c r="AE1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" spans="1:31" s="52" customFormat="1" x14ac:dyDescent="0.25">
      <c r="A103" s="52">
        <v>6379</v>
      </c>
      <c r="B103" s="52">
        <f>COUNTIF(Table5[PID],A103)</f>
        <v>1</v>
      </c>
      <c r="C103" s="52" t="str">
        <f>IF(COUNTIF(Table3[[#All],[PID]],A103)&gt;0,"P","B")</f>
        <v>B</v>
      </c>
      <c r="D103" s="61" t="str">
        <f>IF($C103="B",INDEX(Batters[[#All],[POS]],MATCH(Table5[[#This Row],[PID]],Batters[[#All],[PID]],0)),INDEX(Table3[[#All],[POS]],MATCH(Table5[[#This Row],[PID]],Table3[[#All],[PID]],0)))</f>
        <v>1B</v>
      </c>
      <c r="E103" s="54" t="str">
        <f>IF($C103="B",INDEX(Batters[[#All],[First]],MATCH(Table5[[#This Row],[PID]],Batters[[#All],[PID]],0)),INDEX(Table3[[#All],[First]],MATCH(Table5[[#This Row],[PID]],Table3[[#All],[PID]],0)))</f>
        <v>Katsunan</v>
      </c>
      <c r="F103" s="52" t="str">
        <f>IF($C103="B",INDEX(Batters[[#All],[Last]],MATCH(A103,Batters[[#All],[PID]],0)),INDEX(Table3[[#All],[Last]],MATCH(A103,Table3[[#All],[PID]],0)))</f>
        <v>Sugiyama</v>
      </c>
      <c r="G103" s="58">
        <f>IF($C103="B",INDEX(Batters[[#All],[Age]],MATCH(Table5[[#This Row],[PID]],Batters[[#All],[PID]],0)),INDEX(Table3[[#All],[Age]],MATCH(Table5[[#This Row],[PID]],Table3[[#All],[PID]],0)))</f>
        <v>18</v>
      </c>
      <c r="H103" s="54" t="str">
        <f>IF($C103="B",INDEX(Batters[[#All],[B]],MATCH(Table5[[#This Row],[PID]],Batters[[#All],[PID]],0)),INDEX(Table3[[#All],[B]],MATCH(Table5[[#This Row],[PID]],Table3[[#All],[PID]],0)))</f>
        <v>R</v>
      </c>
      <c r="I103" s="54" t="str">
        <f>IF($C103="B",INDEX(Batters[[#All],[T]],MATCH(Table5[[#This Row],[PID]],Batters[[#All],[PID]],0)),INDEX(Table3[[#All],[T]],MATCH(Table5[[#This Row],[PID]],Table3[[#All],[PID]],0)))</f>
        <v>R</v>
      </c>
      <c r="J103" s="54" t="str">
        <f>IF($C103="B",INDEX(Batters[[#All],[WE]],MATCH(Table5[[#This Row],[PID]],Batters[[#All],[PID]],0)),INDEX(Table3[[#All],[WE]],MATCH(Table5[[#This Row],[PID]],Table3[[#All],[PID]],0)))</f>
        <v>Low</v>
      </c>
      <c r="K103" s="54" t="str">
        <f>IF($C103="B",INDEX(Batters[[#All],[INT]],MATCH(Table5[[#This Row],[PID]],Batters[[#All],[PID]],0)),INDEX(Table3[[#All],[INT]],MATCH(Table5[[#This Row],[PID]],Table3[[#All],[PID]],0)))</f>
        <v>Normal</v>
      </c>
      <c r="L103" s="62">
        <f>IF($C103="B",INDEX(Batters[[#All],[CON P]],MATCH(Table5[[#This Row],[PID]],Batters[[#All],[PID]],0)),INDEX(Table3[[#All],[STU P]],MATCH(Table5[[#This Row],[PID]],Table3[[#All],[PID]],0)))</f>
        <v>2</v>
      </c>
      <c r="M103" s="58">
        <f>IF($C103="B",INDEX(Batters[[#All],[GAP P]],MATCH(Table5[[#This Row],[PID]],Batters[[#All],[PID]],0)),INDEX(Table3[[#All],[MOV P]],MATCH(Table5[[#This Row],[PID]],Table3[[#All],[PID]],0)))</f>
        <v>4</v>
      </c>
      <c r="N103" s="58">
        <f>IF($C103="B",INDEX(Batters[[#All],[POW P]],MATCH(Table5[[#This Row],[PID]],Batters[[#All],[PID]],0)),INDEX(Table3[[#All],[CON P]],MATCH(Table5[[#This Row],[PID]],Table3[[#All],[PID]],0)))</f>
        <v>4</v>
      </c>
      <c r="O103" s="58">
        <f>IF($C103="B",INDEX(Batters[[#All],[EYE P]],MATCH(Table5[[#This Row],[PID]],Batters[[#All],[PID]],0)),INDEX(Table3[[#All],[VELO]],MATCH(Table5[[#This Row],[PID]],Table3[[#All],[PID]],0)))</f>
        <v>4</v>
      </c>
      <c r="P103" s="58">
        <f>IF($C103="B",INDEX(Batters[[#All],[K P]],MATCH(Table5[[#This Row],[PID]],Batters[[#All],[PID]],0)),INDEX(Table3[[#All],[STM]],MATCH(Table5[[#This Row],[PID]],Table3[[#All],[PID]],0)))</f>
        <v>3</v>
      </c>
      <c r="Q103" s="63">
        <f>IF($C103="B",INDEX(Batters[[#All],[Tot]],MATCH(Table5[[#This Row],[PID]],Batters[[#All],[PID]],0)),INDEX(Table3[[#All],[Tot]],MATCH(Table5[[#This Row],[PID]],Table3[[#All],[PID]],0)))</f>
        <v>49.7</v>
      </c>
      <c r="R103" s="54">
        <f>IF($C103="B",INDEX(Batters[[#All],[zScore]],MATCH(Table5[[#This Row],[PID]],Batters[[#All],[PID]],0)),INDEX(Table3[[#All],[zScore]],MATCH(Table5[[#This Row],[PID]],Table3[[#All],[PID]],0)))</f>
        <v>1.6453787227457386</v>
      </c>
      <c r="S103" s="60" t="str">
        <f>IF($C103="B",INDEX(Batters[[#All],[DEM]],MATCH(Table5[[#This Row],[PID]],Batters[[#All],[PID]],0)),INDEX(Table3[[#All],[DEM]],MATCH(Table5[[#This Row],[PID]],Table3[[#All],[PID]],0)))</f>
        <v>$75k</v>
      </c>
      <c r="T103" s="64">
        <f>IF($C103="B",VLOOKUP($A103,Bat!$A$4:$AU$1417,46,FALSE),VLOOKUP($A103,Pit!$A$4:$BD$570,55,FALSE))</f>
        <v>0</v>
      </c>
      <c r="U103" s="52">
        <f>IF($C103="B",VLOOKUP($A103,Bat!$A$4:$BA$1417,47,FALSE),VLOOKUP($A103,Pit!$A$4:$BF$570,56,FALSE))</f>
        <v>0</v>
      </c>
      <c r="V103" s="52">
        <f>IF($C103="B",VLOOKUP($A103,Bat!$A$4:$BA$1417,48,FALSE),VLOOKUP($A103,Pit!$A$4:$BF$570,57,FALSE))</f>
        <v>0</v>
      </c>
      <c r="W103" s="52">
        <f>Table5[[#This Row],[posRnk]]+Table5[[#This Row],[zRnk]]+IF($W$3&lt;&gt;Table5[[#This Row],[Type]],50,0)</f>
        <v>149</v>
      </c>
      <c r="X103" s="53">
        <f>RANK(Table5[[#This Row],[zScore]],Table5[[#All],[zScore]])</f>
        <v>99</v>
      </c>
      <c r="Y103" s="52" t="str">
        <f>IFERROR(INDEX(DraftResults[[#All],[OVR]],MATCH(Table5[[#This Row],[PID]],DraftResults[[#All],[Player ID]],0)),"")</f>
        <v/>
      </c>
      <c r="Z1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" s="52" t="str">
        <f>IFERROR(INDEX(DraftResults[[#All],[Pick in Round]],MATCH(Table5[[#This Row],[PID]],DraftResults[[#All],[Player ID]],0)),"")</f>
        <v/>
      </c>
      <c r="AB103" s="52" t="str">
        <f>IFERROR(INDEX(DraftResults[[#All],[Team Name]],MATCH(Table5[[#This Row],[PID]],DraftResults[[#All],[Player ID]],0)),"")</f>
        <v/>
      </c>
      <c r="AC103" s="52" t="str">
        <f>IF(Table5[[#This Row],[Ovr]]="","",IF(Table5[[#This Row],[cmbList]]="","",Table5[[#This Row],[cmbList]]-Table5[[#This Row],[Ovr]]))</f>
        <v/>
      </c>
      <c r="AD103" s="56" t="str">
        <f>IF(ISERROR(VLOOKUP($AB103&amp;"-"&amp;$E103&amp;" "&amp;F103,Bonuses!$B$1:$G$1006,4,FALSE)),"",INT(VLOOKUP($AB103&amp;"-"&amp;$E103&amp;" "&amp;$F103,Bonuses!$B$1:$G$1006,4,FALSE)))</f>
        <v/>
      </c>
      <c r="AE1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" spans="1:31" s="52" customFormat="1" x14ac:dyDescent="0.25">
      <c r="A104" s="52">
        <v>8195</v>
      </c>
      <c r="B104" s="52">
        <f>COUNTIF(Table5[PID],A104)</f>
        <v>1</v>
      </c>
      <c r="C104" s="52" t="str">
        <f>IF(COUNTIF(Table3[[#All],[PID]],A104)&gt;0,"P","B")</f>
        <v>B</v>
      </c>
      <c r="D104" s="61" t="str">
        <f>IF($C104="B",INDEX(Batters[[#All],[POS]],MATCH(Table5[[#This Row],[PID]],Batters[[#All],[PID]],0)),INDEX(Table3[[#All],[POS]],MATCH(Table5[[#This Row],[PID]],Table3[[#All],[PID]],0)))</f>
        <v>2B</v>
      </c>
      <c r="E104" s="54" t="str">
        <f>IF($C104="B",INDEX(Batters[[#All],[First]],MATCH(Table5[[#This Row],[PID]],Batters[[#All],[PID]],0)),INDEX(Table3[[#All],[First]],MATCH(Table5[[#This Row],[PID]],Table3[[#All],[PID]],0)))</f>
        <v>Cody</v>
      </c>
      <c r="F104" s="52" t="str">
        <f>IF($C104="B",INDEX(Batters[[#All],[Last]],MATCH(A104,Batters[[#All],[PID]],0)),INDEX(Table3[[#All],[Last]],MATCH(A104,Table3[[#All],[PID]],0)))</f>
        <v>Stokes</v>
      </c>
      <c r="G104" s="58">
        <f>IF($C104="B",INDEX(Batters[[#All],[Age]],MATCH(Table5[[#This Row],[PID]],Batters[[#All],[PID]],0)),INDEX(Table3[[#All],[Age]],MATCH(Table5[[#This Row],[PID]],Table3[[#All],[PID]],0)))</f>
        <v>17</v>
      </c>
      <c r="H104" s="54" t="str">
        <f>IF($C104="B",INDEX(Batters[[#All],[B]],MATCH(Table5[[#This Row],[PID]],Batters[[#All],[PID]],0)),INDEX(Table3[[#All],[B]],MATCH(Table5[[#This Row],[PID]],Table3[[#All],[PID]],0)))</f>
        <v>R</v>
      </c>
      <c r="I104" s="54" t="str">
        <f>IF($C104="B",INDEX(Batters[[#All],[T]],MATCH(Table5[[#This Row],[PID]],Batters[[#All],[PID]],0)),INDEX(Table3[[#All],[T]],MATCH(Table5[[#This Row],[PID]],Table3[[#All],[PID]],0)))</f>
        <v>R</v>
      </c>
      <c r="J104" s="54" t="str">
        <f>IF($C104="B",INDEX(Batters[[#All],[WE]],MATCH(Table5[[#This Row],[PID]],Batters[[#All],[PID]],0)),INDEX(Table3[[#All],[WE]],MATCH(Table5[[#This Row],[PID]],Table3[[#All],[PID]],0)))</f>
        <v>Low</v>
      </c>
      <c r="K104" s="54" t="str">
        <f>IF($C104="B",INDEX(Batters[[#All],[INT]],MATCH(Table5[[#This Row],[PID]],Batters[[#All],[PID]],0)),INDEX(Table3[[#All],[INT]],MATCH(Table5[[#This Row],[PID]],Table3[[#All],[PID]],0)))</f>
        <v>Normal</v>
      </c>
      <c r="L104" s="62">
        <f>IF($C104="B",INDEX(Batters[[#All],[CON P]],MATCH(Table5[[#This Row],[PID]],Batters[[#All],[PID]],0)),INDEX(Table3[[#All],[STU P]],MATCH(Table5[[#This Row],[PID]],Table3[[#All],[PID]],0)))</f>
        <v>2</v>
      </c>
      <c r="M104" s="58">
        <f>IF($C104="B",INDEX(Batters[[#All],[GAP P]],MATCH(Table5[[#This Row],[PID]],Batters[[#All],[PID]],0)),INDEX(Table3[[#All],[MOV P]],MATCH(Table5[[#This Row],[PID]],Table3[[#All],[PID]],0)))</f>
        <v>2</v>
      </c>
      <c r="N104" s="58">
        <f>IF($C104="B",INDEX(Batters[[#All],[POW P]],MATCH(Table5[[#This Row],[PID]],Batters[[#All],[PID]],0)),INDEX(Table3[[#All],[CON P]],MATCH(Table5[[#This Row],[PID]],Table3[[#All],[PID]],0)))</f>
        <v>2</v>
      </c>
      <c r="O104" s="58">
        <f>IF($C104="B",INDEX(Batters[[#All],[EYE P]],MATCH(Table5[[#This Row],[PID]],Batters[[#All],[PID]],0)),INDEX(Table3[[#All],[VELO]],MATCH(Table5[[#This Row],[PID]],Table3[[#All],[PID]],0)))</f>
        <v>4</v>
      </c>
      <c r="P104" s="58">
        <f>IF($C104="B",INDEX(Batters[[#All],[K P]],MATCH(Table5[[#This Row],[PID]],Batters[[#All],[PID]],0)),INDEX(Table3[[#All],[STM]],MATCH(Table5[[#This Row],[PID]],Table3[[#All],[PID]],0)))</f>
        <v>4</v>
      </c>
      <c r="Q104" s="63">
        <f>IF($C104="B",INDEX(Batters[[#All],[Tot]],MATCH(Table5[[#This Row],[PID]],Batters[[#All],[PID]],0)),INDEX(Table3[[#All],[Tot]],MATCH(Table5[[#This Row],[PID]],Table3[[#All],[PID]],0)))</f>
        <v>49.7</v>
      </c>
      <c r="R104" s="54">
        <f>IF($C104="B",INDEX(Batters[[#All],[zScore]],MATCH(Table5[[#This Row],[PID]],Batters[[#All],[PID]],0)),INDEX(Table3[[#All],[zScore]],MATCH(Table5[[#This Row],[PID]],Table3[[#All],[PID]],0)))</f>
        <v>1.6453787227457386</v>
      </c>
      <c r="S104" s="60" t="str">
        <f>IF($C104="B",INDEX(Batters[[#All],[DEM]],MATCH(Table5[[#This Row],[PID]],Batters[[#All],[PID]],0)),INDEX(Table3[[#All],[DEM]],MATCH(Table5[[#This Row],[PID]],Table3[[#All],[PID]],0)))</f>
        <v>$65k</v>
      </c>
      <c r="T104" s="64">
        <f>IF($C104="B",VLOOKUP($A104,Bat!$A$4:$AU$1417,46,FALSE),VLOOKUP($A104,Pit!$A$4:$BD$570,55,FALSE))</f>
        <v>0</v>
      </c>
      <c r="U104" s="52">
        <f>IF($C104="B",VLOOKUP($A104,Bat!$A$4:$BA$1417,47,FALSE),VLOOKUP($A104,Pit!$A$4:$BF$570,56,FALSE))</f>
        <v>0</v>
      </c>
      <c r="V104" s="52">
        <f>IF($C104="B",VLOOKUP($A104,Bat!$A$4:$BA$1417,48,FALSE),VLOOKUP($A104,Pit!$A$4:$BF$570,57,FALSE))</f>
        <v>0</v>
      </c>
      <c r="W104" s="52">
        <f>Table5[[#This Row],[posRnk]]+Table5[[#This Row],[zRnk]]+IF($W$3&lt;&gt;Table5[[#This Row],[Type]],50,0)</f>
        <v>149</v>
      </c>
      <c r="X104" s="53">
        <f>RANK(Table5[[#This Row],[zScore]],Table5[[#All],[zScore]])</f>
        <v>99</v>
      </c>
      <c r="Y104" s="52" t="str">
        <f>IFERROR(INDEX(DraftResults[[#All],[OVR]],MATCH(Table5[[#This Row],[PID]],DraftResults[[#All],[Player ID]],0)),"")</f>
        <v/>
      </c>
      <c r="Z1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" s="52" t="str">
        <f>IFERROR(INDEX(DraftResults[[#All],[Pick in Round]],MATCH(Table5[[#This Row],[PID]],DraftResults[[#All],[Player ID]],0)),"")</f>
        <v/>
      </c>
      <c r="AB104" s="52" t="str">
        <f>IFERROR(INDEX(DraftResults[[#All],[Team Name]],MATCH(Table5[[#This Row],[PID]],DraftResults[[#All],[Player ID]],0)),"")</f>
        <v/>
      </c>
      <c r="AC104" s="52" t="str">
        <f>IF(Table5[[#This Row],[Ovr]]="","",IF(Table5[[#This Row],[cmbList]]="","",Table5[[#This Row],[cmbList]]-Table5[[#This Row],[Ovr]]))</f>
        <v/>
      </c>
      <c r="AD104" s="56" t="str">
        <f>IF(ISERROR(VLOOKUP($AB104&amp;"-"&amp;$E104&amp;" "&amp;F104,Bonuses!$B$1:$G$1006,4,FALSE)),"",INT(VLOOKUP($AB104&amp;"-"&amp;$E104&amp;" "&amp;$F104,Bonuses!$B$1:$G$1006,4,FALSE)))</f>
        <v/>
      </c>
      <c r="AE1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" spans="1:31" s="52" customFormat="1" x14ac:dyDescent="0.25">
      <c r="A105" s="52">
        <v>6328</v>
      </c>
      <c r="B105" s="52">
        <f>COUNTIF(Table5[PID],A105)</f>
        <v>1</v>
      </c>
      <c r="C105" s="52" t="str">
        <f>IF(COUNTIF(Table3[[#All],[PID]],A105)&gt;0,"P","B")</f>
        <v>B</v>
      </c>
      <c r="D105" s="61" t="str">
        <f>IF($C105="B",INDEX(Batters[[#All],[POS]],MATCH(Table5[[#This Row],[PID]],Batters[[#All],[PID]],0)),INDEX(Table3[[#All],[POS]],MATCH(Table5[[#This Row],[PID]],Table3[[#All],[PID]],0)))</f>
        <v>3B</v>
      </c>
      <c r="E105" s="54" t="str">
        <f>IF($C105="B",INDEX(Batters[[#All],[First]],MATCH(Table5[[#This Row],[PID]],Batters[[#All],[PID]],0)),INDEX(Table3[[#All],[First]],MATCH(Table5[[#This Row],[PID]],Table3[[#All],[PID]],0)))</f>
        <v>Kimi</v>
      </c>
      <c r="F105" s="52" t="str">
        <f>IF($C105="B",INDEX(Batters[[#All],[Last]],MATCH(A105,Batters[[#All],[PID]],0)),INDEX(Table3[[#All],[Last]],MATCH(A105,Table3[[#All],[PID]],0)))</f>
        <v>Sato</v>
      </c>
      <c r="G105" s="58">
        <f>IF($C105="B",INDEX(Batters[[#All],[Age]],MATCH(Table5[[#This Row],[PID]],Batters[[#All],[PID]],0)),INDEX(Table3[[#All],[Age]],MATCH(Table5[[#This Row],[PID]],Table3[[#All],[PID]],0)))</f>
        <v>18</v>
      </c>
      <c r="H105" s="54" t="str">
        <f>IF($C105="B",INDEX(Batters[[#All],[B]],MATCH(Table5[[#This Row],[PID]],Batters[[#All],[PID]],0)),INDEX(Table3[[#All],[B]],MATCH(Table5[[#This Row],[PID]],Table3[[#All],[PID]],0)))</f>
        <v>R</v>
      </c>
      <c r="I105" s="54" t="str">
        <f>IF($C105="B",INDEX(Batters[[#All],[T]],MATCH(Table5[[#This Row],[PID]],Batters[[#All],[PID]],0)),INDEX(Table3[[#All],[T]],MATCH(Table5[[#This Row],[PID]],Table3[[#All],[PID]],0)))</f>
        <v>R</v>
      </c>
      <c r="J105" s="54" t="str">
        <f>IF($C105="B",INDEX(Batters[[#All],[WE]],MATCH(Table5[[#This Row],[PID]],Batters[[#All],[PID]],0)),INDEX(Table3[[#All],[WE]],MATCH(Table5[[#This Row],[PID]],Table3[[#All],[PID]],0)))</f>
        <v>Low</v>
      </c>
      <c r="K105" s="54" t="str">
        <f>IF($C105="B",INDEX(Batters[[#All],[INT]],MATCH(Table5[[#This Row],[PID]],Batters[[#All],[PID]],0)),INDEX(Table3[[#All],[INT]],MATCH(Table5[[#This Row],[PID]],Table3[[#All],[PID]],0)))</f>
        <v>Normal</v>
      </c>
      <c r="L105" s="62">
        <f>IF($C105="B",INDEX(Batters[[#All],[CON P]],MATCH(Table5[[#This Row],[PID]],Batters[[#All],[PID]],0)),INDEX(Table3[[#All],[STU P]],MATCH(Table5[[#This Row],[PID]],Table3[[#All],[PID]],0)))</f>
        <v>2</v>
      </c>
      <c r="M105" s="58">
        <f>IF($C105="B",INDEX(Batters[[#All],[GAP P]],MATCH(Table5[[#This Row],[PID]],Batters[[#All],[PID]],0)),INDEX(Table3[[#All],[MOV P]],MATCH(Table5[[#This Row],[PID]],Table3[[#All],[PID]],0)))</f>
        <v>3</v>
      </c>
      <c r="N105" s="58">
        <f>IF($C105="B",INDEX(Batters[[#All],[POW P]],MATCH(Table5[[#This Row],[PID]],Batters[[#All],[PID]],0)),INDEX(Table3[[#All],[CON P]],MATCH(Table5[[#This Row],[PID]],Table3[[#All],[PID]],0)))</f>
        <v>4</v>
      </c>
      <c r="O105" s="58">
        <f>IF($C105="B",INDEX(Batters[[#All],[EYE P]],MATCH(Table5[[#This Row],[PID]],Batters[[#All],[PID]],0)),INDEX(Table3[[#All],[VELO]],MATCH(Table5[[#This Row],[PID]],Table3[[#All],[PID]],0)))</f>
        <v>4</v>
      </c>
      <c r="P105" s="58">
        <f>IF($C105="B",INDEX(Batters[[#All],[K P]],MATCH(Table5[[#This Row],[PID]],Batters[[#All],[PID]],0)),INDEX(Table3[[#All],[STM]],MATCH(Table5[[#This Row],[PID]],Table3[[#All],[PID]],0)))</f>
        <v>2</v>
      </c>
      <c r="Q105" s="63">
        <f>IF($C105="B",INDEX(Batters[[#All],[Tot]],MATCH(Table5[[#This Row],[PID]],Batters[[#All],[PID]],0)),INDEX(Table3[[#All],[Tot]],MATCH(Table5[[#This Row],[PID]],Table3[[#All],[PID]],0)))</f>
        <v>49.7</v>
      </c>
      <c r="R105" s="54">
        <f>IF($C105="B",INDEX(Batters[[#All],[zScore]],MATCH(Table5[[#This Row],[PID]],Batters[[#All],[PID]],0)),INDEX(Table3[[#All],[zScore]],MATCH(Table5[[#This Row],[PID]],Table3[[#All],[PID]],0)))</f>
        <v>1.6453787227457386</v>
      </c>
      <c r="S105" s="60" t="str">
        <f>IF($C105="B",INDEX(Batters[[#All],[DEM]],MATCH(Table5[[#This Row],[PID]],Batters[[#All],[PID]],0)),INDEX(Table3[[#All],[DEM]],MATCH(Table5[[#This Row],[PID]],Table3[[#All],[PID]],0)))</f>
        <v>$200k</v>
      </c>
      <c r="T105" s="64">
        <f>IF($C105="B",VLOOKUP($A105,Bat!$A$4:$AU$1417,46,FALSE),VLOOKUP($A105,Pit!$A$4:$BD$570,55,FALSE))</f>
        <v>0</v>
      </c>
      <c r="U105" s="52">
        <f>IF($C105="B",VLOOKUP($A105,Bat!$A$4:$BA$1417,47,FALSE),VLOOKUP($A105,Pit!$A$4:$BF$570,56,FALSE))</f>
        <v>0</v>
      </c>
      <c r="V105" s="52">
        <f>IF($C105="B",VLOOKUP($A105,Bat!$A$4:$BA$1417,48,FALSE),VLOOKUP($A105,Pit!$A$4:$BF$570,57,FALSE))</f>
        <v>0</v>
      </c>
      <c r="W105" s="52">
        <f>Table5[[#This Row],[posRnk]]+Table5[[#This Row],[zRnk]]+IF($W$3&lt;&gt;Table5[[#This Row],[Type]],50,0)</f>
        <v>149</v>
      </c>
      <c r="X105" s="53">
        <f>RANK(Table5[[#This Row],[zScore]],Table5[[#All],[zScore]])</f>
        <v>99</v>
      </c>
      <c r="Y105" s="52" t="str">
        <f>IFERROR(INDEX(DraftResults[[#All],[OVR]],MATCH(Table5[[#This Row],[PID]],DraftResults[[#All],[Player ID]],0)),"")</f>
        <v/>
      </c>
      <c r="Z1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" s="52" t="str">
        <f>IFERROR(INDEX(DraftResults[[#All],[Pick in Round]],MATCH(Table5[[#This Row],[PID]],DraftResults[[#All],[Player ID]],0)),"")</f>
        <v/>
      </c>
      <c r="AB105" s="52" t="str">
        <f>IFERROR(INDEX(DraftResults[[#All],[Team Name]],MATCH(Table5[[#This Row],[PID]],DraftResults[[#All],[Player ID]],0)),"")</f>
        <v/>
      </c>
      <c r="AC105" s="52" t="str">
        <f>IF(Table5[[#This Row],[Ovr]]="","",IF(Table5[[#This Row],[cmbList]]="","",Table5[[#This Row],[cmbList]]-Table5[[#This Row],[Ovr]]))</f>
        <v/>
      </c>
      <c r="AD105" s="56" t="str">
        <f>IF(ISERROR(VLOOKUP($AB105&amp;"-"&amp;$E105&amp;" "&amp;F105,Bonuses!$B$1:$G$1006,4,FALSE)),"",INT(VLOOKUP($AB105&amp;"-"&amp;$E105&amp;" "&amp;$F105,Bonuses!$B$1:$G$1006,4,FALSE)))</f>
        <v/>
      </c>
      <c r="AE1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" spans="1:31" s="52" customFormat="1" x14ac:dyDescent="0.25">
      <c r="A106" s="52">
        <v>15649</v>
      </c>
      <c r="B106" s="52">
        <f>COUNTIF(Table5[PID],A106)</f>
        <v>1</v>
      </c>
      <c r="C106" s="52" t="str">
        <f>IF(COUNTIF(Table3[[#All],[PID]],A106)&gt;0,"P","B")</f>
        <v>B</v>
      </c>
      <c r="D106" s="61" t="str">
        <f>IF($C106="B",INDEX(Batters[[#All],[POS]],MATCH(Table5[[#This Row],[PID]],Batters[[#All],[PID]],0)),INDEX(Table3[[#All],[POS]],MATCH(Table5[[#This Row],[PID]],Table3[[#All],[PID]],0)))</f>
        <v>3B</v>
      </c>
      <c r="E106" s="54" t="str">
        <f>IF($C106="B",INDEX(Batters[[#All],[First]],MATCH(Table5[[#This Row],[PID]],Batters[[#All],[PID]],0)),INDEX(Table3[[#All],[First]],MATCH(Table5[[#This Row],[PID]],Table3[[#All],[PID]],0)))</f>
        <v>Héctor</v>
      </c>
      <c r="F106" s="52" t="str">
        <f>IF($C106="B",INDEX(Batters[[#All],[Last]],MATCH(A106,Batters[[#All],[PID]],0)),INDEX(Table3[[#All],[Last]],MATCH(A106,Table3[[#All],[PID]],0)))</f>
        <v>Trigueros</v>
      </c>
      <c r="G106" s="58">
        <f>IF($C106="B",INDEX(Batters[[#All],[Age]],MATCH(Table5[[#This Row],[PID]],Batters[[#All],[PID]],0)),INDEX(Table3[[#All],[Age]],MATCH(Table5[[#This Row],[PID]],Table3[[#All],[PID]],0)))</f>
        <v>18</v>
      </c>
      <c r="H106" s="54" t="str">
        <f>IF($C106="B",INDEX(Batters[[#All],[B]],MATCH(Table5[[#This Row],[PID]],Batters[[#All],[PID]],0)),INDEX(Table3[[#All],[B]],MATCH(Table5[[#This Row],[PID]],Table3[[#All],[PID]],0)))</f>
        <v>S</v>
      </c>
      <c r="I106" s="54" t="str">
        <f>IF($C106="B",INDEX(Batters[[#All],[T]],MATCH(Table5[[#This Row],[PID]],Batters[[#All],[PID]],0)),INDEX(Table3[[#All],[T]],MATCH(Table5[[#This Row],[PID]],Table3[[#All],[PID]],0)))</f>
        <v>R</v>
      </c>
      <c r="J106" s="54" t="str">
        <f>IF($C106="B",INDEX(Batters[[#All],[WE]],MATCH(Table5[[#This Row],[PID]],Batters[[#All],[PID]],0)),INDEX(Table3[[#All],[WE]],MATCH(Table5[[#This Row],[PID]],Table3[[#All],[PID]],0)))</f>
        <v>Low</v>
      </c>
      <c r="K106" s="54" t="str">
        <f>IF($C106="B",INDEX(Batters[[#All],[INT]],MATCH(Table5[[#This Row],[PID]],Batters[[#All],[PID]],0)),INDEX(Table3[[#All],[INT]],MATCH(Table5[[#This Row],[PID]],Table3[[#All],[PID]],0)))</f>
        <v>Normal</v>
      </c>
      <c r="L106" s="62">
        <f>IF($C106="B",INDEX(Batters[[#All],[CON P]],MATCH(Table5[[#This Row],[PID]],Batters[[#All],[PID]],0)),INDEX(Table3[[#All],[STU P]],MATCH(Table5[[#This Row],[PID]],Table3[[#All],[PID]],0)))</f>
        <v>2</v>
      </c>
      <c r="M106" s="58">
        <f>IF($C106="B",INDEX(Batters[[#All],[GAP P]],MATCH(Table5[[#This Row],[PID]],Batters[[#All],[PID]],0)),INDEX(Table3[[#All],[MOV P]],MATCH(Table5[[#This Row],[PID]],Table3[[#All],[PID]],0)))</f>
        <v>3</v>
      </c>
      <c r="N106" s="58">
        <f>IF($C106="B",INDEX(Batters[[#All],[POW P]],MATCH(Table5[[#This Row],[PID]],Batters[[#All],[PID]],0)),INDEX(Table3[[#All],[CON P]],MATCH(Table5[[#This Row],[PID]],Table3[[#All],[PID]],0)))</f>
        <v>3</v>
      </c>
      <c r="O106" s="58">
        <f>IF($C106="B",INDEX(Batters[[#All],[EYE P]],MATCH(Table5[[#This Row],[PID]],Batters[[#All],[PID]],0)),INDEX(Table3[[#All],[VELO]],MATCH(Table5[[#This Row],[PID]],Table3[[#All],[PID]],0)))</f>
        <v>4</v>
      </c>
      <c r="P106" s="58">
        <f>IF($C106="B",INDEX(Batters[[#All],[K P]],MATCH(Table5[[#This Row],[PID]],Batters[[#All],[PID]],0)),INDEX(Table3[[#All],[STM]],MATCH(Table5[[#This Row],[PID]],Table3[[#All],[PID]],0)))</f>
        <v>4</v>
      </c>
      <c r="Q106" s="63">
        <f>IF($C106="B",INDEX(Batters[[#All],[Tot]],MATCH(Table5[[#This Row],[PID]],Batters[[#All],[PID]],0)),INDEX(Table3[[#All],[Tot]],MATCH(Table5[[#This Row],[PID]],Table3[[#All],[PID]],0)))</f>
        <v>49.7</v>
      </c>
      <c r="R106" s="54">
        <f>IF($C106="B",INDEX(Batters[[#All],[zScore]],MATCH(Table5[[#This Row],[PID]],Batters[[#All],[PID]],0)),INDEX(Table3[[#All],[zScore]],MATCH(Table5[[#This Row],[PID]],Table3[[#All],[PID]],0)))</f>
        <v>1.6453787227457386</v>
      </c>
      <c r="S106" s="60" t="str">
        <f>IF($C106="B",INDEX(Batters[[#All],[DEM]],MATCH(Table5[[#This Row],[PID]],Batters[[#All],[PID]],0)),INDEX(Table3[[#All],[DEM]],MATCH(Table5[[#This Row],[PID]],Table3[[#All],[PID]],0)))</f>
        <v>$75k</v>
      </c>
      <c r="T106" s="64">
        <f>IF($C106="B",VLOOKUP($A106,Bat!$A$4:$AU$1417,46,FALSE),VLOOKUP($A106,Pit!$A$4:$BD$570,55,FALSE))</f>
        <v>0</v>
      </c>
      <c r="U106" s="52">
        <f>IF($C106="B",VLOOKUP($A106,Bat!$A$4:$BA$1417,47,FALSE),VLOOKUP($A106,Pit!$A$4:$BF$570,56,FALSE))</f>
        <v>0</v>
      </c>
      <c r="V106" s="52">
        <f>IF($C106="B",VLOOKUP($A106,Bat!$A$4:$BA$1417,48,FALSE),VLOOKUP($A106,Pit!$A$4:$BF$570,57,FALSE))</f>
        <v>0</v>
      </c>
      <c r="W106" s="52">
        <f>Table5[[#This Row],[posRnk]]+Table5[[#This Row],[zRnk]]+IF($W$3&lt;&gt;Table5[[#This Row],[Type]],50,0)</f>
        <v>149</v>
      </c>
      <c r="X106" s="53">
        <f>RANK(Table5[[#This Row],[zScore]],Table5[[#All],[zScore]])</f>
        <v>99</v>
      </c>
      <c r="Y106" s="52" t="str">
        <f>IFERROR(INDEX(DraftResults[[#All],[OVR]],MATCH(Table5[[#This Row],[PID]],DraftResults[[#All],[Player ID]],0)),"")</f>
        <v/>
      </c>
      <c r="Z1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" s="52" t="str">
        <f>IFERROR(INDEX(DraftResults[[#All],[Pick in Round]],MATCH(Table5[[#This Row],[PID]],DraftResults[[#All],[Player ID]],0)),"")</f>
        <v/>
      </c>
      <c r="AB106" s="52" t="str">
        <f>IFERROR(INDEX(DraftResults[[#All],[Team Name]],MATCH(Table5[[#This Row],[PID]],DraftResults[[#All],[Player ID]],0)),"")</f>
        <v/>
      </c>
      <c r="AC106" s="52" t="str">
        <f>IF(Table5[[#This Row],[Ovr]]="","",IF(Table5[[#This Row],[cmbList]]="","",Table5[[#This Row],[cmbList]]-Table5[[#This Row],[Ovr]]))</f>
        <v/>
      </c>
      <c r="AD106" s="56" t="str">
        <f>IF(ISERROR(VLOOKUP($AB106&amp;"-"&amp;$E106&amp;" "&amp;F106,Bonuses!$B$1:$G$1006,4,FALSE)),"",INT(VLOOKUP($AB106&amp;"-"&amp;$E106&amp;" "&amp;$F106,Bonuses!$B$1:$G$1006,4,FALSE)))</f>
        <v/>
      </c>
      <c r="AE1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" spans="1:31" s="52" customFormat="1" x14ac:dyDescent="0.25">
      <c r="A107" s="52">
        <v>5907</v>
      </c>
      <c r="B107" s="52">
        <f>COUNTIF(Table5[PID],A107)</f>
        <v>1</v>
      </c>
      <c r="C107" s="52" t="str">
        <f>IF(COUNTIF(Table3[[#All],[PID]],A107)&gt;0,"P","B")</f>
        <v>B</v>
      </c>
      <c r="D107" s="61" t="str">
        <f>IF($C107="B",INDEX(Batters[[#All],[POS]],MATCH(Table5[[#This Row],[PID]],Batters[[#All],[PID]],0)),INDEX(Table3[[#All],[POS]],MATCH(Table5[[#This Row],[PID]],Table3[[#All],[PID]],0)))</f>
        <v>C</v>
      </c>
      <c r="E107" s="54" t="str">
        <f>IF($C107="B",INDEX(Batters[[#All],[First]],MATCH(Table5[[#This Row],[PID]],Batters[[#All],[PID]],0)),INDEX(Table3[[#All],[First]],MATCH(Table5[[#This Row],[PID]],Table3[[#All],[PID]],0)))</f>
        <v>Shawn</v>
      </c>
      <c r="F107" s="52" t="str">
        <f>IF($C107="B",INDEX(Batters[[#All],[Last]],MATCH(A107,Batters[[#All],[PID]],0)),INDEX(Table3[[#All],[Last]],MATCH(A107,Table3[[#All],[PID]],0)))</f>
        <v>Shelton</v>
      </c>
      <c r="G107" s="58">
        <f>IF($C107="B",INDEX(Batters[[#All],[Age]],MATCH(Table5[[#This Row],[PID]],Batters[[#All],[PID]],0)),INDEX(Table3[[#All],[Age]],MATCH(Table5[[#This Row],[PID]],Table3[[#All],[PID]],0)))</f>
        <v>18</v>
      </c>
      <c r="H107" s="54" t="str">
        <f>IF($C107="B",INDEX(Batters[[#All],[B]],MATCH(Table5[[#This Row],[PID]],Batters[[#All],[PID]],0)),INDEX(Table3[[#All],[B]],MATCH(Table5[[#This Row],[PID]],Table3[[#All],[PID]],0)))</f>
        <v>S</v>
      </c>
      <c r="I107" s="54" t="str">
        <f>IF($C107="B",INDEX(Batters[[#All],[T]],MATCH(Table5[[#This Row],[PID]],Batters[[#All],[PID]],0)),INDEX(Table3[[#All],[T]],MATCH(Table5[[#This Row],[PID]],Table3[[#All],[PID]],0)))</f>
        <v>R</v>
      </c>
      <c r="J107" s="54" t="str">
        <f>IF($C107="B",INDEX(Batters[[#All],[WE]],MATCH(Table5[[#This Row],[PID]],Batters[[#All],[PID]],0)),INDEX(Table3[[#All],[WE]],MATCH(Table5[[#This Row],[PID]],Table3[[#All],[PID]],0)))</f>
        <v>Low</v>
      </c>
      <c r="K107" s="54" t="str">
        <f>IF($C107="B",INDEX(Batters[[#All],[INT]],MATCH(Table5[[#This Row],[PID]],Batters[[#All],[PID]],0)),INDEX(Table3[[#All],[INT]],MATCH(Table5[[#This Row],[PID]],Table3[[#All],[PID]],0)))</f>
        <v>Normal</v>
      </c>
      <c r="L107" s="62">
        <f>IF($C107="B",INDEX(Batters[[#All],[CON P]],MATCH(Table5[[#This Row],[PID]],Batters[[#All],[PID]],0)),INDEX(Table3[[#All],[STU P]],MATCH(Table5[[#This Row],[PID]],Table3[[#All],[PID]],0)))</f>
        <v>2</v>
      </c>
      <c r="M107" s="58">
        <f>IF($C107="B",INDEX(Batters[[#All],[GAP P]],MATCH(Table5[[#This Row],[PID]],Batters[[#All],[PID]],0)),INDEX(Table3[[#All],[MOV P]],MATCH(Table5[[#This Row],[PID]],Table3[[#All],[PID]],0)))</f>
        <v>2</v>
      </c>
      <c r="N107" s="58">
        <f>IF($C107="B",INDEX(Batters[[#All],[POW P]],MATCH(Table5[[#This Row],[PID]],Batters[[#All],[PID]],0)),INDEX(Table3[[#All],[CON P]],MATCH(Table5[[#This Row],[PID]],Table3[[#All],[PID]],0)))</f>
        <v>3</v>
      </c>
      <c r="O107" s="58">
        <f>IF($C107="B",INDEX(Batters[[#All],[EYE P]],MATCH(Table5[[#This Row],[PID]],Batters[[#All],[PID]],0)),INDEX(Table3[[#All],[VELO]],MATCH(Table5[[#This Row],[PID]],Table3[[#All],[PID]],0)))</f>
        <v>3</v>
      </c>
      <c r="P107" s="58">
        <f>IF($C107="B",INDEX(Batters[[#All],[K P]],MATCH(Table5[[#This Row],[PID]],Batters[[#All],[PID]],0)),INDEX(Table3[[#All],[STM]],MATCH(Table5[[#This Row],[PID]],Table3[[#All],[PID]],0)))</f>
        <v>2</v>
      </c>
      <c r="Q107" s="63">
        <f>IF($C107="B",INDEX(Batters[[#All],[Tot]],MATCH(Table5[[#This Row],[PID]],Batters[[#All],[PID]],0)),INDEX(Table3[[#All],[Tot]],MATCH(Table5[[#This Row],[PID]],Table3[[#All],[PID]],0)))</f>
        <v>49.7</v>
      </c>
      <c r="R107" s="54">
        <f>IF($C107="B",INDEX(Batters[[#All],[zScore]],MATCH(Table5[[#This Row],[PID]],Batters[[#All],[PID]],0)),INDEX(Table3[[#All],[zScore]],MATCH(Table5[[#This Row],[PID]],Table3[[#All],[PID]],0)))</f>
        <v>1.6453787227457386</v>
      </c>
      <c r="S107" s="60" t="str">
        <f>IF($C107="B",INDEX(Batters[[#All],[DEM]],MATCH(Table5[[#This Row],[PID]],Batters[[#All],[PID]],0)),INDEX(Table3[[#All],[DEM]],MATCH(Table5[[#This Row],[PID]],Table3[[#All],[PID]],0)))</f>
        <v>$75k</v>
      </c>
      <c r="T107" s="64">
        <f>IF($C107="B",VLOOKUP($A107,Bat!$A$4:$AU$1417,46,FALSE),VLOOKUP($A107,Pit!$A$4:$BD$570,55,FALSE))</f>
        <v>0</v>
      </c>
      <c r="U107" s="52">
        <f>IF($C107="B",VLOOKUP($A107,Bat!$A$4:$BA$1417,47,FALSE),VLOOKUP($A107,Pit!$A$4:$BF$570,56,FALSE))</f>
        <v>0</v>
      </c>
      <c r="V107" s="52">
        <f>IF($C107="B",VLOOKUP($A107,Bat!$A$4:$BA$1417,48,FALSE),VLOOKUP($A107,Pit!$A$4:$BF$570,57,FALSE))</f>
        <v>0</v>
      </c>
      <c r="W107" s="52">
        <f>Table5[[#This Row],[posRnk]]+Table5[[#This Row],[zRnk]]+IF($W$3&lt;&gt;Table5[[#This Row],[Type]],50,0)</f>
        <v>149</v>
      </c>
      <c r="X107" s="53">
        <f>RANK(Table5[[#This Row],[zScore]],Table5[[#All],[zScore]])</f>
        <v>99</v>
      </c>
      <c r="Y107" s="52" t="str">
        <f>IFERROR(INDEX(DraftResults[[#All],[OVR]],MATCH(Table5[[#This Row],[PID]],DraftResults[[#All],[Player ID]],0)),"")</f>
        <v/>
      </c>
      <c r="Z1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" s="52" t="str">
        <f>IFERROR(INDEX(DraftResults[[#All],[Pick in Round]],MATCH(Table5[[#This Row],[PID]],DraftResults[[#All],[Player ID]],0)),"")</f>
        <v/>
      </c>
      <c r="AB107" s="52" t="str">
        <f>IFERROR(INDEX(DraftResults[[#All],[Team Name]],MATCH(Table5[[#This Row],[PID]],DraftResults[[#All],[Player ID]],0)),"")</f>
        <v/>
      </c>
      <c r="AC107" s="52" t="str">
        <f>IF(Table5[[#This Row],[Ovr]]="","",IF(Table5[[#This Row],[cmbList]]="","",Table5[[#This Row],[cmbList]]-Table5[[#This Row],[Ovr]]))</f>
        <v/>
      </c>
      <c r="AD107" s="56" t="str">
        <f>IF(ISERROR(VLOOKUP($AB107&amp;"-"&amp;$E107&amp;" "&amp;F107,Bonuses!$B$1:$G$1006,4,FALSE)),"",INT(VLOOKUP($AB107&amp;"-"&amp;$E107&amp;" "&amp;$F107,Bonuses!$B$1:$G$1006,4,FALSE)))</f>
        <v/>
      </c>
      <c r="AE1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" spans="1:31" s="52" customFormat="1" x14ac:dyDescent="0.25">
      <c r="A108" s="52">
        <v>13380</v>
      </c>
      <c r="B108" s="52">
        <f>COUNTIF(Table5[PID],A108)</f>
        <v>1</v>
      </c>
      <c r="C108" s="52" t="str">
        <f>IF(COUNTIF(Table3[[#All],[PID]],A108)&gt;0,"P","B")</f>
        <v>B</v>
      </c>
      <c r="D108" s="61" t="str">
        <f>IF($C108="B",INDEX(Batters[[#All],[POS]],MATCH(Table5[[#This Row],[PID]],Batters[[#All],[PID]],0)),INDEX(Table3[[#All],[POS]],MATCH(Table5[[#This Row],[PID]],Table3[[#All],[PID]],0)))</f>
        <v>C</v>
      </c>
      <c r="E108" s="54" t="str">
        <f>IF($C108="B",INDEX(Batters[[#All],[First]],MATCH(Table5[[#This Row],[PID]],Batters[[#All],[PID]],0)),INDEX(Table3[[#All],[First]],MATCH(Table5[[#This Row],[PID]],Table3[[#All],[PID]],0)))</f>
        <v>Lance</v>
      </c>
      <c r="F108" s="52" t="str">
        <f>IF($C108="B",INDEX(Batters[[#All],[Last]],MATCH(A108,Batters[[#All],[PID]],0)),INDEX(Table3[[#All],[Last]],MATCH(A108,Table3[[#All],[PID]],0)))</f>
        <v>Wagterveld</v>
      </c>
      <c r="G108" s="58">
        <f>IF($C108="B",INDEX(Batters[[#All],[Age]],MATCH(Table5[[#This Row],[PID]],Batters[[#All],[PID]],0)),INDEX(Table3[[#All],[Age]],MATCH(Table5[[#This Row],[PID]],Table3[[#All],[PID]],0)))</f>
        <v>18</v>
      </c>
      <c r="H108" s="54" t="str">
        <f>IF($C108="B",INDEX(Batters[[#All],[B]],MATCH(Table5[[#This Row],[PID]],Batters[[#All],[PID]],0)),INDEX(Table3[[#All],[B]],MATCH(Table5[[#This Row],[PID]],Table3[[#All],[PID]],0)))</f>
        <v>R</v>
      </c>
      <c r="I108" s="54" t="str">
        <f>IF($C108="B",INDEX(Batters[[#All],[T]],MATCH(Table5[[#This Row],[PID]],Batters[[#All],[PID]],0)),INDEX(Table3[[#All],[T]],MATCH(Table5[[#This Row],[PID]],Table3[[#All],[PID]],0)))</f>
        <v>R</v>
      </c>
      <c r="J108" s="54" t="str">
        <f>IF($C108="B",INDEX(Batters[[#All],[WE]],MATCH(Table5[[#This Row],[PID]],Batters[[#All],[PID]],0)),INDEX(Table3[[#All],[WE]],MATCH(Table5[[#This Row],[PID]],Table3[[#All],[PID]],0)))</f>
        <v>Low</v>
      </c>
      <c r="K108" s="54" t="str">
        <f>IF($C108="B",INDEX(Batters[[#All],[INT]],MATCH(Table5[[#This Row],[PID]],Batters[[#All],[PID]],0)),INDEX(Table3[[#All],[INT]],MATCH(Table5[[#This Row],[PID]],Table3[[#All],[PID]],0)))</f>
        <v>Normal</v>
      </c>
      <c r="L108" s="62">
        <f>IF($C108="B",INDEX(Batters[[#All],[CON P]],MATCH(Table5[[#This Row],[PID]],Batters[[#All],[PID]],0)),INDEX(Table3[[#All],[STU P]],MATCH(Table5[[#This Row],[PID]],Table3[[#All],[PID]],0)))</f>
        <v>2</v>
      </c>
      <c r="M108" s="58">
        <f>IF($C108="B",INDEX(Batters[[#All],[GAP P]],MATCH(Table5[[#This Row],[PID]],Batters[[#All],[PID]],0)),INDEX(Table3[[#All],[MOV P]],MATCH(Table5[[#This Row],[PID]],Table3[[#All],[PID]],0)))</f>
        <v>3</v>
      </c>
      <c r="N108" s="58">
        <f>IF($C108="B",INDEX(Batters[[#All],[POW P]],MATCH(Table5[[#This Row],[PID]],Batters[[#All],[PID]],0)),INDEX(Table3[[#All],[CON P]],MATCH(Table5[[#This Row],[PID]],Table3[[#All],[PID]],0)))</f>
        <v>3</v>
      </c>
      <c r="O108" s="58">
        <f>IF($C108="B",INDEX(Batters[[#All],[EYE P]],MATCH(Table5[[#This Row],[PID]],Batters[[#All],[PID]],0)),INDEX(Table3[[#All],[VELO]],MATCH(Table5[[#This Row],[PID]],Table3[[#All],[PID]],0)))</f>
        <v>5</v>
      </c>
      <c r="P108" s="58">
        <f>IF($C108="B",INDEX(Batters[[#All],[K P]],MATCH(Table5[[#This Row],[PID]],Batters[[#All],[PID]],0)),INDEX(Table3[[#All],[STM]],MATCH(Table5[[#This Row],[PID]],Table3[[#All],[PID]],0)))</f>
        <v>3</v>
      </c>
      <c r="Q108" s="63">
        <f>IF($C108="B",INDEX(Batters[[#All],[Tot]],MATCH(Table5[[#This Row],[PID]],Batters[[#All],[PID]],0)),INDEX(Table3[[#All],[Tot]],MATCH(Table5[[#This Row],[PID]],Table3[[#All],[PID]],0)))</f>
        <v>49.7</v>
      </c>
      <c r="R108" s="54">
        <f>IF($C108="B",INDEX(Batters[[#All],[zScore]],MATCH(Table5[[#This Row],[PID]],Batters[[#All],[PID]],0)),INDEX(Table3[[#All],[zScore]],MATCH(Table5[[#This Row],[PID]],Table3[[#All],[PID]],0)))</f>
        <v>1.6453787227457386</v>
      </c>
      <c r="S108" s="60" t="str">
        <f>IF($C108="B",INDEX(Batters[[#All],[DEM]],MATCH(Table5[[#This Row],[PID]],Batters[[#All],[PID]],0)),INDEX(Table3[[#All],[DEM]],MATCH(Table5[[#This Row],[PID]],Table3[[#All],[PID]],0)))</f>
        <v>$70k</v>
      </c>
      <c r="T108" s="64">
        <f>IF($C108="B",VLOOKUP($A108,Bat!$A$4:$AU$1417,46,FALSE),VLOOKUP($A108,Pit!$A$4:$BD$570,55,FALSE))</f>
        <v>0</v>
      </c>
      <c r="U108" s="52">
        <f>IF($C108="B",VLOOKUP($A108,Bat!$A$4:$BA$1417,47,FALSE),VLOOKUP($A108,Pit!$A$4:$BF$570,56,FALSE))</f>
        <v>0</v>
      </c>
      <c r="V108" s="52">
        <f>IF($C108="B",VLOOKUP($A108,Bat!$A$4:$BA$1417,48,FALSE),VLOOKUP($A108,Pit!$A$4:$BF$570,57,FALSE))</f>
        <v>0</v>
      </c>
      <c r="W108" s="52">
        <f>Table5[[#This Row],[posRnk]]+Table5[[#This Row],[zRnk]]+IF($W$3&lt;&gt;Table5[[#This Row],[Type]],50,0)</f>
        <v>149</v>
      </c>
      <c r="X108" s="53">
        <f>RANK(Table5[[#This Row],[zScore]],Table5[[#All],[zScore]])</f>
        <v>99</v>
      </c>
      <c r="Y108" s="52" t="str">
        <f>IFERROR(INDEX(DraftResults[[#All],[OVR]],MATCH(Table5[[#This Row],[PID]],DraftResults[[#All],[Player ID]],0)),"")</f>
        <v/>
      </c>
      <c r="Z1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" s="52" t="str">
        <f>IFERROR(INDEX(DraftResults[[#All],[Pick in Round]],MATCH(Table5[[#This Row],[PID]],DraftResults[[#All],[Player ID]],0)),"")</f>
        <v/>
      </c>
      <c r="AB108" s="52" t="str">
        <f>IFERROR(INDEX(DraftResults[[#All],[Team Name]],MATCH(Table5[[#This Row],[PID]],DraftResults[[#All],[Player ID]],0)),"")</f>
        <v/>
      </c>
      <c r="AC108" s="52" t="str">
        <f>IF(Table5[[#This Row],[Ovr]]="","",IF(Table5[[#This Row],[cmbList]]="","",Table5[[#This Row],[cmbList]]-Table5[[#This Row],[Ovr]]))</f>
        <v/>
      </c>
      <c r="AD108" s="56" t="str">
        <f>IF(ISERROR(VLOOKUP($AB108&amp;"-"&amp;$E108&amp;" "&amp;F108,Bonuses!$B$1:$G$1006,4,FALSE)),"",INT(VLOOKUP($AB108&amp;"-"&amp;$E108&amp;" "&amp;$F108,Bonuses!$B$1:$G$1006,4,FALSE)))</f>
        <v/>
      </c>
      <c r="AE1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" spans="1:31" s="52" customFormat="1" x14ac:dyDescent="0.25">
      <c r="A109" s="52">
        <v>9110</v>
      </c>
      <c r="B109" s="52">
        <f>COUNTIF(Table5[PID],A109)</f>
        <v>1</v>
      </c>
      <c r="C109" s="52" t="str">
        <f>IF(COUNTIF(Table3[[#All],[PID]],A109)&gt;0,"P","B")</f>
        <v>B</v>
      </c>
      <c r="D109" s="61" t="str">
        <f>IF($C109="B",INDEX(Batters[[#All],[POS]],MATCH(Table5[[#This Row],[PID]],Batters[[#All],[PID]],0)),INDEX(Table3[[#All],[POS]],MATCH(Table5[[#This Row],[PID]],Table3[[#All],[PID]],0)))</f>
        <v>C</v>
      </c>
      <c r="E109" s="54" t="str">
        <f>IF($C109="B",INDEX(Batters[[#All],[First]],MATCH(Table5[[#This Row],[PID]],Batters[[#All],[PID]],0)),INDEX(Table3[[#All],[First]],MATCH(Table5[[#This Row],[PID]],Table3[[#All],[PID]],0)))</f>
        <v>Del</v>
      </c>
      <c r="F109" s="52" t="str">
        <f>IF($C109="B",INDEX(Batters[[#All],[Last]],MATCH(A109,Batters[[#All],[PID]],0)),INDEX(Table3[[#All],[Last]],MATCH(A109,Table3[[#All],[PID]],0)))</f>
        <v>Young</v>
      </c>
      <c r="G109" s="58">
        <f>IF($C109="B",INDEX(Batters[[#All],[Age]],MATCH(Table5[[#This Row],[PID]],Batters[[#All],[PID]],0)),INDEX(Table3[[#All],[Age]],MATCH(Table5[[#This Row],[PID]],Table3[[#All],[PID]],0)))</f>
        <v>18</v>
      </c>
      <c r="H109" s="54" t="str">
        <f>IF($C109="B",INDEX(Batters[[#All],[B]],MATCH(Table5[[#This Row],[PID]],Batters[[#All],[PID]],0)),INDEX(Table3[[#All],[B]],MATCH(Table5[[#This Row],[PID]],Table3[[#All],[PID]],0)))</f>
        <v>R</v>
      </c>
      <c r="I109" s="54" t="str">
        <f>IF($C109="B",INDEX(Batters[[#All],[T]],MATCH(Table5[[#This Row],[PID]],Batters[[#All],[PID]],0)),INDEX(Table3[[#All],[T]],MATCH(Table5[[#This Row],[PID]],Table3[[#All],[PID]],0)))</f>
        <v>R</v>
      </c>
      <c r="J109" s="54" t="str">
        <f>IF($C109="B",INDEX(Batters[[#All],[WE]],MATCH(Table5[[#This Row],[PID]],Batters[[#All],[PID]],0)),INDEX(Table3[[#All],[WE]],MATCH(Table5[[#This Row],[PID]],Table3[[#All],[PID]],0)))</f>
        <v>Low</v>
      </c>
      <c r="K109" s="54" t="str">
        <f>IF($C109="B",INDEX(Batters[[#All],[INT]],MATCH(Table5[[#This Row],[PID]],Batters[[#All],[PID]],0)),INDEX(Table3[[#All],[INT]],MATCH(Table5[[#This Row],[PID]],Table3[[#All],[PID]],0)))</f>
        <v>Normal</v>
      </c>
      <c r="L109" s="62">
        <f>IF($C109="B",INDEX(Batters[[#All],[CON P]],MATCH(Table5[[#This Row],[PID]],Batters[[#All],[PID]],0)),INDEX(Table3[[#All],[STU P]],MATCH(Table5[[#This Row],[PID]],Table3[[#All],[PID]],0)))</f>
        <v>2</v>
      </c>
      <c r="M109" s="58">
        <f>IF($C109="B",INDEX(Batters[[#All],[GAP P]],MATCH(Table5[[#This Row],[PID]],Batters[[#All],[PID]],0)),INDEX(Table3[[#All],[MOV P]],MATCH(Table5[[#This Row],[PID]],Table3[[#All],[PID]],0)))</f>
        <v>4</v>
      </c>
      <c r="N109" s="58">
        <f>IF($C109="B",INDEX(Batters[[#All],[POW P]],MATCH(Table5[[#This Row],[PID]],Batters[[#All],[PID]],0)),INDEX(Table3[[#All],[CON P]],MATCH(Table5[[#This Row],[PID]],Table3[[#All],[PID]],0)))</f>
        <v>3</v>
      </c>
      <c r="O109" s="58">
        <f>IF($C109="B",INDEX(Batters[[#All],[EYE P]],MATCH(Table5[[#This Row],[PID]],Batters[[#All],[PID]],0)),INDEX(Table3[[#All],[VELO]],MATCH(Table5[[#This Row],[PID]],Table3[[#All],[PID]],0)))</f>
        <v>4</v>
      </c>
      <c r="P109" s="58">
        <f>IF($C109="B",INDEX(Batters[[#All],[K P]],MATCH(Table5[[#This Row],[PID]],Batters[[#All],[PID]],0)),INDEX(Table3[[#All],[STM]],MATCH(Table5[[#This Row],[PID]],Table3[[#All],[PID]],0)))</f>
        <v>2</v>
      </c>
      <c r="Q109" s="63">
        <f>IF($C109="B",INDEX(Batters[[#All],[Tot]],MATCH(Table5[[#This Row],[PID]],Batters[[#All],[PID]],0)),INDEX(Table3[[#All],[Tot]],MATCH(Table5[[#This Row],[PID]],Table3[[#All],[PID]],0)))</f>
        <v>49.7</v>
      </c>
      <c r="R109" s="54">
        <f>IF($C109="B",INDEX(Batters[[#All],[zScore]],MATCH(Table5[[#This Row],[PID]],Batters[[#All],[PID]],0)),INDEX(Table3[[#All],[zScore]],MATCH(Table5[[#This Row],[PID]],Table3[[#All],[PID]],0)))</f>
        <v>1.6453787227457386</v>
      </c>
      <c r="S109" s="60" t="str">
        <f>IF($C109="B",INDEX(Batters[[#All],[DEM]],MATCH(Table5[[#This Row],[PID]],Batters[[#All],[PID]],0)),INDEX(Table3[[#All],[DEM]],MATCH(Table5[[#This Row],[PID]],Table3[[#All],[PID]],0)))</f>
        <v>$75k</v>
      </c>
      <c r="T109" s="64">
        <f>IF($C109="B",VLOOKUP($A109,Bat!$A$4:$AU$1417,46,FALSE),VLOOKUP($A109,Pit!$A$4:$BD$570,55,FALSE))</f>
        <v>0</v>
      </c>
      <c r="U109" s="52">
        <f>IF($C109="B",VLOOKUP($A109,Bat!$A$4:$BA$1417,47,FALSE),VLOOKUP($A109,Pit!$A$4:$BF$570,56,FALSE))</f>
        <v>0</v>
      </c>
      <c r="V109" s="52">
        <f>IF($C109="B",VLOOKUP($A109,Bat!$A$4:$BA$1417,48,FALSE),VLOOKUP($A109,Pit!$A$4:$BF$570,57,FALSE))</f>
        <v>0</v>
      </c>
      <c r="W109" s="52">
        <f>Table5[[#This Row],[posRnk]]+Table5[[#This Row],[zRnk]]+IF($W$3&lt;&gt;Table5[[#This Row],[Type]],50,0)</f>
        <v>149</v>
      </c>
      <c r="X109" s="53">
        <f>RANK(Table5[[#This Row],[zScore]],Table5[[#All],[zScore]])</f>
        <v>99</v>
      </c>
      <c r="Y109" s="52" t="str">
        <f>IFERROR(INDEX(DraftResults[[#All],[OVR]],MATCH(Table5[[#This Row],[PID]],DraftResults[[#All],[Player ID]],0)),"")</f>
        <v/>
      </c>
      <c r="Z1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" s="52" t="str">
        <f>IFERROR(INDEX(DraftResults[[#All],[Pick in Round]],MATCH(Table5[[#This Row],[PID]],DraftResults[[#All],[Player ID]],0)),"")</f>
        <v/>
      </c>
      <c r="AB109" s="52" t="str">
        <f>IFERROR(INDEX(DraftResults[[#All],[Team Name]],MATCH(Table5[[#This Row],[PID]],DraftResults[[#All],[Player ID]],0)),"")</f>
        <v/>
      </c>
      <c r="AC109" s="52" t="str">
        <f>IF(Table5[[#This Row],[Ovr]]="","",IF(Table5[[#This Row],[cmbList]]="","",Table5[[#This Row],[cmbList]]-Table5[[#This Row],[Ovr]]))</f>
        <v/>
      </c>
      <c r="AD109" s="56" t="str">
        <f>IF(ISERROR(VLOOKUP($AB109&amp;"-"&amp;$E109&amp;" "&amp;F109,Bonuses!$B$1:$G$1006,4,FALSE)),"",INT(VLOOKUP($AB109&amp;"-"&amp;$E109&amp;" "&amp;$F109,Bonuses!$B$1:$G$1006,4,FALSE)))</f>
        <v/>
      </c>
      <c r="AE1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" spans="1:31" s="52" customFormat="1" x14ac:dyDescent="0.25">
      <c r="A110" s="52">
        <v>6486</v>
      </c>
      <c r="B110" s="52">
        <f>COUNTIF(Table5[PID],A110)</f>
        <v>1</v>
      </c>
      <c r="C110" s="52" t="str">
        <f>IF(COUNTIF(Table3[[#All],[PID]],A110)&gt;0,"P","B")</f>
        <v>B</v>
      </c>
      <c r="D110" s="61" t="str">
        <f>IF($C110="B",INDEX(Batters[[#All],[POS]],MATCH(Table5[[#This Row],[PID]],Batters[[#All],[PID]],0)),INDEX(Table3[[#All],[POS]],MATCH(Table5[[#This Row],[PID]],Table3[[#All],[PID]],0)))</f>
        <v>C</v>
      </c>
      <c r="E110" s="54" t="str">
        <f>IF($C110="B",INDEX(Batters[[#All],[First]],MATCH(Table5[[#This Row],[PID]],Batters[[#All],[PID]],0)),INDEX(Table3[[#All],[First]],MATCH(Table5[[#This Row],[PID]],Table3[[#All],[PID]],0)))</f>
        <v>Yorikane</v>
      </c>
      <c r="F110" s="52" t="str">
        <f>IF($C110="B",INDEX(Batters[[#All],[Last]],MATCH(A110,Batters[[#All],[PID]],0)),INDEX(Table3[[#All],[Last]],MATCH(A110,Table3[[#All],[PID]],0)))</f>
        <v>Morita</v>
      </c>
      <c r="G110" s="58">
        <f>IF($C110="B",INDEX(Batters[[#All],[Age]],MATCH(Table5[[#This Row],[PID]],Batters[[#All],[PID]],0)),INDEX(Table3[[#All],[Age]],MATCH(Table5[[#This Row],[PID]],Table3[[#All],[PID]],0)))</f>
        <v>18</v>
      </c>
      <c r="H110" s="54" t="str">
        <f>IF($C110="B",INDEX(Batters[[#All],[B]],MATCH(Table5[[#This Row],[PID]],Batters[[#All],[PID]],0)),INDEX(Table3[[#All],[B]],MATCH(Table5[[#This Row],[PID]],Table3[[#All],[PID]],0)))</f>
        <v>R</v>
      </c>
      <c r="I110" s="54" t="str">
        <f>IF($C110="B",INDEX(Batters[[#All],[T]],MATCH(Table5[[#This Row],[PID]],Batters[[#All],[PID]],0)),INDEX(Table3[[#All],[T]],MATCH(Table5[[#This Row],[PID]],Table3[[#All],[PID]],0)))</f>
        <v>R</v>
      </c>
      <c r="J110" s="54" t="str">
        <f>IF($C110="B",INDEX(Batters[[#All],[WE]],MATCH(Table5[[#This Row],[PID]],Batters[[#All],[PID]],0)),INDEX(Table3[[#All],[WE]],MATCH(Table5[[#This Row],[PID]],Table3[[#All],[PID]],0)))</f>
        <v>Low</v>
      </c>
      <c r="K110" s="54" t="str">
        <f>IF($C110="B",INDEX(Batters[[#All],[INT]],MATCH(Table5[[#This Row],[PID]],Batters[[#All],[PID]],0)),INDEX(Table3[[#All],[INT]],MATCH(Table5[[#This Row],[PID]],Table3[[#All],[PID]],0)))</f>
        <v>Low</v>
      </c>
      <c r="L110" s="62">
        <f>IF($C110="B",INDEX(Batters[[#All],[CON P]],MATCH(Table5[[#This Row],[PID]],Batters[[#All],[PID]],0)),INDEX(Table3[[#All],[STU P]],MATCH(Table5[[#This Row],[PID]],Table3[[#All],[PID]],0)))</f>
        <v>4</v>
      </c>
      <c r="M110" s="58">
        <f>IF($C110="B",INDEX(Batters[[#All],[GAP P]],MATCH(Table5[[#This Row],[PID]],Batters[[#All],[PID]],0)),INDEX(Table3[[#All],[MOV P]],MATCH(Table5[[#This Row],[PID]],Table3[[#All],[PID]],0)))</f>
        <v>5</v>
      </c>
      <c r="N110" s="58">
        <f>IF($C110="B",INDEX(Batters[[#All],[POW P]],MATCH(Table5[[#This Row],[PID]],Batters[[#All],[PID]],0)),INDEX(Table3[[#All],[CON P]],MATCH(Table5[[#This Row],[PID]],Table3[[#All],[PID]],0)))</f>
        <v>5</v>
      </c>
      <c r="O110" s="58">
        <f>IF($C110="B",INDEX(Batters[[#All],[EYE P]],MATCH(Table5[[#This Row],[PID]],Batters[[#All],[PID]],0)),INDEX(Table3[[#All],[VELO]],MATCH(Table5[[#This Row],[PID]],Table3[[#All],[PID]],0)))</f>
        <v>5</v>
      </c>
      <c r="P110" s="58">
        <f>IF($C110="B",INDEX(Batters[[#All],[K P]],MATCH(Table5[[#This Row],[PID]],Batters[[#All],[PID]],0)),INDEX(Table3[[#All],[STM]],MATCH(Table5[[#This Row],[PID]],Table3[[#All],[PID]],0)))</f>
        <v>5</v>
      </c>
      <c r="Q110" s="63">
        <f>IF($C110="B",INDEX(Batters[[#All],[Tot]],MATCH(Table5[[#This Row],[PID]],Batters[[#All],[PID]],0)),INDEX(Table3[[#All],[Tot]],MATCH(Table5[[#This Row],[PID]],Table3[[#All],[PID]],0)))</f>
        <v>49.586813458675209</v>
      </c>
      <c r="R110" s="54">
        <f>IF($C110="B",INDEX(Batters[[#All],[zScore]],MATCH(Table5[[#This Row],[PID]],Batters[[#All],[PID]],0)),INDEX(Table3[[#All],[zScore]],MATCH(Table5[[#This Row],[PID]],Table3[[#All],[PID]],0)))</f>
        <v>1.6254643030717331</v>
      </c>
      <c r="S110" s="60" t="str">
        <f>IF($C110="B",INDEX(Batters[[#All],[DEM]],MATCH(Table5[[#This Row],[PID]],Batters[[#All],[PID]],0)),INDEX(Table3[[#All],[DEM]],MATCH(Table5[[#This Row],[PID]],Table3[[#All],[PID]],0)))</f>
        <v>$220k</v>
      </c>
      <c r="T110" s="64">
        <f>IF($C110="B",VLOOKUP($A110,Bat!$A$4:$AU$1417,46,FALSE),VLOOKUP($A110,Pit!$A$4:$BD$570,55,FALSE))</f>
        <v>0</v>
      </c>
      <c r="U110" s="52">
        <f>IF($C110="B",VLOOKUP($A110,Bat!$A$4:$BA$1417,47,FALSE),VLOOKUP($A110,Pit!$A$4:$BF$570,56,FALSE))</f>
        <v>0</v>
      </c>
      <c r="V110" s="52">
        <f>IF($C110="B",VLOOKUP($A110,Bat!$A$4:$BA$1417,48,FALSE),VLOOKUP($A110,Pit!$A$4:$BF$570,57,FALSE))</f>
        <v>0</v>
      </c>
      <c r="W110" s="52">
        <f>Table5[[#This Row],[posRnk]]+Table5[[#This Row],[zRnk]]+IF($W$3&lt;&gt;Table5[[#This Row],[Type]],50,0)</f>
        <v>156</v>
      </c>
      <c r="X110" s="53">
        <f>RANK(Table5[[#This Row],[zScore]],Table5[[#All],[zScore]])</f>
        <v>106</v>
      </c>
      <c r="Y110" s="52" t="str">
        <f>IFERROR(INDEX(DraftResults[[#All],[OVR]],MATCH(Table5[[#This Row],[PID]],DraftResults[[#All],[Player ID]],0)),"")</f>
        <v/>
      </c>
      <c r="Z1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" s="52" t="str">
        <f>IFERROR(INDEX(DraftResults[[#All],[Pick in Round]],MATCH(Table5[[#This Row],[PID]],DraftResults[[#All],[Player ID]],0)),"")</f>
        <v/>
      </c>
      <c r="AB110" s="52" t="str">
        <f>IFERROR(INDEX(DraftResults[[#All],[Team Name]],MATCH(Table5[[#This Row],[PID]],DraftResults[[#All],[Player ID]],0)),"")</f>
        <v/>
      </c>
      <c r="AC110" s="52" t="str">
        <f>IF(Table5[[#This Row],[Ovr]]="","",IF(Table5[[#This Row],[cmbList]]="","",Table5[[#This Row],[cmbList]]-Table5[[#This Row],[Ovr]]))</f>
        <v/>
      </c>
      <c r="AD110" s="56" t="str">
        <f>IF(ISERROR(VLOOKUP($AB110&amp;"-"&amp;$E110&amp;" "&amp;F110,Bonuses!$B$1:$G$1006,4,FALSE)),"",INT(VLOOKUP($AB110&amp;"-"&amp;$E110&amp;" "&amp;$F110,Bonuses!$B$1:$G$1006,4,FALSE)))</f>
        <v/>
      </c>
      <c r="AE1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" spans="1:31" s="52" customFormat="1" x14ac:dyDescent="0.25">
      <c r="A111" s="52">
        <v>7151</v>
      </c>
      <c r="B111" s="52">
        <f>COUNTIF(Table5[PID],A111)</f>
        <v>1</v>
      </c>
      <c r="C111" s="52" t="str">
        <f>IF(COUNTIF(Table3[[#All],[PID]],A111)&gt;0,"P","B")</f>
        <v>P</v>
      </c>
      <c r="D111" s="61" t="str">
        <f>IF($C111="B",INDEX(Batters[[#All],[POS]],MATCH(Table5[[#This Row],[PID]],Batters[[#All],[PID]],0)),INDEX(Table3[[#All],[POS]],MATCH(Table5[[#This Row],[PID]],Table3[[#All],[PID]],0)))</f>
        <v>SP</v>
      </c>
      <c r="E111" s="54" t="str">
        <f>IF($C111="B",INDEX(Batters[[#All],[First]],MATCH(Table5[[#This Row],[PID]],Batters[[#All],[PID]],0)),INDEX(Table3[[#All],[First]],MATCH(Table5[[#This Row],[PID]],Table3[[#All],[PID]],0)))</f>
        <v>Jack</v>
      </c>
      <c r="F111" s="52" t="str">
        <f>IF($C111="B",INDEX(Batters[[#All],[Last]],MATCH(A111,Batters[[#All],[PID]],0)),INDEX(Table3[[#All],[Last]],MATCH(A111,Table3[[#All],[PID]],0)))</f>
        <v>Ring</v>
      </c>
      <c r="G111" s="58">
        <f>IF($C111="B",INDEX(Batters[[#All],[Age]],MATCH(Table5[[#This Row],[PID]],Batters[[#All],[PID]],0)),INDEX(Table3[[#All],[Age]],MATCH(Table5[[#This Row],[PID]],Table3[[#All],[PID]],0)))</f>
        <v>21</v>
      </c>
      <c r="H111" s="54" t="str">
        <f>IF($C111="B",INDEX(Batters[[#All],[B]],MATCH(Table5[[#This Row],[PID]],Batters[[#All],[PID]],0)),INDEX(Table3[[#All],[B]],MATCH(Table5[[#This Row],[PID]],Table3[[#All],[PID]],0)))</f>
        <v>L</v>
      </c>
      <c r="I111" s="54" t="str">
        <f>IF($C111="B",INDEX(Batters[[#All],[T]],MATCH(Table5[[#This Row],[PID]],Batters[[#All],[PID]],0)),INDEX(Table3[[#All],[T]],MATCH(Table5[[#This Row],[PID]],Table3[[#All],[PID]],0)))</f>
        <v>L</v>
      </c>
      <c r="J111" s="54" t="str">
        <f>IF($C111="B",INDEX(Batters[[#All],[WE]],MATCH(Table5[[#This Row],[PID]],Batters[[#All],[PID]],0)),INDEX(Table3[[#All],[WE]],MATCH(Table5[[#This Row],[PID]],Table3[[#All],[PID]],0)))</f>
        <v>Normal</v>
      </c>
      <c r="K111" s="54" t="str">
        <f>IF($C111="B",INDEX(Batters[[#All],[INT]],MATCH(Table5[[#This Row],[PID]],Batters[[#All],[PID]],0)),INDEX(Table3[[#All],[INT]],MATCH(Table5[[#This Row],[PID]],Table3[[#All],[PID]],0)))</f>
        <v>Normal</v>
      </c>
      <c r="L111" s="62">
        <f>IF($C111="B",INDEX(Batters[[#All],[CON P]],MATCH(Table5[[#This Row],[PID]],Batters[[#All],[PID]],0)),INDEX(Table3[[#All],[STU P]],MATCH(Table5[[#This Row],[PID]],Table3[[#All],[PID]],0)))</f>
        <v>6</v>
      </c>
      <c r="M111" s="58">
        <f>IF($C111="B",INDEX(Batters[[#All],[GAP P]],MATCH(Table5[[#This Row],[PID]],Batters[[#All],[PID]],0)),INDEX(Table3[[#All],[MOV P]],MATCH(Table5[[#This Row],[PID]],Table3[[#All],[PID]],0)))</f>
        <v>3</v>
      </c>
      <c r="N111" s="58">
        <f>IF($C111="B",INDEX(Batters[[#All],[POW P]],MATCH(Table5[[#This Row],[PID]],Batters[[#All],[PID]],0)),INDEX(Table3[[#All],[CON P]],MATCH(Table5[[#This Row],[PID]],Table3[[#All],[PID]],0)))</f>
        <v>4</v>
      </c>
      <c r="O111" s="58" t="str">
        <f>IF($C111="B",INDEX(Batters[[#All],[EYE P]],MATCH(Table5[[#This Row],[PID]],Batters[[#All],[PID]],0)),INDEX(Table3[[#All],[VELO]],MATCH(Table5[[#This Row],[PID]],Table3[[#All],[PID]],0)))</f>
        <v>95-97 Mph</v>
      </c>
      <c r="P111" s="58">
        <f>IF($C111="B",INDEX(Batters[[#All],[K P]],MATCH(Table5[[#This Row],[PID]],Batters[[#All],[PID]],0)),INDEX(Table3[[#All],[STM]],MATCH(Table5[[#This Row],[PID]],Table3[[#All],[PID]],0)))</f>
        <v>8</v>
      </c>
      <c r="Q111" s="63">
        <f>IF($C111="B",INDEX(Batters[[#All],[Tot]],MATCH(Table5[[#This Row],[PID]],Batters[[#All],[PID]],0)),INDEX(Table3[[#All],[Tot]],MATCH(Table5[[#This Row],[PID]],Table3[[#All],[PID]],0)))</f>
        <v>50.43929673575407</v>
      </c>
      <c r="R111" s="54">
        <f>IF($C111="B",INDEX(Batters[[#All],[zScore]],MATCH(Table5[[#This Row],[PID]],Batters[[#All],[PID]],0)),INDEX(Table3[[#All],[zScore]],MATCH(Table5[[#This Row],[PID]],Table3[[#All],[PID]],0)))</f>
        <v>1.6247288315968276</v>
      </c>
      <c r="S111" s="60" t="str">
        <f>IF($C111="B",INDEX(Batters[[#All],[DEM]],MATCH(Table5[[#This Row],[PID]],Batters[[#All],[PID]],0)),INDEX(Table3[[#All],[DEM]],MATCH(Table5[[#This Row],[PID]],Table3[[#All],[PID]],0)))</f>
        <v>$370k</v>
      </c>
      <c r="T111" s="64">
        <f>IF($C111="B",VLOOKUP($A111,Bat!$A$4:$AU$1417,46,FALSE),VLOOKUP($A111,Pit!$A$4:$BD$570,55,FALSE))</f>
        <v>0</v>
      </c>
      <c r="U111" s="52">
        <f>IF($C111="B",VLOOKUP($A111,Bat!$A$4:$BA$1417,47,FALSE),VLOOKUP($A111,Pit!$A$4:$BF$570,56,FALSE))</f>
        <v>0</v>
      </c>
      <c r="V111" s="52">
        <f>IF($C111="B",VLOOKUP($A111,Bat!$A$4:$BA$1417,48,FALSE),VLOOKUP($A111,Pit!$A$4:$BF$570,57,FALSE))</f>
        <v>0</v>
      </c>
      <c r="W111" s="52">
        <f>Table5[[#This Row],[posRnk]]+Table5[[#This Row],[zRnk]]+IF($W$3&lt;&gt;Table5[[#This Row],[Type]],50,0)</f>
        <v>157</v>
      </c>
      <c r="X111" s="53">
        <f>RANK(Table5[[#This Row],[zScore]],Table5[[#All],[zScore]])</f>
        <v>107</v>
      </c>
      <c r="Y111" s="52" t="str">
        <f>IFERROR(INDEX(DraftResults[[#All],[OVR]],MATCH(Table5[[#This Row],[PID]],DraftResults[[#All],[Player ID]],0)),"")</f>
        <v/>
      </c>
      <c r="Z1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" s="52" t="str">
        <f>IFERROR(INDEX(DraftResults[[#All],[Pick in Round]],MATCH(Table5[[#This Row],[PID]],DraftResults[[#All],[Player ID]],0)),"")</f>
        <v/>
      </c>
      <c r="AB111" s="52" t="str">
        <f>IFERROR(INDEX(DraftResults[[#All],[Team Name]],MATCH(Table5[[#This Row],[PID]],DraftResults[[#All],[Player ID]],0)),"")</f>
        <v/>
      </c>
      <c r="AC111" s="52" t="str">
        <f>IF(Table5[[#This Row],[Ovr]]="","",IF(Table5[[#This Row],[cmbList]]="","",Table5[[#This Row],[cmbList]]-Table5[[#This Row],[Ovr]]))</f>
        <v/>
      </c>
      <c r="AD111" s="56" t="str">
        <f>IF(ISERROR(VLOOKUP($AB111&amp;"-"&amp;$E111&amp;" "&amp;F111,Bonuses!$B$1:$G$1006,4,FALSE)),"",INT(VLOOKUP($AB111&amp;"-"&amp;$E111&amp;" "&amp;$F111,Bonuses!$B$1:$G$1006,4,FALSE)))</f>
        <v/>
      </c>
      <c r="AE1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" spans="1:31" s="52" customFormat="1" x14ac:dyDescent="0.25">
      <c r="A112" s="52">
        <v>5518</v>
      </c>
      <c r="B112" s="52">
        <f>COUNTIF(Table5[PID],A112)</f>
        <v>1</v>
      </c>
      <c r="C112" s="52" t="str">
        <f>IF(COUNTIF(Table3[[#All],[PID]],A112)&gt;0,"P","B")</f>
        <v>B</v>
      </c>
      <c r="D112" s="61" t="str">
        <f>IF($C112="B",INDEX(Batters[[#All],[POS]],MATCH(Table5[[#This Row],[PID]],Batters[[#All],[PID]],0)),INDEX(Table3[[#All],[POS]],MATCH(Table5[[#This Row],[PID]],Table3[[#All],[PID]],0)))</f>
        <v>1B</v>
      </c>
      <c r="E112" s="54" t="str">
        <f>IF($C112="B",INDEX(Batters[[#All],[First]],MATCH(Table5[[#This Row],[PID]],Batters[[#All],[PID]],0)),INDEX(Table3[[#All],[First]],MATCH(Table5[[#This Row],[PID]],Table3[[#All],[PID]],0)))</f>
        <v>Corey</v>
      </c>
      <c r="F112" s="52" t="str">
        <f>IF($C112="B",INDEX(Batters[[#All],[Last]],MATCH(A112,Batters[[#All],[PID]],0)),INDEX(Table3[[#All],[Last]],MATCH(A112,Table3[[#All],[PID]],0)))</f>
        <v>Navarro</v>
      </c>
      <c r="G112" s="58">
        <f>IF($C112="B",INDEX(Batters[[#All],[Age]],MATCH(Table5[[#This Row],[PID]],Batters[[#All],[PID]],0)),INDEX(Table3[[#All],[Age]],MATCH(Table5[[#This Row],[PID]],Table3[[#All],[PID]],0)))</f>
        <v>20</v>
      </c>
      <c r="H112" s="54" t="str">
        <f>IF($C112="B",INDEX(Batters[[#All],[B]],MATCH(Table5[[#This Row],[PID]],Batters[[#All],[PID]],0)),INDEX(Table3[[#All],[B]],MATCH(Table5[[#This Row],[PID]],Table3[[#All],[PID]],0)))</f>
        <v>R</v>
      </c>
      <c r="I112" s="54" t="str">
        <f>IF($C112="B",INDEX(Batters[[#All],[T]],MATCH(Table5[[#This Row],[PID]],Batters[[#All],[PID]],0)),INDEX(Table3[[#All],[T]],MATCH(Table5[[#This Row],[PID]],Table3[[#All],[PID]],0)))</f>
        <v>R</v>
      </c>
      <c r="J112" s="54" t="str">
        <f>IF($C112="B",INDEX(Batters[[#All],[WE]],MATCH(Table5[[#This Row],[PID]],Batters[[#All],[PID]],0)),INDEX(Table3[[#All],[WE]],MATCH(Table5[[#This Row],[PID]],Table3[[#All],[PID]],0)))</f>
        <v>Normal</v>
      </c>
      <c r="K112" s="54" t="str">
        <f>IF($C112="B",INDEX(Batters[[#All],[INT]],MATCH(Table5[[#This Row],[PID]],Batters[[#All],[PID]],0)),INDEX(Table3[[#All],[INT]],MATCH(Table5[[#This Row],[PID]],Table3[[#All],[PID]],0)))</f>
        <v>Normal</v>
      </c>
      <c r="L112" s="62">
        <f>IF($C112="B",INDEX(Batters[[#All],[CON P]],MATCH(Table5[[#This Row],[PID]],Batters[[#All],[PID]],0)),INDEX(Table3[[#All],[STU P]],MATCH(Table5[[#This Row],[PID]],Table3[[#All],[PID]],0)))</f>
        <v>5</v>
      </c>
      <c r="M112" s="58">
        <f>IF($C112="B",INDEX(Batters[[#All],[GAP P]],MATCH(Table5[[#This Row],[PID]],Batters[[#All],[PID]],0)),INDEX(Table3[[#All],[MOV P]],MATCH(Table5[[#This Row],[PID]],Table3[[#All],[PID]],0)))</f>
        <v>6</v>
      </c>
      <c r="N112" s="58">
        <f>IF($C112="B",INDEX(Batters[[#All],[POW P]],MATCH(Table5[[#This Row],[PID]],Batters[[#All],[PID]],0)),INDEX(Table3[[#All],[CON P]],MATCH(Table5[[#This Row],[PID]],Table3[[#All],[PID]],0)))</f>
        <v>7</v>
      </c>
      <c r="O112" s="58">
        <f>IF($C112="B",INDEX(Batters[[#All],[EYE P]],MATCH(Table5[[#This Row],[PID]],Batters[[#All],[PID]],0)),INDEX(Table3[[#All],[VELO]],MATCH(Table5[[#This Row],[PID]],Table3[[#All],[PID]],0)))</f>
        <v>4</v>
      </c>
      <c r="P112" s="58">
        <f>IF($C112="B",INDEX(Batters[[#All],[K P]],MATCH(Table5[[#This Row],[PID]],Batters[[#All],[PID]],0)),INDEX(Table3[[#All],[STM]],MATCH(Table5[[#This Row],[PID]],Table3[[#All],[PID]],0)))</f>
        <v>5</v>
      </c>
      <c r="Q112" s="63">
        <f>IF($C112="B",INDEX(Batters[[#All],[Tot]],MATCH(Table5[[#This Row],[PID]],Batters[[#All],[PID]],0)),INDEX(Table3[[#All],[Tot]],MATCH(Table5[[#This Row],[PID]],Table3[[#All],[PID]],0)))</f>
        <v>49.541938647918521</v>
      </c>
      <c r="R112" s="54">
        <f>IF($C112="B",INDEX(Batters[[#All],[zScore]],MATCH(Table5[[#This Row],[PID]],Batters[[#All],[PID]],0)),INDEX(Table3[[#All],[zScore]],MATCH(Table5[[#This Row],[PID]],Table3[[#All],[PID]],0)))</f>
        <v>1.6175688783707001</v>
      </c>
      <c r="S112" s="60" t="str">
        <f>IF($C112="B",INDEX(Batters[[#All],[DEM]],MATCH(Table5[[#This Row],[PID]],Batters[[#All],[PID]],0)),INDEX(Table3[[#All],[DEM]],MATCH(Table5[[#This Row],[PID]],Table3[[#All],[PID]],0)))</f>
        <v>$1.4m</v>
      </c>
      <c r="T112" s="64">
        <f>IF($C112="B",VLOOKUP($A112,Bat!$A$4:$AU$1417,46,FALSE),VLOOKUP($A112,Pit!$A$4:$BD$570,55,FALSE))</f>
        <v>0</v>
      </c>
      <c r="U112" s="52">
        <f>IF($C112="B",VLOOKUP($A112,Bat!$A$4:$BA$1417,47,FALSE),VLOOKUP($A112,Pit!$A$4:$BF$570,56,FALSE))</f>
        <v>0</v>
      </c>
      <c r="V112" s="52">
        <f>IF($C112="B",VLOOKUP($A112,Bat!$A$4:$BA$1417,48,FALSE),VLOOKUP($A112,Pit!$A$4:$BF$570,57,FALSE))</f>
        <v>0</v>
      </c>
      <c r="W112" s="52">
        <f>Table5[[#This Row],[posRnk]]+Table5[[#This Row],[zRnk]]+IF($W$3&lt;&gt;Table5[[#This Row],[Type]],50,0)</f>
        <v>158</v>
      </c>
      <c r="X112" s="53">
        <f>RANK(Table5[[#This Row],[zScore]],Table5[[#All],[zScore]])</f>
        <v>108</v>
      </c>
      <c r="Y112" s="52" t="str">
        <f>IFERROR(INDEX(DraftResults[[#All],[OVR]],MATCH(Table5[[#This Row],[PID]],DraftResults[[#All],[Player ID]],0)),"")</f>
        <v/>
      </c>
      <c r="Z1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" s="52" t="str">
        <f>IFERROR(INDEX(DraftResults[[#All],[Pick in Round]],MATCH(Table5[[#This Row],[PID]],DraftResults[[#All],[Player ID]],0)),"")</f>
        <v/>
      </c>
      <c r="AB112" s="52" t="str">
        <f>IFERROR(INDEX(DraftResults[[#All],[Team Name]],MATCH(Table5[[#This Row],[PID]],DraftResults[[#All],[Player ID]],0)),"")</f>
        <v/>
      </c>
      <c r="AC112" s="52" t="str">
        <f>IF(Table5[[#This Row],[Ovr]]="","",IF(Table5[[#This Row],[cmbList]]="","",Table5[[#This Row],[cmbList]]-Table5[[#This Row],[Ovr]]))</f>
        <v/>
      </c>
      <c r="AD112" s="56" t="str">
        <f>IF(ISERROR(VLOOKUP($AB112&amp;"-"&amp;$E112&amp;" "&amp;F112,Bonuses!$B$1:$G$1006,4,FALSE)),"",INT(VLOOKUP($AB112&amp;"-"&amp;$E112&amp;" "&amp;$F112,Bonuses!$B$1:$G$1006,4,FALSE)))</f>
        <v/>
      </c>
      <c r="AE1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" spans="1:31" s="52" customFormat="1" x14ac:dyDescent="0.25">
      <c r="A113" s="52">
        <v>10031</v>
      </c>
      <c r="B113" s="52">
        <f>COUNTIF(Table5[PID],A113)</f>
        <v>1</v>
      </c>
      <c r="C113" s="52" t="str">
        <f>IF(COUNTIF(Table3[[#All],[PID]],A113)&gt;0,"P","B")</f>
        <v>P</v>
      </c>
      <c r="D113" s="61" t="str">
        <f>IF($C113="B",INDEX(Batters[[#All],[POS]],MATCH(Table5[[#This Row],[PID]],Batters[[#All],[PID]],0)),INDEX(Table3[[#All],[POS]],MATCH(Table5[[#This Row],[PID]],Table3[[#All],[PID]],0)))</f>
        <v>RP</v>
      </c>
      <c r="E113" s="54" t="str">
        <f>IF($C113="B",INDEX(Batters[[#All],[First]],MATCH(Table5[[#This Row],[PID]],Batters[[#All],[PID]],0)),INDEX(Table3[[#All],[First]],MATCH(Table5[[#This Row],[PID]],Table3[[#All],[PID]],0)))</f>
        <v>Kane</v>
      </c>
      <c r="F113" s="52" t="str">
        <f>IF($C113="B",INDEX(Batters[[#All],[Last]],MATCH(A113,Batters[[#All],[PID]],0)),INDEX(Table3[[#All],[Last]],MATCH(A113,Table3[[#All],[PID]],0)))</f>
        <v>Womack</v>
      </c>
      <c r="G113" s="58">
        <f>IF($C113="B",INDEX(Batters[[#All],[Age]],MATCH(Table5[[#This Row],[PID]],Batters[[#All],[PID]],0)),INDEX(Table3[[#All],[Age]],MATCH(Table5[[#This Row],[PID]],Table3[[#All],[PID]],0)))</f>
        <v>21</v>
      </c>
      <c r="H113" s="54" t="str">
        <f>IF($C113="B",INDEX(Batters[[#All],[B]],MATCH(Table5[[#This Row],[PID]],Batters[[#All],[PID]],0)),INDEX(Table3[[#All],[B]],MATCH(Table5[[#This Row],[PID]],Table3[[#All],[PID]],0)))</f>
        <v>S</v>
      </c>
      <c r="I113" s="54" t="str">
        <f>IF($C113="B",INDEX(Batters[[#All],[T]],MATCH(Table5[[#This Row],[PID]],Batters[[#All],[PID]],0)),INDEX(Table3[[#All],[T]],MATCH(Table5[[#This Row],[PID]],Table3[[#All],[PID]],0)))</f>
        <v>R</v>
      </c>
      <c r="J113" s="54" t="str">
        <f>IF($C113="B",INDEX(Batters[[#All],[WE]],MATCH(Table5[[#This Row],[PID]],Batters[[#All],[PID]],0)),INDEX(Table3[[#All],[WE]],MATCH(Table5[[#This Row],[PID]],Table3[[#All],[PID]],0)))</f>
        <v>High</v>
      </c>
      <c r="K113" s="54" t="str">
        <f>IF($C113="B",INDEX(Batters[[#All],[INT]],MATCH(Table5[[#This Row],[PID]],Batters[[#All],[PID]],0)),INDEX(Table3[[#All],[INT]],MATCH(Table5[[#This Row],[PID]],Table3[[#All],[PID]],0)))</f>
        <v>Normal</v>
      </c>
      <c r="L113" s="62">
        <f>IF($C113="B",INDEX(Batters[[#All],[CON P]],MATCH(Table5[[#This Row],[PID]],Batters[[#All],[PID]],0)),INDEX(Table3[[#All],[STU P]],MATCH(Table5[[#This Row],[PID]],Table3[[#All],[PID]],0)))</f>
        <v>7</v>
      </c>
      <c r="M113" s="58">
        <f>IF($C113="B",INDEX(Batters[[#All],[GAP P]],MATCH(Table5[[#This Row],[PID]],Batters[[#All],[PID]],0)),INDEX(Table3[[#All],[MOV P]],MATCH(Table5[[#This Row],[PID]],Table3[[#All],[PID]],0)))</f>
        <v>3</v>
      </c>
      <c r="N113" s="58">
        <f>IF($C113="B",INDEX(Batters[[#All],[POW P]],MATCH(Table5[[#This Row],[PID]],Batters[[#All],[PID]],0)),INDEX(Table3[[#All],[CON P]],MATCH(Table5[[#This Row],[PID]],Table3[[#All],[PID]],0)))</f>
        <v>4</v>
      </c>
      <c r="O113" s="58" t="str">
        <f>IF($C113="B",INDEX(Batters[[#All],[EYE P]],MATCH(Table5[[#This Row],[PID]],Batters[[#All],[PID]],0)),INDEX(Table3[[#All],[VELO]],MATCH(Table5[[#This Row],[PID]],Table3[[#All],[PID]],0)))</f>
        <v>97-99 Mph</v>
      </c>
      <c r="P113" s="58">
        <f>IF($C113="B",INDEX(Batters[[#All],[K P]],MATCH(Table5[[#This Row],[PID]],Batters[[#All],[PID]],0)),INDEX(Table3[[#All],[STM]],MATCH(Table5[[#This Row],[PID]],Table3[[#All],[PID]],0)))</f>
        <v>3</v>
      </c>
      <c r="Q113" s="63">
        <f>IF($C113="B",INDEX(Batters[[#All],[Tot]],MATCH(Table5[[#This Row],[PID]],Batters[[#All],[PID]],0)),INDEX(Table3[[#All],[Tot]],MATCH(Table5[[#This Row],[PID]],Table3[[#All],[PID]],0)))</f>
        <v>50.051830869996579</v>
      </c>
      <c r="R113" s="54">
        <f>IF($C113="B",INDEX(Batters[[#All],[zScore]],MATCH(Table5[[#This Row],[PID]],Batters[[#All],[PID]],0)),INDEX(Table3[[#All],[zScore]],MATCH(Table5[[#This Row],[PID]],Table3[[#All],[PID]],0)))</f>
        <v>1.5891965556429497</v>
      </c>
      <c r="S113" s="60" t="str">
        <f>IF($C113="B",INDEX(Batters[[#All],[DEM]],MATCH(Table5[[#This Row],[PID]],Batters[[#All],[PID]],0)),INDEX(Table3[[#All],[DEM]],MATCH(Table5[[#This Row],[PID]],Table3[[#All],[PID]],0)))</f>
        <v>-</v>
      </c>
      <c r="T113" s="64">
        <f>IF($C113="B",VLOOKUP($A113,Bat!$A$4:$AU$1417,46,FALSE),VLOOKUP($A113,Pit!$A$4:$BD$570,55,FALSE))</f>
        <v>0</v>
      </c>
      <c r="U113" s="52">
        <f>IF($C113="B",VLOOKUP($A113,Bat!$A$4:$BA$1417,47,FALSE),VLOOKUP($A113,Pit!$A$4:$BF$570,56,FALSE))</f>
        <v>0</v>
      </c>
      <c r="V113" s="52">
        <f>IF($C113="B",VLOOKUP($A113,Bat!$A$4:$BA$1417,48,FALSE),VLOOKUP($A113,Pit!$A$4:$BF$570,57,FALSE))</f>
        <v>0</v>
      </c>
      <c r="W113" s="52">
        <f>Table5[[#This Row],[posRnk]]+Table5[[#This Row],[zRnk]]+IF($W$3&lt;&gt;Table5[[#This Row],[Type]],50,0)</f>
        <v>159</v>
      </c>
      <c r="X113" s="53">
        <f>RANK(Table5[[#This Row],[zScore]],Table5[[#All],[zScore]])</f>
        <v>109</v>
      </c>
      <c r="Y113" s="52" t="str">
        <f>IFERROR(INDEX(DraftResults[[#All],[OVR]],MATCH(Table5[[#This Row],[PID]],DraftResults[[#All],[Player ID]],0)),"")</f>
        <v/>
      </c>
      <c r="Z1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" s="52" t="str">
        <f>IFERROR(INDEX(DraftResults[[#All],[Pick in Round]],MATCH(Table5[[#This Row],[PID]],DraftResults[[#All],[Player ID]],0)),"")</f>
        <v/>
      </c>
      <c r="AB113" s="52" t="str">
        <f>IFERROR(INDEX(DraftResults[[#All],[Team Name]],MATCH(Table5[[#This Row],[PID]],DraftResults[[#All],[Player ID]],0)),"")</f>
        <v/>
      </c>
      <c r="AC113" s="52" t="str">
        <f>IF(Table5[[#This Row],[Ovr]]="","",IF(Table5[[#This Row],[cmbList]]="","",Table5[[#This Row],[cmbList]]-Table5[[#This Row],[Ovr]]))</f>
        <v/>
      </c>
      <c r="AD113" s="56" t="str">
        <f>IF(ISERROR(VLOOKUP($AB113&amp;"-"&amp;$E113&amp;" "&amp;F113,Bonuses!$B$1:$G$1006,4,FALSE)),"",INT(VLOOKUP($AB113&amp;"-"&amp;$E113&amp;" "&amp;$F113,Bonuses!$B$1:$G$1006,4,FALSE)))</f>
        <v/>
      </c>
      <c r="AE1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" spans="1:31" s="52" customFormat="1" x14ac:dyDescent="0.25">
      <c r="A114" s="52">
        <v>7319</v>
      </c>
      <c r="B114" s="52">
        <f>COUNTIF(Table5[PID],A114)</f>
        <v>1</v>
      </c>
      <c r="C114" s="52" t="str">
        <f>IF(COUNTIF(Table3[[#All],[PID]],A114)&gt;0,"P","B")</f>
        <v>B</v>
      </c>
      <c r="D114" s="61" t="str">
        <f>IF($C114="B",INDEX(Batters[[#All],[POS]],MATCH(Table5[[#This Row],[PID]],Batters[[#All],[PID]],0)),INDEX(Table3[[#All],[POS]],MATCH(Table5[[#This Row],[PID]],Table3[[#All],[PID]],0)))</f>
        <v>CF</v>
      </c>
      <c r="E114" s="54" t="str">
        <f>IF($C114="B",INDEX(Batters[[#All],[First]],MATCH(Table5[[#This Row],[PID]],Batters[[#All],[PID]],0)),INDEX(Table3[[#All],[First]],MATCH(Table5[[#This Row],[PID]],Table3[[#All],[PID]],0)))</f>
        <v>Oniji</v>
      </c>
      <c r="F114" s="52" t="str">
        <f>IF($C114="B",INDEX(Batters[[#All],[Last]],MATCH(A114,Batters[[#All],[PID]],0)),INDEX(Table3[[#All],[Last]],MATCH(A114,Table3[[#All],[PID]],0)))</f>
        <v>Kichikawa</v>
      </c>
      <c r="G114" s="58">
        <f>IF($C114="B",INDEX(Batters[[#All],[Age]],MATCH(Table5[[#This Row],[PID]],Batters[[#All],[PID]],0)),INDEX(Table3[[#All],[Age]],MATCH(Table5[[#This Row],[PID]],Table3[[#All],[PID]],0)))</f>
        <v>21</v>
      </c>
      <c r="H114" s="54" t="str">
        <f>IF($C114="B",INDEX(Batters[[#All],[B]],MATCH(Table5[[#This Row],[PID]],Batters[[#All],[PID]],0)),INDEX(Table3[[#All],[B]],MATCH(Table5[[#This Row],[PID]],Table3[[#All],[PID]],0)))</f>
        <v>R</v>
      </c>
      <c r="I114" s="54" t="str">
        <f>IF($C114="B",INDEX(Batters[[#All],[T]],MATCH(Table5[[#This Row],[PID]],Batters[[#All],[PID]],0)),INDEX(Table3[[#All],[T]],MATCH(Table5[[#This Row],[PID]],Table3[[#All],[PID]],0)))</f>
        <v>R</v>
      </c>
      <c r="J114" s="54" t="str">
        <f>IF($C114="B",INDEX(Batters[[#All],[WE]],MATCH(Table5[[#This Row],[PID]],Batters[[#All],[PID]],0)),INDEX(Table3[[#All],[WE]],MATCH(Table5[[#This Row],[PID]],Table3[[#All],[PID]],0)))</f>
        <v>Normal</v>
      </c>
      <c r="K114" s="54" t="str">
        <f>IF($C114="B",INDEX(Batters[[#All],[INT]],MATCH(Table5[[#This Row],[PID]],Batters[[#All],[PID]],0)),INDEX(Table3[[#All],[INT]],MATCH(Table5[[#This Row],[PID]],Table3[[#All],[PID]],0)))</f>
        <v>Low</v>
      </c>
      <c r="L114" s="62">
        <f>IF($C114="B",INDEX(Batters[[#All],[CON P]],MATCH(Table5[[#This Row],[PID]],Batters[[#All],[PID]],0)),INDEX(Table3[[#All],[STU P]],MATCH(Table5[[#This Row],[PID]],Table3[[#All],[PID]],0)))</f>
        <v>5</v>
      </c>
      <c r="M114" s="58">
        <f>IF($C114="B",INDEX(Batters[[#All],[GAP P]],MATCH(Table5[[#This Row],[PID]],Batters[[#All],[PID]],0)),INDEX(Table3[[#All],[MOV P]],MATCH(Table5[[#This Row],[PID]],Table3[[#All],[PID]],0)))</f>
        <v>4</v>
      </c>
      <c r="N114" s="58">
        <f>IF($C114="B",INDEX(Batters[[#All],[POW P]],MATCH(Table5[[#This Row],[PID]],Batters[[#All],[PID]],0)),INDEX(Table3[[#All],[CON P]],MATCH(Table5[[#This Row],[PID]],Table3[[#All],[PID]],0)))</f>
        <v>4</v>
      </c>
      <c r="O114" s="58">
        <f>IF($C114="B",INDEX(Batters[[#All],[EYE P]],MATCH(Table5[[#This Row],[PID]],Batters[[#All],[PID]],0)),INDEX(Table3[[#All],[VELO]],MATCH(Table5[[#This Row],[PID]],Table3[[#All],[PID]],0)))</f>
        <v>6</v>
      </c>
      <c r="P114" s="58">
        <f>IF($C114="B",INDEX(Batters[[#All],[K P]],MATCH(Table5[[#This Row],[PID]],Batters[[#All],[PID]],0)),INDEX(Table3[[#All],[STM]],MATCH(Table5[[#This Row],[PID]],Table3[[#All],[PID]],0)))</f>
        <v>6</v>
      </c>
      <c r="Q114" s="63">
        <f>IF($C114="B",INDEX(Batters[[#All],[Tot]],MATCH(Table5[[#This Row],[PID]],Batters[[#All],[PID]],0)),INDEX(Table3[[#All],[Tot]],MATCH(Table5[[#This Row],[PID]],Table3[[#All],[PID]],0)))</f>
        <v>49.278664032797849</v>
      </c>
      <c r="R114" s="54">
        <f>IF($C114="B",INDEX(Batters[[#All],[zScore]],MATCH(Table5[[#This Row],[PID]],Batters[[#All],[PID]],0)),INDEX(Table3[[#All],[zScore]],MATCH(Table5[[#This Row],[PID]],Table3[[#All],[PID]],0)))</f>
        <v>1.5712474596431816</v>
      </c>
      <c r="S114" s="60" t="str">
        <f>IF($C114="B",INDEX(Batters[[#All],[DEM]],MATCH(Table5[[#This Row],[PID]],Batters[[#All],[PID]],0)),INDEX(Table3[[#All],[DEM]],MATCH(Table5[[#This Row],[PID]],Table3[[#All],[PID]],0)))</f>
        <v>$280k</v>
      </c>
      <c r="T114" s="64">
        <f>IF($C114="B",VLOOKUP($A114,Bat!$A$4:$AU$1417,46,FALSE),VLOOKUP($A114,Pit!$A$4:$BD$570,55,FALSE))</f>
        <v>0</v>
      </c>
      <c r="U114" s="52">
        <f>IF($C114="B",VLOOKUP($A114,Bat!$A$4:$BA$1417,47,FALSE),VLOOKUP($A114,Pit!$A$4:$BF$570,56,FALSE))</f>
        <v>0</v>
      </c>
      <c r="V114" s="52">
        <f>IF($C114="B",VLOOKUP($A114,Bat!$A$4:$BA$1417,48,FALSE),VLOOKUP($A114,Pit!$A$4:$BF$570,57,FALSE))</f>
        <v>0</v>
      </c>
      <c r="W114" s="52">
        <f>Table5[[#This Row],[posRnk]]+Table5[[#This Row],[zRnk]]+IF($W$3&lt;&gt;Table5[[#This Row],[Type]],50,0)</f>
        <v>160</v>
      </c>
      <c r="X114" s="53">
        <f>RANK(Table5[[#This Row],[zScore]],Table5[[#All],[zScore]])</f>
        <v>110</v>
      </c>
      <c r="Y114" s="52" t="str">
        <f>IFERROR(INDEX(DraftResults[[#All],[OVR]],MATCH(Table5[[#This Row],[PID]],DraftResults[[#All],[Player ID]],0)),"")</f>
        <v/>
      </c>
      <c r="Z1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" s="52" t="str">
        <f>IFERROR(INDEX(DraftResults[[#All],[Pick in Round]],MATCH(Table5[[#This Row],[PID]],DraftResults[[#All],[Player ID]],0)),"")</f>
        <v/>
      </c>
      <c r="AB114" s="52" t="str">
        <f>IFERROR(INDEX(DraftResults[[#All],[Team Name]],MATCH(Table5[[#This Row],[PID]],DraftResults[[#All],[Player ID]],0)),"")</f>
        <v/>
      </c>
      <c r="AC114" s="52" t="str">
        <f>IF(Table5[[#This Row],[Ovr]]="","",IF(Table5[[#This Row],[cmbList]]="","",Table5[[#This Row],[cmbList]]-Table5[[#This Row],[Ovr]]))</f>
        <v/>
      </c>
      <c r="AD114" s="56" t="str">
        <f>IF(ISERROR(VLOOKUP($AB114&amp;"-"&amp;$E114&amp;" "&amp;F114,Bonuses!$B$1:$G$1006,4,FALSE)),"",INT(VLOOKUP($AB114&amp;"-"&amp;$E114&amp;" "&amp;$F114,Bonuses!$B$1:$G$1006,4,FALSE)))</f>
        <v/>
      </c>
      <c r="AE1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" spans="1:31" s="52" customFormat="1" x14ac:dyDescent="0.25">
      <c r="A115" s="52">
        <v>7782</v>
      </c>
      <c r="B115" s="52">
        <f>COUNTIF(Table5[PID],A115)</f>
        <v>1</v>
      </c>
      <c r="C115" s="52" t="str">
        <f>IF(COUNTIF(Table3[[#All],[PID]],A115)&gt;0,"P","B")</f>
        <v>P</v>
      </c>
      <c r="D115" s="61" t="str">
        <f>IF($C115="B",INDEX(Batters[[#All],[POS]],MATCH(Table5[[#This Row],[PID]],Batters[[#All],[PID]],0)),INDEX(Table3[[#All],[POS]],MATCH(Table5[[#This Row],[PID]],Table3[[#All],[PID]],0)))</f>
        <v>SP</v>
      </c>
      <c r="E115" s="54" t="str">
        <f>IF($C115="B",INDEX(Batters[[#All],[First]],MATCH(Table5[[#This Row],[PID]],Batters[[#All],[PID]],0)),INDEX(Table3[[#All],[First]],MATCH(Table5[[#This Row],[PID]],Table3[[#All],[PID]],0)))</f>
        <v>Brant</v>
      </c>
      <c r="F115" s="52" t="str">
        <f>IF($C115="B",INDEX(Batters[[#All],[Last]],MATCH(A115,Batters[[#All],[PID]],0)),INDEX(Table3[[#All],[Last]],MATCH(A115,Table3[[#All],[PID]],0)))</f>
        <v>Metcalf</v>
      </c>
      <c r="G115" s="58">
        <f>IF($C115="B",INDEX(Batters[[#All],[Age]],MATCH(Table5[[#This Row],[PID]],Batters[[#All],[PID]],0)),INDEX(Table3[[#All],[Age]],MATCH(Table5[[#This Row],[PID]],Table3[[#All],[PID]],0)))</f>
        <v>18</v>
      </c>
      <c r="H115" s="54" t="str">
        <f>IF($C115="B",INDEX(Batters[[#All],[B]],MATCH(Table5[[#This Row],[PID]],Batters[[#All],[PID]],0)),INDEX(Table3[[#All],[B]],MATCH(Table5[[#This Row],[PID]],Table3[[#All],[PID]],0)))</f>
        <v>L</v>
      </c>
      <c r="I115" s="54" t="str">
        <f>IF($C115="B",INDEX(Batters[[#All],[T]],MATCH(Table5[[#This Row],[PID]],Batters[[#All],[PID]],0)),INDEX(Table3[[#All],[T]],MATCH(Table5[[#This Row],[PID]],Table3[[#All],[PID]],0)))</f>
        <v>L</v>
      </c>
      <c r="J115" s="54" t="str">
        <f>IF($C115="B",INDEX(Batters[[#All],[WE]],MATCH(Table5[[#This Row],[PID]],Batters[[#All],[PID]],0)),INDEX(Table3[[#All],[WE]],MATCH(Table5[[#This Row],[PID]],Table3[[#All],[PID]],0)))</f>
        <v>Normal</v>
      </c>
      <c r="K115" s="54" t="str">
        <f>IF($C115="B",INDEX(Batters[[#All],[INT]],MATCH(Table5[[#This Row],[PID]],Batters[[#All],[PID]],0)),INDEX(Table3[[#All],[INT]],MATCH(Table5[[#This Row],[PID]],Table3[[#All],[PID]],0)))</f>
        <v>Low</v>
      </c>
      <c r="L115" s="62">
        <f>IF($C115="B",INDEX(Batters[[#All],[CON P]],MATCH(Table5[[#This Row],[PID]],Batters[[#All],[PID]],0)),INDEX(Table3[[#All],[STU P]],MATCH(Table5[[#This Row],[PID]],Table3[[#All],[PID]],0)))</f>
        <v>4</v>
      </c>
      <c r="M115" s="58">
        <f>IF($C115="B",INDEX(Batters[[#All],[GAP P]],MATCH(Table5[[#This Row],[PID]],Batters[[#All],[PID]],0)),INDEX(Table3[[#All],[MOV P]],MATCH(Table5[[#This Row],[PID]],Table3[[#All],[PID]],0)))</f>
        <v>4</v>
      </c>
      <c r="N115" s="58">
        <f>IF($C115="B",INDEX(Batters[[#All],[POW P]],MATCH(Table5[[#This Row],[PID]],Batters[[#All],[PID]],0)),INDEX(Table3[[#All],[CON P]],MATCH(Table5[[#This Row],[PID]],Table3[[#All],[PID]],0)))</f>
        <v>4</v>
      </c>
      <c r="O115" s="58" t="str">
        <f>IF($C115="B",INDEX(Batters[[#All],[EYE P]],MATCH(Table5[[#This Row],[PID]],Batters[[#All],[PID]],0)),INDEX(Table3[[#All],[VELO]],MATCH(Table5[[#This Row],[PID]],Table3[[#All],[PID]],0)))</f>
        <v>91-93 Mph</v>
      </c>
      <c r="P115" s="58">
        <f>IF($C115="B",INDEX(Batters[[#All],[K P]],MATCH(Table5[[#This Row],[PID]],Batters[[#All],[PID]],0)),INDEX(Table3[[#All],[STM]],MATCH(Table5[[#This Row],[PID]],Table3[[#All],[PID]],0)))</f>
        <v>6</v>
      </c>
      <c r="Q115" s="63">
        <f>IF($C115="B",INDEX(Batters[[#All],[Tot]],MATCH(Table5[[#This Row],[PID]],Batters[[#All],[PID]],0)),INDEX(Table3[[#All],[Tot]],MATCH(Table5[[#This Row],[PID]],Table3[[#All],[PID]],0)))</f>
        <v>49.711690574694558</v>
      </c>
      <c r="R115" s="54">
        <f>IF($C115="B",INDEX(Batters[[#All],[zScore]],MATCH(Table5[[#This Row],[PID]],Batters[[#All],[PID]],0)),INDEX(Table3[[#All],[zScore]],MATCH(Table5[[#This Row],[PID]],Table3[[#All],[PID]],0)))</f>
        <v>1.558004236773578</v>
      </c>
      <c r="S115" s="60" t="str">
        <f>IF($C115="B",INDEX(Batters[[#All],[DEM]],MATCH(Table5[[#This Row],[PID]],Batters[[#All],[PID]],0)),INDEX(Table3[[#All],[DEM]],MATCH(Table5[[#This Row],[PID]],Table3[[#All],[PID]],0)))</f>
        <v>$850k</v>
      </c>
      <c r="T115" s="64">
        <f>IF($C115="B",VLOOKUP($A115,Bat!$A$4:$AU$1417,46,FALSE),VLOOKUP($A115,Pit!$A$4:$BD$570,55,FALSE))</f>
        <v>0</v>
      </c>
      <c r="U115" s="52">
        <f>IF($C115="B",VLOOKUP($A115,Bat!$A$4:$BA$1417,47,FALSE),VLOOKUP($A115,Pit!$A$4:$BF$570,56,FALSE))</f>
        <v>0</v>
      </c>
      <c r="V115" s="52">
        <f>IF($C115="B",VLOOKUP($A115,Bat!$A$4:$BA$1417,48,FALSE),VLOOKUP($A115,Pit!$A$4:$BF$570,57,FALSE))</f>
        <v>0</v>
      </c>
      <c r="W115" s="52">
        <f>Table5[[#This Row],[posRnk]]+Table5[[#This Row],[zRnk]]+IF($W$3&lt;&gt;Table5[[#This Row],[Type]],50,0)</f>
        <v>161</v>
      </c>
      <c r="X115" s="53">
        <f>RANK(Table5[[#This Row],[zScore]],Table5[[#All],[zScore]])</f>
        <v>111</v>
      </c>
      <c r="Y115" s="52" t="str">
        <f>IFERROR(INDEX(DraftResults[[#All],[OVR]],MATCH(Table5[[#This Row],[PID]],DraftResults[[#All],[Player ID]],0)),"")</f>
        <v/>
      </c>
      <c r="Z1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" s="52" t="str">
        <f>IFERROR(INDEX(DraftResults[[#All],[Pick in Round]],MATCH(Table5[[#This Row],[PID]],DraftResults[[#All],[Player ID]],0)),"")</f>
        <v/>
      </c>
      <c r="AB115" s="52" t="str">
        <f>IFERROR(INDEX(DraftResults[[#All],[Team Name]],MATCH(Table5[[#This Row],[PID]],DraftResults[[#All],[Player ID]],0)),"")</f>
        <v/>
      </c>
      <c r="AC115" s="52" t="str">
        <f>IF(Table5[[#This Row],[Ovr]]="","",IF(Table5[[#This Row],[cmbList]]="","",Table5[[#This Row],[cmbList]]-Table5[[#This Row],[Ovr]]))</f>
        <v/>
      </c>
      <c r="AD115" s="56" t="str">
        <f>IF(ISERROR(VLOOKUP($AB115&amp;"-"&amp;$E115&amp;" "&amp;F115,Bonuses!$B$1:$G$1006,4,FALSE)),"",INT(VLOOKUP($AB115&amp;"-"&amp;$E115&amp;" "&amp;$F115,Bonuses!$B$1:$G$1006,4,FALSE)))</f>
        <v/>
      </c>
      <c r="AE1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" spans="1:31" s="52" customFormat="1" x14ac:dyDescent="0.25">
      <c r="A116" s="52">
        <v>12959</v>
      </c>
      <c r="B116" s="52">
        <f>COUNTIF(Table5[PID],A116)</f>
        <v>1</v>
      </c>
      <c r="C116" s="52" t="str">
        <f>IF(COUNTIF(Table3[[#All],[PID]],A116)&gt;0,"P","B")</f>
        <v>P</v>
      </c>
      <c r="D116" s="61" t="str">
        <f>IF($C116="B",INDEX(Batters[[#All],[POS]],MATCH(Table5[[#This Row],[PID]],Batters[[#All],[PID]],0)),INDEX(Table3[[#All],[POS]],MATCH(Table5[[#This Row],[PID]],Table3[[#All],[PID]],0)))</f>
        <v>CL</v>
      </c>
      <c r="E116" s="54" t="str">
        <f>IF($C116="B",INDEX(Batters[[#All],[First]],MATCH(Table5[[#This Row],[PID]],Batters[[#All],[PID]],0)),INDEX(Table3[[#All],[First]],MATCH(Table5[[#This Row],[PID]],Table3[[#All],[PID]],0)))</f>
        <v>Ichiro</v>
      </c>
      <c r="F116" s="52" t="str">
        <f>IF($C116="B",INDEX(Batters[[#All],[Last]],MATCH(A116,Batters[[#All],[PID]],0)),INDEX(Table3[[#All],[Last]],MATCH(A116,Table3[[#All],[PID]],0)))</f>
        <v>Takeuchi</v>
      </c>
      <c r="G116" s="58">
        <f>IF($C116="B",INDEX(Batters[[#All],[Age]],MATCH(Table5[[#This Row],[PID]],Batters[[#All],[PID]],0)),INDEX(Table3[[#All],[Age]],MATCH(Table5[[#This Row],[PID]],Table3[[#All],[PID]],0)))</f>
        <v>21</v>
      </c>
      <c r="H116" s="54" t="str">
        <f>IF($C116="B",INDEX(Batters[[#All],[B]],MATCH(Table5[[#This Row],[PID]],Batters[[#All],[PID]],0)),INDEX(Table3[[#All],[B]],MATCH(Table5[[#This Row],[PID]],Table3[[#All],[PID]],0)))</f>
        <v>R</v>
      </c>
      <c r="I116" s="54" t="str">
        <f>IF($C116="B",INDEX(Batters[[#All],[T]],MATCH(Table5[[#This Row],[PID]],Batters[[#All],[PID]],0)),INDEX(Table3[[#All],[T]],MATCH(Table5[[#This Row],[PID]],Table3[[#All],[PID]],0)))</f>
        <v>R</v>
      </c>
      <c r="J116" s="54" t="str">
        <f>IF($C116="B",INDEX(Batters[[#All],[WE]],MATCH(Table5[[#This Row],[PID]],Batters[[#All],[PID]],0)),INDEX(Table3[[#All],[WE]],MATCH(Table5[[#This Row],[PID]],Table3[[#All],[PID]],0)))</f>
        <v>Normal</v>
      </c>
      <c r="K116" s="54" t="str">
        <f>IF($C116="B",INDEX(Batters[[#All],[INT]],MATCH(Table5[[#This Row],[PID]],Batters[[#All],[PID]],0)),INDEX(Table3[[#All],[INT]],MATCH(Table5[[#This Row],[PID]],Table3[[#All],[PID]],0)))</f>
        <v>Normal</v>
      </c>
      <c r="L116" s="62">
        <f>IF($C116="B",INDEX(Batters[[#All],[CON P]],MATCH(Table5[[#This Row],[PID]],Batters[[#All],[PID]],0)),INDEX(Table3[[#All],[STU P]],MATCH(Table5[[#This Row],[PID]],Table3[[#All],[PID]],0)))</f>
        <v>6</v>
      </c>
      <c r="M116" s="58">
        <f>IF($C116="B",INDEX(Batters[[#All],[GAP P]],MATCH(Table5[[#This Row],[PID]],Batters[[#All],[PID]],0)),INDEX(Table3[[#All],[MOV P]],MATCH(Table5[[#This Row],[PID]],Table3[[#All],[PID]],0)))</f>
        <v>3</v>
      </c>
      <c r="N116" s="58">
        <f>IF($C116="B",INDEX(Batters[[#All],[POW P]],MATCH(Table5[[#This Row],[PID]],Batters[[#All],[PID]],0)),INDEX(Table3[[#All],[CON P]],MATCH(Table5[[#This Row],[PID]],Table3[[#All],[PID]],0)))</f>
        <v>4</v>
      </c>
      <c r="O116" s="58" t="str">
        <f>IF($C116="B",INDEX(Batters[[#All],[EYE P]],MATCH(Table5[[#This Row],[PID]],Batters[[#All],[PID]],0)),INDEX(Table3[[#All],[VELO]],MATCH(Table5[[#This Row],[PID]],Table3[[#All],[PID]],0)))</f>
        <v>95-97 Mph</v>
      </c>
      <c r="P116" s="58">
        <f>IF($C116="B",INDEX(Batters[[#All],[K P]],MATCH(Table5[[#This Row],[PID]],Batters[[#All],[PID]],0)),INDEX(Table3[[#All],[STM]],MATCH(Table5[[#This Row],[PID]],Table3[[#All],[PID]],0)))</f>
        <v>7</v>
      </c>
      <c r="Q116" s="63">
        <f>IF($C116="B",INDEX(Batters[[#All],[Tot]],MATCH(Table5[[#This Row],[PID]],Batters[[#All],[PID]],0)),INDEX(Table3[[#All],[Tot]],MATCH(Table5[[#This Row],[PID]],Table3[[#All],[PID]],0)))</f>
        <v>49.700022098011345</v>
      </c>
      <c r="R116" s="54">
        <f>IF($C116="B",INDEX(Batters[[#All],[zScore]],MATCH(Table5[[#This Row],[PID]],Batters[[#All],[PID]],0)),INDEX(Table3[[#All],[zScore]],MATCH(Table5[[#This Row],[PID]],Table3[[#All],[PID]],0)))</f>
        <v>1.5569341875896099</v>
      </c>
      <c r="S116" s="60" t="str">
        <f>IF($C116="B",INDEX(Batters[[#All],[DEM]],MATCH(Table5[[#This Row],[PID]],Batters[[#All],[PID]],0)),INDEX(Table3[[#All],[DEM]],MATCH(Table5[[#This Row],[PID]],Table3[[#All],[PID]],0)))</f>
        <v>$20k</v>
      </c>
      <c r="T116" s="64">
        <f>IF($C116="B",VLOOKUP($A116,Bat!$A$4:$AU$1417,46,FALSE),VLOOKUP($A116,Pit!$A$4:$BD$570,55,FALSE))</f>
        <v>0</v>
      </c>
      <c r="U116" s="52">
        <f>IF($C116="B",VLOOKUP($A116,Bat!$A$4:$BA$1417,47,FALSE),VLOOKUP($A116,Pit!$A$4:$BF$570,56,FALSE))</f>
        <v>0</v>
      </c>
      <c r="V116" s="52">
        <f>IF($C116="B",VLOOKUP($A116,Bat!$A$4:$BA$1417,48,FALSE),VLOOKUP($A116,Pit!$A$4:$BF$570,57,FALSE))</f>
        <v>0</v>
      </c>
      <c r="W116" s="52">
        <f>Table5[[#This Row],[posRnk]]+Table5[[#This Row],[zRnk]]+IF($W$3&lt;&gt;Table5[[#This Row],[Type]],50,0)</f>
        <v>162</v>
      </c>
      <c r="X116" s="53">
        <f>RANK(Table5[[#This Row],[zScore]],Table5[[#All],[zScore]])</f>
        <v>112</v>
      </c>
      <c r="Y116" s="52" t="str">
        <f>IFERROR(INDEX(DraftResults[[#All],[OVR]],MATCH(Table5[[#This Row],[PID]],DraftResults[[#All],[Player ID]],0)),"")</f>
        <v/>
      </c>
      <c r="Z1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" s="52" t="str">
        <f>IFERROR(INDEX(DraftResults[[#All],[Pick in Round]],MATCH(Table5[[#This Row],[PID]],DraftResults[[#All],[Player ID]],0)),"")</f>
        <v/>
      </c>
      <c r="AB116" s="52" t="str">
        <f>IFERROR(INDEX(DraftResults[[#All],[Team Name]],MATCH(Table5[[#This Row],[PID]],DraftResults[[#All],[Player ID]],0)),"")</f>
        <v/>
      </c>
      <c r="AC116" s="52" t="str">
        <f>IF(Table5[[#This Row],[Ovr]]="","",IF(Table5[[#This Row],[cmbList]]="","",Table5[[#This Row],[cmbList]]-Table5[[#This Row],[Ovr]]))</f>
        <v/>
      </c>
      <c r="AD116" s="56" t="str">
        <f>IF(ISERROR(VLOOKUP($AB116&amp;"-"&amp;$E116&amp;" "&amp;F116,Bonuses!$B$1:$G$1006,4,FALSE)),"",INT(VLOOKUP($AB116&amp;"-"&amp;$E116&amp;" "&amp;$F116,Bonuses!$B$1:$G$1006,4,FALSE)))</f>
        <v/>
      </c>
      <c r="AE1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" spans="1:31" s="52" customFormat="1" x14ac:dyDescent="0.25">
      <c r="A117" s="52">
        <v>15565</v>
      </c>
      <c r="B117" s="52">
        <f>COUNTIF(Table5[PID],A117)</f>
        <v>1</v>
      </c>
      <c r="C117" s="52" t="str">
        <f>IF(COUNTIF(Table3[[#All],[PID]],A117)&gt;0,"P","B")</f>
        <v>P</v>
      </c>
      <c r="D117" s="61" t="str">
        <f>IF($C117="B",INDEX(Batters[[#All],[POS]],MATCH(Table5[[#This Row],[PID]],Batters[[#All],[PID]],0)),INDEX(Table3[[#All],[POS]],MATCH(Table5[[#This Row],[PID]],Table3[[#All],[PID]],0)))</f>
        <v>SP</v>
      </c>
      <c r="E117" s="54" t="str">
        <f>IF($C117="B",INDEX(Batters[[#All],[First]],MATCH(Table5[[#This Row],[PID]],Batters[[#All],[PID]],0)),INDEX(Table3[[#All],[First]],MATCH(Table5[[#This Row],[PID]],Table3[[#All],[PID]],0)))</f>
        <v>Masato</v>
      </c>
      <c r="F117" s="52" t="str">
        <f>IF($C117="B",INDEX(Batters[[#All],[Last]],MATCH(A117,Batters[[#All],[PID]],0)),INDEX(Table3[[#All],[Last]],MATCH(A117,Table3[[#All],[PID]],0)))</f>
        <v>Hayashi</v>
      </c>
      <c r="G117" s="58">
        <f>IF($C117="B",INDEX(Batters[[#All],[Age]],MATCH(Table5[[#This Row],[PID]],Batters[[#All],[PID]],0)),INDEX(Table3[[#All],[Age]],MATCH(Table5[[#This Row],[PID]],Table3[[#All],[PID]],0)))</f>
        <v>18</v>
      </c>
      <c r="H117" s="54" t="str">
        <f>IF($C117="B",INDEX(Batters[[#All],[B]],MATCH(Table5[[#This Row],[PID]],Batters[[#All],[PID]],0)),INDEX(Table3[[#All],[B]],MATCH(Table5[[#This Row],[PID]],Table3[[#All],[PID]],0)))</f>
        <v>L</v>
      </c>
      <c r="I117" s="54" t="str">
        <f>IF($C117="B",INDEX(Batters[[#All],[T]],MATCH(Table5[[#This Row],[PID]],Batters[[#All],[PID]],0)),INDEX(Table3[[#All],[T]],MATCH(Table5[[#This Row],[PID]],Table3[[#All],[PID]],0)))</f>
        <v>L</v>
      </c>
      <c r="J117" s="54" t="str">
        <f>IF($C117="B",INDEX(Batters[[#All],[WE]],MATCH(Table5[[#This Row],[PID]],Batters[[#All],[PID]],0)),INDEX(Table3[[#All],[WE]],MATCH(Table5[[#This Row],[PID]],Table3[[#All],[PID]],0)))</f>
        <v>Normal</v>
      </c>
      <c r="K117" s="54" t="str">
        <f>IF($C117="B",INDEX(Batters[[#All],[INT]],MATCH(Table5[[#This Row],[PID]],Batters[[#All],[PID]],0)),INDEX(Table3[[#All],[INT]],MATCH(Table5[[#This Row],[PID]],Table3[[#All],[PID]],0)))</f>
        <v>High</v>
      </c>
      <c r="L117" s="62">
        <f>IF($C117="B",INDEX(Batters[[#All],[CON P]],MATCH(Table5[[#This Row],[PID]],Batters[[#All],[PID]],0)),INDEX(Table3[[#All],[STU P]],MATCH(Table5[[#This Row],[PID]],Table3[[#All],[PID]],0)))</f>
        <v>3</v>
      </c>
      <c r="M117" s="58">
        <f>IF($C117="B",INDEX(Batters[[#All],[GAP P]],MATCH(Table5[[#This Row],[PID]],Batters[[#All],[PID]],0)),INDEX(Table3[[#All],[MOV P]],MATCH(Table5[[#This Row],[PID]],Table3[[#All],[PID]],0)))</f>
        <v>3</v>
      </c>
      <c r="N117" s="58">
        <f>IF($C117="B",INDEX(Batters[[#All],[POW P]],MATCH(Table5[[#This Row],[PID]],Batters[[#All],[PID]],0)),INDEX(Table3[[#All],[CON P]],MATCH(Table5[[#This Row],[PID]],Table3[[#All],[PID]],0)))</f>
        <v>6</v>
      </c>
      <c r="O117" s="58" t="str">
        <f>IF($C117="B",INDEX(Batters[[#All],[EYE P]],MATCH(Table5[[#This Row],[PID]],Batters[[#All],[PID]],0)),INDEX(Table3[[#All],[VELO]],MATCH(Table5[[#This Row],[PID]],Table3[[#All],[PID]],0)))</f>
        <v>87-89 Mph</v>
      </c>
      <c r="P117" s="58">
        <f>IF($C117="B",INDEX(Batters[[#All],[K P]],MATCH(Table5[[#This Row],[PID]],Batters[[#All],[PID]],0)),INDEX(Table3[[#All],[STM]],MATCH(Table5[[#This Row],[PID]],Table3[[#All],[PID]],0)))</f>
        <v>9</v>
      </c>
      <c r="Q117" s="63">
        <f>IF($C117="B",INDEX(Batters[[#All],[Tot]],MATCH(Table5[[#This Row],[PID]],Batters[[#All],[PID]],0)),INDEX(Table3[[#All],[Tot]],MATCH(Table5[[#This Row],[PID]],Table3[[#All],[PID]],0)))</f>
        <v>48.064442107272981</v>
      </c>
      <c r="R117" s="54">
        <f>IF($C117="B",INDEX(Batters[[#All],[zScore]],MATCH(Table5[[#This Row],[PID]],Batters[[#All],[PID]],0)),INDEX(Table3[[#All],[zScore]],MATCH(Table5[[#This Row],[PID]],Table3[[#All],[PID]],0)))</f>
        <v>1.5485744239683712</v>
      </c>
      <c r="S117" s="60" t="str">
        <f>IF($C117="B",INDEX(Batters[[#All],[DEM]],MATCH(Table5[[#This Row],[PID]],Batters[[#All],[PID]],0)),INDEX(Table3[[#All],[DEM]],MATCH(Table5[[#This Row],[PID]],Table3[[#All],[PID]],0)))</f>
        <v>$65k</v>
      </c>
      <c r="T117" s="64">
        <f>IF($C117="B",VLOOKUP($A117,Bat!$A$4:$AU$1417,46,FALSE),VLOOKUP($A117,Pit!$A$4:$BD$570,55,FALSE))</f>
        <v>0</v>
      </c>
      <c r="U117" s="52">
        <f>IF($C117="B",VLOOKUP($A117,Bat!$A$4:$BA$1417,47,FALSE),VLOOKUP($A117,Pit!$A$4:$BF$570,56,FALSE))</f>
        <v>0</v>
      </c>
      <c r="V117" s="52">
        <f>IF($C117="B",VLOOKUP($A117,Bat!$A$4:$BA$1417,48,FALSE),VLOOKUP($A117,Pit!$A$4:$BF$570,57,FALSE))</f>
        <v>0</v>
      </c>
      <c r="W117" s="52">
        <f>Table5[[#This Row],[posRnk]]+Table5[[#This Row],[zRnk]]+IF($W$3&lt;&gt;Table5[[#This Row],[Type]],50,0)</f>
        <v>163</v>
      </c>
      <c r="X117" s="53">
        <f>RANK(Table5[[#This Row],[zScore]],Table5[[#All],[zScore]])</f>
        <v>113</v>
      </c>
      <c r="Y117" s="52" t="str">
        <f>IFERROR(INDEX(DraftResults[[#All],[OVR]],MATCH(Table5[[#This Row],[PID]],DraftResults[[#All],[Player ID]],0)),"")</f>
        <v/>
      </c>
      <c r="Z1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" s="52" t="str">
        <f>IFERROR(INDEX(DraftResults[[#All],[Pick in Round]],MATCH(Table5[[#This Row],[PID]],DraftResults[[#All],[Player ID]],0)),"")</f>
        <v/>
      </c>
      <c r="AB117" s="52" t="str">
        <f>IFERROR(INDEX(DraftResults[[#All],[Team Name]],MATCH(Table5[[#This Row],[PID]],DraftResults[[#All],[Player ID]],0)),"")</f>
        <v/>
      </c>
      <c r="AC117" s="52" t="str">
        <f>IF(Table5[[#This Row],[Ovr]]="","",IF(Table5[[#This Row],[cmbList]]="","",Table5[[#This Row],[cmbList]]-Table5[[#This Row],[Ovr]]))</f>
        <v/>
      </c>
      <c r="AD117" s="56" t="str">
        <f>IF(ISERROR(VLOOKUP($AB117&amp;"-"&amp;$E117&amp;" "&amp;F117,Bonuses!$B$1:$G$1006,4,FALSE)),"",INT(VLOOKUP($AB117&amp;"-"&amp;$E117&amp;" "&amp;$F117,Bonuses!$B$1:$G$1006,4,FALSE)))</f>
        <v/>
      </c>
      <c r="AE1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" spans="1:31" s="52" customFormat="1" x14ac:dyDescent="0.25">
      <c r="A118" s="52">
        <v>6315</v>
      </c>
      <c r="B118" s="52">
        <f>COUNTIF(Table5[PID],A118)</f>
        <v>1</v>
      </c>
      <c r="C118" s="52" t="str">
        <f>IF(COUNTIF(Table3[[#All],[PID]],A118)&gt;0,"P","B")</f>
        <v>P</v>
      </c>
      <c r="D118" s="61" t="str">
        <f>IF($C118="B",INDEX(Batters[[#All],[POS]],MATCH(Table5[[#This Row],[PID]],Batters[[#All],[PID]],0)),INDEX(Table3[[#All],[POS]],MATCH(Table5[[#This Row],[PID]],Table3[[#All],[PID]],0)))</f>
        <v>RP</v>
      </c>
      <c r="E118" s="54" t="str">
        <f>IF($C118="B",INDEX(Batters[[#All],[First]],MATCH(Table5[[#This Row],[PID]],Batters[[#All],[PID]],0)),INDEX(Table3[[#All],[First]],MATCH(Table5[[#This Row],[PID]],Table3[[#All],[PID]],0)))</f>
        <v>Yasuhiro</v>
      </c>
      <c r="F118" s="52" t="str">
        <f>IF($C118="B",INDEX(Batters[[#All],[Last]],MATCH(A118,Batters[[#All],[PID]],0)),INDEX(Table3[[#All],[Last]],MATCH(A118,Table3[[#All],[PID]],0)))</f>
        <v>Kobayashi</v>
      </c>
      <c r="G118" s="58">
        <f>IF($C118="B",INDEX(Batters[[#All],[Age]],MATCH(Table5[[#This Row],[PID]],Batters[[#All],[PID]],0)),INDEX(Table3[[#All],[Age]],MATCH(Table5[[#This Row],[PID]],Table3[[#All],[PID]],0)))</f>
        <v>18</v>
      </c>
      <c r="H118" s="54" t="str">
        <f>IF($C118="B",INDEX(Batters[[#All],[B]],MATCH(Table5[[#This Row],[PID]],Batters[[#All],[PID]],0)),INDEX(Table3[[#All],[B]],MATCH(Table5[[#This Row],[PID]],Table3[[#All],[PID]],0)))</f>
        <v>R</v>
      </c>
      <c r="I118" s="54" t="str">
        <f>IF($C118="B",INDEX(Batters[[#All],[T]],MATCH(Table5[[#This Row],[PID]],Batters[[#All],[PID]],0)),INDEX(Table3[[#All],[T]],MATCH(Table5[[#This Row],[PID]],Table3[[#All],[PID]],0)))</f>
        <v>R</v>
      </c>
      <c r="J118" s="54" t="str">
        <f>IF($C118="B",INDEX(Batters[[#All],[WE]],MATCH(Table5[[#This Row],[PID]],Batters[[#All],[PID]],0)),INDEX(Table3[[#All],[WE]],MATCH(Table5[[#This Row],[PID]],Table3[[#All],[PID]],0)))</f>
        <v>Normal</v>
      </c>
      <c r="K118" s="54" t="str">
        <f>IF($C118="B",INDEX(Batters[[#All],[INT]],MATCH(Table5[[#This Row],[PID]],Batters[[#All],[PID]],0)),INDEX(Table3[[#All],[INT]],MATCH(Table5[[#This Row],[PID]],Table3[[#All],[PID]],0)))</f>
        <v>Normal</v>
      </c>
      <c r="L118" s="62">
        <f>IF($C118="B",INDEX(Batters[[#All],[CON P]],MATCH(Table5[[#This Row],[PID]],Batters[[#All],[PID]],0)),INDEX(Table3[[#All],[STU P]],MATCH(Table5[[#This Row],[PID]],Table3[[#All],[PID]],0)))</f>
        <v>4</v>
      </c>
      <c r="M118" s="58">
        <f>IF($C118="B",INDEX(Batters[[#All],[GAP P]],MATCH(Table5[[#This Row],[PID]],Batters[[#All],[PID]],0)),INDEX(Table3[[#All],[MOV P]],MATCH(Table5[[#This Row],[PID]],Table3[[#All],[PID]],0)))</f>
        <v>5</v>
      </c>
      <c r="N118" s="58">
        <f>IF($C118="B",INDEX(Batters[[#All],[POW P]],MATCH(Table5[[#This Row],[PID]],Batters[[#All],[PID]],0)),INDEX(Table3[[#All],[CON P]],MATCH(Table5[[#This Row],[PID]],Table3[[#All],[PID]],0)))</f>
        <v>4</v>
      </c>
      <c r="O118" s="58" t="str">
        <f>IF($C118="B",INDEX(Batters[[#All],[EYE P]],MATCH(Table5[[#This Row],[PID]],Batters[[#All],[PID]],0)),INDEX(Table3[[#All],[VELO]],MATCH(Table5[[#This Row],[PID]],Table3[[#All],[PID]],0)))</f>
        <v>89-91 Mph</v>
      </c>
      <c r="P118" s="58">
        <f>IF($C118="B",INDEX(Batters[[#All],[K P]],MATCH(Table5[[#This Row],[PID]],Batters[[#All],[PID]],0)),INDEX(Table3[[#All],[STM]],MATCH(Table5[[#This Row],[PID]],Table3[[#All],[PID]],0)))</f>
        <v>3</v>
      </c>
      <c r="Q118" s="63">
        <f>IF($C118="B",INDEX(Batters[[#All],[Tot]],MATCH(Table5[[#This Row],[PID]],Batters[[#All],[PID]],0)),INDEX(Table3[[#All],[Tot]],MATCH(Table5[[#This Row],[PID]],Table3[[#All],[PID]],0)))</f>
        <v>49.593070233526284</v>
      </c>
      <c r="R118" s="54">
        <f>IF($C118="B",INDEX(Batters[[#All],[zScore]],MATCH(Table5[[#This Row],[PID]],Batters[[#All],[PID]],0)),INDEX(Table3[[#All],[zScore]],MATCH(Table5[[#This Row],[PID]],Table3[[#All],[PID]],0)))</f>
        <v>1.5471262444944536</v>
      </c>
      <c r="S118" s="60" t="str">
        <f>IF($C118="B",INDEX(Batters[[#All],[DEM]],MATCH(Table5[[#This Row],[PID]],Batters[[#All],[PID]],0)),INDEX(Table3[[#All],[DEM]],MATCH(Table5[[#This Row],[PID]],Table3[[#All],[PID]],0)))</f>
        <v>$38k</v>
      </c>
      <c r="T118" s="64">
        <f>IF($C118="B",VLOOKUP($A118,Bat!$A$4:$AU$1417,46,FALSE),VLOOKUP($A118,Pit!$A$4:$BD$570,55,FALSE))</f>
        <v>0</v>
      </c>
      <c r="U118" s="52">
        <f>IF($C118="B",VLOOKUP($A118,Bat!$A$4:$BA$1417,47,FALSE),VLOOKUP($A118,Pit!$A$4:$BF$570,56,FALSE))</f>
        <v>0</v>
      </c>
      <c r="V118" s="52">
        <f>IF($C118="B",VLOOKUP($A118,Bat!$A$4:$BA$1417,48,FALSE),VLOOKUP($A118,Pit!$A$4:$BF$570,57,FALSE))</f>
        <v>0</v>
      </c>
      <c r="W118" s="52">
        <f>Table5[[#This Row],[posRnk]]+Table5[[#This Row],[zRnk]]+IF($W$3&lt;&gt;Table5[[#This Row],[Type]],50,0)</f>
        <v>164</v>
      </c>
      <c r="X118" s="53">
        <f>RANK(Table5[[#This Row],[zScore]],Table5[[#All],[zScore]])</f>
        <v>114</v>
      </c>
      <c r="Y118" s="52" t="str">
        <f>IFERROR(INDEX(DraftResults[[#All],[OVR]],MATCH(Table5[[#This Row],[PID]],DraftResults[[#All],[Player ID]],0)),"")</f>
        <v/>
      </c>
      <c r="Z1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" s="52" t="str">
        <f>IFERROR(INDEX(DraftResults[[#All],[Pick in Round]],MATCH(Table5[[#This Row],[PID]],DraftResults[[#All],[Player ID]],0)),"")</f>
        <v/>
      </c>
      <c r="AB118" s="52" t="str">
        <f>IFERROR(INDEX(DraftResults[[#All],[Team Name]],MATCH(Table5[[#This Row],[PID]],DraftResults[[#All],[Player ID]],0)),"")</f>
        <v/>
      </c>
      <c r="AC118" s="52" t="str">
        <f>IF(Table5[[#This Row],[Ovr]]="","",IF(Table5[[#This Row],[cmbList]]="","",Table5[[#This Row],[cmbList]]-Table5[[#This Row],[Ovr]]))</f>
        <v/>
      </c>
      <c r="AD118" s="56" t="str">
        <f>IF(ISERROR(VLOOKUP($AB118&amp;"-"&amp;$E118&amp;" "&amp;F118,Bonuses!$B$1:$G$1006,4,FALSE)),"",INT(VLOOKUP($AB118&amp;"-"&amp;$E118&amp;" "&amp;$F118,Bonuses!$B$1:$G$1006,4,FALSE)))</f>
        <v/>
      </c>
      <c r="AE1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" spans="1:31" s="52" customFormat="1" x14ac:dyDescent="0.25">
      <c r="A119" s="52">
        <v>11680</v>
      </c>
      <c r="B119" s="52">
        <f>COUNTIF(Table5[PID],A119)</f>
        <v>1</v>
      </c>
      <c r="C119" s="52" t="str">
        <f>IF(COUNTIF(Table3[[#All],[PID]],A119)&gt;0,"P","B")</f>
        <v>P</v>
      </c>
      <c r="D119" s="61" t="str">
        <f>IF($C119="B",INDEX(Batters[[#All],[POS]],MATCH(Table5[[#This Row],[PID]],Batters[[#All],[PID]],0)),INDEX(Table3[[#All],[POS]],MATCH(Table5[[#This Row],[PID]],Table3[[#All],[PID]],0)))</f>
        <v>SP</v>
      </c>
      <c r="E119" s="54" t="str">
        <f>IF($C119="B",INDEX(Batters[[#All],[First]],MATCH(Table5[[#This Row],[PID]],Batters[[#All],[PID]],0)),INDEX(Table3[[#All],[First]],MATCH(Table5[[#This Row],[PID]],Table3[[#All],[PID]],0)))</f>
        <v>Salvador</v>
      </c>
      <c r="F119" s="52" t="str">
        <f>IF($C119="B",INDEX(Batters[[#All],[Last]],MATCH(A119,Batters[[#All],[PID]],0)),INDEX(Table3[[#All],[Last]],MATCH(A119,Table3[[#All],[PID]],0)))</f>
        <v>Robles</v>
      </c>
      <c r="G119" s="58">
        <f>IF($C119="B",INDEX(Batters[[#All],[Age]],MATCH(Table5[[#This Row],[PID]],Batters[[#All],[PID]],0)),INDEX(Table3[[#All],[Age]],MATCH(Table5[[#This Row],[PID]],Table3[[#All],[PID]],0)))</f>
        <v>21</v>
      </c>
      <c r="H119" s="54" t="str">
        <f>IF($C119="B",INDEX(Batters[[#All],[B]],MATCH(Table5[[#This Row],[PID]],Batters[[#All],[PID]],0)),INDEX(Table3[[#All],[B]],MATCH(Table5[[#This Row],[PID]],Table3[[#All],[PID]],0)))</f>
        <v>R</v>
      </c>
      <c r="I119" s="54" t="str">
        <f>IF($C119="B",INDEX(Batters[[#All],[T]],MATCH(Table5[[#This Row],[PID]],Batters[[#All],[PID]],0)),INDEX(Table3[[#All],[T]],MATCH(Table5[[#This Row],[PID]],Table3[[#All],[PID]],0)))</f>
        <v>R</v>
      </c>
      <c r="J119" s="54" t="str">
        <f>IF($C119="B",INDEX(Batters[[#All],[WE]],MATCH(Table5[[#This Row],[PID]],Batters[[#All],[PID]],0)),INDEX(Table3[[#All],[WE]],MATCH(Table5[[#This Row],[PID]],Table3[[#All],[PID]],0)))</f>
        <v>Normal</v>
      </c>
      <c r="K119" s="54" t="str">
        <f>IF($C119="B",INDEX(Batters[[#All],[INT]],MATCH(Table5[[#This Row],[PID]],Batters[[#All],[PID]],0)),INDEX(Table3[[#All],[INT]],MATCH(Table5[[#This Row],[PID]],Table3[[#All],[PID]],0)))</f>
        <v>Normal</v>
      </c>
      <c r="L119" s="62">
        <f>IF($C119="B",INDEX(Batters[[#All],[CON P]],MATCH(Table5[[#This Row],[PID]],Batters[[#All],[PID]],0)),INDEX(Table3[[#All],[STU P]],MATCH(Table5[[#This Row],[PID]],Table3[[#All],[PID]],0)))</f>
        <v>6</v>
      </c>
      <c r="M119" s="58">
        <f>IF($C119="B",INDEX(Batters[[#All],[GAP P]],MATCH(Table5[[#This Row],[PID]],Batters[[#All],[PID]],0)),INDEX(Table3[[#All],[MOV P]],MATCH(Table5[[#This Row],[PID]],Table3[[#All],[PID]],0)))</f>
        <v>3</v>
      </c>
      <c r="N119" s="58">
        <f>IF($C119="B",INDEX(Batters[[#All],[POW P]],MATCH(Table5[[#This Row],[PID]],Batters[[#All],[PID]],0)),INDEX(Table3[[#All],[CON P]],MATCH(Table5[[#This Row],[PID]],Table3[[#All],[PID]],0)))</f>
        <v>4</v>
      </c>
      <c r="O119" s="58" t="str">
        <f>IF($C119="B",INDEX(Batters[[#All],[EYE P]],MATCH(Table5[[#This Row],[PID]],Batters[[#All],[PID]],0)),INDEX(Table3[[#All],[VELO]],MATCH(Table5[[#This Row],[PID]],Table3[[#All],[PID]],0)))</f>
        <v>94-96 Mph</v>
      </c>
      <c r="P119" s="58">
        <f>IF($C119="B",INDEX(Batters[[#All],[K P]],MATCH(Table5[[#This Row],[PID]],Batters[[#All],[PID]],0)),INDEX(Table3[[#All],[STM]],MATCH(Table5[[#This Row],[PID]],Table3[[#All],[PID]],0)))</f>
        <v>8</v>
      </c>
      <c r="Q119" s="63">
        <f>IF($C119="B",INDEX(Batters[[#All],[Tot]],MATCH(Table5[[#This Row],[PID]],Batters[[#All],[PID]],0)),INDEX(Table3[[#All],[Tot]],MATCH(Table5[[#This Row],[PID]],Table3[[#All],[PID]],0)))</f>
        <v>49.093088130574834</v>
      </c>
      <c r="R119" s="54">
        <f>IF($C119="B",INDEX(Batters[[#All],[zScore]],MATCH(Table5[[#This Row],[PID]],Batters[[#All],[PID]],0)),INDEX(Table3[[#All],[zScore]],MATCH(Table5[[#This Row],[PID]],Table3[[#All],[PID]],0)))</f>
        <v>1.5012757486853847</v>
      </c>
      <c r="S119" s="60" t="str">
        <f>IF($C119="B",INDEX(Batters[[#All],[DEM]],MATCH(Table5[[#This Row],[PID]],Batters[[#All],[PID]],0)),INDEX(Table3[[#All],[DEM]],MATCH(Table5[[#This Row],[PID]],Table3[[#All],[PID]],0)))</f>
        <v>$490k</v>
      </c>
      <c r="T119" s="64">
        <f>IF($C119="B",VLOOKUP($A119,Bat!$A$4:$AU$1417,46,FALSE),VLOOKUP($A119,Pit!$A$4:$BD$570,55,FALSE))</f>
        <v>0</v>
      </c>
      <c r="U119" s="52">
        <f>IF($C119="B",VLOOKUP($A119,Bat!$A$4:$BA$1417,47,FALSE),VLOOKUP($A119,Pit!$A$4:$BF$570,56,FALSE))</f>
        <v>0</v>
      </c>
      <c r="V119" s="52">
        <f>IF($C119="B",VLOOKUP($A119,Bat!$A$4:$BA$1417,48,FALSE),VLOOKUP($A119,Pit!$A$4:$BF$570,57,FALSE))</f>
        <v>0</v>
      </c>
      <c r="W119" s="52">
        <f>Table5[[#This Row],[posRnk]]+Table5[[#This Row],[zRnk]]+IF($W$3&lt;&gt;Table5[[#This Row],[Type]],50,0)</f>
        <v>165</v>
      </c>
      <c r="X119" s="53">
        <f>RANK(Table5[[#This Row],[zScore]],Table5[[#All],[zScore]])</f>
        <v>115</v>
      </c>
      <c r="Y119" s="52" t="str">
        <f>IFERROR(INDEX(DraftResults[[#All],[OVR]],MATCH(Table5[[#This Row],[PID]],DraftResults[[#All],[Player ID]],0)),"")</f>
        <v/>
      </c>
      <c r="Z1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" s="52" t="str">
        <f>IFERROR(INDEX(DraftResults[[#All],[Pick in Round]],MATCH(Table5[[#This Row],[PID]],DraftResults[[#All],[Player ID]],0)),"")</f>
        <v/>
      </c>
      <c r="AB119" s="52" t="str">
        <f>IFERROR(INDEX(DraftResults[[#All],[Team Name]],MATCH(Table5[[#This Row],[PID]],DraftResults[[#All],[Player ID]],0)),"")</f>
        <v/>
      </c>
      <c r="AC119" s="52" t="str">
        <f>IF(Table5[[#This Row],[Ovr]]="","",IF(Table5[[#This Row],[cmbList]]="","",Table5[[#This Row],[cmbList]]-Table5[[#This Row],[Ovr]]))</f>
        <v/>
      </c>
      <c r="AD119" s="56" t="str">
        <f>IF(ISERROR(VLOOKUP($AB119&amp;"-"&amp;$E119&amp;" "&amp;F119,Bonuses!$B$1:$G$1006,4,FALSE)),"",INT(VLOOKUP($AB119&amp;"-"&amp;$E119&amp;" "&amp;$F119,Bonuses!$B$1:$G$1006,4,FALSE)))</f>
        <v/>
      </c>
      <c r="AE1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" spans="1:31" s="52" customFormat="1" x14ac:dyDescent="0.25">
      <c r="A120" s="52">
        <v>8498</v>
      </c>
      <c r="B120" s="57">
        <f>COUNTIF(Table5[PID],A120)</f>
        <v>1</v>
      </c>
      <c r="C120" s="57" t="str">
        <f>IF(COUNTIF(Table3[[#All],[PID]],A120)&gt;0,"P","B")</f>
        <v>B</v>
      </c>
      <c r="D120" s="61" t="str">
        <f>IF($C120="B",INDEX(Batters[[#All],[POS]],MATCH(Table5[[#This Row],[PID]],Batters[[#All],[PID]],0)),INDEX(Table3[[#All],[POS]],MATCH(Table5[[#This Row],[PID]],Table3[[#All],[PID]],0)))</f>
        <v>RF</v>
      </c>
      <c r="E120" s="54" t="str">
        <f>IF($C120="B",INDEX(Batters[[#All],[First]],MATCH(Table5[[#This Row],[PID]],Batters[[#All],[PID]],0)),INDEX(Table3[[#All],[First]],MATCH(Table5[[#This Row],[PID]],Table3[[#All],[PID]],0)))</f>
        <v>Marvin</v>
      </c>
      <c r="F120" s="52" t="str">
        <f>IF($C120="B",INDEX(Batters[[#All],[Last]],MATCH(A120,Batters[[#All],[PID]],0)),INDEX(Table3[[#All],[Last]],MATCH(A120,Table3[[#All],[PID]],0)))</f>
        <v>Álvarez</v>
      </c>
      <c r="G120" s="58">
        <f>IF($C120="B",INDEX(Batters[[#All],[Age]],MATCH(Table5[[#This Row],[PID]],Batters[[#All],[PID]],0)),INDEX(Table3[[#All],[Age]],MATCH(Table5[[#This Row],[PID]],Table3[[#All],[PID]],0)))</f>
        <v>18</v>
      </c>
      <c r="H120" s="54" t="str">
        <f>IF($C120="B",INDEX(Batters[[#All],[B]],MATCH(Table5[[#This Row],[PID]],Batters[[#All],[PID]],0)),INDEX(Table3[[#All],[B]],MATCH(Table5[[#This Row],[PID]],Table3[[#All],[PID]],0)))</f>
        <v>R</v>
      </c>
      <c r="I120" s="54" t="str">
        <f>IF($C120="B",INDEX(Batters[[#All],[T]],MATCH(Table5[[#This Row],[PID]],Batters[[#All],[PID]],0)),INDEX(Table3[[#All],[T]],MATCH(Table5[[#This Row],[PID]],Table3[[#All],[PID]],0)))</f>
        <v>R</v>
      </c>
      <c r="J120" s="54" t="str">
        <f>IF($C120="B",INDEX(Batters[[#All],[WE]],MATCH(Table5[[#This Row],[PID]],Batters[[#All],[PID]],0)),INDEX(Table3[[#All],[WE]],MATCH(Table5[[#This Row],[PID]],Table3[[#All],[PID]],0)))</f>
        <v>Normal</v>
      </c>
      <c r="K120" s="54" t="str">
        <f>IF($C120="B",INDEX(Batters[[#All],[INT]],MATCH(Table5[[#This Row],[PID]],Batters[[#All],[PID]],0)),INDEX(Table3[[#All],[INT]],MATCH(Table5[[#This Row],[PID]],Table3[[#All],[PID]],0)))</f>
        <v>Low</v>
      </c>
      <c r="L120" s="62">
        <f>IF($C120="B",INDEX(Batters[[#All],[CON P]],MATCH(Table5[[#This Row],[PID]],Batters[[#All],[PID]],0)),INDEX(Table3[[#All],[STU P]],MATCH(Table5[[#This Row],[PID]],Table3[[#All],[PID]],0)))</f>
        <v>4</v>
      </c>
      <c r="M120" s="58">
        <f>IF($C120="B",INDEX(Batters[[#All],[GAP P]],MATCH(Table5[[#This Row],[PID]],Batters[[#All],[PID]],0)),INDEX(Table3[[#All],[MOV P]],MATCH(Table5[[#This Row],[PID]],Table3[[#All],[PID]],0)))</f>
        <v>7</v>
      </c>
      <c r="N120" s="58">
        <f>IF($C120="B",INDEX(Batters[[#All],[POW P]],MATCH(Table5[[#This Row],[PID]],Batters[[#All],[PID]],0)),INDEX(Table3[[#All],[CON P]],MATCH(Table5[[#This Row],[PID]],Table3[[#All],[PID]],0)))</f>
        <v>6</v>
      </c>
      <c r="O120" s="58">
        <f>IF($C120="B",INDEX(Batters[[#All],[EYE P]],MATCH(Table5[[#This Row],[PID]],Batters[[#All],[PID]],0)),INDEX(Table3[[#All],[VELO]],MATCH(Table5[[#This Row],[PID]],Table3[[#All],[PID]],0)))</f>
        <v>3</v>
      </c>
      <c r="P120" s="58">
        <f>IF($C120="B",INDEX(Batters[[#All],[K P]],MATCH(Table5[[#This Row],[PID]],Batters[[#All],[PID]],0)),INDEX(Table3[[#All],[STM]],MATCH(Table5[[#This Row],[PID]],Table3[[#All],[PID]],0)))</f>
        <v>5</v>
      </c>
      <c r="Q120" s="63">
        <f>IF($C120="B",INDEX(Batters[[#All],[Tot]],MATCH(Table5[[#This Row],[PID]],Batters[[#All],[PID]],0)),INDEX(Table3[[#All],[Tot]],MATCH(Table5[[#This Row],[PID]],Table3[[#All],[PID]],0)))</f>
        <v>48.859350493826</v>
      </c>
      <c r="R120" s="54">
        <f>IF($C120="B",INDEX(Batters[[#All],[zScore]],MATCH(Table5[[#This Row],[PID]],Batters[[#All],[PID]],0)),INDEX(Table3[[#All],[zScore]],MATCH(Table5[[#This Row],[PID]],Table3[[#All],[PID]],0)))</f>
        <v>1.4974720293460748</v>
      </c>
      <c r="S120" s="60" t="str">
        <f>IF($C120="B",INDEX(Batters[[#All],[DEM]],MATCH(Table5[[#This Row],[PID]],Batters[[#All],[PID]],0)),INDEX(Table3[[#All],[DEM]],MATCH(Table5[[#This Row],[PID]],Table3[[#All],[PID]],0)))</f>
        <v>$1.1m</v>
      </c>
      <c r="T120" s="64">
        <f>IF($C120="B",VLOOKUP($A120,Bat!$A$4:$AU$1417,46,FALSE),VLOOKUP($A120,Pit!$A$4:$BD$570,55,FALSE))</f>
        <v>0</v>
      </c>
      <c r="U120" s="52">
        <f>IF($C120="B",VLOOKUP($A120,Bat!$A$4:$BA$1417,47,FALSE),VLOOKUP($A120,Pit!$A$4:$BF$570,56,FALSE))</f>
        <v>0</v>
      </c>
      <c r="V120" s="52">
        <f>IF($C120="B",VLOOKUP($A120,Bat!$A$4:$BA$1417,48,FALSE),VLOOKUP($A120,Pit!$A$4:$BF$570,57,FALSE))</f>
        <v>0</v>
      </c>
      <c r="W120" s="52">
        <f>Table5[[#This Row],[posRnk]]+Table5[[#This Row],[zRnk]]+IF($W$3&lt;&gt;Table5[[#This Row],[Type]],50,0)</f>
        <v>166</v>
      </c>
      <c r="X120" s="53">
        <f>RANK(Table5[[#This Row],[zScore]],Table5[[#All],[zScore]])</f>
        <v>116</v>
      </c>
      <c r="Y120" s="52" t="str">
        <f>IFERROR(INDEX(DraftResults[[#All],[OVR]],MATCH(Table5[[#This Row],[PID]],DraftResults[[#All],[Player ID]],0)),"")</f>
        <v/>
      </c>
      <c r="Z1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" s="52" t="str">
        <f>IFERROR(INDEX(DraftResults[[#All],[Pick in Round]],MATCH(Table5[[#This Row],[PID]],DraftResults[[#All],[Player ID]],0)),"")</f>
        <v/>
      </c>
      <c r="AB120" s="52" t="str">
        <f>IFERROR(INDEX(DraftResults[[#All],[Team Name]],MATCH(Table5[[#This Row],[PID]],DraftResults[[#All],[Player ID]],0)),"")</f>
        <v/>
      </c>
      <c r="AC120" s="52" t="str">
        <f>IF(Table5[[#This Row],[Ovr]]="","",IF(Table5[[#This Row],[cmbList]]="","",Table5[[#This Row],[cmbList]]-Table5[[#This Row],[Ovr]]))</f>
        <v/>
      </c>
      <c r="AD120" s="56" t="str">
        <f>IF(ISERROR(VLOOKUP($AB120&amp;"-"&amp;$E120&amp;" "&amp;F120,Bonuses!$B$1:$G$1006,4,FALSE)),"",INT(VLOOKUP($AB120&amp;"-"&amp;$E120&amp;" "&amp;$F120,Bonuses!$B$1:$G$1006,4,FALSE)))</f>
        <v/>
      </c>
      <c r="AE1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" spans="1:31" s="52" customFormat="1" x14ac:dyDescent="0.25">
      <c r="A121" s="52">
        <v>7088</v>
      </c>
      <c r="B121" s="52">
        <f>COUNTIF(Table5[PID],A121)</f>
        <v>1</v>
      </c>
      <c r="C121" s="52" t="str">
        <f>IF(COUNTIF(Table3[[#All],[PID]],A121)&gt;0,"P","B")</f>
        <v>P</v>
      </c>
      <c r="D121" s="61" t="str">
        <f>IF($C121="B",INDEX(Batters[[#All],[POS]],MATCH(Table5[[#This Row],[PID]],Batters[[#All],[PID]],0)),INDEX(Table3[[#All],[POS]],MATCH(Table5[[#This Row],[PID]],Table3[[#All],[PID]],0)))</f>
        <v>SP</v>
      </c>
      <c r="E121" s="54" t="str">
        <f>IF($C121="B",INDEX(Batters[[#All],[First]],MATCH(Table5[[#This Row],[PID]],Batters[[#All],[PID]],0)),INDEX(Table3[[#All],[First]],MATCH(Table5[[#This Row],[PID]],Table3[[#All],[PID]],0)))</f>
        <v>Rafael</v>
      </c>
      <c r="F121" s="52" t="str">
        <f>IF($C121="B",INDEX(Batters[[#All],[Last]],MATCH(A121,Batters[[#All],[PID]],0)),INDEX(Table3[[#All],[Last]],MATCH(A121,Table3[[#All],[PID]],0)))</f>
        <v>Mendoza</v>
      </c>
      <c r="G121" s="58">
        <f>IF($C121="B",INDEX(Batters[[#All],[Age]],MATCH(Table5[[#This Row],[PID]],Batters[[#All],[PID]],0)),INDEX(Table3[[#All],[Age]],MATCH(Table5[[#This Row],[PID]],Table3[[#All],[PID]],0)))</f>
        <v>21</v>
      </c>
      <c r="H121" s="54" t="str">
        <f>IF($C121="B",INDEX(Batters[[#All],[B]],MATCH(Table5[[#This Row],[PID]],Batters[[#All],[PID]],0)),INDEX(Table3[[#All],[B]],MATCH(Table5[[#This Row],[PID]],Table3[[#All],[PID]],0)))</f>
        <v>S</v>
      </c>
      <c r="I121" s="54" t="str">
        <f>IF($C121="B",INDEX(Batters[[#All],[T]],MATCH(Table5[[#This Row],[PID]],Batters[[#All],[PID]],0)),INDEX(Table3[[#All],[T]],MATCH(Table5[[#This Row],[PID]],Table3[[#All],[PID]],0)))</f>
        <v>R</v>
      </c>
      <c r="J121" s="54" t="str">
        <f>IF($C121="B",INDEX(Batters[[#All],[WE]],MATCH(Table5[[#This Row],[PID]],Batters[[#All],[PID]],0)),INDEX(Table3[[#All],[WE]],MATCH(Table5[[#This Row],[PID]],Table3[[#All],[PID]],0)))</f>
        <v>Normal</v>
      </c>
      <c r="K121" s="54" t="str">
        <f>IF($C121="B",INDEX(Batters[[#All],[INT]],MATCH(Table5[[#This Row],[PID]],Batters[[#All],[PID]],0)),INDEX(Table3[[#All],[INT]],MATCH(Table5[[#This Row],[PID]],Table3[[#All],[PID]],0)))</f>
        <v>Normal</v>
      </c>
      <c r="L121" s="62">
        <f>IF($C121="B",INDEX(Batters[[#All],[CON P]],MATCH(Table5[[#This Row],[PID]],Batters[[#All],[PID]],0)),INDEX(Table3[[#All],[STU P]],MATCH(Table5[[#This Row],[PID]],Table3[[#All],[PID]],0)))</f>
        <v>5</v>
      </c>
      <c r="M121" s="58">
        <f>IF($C121="B",INDEX(Batters[[#All],[GAP P]],MATCH(Table5[[#This Row],[PID]],Batters[[#All],[PID]],0)),INDEX(Table3[[#All],[MOV P]],MATCH(Table5[[#This Row],[PID]],Table3[[#All],[PID]],0)))</f>
        <v>3</v>
      </c>
      <c r="N121" s="58">
        <f>IF($C121="B",INDEX(Batters[[#All],[POW P]],MATCH(Table5[[#This Row],[PID]],Batters[[#All],[PID]],0)),INDEX(Table3[[#All],[CON P]],MATCH(Table5[[#This Row],[PID]],Table3[[#All],[PID]],0)))</f>
        <v>5</v>
      </c>
      <c r="O121" s="58" t="str">
        <f>IF($C121="B",INDEX(Batters[[#All],[EYE P]],MATCH(Table5[[#This Row],[PID]],Batters[[#All],[PID]],0)),INDEX(Table3[[#All],[VELO]],MATCH(Table5[[#This Row],[PID]],Table3[[#All],[PID]],0)))</f>
        <v>94-96 Mph</v>
      </c>
      <c r="P121" s="58">
        <f>IF($C121="B",INDEX(Batters[[#All],[K P]],MATCH(Table5[[#This Row],[PID]],Batters[[#All],[PID]],0)),INDEX(Table3[[#All],[STM]],MATCH(Table5[[#This Row],[PID]],Table3[[#All],[PID]],0)))</f>
        <v>10</v>
      </c>
      <c r="Q121" s="63">
        <f>IF($C121="B",INDEX(Batters[[#All],[Tot]],MATCH(Table5[[#This Row],[PID]],Batters[[#All],[PID]],0)),INDEX(Table3[[#All],[Tot]],MATCH(Table5[[#This Row],[PID]],Table3[[#All],[PID]],0)))</f>
        <v>48.887589014328228</v>
      </c>
      <c r="R121" s="54">
        <f>IF($C121="B",INDEX(Batters[[#All],[zScore]],MATCH(Table5[[#This Row],[PID]],Batters[[#All],[PID]],0)),INDEX(Table3[[#All],[zScore]],MATCH(Table5[[#This Row],[PID]],Table3[[#All],[PID]],0)))</f>
        <v>1.4824306014038884</v>
      </c>
      <c r="S121" s="60" t="str">
        <f>IF($C121="B",INDEX(Batters[[#All],[DEM]],MATCH(Table5[[#This Row],[PID]],Batters[[#All],[PID]],0)),INDEX(Table3[[#All],[DEM]],MATCH(Table5[[#This Row],[PID]],Table3[[#All],[PID]],0)))</f>
        <v>$260k</v>
      </c>
      <c r="T121" s="64">
        <f>IF($C121="B",VLOOKUP($A121,Bat!$A$4:$AU$1417,46,FALSE),VLOOKUP($A121,Pit!$A$4:$BD$570,55,FALSE))</f>
        <v>0</v>
      </c>
      <c r="U121" s="52">
        <f>IF($C121="B",VLOOKUP($A121,Bat!$A$4:$BA$1417,47,FALSE),VLOOKUP($A121,Pit!$A$4:$BF$570,56,FALSE))</f>
        <v>0</v>
      </c>
      <c r="V121" s="52">
        <f>IF($C121="B",VLOOKUP($A121,Bat!$A$4:$BA$1417,48,FALSE),VLOOKUP($A121,Pit!$A$4:$BF$570,57,FALSE))</f>
        <v>0</v>
      </c>
      <c r="W121" s="52">
        <f>Table5[[#This Row],[posRnk]]+Table5[[#This Row],[zRnk]]+IF($W$3&lt;&gt;Table5[[#This Row],[Type]],50,0)</f>
        <v>167</v>
      </c>
      <c r="X121" s="53">
        <f>RANK(Table5[[#This Row],[zScore]],Table5[[#All],[zScore]])</f>
        <v>117</v>
      </c>
      <c r="Y121" s="52" t="str">
        <f>IFERROR(INDEX(DraftResults[[#All],[OVR]],MATCH(Table5[[#This Row],[PID]],DraftResults[[#All],[Player ID]],0)),"")</f>
        <v/>
      </c>
      <c r="Z1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" s="52" t="str">
        <f>IFERROR(INDEX(DraftResults[[#All],[Pick in Round]],MATCH(Table5[[#This Row],[PID]],DraftResults[[#All],[Player ID]],0)),"")</f>
        <v/>
      </c>
      <c r="AB121" s="52" t="str">
        <f>IFERROR(INDEX(DraftResults[[#All],[Team Name]],MATCH(Table5[[#This Row],[PID]],DraftResults[[#All],[Player ID]],0)),"")</f>
        <v/>
      </c>
      <c r="AC121" s="52" t="str">
        <f>IF(Table5[[#This Row],[Ovr]]="","",IF(Table5[[#This Row],[cmbList]]="","",Table5[[#This Row],[cmbList]]-Table5[[#This Row],[Ovr]]))</f>
        <v/>
      </c>
      <c r="AD121" s="56" t="str">
        <f>IF(ISERROR(VLOOKUP($AB121&amp;"-"&amp;$E121&amp;" "&amp;F121,Bonuses!$B$1:$G$1006,4,FALSE)),"",INT(VLOOKUP($AB121&amp;"-"&amp;$E121&amp;" "&amp;$F121,Bonuses!$B$1:$G$1006,4,FALSE)))</f>
        <v/>
      </c>
      <c r="AE1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" spans="1:31" s="52" customFormat="1" x14ac:dyDescent="0.25">
      <c r="A122" s="52">
        <v>7727</v>
      </c>
      <c r="B122" s="57">
        <f>COUNTIF(Table5[PID],A122)</f>
        <v>1</v>
      </c>
      <c r="C122" s="57" t="str">
        <f>IF(COUNTIF(Table3[[#All],[PID]],A122)&gt;0,"P","B")</f>
        <v>B</v>
      </c>
      <c r="D122" s="61" t="str">
        <f>IF($C122="B",INDEX(Batters[[#All],[POS]],MATCH(Table5[[#This Row],[PID]],Batters[[#All],[PID]],0)),INDEX(Table3[[#All],[POS]],MATCH(Table5[[#This Row],[PID]],Table3[[#All],[PID]],0)))</f>
        <v>RF</v>
      </c>
      <c r="E122" s="54" t="str">
        <f>IF($C122="B",INDEX(Batters[[#All],[First]],MATCH(Table5[[#This Row],[PID]],Batters[[#All],[PID]],0)),INDEX(Table3[[#All],[First]],MATCH(Table5[[#This Row],[PID]],Table3[[#All],[PID]],0)))</f>
        <v>Carlton</v>
      </c>
      <c r="F122" s="52" t="str">
        <f>IF($C122="B",INDEX(Batters[[#All],[Last]],MATCH(A122,Batters[[#All],[PID]],0)),INDEX(Table3[[#All],[Last]],MATCH(A122,Table3[[#All],[PID]],0)))</f>
        <v>Andrews</v>
      </c>
      <c r="G122" s="58">
        <f>IF($C122="B",INDEX(Batters[[#All],[Age]],MATCH(Table5[[#This Row],[PID]],Batters[[#All],[PID]],0)),INDEX(Table3[[#All],[Age]],MATCH(Table5[[#This Row],[PID]],Table3[[#All],[PID]],0)))</f>
        <v>17</v>
      </c>
      <c r="H122" s="54" t="str">
        <f>IF($C122="B",INDEX(Batters[[#All],[B]],MATCH(Table5[[#This Row],[PID]],Batters[[#All],[PID]],0)),INDEX(Table3[[#All],[B]],MATCH(Table5[[#This Row],[PID]],Table3[[#All],[PID]],0)))</f>
        <v>L</v>
      </c>
      <c r="I122" s="54" t="str">
        <f>IF($C122="B",INDEX(Batters[[#All],[T]],MATCH(Table5[[#This Row],[PID]],Batters[[#All],[PID]],0)),INDEX(Table3[[#All],[T]],MATCH(Table5[[#This Row],[PID]],Table3[[#All],[PID]],0)))</f>
        <v>L</v>
      </c>
      <c r="J122" s="54" t="str">
        <f>IF($C122="B",INDEX(Batters[[#All],[WE]],MATCH(Table5[[#This Row],[PID]],Batters[[#All],[PID]],0)),INDEX(Table3[[#All],[WE]],MATCH(Table5[[#This Row],[PID]],Table3[[#All],[PID]],0)))</f>
        <v>Normal</v>
      </c>
      <c r="K122" s="54" t="str">
        <f>IF($C122="B",INDEX(Batters[[#All],[INT]],MATCH(Table5[[#This Row],[PID]],Batters[[#All],[PID]],0)),INDEX(Table3[[#All],[INT]],MATCH(Table5[[#This Row],[PID]],Table3[[#All],[PID]],0)))</f>
        <v>Low</v>
      </c>
      <c r="L122" s="62">
        <f>IF($C122="B",INDEX(Batters[[#All],[CON P]],MATCH(Table5[[#This Row],[PID]],Batters[[#All],[PID]],0)),INDEX(Table3[[#All],[STU P]],MATCH(Table5[[#This Row],[PID]],Table3[[#All],[PID]],0)))</f>
        <v>4</v>
      </c>
      <c r="M122" s="58">
        <f>IF($C122="B",INDEX(Batters[[#All],[GAP P]],MATCH(Table5[[#This Row],[PID]],Batters[[#All],[PID]],0)),INDEX(Table3[[#All],[MOV P]],MATCH(Table5[[#This Row],[PID]],Table3[[#All],[PID]],0)))</f>
        <v>5</v>
      </c>
      <c r="N122" s="58">
        <f>IF($C122="B",INDEX(Batters[[#All],[POW P]],MATCH(Table5[[#This Row],[PID]],Batters[[#All],[PID]],0)),INDEX(Table3[[#All],[CON P]],MATCH(Table5[[#This Row],[PID]],Table3[[#All],[PID]],0)))</f>
        <v>6</v>
      </c>
      <c r="O122" s="58">
        <f>IF($C122="B",INDEX(Batters[[#All],[EYE P]],MATCH(Table5[[#This Row],[PID]],Batters[[#All],[PID]],0)),INDEX(Table3[[#All],[VELO]],MATCH(Table5[[#This Row],[PID]],Table3[[#All],[PID]],0)))</f>
        <v>4</v>
      </c>
      <c r="P122" s="58">
        <f>IF($C122="B",INDEX(Batters[[#All],[K P]],MATCH(Table5[[#This Row],[PID]],Batters[[#All],[PID]],0)),INDEX(Table3[[#All],[STM]],MATCH(Table5[[#This Row],[PID]],Table3[[#All],[PID]],0)))</f>
        <v>5</v>
      </c>
      <c r="Q122" s="63">
        <f>IF($C122="B",INDEX(Batters[[#All],[Tot]],MATCH(Table5[[#This Row],[PID]],Batters[[#All],[PID]],0)),INDEX(Table3[[#All],[Tot]],MATCH(Table5[[#This Row],[PID]],Table3[[#All],[PID]],0)))</f>
        <v>48.696961477865941</v>
      </c>
      <c r="R122" s="54">
        <f>IF($C122="B",INDEX(Batters[[#All],[zScore]],MATCH(Table5[[#This Row],[PID]],Batters[[#All],[PID]],0)),INDEX(Table3[[#All],[zScore]],MATCH(Table5[[#This Row],[PID]],Table3[[#All],[PID]],0)))</f>
        <v>1.4689007612745677</v>
      </c>
      <c r="S122" s="60" t="str">
        <f>IF($C122="B",INDEX(Batters[[#All],[DEM]],MATCH(Table5[[#This Row],[PID]],Batters[[#All],[PID]],0)),INDEX(Table3[[#All],[DEM]],MATCH(Table5[[#This Row],[PID]],Table3[[#All],[PID]],0)))</f>
        <v>$190k</v>
      </c>
      <c r="T122" s="64">
        <f>IF($C122="B",VLOOKUP($A122,Bat!$A$4:$AU$1417,46,FALSE),VLOOKUP($A122,Pit!$A$4:$BD$570,55,FALSE))</f>
        <v>0</v>
      </c>
      <c r="U122" s="52">
        <f>IF($C122="B",VLOOKUP($A122,Bat!$A$4:$BA$1417,47,FALSE),VLOOKUP($A122,Pit!$A$4:$BF$570,56,FALSE))</f>
        <v>0</v>
      </c>
      <c r="V122" s="52">
        <f>IF($C122="B",VLOOKUP($A122,Bat!$A$4:$BA$1417,48,FALSE),VLOOKUP($A122,Pit!$A$4:$BF$570,57,FALSE))</f>
        <v>0</v>
      </c>
      <c r="W122" s="52">
        <f>Table5[[#This Row],[posRnk]]+Table5[[#This Row],[zRnk]]+IF($W$3&lt;&gt;Table5[[#This Row],[Type]],50,0)</f>
        <v>168</v>
      </c>
      <c r="X122" s="53">
        <f>RANK(Table5[[#This Row],[zScore]],Table5[[#All],[zScore]])</f>
        <v>118</v>
      </c>
      <c r="Y122" s="52" t="str">
        <f>IFERROR(INDEX(DraftResults[[#All],[OVR]],MATCH(Table5[[#This Row],[PID]],DraftResults[[#All],[Player ID]],0)),"")</f>
        <v/>
      </c>
      <c r="Z1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" s="52" t="str">
        <f>IFERROR(INDEX(DraftResults[[#All],[Pick in Round]],MATCH(Table5[[#This Row],[PID]],DraftResults[[#All],[Player ID]],0)),"")</f>
        <v/>
      </c>
      <c r="AB122" s="52" t="str">
        <f>IFERROR(INDEX(DraftResults[[#All],[Team Name]],MATCH(Table5[[#This Row],[PID]],DraftResults[[#All],[Player ID]],0)),"")</f>
        <v/>
      </c>
      <c r="AC122" s="52" t="str">
        <f>IF(Table5[[#This Row],[Ovr]]="","",IF(Table5[[#This Row],[cmbList]]="","",Table5[[#This Row],[cmbList]]-Table5[[#This Row],[Ovr]]))</f>
        <v/>
      </c>
      <c r="AD122" s="56" t="str">
        <f>IF(ISERROR(VLOOKUP($AB122&amp;"-"&amp;$E122&amp;" "&amp;F122,Bonuses!$B$1:$G$1006,4,FALSE)),"",INT(VLOOKUP($AB122&amp;"-"&amp;$E122&amp;" "&amp;$F122,Bonuses!$B$1:$G$1006,4,FALSE)))</f>
        <v/>
      </c>
      <c r="AE1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3" spans="1:31" s="52" customFormat="1" x14ac:dyDescent="0.25">
      <c r="A123" s="52">
        <v>9710</v>
      </c>
      <c r="B123" s="52">
        <f>COUNTIF(Table5[PID],A123)</f>
        <v>1</v>
      </c>
      <c r="C123" s="52" t="str">
        <f>IF(COUNTIF(Table3[[#All],[PID]],A123)&gt;0,"P","B")</f>
        <v>P</v>
      </c>
      <c r="D123" s="61" t="str">
        <f>IF($C123="B",INDEX(Batters[[#All],[POS]],MATCH(Table5[[#This Row],[PID]],Batters[[#All],[PID]],0)),INDEX(Table3[[#All],[POS]],MATCH(Table5[[#This Row],[PID]],Table3[[#All],[PID]],0)))</f>
        <v>SP</v>
      </c>
      <c r="E123" s="54" t="str">
        <f>IF($C123="B",INDEX(Batters[[#All],[First]],MATCH(Table5[[#This Row],[PID]],Batters[[#All],[PID]],0)),INDEX(Table3[[#All],[First]],MATCH(Table5[[#This Row],[PID]],Table3[[#All],[PID]],0)))</f>
        <v>Ricardo</v>
      </c>
      <c r="F123" s="52" t="str">
        <f>IF($C123="B",INDEX(Batters[[#All],[Last]],MATCH(A123,Batters[[#All],[PID]],0)),INDEX(Table3[[#All],[Last]],MATCH(A123,Table3[[#All],[PID]],0)))</f>
        <v>Pineda</v>
      </c>
      <c r="G123" s="58">
        <f>IF($C123="B",INDEX(Batters[[#All],[Age]],MATCH(Table5[[#This Row],[PID]],Batters[[#All],[PID]],0)),INDEX(Table3[[#All],[Age]],MATCH(Table5[[#This Row],[PID]],Table3[[#All],[PID]],0)))</f>
        <v>21</v>
      </c>
      <c r="H123" s="54" t="str">
        <f>IF($C123="B",INDEX(Batters[[#All],[B]],MATCH(Table5[[#This Row],[PID]],Batters[[#All],[PID]],0)),INDEX(Table3[[#All],[B]],MATCH(Table5[[#This Row],[PID]],Table3[[#All],[PID]],0)))</f>
        <v>R</v>
      </c>
      <c r="I123" s="54" t="str">
        <f>IF($C123="B",INDEX(Batters[[#All],[T]],MATCH(Table5[[#This Row],[PID]],Batters[[#All],[PID]],0)),INDEX(Table3[[#All],[T]],MATCH(Table5[[#This Row],[PID]],Table3[[#All],[PID]],0)))</f>
        <v>R</v>
      </c>
      <c r="J123" s="54" t="str">
        <f>IF($C123="B",INDEX(Batters[[#All],[WE]],MATCH(Table5[[#This Row],[PID]],Batters[[#All],[PID]],0)),INDEX(Table3[[#All],[WE]],MATCH(Table5[[#This Row],[PID]],Table3[[#All],[PID]],0)))</f>
        <v>High</v>
      </c>
      <c r="K123" s="54" t="str">
        <f>IF($C123="B",INDEX(Batters[[#All],[INT]],MATCH(Table5[[#This Row],[PID]],Batters[[#All],[PID]],0)),INDEX(Table3[[#All],[INT]],MATCH(Table5[[#This Row],[PID]],Table3[[#All],[PID]],0)))</f>
        <v>Normal</v>
      </c>
      <c r="L123" s="62">
        <f>IF($C123="B",INDEX(Batters[[#All],[CON P]],MATCH(Table5[[#This Row],[PID]],Batters[[#All],[PID]],0)),INDEX(Table3[[#All],[STU P]],MATCH(Table5[[#This Row],[PID]],Table3[[#All],[PID]],0)))</f>
        <v>6</v>
      </c>
      <c r="M123" s="58">
        <f>IF($C123="B",INDEX(Batters[[#All],[GAP P]],MATCH(Table5[[#This Row],[PID]],Batters[[#All],[PID]],0)),INDEX(Table3[[#All],[MOV P]],MATCH(Table5[[#This Row],[PID]],Table3[[#All],[PID]],0)))</f>
        <v>5</v>
      </c>
      <c r="N123" s="58">
        <f>IF($C123="B",INDEX(Batters[[#All],[POW P]],MATCH(Table5[[#This Row],[PID]],Batters[[#All],[PID]],0)),INDEX(Table3[[#All],[CON P]],MATCH(Table5[[#This Row],[PID]],Table3[[#All],[PID]],0)))</f>
        <v>3</v>
      </c>
      <c r="O123" s="58" t="str">
        <f>IF($C123="B",INDEX(Batters[[#All],[EYE P]],MATCH(Table5[[#This Row],[PID]],Batters[[#All],[PID]],0)),INDEX(Table3[[#All],[VELO]],MATCH(Table5[[#This Row],[PID]],Table3[[#All],[PID]],0)))</f>
        <v>97-99 Mph</v>
      </c>
      <c r="P123" s="58">
        <f>IF($C123="B",INDEX(Batters[[#All],[K P]],MATCH(Table5[[#This Row],[PID]],Batters[[#All],[PID]],0)),INDEX(Table3[[#All],[STM]],MATCH(Table5[[#This Row],[PID]],Table3[[#All],[PID]],0)))</f>
        <v>4</v>
      </c>
      <c r="Q123" s="63">
        <f>IF($C123="B",INDEX(Batters[[#All],[Tot]],MATCH(Table5[[#This Row],[PID]],Batters[[#All],[PID]],0)),INDEX(Table3[[#All],[Tot]],MATCH(Table5[[#This Row],[PID]],Table3[[#All],[PID]],0)))</f>
        <v>48.632566847006494</v>
      </c>
      <c r="R123" s="54">
        <f>IF($C123="B",INDEX(Batters[[#All],[zScore]],MATCH(Table5[[#This Row],[PID]],Batters[[#All],[PID]],0)),INDEX(Table3[[#All],[zScore]],MATCH(Table5[[#This Row],[PID]],Table3[[#All],[PID]],0)))</f>
        <v>1.459043978672834</v>
      </c>
      <c r="S123" s="60" t="str">
        <f>IF($C123="B",INDEX(Batters[[#All],[DEM]],MATCH(Table5[[#This Row],[PID]],Batters[[#All],[PID]],0)),INDEX(Table3[[#All],[DEM]],MATCH(Table5[[#This Row],[PID]],Table3[[#All],[PID]],0)))</f>
        <v>$170k</v>
      </c>
      <c r="T123" s="64">
        <f>IF($C123="B",VLOOKUP($A123,Bat!$A$4:$AU$1417,46,FALSE),VLOOKUP($A123,Pit!$A$4:$BD$570,55,FALSE))</f>
        <v>0</v>
      </c>
      <c r="U123" s="52">
        <f>IF($C123="B",VLOOKUP($A123,Bat!$A$4:$BA$1417,47,FALSE),VLOOKUP($A123,Pit!$A$4:$BF$570,56,FALSE))</f>
        <v>0</v>
      </c>
      <c r="V123" s="52">
        <f>IF($C123="B",VLOOKUP($A123,Bat!$A$4:$BA$1417,48,FALSE),VLOOKUP($A123,Pit!$A$4:$BF$570,57,FALSE))</f>
        <v>0</v>
      </c>
      <c r="W123" s="52">
        <f>Table5[[#This Row],[posRnk]]+Table5[[#This Row],[zRnk]]+IF($W$3&lt;&gt;Table5[[#This Row],[Type]],50,0)</f>
        <v>169</v>
      </c>
      <c r="X123" s="53">
        <f>RANK(Table5[[#This Row],[zScore]],Table5[[#All],[zScore]])</f>
        <v>119</v>
      </c>
      <c r="Y123" s="52" t="str">
        <f>IFERROR(INDEX(DraftResults[[#All],[OVR]],MATCH(Table5[[#This Row],[PID]],DraftResults[[#All],[Player ID]],0)),"")</f>
        <v/>
      </c>
      <c r="Z1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" s="52" t="str">
        <f>IFERROR(INDEX(DraftResults[[#All],[Pick in Round]],MATCH(Table5[[#This Row],[PID]],DraftResults[[#All],[Player ID]],0)),"")</f>
        <v/>
      </c>
      <c r="AB123" s="52" t="str">
        <f>IFERROR(INDEX(DraftResults[[#All],[Team Name]],MATCH(Table5[[#This Row],[PID]],DraftResults[[#All],[Player ID]],0)),"")</f>
        <v/>
      </c>
      <c r="AC123" s="52" t="str">
        <f>IF(Table5[[#This Row],[Ovr]]="","",IF(Table5[[#This Row],[cmbList]]="","",Table5[[#This Row],[cmbList]]-Table5[[#This Row],[Ovr]]))</f>
        <v/>
      </c>
      <c r="AD123" s="56" t="str">
        <f>IF(ISERROR(VLOOKUP($AB123&amp;"-"&amp;$E123&amp;" "&amp;F123,Bonuses!$B$1:$G$1006,4,FALSE)),"",INT(VLOOKUP($AB123&amp;"-"&amp;$E123&amp;" "&amp;$F123,Bonuses!$B$1:$G$1006,4,FALSE)))</f>
        <v/>
      </c>
      <c r="AE1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4" spans="1:31" s="52" customFormat="1" x14ac:dyDescent="0.25">
      <c r="A124" s="52">
        <v>6844</v>
      </c>
      <c r="B124" s="52">
        <f>COUNTIF(Table5[PID],A124)</f>
        <v>1</v>
      </c>
      <c r="C124" s="52" t="str">
        <f>IF(COUNTIF(Table3[[#All],[PID]],A124)&gt;0,"P","B")</f>
        <v>P</v>
      </c>
      <c r="D124" s="61" t="str">
        <f>IF($C124="B",INDEX(Batters[[#All],[POS]],MATCH(Table5[[#This Row],[PID]],Batters[[#All],[PID]],0)),INDEX(Table3[[#All],[POS]],MATCH(Table5[[#This Row],[PID]],Table3[[#All],[PID]],0)))</f>
        <v>SP</v>
      </c>
      <c r="E124" s="54" t="str">
        <f>IF($C124="B",INDEX(Batters[[#All],[First]],MATCH(Table5[[#This Row],[PID]],Batters[[#All],[PID]],0)),INDEX(Table3[[#All],[First]],MATCH(Table5[[#This Row],[PID]],Table3[[#All],[PID]],0)))</f>
        <v>António</v>
      </c>
      <c r="F124" s="52" t="str">
        <f>IF($C124="B",INDEX(Batters[[#All],[Last]],MATCH(A124,Batters[[#All],[PID]],0)),INDEX(Table3[[#All],[Last]],MATCH(A124,Table3[[#All],[PID]],0)))</f>
        <v>García</v>
      </c>
      <c r="G124" s="58">
        <f>IF($C124="B",INDEX(Batters[[#All],[Age]],MATCH(Table5[[#This Row],[PID]],Batters[[#All],[PID]],0)),INDEX(Table3[[#All],[Age]],MATCH(Table5[[#This Row],[PID]],Table3[[#All],[PID]],0)))</f>
        <v>21</v>
      </c>
      <c r="H124" s="54" t="str">
        <f>IF($C124="B",INDEX(Batters[[#All],[B]],MATCH(Table5[[#This Row],[PID]],Batters[[#All],[PID]],0)),INDEX(Table3[[#All],[B]],MATCH(Table5[[#This Row],[PID]],Table3[[#All],[PID]],0)))</f>
        <v>L</v>
      </c>
      <c r="I124" s="54" t="str">
        <f>IF($C124="B",INDEX(Batters[[#All],[T]],MATCH(Table5[[#This Row],[PID]],Batters[[#All],[PID]],0)),INDEX(Table3[[#All],[T]],MATCH(Table5[[#This Row],[PID]],Table3[[#All],[PID]],0)))</f>
        <v>L</v>
      </c>
      <c r="J124" s="54" t="str">
        <f>IF($C124="B",INDEX(Batters[[#All],[WE]],MATCH(Table5[[#This Row],[PID]],Batters[[#All],[PID]],0)),INDEX(Table3[[#All],[WE]],MATCH(Table5[[#This Row],[PID]],Table3[[#All],[PID]],0)))</f>
        <v>Normal</v>
      </c>
      <c r="K124" s="54" t="str">
        <f>IF($C124="B",INDEX(Batters[[#All],[INT]],MATCH(Table5[[#This Row],[PID]],Batters[[#All],[PID]],0)),INDEX(Table3[[#All],[INT]],MATCH(Table5[[#This Row],[PID]],Table3[[#All],[PID]],0)))</f>
        <v>Normal</v>
      </c>
      <c r="L124" s="62">
        <f>IF($C124="B",INDEX(Batters[[#All],[CON P]],MATCH(Table5[[#This Row],[PID]],Batters[[#All],[PID]],0)),INDEX(Table3[[#All],[STU P]],MATCH(Table5[[#This Row],[PID]],Table3[[#All],[PID]],0)))</f>
        <v>7</v>
      </c>
      <c r="M124" s="58">
        <f>IF($C124="B",INDEX(Batters[[#All],[GAP P]],MATCH(Table5[[#This Row],[PID]],Batters[[#All],[PID]],0)),INDEX(Table3[[#All],[MOV P]],MATCH(Table5[[#This Row],[PID]],Table3[[#All],[PID]],0)))</f>
        <v>4</v>
      </c>
      <c r="N124" s="58">
        <f>IF($C124="B",INDEX(Batters[[#All],[POW P]],MATCH(Table5[[#This Row],[PID]],Batters[[#All],[PID]],0)),INDEX(Table3[[#All],[CON P]],MATCH(Table5[[#This Row],[PID]],Table3[[#All],[PID]],0)))</f>
        <v>2</v>
      </c>
      <c r="O124" s="58" t="str">
        <f>IF($C124="B",INDEX(Batters[[#All],[EYE P]],MATCH(Table5[[#This Row],[PID]],Batters[[#All],[PID]],0)),INDEX(Table3[[#All],[VELO]],MATCH(Table5[[#This Row],[PID]],Table3[[#All],[PID]],0)))</f>
        <v>96-98 Mph</v>
      </c>
      <c r="P124" s="58">
        <f>IF($C124="B",INDEX(Batters[[#All],[K P]],MATCH(Table5[[#This Row],[PID]],Batters[[#All],[PID]],0)),INDEX(Table3[[#All],[STM]],MATCH(Table5[[#This Row],[PID]],Table3[[#All],[PID]],0)))</f>
        <v>8</v>
      </c>
      <c r="Q124" s="63">
        <f>IF($C124="B",INDEX(Batters[[#All],[Tot]],MATCH(Table5[[#This Row],[PID]],Batters[[#All],[PID]],0)),INDEX(Table3[[#All],[Tot]],MATCH(Table5[[#This Row],[PID]],Table3[[#All],[PID]],0)))</f>
        <v>48.553529502333873</v>
      </c>
      <c r="R124" s="54">
        <f>IF($C124="B",INDEX(Batters[[#All],[zScore]],MATCH(Table5[[#This Row],[PID]],Batters[[#All],[PID]],0)),INDEX(Table3[[#All],[zScore]],MATCH(Table5[[#This Row],[PID]],Table3[[#All],[PID]],0)))</f>
        <v>1.4517959163536436</v>
      </c>
      <c r="S124" s="60" t="str">
        <f>IF($C124="B",INDEX(Batters[[#All],[DEM]],MATCH(Table5[[#This Row],[PID]],Batters[[#All],[PID]],0)),INDEX(Table3[[#All],[DEM]],MATCH(Table5[[#This Row],[PID]],Table3[[#All],[PID]],0)))</f>
        <v>$250k</v>
      </c>
      <c r="T124" s="64">
        <f>IF($C124="B",VLOOKUP($A124,Bat!$A$4:$AU$1417,46,FALSE),VLOOKUP($A124,Pit!$A$4:$BD$570,55,FALSE))</f>
        <v>0</v>
      </c>
      <c r="U124" s="52">
        <f>IF($C124="B",VLOOKUP($A124,Bat!$A$4:$BA$1417,47,FALSE),VLOOKUP($A124,Pit!$A$4:$BF$570,56,FALSE))</f>
        <v>0</v>
      </c>
      <c r="V124" s="52">
        <f>IF($C124="B",VLOOKUP($A124,Bat!$A$4:$BA$1417,48,FALSE),VLOOKUP($A124,Pit!$A$4:$BF$570,57,FALSE))</f>
        <v>0</v>
      </c>
      <c r="W124" s="52">
        <f>Table5[[#This Row],[posRnk]]+Table5[[#This Row],[zRnk]]+IF($W$3&lt;&gt;Table5[[#This Row],[Type]],50,0)</f>
        <v>170</v>
      </c>
      <c r="X124" s="53">
        <f>RANK(Table5[[#This Row],[zScore]],Table5[[#All],[zScore]])</f>
        <v>120</v>
      </c>
      <c r="Y124" s="52" t="str">
        <f>IFERROR(INDEX(DraftResults[[#All],[OVR]],MATCH(Table5[[#This Row],[PID]],DraftResults[[#All],[Player ID]],0)),"")</f>
        <v/>
      </c>
      <c r="Z1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4" s="52" t="str">
        <f>IFERROR(INDEX(DraftResults[[#All],[Pick in Round]],MATCH(Table5[[#This Row],[PID]],DraftResults[[#All],[Player ID]],0)),"")</f>
        <v/>
      </c>
      <c r="AB124" s="52" t="str">
        <f>IFERROR(INDEX(DraftResults[[#All],[Team Name]],MATCH(Table5[[#This Row],[PID]],DraftResults[[#All],[Player ID]],0)),"")</f>
        <v/>
      </c>
      <c r="AC124" s="52" t="str">
        <f>IF(Table5[[#This Row],[Ovr]]="","",IF(Table5[[#This Row],[cmbList]]="","",Table5[[#This Row],[cmbList]]-Table5[[#This Row],[Ovr]]))</f>
        <v/>
      </c>
      <c r="AD124" s="56" t="str">
        <f>IF(ISERROR(VLOOKUP($AB124&amp;"-"&amp;$E124&amp;" "&amp;F124,Bonuses!$B$1:$G$1006,4,FALSE)),"",INT(VLOOKUP($AB124&amp;"-"&amp;$E124&amp;" "&amp;$F124,Bonuses!$B$1:$G$1006,4,FALSE)))</f>
        <v/>
      </c>
      <c r="AE1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5" spans="1:31" s="52" customFormat="1" x14ac:dyDescent="0.25">
      <c r="A125" s="52">
        <v>13099</v>
      </c>
      <c r="B125" s="52">
        <f>COUNTIF(Table5[PID],A125)</f>
        <v>1</v>
      </c>
      <c r="C125" s="52" t="str">
        <f>IF(COUNTIF(Table3[[#All],[PID]],A125)&gt;0,"P","B")</f>
        <v>P</v>
      </c>
      <c r="D125" s="61" t="str">
        <f>IF($C125="B",INDEX(Batters[[#All],[POS]],MATCH(Table5[[#This Row],[PID]],Batters[[#All],[PID]],0)),INDEX(Table3[[#All],[POS]],MATCH(Table5[[#This Row],[PID]],Table3[[#All],[PID]],0)))</f>
        <v>RP</v>
      </c>
      <c r="E125" s="54" t="str">
        <f>IF($C125="B",INDEX(Batters[[#All],[First]],MATCH(Table5[[#This Row],[PID]],Batters[[#All],[PID]],0)),INDEX(Table3[[#All],[First]],MATCH(Table5[[#This Row],[PID]],Table3[[#All],[PID]],0)))</f>
        <v>Paul</v>
      </c>
      <c r="F125" s="52" t="str">
        <f>IF($C125="B",INDEX(Batters[[#All],[Last]],MATCH(A125,Batters[[#All],[PID]],0)),INDEX(Table3[[#All],[Last]],MATCH(A125,Table3[[#All],[PID]],0)))</f>
        <v>Sanders</v>
      </c>
      <c r="G125" s="58">
        <f>IF($C125="B",INDEX(Batters[[#All],[Age]],MATCH(Table5[[#This Row],[PID]],Batters[[#All],[PID]],0)),INDEX(Table3[[#All],[Age]],MATCH(Table5[[#This Row],[PID]],Table3[[#All],[PID]],0)))</f>
        <v>18</v>
      </c>
      <c r="H125" s="54" t="str">
        <f>IF($C125="B",INDEX(Batters[[#All],[B]],MATCH(Table5[[#This Row],[PID]],Batters[[#All],[PID]],0)),INDEX(Table3[[#All],[B]],MATCH(Table5[[#This Row],[PID]],Table3[[#All],[PID]],0)))</f>
        <v>S</v>
      </c>
      <c r="I125" s="54" t="str">
        <f>IF($C125="B",INDEX(Batters[[#All],[T]],MATCH(Table5[[#This Row],[PID]],Batters[[#All],[PID]],0)),INDEX(Table3[[#All],[T]],MATCH(Table5[[#This Row],[PID]],Table3[[#All],[PID]],0)))</f>
        <v>R</v>
      </c>
      <c r="J125" s="54" t="str">
        <f>IF($C125="B",INDEX(Batters[[#All],[WE]],MATCH(Table5[[#This Row],[PID]],Batters[[#All],[PID]],0)),INDEX(Table3[[#All],[WE]],MATCH(Table5[[#This Row],[PID]],Table3[[#All],[PID]],0)))</f>
        <v>Normal</v>
      </c>
      <c r="K125" s="54" t="str">
        <f>IF($C125="B",INDEX(Batters[[#All],[INT]],MATCH(Table5[[#This Row],[PID]],Batters[[#All],[PID]],0)),INDEX(Table3[[#All],[INT]],MATCH(Table5[[#This Row],[PID]],Table3[[#All],[PID]],0)))</f>
        <v>Normal</v>
      </c>
      <c r="L125" s="62">
        <f>IF($C125="B",INDEX(Batters[[#All],[CON P]],MATCH(Table5[[#This Row],[PID]],Batters[[#All],[PID]],0)),INDEX(Table3[[#All],[STU P]],MATCH(Table5[[#This Row],[PID]],Table3[[#All],[PID]],0)))</f>
        <v>6</v>
      </c>
      <c r="M125" s="58">
        <f>IF($C125="B",INDEX(Batters[[#All],[GAP P]],MATCH(Table5[[#This Row],[PID]],Batters[[#All],[PID]],0)),INDEX(Table3[[#All],[MOV P]],MATCH(Table5[[#This Row],[PID]],Table3[[#All],[PID]],0)))</f>
        <v>2</v>
      </c>
      <c r="N125" s="58">
        <f>IF($C125="B",INDEX(Batters[[#All],[POW P]],MATCH(Table5[[#This Row],[PID]],Batters[[#All],[PID]],0)),INDEX(Table3[[#All],[CON P]],MATCH(Table5[[#This Row],[PID]],Table3[[#All],[PID]],0)))</f>
        <v>4</v>
      </c>
      <c r="O125" s="58" t="str">
        <f>IF($C125="B",INDEX(Batters[[#All],[EYE P]],MATCH(Table5[[#This Row],[PID]],Batters[[#All],[PID]],0)),INDEX(Table3[[#All],[VELO]],MATCH(Table5[[#This Row],[PID]],Table3[[#All],[PID]],0)))</f>
        <v>86-88 Mph</v>
      </c>
      <c r="P125" s="58">
        <f>IF($C125="B",INDEX(Batters[[#All],[K P]],MATCH(Table5[[#This Row],[PID]],Batters[[#All],[PID]],0)),INDEX(Table3[[#All],[STM]],MATCH(Table5[[#This Row],[PID]],Table3[[#All],[PID]],0)))</f>
        <v>8</v>
      </c>
      <c r="Q125" s="63">
        <f>IF($C125="B",INDEX(Batters[[#All],[Tot]],MATCH(Table5[[#This Row],[PID]],Batters[[#All],[PID]],0)),INDEX(Table3[[#All],[Tot]],MATCH(Table5[[#This Row],[PID]],Table3[[#All],[PID]],0)))</f>
        <v>48.4812004691547</v>
      </c>
      <c r="R125" s="54">
        <f>IF($C125="B",INDEX(Batters[[#All],[zScore]],MATCH(Table5[[#This Row],[PID]],Batters[[#All],[PID]],0)),INDEX(Table3[[#All],[zScore]],MATCH(Table5[[#This Row],[PID]],Table3[[#All],[PID]],0)))</f>
        <v>1.4451630348703284</v>
      </c>
      <c r="S125" s="60" t="str">
        <f>IF($C125="B",INDEX(Batters[[#All],[DEM]],MATCH(Table5[[#This Row],[PID]],Batters[[#All],[PID]],0)),INDEX(Table3[[#All],[DEM]],MATCH(Table5[[#This Row],[PID]],Table3[[#All],[PID]],0)))</f>
        <v>$65k</v>
      </c>
      <c r="T125" s="64">
        <f>IF($C125="B",VLOOKUP($A125,Bat!$A$4:$AU$1417,46,FALSE),VLOOKUP($A125,Pit!$A$4:$BD$570,55,FALSE))</f>
        <v>0</v>
      </c>
      <c r="U125" s="52">
        <f>IF($C125="B",VLOOKUP($A125,Bat!$A$4:$BA$1417,47,FALSE),VLOOKUP($A125,Pit!$A$4:$BF$570,56,FALSE))</f>
        <v>0</v>
      </c>
      <c r="V125" s="52">
        <f>IF($C125="B",VLOOKUP($A125,Bat!$A$4:$BA$1417,48,FALSE),VLOOKUP($A125,Pit!$A$4:$BF$570,57,FALSE))</f>
        <v>0</v>
      </c>
      <c r="W125" s="52">
        <f>Table5[[#This Row],[posRnk]]+Table5[[#This Row],[zRnk]]+IF($W$3&lt;&gt;Table5[[#This Row],[Type]],50,0)</f>
        <v>171</v>
      </c>
      <c r="X125" s="53">
        <f>RANK(Table5[[#This Row],[zScore]],Table5[[#All],[zScore]])</f>
        <v>121</v>
      </c>
      <c r="Y125" s="52" t="str">
        <f>IFERROR(INDEX(DraftResults[[#All],[OVR]],MATCH(Table5[[#This Row],[PID]],DraftResults[[#All],[Player ID]],0)),"")</f>
        <v/>
      </c>
      <c r="Z1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5" s="52" t="str">
        <f>IFERROR(INDEX(DraftResults[[#All],[Pick in Round]],MATCH(Table5[[#This Row],[PID]],DraftResults[[#All],[Player ID]],0)),"")</f>
        <v/>
      </c>
      <c r="AB125" s="52" t="str">
        <f>IFERROR(INDEX(DraftResults[[#All],[Team Name]],MATCH(Table5[[#This Row],[PID]],DraftResults[[#All],[Player ID]],0)),"")</f>
        <v/>
      </c>
      <c r="AC125" s="52" t="str">
        <f>IF(Table5[[#This Row],[Ovr]]="","",IF(Table5[[#This Row],[cmbList]]="","",Table5[[#This Row],[cmbList]]-Table5[[#This Row],[Ovr]]))</f>
        <v/>
      </c>
      <c r="AD125" s="56" t="str">
        <f>IF(ISERROR(VLOOKUP($AB125&amp;"-"&amp;$E125&amp;" "&amp;F125,Bonuses!$B$1:$G$1006,4,FALSE)),"",INT(VLOOKUP($AB125&amp;"-"&amp;$E125&amp;" "&amp;$F125,Bonuses!$B$1:$G$1006,4,FALSE)))</f>
        <v/>
      </c>
      <c r="AE1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6" spans="1:31" s="52" customFormat="1" x14ac:dyDescent="0.25">
      <c r="A126" s="52">
        <v>9014</v>
      </c>
      <c r="B126" s="52">
        <f>COUNTIF(Table5[PID],A126)</f>
        <v>1</v>
      </c>
      <c r="C126" s="52" t="str">
        <f>IF(COUNTIF(Table3[[#All],[PID]],A126)&gt;0,"P","B")</f>
        <v>P</v>
      </c>
      <c r="D126" s="61" t="str">
        <f>IF($C126="B",INDEX(Batters[[#All],[POS]],MATCH(Table5[[#This Row],[PID]],Batters[[#All],[PID]],0)),INDEX(Table3[[#All],[POS]],MATCH(Table5[[#This Row],[PID]],Table3[[#All],[PID]],0)))</f>
        <v>RP</v>
      </c>
      <c r="E126" s="54" t="str">
        <f>IF($C126="B",INDEX(Batters[[#All],[First]],MATCH(Table5[[#This Row],[PID]],Batters[[#All],[PID]],0)),INDEX(Table3[[#All],[First]],MATCH(Table5[[#This Row],[PID]],Table3[[#All],[PID]],0)))</f>
        <v>Emerson</v>
      </c>
      <c r="F126" s="52" t="str">
        <f>IF($C126="B",INDEX(Batters[[#All],[Last]],MATCH(A126,Batters[[#All],[PID]],0)),INDEX(Table3[[#All],[Last]],MATCH(A126,Table3[[#All],[PID]],0)))</f>
        <v>MacDonald</v>
      </c>
      <c r="G126" s="58">
        <f>IF($C126="B",INDEX(Batters[[#All],[Age]],MATCH(Table5[[#This Row],[PID]],Batters[[#All],[PID]],0)),INDEX(Table3[[#All],[Age]],MATCH(Table5[[#This Row],[PID]],Table3[[#All],[PID]],0)))</f>
        <v>17</v>
      </c>
      <c r="H126" s="54" t="str">
        <f>IF($C126="B",INDEX(Batters[[#All],[B]],MATCH(Table5[[#This Row],[PID]],Batters[[#All],[PID]],0)),INDEX(Table3[[#All],[B]],MATCH(Table5[[#This Row],[PID]],Table3[[#All],[PID]],0)))</f>
        <v>R</v>
      </c>
      <c r="I126" s="54" t="str">
        <f>IF($C126="B",INDEX(Batters[[#All],[T]],MATCH(Table5[[#This Row],[PID]],Batters[[#All],[PID]],0)),INDEX(Table3[[#All],[T]],MATCH(Table5[[#This Row],[PID]],Table3[[#All],[PID]],0)))</f>
        <v>R</v>
      </c>
      <c r="J126" s="54" t="str">
        <f>IF($C126="B",INDEX(Batters[[#All],[WE]],MATCH(Table5[[#This Row],[PID]],Batters[[#All],[PID]],0)),INDEX(Table3[[#All],[WE]],MATCH(Table5[[#This Row],[PID]],Table3[[#All],[PID]],0)))</f>
        <v>Normal</v>
      </c>
      <c r="K126" s="54" t="str">
        <f>IF($C126="B",INDEX(Batters[[#All],[INT]],MATCH(Table5[[#This Row],[PID]],Batters[[#All],[PID]],0)),INDEX(Table3[[#All],[INT]],MATCH(Table5[[#This Row],[PID]],Table3[[#All],[PID]],0)))</f>
        <v>Normal</v>
      </c>
      <c r="L126" s="62">
        <f>IF($C126="B",INDEX(Batters[[#All],[CON P]],MATCH(Table5[[#This Row],[PID]],Batters[[#All],[PID]],0)),INDEX(Table3[[#All],[STU P]],MATCH(Table5[[#This Row],[PID]],Table3[[#All],[PID]],0)))</f>
        <v>6</v>
      </c>
      <c r="M126" s="58">
        <f>IF($C126="B",INDEX(Batters[[#All],[GAP P]],MATCH(Table5[[#This Row],[PID]],Batters[[#All],[PID]],0)),INDEX(Table3[[#All],[MOV P]],MATCH(Table5[[#This Row],[PID]],Table3[[#All],[PID]],0)))</f>
        <v>5</v>
      </c>
      <c r="N126" s="58">
        <f>IF($C126="B",INDEX(Batters[[#All],[POW P]],MATCH(Table5[[#This Row],[PID]],Batters[[#All],[PID]],0)),INDEX(Table3[[#All],[CON P]],MATCH(Table5[[#This Row],[PID]],Table3[[#All],[PID]],0)))</f>
        <v>2</v>
      </c>
      <c r="O126" s="58" t="str">
        <f>IF($C126="B",INDEX(Batters[[#All],[EYE P]],MATCH(Table5[[#This Row],[PID]],Batters[[#All],[PID]],0)),INDEX(Table3[[#All],[VELO]],MATCH(Table5[[#This Row],[PID]],Table3[[#All],[PID]],0)))</f>
        <v>94-96 Mph</v>
      </c>
      <c r="P126" s="58">
        <f>IF($C126="B",INDEX(Batters[[#All],[K P]],MATCH(Table5[[#This Row],[PID]],Batters[[#All],[PID]],0)),INDEX(Table3[[#All],[STM]],MATCH(Table5[[#This Row],[PID]],Table3[[#All],[PID]],0)))</f>
        <v>4</v>
      </c>
      <c r="Q126" s="63">
        <f>IF($C126="B",INDEX(Batters[[#All],[Tot]],MATCH(Table5[[#This Row],[PID]],Batters[[#All],[PID]],0)),INDEX(Table3[[#All],[Tot]],MATCH(Table5[[#This Row],[PID]],Table3[[#All],[PID]],0)))</f>
        <v>48.448774736398278</v>
      </c>
      <c r="R126" s="54">
        <f>IF($C126="B",INDEX(Batters[[#All],[zScore]],MATCH(Table5[[#This Row],[PID]],Batters[[#All],[PID]],0)),INDEX(Table3[[#All],[zScore]],MATCH(Table5[[#This Row],[PID]],Table3[[#All],[PID]],0)))</f>
        <v>1.4421894565860698</v>
      </c>
      <c r="S126" s="60" t="str">
        <f>IF($C126="B",INDEX(Batters[[#All],[DEM]],MATCH(Table5[[#This Row],[PID]],Batters[[#All],[PID]],0)),INDEX(Table3[[#All],[DEM]],MATCH(Table5[[#This Row],[PID]],Table3[[#All],[PID]],0)))</f>
        <v>$65k</v>
      </c>
      <c r="T126" s="64">
        <f>IF($C126="B",VLOOKUP($A126,Bat!$A$4:$AU$1417,46,FALSE),VLOOKUP($A126,Pit!$A$4:$BD$570,55,FALSE))</f>
        <v>0</v>
      </c>
      <c r="U126" s="52">
        <f>IF($C126="B",VLOOKUP($A126,Bat!$A$4:$BA$1417,47,FALSE),VLOOKUP($A126,Pit!$A$4:$BF$570,56,FALSE))</f>
        <v>0</v>
      </c>
      <c r="V126" s="52">
        <f>IF($C126="B",VLOOKUP($A126,Bat!$A$4:$BA$1417,48,FALSE),VLOOKUP($A126,Pit!$A$4:$BF$570,57,FALSE))</f>
        <v>0</v>
      </c>
      <c r="W126" s="52">
        <f>Table5[[#This Row],[posRnk]]+Table5[[#This Row],[zRnk]]+IF($W$3&lt;&gt;Table5[[#This Row],[Type]],50,0)</f>
        <v>172</v>
      </c>
      <c r="X126" s="53">
        <f>RANK(Table5[[#This Row],[zScore]],Table5[[#All],[zScore]])</f>
        <v>122</v>
      </c>
      <c r="Y126" s="52" t="str">
        <f>IFERROR(INDEX(DraftResults[[#All],[OVR]],MATCH(Table5[[#This Row],[PID]],DraftResults[[#All],[Player ID]],0)),"")</f>
        <v/>
      </c>
      <c r="Z1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6" s="52" t="str">
        <f>IFERROR(INDEX(DraftResults[[#All],[Pick in Round]],MATCH(Table5[[#This Row],[PID]],DraftResults[[#All],[Player ID]],0)),"")</f>
        <v/>
      </c>
      <c r="AB126" s="52" t="str">
        <f>IFERROR(INDEX(DraftResults[[#All],[Team Name]],MATCH(Table5[[#This Row],[PID]],DraftResults[[#All],[Player ID]],0)),"")</f>
        <v/>
      </c>
      <c r="AC126" s="52" t="str">
        <f>IF(Table5[[#This Row],[Ovr]]="","",IF(Table5[[#This Row],[cmbList]]="","",Table5[[#This Row],[cmbList]]-Table5[[#This Row],[Ovr]]))</f>
        <v/>
      </c>
      <c r="AD126" s="56" t="str">
        <f>IF(ISERROR(VLOOKUP($AB126&amp;"-"&amp;$E126&amp;" "&amp;F126,Bonuses!$B$1:$G$1006,4,FALSE)),"",INT(VLOOKUP($AB126&amp;"-"&amp;$E126&amp;" "&amp;$F126,Bonuses!$B$1:$G$1006,4,FALSE)))</f>
        <v/>
      </c>
      <c r="AE1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7" spans="1:31" s="52" customFormat="1" x14ac:dyDescent="0.25">
      <c r="A127" s="52">
        <v>8387</v>
      </c>
      <c r="B127" s="52">
        <f>COUNTIF(Table5[PID],A127)</f>
        <v>1</v>
      </c>
      <c r="C127" s="52" t="str">
        <f>IF(COUNTIF(Table3[[#All],[PID]],A127)&gt;0,"P","B")</f>
        <v>P</v>
      </c>
      <c r="D127" s="61" t="str">
        <f>IF($C127="B",INDEX(Batters[[#All],[POS]],MATCH(Table5[[#This Row],[PID]],Batters[[#All],[PID]],0)),INDEX(Table3[[#All],[POS]],MATCH(Table5[[#This Row],[PID]],Table3[[#All],[PID]],0)))</f>
        <v>SP</v>
      </c>
      <c r="E127" s="54" t="str">
        <f>IF($C127="B",INDEX(Batters[[#All],[First]],MATCH(Table5[[#This Row],[PID]],Batters[[#All],[PID]],0)),INDEX(Table3[[#All],[First]],MATCH(Table5[[#This Row],[PID]],Table3[[#All],[PID]],0)))</f>
        <v>León</v>
      </c>
      <c r="F127" s="52" t="str">
        <f>IF($C127="B",INDEX(Batters[[#All],[Last]],MATCH(A127,Batters[[#All],[PID]],0)),INDEX(Table3[[#All],[Last]],MATCH(A127,Table3[[#All],[PID]],0)))</f>
        <v>Vega</v>
      </c>
      <c r="G127" s="58">
        <f>IF($C127="B",INDEX(Batters[[#All],[Age]],MATCH(Table5[[#This Row],[PID]],Batters[[#All],[PID]],0)),INDEX(Table3[[#All],[Age]],MATCH(Table5[[#This Row],[PID]],Table3[[#All],[PID]],0)))</f>
        <v>18</v>
      </c>
      <c r="H127" s="54" t="str">
        <f>IF($C127="B",INDEX(Batters[[#All],[B]],MATCH(Table5[[#This Row],[PID]],Batters[[#All],[PID]],0)),INDEX(Table3[[#All],[B]],MATCH(Table5[[#This Row],[PID]],Table3[[#All],[PID]],0)))</f>
        <v>R</v>
      </c>
      <c r="I127" s="54" t="str">
        <f>IF($C127="B",INDEX(Batters[[#All],[T]],MATCH(Table5[[#This Row],[PID]],Batters[[#All],[PID]],0)),INDEX(Table3[[#All],[T]],MATCH(Table5[[#This Row],[PID]],Table3[[#All],[PID]],0)))</f>
        <v>R</v>
      </c>
      <c r="J127" s="54" t="str">
        <f>IF($C127="B",INDEX(Batters[[#All],[WE]],MATCH(Table5[[#This Row],[PID]],Batters[[#All],[PID]],0)),INDEX(Table3[[#All],[WE]],MATCH(Table5[[#This Row],[PID]],Table3[[#All],[PID]],0)))</f>
        <v>Normal</v>
      </c>
      <c r="K127" s="54" t="str">
        <f>IF($C127="B",INDEX(Batters[[#All],[INT]],MATCH(Table5[[#This Row],[PID]],Batters[[#All],[PID]],0)),INDEX(Table3[[#All],[INT]],MATCH(Table5[[#This Row],[PID]],Table3[[#All],[PID]],0)))</f>
        <v>Normal</v>
      </c>
      <c r="L127" s="62">
        <f>IF($C127="B",INDEX(Batters[[#All],[CON P]],MATCH(Table5[[#This Row],[PID]],Batters[[#All],[PID]],0)),INDEX(Table3[[#All],[STU P]],MATCH(Table5[[#This Row],[PID]],Table3[[#All],[PID]],0)))</f>
        <v>4</v>
      </c>
      <c r="M127" s="58">
        <f>IF($C127="B",INDEX(Batters[[#All],[GAP P]],MATCH(Table5[[#This Row],[PID]],Batters[[#All],[PID]],0)),INDEX(Table3[[#All],[MOV P]],MATCH(Table5[[#This Row],[PID]],Table3[[#All],[PID]],0)))</f>
        <v>4</v>
      </c>
      <c r="N127" s="58">
        <f>IF($C127="B",INDEX(Batters[[#All],[POW P]],MATCH(Table5[[#This Row],[PID]],Batters[[#All],[PID]],0)),INDEX(Table3[[#All],[CON P]],MATCH(Table5[[#This Row],[PID]],Table3[[#All],[PID]],0)))</f>
        <v>4</v>
      </c>
      <c r="O127" s="58" t="str">
        <f>IF($C127="B",INDEX(Batters[[#All],[EYE P]],MATCH(Table5[[#This Row],[PID]],Batters[[#All],[PID]],0)),INDEX(Table3[[#All],[VELO]],MATCH(Table5[[#This Row],[PID]],Table3[[#All],[PID]],0)))</f>
        <v>90-92 Mph</v>
      </c>
      <c r="P127" s="58">
        <f>IF($C127="B",INDEX(Batters[[#All],[K P]],MATCH(Table5[[#This Row],[PID]],Batters[[#All],[PID]],0)),INDEX(Table3[[#All],[STM]],MATCH(Table5[[#This Row],[PID]],Table3[[#All],[PID]],0)))</f>
        <v>8</v>
      </c>
      <c r="Q127" s="63">
        <f>IF($C127="B",INDEX(Batters[[#All],[Tot]],MATCH(Table5[[#This Row],[PID]],Batters[[#All],[PID]],0)),INDEX(Table3[[#All],[Tot]],MATCH(Table5[[#This Row],[PID]],Table3[[#All],[PID]],0)))</f>
        <v>48.325616170682324</v>
      </c>
      <c r="R127" s="54">
        <f>IF($C127="B",INDEX(Batters[[#All],[zScore]],MATCH(Table5[[#This Row],[PID]],Batters[[#All],[PID]],0)),INDEX(Table3[[#All],[zScore]],MATCH(Table5[[#This Row],[PID]],Table3[[#All],[PID]],0)))</f>
        <v>1.4308952897191438</v>
      </c>
      <c r="S127" s="60" t="str">
        <f>IF($C127="B",INDEX(Batters[[#All],[DEM]],MATCH(Table5[[#This Row],[PID]],Batters[[#All],[PID]],0)),INDEX(Table3[[#All],[DEM]],MATCH(Table5[[#This Row],[PID]],Table3[[#All],[PID]],0)))</f>
        <v>$200k</v>
      </c>
      <c r="T127" s="64">
        <f>IF($C127="B",VLOOKUP($A127,Bat!$A$4:$AU$1417,46,FALSE),VLOOKUP($A127,Pit!$A$4:$BD$570,55,FALSE))</f>
        <v>0</v>
      </c>
      <c r="U127" s="52">
        <f>IF($C127="B",VLOOKUP($A127,Bat!$A$4:$BA$1417,47,FALSE),VLOOKUP($A127,Pit!$A$4:$BF$570,56,FALSE))</f>
        <v>0</v>
      </c>
      <c r="V127" s="52">
        <f>IF($C127="B",VLOOKUP($A127,Bat!$A$4:$BA$1417,48,FALSE),VLOOKUP($A127,Pit!$A$4:$BF$570,57,FALSE))</f>
        <v>0</v>
      </c>
      <c r="W127" s="52">
        <f>Table5[[#This Row],[posRnk]]+Table5[[#This Row],[zRnk]]+IF($W$3&lt;&gt;Table5[[#This Row],[Type]],50,0)</f>
        <v>173</v>
      </c>
      <c r="X127" s="53">
        <f>RANK(Table5[[#This Row],[zScore]],Table5[[#All],[zScore]])</f>
        <v>123</v>
      </c>
      <c r="Y127" s="52" t="str">
        <f>IFERROR(INDEX(DraftResults[[#All],[OVR]],MATCH(Table5[[#This Row],[PID]],DraftResults[[#All],[Player ID]],0)),"")</f>
        <v/>
      </c>
      <c r="Z1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7" s="52" t="str">
        <f>IFERROR(INDEX(DraftResults[[#All],[Pick in Round]],MATCH(Table5[[#This Row],[PID]],DraftResults[[#All],[Player ID]],0)),"")</f>
        <v/>
      </c>
      <c r="AB127" s="52" t="str">
        <f>IFERROR(INDEX(DraftResults[[#All],[Team Name]],MATCH(Table5[[#This Row],[PID]],DraftResults[[#All],[Player ID]],0)),"")</f>
        <v/>
      </c>
      <c r="AC127" s="52" t="str">
        <f>IF(Table5[[#This Row],[Ovr]]="","",IF(Table5[[#This Row],[cmbList]]="","",Table5[[#This Row],[cmbList]]-Table5[[#This Row],[Ovr]]))</f>
        <v/>
      </c>
      <c r="AD127" s="56" t="str">
        <f>IF(ISERROR(VLOOKUP($AB127&amp;"-"&amp;$E127&amp;" "&amp;F127,Bonuses!$B$1:$G$1006,4,FALSE)),"",INT(VLOOKUP($AB127&amp;"-"&amp;$E127&amp;" "&amp;$F127,Bonuses!$B$1:$G$1006,4,FALSE)))</f>
        <v/>
      </c>
      <c r="AE1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8" spans="1:31" s="52" customFormat="1" x14ac:dyDescent="0.25">
      <c r="A128" s="52">
        <v>12525</v>
      </c>
      <c r="B128" s="52">
        <f>COUNTIF(Table5[PID],A128)</f>
        <v>1</v>
      </c>
      <c r="C128" s="52" t="str">
        <f>IF(COUNTIF(Table3[[#All],[PID]],A128)&gt;0,"P","B")</f>
        <v>P</v>
      </c>
      <c r="D128" s="61" t="str">
        <f>IF($C128="B",INDEX(Batters[[#All],[POS]],MATCH(Table5[[#This Row],[PID]],Batters[[#All],[PID]],0)),INDEX(Table3[[#All],[POS]],MATCH(Table5[[#This Row],[PID]],Table3[[#All],[PID]],0)))</f>
        <v>RP</v>
      </c>
      <c r="E128" s="54" t="str">
        <f>IF($C128="B",INDEX(Batters[[#All],[First]],MATCH(Table5[[#This Row],[PID]],Batters[[#All],[PID]],0)),INDEX(Table3[[#All],[First]],MATCH(Table5[[#This Row],[PID]],Table3[[#All],[PID]],0)))</f>
        <v>Chris</v>
      </c>
      <c r="F128" s="52" t="str">
        <f>IF($C128="B",INDEX(Batters[[#All],[Last]],MATCH(A128,Batters[[#All],[PID]],0)),INDEX(Table3[[#All],[Last]],MATCH(A128,Table3[[#All],[PID]],0)))</f>
        <v>Peoples</v>
      </c>
      <c r="G128" s="58">
        <f>IF($C128="B",INDEX(Batters[[#All],[Age]],MATCH(Table5[[#This Row],[PID]],Batters[[#All],[PID]],0)),INDEX(Table3[[#All],[Age]],MATCH(Table5[[#This Row],[PID]],Table3[[#All],[PID]],0)))</f>
        <v>18</v>
      </c>
      <c r="H128" s="54" t="str">
        <f>IF($C128="B",INDEX(Batters[[#All],[B]],MATCH(Table5[[#This Row],[PID]],Batters[[#All],[PID]],0)),INDEX(Table3[[#All],[B]],MATCH(Table5[[#This Row],[PID]],Table3[[#All],[PID]],0)))</f>
        <v>S</v>
      </c>
      <c r="I128" s="54" t="str">
        <f>IF($C128="B",INDEX(Batters[[#All],[T]],MATCH(Table5[[#This Row],[PID]],Batters[[#All],[PID]],0)),INDEX(Table3[[#All],[T]],MATCH(Table5[[#This Row],[PID]],Table3[[#All],[PID]],0)))</f>
        <v>R</v>
      </c>
      <c r="J128" s="54" t="str">
        <f>IF($C128="B",INDEX(Batters[[#All],[WE]],MATCH(Table5[[#This Row],[PID]],Batters[[#All],[PID]],0)),INDEX(Table3[[#All],[WE]],MATCH(Table5[[#This Row],[PID]],Table3[[#All],[PID]],0)))</f>
        <v>High</v>
      </c>
      <c r="K128" s="54" t="str">
        <f>IF($C128="B",INDEX(Batters[[#All],[INT]],MATCH(Table5[[#This Row],[PID]],Batters[[#All],[PID]],0)),INDEX(Table3[[#All],[INT]],MATCH(Table5[[#This Row],[PID]],Table3[[#All],[PID]],0)))</f>
        <v>Normal</v>
      </c>
      <c r="L128" s="62">
        <f>IF($C128="B",INDEX(Batters[[#All],[CON P]],MATCH(Table5[[#This Row],[PID]],Batters[[#All],[PID]],0)),INDEX(Table3[[#All],[STU P]],MATCH(Table5[[#This Row],[PID]],Table3[[#All],[PID]],0)))</f>
        <v>5</v>
      </c>
      <c r="M128" s="58">
        <f>IF($C128="B",INDEX(Batters[[#All],[GAP P]],MATCH(Table5[[#This Row],[PID]],Batters[[#All],[PID]],0)),INDEX(Table3[[#All],[MOV P]],MATCH(Table5[[#This Row],[PID]],Table3[[#All],[PID]],0)))</f>
        <v>6</v>
      </c>
      <c r="N128" s="58">
        <f>IF($C128="B",INDEX(Batters[[#All],[POW P]],MATCH(Table5[[#This Row],[PID]],Batters[[#All],[PID]],0)),INDEX(Table3[[#All],[CON P]],MATCH(Table5[[#This Row],[PID]],Table3[[#All],[PID]],0)))</f>
        <v>3</v>
      </c>
      <c r="O128" s="58" t="str">
        <f>IF($C128="B",INDEX(Batters[[#All],[EYE P]],MATCH(Table5[[#This Row],[PID]],Batters[[#All],[PID]],0)),INDEX(Table3[[#All],[VELO]],MATCH(Table5[[#This Row],[PID]],Table3[[#All],[PID]],0)))</f>
        <v>94-96 Mph</v>
      </c>
      <c r="P128" s="58">
        <f>IF($C128="B",INDEX(Batters[[#All],[K P]],MATCH(Table5[[#This Row],[PID]],Batters[[#All],[PID]],0)),INDEX(Table3[[#All],[STM]],MATCH(Table5[[#This Row],[PID]],Table3[[#All],[PID]],0)))</f>
        <v>7</v>
      </c>
      <c r="Q128" s="63">
        <f>IF($C128="B",INDEX(Batters[[#All],[Tot]],MATCH(Table5[[#This Row],[PID]],Batters[[#All],[PID]],0)),INDEX(Table3[[#All],[Tot]],MATCH(Table5[[#This Row],[PID]],Table3[[#All],[PID]],0)))</f>
        <v>48.137532720302985</v>
      </c>
      <c r="R128" s="54">
        <f>IF($C128="B",INDEX(Batters[[#All],[zScore]],MATCH(Table5[[#This Row],[PID]],Batters[[#All],[PID]],0)),INDEX(Table3[[#All],[zScore]],MATCH(Table5[[#This Row],[PID]],Table3[[#All],[PID]],0)))</f>
        <v>1.4136472334337962</v>
      </c>
      <c r="S128" s="60" t="str">
        <f>IF($C128="B",INDEX(Batters[[#All],[DEM]],MATCH(Table5[[#This Row],[PID]],Batters[[#All],[PID]],0)),INDEX(Table3[[#All],[DEM]],MATCH(Table5[[#This Row],[PID]],Table3[[#All],[PID]],0)))</f>
        <v>$200k</v>
      </c>
      <c r="T128" s="64">
        <f>IF($C128="B",VLOOKUP($A128,Bat!$A$4:$AU$1417,46,FALSE),VLOOKUP($A128,Pit!$A$4:$BD$570,55,FALSE))</f>
        <v>0</v>
      </c>
      <c r="U128" s="52">
        <f>IF($C128="B",VLOOKUP($A128,Bat!$A$4:$BA$1417,47,FALSE),VLOOKUP($A128,Pit!$A$4:$BF$570,56,FALSE))</f>
        <v>0</v>
      </c>
      <c r="V128" s="52">
        <f>IF($C128="B",VLOOKUP($A128,Bat!$A$4:$BA$1417,48,FALSE),VLOOKUP($A128,Pit!$A$4:$BF$570,57,FALSE))</f>
        <v>0</v>
      </c>
      <c r="W128" s="52">
        <f>Table5[[#This Row],[posRnk]]+Table5[[#This Row],[zRnk]]+IF($W$3&lt;&gt;Table5[[#This Row],[Type]],50,0)</f>
        <v>174</v>
      </c>
      <c r="X128" s="53">
        <f>RANK(Table5[[#This Row],[zScore]],Table5[[#All],[zScore]])</f>
        <v>124</v>
      </c>
      <c r="Y128" s="52" t="str">
        <f>IFERROR(INDEX(DraftResults[[#All],[OVR]],MATCH(Table5[[#This Row],[PID]],DraftResults[[#All],[Player ID]],0)),"")</f>
        <v/>
      </c>
      <c r="Z1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8" s="52" t="str">
        <f>IFERROR(INDEX(DraftResults[[#All],[Pick in Round]],MATCH(Table5[[#This Row],[PID]],DraftResults[[#All],[Player ID]],0)),"")</f>
        <v/>
      </c>
      <c r="AB128" s="52" t="str">
        <f>IFERROR(INDEX(DraftResults[[#All],[Team Name]],MATCH(Table5[[#This Row],[PID]],DraftResults[[#All],[Player ID]],0)),"")</f>
        <v/>
      </c>
      <c r="AC128" s="52" t="str">
        <f>IF(Table5[[#This Row],[Ovr]]="","",IF(Table5[[#This Row],[cmbList]]="","",Table5[[#This Row],[cmbList]]-Table5[[#This Row],[Ovr]]))</f>
        <v/>
      </c>
      <c r="AD128" s="56" t="str">
        <f>IF(ISERROR(VLOOKUP($AB128&amp;"-"&amp;$E128&amp;" "&amp;F128,Bonuses!$B$1:$G$1006,4,FALSE)),"",INT(VLOOKUP($AB128&amp;"-"&amp;$E128&amp;" "&amp;$F128,Bonuses!$B$1:$G$1006,4,FALSE)))</f>
        <v/>
      </c>
      <c r="AE1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9" spans="1:31" s="52" customFormat="1" x14ac:dyDescent="0.25">
      <c r="A129" s="52">
        <v>13399</v>
      </c>
      <c r="B129" s="52">
        <f>COUNTIF(Table5[PID],A129)</f>
        <v>1</v>
      </c>
      <c r="C129" s="52" t="str">
        <f>IF(COUNTIF(Table3[[#All],[PID]],A129)&gt;0,"P","B")</f>
        <v>P</v>
      </c>
      <c r="D129" s="61" t="str">
        <f>IF($C129="B",INDEX(Batters[[#All],[POS]],MATCH(Table5[[#This Row],[PID]],Batters[[#All],[PID]],0)),INDEX(Table3[[#All],[POS]],MATCH(Table5[[#This Row],[PID]],Table3[[#All],[PID]],0)))</f>
        <v>RP</v>
      </c>
      <c r="E129" s="54" t="str">
        <f>IF($C129="B",INDEX(Batters[[#All],[First]],MATCH(Table5[[#This Row],[PID]],Batters[[#All],[PID]],0)),INDEX(Table3[[#All],[First]],MATCH(Table5[[#This Row],[PID]],Table3[[#All],[PID]],0)))</f>
        <v>Carlos</v>
      </c>
      <c r="F129" s="52" t="str">
        <f>IF($C129="B",INDEX(Batters[[#All],[Last]],MATCH(A129,Batters[[#All],[PID]],0)),INDEX(Table3[[#All],[Last]],MATCH(A129,Table3[[#All],[PID]],0)))</f>
        <v>Díaz</v>
      </c>
      <c r="G129" s="58">
        <f>IF($C129="B",INDEX(Batters[[#All],[Age]],MATCH(Table5[[#This Row],[PID]],Batters[[#All],[PID]],0)),INDEX(Table3[[#All],[Age]],MATCH(Table5[[#This Row],[PID]],Table3[[#All],[PID]],0)))</f>
        <v>18</v>
      </c>
      <c r="H129" s="54" t="str">
        <f>IF($C129="B",INDEX(Batters[[#All],[B]],MATCH(Table5[[#This Row],[PID]],Batters[[#All],[PID]],0)),INDEX(Table3[[#All],[B]],MATCH(Table5[[#This Row],[PID]],Table3[[#All],[PID]],0)))</f>
        <v>R</v>
      </c>
      <c r="I129" s="54" t="str">
        <f>IF($C129="B",INDEX(Batters[[#All],[T]],MATCH(Table5[[#This Row],[PID]],Batters[[#All],[PID]],0)),INDEX(Table3[[#All],[T]],MATCH(Table5[[#This Row],[PID]],Table3[[#All],[PID]],0)))</f>
        <v>R</v>
      </c>
      <c r="J129" s="54" t="str">
        <f>IF($C129="B",INDEX(Batters[[#All],[WE]],MATCH(Table5[[#This Row],[PID]],Batters[[#All],[PID]],0)),INDEX(Table3[[#All],[WE]],MATCH(Table5[[#This Row],[PID]],Table3[[#All],[PID]],0)))</f>
        <v>Low</v>
      </c>
      <c r="K129" s="54" t="str">
        <f>IF($C129="B",INDEX(Batters[[#All],[INT]],MATCH(Table5[[#This Row],[PID]],Batters[[#All],[PID]],0)),INDEX(Table3[[#All],[INT]],MATCH(Table5[[#This Row],[PID]],Table3[[#All],[PID]],0)))</f>
        <v>Low</v>
      </c>
      <c r="L129" s="62">
        <f>IF($C129="B",INDEX(Batters[[#All],[CON P]],MATCH(Table5[[#This Row],[PID]],Batters[[#All],[PID]],0)),INDEX(Table3[[#All],[STU P]],MATCH(Table5[[#This Row],[PID]],Table3[[#All],[PID]],0)))</f>
        <v>7</v>
      </c>
      <c r="M129" s="58">
        <f>IF($C129="B",INDEX(Batters[[#All],[GAP P]],MATCH(Table5[[#This Row],[PID]],Batters[[#All],[PID]],0)),INDEX(Table3[[#All],[MOV P]],MATCH(Table5[[#This Row],[PID]],Table3[[#All],[PID]],0)))</f>
        <v>5</v>
      </c>
      <c r="N129" s="58">
        <f>IF($C129="B",INDEX(Batters[[#All],[POW P]],MATCH(Table5[[#This Row],[PID]],Batters[[#All],[PID]],0)),INDEX(Table3[[#All],[CON P]],MATCH(Table5[[#This Row],[PID]],Table3[[#All],[PID]],0)))</f>
        <v>2</v>
      </c>
      <c r="O129" s="58" t="str">
        <f>IF($C129="B",INDEX(Batters[[#All],[EYE P]],MATCH(Table5[[#This Row],[PID]],Batters[[#All],[PID]],0)),INDEX(Table3[[#All],[VELO]],MATCH(Table5[[#This Row],[PID]],Table3[[#All],[PID]],0)))</f>
        <v>94-96 Mph</v>
      </c>
      <c r="P129" s="58">
        <f>IF($C129="B",INDEX(Batters[[#All],[K P]],MATCH(Table5[[#This Row],[PID]],Batters[[#All],[PID]],0)),INDEX(Table3[[#All],[STM]],MATCH(Table5[[#This Row],[PID]],Table3[[#All],[PID]],0)))</f>
        <v>10</v>
      </c>
      <c r="Q129" s="63">
        <f>IF($C129="B",INDEX(Batters[[#All],[Tot]],MATCH(Table5[[#This Row],[PID]],Batters[[#All],[PID]],0)),INDEX(Table3[[#All],[Tot]],MATCH(Table5[[#This Row],[PID]],Table3[[#All],[PID]],0)))</f>
        <v>48.095803453909923</v>
      </c>
      <c r="R129" s="54">
        <f>IF($C129="B",INDEX(Batters[[#All],[zScore]],MATCH(Table5[[#This Row],[PID]],Batters[[#All],[PID]],0)),INDEX(Table3[[#All],[zScore]],MATCH(Table5[[#This Row],[PID]],Table3[[#All],[PID]],0)))</f>
        <v>1.4098204813509194</v>
      </c>
      <c r="S129" s="60" t="str">
        <f>IF($C129="B",INDEX(Batters[[#All],[DEM]],MATCH(Table5[[#This Row],[PID]],Batters[[#All],[PID]],0)),INDEX(Table3[[#All],[DEM]],MATCH(Table5[[#This Row],[PID]],Table3[[#All],[PID]],0)))</f>
        <v>$240k</v>
      </c>
      <c r="T129" s="64">
        <f>IF($C129="B",VLOOKUP($A129,Bat!$A$4:$AU$1417,46,FALSE),VLOOKUP($A129,Pit!$A$4:$BD$570,55,FALSE))</f>
        <v>0</v>
      </c>
      <c r="U129" s="52">
        <f>IF($C129="B",VLOOKUP($A129,Bat!$A$4:$BA$1417,47,FALSE),VLOOKUP($A129,Pit!$A$4:$BF$570,56,FALSE))</f>
        <v>0</v>
      </c>
      <c r="V129" s="52">
        <f>IF($C129="B",VLOOKUP($A129,Bat!$A$4:$BA$1417,48,FALSE),VLOOKUP($A129,Pit!$A$4:$BF$570,57,FALSE))</f>
        <v>0</v>
      </c>
      <c r="W129" s="52">
        <f>Table5[[#This Row],[posRnk]]+Table5[[#This Row],[zRnk]]+IF($W$3&lt;&gt;Table5[[#This Row],[Type]],50,0)</f>
        <v>175</v>
      </c>
      <c r="X129" s="53">
        <f>RANK(Table5[[#This Row],[zScore]],Table5[[#All],[zScore]])</f>
        <v>125</v>
      </c>
      <c r="Y129" s="52" t="str">
        <f>IFERROR(INDEX(DraftResults[[#All],[OVR]],MATCH(Table5[[#This Row],[PID]],DraftResults[[#All],[Player ID]],0)),"")</f>
        <v/>
      </c>
      <c r="Z1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9" s="52" t="str">
        <f>IFERROR(INDEX(DraftResults[[#All],[Pick in Round]],MATCH(Table5[[#This Row],[PID]],DraftResults[[#All],[Player ID]],0)),"")</f>
        <v/>
      </c>
      <c r="AB129" s="52" t="str">
        <f>IFERROR(INDEX(DraftResults[[#All],[Team Name]],MATCH(Table5[[#This Row],[PID]],DraftResults[[#All],[Player ID]],0)),"")</f>
        <v/>
      </c>
      <c r="AC129" s="52" t="str">
        <f>IF(Table5[[#This Row],[Ovr]]="","",IF(Table5[[#This Row],[cmbList]]="","",Table5[[#This Row],[cmbList]]-Table5[[#This Row],[Ovr]]))</f>
        <v/>
      </c>
      <c r="AD129" s="56" t="str">
        <f>IF(ISERROR(VLOOKUP($AB129&amp;"-"&amp;$E129&amp;" "&amp;F129,Bonuses!$B$1:$G$1006,4,FALSE)),"",INT(VLOOKUP($AB129&amp;"-"&amp;$E129&amp;" "&amp;$F129,Bonuses!$B$1:$G$1006,4,FALSE)))</f>
        <v/>
      </c>
      <c r="AE1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0" spans="1:31" s="52" customFormat="1" x14ac:dyDescent="0.25">
      <c r="A130" s="52">
        <v>10240</v>
      </c>
      <c r="B130" s="52">
        <f>COUNTIF(Table5[PID],A130)</f>
        <v>1</v>
      </c>
      <c r="C130" s="52" t="str">
        <f>IF(COUNTIF(Table3[[#All],[PID]],A130)&gt;0,"P","B")</f>
        <v>P</v>
      </c>
      <c r="D130" s="61" t="str">
        <f>IF($C130="B",INDEX(Batters[[#All],[POS]],MATCH(Table5[[#This Row],[PID]],Batters[[#All],[PID]],0)),INDEX(Table3[[#All],[POS]],MATCH(Table5[[#This Row],[PID]],Table3[[#All],[PID]],0)))</f>
        <v>RP</v>
      </c>
      <c r="E130" s="54" t="str">
        <f>IF($C130="B",INDEX(Batters[[#All],[First]],MATCH(Table5[[#This Row],[PID]],Batters[[#All],[PID]],0)),INDEX(Table3[[#All],[First]],MATCH(Table5[[#This Row],[PID]],Table3[[#All],[PID]],0)))</f>
        <v>José</v>
      </c>
      <c r="F130" s="52" t="str">
        <f>IF($C130="B",INDEX(Batters[[#All],[Last]],MATCH(A130,Batters[[#All],[PID]],0)),INDEX(Table3[[#All],[Last]],MATCH(A130,Table3[[#All],[PID]],0)))</f>
        <v>Moreno</v>
      </c>
      <c r="G130" s="58">
        <f>IF($C130="B",INDEX(Batters[[#All],[Age]],MATCH(Table5[[#This Row],[PID]],Batters[[#All],[PID]],0)),INDEX(Table3[[#All],[Age]],MATCH(Table5[[#This Row],[PID]],Table3[[#All],[PID]],0)))</f>
        <v>21</v>
      </c>
      <c r="H130" s="54" t="str">
        <f>IF($C130="B",INDEX(Batters[[#All],[B]],MATCH(Table5[[#This Row],[PID]],Batters[[#All],[PID]],0)),INDEX(Table3[[#All],[B]],MATCH(Table5[[#This Row],[PID]],Table3[[#All],[PID]],0)))</f>
        <v>L</v>
      </c>
      <c r="I130" s="54" t="str">
        <f>IF($C130="B",INDEX(Batters[[#All],[T]],MATCH(Table5[[#This Row],[PID]],Batters[[#All],[PID]],0)),INDEX(Table3[[#All],[T]],MATCH(Table5[[#This Row],[PID]],Table3[[#All],[PID]],0)))</f>
        <v>L</v>
      </c>
      <c r="J130" s="54" t="str">
        <f>IF($C130="B",INDEX(Batters[[#All],[WE]],MATCH(Table5[[#This Row],[PID]],Batters[[#All],[PID]],0)),INDEX(Table3[[#All],[WE]],MATCH(Table5[[#This Row],[PID]],Table3[[#All],[PID]],0)))</f>
        <v>Normal</v>
      </c>
      <c r="K130" s="54" t="str">
        <f>IF($C130="B",INDEX(Batters[[#All],[INT]],MATCH(Table5[[#This Row],[PID]],Batters[[#All],[PID]],0)),INDEX(Table3[[#All],[INT]],MATCH(Table5[[#This Row],[PID]],Table3[[#All],[PID]],0)))</f>
        <v>Normal</v>
      </c>
      <c r="L130" s="62">
        <f>IF($C130="B",INDEX(Batters[[#All],[CON P]],MATCH(Table5[[#This Row],[PID]],Batters[[#All],[PID]],0)),INDEX(Table3[[#All],[STU P]],MATCH(Table5[[#This Row],[PID]],Table3[[#All],[PID]],0)))</f>
        <v>5</v>
      </c>
      <c r="M130" s="58">
        <f>IF($C130="B",INDEX(Batters[[#All],[GAP P]],MATCH(Table5[[#This Row],[PID]],Batters[[#All],[PID]],0)),INDEX(Table3[[#All],[MOV P]],MATCH(Table5[[#This Row],[PID]],Table3[[#All],[PID]],0)))</f>
        <v>3</v>
      </c>
      <c r="N130" s="58">
        <f>IF($C130="B",INDEX(Batters[[#All],[POW P]],MATCH(Table5[[#This Row],[PID]],Batters[[#All],[PID]],0)),INDEX(Table3[[#All],[CON P]],MATCH(Table5[[#This Row],[PID]],Table3[[#All],[PID]],0)))</f>
        <v>5</v>
      </c>
      <c r="O130" s="58" t="str">
        <f>IF($C130="B",INDEX(Batters[[#All],[EYE P]],MATCH(Table5[[#This Row],[PID]],Batters[[#All],[PID]],0)),INDEX(Table3[[#All],[VELO]],MATCH(Table5[[#This Row],[PID]],Table3[[#All],[PID]],0)))</f>
        <v>94-96 Mph</v>
      </c>
      <c r="P130" s="58">
        <f>IF($C130="B",INDEX(Batters[[#All],[K P]],MATCH(Table5[[#This Row],[PID]],Batters[[#All],[PID]],0)),INDEX(Table3[[#All],[STM]],MATCH(Table5[[#This Row],[PID]],Table3[[#All],[PID]],0)))</f>
        <v>5</v>
      </c>
      <c r="Q130" s="63">
        <f>IF($C130="B",INDEX(Batters[[#All],[Tot]],MATCH(Table5[[#This Row],[PID]],Batters[[#All],[PID]],0)),INDEX(Table3[[#All],[Tot]],MATCH(Table5[[#This Row],[PID]],Table3[[#All],[PID]],0)))</f>
        <v>48.081348144316223</v>
      </c>
      <c r="R130" s="54">
        <f>IF($C130="B",INDEX(Batters[[#All],[zScore]],MATCH(Table5[[#This Row],[PID]],Batters[[#All],[PID]],0)),INDEX(Table3[[#All],[zScore]],MATCH(Table5[[#This Row],[PID]],Table3[[#All],[PID]],0)))</f>
        <v>1.4084948676778855</v>
      </c>
      <c r="S130" s="60" t="str">
        <f>IF($C130="B",INDEX(Batters[[#All],[DEM]],MATCH(Table5[[#This Row],[PID]],Batters[[#All],[PID]],0)),INDEX(Table3[[#All],[DEM]],MATCH(Table5[[#This Row],[PID]],Table3[[#All],[PID]],0)))</f>
        <v>-</v>
      </c>
      <c r="T130" s="64">
        <f>IF($C130="B",VLOOKUP($A130,Bat!$A$4:$AU$1417,46,FALSE),VLOOKUP($A130,Pit!$A$4:$BD$570,55,FALSE))</f>
        <v>0</v>
      </c>
      <c r="U130" s="52">
        <f>IF($C130="B",VLOOKUP($A130,Bat!$A$4:$BA$1417,47,FALSE),VLOOKUP($A130,Pit!$A$4:$BF$570,56,FALSE))</f>
        <v>0</v>
      </c>
      <c r="V130" s="52">
        <f>IF($C130="B",VLOOKUP($A130,Bat!$A$4:$BA$1417,48,FALSE),VLOOKUP($A130,Pit!$A$4:$BF$570,57,FALSE))</f>
        <v>0</v>
      </c>
      <c r="W130" s="52">
        <f>Table5[[#This Row],[posRnk]]+Table5[[#This Row],[zRnk]]+IF($W$3&lt;&gt;Table5[[#This Row],[Type]],50,0)</f>
        <v>176</v>
      </c>
      <c r="X130" s="53">
        <f>RANK(Table5[[#This Row],[zScore]],Table5[[#All],[zScore]])</f>
        <v>126</v>
      </c>
      <c r="Y130" s="52" t="str">
        <f>IFERROR(INDEX(DraftResults[[#All],[OVR]],MATCH(Table5[[#This Row],[PID]],DraftResults[[#All],[Player ID]],0)),"")</f>
        <v/>
      </c>
      <c r="Z1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0" s="52" t="str">
        <f>IFERROR(INDEX(DraftResults[[#All],[Pick in Round]],MATCH(Table5[[#This Row],[PID]],DraftResults[[#All],[Player ID]],0)),"")</f>
        <v/>
      </c>
      <c r="AB130" s="52" t="str">
        <f>IFERROR(INDEX(DraftResults[[#All],[Team Name]],MATCH(Table5[[#This Row],[PID]],DraftResults[[#All],[Player ID]],0)),"")</f>
        <v/>
      </c>
      <c r="AC130" s="52" t="str">
        <f>IF(Table5[[#This Row],[Ovr]]="","",IF(Table5[[#This Row],[cmbList]]="","",Table5[[#This Row],[cmbList]]-Table5[[#This Row],[Ovr]]))</f>
        <v/>
      </c>
      <c r="AD130" s="56" t="str">
        <f>IF(ISERROR(VLOOKUP($AB130&amp;"-"&amp;$E130&amp;" "&amp;F130,Bonuses!$B$1:$G$1006,4,FALSE)),"",INT(VLOOKUP($AB130&amp;"-"&amp;$E130&amp;" "&amp;$F130,Bonuses!$B$1:$G$1006,4,FALSE)))</f>
        <v/>
      </c>
      <c r="AE1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1" spans="1:31" s="52" customFormat="1" x14ac:dyDescent="0.25">
      <c r="A131" s="52">
        <v>8126</v>
      </c>
      <c r="B131" s="52">
        <f>COUNTIF(Table5[PID],A131)</f>
        <v>1</v>
      </c>
      <c r="C131" s="52" t="str">
        <f>IF(COUNTIF(Table3[[#All],[PID]],A131)&gt;0,"P","B")</f>
        <v>P</v>
      </c>
      <c r="D131" s="61" t="str">
        <f>IF($C131="B",INDEX(Batters[[#All],[POS]],MATCH(Table5[[#This Row],[PID]],Batters[[#All],[PID]],0)),INDEX(Table3[[#All],[POS]],MATCH(Table5[[#This Row],[PID]],Table3[[#All],[PID]],0)))</f>
        <v>SP</v>
      </c>
      <c r="E131" s="54" t="str">
        <f>IF($C131="B",INDEX(Batters[[#All],[First]],MATCH(Table5[[#This Row],[PID]],Batters[[#All],[PID]],0)),INDEX(Table3[[#All],[First]],MATCH(Table5[[#This Row],[PID]],Table3[[#All],[PID]],0)))</f>
        <v>Liam</v>
      </c>
      <c r="F131" s="52" t="str">
        <f>IF($C131="B",INDEX(Batters[[#All],[Last]],MATCH(A131,Batters[[#All],[PID]],0)),INDEX(Table3[[#All],[Last]],MATCH(A131,Table3[[#All],[PID]],0)))</f>
        <v>Gamble</v>
      </c>
      <c r="G131" s="58">
        <f>IF($C131="B",INDEX(Batters[[#All],[Age]],MATCH(Table5[[#This Row],[PID]],Batters[[#All],[PID]],0)),INDEX(Table3[[#All],[Age]],MATCH(Table5[[#This Row],[PID]],Table3[[#All],[PID]],0)))</f>
        <v>18</v>
      </c>
      <c r="H131" s="54" t="str">
        <f>IF($C131="B",INDEX(Batters[[#All],[B]],MATCH(Table5[[#This Row],[PID]],Batters[[#All],[PID]],0)),INDEX(Table3[[#All],[B]],MATCH(Table5[[#This Row],[PID]],Table3[[#All],[PID]],0)))</f>
        <v>R</v>
      </c>
      <c r="I131" s="54" t="str">
        <f>IF($C131="B",INDEX(Batters[[#All],[T]],MATCH(Table5[[#This Row],[PID]],Batters[[#All],[PID]],0)),INDEX(Table3[[#All],[T]],MATCH(Table5[[#This Row],[PID]],Table3[[#All],[PID]],0)))</f>
        <v>R</v>
      </c>
      <c r="J131" s="54" t="str">
        <f>IF($C131="B",INDEX(Batters[[#All],[WE]],MATCH(Table5[[#This Row],[PID]],Batters[[#All],[PID]],0)),INDEX(Table3[[#All],[WE]],MATCH(Table5[[#This Row],[PID]],Table3[[#All],[PID]],0)))</f>
        <v>Normal</v>
      </c>
      <c r="K131" s="54" t="str">
        <f>IF($C131="B",INDEX(Batters[[#All],[INT]],MATCH(Table5[[#This Row],[PID]],Batters[[#All],[PID]],0)),INDEX(Table3[[#All],[INT]],MATCH(Table5[[#This Row],[PID]],Table3[[#All],[PID]],0)))</f>
        <v>Low</v>
      </c>
      <c r="L131" s="62">
        <f>IF($C131="B",INDEX(Batters[[#All],[CON P]],MATCH(Table5[[#This Row],[PID]],Batters[[#All],[PID]],0)),INDEX(Table3[[#All],[STU P]],MATCH(Table5[[#This Row],[PID]],Table3[[#All],[PID]],0)))</f>
        <v>4</v>
      </c>
      <c r="M131" s="58">
        <f>IF($C131="B",INDEX(Batters[[#All],[GAP P]],MATCH(Table5[[#This Row],[PID]],Batters[[#All],[PID]],0)),INDEX(Table3[[#All],[MOV P]],MATCH(Table5[[#This Row],[PID]],Table3[[#All],[PID]],0)))</f>
        <v>5</v>
      </c>
      <c r="N131" s="58">
        <f>IF($C131="B",INDEX(Batters[[#All],[POW P]],MATCH(Table5[[#This Row],[PID]],Batters[[#All],[PID]],0)),INDEX(Table3[[#All],[CON P]],MATCH(Table5[[#This Row],[PID]],Table3[[#All],[PID]],0)))</f>
        <v>5</v>
      </c>
      <c r="O131" s="58" t="str">
        <f>IF($C131="B",INDEX(Batters[[#All],[EYE P]],MATCH(Table5[[#This Row],[PID]],Batters[[#All],[PID]],0)),INDEX(Table3[[#All],[VELO]],MATCH(Table5[[#This Row],[PID]],Table3[[#All],[PID]],0)))</f>
        <v>96-98 Mph</v>
      </c>
      <c r="P131" s="58">
        <f>IF($C131="B",INDEX(Batters[[#All],[K P]],MATCH(Table5[[#This Row],[PID]],Batters[[#All],[PID]],0)),INDEX(Table3[[#All],[STM]],MATCH(Table5[[#This Row],[PID]],Table3[[#All],[PID]],0)))</f>
        <v>3</v>
      </c>
      <c r="Q131" s="63">
        <f>IF($C131="B",INDEX(Batters[[#All],[Tot]],MATCH(Table5[[#This Row],[PID]],Batters[[#All],[PID]],0)),INDEX(Table3[[#All],[Tot]],MATCH(Table5[[#This Row],[PID]],Table3[[#All],[PID]],0)))</f>
        <v>48.061176085054299</v>
      </c>
      <c r="R131" s="54">
        <f>IF($C131="B",INDEX(Batters[[#All],[zScore]],MATCH(Table5[[#This Row],[PID]],Batters[[#All],[PID]],0)),INDEX(Table3[[#All],[zScore]],MATCH(Table5[[#This Row],[PID]],Table3[[#All],[PID]],0)))</f>
        <v>1.4066450036263736</v>
      </c>
      <c r="S131" s="60" t="str">
        <f>IF($C131="B",INDEX(Batters[[#All],[DEM]],MATCH(Table5[[#This Row],[PID]],Batters[[#All],[PID]],0)),INDEX(Table3[[#All],[DEM]],MATCH(Table5[[#This Row],[PID]],Table3[[#All],[PID]],0)))</f>
        <v>$190k</v>
      </c>
      <c r="T131" s="64">
        <f>IF($C131="B",VLOOKUP($A131,Bat!$A$4:$AU$1417,46,FALSE),VLOOKUP($A131,Pit!$A$4:$BD$570,55,FALSE))</f>
        <v>0</v>
      </c>
      <c r="U131" s="52">
        <f>IF($C131="B",VLOOKUP($A131,Bat!$A$4:$BA$1417,47,FALSE),VLOOKUP($A131,Pit!$A$4:$BF$570,56,FALSE))</f>
        <v>0</v>
      </c>
      <c r="V131" s="52">
        <f>IF($C131="B",VLOOKUP($A131,Bat!$A$4:$BA$1417,48,FALSE),VLOOKUP($A131,Pit!$A$4:$BF$570,57,FALSE))</f>
        <v>0</v>
      </c>
      <c r="W131" s="52">
        <f>Table5[[#This Row],[posRnk]]+Table5[[#This Row],[zRnk]]+IF($W$3&lt;&gt;Table5[[#This Row],[Type]],50,0)</f>
        <v>177</v>
      </c>
      <c r="X131" s="53">
        <f>RANK(Table5[[#This Row],[zScore]],Table5[[#All],[zScore]])</f>
        <v>127</v>
      </c>
      <c r="Y131" s="52" t="str">
        <f>IFERROR(INDEX(DraftResults[[#All],[OVR]],MATCH(Table5[[#This Row],[PID]],DraftResults[[#All],[Player ID]],0)),"")</f>
        <v/>
      </c>
      <c r="Z1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1" s="52" t="str">
        <f>IFERROR(INDEX(DraftResults[[#All],[Pick in Round]],MATCH(Table5[[#This Row],[PID]],DraftResults[[#All],[Player ID]],0)),"")</f>
        <v/>
      </c>
      <c r="AB131" s="52" t="str">
        <f>IFERROR(INDEX(DraftResults[[#All],[Team Name]],MATCH(Table5[[#This Row],[PID]],DraftResults[[#All],[Player ID]],0)),"")</f>
        <v/>
      </c>
      <c r="AC131" s="52" t="str">
        <f>IF(Table5[[#This Row],[Ovr]]="","",IF(Table5[[#This Row],[cmbList]]="","",Table5[[#This Row],[cmbList]]-Table5[[#This Row],[Ovr]]))</f>
        <v/>
      </c>
      <c r="AD131" s="56" t="str">
        <f>IF(ISERROR(VLOOKUP($AB131&amp;"-"&amp;$E131&amp;" "&amp;F131,Bonuses!$B$1:$G$1006,4,FALSE)),"",INT(VLOOKUP($AB131&amp;"-"&amp;$E131&amp;" "&amp;$F131,Bonuses!$B$1:$G$1006,4,FALSE)))</f>
        <v/>
      </c>
      <c r="AE1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2" spans="1:31" s="52" customFormat="1" x14ac:dyDescent="0.25">
      <c r="A132" s="52">
        <v>6736</v>
      </c>
      <c r="B132" s="57">
        <f>COUNTIF(Table5[PID],A132)</f>
        <v>1</v>
      </c>
      <c r="C132" s="57" t="str">
        <f>IF(COUNTIF(Table3[[#All],[PID]],A132)&gt;0,"P","B")</f>
        <v>B</v>
      </c>
      <c r="D132" s="61" t="str">
        <f>IF($C132="B",INDEX(Batters[[#All],[POS]],MATCH(Table5[[#This Row],[PID]],Batters[[#All],[PID]],0)),INDEX(Table3[[#All],[POS]],MATCH(Table5[[#This Row],[PID]],Table3[[#All],[PID]],0)))</f>
        <v>SS</v>
      </c>
      <c r="E132" s="54" t="str">
        <f>IF($C132="B",INDEX(Batters[[#All],[First]],MATCH(Table5[[#This Row],[PID]],Batters[[#All],[PID]],0)),INDEX(Table3[[#All],[First]],MATCH(Table5[[#This Row],[PID]],Table3[[#All],[PID]],0)))</f>
        <v>Yoichibei</v>
      </c>
      <c r="F132" s="52" t="str">
        <f>IF($C132="B",INDEX(Batters[[#All],[Last]],MATCH(A132,Batters[[#All],[PID]],0)),INDEX(Table3[[#All],[Last]],MATCH(A132,Table3[[#All],[PID]],0)))</f>
        <v>Miura</v>
      </c>
      <c r="G132" s="58">
        <f>IF($C132="B",INDEX(Batters[[#All],[Age]],MATCH(Table5[[#This Row],[PID]],Batters[[#All],[PID]],0)),INDEX(Table3[[#All],[Age]],MATCH(Table5[[#This Row],[PID]],Table3[[#All],[PID]],0)))</f>
        <v>20</v>
      </c>
      <c r="H132" s="54" t="str">
        <f>IF($C132="B",INDEX(Batters[[#All],[B]],MATCH(Table5[[#This Row],[PID]],Batters[[#All],[PID]],0)),INDEX(Table3[[#All],[B]],MATCH(Table5[[#This Row],[PID]],Table3[[#All],[PID]],0)))</f>
        <v>R</v>
      </c>
      <c r="I132" s="54" t="str">
        <f>IF($C132="B",INDEX(Batters[[#All],[T]],MATCH(Table5[[#This Row],[PID]],Batters[[#All],[PID]],0)),INDEX(Table3[[#All],[T]],MATCH(Table5[[#This Row],[PID]],Table3[[#All],[PID]],0)))</f>
        <v>R</v>
      </c>
      <c r="J132" s="54" t="str">
        <f>IF($C132="B",INDEX(Batters[[#All],[WE]],MATCH(Table5[[#This Row],[PID]],Batters[[#All],[PID]],0)),INDEX(Table3[[#All],[WE]],MATCH(Table5[[#This Row],[PID]],Table3[[#All],[PID]],0)))</f>
        <v>Normal</v>
      </c>
      <c r="K132" s="54" t="str">
        <f>IF($C132="B",INDEX(Batters[[#All],[INT]],MATCH(Table5[[#This Row],[PID]],Batters[[#All],[PID]],0)),INDEX(Table3[[#All],[INT]],MATCH(Table5[[#This Row],[PID]],Table3[[#All],[PID]],0)))</f>
        <v>Normal</v>
      </c>
      <c r="L132" s="62">
        <f>IF($C132="B",INDEX(Batters[[#All],[CON P]],MATCH(Table5[[#This Row],[PID]],Batters[[#All],[PID]],0)),INDEX(Table3[[#All],[STU P]],MATCH(Table5[[#This Row],[PID]],Table3[[#All],[PID]],0)))</f>
        <v>5</v>
      </c>
      <c r="M132" s="58">
        <f>IF($C132="B",INDEX(Batters[[#All],[GAP P]],MATCH(Table5[[#This Row],[PID]],Batters[[#All],[PID]],0)),INDEX(Table3[[#All],[MOV P]],MATCH(Table5[[#This Row],[PID]],Table3[[#All],[PID]],0)))</f>
        <v>5</v>
      </c>
      <c r="N132" s="58">
        <f>IF($C132="B",INDEX(Batters[[#All],[POW P]],MATCH(Table5[[#This Row],[PID]],Batters[[#All],[PID]],0)),INDEX(Table3[[#All],[CON P]],MATCH(Table5[[#This Row],[PID]],Table3[[#All],[PID]],0)))</f>
        <v>4</v>
      </c>
      <c r="O132" s="58">
        <f>IF($C132="B",INDEX(Batters[[#All],[EYE P]],MATCH(Table5[[#This Row],[PID]],Batters[[#All],[PID]],0)),INDEX(Table3[[#All],[VELO]],MATCH(Table5[[#This Row],[PID]],Table3[[#All],[PID]],0)))</f>
        <v>4</v>
      </c>
      <c r="P132" s="58">
        <f>IF($C132="B",INDEX(Batters[[#All],[K P]],MATCH(Table5[[#This Row],[PID]],Batters[[#All],[PID]],0)),INDEX(Table3[[#All],[STM]],MATCH(Table5[[#This Row],[PID]],Table3[[#All],[PID]],0)))</f>
        <v>6</v>
      </c>
      <c r="Q132" s="63">
        <f>IF($C132="B",INDEX(Batters[[#All],[Tot]],MATCH(Table5[[#This Row],[PID]],Batters[[#All],[PID]],0)),INDEX(Table3[[#All],[Tot]],MATCH(Table5[[#This Row],[PID]],Table3[[#All],[PID]],0)))</f>
        <v>48.297461009935915</v>
      </c>
      <c r="R132" s="54">
        <f>IF($C132="B",INDEX(Batters[[#All],[zScore]],MATCH(Table5[[#This Row],[PID]],Batters[[#All],[PID]],0)),INDEX(Table3[[#All],[zScore]],MATCH(Table5[[#This Row],[PID]],Table3[[#All],[PID]],0)))</f>
        <v>1.3986113091435892</v>
      </c>
      <c r="S132" s="60" t="str">
        <f>IF($C132="B",INDEX(Batters[[#All],[DEM]],MATCH(Table5[[#This Row],[PID]],Batters[[#All],[PID]],0)),INDEX(Table3[[#All],[DEM]],MATCH(Table5[[#This Row],[PID]],Table3[[#All],[PID]],0)))</f>
        <v>$240k</v>
      </c>
      <c r="T132" s="64">
        <f>IF($C132="B",VLOOKUP($A132,Bat!$A$4:$AU$1417,46,FALSE),VLOOKUP($A132,Pit!$A$4:$BD$570,55,FALSE))</f>
        <v>0</v>
      </c>
      <c r="U132" s="52">
        <f>IF($C132="B",VLOOKUP($A132,Bat!$A$4:$BA$1417,47,FALSE),VLOOKUP($A132,Pit!$A$4:$BF$570,56,FALSE))</f>
        <v>0</v>
      </c>
      <c r="V132" s="52">
        <f>IF($C132="B",VLOOKUP($A132,Bat!$A$4:$BA$1417,48,FALSE),VLOOKUP($A132,Pit!$A$4:$BF$570,57,FALSE))</f>
        <v>0</v>
      </c>
      <c r="W132" s="52">
        <f>Table5[[#This Row],[posRnk]]+Table5[[#This Row],[zRnk]]+IF($W$3&lt;&gt;Table5[[#This Row],[Type]],50,0)</f>
        <v>178</v>
      </c>
      <c r="X132" s="53">
        <f>RANK(Table5[[#This Row],[zScore]],Table5[[#All],[zScore]])</f>
        <v>128</v>
      </c>
      <c r="Y132" s="52" t="str">
        <f>IFERROR(INDEX(DraftResults[[#All],[OVR]],MATCH(Table5[[#This Row],[PID]],DraftResults[[#All],[Player ID]],0)),"")</f>
        <v/>
      </c>
      <c r="Z1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2" s="52" t="str">
        <f>IFERROR(INDEX(DraftResults[[#All],[Pick in Round]],MATCH(Table5[[#This Row],[PID]],DraftResults[[#All],[Player ID]],0)),"")</f>
        <v/>
      </c>
      <c r="AB132" s="52" t="str">
        <f>IFERROR(INDEX(DraftResults[[#All],[Team Name]],MATCH(Table5[[#This Row],[PID]],DraftResults[[#All],[Player ID]],0)),"")</f>
        <v/>
      </c>
      <c r="AC132" s="52" t="str">
        <f>IF(Table5[[#This Row],[Ovr]]="","",IF(Table5[[#This Row],[cmbList]]="","",Table5[[#This Row],[cmbList]]-Table5[[#This Row],[Ovr]]))</f>
        <v/>
      </c>
      <c r="AD132" s="56" t="str">
        <f>IF(ISERROR(VLOOKUP($AB132&amp;"-"&amp;$E132&amp;" "&amp;F132,Bonuses!$B$1:$G$1006,4,FALSE)),"",INT(VLOOKUP($AB132&amp;"-"&amp;$E132&amp;" "&amp;$F132,Bonuses!$B$1:$G$1006,4,FALSE)))</f>
        <v/>
      </c>
      <c r="AE1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3" spans="1:31" s="52" customFormat="1" x14ac:dyDescent="0.25">
      <c r="A133" s="52">
        <v>13888</v>
      </c>
      <c r="B133" s="52">
        <f>COUNTIF(Table5[PID],A133)</f>
        <v>1</v>
      </c>
      <c r="C133" s="52" t="str">
        <f>IF(COUNTIF(Table3[[#All],[PID]],A133)&gt;0,"P","B")</f>
        <v>P</v>
      </c>
      <c r="D133" s="61" t="str">
        <f>IF($C133="B",INDEX(Batters[[#All],[POS]],MATCH(Table5[[#This Row],[PID]],Batters[[#All],[PID]],0)),INDEX(Table3[[#All],[POS]],MATCH(Table5[[#This Row],[PID]],Table3[[#All],[PID]],0)))</f>
        <v>RP</v>
      </c>
      <c r="E133" s="54" t="str">
        <f>IF($C133="B",INDEX(Batters[[#All],[First]],MATCH(Table5[[#This Row],[PID]],Batters[[#All],[PID]],0)),INDEX(Table3[[#All],[First]],MATCH(Table5[[#This Row],[PID]],Table3[[#All],[PID]],0)))</f>
        <v>Miguel</v>
      </c>
      <c r="F133" s="52" t="str">
        <f>IF($C133="B",INDEX(Batters[[#All],[Last]],MATCH(A133,Batters[[#All],[PID]],0)),INDEX(Table3[[#All],[Last]],MATCH(A133,Table3[[#All],[PID]],0)))</f>
        <v>Ávila</v>
      </c>
      <c r="G133" s="58">
        <f>IF($C133="B",INDEX(Batters[[#All],[Age]],MATCH(Table5[[#This Row],[PID]],Batters[[#All],[PID]],0)),INDEX(Table3[[#All],[Age]],MATCH(Table5[[#This Row],[PID]],Table3[[#All],[PID]],0)))</f>
        <v>18</v>
      </c>
      <c r="H133" s="54" t="str">
        <f>IF($C133="B",INDEX(Batters[[#All],[B]],MATCH(Table5[[#This Row],[PID]],Batters[[#All],[PID]],0)),INDEX(Table3[[#All],[B]],MATCH(Table5[[#This Row],[PID]],Table3[[#All],[PID]],0)))</f>
        <v>R</v>
      </c>
      <c r="I133" s="54" t="str">
        <f>IF($C133="B",INDEX(Batters[[#All],[T]],MATCH(Table5[[#This Row],[PID]],Batters[[#All],[PID]],0)),INDEX(Table3[[#All],[T]],MATCH(Table5[[#This Row],[PID]],Table3[[#All],[PID]],0)))</f>
        <v>R</v>
      </c>
      <c r="J133" s="54" t="str">
        <f>IF($C133="B",INDEX(Batters[[#All],[WE]],MATCH(Table5[[#This Row],[PID]],Batters[[#All],[PID]],0)),INDEX(Table3[[#All],[WE]],MATCH(Table5[[#This Row],[PID]],Table3[[#All],[PID]],0)))</f>
        <v>Normal</v>
      </c>
      <c r="K133" s="54" t="str">
        <f>IF($C133="B",INDEX(Batters[[#All],[INT]],MATCH(Table5[[#This Row],[PID]],Batters[[#All],[PID]],0)),INDEX(Table3[[#All],[INT]],MATCH(Table5[[#This Row],[PID]],Table3[[#All],[PID]],0)))</f>
        <v>High</v>
      </c>
      <c r="L133" s="62">
        <f>IF($C133="B",INDEX(Batters[[#All],[CON P]],MATCH(Table5[[#This Row],[PID]],Batters[[#All],[PID]],0)),INDEX(Table3[[#All],[STU P]],MATCH(Table5[[#This Row],[PID]],Table3[[#All],[PID]],0)))</f>
        <v>6</v>
      </c>
      <c r="M133" s="58">
        <f>IF($C133="B",INDEX(Batters[[#All],[GAP P]],MATCH(Table5[[#This Row],[PID]],Batters[[#All],[PID]],0)),INDEX(Table3[[#All],[MOV P]],MATCH(Table5[[#This Row],[PID]],Table3[[#All],[PID]],0)))</f>
        <v>3</v>
      </c>
      <c r="N133" s="58">
        <f>IF($C133="B",INDEX(Batters[[#All],[POW P]],MATCH(Table5[[#This Row],[PID]],Batters[[#All],[PID]],0)),INDEX(Table3[[#All],[CON P]],MATCH(Table5[[#This Row],[PID]],Table3[[#All],[PID]],0)))</f>
        <v>3</v>
      </c>
      <c r="O133" s="58" t="str">
        <f>IF($C133="B",INDEX(Batters[[#All],[EYE P]],MATCH(Table5[[#This Row],[PID]],Batters[[#All],[PID]],0)),INDEX(Table3[[#All],[VELO]],MATCH(Table5[[#This Row],[PID]],Table3[[#All],[PID]],0)))</f>
        <v>92-94 Mph</v>
      </c>
      <c r="P133" s="58">
        <f>IF($C133="B",INDEX(Batters[[#All],[K P]],MATCH(Table5[[#This Row],[PID]],Batters[[#All],[PID]],0)),INDEX(Table3[[#All],[STM]],MATCH(Table5[[#This Row],[PID]],Table3[[#All],[PID]],0)))</f>
        <v>6</v>
      </c>
      <c r="Q133" s="63">
        <f>IF($C133="B",INDEX(Batters[[#All],[Tot]],MATCH(Table5[[#This Row],[PID]],Batters[[#All],[PID]],0)),INDEX(Table3[[#All],[Tot]],MATCH(Table5[[#This Row],[PID]],Table3[[#All],[PID]],0)))</f>
        <v>47.812232722111091</v>
      </c>
      <c r="R133" s="54">
        <f>IF($C133="B",INDEX(Batters[[#All],[zScore]],MATCH(Table5[[#This Row],[PID]],Batters[[#All],[PID]],0)),INDEX(Table3[[#All],[zScore]],MATCH(Table5[[#This Row],[PID]],Table3[[#All],[PID]],0)))</f>
        <v>1.383815833238186</v>
      </c>
      <c r="S133" s="60" t="str">
        <f>IF($C133="B",INDEX(Batters[[#All],[DEM]],MATCH(Table5[[#This Row],[PID]],Batters[[#All],[PID]],0)),INDEX(Table3[[#All],[DEM]],MATCH(Table5[[#This Row],[PID]],Table3[[#All],[PID]],0)))</f>
        <v>$65k</v>
      </c>
      <c r="T133" s="64">
        <f>IF($C133="B",VLOOKUP($A133,Bat!$A$4:$AU$1417,46,FALSE),VLOOKUP($A133,Pit!$A$4:$BD$570,55,FALSE))</f>
        <v>0</v>
      </c>
      <c r="U133" s="52">
        <f>IF($C133="B",VLOOKUP($A133,Bat!$A$4:$BA$1417,47,FALSE),VLOOKUP($A133,Pit!$A$4:$BF$570,56,FALSE))</f>
        <v>0</v>
      </c>
      <c r="V133" s="52">
        <f>IF($C133="B",VLOOKUP($A133,Bat!$A$4:$BA$1417,48,FALSE),VLOOKUP($A133,Pit!$A$4:$BF$570,57,FALSE))</f>
        <v>0</v>
      </c>
      <c r="W133" s="52">
        <f>Table5[[#This Row],[posRnk]]+Table5[[#This Row],[zRnk]]+IF($W$3&lt;&gt;Table5[[#This Row],[Type]],50,0)</f>
        <v>179</v>
      </c>
      <c r="X133" s="53">
        <f>RANK(Table5[[#This Row],[zScore]],Table5[[#All],[zScore]])</f>
        <v>129</v>
      </c>
      <c r="Y133" s="52" t="str">
        <f>IFERROR(INDEX(DraftResults[[#All],[OVR]],MATCH(Table5[[#This Row],[PID]],DraftResults[[#All],[Player ID]],0)),"")</f>
        <v/>
      </c>
      <c r="Z1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3" s="52" t="str">
        <f>IFERROR(INDEX(DraftResults[[#All],[Pick in Round]],MATCH(Table5[[#This Row],[PID]],DraftResults[[#All],[Player ID]],0)),"")</f>
        <v/>
      </c>
      <c r="AB133" s="52" t="str">
        <f>IFERROR(INDEX(DraftResults[[#All],[Team Name]],MATCH(Table5[[#This Row],[PID]],DraftResults[[#All],[Player ID]],0)),"")</f>
        <v/>
      </c>
      <c r="AC133" s="52" t="str">
        <f>IF(Table5[[#This Row],[Ovr]]="","",IF(Table5[[#This Row],[cmbList]]="","",Table5[[#This Row],[cmbList]]-Table5[[#This Row],[Ovr]]))</f>
        <v/>
      </c>
      <c r="AD133" s="56" t="str">
        <f>IF(ISERROR(VLOOKUP($AB133&amp;"-"&amp;$E133&amp;" "&amp;F133,Bonuses!$B$1:$G$1006,4,FALSE)),"",INT(VLOOKUP($AB133&amp;"-"&amp;$E133&amp;" "&amp;$F133,Bonuses!$B$1:$G$1006,4,FALSE)))</f>
        <v/>
      </c>
      <c r="AE1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4" spans="1:31" s="52" customFormat="1" x14ac:dyDescent="0.25">
      <c r="A134" s="52">
        <v>12269</v>
      </c>
      <c r="B134" s="52">
        <f>COUNTIF(Table5[PID],A134)</f>
        <v>1</v>
      </c>
      <c r="C134" s="52" t="str">
        <f>IF(COUNTIF(Table3[[#All],[PID]],A134)&gt;0,"P","B")</f>
        <v>P</v>
      </c>
      <c r="D134" s="61" t="str">
        <f>IF($C134="B",INDEX(Batters[[#All],[POS]],MATCH(Table5[[#This Row],[PID]],Batters[[#All],[PID]],0)),INDEX(Table3[[#All],[POS]],MATCH(Table5[[#This Row],[PID]],Table3[[#All],[PID]],0)))</f>
        <v>RP</v>
      </c>
      <c r="E134" s="54" t="str">
        <f>IF($C134="B",INDEX(Batters[[#All],[First]],MATCH(Table5[[#This Row],[PID]],Batters[[#All],[PID]],0)),INDEX(Table3[[#All],[First]],MATCH(Table5[[#This Row],[PID]],Table3[[#All],[PID]],0)))</f>
        <v>Ernest</v>
      </c>
      <c r="F134" s="52" t="str">
        <f>IF($C134="B",INDEX(Batters[[#All],[Last]],MATCH(A134,Batters[[#All],[PID]],0)),INDEX(Table3[[#All],[Last]],MATCH(A134,Table3[[#All],[PID]],0)))</f>
        <v>Smith</v>
      </c>
      <c r="G134" s="58">
        <f>IF($C134="B",INDEX(Batters[[#All],[Age]],MATCH(Table5[[#This Row],[PID]],Batters[[#All],[PID]],0)),INDEX(Table3[[#All],[Age]],MATCH(Table5[[#This Row],[PID]],Table3[[#All],[PID]],0)))</f>
        <v>18</v>
      </c>
      <c r="H134" s="54" t="str">
        <f>IF($C134="B",INDEX(Batters[[#All],[B]],MATCH(Table5[[#This Row],[PID]],Batters[[#All],[PID]],0)),INDEX(Table3[[#All],[B]],MATCH(Table5[[#This Row],[PID]],Table3[[#All],[PID]],0)))</f>
        <v>S</v>
      </c>
      <c r="I134" s="54" t="str">
        <f>IF($C134="B",INDEX(Batters[[#All],[T]],MATCH(Table5[[#This Row],[PID]],Batters[[#All],[PID]],0)),INDEX(Table3[[#All],[T]],MATCH(Table5[[#This Row],[PID]],Table3[[#All],[PID]],0)))</f>
        <v>R</v>
      </c>
      <c r="J134" s="54" t="str">
        <f>IF($C134="B",INDEX(Batters[[#All],[WE]],MATCH(Table5[[#This Row],[PID]],Batters[[#All],[PID]],0)),INDEX(Table3[[#All],[WE]],MATCH(Table5[[#This Row],[PID]],Table3[[#All],[PID]],0)))</f>
        <v>High</v>
      </c>
      <c r="K134" s="54" t="str">
        <f>IF($C134="B",INDEX(Batters[[#All],[INT]],MATCH(Table5[[#This Row],[PID]],Batters[[#All],[PID]],0)),INDEX(Table3[[#All],[INT]],MATCH(Table5[[#This Row],[PID]],Table3[[#All],[PID]],0)))</f>
        <v>Normal</v>
      </c>
      <c r="L134" s="62">
        <f>IF($C134="B",INDEX(Batters[[#All],[CON P]],MATCH(Table5[[#This Row],[PID]],Batters[[#All],[PID]],0)),INDEX(Table3[[#All],[STU P]],MATCH(Table5[[#This Row],[PID]],Table3[[#All],[PID]],0)))</f>
        <v>6</v>
      </c>
      <c r="M134" s="58">
        <f>IF($C134="B",INDEX(Batters[[#All],[GAP P]],MATCH(Table5[[#This Row],[PID]],Batters[[#All],[PID]],0)),INDEX(Table3[[#All],[MOV P]],MATCH(Table5[[#This Row],[PID]],Table3[[#All],[PID]],0)))</f>
        <v>3</v>
      </c>
      <c r="N134" s="58">
        <f>IF($C134="B",INDEX(Batters[[#All],[POW P]],MATCH(Table5[[#This Row],[PID]],Batters[[#All],[PID]],0)),INDEX(Table3[[#All],[CON P]],MATCH(Table5[[#This Row],[PID]],Table3[[#All],[PID]],0)))</f>
        <v>3</v>
      </c>
      <c r="O134" s="58" t="str">
        <f>IF($C134="B",INDEX(Batters[[#All],[EYE P]],MATCH(Table5[[#This Row],[PID]],Batters[[#All],[PID]],0)),INDEX(Table3[[#All],[VELO]],MATCH(Table5[[#This Row],[PID]],Table3[[#All],[PID]],0)))</f>
        <v>94-96 Mph</v>
      </c>
      <c r="P134" s="58">
        <f>IF($C134="B",INDEX(Batters[[#All],[K P]],MATCH(Table5[[#This Row],[PID]],Batters[[#All],[PID]],0)),INDEX(Table3[[#All],[STM]],MATCH(Table5[[#This Row],[PID]],Table3[[#All],[PID]],0)))</f>
        <v>6</v>
      </c>
      <c r="Q134" s="63">
        <f>IF($C134="B",INDEX(Batters[[#All],[Tot]],MATCH(Table5[[#This Row],[PID]],Batters[[#All],[PID]],0)),INDEX(Table3[[#All],[Tot]],MATCH(Table5[[#This Row],[PID]],Table3[[#All],[PID]],0)))</f>
        <v>47.73895246865014</v>
      </c>
      <c r="R134" s="54">
        <f>IF($C134="B",INDEX(Batters[[#All],[zScore]],MATCH(Table5[[#This Row],[PID]],Batters[[#All],[PID]],0)),INDEX(Table3[[#All],[zScore]],MATCH(Table5[[#This Row],[PID]],Table3[[#All],[PID]],0)))</f>
        <v>1.3770957207894308</v>
      </c>
      <c r="S134" s="60" t="str">
        <f>IF($C134="B",INDEX(Batters[[#All],[DEM]],MATCH(Table5[[#This Row],[PID]],Batters[[#All],[PID]],0)),INDEX(Table3[[#All],[DEM]],MATCH(Table5[[#This Row],[PID]],Table3[[#All],[PID]],0)))</f>
        <v>$38k</v>
      </c>
      <c r="T134" s="64">
        <f>IF($C134="B",VLOOKUP($A134,Bat!$A$4:$AU$1417,46,FALSE),VLOOKUP($A134,Pit!$A$4:$BD$570,55,FALSE))</f>
        <v>0</v>
      </c>
      <c r="U134" s="52">
        <f>IF($C134="B",VLOOKUP($A134,Bat!$A$4:$BA$1417,47,FALSE),VLOOKUP($A134,Pit!$A$4:$BF$570,56,FALSE))</f>
        <v>0</v>
      </c>
      <c r="V134" s="52">
        <f>IF($C134="B",VLOOKUP($A134,Bat!$A$4:$BA$1417,48,FALSE),VLOOKUP($A134,Pit!$A$4:$BF$570,57,FALSE))</f>
        <v>0</v>
      </c>
      <c r="W134" s="52">
        <f>Table5[[#This Row],[posRnk]]+Table5[[#This Row],[zRnk]]+IF($W$3&lt;&gt;Table5[[#This Row],[Type]],50,0)</f>
        <v>180</v>
      </c>
      <c r="X134" s="53">
        <f>RANK(Table5[[#This Row],[zScore]],Table5[[#All],[zScore]])</f>
        <v>130</v>
      </c>
      <c r="Y134" s="52" t="str">
        <f>IFERROR(INDEX(DraftResults[[#All],[OVR]],MATCH(Table5[[#This Row],[PID]],DraftResults[[#All],[Player ID]],0)),"")</f>
        <v/>
      </c>
      <c r="Z1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4" s="52" t="str">
        <f>IFERROR(INDEX(DraftResults[[#All],[Pick in Round]],MATCH(Table5[[#This Row],[PID]],DraftResults[[#All],[Player ID]],0)),"")</f>
        <v/>
      </c>
      <c r="AB134" s="52" t="str">
        <f>IFERROR(INDEX(DraftResults[[#All],[Team Name]],MATCH(Table5[[#This Row],[PID]],DraftResults[[#All],[Player ID]],0)),"")</f>
        <v/>
      </c>
      <c r="AC134" s="52" t="str">
        <f>IF(Table5[[#This Row],[Ovr]]="","",IF(Table5[[#This Row],[cmbList]]="","",Table5[[#This Row],[cmbList]]-Table5[[#This Row],[Ovr]]))</f>
        <v/>
      </c>
      <c r="AD134" s="56" t="str">
        <f>IF(ISERROR(VLOOKUP($AB134&amp;"-"&amp;$E134&amp;" "&amp;F134,Bonuses!$B$1:$G$1006,4,FALSE)),"",INT(VLOOKUP($AB134&amp;"-"&amp;$E134&amp;" "&amp;$F134,Bonuses!$B$1:$G$1006,4,FALSE)))</f>
        <v/>
      </c>
      <c r="AE1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5" spans="1:31" s="52" customFormat="1" x14ac:dyDescent="0.25">
      <c r="A135" s="52">
        <v>8974</v>
      </c>
      <c r="B135" s="52">
        <f>COUNTIF(Table5[PID],A135)</f>
        <v>1</v>
      </c>
      <c r="C135" s="52" t="str">
        <f>IF(COUNTIF(Table3[[#All],[PID]],A135)&gt;0,"P","B")</f>
        <v>P</v>
      </c>
      <c r="D135" s="61" t="str">
        <f>IF($C135="B",INDEX(Batters[[#All],[POS]],MATCH(Table5[[#This Row],[PID]],Batters[[#All],[PID]],0)),INDEX(Table3[[#All],[POS]],MATCH(Table5[[#This Row],[PID]],Table3[[#All],[PID]],0)))</f>
        <v>SP</v>
      </c>
      <c r="E135" s="54" t="str">
        <f>IF($C135="B",INDEX(Batters[[#All],[First]],MATCH(Table5[[#This Row],[PID]],Batters[[#All],[PID]],0)),INDEX(Table3[[#All],[First]],MATCH(Table5[[#This Row],[PID]],Table3[[#All],[PID]],0)))</f>
        <v>Kenneth</v>
      </c>
      <c r="F135" s="52" t="str">
        <f>IF($C135="B",INDEX(Batters[[#All],[Last]],MATCH(A135,Batters[[#All],[PID]],0)),INDEX(Table3[[#All],[Last]],MATCH(A135,Table3[[#All],[PID]],0)))</f>
        <v>McLean</v>
      </c>
      <c r="G135" s="58">
        <f>IF($C135="B",INDEX(Batters[[#All],[Age]],MATCH(Table5[[#This Row],[PID]],Batters[[#All],[PID]],0)),INDEX(Table3[[#All],[Age]],MATCH(Table5[[#This Row],[PID]],Table3[[#All],[PID]],0)))</f>
        <v>18</v>
      </c>
      <c r="H135" s="54" t="str">
        <f>IF($C135="B",INDEX(Batters[[#All],[B]],MATCH(Table5[[#This Row],[PID]],Batters[[#All],[PID]],0)),INDEX(Table3[[#All],[B]],MATCH(Table5[[#This Row],[PID]],Table3[[#All],[PID]],0)))</f>
        <v>S</v>
      </c>
      <c r="I135" s="54" t="str">
        <f>IF($C135="B",INDEX(Batters[[#All],[T]],MATCH(Table5[[#This Row],[PID]],Batters[[#All],[PID]],0)),INDEX(Table3[[#All],[T]],MATCH(Table5[[#This Row],[PID]],Table3[[#All],[PID]],0)))</f>
        <v>R</v>
      </c>
      <c r="J135" s="54" t="str">
        <f>IF($C135="B",INDEX(Batters[[#All],[WE]],MATCH(Table5[[#This Row],[PID]],Batters[[#All],[PID]],0)),INDEX(Table3[[#All],[WE]],MATCH(Table5[[#This Row],[PID]],Table3[[#All],[PID]],0)))</f>
        <v>Low</v>
      </c>
      <c r="K135" s="54" t="str">
        <f>IF($C135="B",INDEX(Batters[[#All],[INT]],MATCH(Table5[[#This Row],[PID]],Batters[[#All],[PID]],0)),INDEX(Table3[[#All],[INT]],MATCH(Table5[[#This Row],[PID]],Table3[[#All],[PID]],0)))</f>
        <v>Low</v>
      </c>
      <c r="L135" s="62">
        <f>IF($C135="B",INDEX(Batters[[#All],[CON P]],MATCH(Table5[[#This Row],[PID]],Batters[[#All],[PID]],0)),INDEX(Table3[[#All],[STU P]],MATCH(Table5[[#This Row],[PID]],Table3[[#All],[PID]],0)))</f>
        <v>4</v>
      </c>
      <c r="M135" s="58">
        <f>IF($C135="B",INDEX(Batters[[#All],[GAP P]],MATCH(Table5[[#This Row],[PID]],Batters[[#All],[PID]],0)),INDEX(Table3[[#All],[MOV P]],MATCH(Table5[[#This Row],[PID]],Table3[[#All],[PID]],0)))</f>
        <v>4</v>
      </c>
      <c r="N135" s="58">
        <f>IF($C135="B",INDEX(Batters[[#All],[POW P]],MATCH(Table5[[#This Row],[PID]],Batters[[#All],[PID]],0)),INDEX(Table3[[#All],[CON P]],MATCH(Table5[[#This Row],[PID]],Table3[[#All],[PID]],0)))</f>
        <v>4</v>
      </c>
      <c r="O135" s="58" t="str">
        <f>IF($C135="B",INDEX(Batters[[#All],[EYE P]],MATCH(Table5[[#This Row],[PID]],Batters[[#All],[PID]],0)),INDEX(Table3[[#All],[VELO]],MATCH(Table5[[#This Row],[PID]],Table3[[#All],[PID]],0)))</f>
        <v>89-91 Mph</v>
      </c>
      <c r="P135" s="58">
        <f>IF($C135="B",INDEX(Batters[[#All],[K P]],MATCH(Table5[[#This Row],[PID]],Batters[[#All],[PID]],0)),INDEX(Table3[[#All],[STM]],MATCH(Table5[[#This Row],[PID]],Table3[[#All],[PID]],0)))</f>
        <v>8</v>
      </c>
      <c r="Q135" s="63">
        <f>IF($C135="B",INDEX(Batters[[#All],[Tot]],MATCH(Table5[[#This Row],[PID]],Batters[[#All],[PID]],0)),INDEX(Table3[[#All],[Tot]],MATCH(Table5[[#This Row],[PID]],Table3[[#All],[PID]],0)))</f>
        <v>47.725616170682315</v>
      </c>
      <c r="R135" s="54">
        <f>IF($C135="B",INDEX(Batters[[#All],[zScore]],MATCH(Table5[[#This Row],[PID]],Batters[[#All],[PID]],0)),INDEX(Table3[[#All],[zScore]],MATCH(Table5[[#This Row],[PID]],Table3[[#All],[PID]],0)))</f>
        <v>1.3758727252652456</v>
      </c>
      <c r="S135" s="60" t="str">
        <f>IF($C135="B",INDEX(Batters[[#All],[DEM]],MATCH(Table5[[#This Row],[PID]],Batters[[#All],[PID]],0)),INDEX(Table3[[#All],[DEM]],MATCH(Table5[[#This Row],[PID]],Table3[[#All],[PID]],0)))</f>
        <v>$500k</v>
      </c>
      <c r="T135" s="64">
        <f>IF($C135="B",VLOOKUP($A135,Bat!$A$4:$AU$1417,46,FALSE),VLOOKUP($A135,Pit!$A$4:$BD$570,55,FALSE))</f>
        <v>0</v>
      </c>
      <c r="U135" s="52">
        <f>IF($C135="B",VLOOKUP($A135,Bat!$A$4:$BA$1417,47,FALSE),VLOOKUP($A135,Pit!$A$4:$BF$570,56,FALSE))</f>
        <v>0</v>
      </c>
      <c r="V135" s="52">
        <f>IF($C135="B",VLOOKUP($A135,Bat!$A$4:$BA$1417,48,FALSE),VLOOKUP($A135,Pit!$A$4:$BF$570,57,FALSE))</f>
        <v>0</v>
      </c>
      <c r="W135" s="52">
        <f>Table5[[#This Row],[posRnk]]+Table5[[#This Row],[zRnk]]+IF($W$3&lt;&gt;Table5[[#This Row],[Type]],50,0)</f>
        <v>181</v>
      </c>
      <c r="X135" s="53">
        <f>RANK(Table5[[#This Row],[zScore]],Table5[[#All],[zScore]])</f>
        <v>131</v>
      </c>
      <c r="Y135" s="52" t="str">
        <f>IFERROR(INDEX(DraftResults[[#All],[OVR]],MATCH(Table5[[#This Row],[PID]],DraftResults[[#All],[Player ID]],0)),"")</f>
        <v/>
      </c>
      <c r="Z1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5" s="52" t="str">
        <f>IFERROR(INDEX(DraftResults[[#All],[Pick in Round]],MATCH(Table5[[#This Row],[PID]],DraftResults[[#All],[Player ID]],0)),"")</f>
        <v/>
      </c>
      <c r="AB135" s="52" t="str">
        <f>IFERROR(INDEX(DraftResults[[#All],[Team Name]],MATCH(Table5[[#This Row],[PID]],DraftResults[[#All],[Player ID]],0)),"")</f>
        <v/>
      </c>
      <c r="AC135" s="52" t="str">
        <f>IF(Table5[[#This Row],[Ovr]]="","",IF(Table5[[#This Row],[cmbList]]="","",Table5[[#This Row],[cmbList]]-Table5[[#This Row],[Ovr]]))</f>
        <v/>
      </c>
      <c r="AD135" s="56" t="str">
        <f>IF(ISERROR(VLOOKUP($AB135&amp;"-"&amp;$E135&amp;" "&amp;F135,Bonuses!$B$1:$G$1006,4,FALSE)),"",INT(VLOOKUP($AB135&amp;"-"&amp;$E135&amp;" "&amp;$F135,Bonuses!$B$1:$G$1006,4,FALSE)))</f>
        <v/>
      </c>
      <c r="AE1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6" spans="1:31" s="52" customFormat="1" x14ac:dyDescent="0.25">
      <c r="A136" s="52">
        <v>10504</v>
      </c>
      <c r="B136" s="52">
        <f>COUNTIF(Table5[PID],A136)</f>
        <v>1</v>
      </c>
      <c r="C136" s="52" t="str">
        <f>IF(COUNTIF(Table3[[#All],[PID]],A136)&gt;0,"P","B")</f>
        <v>P</v>
      </c>
      <c r="D136" s="61" t="str">
        <f>IF($C136="B",INDEX(Batters[[#All],[POS]],MATCH(Table5[[#This Row],[PID]],Batters[[#All],[PID]],0)),INDEX(Table3[[#All],[POS]],MATCH(Table5[[#This Row],[PID]],Table3[[#All],[PID]],0)))</f>
        <v>SP</v>
      </c>
      <c r="E136" s="54" t="str">
        <f>IF($C136="B",INDEX(Batters[[#All],[First]],MATCH(Table5[[#This Row],[PID]],Batters[[#All],[PID]],0)),INDEX(Table3[[#All],[First]],MATCH(Table5[[#This Row],[PID]],Table3[[#All],[PID]],0)))</f>
        <v>Joe</v>
      </c>
      <c r="F136" s="52" t="str">
        <f>IF($C136="B",INDEX(Batters[[#All],[Last]],MATCH(A136,Batters[[#All],[PID]],0)),INDEX(Table3[[#All],[Last]],MATCH(A136,Table3[[#All],[PID]],0)))</f>
        <v>George</v>
      </c>
      <c r="G136" s="58">
        <f>IF($C136="B",INDEX(Batters[[#All],[Age]],MATCH(Table5[[#This Row],[PID]],Batters[[#All],[PID]],0)),INDEX(Table3[[#All],[Age]],MATCH(Table5[[#This Row],[PID]],Table3[[#All],[PID]],0)))</f>
        <v>21</v>
      </c>
      <c r="H136" s="54" t="str">
        <f>IF($C136="B",INDEX(Batters[[#All],[B]],MATCH(Table5[[#This Row],[PID]],Batters[[#All],[PID]],0)),INDEX(Table3[[#All],[B]],MATCH(Table5[[#This Row],[PID]],Table3[[#All],[PID]],0)))</f>
        <v>L</v>
      </c>
      <c r="I136" s="54" t="str">
        <f>IF($C136="B",INDEX(Batters[[#All],[T]],MATCH(Table5[[#This Row],[PID]],Batters[[#All],[PID]],0)),INDEX(Table3[[#All],[T]],MATCH(Table5[[#This Row],[PID]],Table3[[#All],[PID]],0)))</f>
        <v>L</v>
      </c>
      <c r="J136" s="54" t="str">
        <f>IF($C136="B",INDEX(Batters[[#All],[WE]],MATCH(Table5[[#This Row],[PID]],Batters[[#All],[PID]],0)),INDEX(Table3[[#All],[WE]],MATCH(Table5[[#This Row],[PID]],Table3[[#All],[PID]],0)))</f>
        <v>Normal</v>
      </c>
      <c r="K136" s="54" t="str">
        <f>IF($C136="B",INDEX(Batters[[#All],[INT]],MATCH(Table5[[#This Row],[PID]],Batters[[#All],[PID]],0)),INDEX(Table3[[#All],[INT]],MATCH(Table5[[#This Row],[PID]],Table3[[#All],[PID]],0)))</f>
        <v>Normal</v>
      </c>
      <c r="L136" s="62">
        <f>IF($C136="B",INDEX(Batters[[#All],[CON P]],MATCH(Table5[[#This Row],[PID]],Batters[[#All],[PID]],0)),INDEX(Table3[[#All],[STU P]],MATCH(Table5[[#This Row],[PID]],Table3[[#All],[PID]],0)))</f>
        <v>6</v>
      </c>
      <c r="M136" s="58">
        <f>IF($C136="B",INDEX(Batters[[#All],[GAP P]],MATCH(Table5[[#This Row],[PID]],Batters[[#All],[PID]],0)),INDEX(Table3[[#All],[MOV P]],MATCH(Table5[[#This Row],[PID]],Table3[[#All],[PID]],0)))</f>
        <v>4</v>
      </c>
      <c r="N136" s="58">
        <f>IF($C136="B",INDEX(Batters[[#All],[POW P]],MATCH(Table5[[#This Row],[PID]],Batters[[#All],[PID]],0)),INDEX(Table3[[#All],[CON P]],MATCH(Table5[[#This Row],[PID]],Table3[[#All],[PID]],0)))</f>
        <v>3</v>
      </c>
      <c r="O136" s="58" t="str">
        <f>IF($C136="B",INDEX(Batters[[#All],[EYE P]],MATCH(Table5[[#This Row],[PID]],Batters[[#All],[PID]],0)),INDEX(Table3[[#All],[VELO]],MATCH(Table5[[#This Row],[PID]],Table3[[#All],[PID]],0)))</f>
        <v>94-96 Mph</v>
      </c>
      <c r="P136" s="58">
        <f>IF($C136="B",INDEX(Batters[[#All],[K P]],MATCH(Table5[[#This Row],[PID]],Batters[[#All],[PID]],0)),INDEX(Table3[[#All],[STM]],MATCH(Table5[[#This Row],[PID]],Table3[[#All],[PID]],0)))</f>
        <v>8</v>
      </c>
      <c r="Q136" s="63">
        <f>IF($C136="B",INDEX(Batters[[#All],[Tot]],MATCH(Table5[[#This Row],[PID]],Batters[[#All],[PID]],0)),INDEX(Table3[[#All],[Tot]],MATCH(Table5[[#This Row],[PID]],Table3[[#All],[PID]],0)))</f>
        <v>47.60960271876499</v>
      </c>
      <c r="R136" s="54">
        <f>IF($C136="B",INDEX(Batters[[#All],[zScore]],MATCH(Table5[[#This Row],[PID]],Batters[[#All],[PID]],0)),INDEX(Table3[[#All],[zScore]],MATCH(Table5[[#This Row],[PID]],Table3[[#All],[PID]],0)))</f>
        <v>1.365233795872512</v>
      </c>
      <c r="S136" s="60" t="str">
        <f>IF($C136="B",INDEX(Batters[[#All],[DEM]],MATCH(Table5[[#This Row],[PID]],Batters[[#All],[PID]],0)),INDEX(Table3[[#All],[DEM]],MATCH(Table5[[#This Row],[PID]],Table3[[#All],[PID]],0)))</f>
        <v>$270k</v>
      </c>
      <c r="T136" s="64">
        <f>IF($C136="B",VLOOKUP($A136,Bat!$A$4:$AU$1417,46,FALSE),VLOOKUP($A136,Pit!$A$4:$BD$570,55,FALSE))</f>
        <v>0</v>
      </c>
      <c r="U136" s="52">
        <f>IF($C136="B",VLOOKUP($A136,Bat!$A$4:$BA$1417,47,FALSE),VLOOKUP($A136,Pit!$A$4:$BF$570,56,FALSE))</f>
        <v>0</v>
      </c>
      <c r="V136" s="52">
        <f>IF($C136="B",VLOOKUP($A136,Bat!$A$4:$BA$1417,48,FALSE),VLOOKUP($A136,Pit!$A$4:$BF$570,57,FALSE))</f>
        <v>0</v>
      </c>
      <c r="W136" s="52">
        <f>Table5[[#This Row],[posRnk]]+Table5[[#This Row],[zRnk]]+IF($W$3&lt;&gt;Table5[[#This Row],[Type]],50,0)</f>
        <v>182</v>
      </c>
      <c r="X136" s="53">
        <f>RANK(Table5[[#This Row],[zScore]],Table5[[#All],[zScore]])</f>
        <v>132</v>
      </c>
      <c r="Y136" s="52" t="str">
        <f>IFERROR(INDEX(DraftResults[[#All],[OVR]],MATCH(Table5[[#This Row],[PID]],DraftResults[[#All],[Player ID]],0)),"")</f>
        <v/>
      </c>
      <c r="Z1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6" s="52" t="str">
        <f>IFERROR(INDEX(DraftResults[[#All],[Pick in Round]],MATCH(Table5[[#This Row],[PID]],DraftResults[[#All],[Player ID]],0)),"")</f>
        <v/>
      </c>
      <c r="AB136" s="52" t="str">
        <f>IFERROR(INDEX(DraftResults[[#All],[Team Name]],MATCH(Table5[[#This Row],[PID]],DraftResults[[#All],[Player ID]],0)),"")</f>
        <v/>
      </c>
      <c r="AC136" s="52" t="str">
        <f>IF(Table5[[#This Row],[Ovr]]="","",IF(Table5[[#This Row],[cmbList]]="","",Table5[[#This Row],[cmbList]]-Table5[[#This Row],[Ovr]]))</f>
        <v/>
      </c>
      <c r="AD136" s="56" t="str">
        <f>IF(ISERROR(VLOOKUP($AB136&amp;"-"&amp;$E136&amp;" "&amp;F136,Bonuses!$B$1:$G$1006,4,FALSE)),"",INT(VLOOKUP($AB136&amp;"-"&amp;$E136&amp;" "&amp;$F136,Bonuses!$B$1:$G$1006,4,FALSE)))</f>
        <v/>
      </c>
      <c r="AE1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7" spans="1:31" s="52" customFormat="1" x14ac:dyDescent="0.25">
      <c r="A137" s="52">
        <v>9476</v>
      </c>
      <c r="B137" s="52">
        <f>COUNTIF(Table5[PID],A137)</f>
        <v>1</v>
      </c>
      <c r="C137" s="52" t="str">
        <f>IF(COUNTIF(Table3[[#All],[PID]],A137)&gt;0,"P","B")</f>
        <v>P</v>
      </c>
      <c r="D137" s="61" t="str">
        <f>IF($C137="B",INDEX(Batters[[#All],[POS]],MATCH(Table5[[#This Row],[PID]],Batters[[#All],[PID]],0)),INDEX(Table3[[#All],[POS]],MATCH(Table5[[#This Row],[PID]],Table3[[#All],[PID]],0)))</f>
        <v>SP</v>
      </c>
      <c r="E137" s="54" t="str">
        <f>IF($C137="B",INDEX(Batters[[#All],[First]],MATCH(Table5[[#This Row],[PID]],Batters[[#All],[PID]],0)),INDEX(Table3[[#All],[First]],MATCH(Table5[[#This Row],[PID]],Table3[[#All],[PID]],0)))</f>
        <v>Jimmy</v>
      </c>
      <c r="F137" s="52" t="str">
        <f>IF($C137="B",INDEX(Batters[[#All],[Last]],MATCH(A137,Batters[[#All],[PID]],0)),INDEX(Table3[[#All],[Last]],MATCH(A137,Table3[[#All],[PID]],0)))</f>
        <v>Walton</v>
      </c>
      <c r="G137" s="58">
        <f>IF($C137="B",INDEX(Batters[[#All],[Age]],MATCH(Table5[[#This Row],[PID]],Batters[[#All],[PID]],0)),INDEX(Table3[[#All],[Age]],MATCH(Table5[[#This Row],[PID]],Table3[[#All],[PID]],0)))</f>
        <v>21</v>
      </c>
      <c r="H137" s="54" t="str">
        <f>IF($C137="B",INDEX(Batters[[#All],[B]],MATCH(Table5[[#This Row],[PID]],Batters[[#All],[PID]],0)),INDEX(Table3[[#All],[B]],MATCH(Table5[[#This Row],[PID]],Table3[[#All],[PID]],0)))</f>
        <v>L</v>
      </c>
      <c r="I137" s="54" t="str">
        <f>IF($C137="B",INDEX(Batters[[#All],[T]],MATCH(Table5[[#This Row],[PID]],Batters[[#All],[PID]],0)),INDEX(Table3[[#All],[T]],MATCH(Table5[[#This Row],[PID]],Table3[[#All],[PID]],0)))</f>
        <v>L</v>
      </c>
      <c r="J137" s="54" t="str">
        <f>IF($C137="B",INDEX(Batters[[#All],[WE]],MATCH(Table5[[#This Row],[PID]],Batters[[#All],[PID]],0)),INDEX(Table3[[#All],[WE]],MATCH(Table5[[#This Row],[PID]],Table3[[#All],[PID]],0)))</f>
        <v>Normal</v>
      </c>
      <c r="K137" s="54" t="str">
        <f>IF($C137="B",INDEX(Batters[[#All],[INT]],MATCH(Table5[[#This Row],[PID]],Batters[[#All],[PID]],0)),INDEX(Table3[[#All],[INT]],MATCH(Table5[[#This Row],[PID]],Table3[[#All],[PID]],0)))</f>
        <v>Normal</v>
      </c>
      <c r="L137" s="62">
        <f>IF($C137="B",INDEX(Batters[[#All],[CON P]],MATCH(Table5[[#This Row],[PID]],Batters[[#All],[PID]],0)),INDEX(Table3[[#All],[STU P]],MATCH(Table5[[#This Row],[PID]],Table3[[#All],[PID]],0)))</f>
        <v>6</v>
      </c>
      <c r="M137" s="58">
        <f>IF($C137="B",INDEX(Batters[[#All],[GAP P]],MATCH(Table5[[#This Row],[PID]],Batters[[#All],[PID]],0)),INDEX(Table3[[#All],[MOV P]],MATCH(Table5[[#This Row],[PID]],Table3[[#All],[PID]],0)))</f>
        <v>4</v>
      </c>
      <c r="N137" s="58">
        <f>IF($C137="B",INDEX(Batters[[#All],[POW P]],MATCH(Table5[[#This Row],[PID]],Batters[[#All],[PID]],0)),INDEX(Table3[[#All],[CON P]],MATCH(Table5[[#This Row],[PID]],Table3[[#All],[PID]],0)))</f>
        <v>3</v>
      </c>
      <c r="O137" s="58" t="str">
        <f>IF($C137="B",INDEX(Batters[[#All],[EYE P]],MATCH(Table5[[#This Row],[PID]],Batters[[#All],[PID]],0)),INDEX(Table3[[#All],[VELO]],MATCH(Table5[[#This Row],[PID]],Table3[[#All],[PID]],0)))</f>
        <v>92-94 Mph</v>
      </c>
      <c r="P137" s="58">
        <f>IF($C137="B",INDEX(Batters[[#All],[K P]],MATCH(Table5[[#This Row],[PID]],Batters[[#All],[PID]],0)),INDEX(Table3[[#All],[STM]],MATCH(Table5[[#This Row],[PID]],Table3[[#All],[PID]],0)))</f>
        <v>9</v>
      </c>
      <c r="Q137" s="63">
        <f>IF($C137="B",INDEX(Batters[[#All],[Tot]],MATCH(Table5[[#This Row],[PID]],Batters[[#All],[PID]],0)),INDEX(Table3[[#All],[Tot]],MATCH(Table5[[#This Row],[PID]],Table3[[#All],[PID]],0)))</f>
        <v>47.604260208079708</v>
      </c>
      <c r="R137" s="54">
        <f>IF($C137="B",INDEX(Batters[[#All],[zScore]],MATCH(Table5[[#This Row],[PID]],Batters[[#All],[PID]],0)),INDEX(Table3[[#All],[zScore]],MATCH(Table5[[#This Row],[PID]],Table3[[#All],[PID]],0)))</f>
        <v>1.3647438648083012</v>
      </c>
      <c r="S137" s="60" t="str">
        <f>IF($C137="B",INDEX(Batters[[#All],[DEM]],MATCH(Table5[[#This Row],[PID]],Batters[[#All],[PID]],0)),INDEX(Table3[[#All],[DEM]],MATCH(Table5[[#This Row],[PID]],Table3[[#All],[PID]],0)))</f>
        <v>$1.3m</v>
      </c>
      <c r="T137" s="64">
        <f>IF($C137="B",VLOOKUP($A137,Bat!$A$4:$AU$1417,46,FALSE),VLOOKUP($A137,Pit!$A$4:$BD$570,55,FALSE))</f>
        <v>0</v>
      </c>
      <c r="U137" s="52">
        <f>IF($C137="B",VLOOKUP($A137,Bat!$A$4:$BA$1417,47,FALSE),VLOOKUP($A137,Pit!$A$4:$BF$570,56,FALSE))</f>
        <v>0</v>
      </c>
      <c r="V137" s="52">
        <f>IF($C137="B",VLOOKUP($A137,Bat!$A$4:$BA$1417,48,FALSE),VLOOKUP($A137,Pit!$A$4:$BF$570,57,FALSE))</f>
        <v>0</v>
      </c>
      <c r="W137" s="52">
        <f>Table5[[#This Row],[posRnk]]+Table5[[#This Row],[zRnk]]+IF($W$3&lt;&gt;Table5[[#This Row],[Type]],50,0)</f>
        <v>183</v>
      </c>
      <c r="X137" s="53">
        <f>RANK(Table5[[#This Row],[zScore]],Table5[[#All],[zScore]])</f>
        <v>133</v>
      </c>
      <c r="Y137" s="52" t="str">
        <f>IFERROR(INDEX(DraftResults[[#All],[OVR]],MATCH(Table5[[#This Row],[PID]],DraftResults[[#All],[Player ID]],0)),"")</f>
        <v/>
      </c>
      <c r="Z1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7" s="52" t="str">
        <f>IFERROR(INDEX(DraftResults[[#All],[Pick in Round]],MATCH(Table5[[#This Row],[PID]],DraftResults[[#All],[Player ID]],0)),"")</f>
        <v/>
      </c>
      <c r="AB137" s="52" t="str">
        <f>IFERROR(INDEX(DraftResults[[#All],[Team Name]],MATCH(Table5[[#This Row],[PID]],DraftResults[[#All],[Player ID]],0)),"")</f>
        <v/>
      </c>
      <c r="AC137" s="52" t="str">
        <f>IF(Table5[[#This Row],[Ovr]]="","",IF(Table5[[#This Row],[cmbList]]="","",Table5[[#This Row],[cmbList]]-Table5[[#This Row],[Ovr]]))</f>
        <v/>
      </c>
      <c r="AD137" s="56" t="str">
        <f>IF(ISERROR(VLOOKUP($AB137&amp;"-"&amp;$E137&amp;" "&amp;F137,Bonuses!$B$1:$G$1006,4,FALSE)),"",INT(VLOOKUP($AB137&amp;"-"&amp;$E137&amp;" "&amp;$F137,Bonuses!$B$1:$G$1006,4,FALSE)))</f>
        <v/>
      </c>
      <c r="AE1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8" spans="1:31" s="52" customFormat="1" x14ac:dyDescent="0.25">
      <c r="A138" s="52">
        <v>13533</v>
      </c>
      <c r="B138" s="52">
        <f>COUNTIF(Table5[PID],A138)</f>
        <v>1</v>
      </c>
      <c r="C138" s="52" t="str">
        <f>IF(COUNTIF(Table3[[#All],[PID]],A138)&gt;0,"P","B")</f>
        <v>P</v>
      </c>
      <c r="D138" s="61" t="str">
        <f>IF($C138="B",INDEX(Batters[[#All],[POS]],MATCH(Table5[[#This Row],[PID]],Batters[[#All],[PID]],0)),INDEX(Table3[[#All],[POS]],MATCH(Table5[[#This Row],[PID]],Table3[[#All],[PID]],0)))</f>
        <v>SP</v>
      </c>
      <c r="E138" s="54" t="str">
        <f>IF($C138="B",INDEX(Batters[[#All],[First]],MATCH(Table5[[#This Row],[PID]],Batters[[#All],[PID]],0)),INDEX(Table3[[#All],[First]],MATCH(Table5[[#This Row],[PID]],Table3[[#All],[PID]],0)))</f>
        <v>Héctor</v>
      </c>
      <c r="F138" s="52" t="str">
        <f>IF($C138="B",INDEX(Batters[[#All],[Last]],MATCH(A138,Batters[[#All],[PID]],0)),INDEX(Table3[[#All],[Last]],MATCH(A138,Table3[[#All],[PID]],0)))</f>
        <v>Pacheco</v>
      </c>
      <c r="G138" s="58">
        <f>IF($C138="B",INDEX(Batters[[#All],[Age]],MATCH(Table5[[#This Row],[PID]],Batters[[#All],[PID]],0)),INDEX(Table3[[#All],[Age]],MATCH(Table5[[#This Row],[PID]],Table3[[#All],[PID]],0)))</f>
        <v>18</v>
      </c>
      <c r="H138" s="54" t="str">
        <f>IF($C138="B",INDEX(Batters[[#All],[B]],MATCH(Table5[[#This Row],[PID]],Batters[[#All],[PID]],0)),INDEX(Table3[[#All],[B]],MATCH(Table5[[#This Row],[PID]],Table3[[#All],[PID]],0)))</f>
        <v>R</v>
      </c>
      <c r="I138" s="54" t="str">
        <f>IF($C138="B",INDEX(Batters[[#All],[T]],MATCH(Table5[[#This Row],[PID]],Batters[[#All],[PID]],0)),INDEX(Table3[[#All],[T]],MATCH(Table5[[#This Row],[PID]],Table3[[#All],[PID]],0)))</f>
        <v>R</v>
      </c>
      <c r="J138" s="54" t="str">
        <f>IF($C138="B",INDEX(Batters[[#All],[WE]],MATCH(Table5[[#This Row],[PID]],Batters[[#All],[PID]],0)),INDEX(Table3[[#All],[WE]],MATCH(Table5[[#This Row],[PID]],Table3[[#All],[PID]],0)))</f>
        <v>Normal</v>
      </c>
      <c r="K138" s="54" t="str">
        <f>IF($C138="B",INDEX(Batters[[#All],[INT]],MATCH(Table5[[#This Row],[PID]],Batters[[#All],[PID]],0)),INDEX(Table3[[#All],[INT]],MATCH(Table5[[#This Row],[PID]],Table3[[#All],[PID]],0)))</f>
        <v>Normal</v>
      </c>
      <c r="L138" s="62">
        <f>IF($C138="B",INDEX(Batters[[#All],[CON P]],MATCH(Table5[[#This Row],[PID]],Batters[[#All],[PID]],0)),INDEX(Table3[[#All],[STU P]],MATCH(Table5[[#This Row],[PID]],Table3[[#All],[PID]],0)))</f>
        <v>4</v>
      </c>
      <c r="M138" s="58">
        <f>IF($C138="B",INDEX(Batters[[#All],[GAP P]],MATCH(Table5[[#This Row],[PID]],Batters[[#All],[PID]],0)),INDEX(Table3[[#All],[MOV P]],MATCH(Table5[[#This Row],[PID]],Table3[[#All],[PID]],0)))</f>
        <v>5</v>
      </c>
      <c r="N138" s="58">
        <f>IF($C138="B",INDEX(Batters[[#All],[POW P]],MATCH(Table5[[#This Row],[PID]],Batters[[#All],[PID]],0)),INDEX(Table3[[#All],[CON P]],MATCH(Table5[[#This Row],[PID]],Table3[[#All],[PID]],0)))</f>
        <v>3</v>
      </c>
      <c r="O138" s="58" t="str">
        <f>IF($C138="B",INDEX(Batters[[#All],[EYE P]],MATCH(Table5[[#This Row],[PID]],Batters[[#All],[PID]],0)),INDEX(Table3[[#All],[VELO]],MATCH(Table5[[#This Row],[PID]],Table3[[#All],[PID]],0)))</f>
        <v>90-92 Mph</v>
      </c>
      <c r="P138" s="58">
        <f>IF($C138="B",INDEX(Batters[[#All],[K P]],MATCH(Table5[[#This Row],[PID]],Batters[[#All],[PID]],0)),INDEX(Table3[[#All],[STM]],MATCH(Table5[[#This Row],[PID]],Table3[[#All],[PID]],0)))</f>
        <v>6</v>
      </c>
      <c r="Q138" s="63">
        <f>IF($C138="B",INDEX(Batters[[#All],[Tot]],MATCH(Table5[[#This Row],[PID]],Batters[[#All],[PID]],0)),INDEX(Table3[[#All],[Tot]],MATCH(Table5[[#This Row],[PID]],Table3[[#All],[PID]],0)))</f>
        <v>47.541252383450058</v>
      </c>
      <c r="R138" s="54">
        <f>IF($C138="B",INDEX(Batters[[#All],[zScore]],MATCH(Table5[[#This Row],[PID]],Batters[[#All],[PID]],0)),INDEX(Table3[[#All],[zScore]],MATCH(Table5[[#This Row],[PID]],Table3[[#All],[PID]],0)))</f>
        <v>1.3589657779886599</v>
      </c>
      <c r="S138" s="60" t="str">
        <f>IF($C138="B",INDEX(Batters[[#All],[DEM]],MATCH(Table5[[#This Row],[PID]],Batters[[#All],[PID]],0)),INDEX(Table3[[#All],[DEM]],MATCH(Table5[[#This Row],[PID]],Table3[[#All],[PID]],0)))</f>
        <v>$200k</v>
      </c>
      <c r="T138" s="64">
        <f>IF($C138="B",VLOOKUP($A138,Bat!$A$4:$AU$1417,46,FALSE),VLOOKUP($A138,Pit!$A$4:$BD$570,55,FALSE))</f>
        <v>0</v>
      </c>
      <c r="U138" s="52">
        <f>IF($C138="B",VLOOKUP($A138,Bat!$A$4:$BA$1417,47,FALSE),VLOOKUP($A138,Pit!$A$4:$BF$570,56,FALSE))</f>
        <v>0</v>
      </c>
      <c r="V138" s="52">
        <f>IF($C138="B",VLOOKUP($A138,Bat!$A$4:$BA$1417,48,FALSE),VLOOKUP($A138,Pit!$A$4:$BF$570,57,FALSE))</f>
        <v>0</v>
      </c>
      <c r="W138" s="52">
        <f>Table5[[#This Row],[posRnk]]+Table5[[#This Row],[zRnk]]+IF($W$3&lt;&gt;Table5[[#This Row],[Type]],50,0)</f>
        <v>184</v>
      </c>
      <c r="X138" s="53">
        <f>RANK(Table5[[#This Row],[zScore]],Table5[[#All],[zScore]])</f>
        <v>134</v>
      </c>
      <c r="Y138" s="52" t="str">
        <f>IFERROR(INDEX(DraftResults[[#All],[OVR]],MATCH(Table5[[#This Row],[PID]],DraftResults[[#All],[Player ID]],0)),"")</f>
        <v/>
      </c>
      <c r="Z1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8" s="52" t="str">
        <f>IFERROR(INDEX(DraftResults[[#All],[Pick in Round]],MATCH(Table5[[#This Row],[PID]],DraftResults[[#All],[Player ID]],0)),"")</f>
        <v/>
      </c>
      <c r="AB138" s="52" t="str">
        <f>IFERROR(INDEX(DraftResults[[#All],[Team Name]],MATCH(Table5[[#This Row],[PID]],DraftResults[[#All],[Player ID]],0)),"")</f>
        <v/>
      </c>
      <c r="AC138" s="52" t="str">
        <f>IF(Table5[[#This Row],[Ovr]]="","",IF(Table5[[#This Row],[cmbList]]="","",Table5[[#This Row],[cmbList]]-Table5[[#This Row],[Ovr]]))</f>
        <v/>
      </c>
      <c r="AD138" s="56" t="str">
        <f>IF(ISERROR(VLOOKUP($AB138&amp;"-"&amp;$E138&amp;" "&amp;F138,Bonuses!$B$1:$G$1006,4,FALSE)),"",INT(VLOOKUP($AB138&amp;"-"&amp;$E138&amp;" "&amp;$F138,Bonuses!$B$1:$G$1006,4,FALSE)))</f>
        <v/>
      </c>
      <c r="AE1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9" spans="1:31" s="52" customFormat="1" x14ac:dyDescent="0.25">
      <c r="A139" s="52">
        <v>6376</v>
      </c>
      <c r="B139" s="52">
        <f>COUNTIF(Table5[PID],A139)</f>
        <v>1</v>
      </c>
      <c r="C139" s="52" t="str">
        <f>IF(COUNTIF(Table3[[#All],[PID]],A139)&gt;0,"P","B")</f>
        <v>B</v>
      </c>
      <c r="D139" s="61" t="str">
        <f>IF($C139="B",INDEX(Batters[[#All],[POS]],MATCH(Table5[[#This Row],[PID]],Batters[[#All],[PID]],0)),INDEX(Table3[[#All],[POS]],MATCH(Table5[[#This Row],[PID]],Table3[[#All],[PID]],0)))</f>
        <v>LF</v>
      </c>
      <c r="E139" s="54" t="str">
        <f>IF($C139="B",INDEX(Batters[[#All],[First]],MATCH(Table5[[#This Row],[PID]],Batters[[#All],[PID]],0)),INDEX(Table3[[#All],[First]],MATCH(Table5[[#This Row],[PID]],Table3[[#All],[PID]],0)))</f>
        <v>Joshua</v>
      </c>
      <c r="F139" s="52" t="str">
        <f>IF($C139="B",INDEX(Batters[[#All],[Last]],MATCH(A139,Batters[[#All],[PID]],0)),INDEX(Table3[[#All],[Last]],MATCH(A139,Table3[[#All],[PID]],0)))</f>
        <v>MacLaine</v>
      </c>
      <c r="G139" s="58">
        <f>IF($C139="B",INDEX(Batters[[#All],[Age]],MATCH(Table5[[#This Row],[PID]],Batters[[#All],[PID]],0)),INDEX(Table3[[#All],[Age]],MATCH(Table5[[#This Row],[PID]],Table3[[#All],[PID]],0)))</f>
        <v>18</v>
      </c>
      <c r="H139" s="54" t="str">
        <f>IF($C139="B",INDEX(Batters[[#All],[B]],MATCH(Table5[[#This Row],[PID]],Batters[[#All],[PID]],0)),INDEX(Table3[[#All],[B]],MATCH(Table5[[#This Row],[PID]],Table3[[#All],[PID]],0)))</f>
        <v>L</v>
      </c>
      <c r="I139" s="54" t="str">
        <f>IF($C139="B",INDEX(Batters[[#All],[T]],MATCH(Table5[[#This Row],[PID]],Batters[[#All],[PID]],0)),INDEX(Table3[[#All],[T]],MATCH(Table5[[#This Row],[PID]],Table3[[#All],[PID]],0)))</f>
        <v>L</v>
      </c>
      <c r="J139" s="54" t="str">
        <f>IF($C139="B",INDEX(Batters[[#All],[WE]],MATCH(Table5[[#This Row],[PID]],Batters[[#All],[PID]],0)),INDEX(Table3[[#All],[WE]],MATCH(Table5[[#This Row],[PID]],Table3[[#All],[PID]],0)))</f>
        <v>Normal</v>
      </c>
      <c r="K139" s="54" t="str">
        <f>IF($C139="B",INDEX(Batters[[#All],[INT]],MATCH(Table5[[#This Row],[PID]],Batters[[#All],[PID]],0)),INDEX(Table3[[#All],[INT]],MATCH(Table5[[#This Row],[PID]],Table3[[#All],[PID]],0)))</f>
        <v>Normal</v>
      </c>
      <c r="L139" s="62">
        <f>IF($C139="B",INDEX(Batters[[#All],[CON P]],MATCH(Table5[[#This Row],[PID]],Batters[[#All],[PID]],0)),INDEX(Table3[[#All],[STU P]],MATCH(Table5[[#This Row],[PID]],Table3[[#All],[PID]],0)))</f>
        <v>4</v>
      </c>
      <c r="M139" s="58">
        <f>IF($C139="B",INDEX(Batters[[#All],[GAP P]],MATCH(Table5[[#This Row],[PID]],Batters[[#All],[PID]],0)),INDEX(Table3[[#All],[MOV P]],MATCH(Table5[[#This Row],[PID]],Table3[[#All],[PID]],0)))</f>
        <v>5</v>
      </c>
      <c r="N139" s="58">
        <f>IF($C139="B",INDEX(Batters[[#All],[POW P]],MATCH(Table5[[#This Row],[PID]],Batters[[#All],[PID]],0)),INDEX(Table3[[#All],[CON P]],MATCH(Table5[[#This Row],[PID]],Table3[[#All],[PID]],0)))</f>
        <v>5</v>
      </c>
      <c r="O139" s="58">
        <f>IF($C139="B",INDEX(Batters[[#All],[EYE P]],MATCH(Table5[[#This Row],[PID]],Batters[[#All],[PID]],0)),INDEX(Table3[[#All],[VELO]],MATCH(Table5[[#This Row],[PID]],Table3[[#All],[PID]],0)))</f>
        <v>4</v>
      </c>
      <c r="P139" s="58">
        <f>IF($C139="B",INDEX(Batters[[#All],[K P]],MATCH(Table5[[#This Row],[PID]],Batters[[#All],[PID]],0)),INDEX(Table3[[#All],[STM]],MATCH(Table5[[#This Row],[PID]],Table3[[#All],[PID]],0)))</f>
        <v>5</v>
      </c>
      <c r="Q139" s="63">
        <f>IF($C139="B",INDEX(Batters[[#All],[Tot]],MATCH(Table5[[#This Row],[PID]],Batters[[#All],[PID]],0)),INDEX(Table3[[#All],[Tot]],MATCH(Table5[[#This Row],[PID]],Table3[[#All],[PID]],0)))</f>
        <v>48.046556076162219</v>
      </c>
      <c r="R139" s="54">
        <f>IF($C139="B",INDEX(Batters[[#All],[zScore]],MATCH(Table5[[#This Row],[PID]],Batters[[#All],[PID]],0)),INDEX(Table3[[#All],[zScore]],MATCH(Table5[[#This Row],[PID]],Table3[[#All],[PID]],0)))</f>
        <v>1.354466253636416</v>
      </c>
      <c r="S139" s="60" t="str">
        <f>IF($C139="B",INDEX(Batters[[#All],[DEM]],MATCH(Table5[[#This Row],[PID]],Batters[[#All],[PID]],0)),INDEX(Table3[[#All],[DEM]],MATCH(Table5[[#This Row],[PID]],Table3[[#All],[PID]],0)))</f>
        <v>$200k</v>
      </c>
      <c r="T139" s="64">
        <f>IF($C139="B",VLOOKUP($A139,Bat!$A$4:$AU$1417,46,FALSE),VLOOKUP($A139,Pit!$A$4:$BD$570,55,FALSE))</f>
        <v>0</v>
      </c>
      <c r="U139" s="52">
        <f>IF($C139="B",VLOOKUP($A139,Bat!$A$4:$BA$1417,47,FALSE),VLOOKUP($A139,Pit!$A$4:$BF$570,56,FALSE))</f>
        <v>0</v>
      </c>
      <c r="V139" s="52">
        <f>IF($C139="B",VLOOKUP($A139,Bat!$A$4:$BA$1417,48,FALSE),VLOOKUP($A139,Pit!$A$4:$BF$570,57,FALSE))</f>
        <v>0</v>
      </c>
      <c r="W139" s="52">
        <f>Table5[[#This Row],[posRnk]]+Table5[[#This Row],[zRnk]]+IF($W$3&lt;&gt;Table5[[#This Row],[Type]],50,0)</f>
        <v>185</v>
      </c>
      <c r="X139" s="53">
        <f>RANK(Table5[[#This Row],[zScore]],Table5[[#All],[zScore]])</f>
        <v>135</v>
      </c>
      <c r="Y139" s="52" t="str">
        <f>IFERROR(INDEX(DraftResults[[#All],[OVR]],MATCH(Table5[[#This Row],[PID]],DraftResults[[#All],[Player ID]],0)),"")</f>
        <v/>
      </c>
      <c r="Z1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9" s="52" t="str">
        <f>IFERROR(INDEX(DraftResults[[#All],[Pick in Round]],MATCH(Table5[[#This Row],[PID]],DraftResults[[#All],[Player ID]],0)),"")</f>
        <v/>
      </c>
      <c r="AB139" s="52" t="str">
        <f>IFERROR(INDEX(DraftResults[[#All],[Team Name]],MATCH(Table5[[#This Row],[PID]],DraftResults[[#All],[Player ID]],0)),"")</f>
        <v/>
      </c>
      <c r="AC139" s="52" t="str">
        <f>IF(Table5[[#This Row],[Ovr]]="","",IF(Table5[[#This Row],[cmbList]]="","",Table5[[#This Row],[cmbList]]-Table5[[#This Row],[Ovr]]))</f>
        <v/>
      </c>
      <c r="AD139" s="56" t="str">
        <f>IF(ISERROR(VLOOKUP($AB139&amp;"-"&amp;$E139&amp;" "&amp;F139,Bonuses!$B$1:$G$1006,4,FALSE)),"",INT(VLOOKUP($AB139&amp;"-"&amp;$E139&amp;" "&amp;$F139,Bonuses!$B$1:$G$1006,4,FALSE)))</f>
        <v/>
      </c>
      <c r="AE1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0" spans="1:31" s="52" customFormat="1" x14ac:dyDescent="0.25">
      <c r="A140" s="52">
        <v>8745</v>
      </c>
      <c r="B140" s="52">
        <f>COUNTIF(Table5[PID],A140)</f>
        <v>1</v>
      </c>
      <c r="C140" s="52" t="str">
        <f>IF(COUNTIF(Table3[[#All],[PID]],A140)&gt;0,"P","B")</f>
        <v>B</v>
      </c>
      <c r="D140" s="61" t="str">
        <f>IF($C140="B",INDEX(Batters[[#All],[POS]],MATCH(Table5[[#This Row],[PID]],Batters[[#All],[PID]],0)),INDEX(Table3[[#All],[POS]],MATCH(Table5[[#This Row],[PID]],Table3[[#All],[PID]],0)))</f>
        <v>LF</v>
      </c>
      <c r="E140" s="54" t="str">
        <f>IF($C140="B",INDEX(Batters[[#All],[First]],MATCH(Table5[[#This Row],[PID]],Batters[[#All],[PID]],0)),INDEX(Table3[[#All],[First]],MATCH(Table5[[#This Row],[PID]],Table3[[#All],[PID]],0)))</f>
        <v>Bill</v>
      </c>
      <c r="F140" s="52" t="str">
        <f>IF($C140="B",INDEX(Batters[[#All],[Last]],MATCH(A140,Batters[[#All],[PID]],0)),INDEX(Table3[[#All],[Last]],MATCH(A140,Table3[[#All],[PID]],0)))</f>
        <v>Jenkins</v>
      </c>
      <c r="G140" s="58">
        <f>IF($C140="B",INDEX(Batters[[#All],[Age]],MATCH(Table5[[#This Row],[PID]],Batters[[#All],[PID]],0)),INDEX(Table3[[#All],[Age]],MATCH(Table5[[#This Row],[PID]],Table3[[#All],[PID]],0)))</f>
        <v>18</v>
      </c>
      <c r="H140" s="54" t="str">
        <f>IF($C140="B",INDEX(Batters[[#All],[B]],MATCH(Table5[[#This Row],[PID]],Batters[[#All],[PID]],0)),INDEX(Table3[[#All],[B]],MATCH(Table5[[#This Row],[PID]],Table3[[#All],[PID]],0)))</f>
        <v>R</v>
      </c>
      <c r="I140" s="54" t="str">
        <f>IF($C140="B",INDEX(Batters[[#All],[T]],MATCH(Table5[[#This Row],[PID]],Batters[[#All],[PID]],0)),INDEX(Table3[[#All],[T]],MATCH(Table5[[#This Row],[PID]],Table3[[#All],[PID]],0)))</f>
        <v>R</v>
      </c>
      <c r="J140" s="54" t="str">
        <f>IF($C140="B",INDEX(Batters[[#All],[WE]],MATCH(Table5[[#This Row],[PID]],Batters[[#All],[PID]],0)),INDEX(Table3[[#All],[WE]],MATCH(Table5[[#This Row],[PID]],Table3[[#All],[PID]],0)))</f>
        <v>High</v>
      </c>
      <c r="K140" s="54" t="str">
        <f>IF($C140="B",INDEX(Batters[[#All],[INT]],MATCH(Table5[[#This Row],[PID]],Batters[[#All],[PID]],0)),INDEX(Table3[[#All],[INT]],MATCH(Table5[[#This Row],[PID]],Table3[[#All],[PID]],0)))</f>
        <v>Normal</v>
      </c>
      <c r="L140" s="62">
        <f>IF($C140="B",INDEX(Batters[[#All],[CON P]],MATCH(Table5[[#This Row],[PID]],Batters[[#All],[PID]],0)),INDEX(Table3[[#All],[STU P]],MATCH(Table5[[#This Row],[PID]],Table3[[#All],[PID]],0)))</f>
        <v>4</v>
      </c>
      <c r="M140" s="58">
        <f>IF($C140="B",INDEX(Batters[[#All],[GAP P]],MATCH(Table5[[#This Row],[PID]],Batters[[#All],[PID]],0)),INDEX(Table3[[#All],[MOV P]],MATCH(Table5[[#This Row],[PID]],Table3[[#All],[PID]],0)))</f>
        <v>5</v>
      </c>
      <c r="N140" s="58">
        <f>IF($C140="B",INDEX(Batters[[#All],[POW P]],MATCH(Table5[[#This Row],[PID]],Batters[[#All],[PID]],0)),INDEX(Table3[[#All],[CON P]],MATCH(Table5[[#This Row],[PID]],Table3[[#All],[PID]],0)))</f>
        <v>5</v>
      </c>
      <c r="O140" s="58">
        <f>IF($C140="B",INDEX(Batters[[#All],[EYE P]],MATCH(Table5[[#This Row],[PID]],Batters[[#All],[PID]],0)),INDEX(Table3[[#All],[VELO]],MATCH(Table5[[#This Row],[PID]],Table3[[#All],[PID]],0)))</f>
        <v>4</v>
      </c>
      <c r="P140" s="58">
        <f>IF($C140="B",INDEX(Batters[[#All],[K P]],MATCH(Table5[[#This Row],[PID]],Batters[[#All],[PID]],0)),INDEX(Table3[[#All],[STM]],MATCH(Table5[[#This Row],[PID]],Table3[[#All],[PID]],0)))</f>
        <v>4</v>
      </c>
      <c r="Q140" s="63">
        <f>IF($C140="B",INDEX(Batters[[#All],[Tot]],MATCH(Table5[[#This Row],[PID]],Batters[[#All],[PID]],0)),INDEX(Table3[[#All],[Tot]],MATCH(Table5[[#This Row],[PID]],Table3[[#All],[PID]],0)))</f>
        <v>47.991053021723353</v>
      </c>
      <c r="R140" s="54">
        <f>IF($C140="B",INDEX(Batters[[#All],[zScore]],MATCH(Table5[[#This Row],[PID]],Batters[[#All],[PID]],0)),INDEX(Table3[[#All],[zScore]],MATCH(Table5[[#This Row],[PID]],Table3[[#All],[PID]],0)))</f>
        <v>1.3447008600980357</v>
      </c>
      <c r="S140" s="60" t="str">
        <f>IF($C140="B",INDEX(Batters[[#All],[DEM]],MATCH(Table5[[#This Row],[PID]],Batters[[#All],[PID]],0)),INDEX(Table3[[#All],[DEM]],MATCH(Table5[[#This Row],[PID]],Table3[[#All],[PID]],0)))</f>
        <v>$320k</v>
      </c>
      <c r="T140" s="64">
        <f>IF($C140="B",VLOOKUP($A140,Bat!$A$4:$AU$1417,46,FALSE),VLOOKUP($A140,Pit!$A$4:$BD$570,55,FALSE))</f>
        <v>0</v>
      </c>
      <c r="U140" s="52">
        <f>IF($C140="B",VLOOKUP($A140,Bat!$A$4:$BA$1417,47,FALSE),VLOOKUP($A140,Pit!$A$4:$BF$570,56,FALSE))</f>
        <v>0</v>
      </c>
      <c r="V140" s="52">
        <f>IF($C140="B",VLOOKUP($A140,Bat!$A$4:$BA$1417,48,FALSE),VLOOKUP($A140,Pit!$A$4:$BF$570,57,FALSE))</f>
        <v>0</v>
      </c>
      <c r="W140" s="52">
        <f>Table5[[#This Row],[posRnk]]+Table5[[#This Row],[zRnk]]+IF($W$3&lt;&gt;Table5[[#This Row],[Type]],50,0)</f>
        <v>186</v>
      </c>
      <c r="X140" s="53">
        <f>RANK(Table5[[#This Row],[zScore]],Table5[[#All],[zScore]])</f>
        <v>136</v>
      </c>
      <c r="Y140" s="52" t="str">
        <f>IFERROR(INDEX(DraftResults[[#All],[OVR]],MATCH(Table5[[#This Row],[PID]],DraftResults[[#All],[Player ID]],0)),"")</f>
        <v/>
      </c>
      <c r="Z1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0" s="52" t="str">
        <f>IFERROR(INDEX(DraftResults[[#All],[Pick in Round]],MATCH(Table5[[#This Row],[PID]],DraftResults[[#All],[Player ID]],0)),"")</f>
        <v/>
      </c>
      <c r="AB140" s="52" t="str">
        <f>IFERROR(INDEX(DraftResults[[#All],[Team Name]],MATCH(Table5[[#This Row],[PID]],DraftResults[[#All],[Player ID]],0)),"")</f>
        <v/>
      </c>
      <c r="AC140" s="52" t="str">
        <f>IF(Table5[[#This Row],[Ovr]]="","",IF(Table5[[#This Row],[cmbList]]="","",Table5[[#This Row],[cmbList]]-Table5[[#This Row],[Ovr]]))</f>
        <v/>
      </c>
      <c r="AD140" s="56" t="str">
        <f>IF(ISERROR(VLOOKUP($AB140&amp;"-"&amp;$E140&amp;" "&amp;F140,Bonuses!$B$1:$G$1006,4,FALSE)),"",INT(VLOOKUP($AB140&amp;"-"&amp;$E140&amp;" "&amp;$F140,Bonuses!$B$1:$G$1006,4,FALSE)))</f>
        <v/>
      </c>
      <c r="AE1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1" spans="1:31" s="52" customFormat="1" x14ac:dyDescent="0.25">
      <c r="A141" s="52">
        <v>7321</v>
      </c>
      <c r="B141" s="52">
        <f>COUNTIF(Table5[PID],A141)</f>
        <v>1</v>
      </c>
      <c r="C141" s="52" t="str">
        <f>IF(COUNTIF(Table3[[#All],[PID]],A141)&gt;0,"P","B")</f>
        <v>B</v>
      </c>
      <c r="D141" s="61" t="str">
        <f>IF($C141="B",INDEX(Batters[[#All],[POS]],MATCH(Table5[[#This Row],[PID]],Batters[[#All],[PID]],0)),INDEX(Table3[[#All],[POS]],MATCH(Table5[[#This Row],[PID]],Table3[[#All],[PID]],0)))</f>
        <v>2B</v>
      </c>
      <c r="E141" s="54" t="str">
        <f>IF($C141="B",INDEX(Batters[[#All],[First]],MATCH(Table5[[#This Row],[PID]],Batters[[#All],[PID]],0)),INDEX(Table3[[#All],[First]],MATCH(Table5[[#This Row],[PID]],Table3[[#All],[PID]],0)))</f>
        <v>Miguel</v>
      </c>
      <c r="F141" s="52" t="str">
        <f>IF($C141="B",INDEX(Batters[[#All],[Last]],MATCH(A141,Batters[[#All],[PID]],0)),INDEX(Table3[[#All],[Last]],MATCH(A141,Table3[[#All],[PID]],0)))</f>
        <v>Picado</v>
      </c>
      <c r="G141" s="58">
        <f>IF($C141="B",INDEX(Batters[[#All],[Age]],MATCH(Table5[[#This Row],[PID]],Batters[[#All],[PID]],0)),INDEX(Table3[[#All],[Age]],MATCH(Table5[[#This Row],[PID]],Table3[[#All],[PID]],0)))</f>
        <v>21</v>
      </c>
      <c r="H141" s="54" t="str">
        <f>IF($C141="B",INDEX(Batters[[#All],[B]],MATCH(Table5[[#This Row],[PID]],Batters[[#All],[PID]],0)),INDEX(Table3[[#All],[B]],MATCH(Table5[[#This Row],[PID]],Table3[[#All],[PID]],0)))</f>
        <v>R</v>
      </c>
      <c r="I141" s="54" t="str">
        <f>IF($C141="B",INDEX(Batters[[#All],[T]],MATCH(Table5[[#This Row],[PID]],Batters[[#All],[PID]],0)),INDEX(Table3[[#All],[T]],MATCH(Table5[[#This Row],[PID]],Table3[[#All],[PID]],0)))</f>
        <v>R</v>
      </c>
      <c r="J141" s="54" t="str">
        <f>IF($C141="B",INDEX(Batters[[#All],[WE]],MATCH(Table5[[#This Row],[PID]],Batters[[#All],[PID]],0)),INDEX(Table3[[#All],[WE]],MATCH(Table5[[#This Row],[PID]],Table3[[#All],[PID]],0)))</f>
        <v>Low</v>
      </c>
      <c r="K141" s="54" t="str">
        <f>IF($C141="B",INDEX(Batters[[#All],[INT]],MATCH(Table5[[#This Row],[PID]],Batters[[#All],[PID]],0)),INDEX(Table3[[#All],[INT]],MATCH(Table5[[#This Row],[PID]],Table3[[#All],[PID]],0)))</f>
        <v>Normal</v>
      </c>
      <c r="L141" s="62">
        <f>IF($C141="B",INDEX(Batters[[#All],[CON P]],MATCH(Table5[[#This Row],[PID]],Batters[[#All],[PID]],0)),INDEX(Table3[[#All],[STU P]],MATCH(Table5[[#This Row],[PID]],Table3[[#All],[PID]],0)))</f>
        <v>5</v>
      </c>
      <c r="M141" s="58">
        <f>IF($C141="B",INDEX(Batters[[#All],[GAP P]],MATCH(Table5[[#This Row],[PID]],Batters[[#All],[PID]],0)),INDEX(Table3[[#All],[MOV P]],MATCH(Table5[[#This Row],[PID]],Table3[[#All],[PID]],0)))</f>
        <v>7</v>
      </c>
      <c r="N141" s="58">
        <f>IF($C141="B",INDEX(Batters[[#All],[POW P]],MATCH(Table5[[#This Row],[PID]],Batters[[#All],[PID]],0)),INDEX(Table3[[#All],[CON P]],MATCH(Table5[[#This Row],[PID]],Table3[[#All],[PID]],0)))</f>
        <v>5</v>
      </c>
      <c r="O141" s="58">
        <f>IF($C141="B",INDEX(Batters[[#All],[EYE P]],MATCH(Table5[[#This Row],[PID]],Batters[[#All],[PID]],0)),INDEX(Table3[[#All],[VELO]],MATCH(Table5[[#This Row],[PID]],Table3[[#All],[PID]],0)))</f>
        <v>3</v>
      </c>
      <c r="P141" s="58">
        <f>IF($C141="B",INDEX(Batters[[#All],[K P]],MATCH(Table5[[#This Row],[PID]],Batters[[#All],[PID]],0)),INDEX(Table3[[#All],[STM]],MATCH(Table5[[#This Row],[PID]],Table3[[#All],[PID]],0)))</f>
        <v>6</v>
      </c>
      <c r="Q141" s="63">
        <f>IF($C141="B",INDEX(Batters[[#All],[Tot]],MATCH(Table5[[#This Row],[PID]],Batters[[#All],[PID]],0)),INDEX(Table3[[#All],[Tot]],MATCH(Table5[[#This Row],[PID]],Table3[[#All],[PID]],0)))</f>
        <v>47.919027729650779</v>
      </c>
      <c r="R141" s="54">
        <f>IF($C141="B",INDEX(Batters[[#All],[zScore]],MATCH(Table5[[#This Row],[PID]],Batters[[#All],[PID]],0)),INDEX(Table3[[#All],[zScore]],MATCH(Table5[[#This Row],[PID]],Table3[[#All],[PID]],0)))</f>
        <v>1.3320284886598084</v>
      </c>
      <c r="S141" s="60" t="str">
        <f>IF($C141="B",INDEX(Batters[[#All],[DEM]],MATCH(Table5[[#This Row],[PID]],Batters[[#All],[PID]],0)),INDEX(Table3[[#All],[DEM]],MATCH(Table5[[#This Row],[PID]],Table3[[#All],[PID]],0)))</f>
        <v>$290k</v>
      </c>
      <c r="T141" s="64">
        <f>IF($C141="B",VLOOKUP($A141,Bat!$A$4:$AU$1417,46,FALSE),VLOOKUP($A141,Pit!$A$4:$BD$570,55,FALSE))</f>
        <v>0</v>
      </c>
      <c r="U141" s="52">
        <f>IF($C141="B",VLOOKUP($A141,Bat!$A$4:$BA$1417,47,FALSE),VLOOKUP($A141,Pit!$A$4:$BF$570,56,FALSE))</f>
        <v>0</v>
      </c>
      <c r="V141" s="52">
        <f>IF($C141="B",VLOOKUP($A141,Bat!$A$4:$BA$1417,48,FALSE),VLOOKUP($A141,Pit!$A$4:$BF$570,57,FALSE))</f>
        <v>0</v>
      </c>
      <c r="W141" s="52">
        <f>Table5[[#This Row],[posRnk]]+Table5[[#This Row],[zRnk]]+IF($W$3&lt;&gt;Table5[[#This Row],[Type]],50,0)</f>
        <v>187</v>
      </c>
      <c r="X141" s="53">
        <f>RANK(Table5[[#This Row],[zScore]],Table5[[#All],[zScore]])</f>
        <v>137</v>
      </c>
      <c r="Y141" s="52" t="str">
        <f>IFERROR(INDEX(DraftResults[[#All],[OVR]],MATCH(Table5[[#This Row],[PID]],DraftResults[[#All],[Player ID]],0)),"")</f>
        <v/>
      </c>
      <c r="Z1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1" s="52" t="str">
        <f>IFERROR(INDEX(DraftResults[[#All],[Pick in Round]],MATCH(Table5[[#This Row],[PID]],DraftResults[[#All],[Player ID]],0)),"")</f>
        <v/>
      </c>
      <c r="AB141" s="52" t="str">
        <f>IFERROR(INDEX(DraftResults[[#All],[Team Name]],MATCH(Table5[[#This Row],[PID]],DraftResults[[#All],[Player ID]],0)),"")</f>
        <v/>
      </c>
      <c r="AC141" s="52" t="str">
        <f>IF(Table5[[#This Row],[Ovr]]="","",IF(Table5[[#This Row],[cmbList]]="","",Table5[[#This Row],[cmbList]]-Table5[[#This Row],[Ovr]]))</f>
        <v/>
      </c>
      <c r="AD141" s="56" t="str">
        <f>IF(ISERROR(VLOOKUP($AB141&amp;"-"&amp;$E141&amp;" "&amp;F141,Bonuses!$B$1:$G$1006,4,FALSE)),"",INT(VLOOKUP($AB141&amp;"-"&amp;$E141&amp;" "&amp;$F141,Bonuses!$B$1:$G$1006,4,FALSE)))</f>
        <v/>
      </c>
      <c r="AE1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2" spans="1:31" s="52" customFormat="1" x14ac:dyDescent="0.25">
      <c r="A142" s="52">
        <v>9537</v>
      </c>
      <c r="B142" s="52">
        <f>COUNTIF(Table5[PID],A142)</f>
        <v>1</v>
      </c>
      <c r="C142" s="52" t="str">
        <f>IF(COUNTIF(Table3[[#All],[PID]],A142)&gt;0,"P","B")</f>
        <v>P</v>
      </c>
      <c r="D142" s="61" t="str">
        <f>IF($C142="B",INDEX(Batters[[#All],[POS]],MATCH(Table5[[#This Row],[PID]],Batters[[#All],[PID]],0)),INDEX(Table3[[#All],[POS]],MATCH(Table5[[#This Row],[PID]],Table3[[#All],[PID]],0)))</f>
        <v>SP</v>
      </c>
      <c r="E142" s="54" t="str">
        <f>IF($C142="B",INDEX(Batters[[#All],[First]],MATCH(Table5[[#This Row],[PID]],Batters[[#All],[PID]],0)),INDEX(Table3[[#All],[First]],MATCH(Table5[[#This Row],[PID]],Table3[[#All],[PID]],0)))</f>
        <v>Héctor</v>
      </c>
      <c r="F142" s="52" t="str">
        <f>IF($C142="B",INDEX(Batters[[#All],[Last]],MATCH(A142,Batters[[#All],[PID]],0)),INDEX(Table3[[#All],[Last]],MATCH(A142,Table3[[#All],[PID]],0)))</f>
        <v>Velásquez</v>
      </c>
      <c r="G142" s="58">
        <f>IF($C142="B",INDEX(Batters[[#All],[Age]],MATCH(Table5[[#This Row],[PID]],Batters[[#All],[PID]],0)),INDEX(Table3[[#All],[Age]],MATCH(Table5[[#This Row],[PID]],Table3[[#All],[PID]],0)))</f>
        <v>21</v>
      </c>
      <c r="H142" s="54" t="str">
        <f>IF($C142="B",INDEX(Batters[[#All],[B]],MATCH(Table5[[#This Row],[PID]],Batters[[#All],[PID]],0)),INDEX(Table3[[#All],[B]],MATCH(Table5[[#This Row],[PID]],Table3[[#All],[PID]],0)))</f>
        <v>L</v>
      </c>
      <c r="I142" s="54" t="str">
        <f>IF($C142="B",INDEX(Batters[[#All],[T]],MATCH(Table5[[#This Row],[PID]],Batters[[#All],[PID]],0)),INDEX(Table3[[#All],[T]],MATCH(Table5[[#This Row],[PID]],Table3[[#All],[PID]],0)))</f>
        <v>L</v>
      </c>
      <c r="J142" s="54" t="str">
        <f>IF($C142="B",INDEX(Batters[[#All],[WE]],MATCH(Table5[[#This Row],[PID]],Batters[[#All],[PID]],0)),INDEX(Table3[[#All],[WE]],MATCH(Table5[[#This Row],[PID]],Table3[[#All],[PID]],0)))</f>
        <v>High</v>
      </c>
      <c r="K142" s="54" t="str">
        <f>IF($C142="B",INDEX(Batters[[#All],[INT]],MATCH(Table5[[#This Row],[PID]],Batters[[#All],[PID]],0)),INDEX(Table3[[#All],[INT]],MATCH(Table5[[#This Row],[PID]],Table3[[#All],[PID]],0)))</f>
        <v>Low</v>
      </c>
      <c r="L142" s="62">
        <f>IF($C142="B",INDEX(Batters[[#All],[CON P]],MATCH(Table5[[#This Row],[PID]],Batters[[#All],[PID]],0)),INDEX(Table3[[#All],[STU P]],MATCH(Table5[[#This Row],[PID]],Table3[[#All],[PID]],0)))</f>
        <v>6</v>
      </c>
      <c r="M142" s="58">
        <f>IF($C142="B",INDEX(Batters[[#All],[GAP P]],MATCH(Table5[[#This Row],[PID]],Batters[[#All],[PID]],0)),INDEX(Table3[[#All],[MOV P]],MATCH(Table5[[#This Row],[PID]],Table3[[#All],[PID]],0)))</f>
        <v>5</v>
      </c>
      <c r="N142" s="58">
        <f>IF($C142="B",INDEX(Batters[[#All],[POW P]],MATCH(Table5[[#This Row],[PID]],Batters[[#All],[PID]],0)),INDEX(Table3[[#All],[CON P]],MATCH(Table5[[#This Row],[PID]],Table3[[#All],[PID]],0)))</f>
        <v>2</v>
      </c>
      <c r="O142" s="58" t="str">
        <f>IF($C142="B",INDEX(Batters[[#All],[EYE P]],MATCH(Table5[[#This Row],[PID]],Batters[[#All],[PID]],0)),INDEX(Table3[[#All],[VELO]],MATCH(Table5[[#This Row],[PID]],Table3[[#All],[PID]],0)))</f>
        <v>93-95 Mph</v>
      </c>
      <c r="P142" s="58">
        <f>IF($C142="B",INDEX(Batters[[#All],[K P]],MATCH(Table5[[#This Row],[PID]],Batters[[#All],[PID]],0)),INDEX(Table3[[#All],[STM]],MATCH(Table5[[#This Row],[PID]],Table3[[#All],[PID]],0)))</f>
        <v>9</v>
      </c>
      <c r="Q142" s="63">
        <f>IF($C142="B",INDEX(Batters[[#All],[Tot]],MATCH(Table5[[#This Row],[PID]],Batters[[#All],[PID]],0)),INDEX(Table3[[#All],[Tot]],MATCH(Table5[[#This Row],[PID]],Table3[[#All],[PID]],0)))</f>
        <v>47.200944803340022</v>
      </c>
      <c r="R142" s="54">
        <f>IF($C142="B",INDEX(Batters[[#All],[zScore]],MATCH(Table5[[#This Row],[PID]],Batters[[#All],[PID]],0)),INDEX(Table3[[#All],[zScore]],MATCH(Table5[[#This Row],[PID]],Table3[[#All],[PID]],0)))</f>
        <v>1.3277581183874028</v>
      </c>
      <c r="S142" s="60" t="str">
        <f>IF($C142="B",INDEX(Batters[[#All],[DEM]],MATCH(Table5[[#This Row],[PID]],Batters[[#All],[PID]],0)),INDEX(Table3[[#All],[DEM]],MATCH(Table5[[#This Row],[PID]],Table3[[#All],[PID]],0)))</f>
        <v>$1.9m</v>
      </c>
      <c r="T142" s="64">
        <f>IF($C142="B",VLOOKUP($A142,Bat!$A$4:$AU$1417,46,FALSE),VLOOKUP($A142,Pit!$A$4:$BD$570,55,FALSE))</f>
        <v>0</v>
      </c>
      <c r="U142" s="52">
        <f>IF($C142="B",VLOOKUP($A142,Bat!$A$4:$BA$1417,47,FALSE),VLOOKUP($A142,Pit!$A$4:$BF$570,56,FALSE))</f>
        <v>0</v>
      </c>
      <c r="V142" s="52">
        <f>IF($C142="B",VLOOKUP($A142,Bat!$A$4:$BA$1417,48,FALSE),VLOOKUP($A142,Pit!$A$4:$BF$570,57,FALSE))</f>
        <v>0</v>
      </c>
      <c r="W142" s="52">
        <f>Table5[[#This Row],[posRnk]]+Table5[[#This Row],[zRnk]]+IF($W$3&lt;&gt;Table5[[#This Row],[Type]],50,0)</f>
        <v>188</v>
      </c>
      <c r="X142" s="53">
        <f>RANK(Table5[[#This Row],[zScore]],Table5[[#All],[zScore]])</f>
        <v>138</v>
      </c>
      <c r="Y142" s="52" t="str">
        <f>IFERROR(INDEX(DraftResults[[#All],[OVR]],MATCH(Table5[[#This Row],[PID]],DraftResults[[#All],[Player ID]],0)),"")</f>
        <v/>
      </c>
      <c r="Z1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2" s="52" t="str">
        <f>IFERROR(INDEX(DraftResults[[#All],[Pick in Round]],MATCH(Table5[[#This Row],[PID]],DraftResults[[#All],[Player ID]],0)),"")</f>
        <v/>
      </c>
      <c r="AB142" s="52" t="str">
        <f>IFERROR(INDEX(DraftResults[[#All],[Team Name]],MATCH(Table5[[#This Row],[PID]],DraftResults[[#All],[Player ID]],0)),"")</f>
        <v/>
      </c>
      <c r="AC142" s="52" t="str">
        <f>IF(Table5[[#This Row],[Ovr]]="","",IF(Table5[[#This Row],[cmbList]]="","",Table5[[#This Row],[cmbList]]-Table5[[#This Row],[Ovr]]))</f>
        <v/>
      </c>
      <c r="AD142" s="56" t="str">
        <f>IF(ISERROR(VLOOKUP($AB142&amp;"-"&amp;$E142&amp;" "&amp;F142,Bonuses!$B$1:$G$1006,4,FALSE)),"",INT(VLOOKUP($AB142&amp;"-"&amp;$E142&amp;" "&amp;$F142,Bonuses!$B$1:$G$1006,4,FALSE)))</f>
        <v/>
      </c>
      <c r="AE1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3" spans="1:31" s="52" customFormat="1" x14ac:dyDescent="0.25">
      <c r="A143" s="52">
        <v>15153</v>
      </c>
      <c r="B143" s="52">
        <f>COUNTIF(Table5[PID],A143)</f>
        <v>1</v>
      </c>
      <c r="C143" s="52" t="str">
        <f>IF(COUNTIF(Table3[[#All],[PID]],A143)&gt;0,"P","B")</f>
        <v>P</v>
      </c>
      <c r="D143" s="61" t="str">
        <f>IF($C143="B",INDEX(Batters[[#All],[POS]],MATCH(Table5[[#This Row],[PID]],Batters[[#All],[PID]],0)),INDEX(Table3[[#All],[POS]],MATCH(Table5[[#This Row],[PID]],Table3[[#All],[PID]],0)))</f>
        <v>SP</v>
      </c>
      <c r="E143" s="54" t="str">
        <f>IF($C143="B",INDEX(Batters[[#All],[First]],MATCH(Table5[[#This Row],[PID]],Batters[[#All],[PID]],0)),INDEX(Table3[[#All],[First]],MATCH(Table5[[#This Row],[PID]],Table3[[#All],[PID]],0)))</f>
        <v>Ray</v>
      </c>
      <c r="F143" s="52" t="str">
        <f>IF($C143="B",INDEX(Batters[[#All],[Last]],MATCH(A143,Batters[[#All],[PID]],0)),INDEX(Table3[[#All],[Last]],MATCH(A143,Table3[[#All],[PID]],0)))</f>
        <v>Lortie</v>
      </c>
      <c r="G143" s="58">
        <f>IF($C143="B",INDEX(Batters[[#All],[Age]],MATCH(Table5[[#This Row],[PID]],Batters[[#All],[PID]],0)),INDEX(Table3[[#All],[Age]],MATCH(Table5[[#This Row],[PID]],Table3[[#All],[PID]],0)))</f>
        <v>18</v>
      </c>
      <c r="H143" s="54" t="str">
        <f>IF($C143="B",INDEX(Batters[[#All],[B]],MATCH(Table5[[#This Row],[PID]],Batters[[#All],[PID]],0)),INDEX(Table3[[#All],[B]],MATCH(Table5[[#This Row],[PID]],Table3[[#All],[PID]],0)))</f>
        <v>S</v>
      </c>
      <c r="I143" s="54" t="str">
        <f>IF($C143="B",INDEX(Batters[[#All],[T]],MATCH(Table5[[#This Row],[PID]],Batters[[#All],[PID]],0)),INDEX(Table3[[#All],[T]],MATCH(Table5[[#This Row],[PID]],Table3[[#All],[PID]],0)))</f>
        <v>R</v>
      </c>
      <c r="J143" s="54" t="str">
        <f>IF($C143="B",INDEX(Batters[[#All],[WE]],MATCH(Table5[[#This Row],[PID]],Batters[[#All],[PID]],0)),INDEX(Table3[[#All],[WE]],MATCH(Table5[[#This Row],[PID]],Table3[[#All],[PID]],0)))</f>
        <v>Low</v>
      </c>
      <c r="K143" s="54" t="str">
        <f>IF($C143="B",INDEX(Batters[[#All],[INT]],MATCH(Table5[[#This Row],[PID]],Batters[[#All],[PID]],0)),INDEX(Table3[[#All],[INT]],MATCH(Table5[[#This Row],[PID]],Table3[[#All],[PID]],0)))</f>
        <v>Normal</v>
      </c>
      <c r="L143" s="62">
        <f>IF($C143="B",INDEX(Batters[[#All],[CON P]],MATCH(Table5[[#This Row],[PID]],Batters[[#All],[PID]],0)),INDEX(Table3[[#All],[STU P]],MATCH(Table5[[#This Row],[PID]],Table3[[#All],[PID]],0)))</f>
        <v>4</v>
      </c>
      <c r="M143" s="58">
        <f>IF($C143="B",INDEX(Batters[[#All],[GAP P]],MATCH(Table5[[#This Row],[PID]],Batters[[#All],[PID]],0)),INDEX(Table3[[#All],[MOV P]],MATCH(Table5[[#This Row],[PID]],Table3[[#All],[PID]],0)))</f>
        <v>5</v>
      </c>
      <c r="N143" s="58">
        <f>IF($C143="B",INDEX(Batters[[#All],[POW P]],MATCH(Table5[[#This Row],[PID]],Batters[[#All],[PID]],0)),INDEX(Table3[[#All],[CON P]],MATCH(Table5[[#This Row],[PID]],Table3[[#All],[PID]],0)))</f>
        <v>3</v>
      </c>
      <c r="O143" s="58" t="str">
        <f>IF($C143="B",INDEX(Batters[[#All],[EYE P]],MATCH(Table5[[#This Row],[PID]],Batters[[#All],[PID]],0)),INDEX(Table3[[#All],[VELO]],MATCH(Table5[[#This Row],[PID]],Table3[[#All],[PID]],0)))</f>
        <v>91-93 Mph</v>
      </c>
      <c r="P143" s="58">
        <f>IF($C143="B",INDEX(Batters[[#All],[K P]],MATCH(Table5[[#This Row],[PID]],Batters[[#All],[PID]],0)),INDEX(Table3[[#All],[STM]],MATCH(Table5[[#This Row],[PID]],Table3[[#All],[PID]],0)))</f>
        <v>7</v>
      </c>
      <c r="Q143" s="63">
        <f>IF($C143="B",INDEX(Batters[[#All],[Tot]],MATCH(Table5[[#This Row],[PID]],Batters[[#All],[PID]],0)),INDEX(Table3[[#All],[Tot]],MATCH(Table5[[#This Row],[PID]],Table3[[#All],[PID]],0)))</f>
        <v>47.087839178201222</v>
      </c>
      <c r="R143" s="54">
        <f>IF($C143="B",INDEX(Batters[[#All],[zScore]],MATCH(Table5[[#This Row],[PID]],Batters[[#All],[PID]],0)),INDEX(Table3[[#All],[zScore]],MATCH(Table5[[#This Row],[PID]],Table3[[#All],[PID]],0)))</f>
        <v>1.3173858491385728</v>
      </c>
      <c r="S143" s="60" t="str">
        <f>IF($C143="B",INDEX(Batters[[#All],[DEM]],MATCH(Table5[[#This Row],[PID]],Batters[[#All],[PID]],0)),INDEX(Table3[[#All],[DEM]],MATCH(Table5[[#This Row],[PID]],Table3[[#All],[PID]],0)))</f>
        <v>$370k</v>
      </c>
      <c r="T143" s="64">
        <f>IF($C143="B",VLOOKUP($A143,Bat!$A$4:$AU$1417,46,FALSE),VLOOKUP($A143,Pit!$A$4:$BD$570,55,FALSE))</f>
        <v>0</v>
      </c>
      <c r="U143" s="52">
        <f>IF($C143="B",VLOOKUP($A143,Bat!$A$4:$BA$1417,47,FALSE),VLOOKUP($A143,Pit!$A$4:$BF$570,56,FALSE))</f>
        <v>0</v>
      </c>
      <c r="V143" s="52">
        <f>IF($C143="B",VLOOKUP($A143,Bat!$A$4:$BA$1417,48,FALSE),VLOOKUP($A143,Pit!$A$4:$BF$570,57,FALSE))</f>
        <v>0</v>
      </c>
      <c r="W143" s="52">
        <f>Table5[[#This Row],[posRnk]]+Table5[[#This Row],[zRnk]]+IF($W$3&lt;&gt;Table5[[#This Row],[Type]],50,0)</f>
        <v>189</v>
      </c>
      <c r="X143" s="53">
        <f>RANK(Table5[[#This Row],[zScore]],Table5[[#All],[zScore]])</f>
        <v>139</v>
      </c>
      <c r="Y143" s="52" t="str">
        <f>IFERROR(INDEX(DraftResults[[#All],[OVR]],MATCH(Table5[[#This Row],[PID]],DraftResults[[#All],[Player ID]],0)),"")</f>
        <v/>
      </c>
      <c r="Z1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3" s="52" t="str">
        <f>IFERROR(INDEX(DraftResults[[#All],[Pick in Round]],MATCH(Table5[[#This Row],[PID]],DraftResults[[#All],[Player ID]],0)),"")</f>
        <v/>
      </c>
      <c r="AB143" s="52" t="str">
        <f>IFERROR(INDEX(DraftResults[[#All],[Team Name]],MATCH(Table5[[#This Row],[PID]],DraftResults[[#All],[Player ID]],0)),"")</f>
        <v/>
      </c>
      <c r="AC143" s="52" t="str">
        <f>IF(Table5[[#This Row],[Ovr]]="","",IF(Table5[[#This Row],[cmbList]]="","",Table5[[#This Row],[cmbList]]-Table5[[#This Row],[Ovr]]))</f>
        <v/>
      </c>
      <c r="AD143" s="56" t="str">
        <f>IF(ISERROR(VLOOKUP($AB143&amp;"-"&amp;$E143&amp;" "&amp;F143,Bonuses!$B$1:$G$1006,4,FALSE)),"",INT(VLOOKUP($AB143&amp;"-"&amp;$E143&amp;" "&amp;$F143,Bonuses!$B$1:$G$1006,4,FALSE)))</f>
        <v/>
      </c>
      <c r="AE1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4" spans="1:31" s="52" customFormat="1" x14ac:dyDescent="0.25">
      <c r="A144" s="52">
        <v>7200</v>
      </c>
      <c r="B144" s="57">
        <f>COUNTIF(Table5[PID],A144)</f>
        <v>1</v>
      </c>
      <c r="C144" s="57" t="str">
        <f>IF(COUNTIF(Table3[[#All],[PID]],A144)&gt;0,"P","B")</f>
        <v>B</v>
      </c>
      <c r="D144" s="61" t="str">
        <f>IF($C144="B",INDEX(Batters[[#All],[POS]],MATCH(Table5[[#This Row],[PID]],Batters[[#All],[PID]],0)),INDEX(Table3[[#All],[POS]],MATCH(Table5[[#This Row],[PID]],Table3[[#All],[PID]],0)))</f>
        <v>LF</v>
      </c>
      <c r="E144" s="54" t="str">
        <f>IF($C144="B",INDEX(Batters[[#All],[First]],MATCH(Table5[[#This Row],[PID]],Batters[[#All],[PID]],0)),INDEX(Table3[[#All],[First]],MATCH(Table5[[#This Row],[PID]],Table3[[#All],[PID]],0)))</f>
        <v>Brandon</v>
      </c>
      <c r="F144" s="52" t="str">
        <f>IF($C144="B",INDEX(Batters[[#All],[Last]],MATCH(A144,Batters[[#All],[PID]],0)),INDEX(Table3[[#All],[Last]],MATCH(A144,Table3[[#All],[PID]],0)))</f>
        <v>Scragg</v>
      </c>
      <c r="G144" s="58">
        <f>IF($C144="B",INDEX(Batters[[#All],[Age]],MATCH(Table5[[#This Row],[PID]],Batters[[#All],[PID]],0)),INDEX(Table3[[#All],[Age]],MATCH(Table5[[#This Row],[PID]],Table3[[#All],[PID]],0)))</f>
        <v>21</v>
      </c>
      <c r="H144" s="54" t="str">
        <f>IF($C144="B",INDEX(Batters[[#All],[B]],MATCH(Table5[[#This Row],[PID]],Batters[[#All],[PID]],0)),INDEX(Table3[[#All],[B]],MATCH(Table5[[#This Row],[PID]],Table3[[#All],[PID]],0)))</f>
        <v>L</v>
      </c>
      <c r="I144" s="54" t="str">
        <f>IF($C144="B",INDEX(Batters[[#All],[T]],MATCH(Table5[[#This Row],[PID]],Batters[[#All],[PID]],0)),INDEX(Table3[[#All],[T]],MATCH(Table5[[#This Row],[PID]],Table3[[#All],[PID]],0)))</f>
        <v>L</v>
      </c>
      <c r="J144" s="54" t="str">
        <f>IF($C144="B",INDEX(Batters[[#All],[WE]],MATCH(Table5[[#This Row],[PID]],Batters[[#All],[PID]],0)),INDEX(Table3[[#All],[WE]],MATCH(Table5[[#This Row],[PID]],Table3[[#All],[PID]],0)))</f>
        <v>Low</v>
      </c>
      <c r="K144" s="54" t="str">
        <f>IF($C144="B",INDEX(Batters[[#All],[INT]],MATCH(Table5[[#This Row],[PID]],Batters[[#All],[PID]],0)),INDEX(Table3[[#All],[INT]],MATCH(Table5[[#This Row],[PID]],Table3[[#All],[PID]],0)))</f>
        <v>Normal</v>
      </c>
      <c r="L144" s="62">
        <f>IF($C144="B",INDEX(Batters[[#All],[CON P]],MATCH(Table5[[#This Row],[PID]],Batters[[#All],[PID]],0)),INDEX(Table3[[#All],[STU P]],MATCH(Table5[[#This Row],[PID]],Table3[[#All],[PID]],0)))</f>
        <v>5</v>
      </c>
      <c r="M144" s="58">
        <f>IF($C144="B",INDEX(Batters[[#All],[GAP P]],MATCH(Table5[[#This Row],[PID]],Batters[[#All],[PID]],0)),INDEX(Table3[[#All],[MOV P]],MATCH(Table5[[#This Row],[PID]],Table3[[#All],[PID]],0)))</f>
        <v>5</v>
      </c>
      <c r="N144" s="58">
        <f>IF($C144="B",INDEX(Batters[[#All],[POW P]],MATCH(Table5[[#This Row],[PID]],Batters[[#All],[PID]],0)),INDEX(Table3[[#All],[CON P]],MATCH(Table5[[#This Row],[PID]],Table3[[#All],[PID]],0)))</f>
        <v>6</v>
      </c>
      <c r="O144" s="58">
        <f>IF($C144="B",INDEX(Batters[[#All],[EYE P]],MATCH(Table5[[#This Row],[PID]],Batters[[#All],[PID]],0)),INDEX(Table3[[#All],[VELO]],MATCH(Table5[[#This Row],[PID]],Table3[[#All],[PID]],0)))</f>
        <v>5</v>
      </c>
      <c r="P144" s="58">
        <f>IF($C144="B",INDEX(Batters[[#All],[K P]],MATCH(Table5[[#This Row],[PID]],Batters[[#All],[PID]],0)),INDEX(Table3[[#All],[STM]],MATCH(Table5[[#This Row],[PID]],Table3[[#All],[PID]],0)))</f>
        <v>3</v>
      </c>
      <c r="Q144" s="63">
        <f>IF($C144="B",INDEX(Batters[[#All],[Tot]],MATCH(Table5[[#This Row],[PID]],Batters[[#All],[PID]],0)),INDEX(Table3[[#All],[Tot]],MATCH(Table5[[#This Row],[PID]],Table3[[#All],[PID]],0)))</f>
        <v>47.831057685954683</v>
      </c>
      <c r="R144" s="54">
        <f>IF($C144="B",INDEX(Batters[[#All],[zScore]],MATCH(Table5[[#This Row],[PID]],Batters[[#All],[PID]],0)),INDEX(Table3[[#All],[zScore]],MATCH(Table5[[#This Row],[PID]],Table3[[#All],[PID]],0)))</f>
        <v>1.3165507441470787</v>
      </c>
      <c r="S144" s="60" t="str">
        <f>IF($C144="B",INDEX(Batters[[#All],[DEM]],MATCH(Table5[[#This Row],[PID]],Batters[[#All],[PID]],0)),INDEX(Table3[[#All],[DEM]],MATCH(Table5[[#This Row],[PID]],Table3[[#All],[PID]],0)))</f>
        <v>-</v>
      </c>
      <c r="T144" s="64">
        <f>IF($C144="B",VLOOKUP($A144,Bat!$A$4:$AU$1417,46,FALSE),VLOOKUP($A144,Pit!$A$4:$BD$570,55,FALSE))</f>
        <v>0</v>
      </c>
      <c r="U144" s="52">
        <f>IF($C144="B",VLOOKUP($A144,Bat!$A$4:$BA$1417,47,FALSE),VLOOKUP($A144,Pit!$A$4:$BF$570,56,FALSE))</f>
        <v>0</v>
      </c>
      <c r="V144" s="52">
        <f>IF($C144="B",VLOOKUP($A144,Bat!$A$4:$BA$1417,48,FALSE),VLOOKUP($A144,Pit!$A$4:$BF$570,57,FALSE))</f>
        <v>0</v>
      </c>
      <c r="W144" s="52">
        <f>Table5[[#This Row],[posRnk]]+Table5[[#This Row],[zRnk]]+IF($W$3&lt;&gt;Table5[[#This Row],[Type]],50,0)</f>
        <v>190</v>
      </c>
      <c r="X144" s="53">
        <f>RANK(Table5[[#This Row],[zScore]],Table5[[#All],[zScore]])</f>
        <v>140</v>
      </c>
      <c r="Y144" s="52" t="str">
        <f>IFERROR(INDEX(DraftResults[[#All],[OVR]],MATCH(Table5[[#This Row],[PID]],DraftResults[[#All],[Player ID]],0)),"")</f>
        <v/>
      </c>
      <c r="Z1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4" s="52" t="str">
        <f>IFERROR(INDEX(DraftResults[[#All],[Pick in Round]],MATCH(Table5[[#This Row],[PID]],DraftResults[[#All],[Player ID]],0)),"")</f>
        <v/>
      </c>
      <c r="AB144" s="52" t="str">
        <f>IFERROR(INDEX(DraftResults[[#All],[Team Name]],MATCH(Table5[[#This Row],[PID]],DraftResults[[#All],[Player ID]],0)),"")</f>
        <v/>
      </c>
      <c r="AC144" s="52" t="str">
        <f>IF(Table5[[#This Row],[Ovr]]="","",IF(Table5[[#This Row],[cmbList]]="","",Table5[[#This Row],[cmbList]]-Table5[[#This Row],[Ovr]]))</f>
        <v/>
      </c>
      <c r="AD144" s="56" t="str">
        <f>IF(ISERROR(VLOOKUP($AB144&amp;"-"&amp;$E144&amp;" "&amp;F144,Bonuses!$B$1:$G$1006,4,FALSE)),"",INT(VLOOKUP($AB144&amp;"-"&amp;$E144&amp;" "&amp;$F144,Bonuses!$B$1:$G$1006,4,FALSE)))</f>
        <v/>
      </c>
      <c r="AE1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5" spans="1:31" s="52" customFormat="1" x14ac:dyDescent="0.25">
      <c r="A145" s="52">
        <v>15574</v>
      </c>
      <c r="B145" s="52">
        <f>COUNTIF(Table5[PID],A145)</f>
        <v>1</v>
      </c>
      <c r="C145" s="52" t="str">
        <f>IF(COUNTIF(Table3[[#All],[PID]],A145)&gt;0,"P","B")</f>
        <v>P</v>
      </c>
      <c r="D145" s="61" t="str">
        <f>IF($C145="B",INDEX(Batters[[#All],[POS]],MATCH(Table5[[#This Row],[PID]],Batters[[#All],[PID]],0)),INDEX(Table3[[#All],[POS]],MATCH(Table5[[#This Row],[PID]],Table3[[#All],[PID]],0)))</f>
        <v>SP</v>
      </c>
      <c r="E145" s="54" t="str">
        <f>IF($C145="B",INDEX(Batters[[#All],[First]],MATCH(Table5[[#This Row],[PID]],Batters[[#All],[PID]],0)),INDEX(Table3[[#All],[First]],MATCH(Table5[[#This Row],[PID]],Table3[[#All],[PID]],0)))</f>
        <v>Brad</v>
      </c>
      <c r="F145" s="52" t="str">
        <f>IF($C145="B",INDEX(Batters[[#All],[Last]],MATCH(A145,Batters[[#All],[PID]],0)),INDEX(Table3[[#All],[Last]],MATCH(A145,Table3[[#All],[PID]],0)))</f>
        <v>Flynn</v>
      </c>
      <c r="G145" s="58">
        <f>IF($C145="B",INDEX(Batters[[#All],[Age]],MATCH(Table5[[#This Row],[PID]],Batters[[#All],[PID]],0)),INDEX(Table3[[#All],[Age]],MATCH(Table5[[#This Row],[PID]],Table3[[#All],[PID]],0)))</f>
        <v>18</v>
      </c>
      <c r="H145" s="54" t="str">
        <f>IF($C145="B",INDEX(Batters[[#All],[B]],MATCH(Table5[[#This Row],[PID]],Batters[[#All],[PID]],0)),INDEX(Table3[[#All],[B]],MATCH(Table5[[#This Row],[PID]],Table3[[#All],[PID]],0)))</f>
        <v>S</v>
      </c>
      <c r="I145" s="54" t="str">
        <f>IF($C145="B",INDEX(Batters[[#All],[T]],MATCH(Table5[[#This Row],[PID]],Batters[[#All],[PID]],0)),INDEX(Table3[[#All],[T]],MATCH(Table5[[#This Row],[PID]],Table3[[#All],[PID]],0)))</f>
        <v>R</v>
      </c>
      <c r="J145" s="54" t="str">
        <f>IF($C145="B",INDEX(Batters[[#All],[WE]],MATCH(Table5[[#This Row],[PID]],Batters[[#All],[PID]],0)),INDEX(Table3[[#All],[WE]],MATCH(Table5[[#This Row],[PID]],Table3[[#All],[PID]],0)))</f>
        <v>Low</v>
      </c>
      <c r="K145" s="54" t="str">
        <f>IF($C145="B",INDEX(Batters[[#All],[INT]],MATCH(Table5[[#This Row],[PID]],Batters[[#All],[PID]],0)),INDEX(Table3[[#All],[INT]],MATCH(Table5[[#This Row],[PID]],Table3[[#All],[PID]],0)))</f>
        <v>Normal</v>
      </c>
      <c r="L145" s="62">
        <f>IF($C145="B",INDEX(Batters[[#All],[CON P]],MATCH(Table5[[#This Row],[PID]],Batters[[#All],[PID]],0)),INDEX(Table3[[#All],[STU P]],MATCH(Table5[[#This Row],[PID]],Table3[[#All],[PID]],0)))</f>
        <v>5</v>
      </c>
      <c r="M145" s="58">
        <f>IF($C145="B",INDEX(Batters[[#All],[GAP P]],MATCH(Table5[[#This Row],[PID]],Batters[[#All],[PID]],0)),INDEX(Table3[[#All],[MOV P]],MATCH(Table5[[#This Row],[PID]],Table3[[#All],[PID]],0)))</f>
        <v>4</v>
      </c>
      <c r="N145" s="58">
        <f>IF($C145="B",INDEX(Batters[[#All],[POW P]],MATCH(Table5[[#This Row],[PID]],Batters[[#All],[PID]],0)),INDEX(Table3[[#All],[CON P]],MATCH(Table5[[#This Row],[PID]],Table3[[#All],[PID]],0)))</f>
        <v>3</v>
      </c>
      <c r="O145" s="58" t="str">
        <f>IF($C145="B",INDEX(Batters[[#All],[EYE P]],MATCH(Table5[[#This Row],[PID]],Batters[[#All],[PID]],0)),INDEX(Table3[[#All],[VELO]],MATCH(Table5[[#This Row],[PID]],Table3[[#All],[PID]],0)))</f>
        <v>91-93 Mph</v>
      </c>
      <c r="P145" s="58">
        <f>IF($C145="B",INDEX(Batters[[#All],[K P]],MATCH(Table5[[#This Row],[PID]],Batters[[#All],[PID]],0)),INDEX(Table3[[#All],[STM]],MATCH(Table5[[#This Row],[PID]],Table3[[#All],[PID]],0)))</f>
        <v>9</v>
      </c>
      <c r="Q145" s="63">
        <f>IF($C145="B",INDEX(Batters[[#All],[Tot]],MATCH(Table5[[#This Row],[PID]],Batters[[#All],[PID]],0)),INDEX(Table3[[#All],[Tot]],MATCH(Table5[[#This Row],[PID]],Table3[[#All],[PID]],0)))</f>
        <v>47.073031339783583</v>
      </c>
      <c r="R145" s="54">
        <f>IF($C145="B",INDEX(Batters[[#All],[zScore]],MATCH(Table5[[#This Row],[PID]],Batters[[#All],[PID]],0)),INDEX(Table3[[#All],[zScore]],MATCH(Table5[[#This Row],[PID]],Table3[[#All],[PID]],0)))</f>
        <v>1.3160279070656438</v>
      </c>
      <c r="S145" s="60" t="str">
        <f>IF($C145="B",INDEX(Batters[[#All],[DEM]],MATCH(Table5[[#This Row],[PID]],Batters[[#All],[PID]],0)),INDEX(Table3[[#All],[DEM]],MATCH(Table5[[#This Row],[PID]],Table3[[#All],[PID]],0)))</f>
        <v>$200k</v>
      </c>
      <c r="T145" s="64">
        <f>IF($C145="B",VLOOKUP($A145,Bat!$A$4:$AU$1417,46,FALSE),VLOOKUP($A145,Pit!$A$4:$BD$570,55,FALSE))</f>
        <v>0</v>
      </c>
      <c r="U145" s="52">
        <f>IF($C145="B",VLOOKUP($A145,Bat!$A$4:$BA$1417,47,FALSE),VLOOKUP($A145,Pit!$A$4:$BF$570,56,FALSE))</f>
        <v>0</v>
      </c>
      <c r="V145" s="52">
        <f>IF($C145="B",VLOOKUP($A145,Bat!$A$4:$BA$1417,48,FALSE),VLOOKUP($A145,Pit!$A$4:$BF$570,57,FALSE))</f>
        <v>0</v>
      </c>
      <c r="W145" s="52">
        <f>Table5[[#This Row],[posRnk]]+Table5[[#This Row],[zRnk]]+IF($W$3&lt;&gt;Table5[[#This Row],[Type]],50,0)</f>
        <v>191</v>
      </c>
      <c r="X145" s="53">
        <f>RANK(Table5[[#This Row],[zScore]],Table5[[#All],[zScore]])</f>
        <v>141</v>
      </c>
      <c r="Y145" s="52" t="str">
        <f>IFERROR(INDEX(DraftResults[[#All],[OVR]],MATCH(Table5[[#This Row],[PID]],DraftResults[[#All],[Player ID]],0)),"")</f>
        <v/>
      </c>
      <c r="Z1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5" s="52" t="str">
        <f>IFERROR(INDEX(DraftResults[[#All],[Pick in Round]],MATCH(Table5[[#This Row],[PID]],DraftResults[[#All],[Player ID]],0)),"")</f>
        <v/>
      </c>
      <c r="AB145" s="52" t="str">
        <f>IFERROR(INDEX(DraftResults[[#All],[Team Name]],MATCH(Table5[[#This Row],[PID]],DraftResults[[#All],[Player ID]],0)),"")</f>
        <v/>
      </c>
      <c r="AC145" s="52" t="str">
        <f>IF(Table5[[#This Row],[Ovr]]="","",IF(Table5[[#This Row],[cmbList]]="","",Table5[[#This Row],[cmbList]]-Table5[[#This Row],[Ovr]]))</f>
        <v/>
      </c>
      <c r="AD145" s="56" t="str">
        <f>IF(ISERROR(VLOOKUP($AB145&amp;"-"&amp;$E145&amp;" "&amp;F145,Bonuses!$B$1:$G$1006,4,FALSE)),"",INT(VLOOKUP($AB145&amp;"-"&amp;$E145&amp;" "&amp;$F145,Bonuses!$B$1:$G$1006,4,FALSE)))</f>
        <v/>
      </c>
      <c r="AE1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6" spans="1:31" s="52" customFormat="1" x14ac:dyDescent="0.25">
      <c r="A146" s="52">
        <v>5964</v>
      </c>
      <c r="B146" s="52">
        <f>COUNTIF(Table5[PID],A146)</f>
        <v>1</v>
      </c>
      <c r="C146" s="52" t="str">
        <f>IF(COUNTIF(Table3[[#All],[PID]],A146)&gt;0,"P","B")</f>
        <v>P</v>
      </c>
      <c r="D146" s="61" t="str">
        <f>IF($C146="B",INDEX(Batters[[#All],[POS]],MATCH(Table5[[#This Row],[PID]],Batters[[#All],[PID]],0)),INDEX(Table3[[#All],[POS]],MATCH(Table5[[#This Row],[PID]],Table3[[#All],[PID]],0)))</f>
        <v>RP</v>
      </c>
      <c r="E146" s="54" t="str">
        <f>IF($C146="B",INDEX(Batters[[#All],[First]],MATCH(Table5[[#This Row],[PID]],Batters[[#All],[PID]],0)),INDEX(Table3[[#All],[First]],MATCH(Table5[[#This Row],[PID]],Table3[[#All],[PID]],0)))</f>
        <v>Steve</v>
      </c>
      <c r="F146" s="52" t="str">
        <f>IF($C146="B",INDEX(Batters[[#All],[Last]],MATCH(A146,Batters[[#All],[PID]],0)),INDEX(Table3[[#All],[Last]],MATCH(A146,Table3[[#All],[PID]],0)))</f>
        <v>Murdock</v>
      </c>
      <c r="G146" s="58">
        <f>IF($C146="B",INDEX(Batters[[#All],[Age]],MATCH(Table5[[#This Row],[PID]],Batters[[#All],[PID]],0)),INDEX(Table3[[#All],[Age]],MATCH(Table5[[#This Row],[PID]],Table3[[#All],[PID]],0)))</f>
        <v>18</v>
      </c>
      <c r="H146" s="54" t="str">
        <f>IF($C146="B",INDEX(Batters[[#All],[B]],MATCH(Table5[[#This Row],[PID]],Batters[[#All],[PID]],0)),INDEX(Table3[[#All],[B]],MATCH(Table5[[#This Row],[PID]],Table3[[#All],[PID]],0)))</f>
        <v>L</v>
      </c>
      <c r="I146" s="54" t="str">
        <f>IF($C146="B",INDEX(Batters[[#All],[T]],MATCH(Table5[[#This Row],[PID]],Batters[[#All],[PID]],0)),INDEX(Table3[[#All],[T]],MATCH(Table5[[#This Row],[PID]],Table3[[#All],[PID]],0)))</f>
        <v>L</v>
      </c>
      <c r="J146" s="54" t="str">
        <f>IF($C146="B",INDEX(Batters[[#All],[WE]],MATCH(Table5[[#This Row],[PID]],Batters[[#All],[PID]],0)),INDEX(Table3[[#All],[WE]],MATCH(Table5[[#This Row],[PID]],Table3[[#All],[PID]],0)))</f>
        <v>Low</v>
      </c>
      <c r="K146" s="54" t="str">
        <f>IF($C146="B",INDEX(Batters[[#All],[INT]],MATCH(Table5[[#This Row],[PID]],Batters[[#All],[PID]],0)),INDEX(Table3[[#All],[INT]],MATCH(Table5[[#This Row],[PID]],Table3[[#All],[PID]],0)))</f>
        <v>Low</v>
      </c>
      <c r="L146" s="62">
        <f>IF($C146="B",INDEX(Batters[[#All],[CON P]],MATCH(Table5[[#This Row],[PID]],Batters[[#All],[PID]],0)),INDEX(Table3[[#All],[STU P]],MATCH(Table5[[#This Row],[PID]],Table3[[#All],[PID]],0)))</f>
        <v>8</v>
      </c>
      <c r="M146" s="58">
        <f>IF($C146="B",INDEX(Batters[[#All],[GAP P]],MATCH(Table5[[#This Row],[PID]],Batters[[#All],[PID]],0)),INDEX(Table3[[#All],[MOV P]],MATCH(Table5[[#This Row],[PID]],Table3[[#All],[PID]],0)))</f>
        <v>3</v>
      </c>
      <c r="N146" s="58">
        <f>IF($C146="B",INDEX(Batters[[#All],[POW P]],MATCH(Table5[[#This Row],[PID]],Batters[[#All],[PID]],0)),INDEX(Table3[[#All],[CON P]],MATCH(Table5[[#This Row],[PID]],Table3[[#All],[PID]],0)))</f>
        <v>3</v>
      </c>
      <c r="O146" s="58" t="str">
        <f>IF($C146="B",INDEX(Batters[[#All],[EYE P]],MATCH(Table5[[#This Row],[PID]],Batters[[#All],[PID]],0)),INDEX(Table3[[#All],[VELO]],MATCH(Table5[[#This Row],[PID]],Table3[[#All],[PID]],0)))</f>
        <v>94-96 Mph</v>
      </c>
      <c r="P146" s="58">
        <f>IF($C146="B",INDEX(Batters[[#All],[K P]],MATCH(Table5[[#This Row],[PID]],Batters[[#All],[PID]],0)),INDEX(Table3[[#All],[STM]],MATCH(Table5[[#This Row],[PID]],Table3[[#All],[PID]],0)))</f>
        <v>4</v>
      </c>
      <c r="Q146" s="63">
        <f>IF($C146="B",INDEX(Batters[[#All],[Tot]],MATCH(Table5[[#This Row],[PID]],Batters[[#All],[PID]],0)),INDEX(Table3[[#All],[Tot]],MATCH(Table5[[#This Row],[PID]],Table3[[#All],[PID]],0)))</f>
        <v>46.902254494983723</v>
      </c>
      <c r="R146" s="54">
        <f>IF($C146="B",INDEX(Batters[[#All],[zScore]],MATCH(Table5[[#This Row],[PID]],Batters[[#All],[PID]],0)),INDEX(Table3[[#All],[zScore]],MATCH(Table5[[#This Row],[PID]],Table3[[#All],[PID]],0)))</f>
        <v>1.3003669404819211</v>
      </c>
      <c r="S146" s="60" t="str">
        <f>IF($C146="B",INDEX(Batters[[#All],[DEM]],MATCH(Table5[[#This Row],[PID]],Batters[[#All],[PID]],0)),INDEX(Table3[[#All],[DEM]],MATCH(Table5[[#This Row],[PID]],Table3[[#All],[PID]],0)))</f>
        <v>$38k</v>
      </c>
      <c r="T146" s="64">
        <f>IF($C146="B",VLOOKUP($A146,Bat!$A$4:$AU$1417,46,FALSE),VLOOKUP($A146,Pit!$A$4:$BD$570,55,FALSE))</f>
        <v>0</v>
      </c>
      <c r="U146" s="52">
        <f>IF($C146="B",VLOOKUP($A146,Bat!$A$4:$BA$1417,47,FALSE),VLOOKUP($A146,Pit!$A$4:$BF$570,56,FALSE))</f>
        <v>0</v>
      </c>
      <c r="V146" s="52">
        <f>IF($C146="B",VLOOKUP($A146,Bat!$A$4:$BA$1417,48,FALSE),VLOOKUP($A146,Pit!$A$4:$BF$570,57,FALSE))</f>
        <v>0</v>
      </c>
      <c r="W146" s="52">
        <f>Table5[[#This Row],[posRnk]]+Table5[[#This Row],[zRnk]]+IF($W$3&lt;&gt;Table5[[#This Row],[Type]],50,0)</f>
        <v>192</v>
      </c>
      <c r="X146" s="53">
        <f>RANK(Table5[[#This Row],[zScore]],Table5[[#All],[zScore]])</f>
        <v>142</v>
      </c>
      <c r="Y146" s="52" t="str">
        <f>IFERROR(INDEX(DraftResults[[#All],[OVR]],MATCH(Table5[[#This Row],[PID]],DraftResults[[#All],[Player ID]],0)),"")</f>
        <v/>
      </c>
      <c r="Z1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6" s="52" t="str">
        <f>IFERROR(INDEX(DraftResults[[#All],[Pick in Round]],MATCH(Table5[[#This Row],[PID]],DraftResults[[#All],[Player ID]],0)),"")</f>
        <v/>
      </c>
      <c r="AB146" s="52" t="str">
        <f>IFERROR(INDEX(DraftResults[[#All],[Team Name]],MATCH(Table5[[#This Row],[PID]],DraftResults[[#All],[Player ID]],0)),"")</f>
        <v/>
      </c>
      <c r="AC146" s="52" t="str">
        <f>IF(Table5[[#This Row],[Ovr]]="","",IF(Table5[[#This Row],[cmbList]]="","",Table5[[#This Row],[cmbList]]-Table5[[#This Row],[Ovr]]))</f>
        <v/>
      </c>
      <c r="AD146" s="56" t="str">
        <f>IF(ISERROR(VLOOKUP($AB146&amp;"-"&amp;$E146&amp;" "&amp;F146,Bonuses!$B$1:$G$1006,4,FALSE)),"",INT(VLOOKUP($AB146&amp;"-"&amp;$E146&amp;" "&amp;$F146,Bonuses!$B$1:$G$1006,4,FALSE)))</f>
        <v/>
      </c>
      <c r="AE1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7" spans="1:31" s="52" customFormat="1" x14ac:dyDescent="0.25">
      <c r="A147" s="52">
        <v>13540</v>
      </c>
      <c r="B147" s="52">
        <f>COUNTIF(Table5[PID],A147)</f>
        <v>1</v>
      </c>
      <c r="C147" s="52" t="str">
        <f>IF(COUNTIF(Table3[[#All],[PID]],A147)&gt;0,"P","B")</f>
        <v>P</v>
      </c>
      <c r="D147" s="61" t="str">
        <f>IF($C147="B",INDEX(Batters[[#All],[POS]],MATCH(Table5[[#This Row],[PID]],Batters[[#All],[PID]],0)),INDEX(Table3[[#All],[POS]],MATCH(Table5[[#This Row],[PID]],Table3[[#All],[PID]],0)))</f>
        <v>SP</v>
      </c>
      <c r="E147" s="54" t="str">
        <f>IF($C147="B",INDEX(Batters[[#All],[First]],MATCH(Table5[[#This Row],[PID]],Batters[[#All],[PID]],0)),INDEX(Table3[[#All],[First]],MATCH(Table5[[#This Row],[PID]],Table3[[#All],[PID]],0)))</f>
        <v>Robin</v>
      </c>
      <c r="F147" s="52" t="str">
        <f>IF($C147="B",INDEX(Batters[[#All],[Last]],MATCH(A147,Batters[[#All],[PID]],0)),INDEX(Table3[[#All],[Last]],MATCH(A147,Table3[[#All],[PID]],0)))</f>
        <v>Carroll</v>
      </c>
      <c r="G147" s="58">
        <f>IF($C147="B",INDEX(Batters[[#All],[Age]],MATCH(Table5[[#This Row],[PID]],Batters[[#All],[PID]],0)),INDEX(Table3[[#All],[Age]],MATCH(Table5[[#This Row],[PID]],Table3[[#All],[PID]],0)))</f>
        <v>18</v>
      </c>
      <c r="H147" s="54" t="str">
        <f>IF($C147="B",INDEX(Batters[[#All],[B]],MATCH(Table5[[#This Row],[PID]],Batters[[#All],[PID]],0)),INDEX(Table3[[#All],[B]],MATCH(Table5[[#This Row],[PID]],Table3[[#All],[PID]],0)))</f>
        <v>R</v>
      </c>
      <c r="I147" s="54" t="str">
        <f>IF($C147="B",INDEX(Batters[[#All],[T]],MATCH(Table5[[#This Row],[PID]],Batters[[#All],[PID]],0)),INDEX(Table3[[#All],[T]],MATCH(Table5[[#This Row],[PID]],Table3[[#All],[PID]],0)))</f>
        <v>R</v>
      </c>
      <c r="J147" s="54" t="str">
        <f>IF($C147="B",INDEX(Batters[[#All],[WE]],MATCH(Table5[[#This Row],[PID]],Batters[[#All],[PID]],0)),INDEX(Table3[[#All],[WE]],MATCH(Table5[[#This Row],[PID]],Table3[[#All],[PID]],0)))</f>
        <v>Low</v>
      </c>
      <c r="K147" s="54" t="str">
        <f>IF($C147="B",INDEX(Batters[[#All],[INT]],MATCH(Table5[[#This Row],[PID]],Batters[[#All],[PID]],0)),INDEX(Table3[[#All],[INT]],MATCH(Table5[[#This Row],[PID]],Table3[[#All],[PID]],0)))</f>
        <v>Low</v>
      </c>
      <c r="L147" s="62">
        <f>IF($C147="B",INDEX(Batters[[#All],[CON P]],MATCH(Table5[[#This Row],[PID]],Batters[[#All],[PID]],0)),INDEX(Table3[[#All],[STU P]],MATCH(Table5[[#This Row],[PID]],Table3[[#All],[PID]],0)))</f>
        <v>6</v>
      </c>
      <c r="M147" s="58">
        <f>IF($C147="B",INDEX(Batters[[#All],[GAP P]],MATCH(Table5[[#This Row],[PID]],Batters[[#All],[PID]],0)),INDEX(Table3[[#All],[MOV P]],MATCH(Table5[[#This Row],[PID]],Table3[[#All],[PID]],0)))</f>
        <v>4</v>
      </c>
      <c r="N147" s="58">
        <f>IF($C147="B",INDEX(Batters[[#All],[POW P]],MATCH(Table5[[#This Row],[PID]],Batters[[#All],[PID]],0)),INDEX(Table3[[#All],[CON P]],MATCH(Table5[[#This Row],[PID]],Table3[[#All],[PID]],0)))</f>
        <v>2</v>
      </c>
      <c r="O147" s="58" t="str">
        <f>IF($C147="B",INDEX(Batters[[#All],[EYE P]],MATCH(Table5[[#This Row],[PID]],Batters[[#All],[PID]],0)),INDEX(Table3[[#All],[VELO]],MATCH(Table5[[#This Row],[PID]],Table3[[#All],[PID]],0)))</f>
        <v>96-98 Mph</v>
      </c>
      <c r="P147" s="58">
        <f>IF($C147="B",INDEX(Batters[[#All],[K P]],MATCH(Table5[[#This Row],[PID]],Batters[[#All],[PID]],0)),INDEX(Table3[[#All],[STM]],MATCH(Table5[[#This Row],[PID]],Table3[[#All],[PID]],0)))</f>
        <v>8</v>
      </c>
      <c r="Q147" s="63">
        <f>IF($C147="B",INDEX(Batters[[#All],[Tot]],MATCH(Table5[[#This Row],[PID]],Batters[[#All],[PID]],0)),INDEX(Table3[[#All],[Tot]],MATCH(Table5[[#This Row],[PID]],Table3[[#All],[PID]],0)))</f>
        <v>46.894854012476017</v>
      </c>
      <c r="R147" s="54">
        <f>IF($C147="B",INDEX(Batters[[#All],[zScore]],MATCH(Table5[[#This Row],[PID]],Batters[[#All],[PID]],0)),INDEX(Table3[[#All],[zScore]],MATCH(Table5[[#This Row],[PID]],Table3[[#All],[PID]],0)))</f>
        <v>1.2996882846056377</v>
      </c>
      <c r="S147" s="60" t="str">
        <f>IF($C147="B",INDEX(Batters[[#All],[DEM]],MATCH(Table5[[#This Row],[PID]],Batters[[#All],[PID]],0)),INDEX(Table3[[#All],[DEM]],MATCH(Table5[[#This Row],[PID]],Table3[[#All],[PID]],0)))</f>
        <v>$550k</v>
      </c>
      <c r="T147" s="64">
        <f>IF($C147="B",VLOOKUP($A147,Bat!$A$4:$AU$1417,46,FALSE),VLOOKUP($A147,Pit!$A$4:$BD$570,55,FALSE))</f>
        <v>0</v>
      </c>
      <c r="U147" s="52">
        <f>IF($C147="B",VLOOKUP($A147,Bat!$A$4:$BA$1417,47,FALSE),VLOOKUP($A147,Pit!$A$4:$BF$570,56,FALSE))</f>
        <v>0</v>
      </c>
      <c r="V147" s="52">
        <f>IF($C147="B",VLOOKUP($A147,Bat!$A$4:$BA$1417,48,FALSE),VLOOKUP($A147,Pit!$A$4:$BF$570,57,FALSE))</f>
        <v>0</v>
      </c>
      <c r="W147" s="52">
        <f>Table5[[#This Row],[posRnk]]+Table5[[#This Row],[zRnk]]+IF($W$3&lt;&gt;Table5[[#This Row],[Type]],50,0)</f>
        <v>193</v>
      </c>
      <c r="X147" s="53">
        <f>RANK(Table5[[#This Row],[zScore]],Table5[[#All],[zScore]])</f>
        <v>143</v>
      </c>
      <c r="Y147" s="52" t="str">
        <f>IFERROR(INDEX(DraftResults[[#All],[OVR]],MATCH(Table5[[#This Row],[PID]],DraftResults[[#All],[Player ID]],0)),"")</f>
        <v/>
      </c>
      <c r="Z1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7" s="52" t="str">
        <f>IFERROR(INDEX(DraftResults[[#All],[Pick in Round]],MATCH(Table5[[#This Row],[PID]],DraftResults[[#All],[Player ID]],0)),"")</f>
        <v/>
      </c>
      <c r="AB147" s="52" t="str">
        <f>IFERROR(INDEX(DraftResults[[#All],[Team Name]],MATCH(Table5[[#This Row],[PID]],DraftResults[[#All],[Player ID]],0)),"")</f>
        <v/>
      </c>
      <c r="AC147" s="52" t="str">
        <f>IF(Table5[[#This Row],[Ovr]]="","",IF(Table5[[#This Row],[cmbList]]="","",Table5[[#This Row],[cmbList]]-Table5[[#This Row],[Ovr]]))</f>
        <v/>
      </c>
      <c r="AD147" s="56" t="str">
        <f>IF(ISERROR(VLOOKUP($AB147&amp;"-"&amp;$E147&amp;" "&amp;F147,Bonuses!$B$1:$G$1006,4,FALSE)),"",INT(VLOOKUP($AB147&amp;"-"&amp;$E147&amp;" "&amp;$F147,Bonuses!$B$1:$G$1006,4,FALSE)))</f>
        <v/>
      </c>
      <c r="AE1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8" spans="1:31" s="52" customFormat="1" x14ac:dyDescent="0.25">
      <c r="A148" s="52">
        <v>10488</v>
      </c>
      <c r="B148" s="52">
        <f>COUNTIF(Table5[PID],A148)</f>
        <v>1</v>
      </c>
      <c r="C148" s="52" t="str">
        <f>IF(COUNTIF(Table3[[#All],[PID]],A148)&gt;0,"P","B")</f>
        <v>B</v>
      </c>
      <c r="D148" s="61" t="str">
        <f>IF($C148="B",INDEX(Batters[[#All],[POS]],MATCH(Table5[[#This Row],[PID]],Batters[[#All],[PID]],0)),INDEX(Table3[[#All],[POS]],MATCH(Table5[[#This Row],[PID]],Table3[[#All],[PID]],0)))</f>
        <v>LF</v>
      </c>
      <c r="E148" s="54" t="str">
        <f>IF($C148="B",INDEX(Batters[[#All],[First]],MATCH(Table5[[#This Row],[PID]],Batters[[#All],[PID]],0)),INDEX(Table3[[#All],[First]],MATCH(Table5[[#This Row],[PID]],Table3[[#All],[PID]],0)))</f>
        <v>Adam</v>
      </c>
      <c r="F148" s="52" t="str">
        <f>IF($C148="B",INDEX(Batters[[#All],[Last]],MATCH(A148,Batters[[#All],[PID]],0)),INDEX(Table3[[#All],[Last]],MATCH(A148,Table3[[#All],[PID]],0)))</f>
        <v>Barnes</v>
      </c>
      <c r="G148" s="58">
        <f>IF($C148="B",INDEX(Batters[[#All],[Age]],MATCH(Table5[[#This Row],[PID]],Batters[[#All],[PID]],0)),INDEX(Table3[[#All],[Age]],MATCH(Table5[[#This Row],[PID]],Table3[[#All],[PID]],0)))</f>
        <v>21</v>
      </c>
      <c r="H148" s="54" t="str">
        <f>IF($C148="B",INDEX(Batters[[#All],[B]],MATCH(Table5[[#This Row],[PID]],Batters[[#All],[PID]],0)),INDEX(Table3[[#All],[B]],MATCH(Table5[[#This Row],[PID]],Table3[[#All],[PID]],0)))</f>
        <v>R</v>
      </c>
      <c r="I148" s="54" t="str">
        <f>IF($C148="B",INDEX(Batters[[#All],[T]],MATCH(Table5[[#This Row],[PID]],Batters[[#All],[PID]],0)),INDEX(Table3[[#All],[T]],MATCH(Table5[[#This Row],[PID]],Table3[[#All],[PID]],0)))</f>
        <v>R</v>
      </c>
      <c r="J148" s="54" t="str">
        <f>IF($C148="B",INDEX(Batters[[#All],[WE]],MATCH(Table5[[#This Row],[PID]],Batters[[#All],[PID]],0)),INDEX(Table3[[#All],[WE]],MATCH(Table5[[#This Row],[PID]],Table3[[#All],[PID]],0)))</f>
        <v>Normal</v>
      </c>
      <c r="K148" s="54" t="str">
        <f>IF($C148="B",INDEX(Batters[[#All],[INT]],MATCH(Table5[[#This Row],[PID]],Batters[[#All],[PID]],0)),INDEX(Table3[[#All],[INT]],MATCH(Table5[[#This Row],[PID]],Table3[[#All],[PID]],0)))</f>
        <v>Low</v>
      </c>
      <c r="L148" s="62">
        <f>IF($C148="B",INDEX(Batters[[#All],[CON P]],MATCH(Table5[[#This Row],[PID]],Batters[[#All],[PID]],0)),INDEX(Table3[[#All],[STU P]],MATCH(Table5[[#This Row],[PID]],Table3[[#All],[PID]],0)))</f>
        <v>5</v>
      </c>
      <c r="M148" s="58">
        <f>IF($C148="B",INDEX(Batters[[#All],[GAP P]],MATCH(Table5[[#This Row],[PID]],Batters[[#All],[PID]],0)),INDEX(Table3[[#All],[MOV P]],MATCH(Table5[[#This Row],[PID]],Table3[[#All],[PID]],0)))</f>
        <v>5</v>
      </c>
      <c r="N148" s="58">
        <f>IF($C148="B",INDEX(Batters[[#All],[POW P]],MATCH(Table5[[#This Row],[PID]],Batters[[#All],[PID]],0)),INDEX(Table3[[#All],[CON P]],MATCH(Table5[[#This Row],[PID]],Table3[[#All],[PID]],0)))</f>
        <v>5</v>
      </c>
      <c r="O148" s="58">
        <f>IF($C148="B",INDEX(Batters[[#All],[EYE P]],MATCH(Table5[[#This Row],[PID]],Batters[[#All],[PID]],0)),INDEX(Table3[[#All],[VELO]],MATCH(Table5[[#This Row],[PID]],Table3[[#All],[PID]],0)))</f>
        <v>4</v>
      </c>
      <c r="P148" s="58">
        <f>IF($C148="B",INDEX(Batters[[#All],[K P]],MATCH(Table5[[#This Row],[PID]],Batters[[#All],[PID]],0)),INDEX(Table3[[#All],[STM]],MATCH(Table5[[#This Row],[PID]],Table3[[#All],[PID]],0)))</f>
        <v>5</v>
      </c>
      <c r="Q148" s="63">
        <f>IF($C148="B",INDEX(Batters[[#All],[Tot]],MATCH(Table5[[#This Row],[PID]],Batters[[#All],[PID]],0)),INDEX(Table3[[#All],[Tot]],MATCH(Table5[[#This Row],[PID]],Table3[[#All],[PID]],0)))</f>
        <v>47.667696938101741</v>
      </c>
      <c r="R148" s="54">
        <f>IF($C148="B",INDEX(Batters[[#All],[zScore]],MATCH(Table5[[#This Row],[PID]],Batters[[#All],[PID]],0)),INDEX(Table3[[#All],[zScore]],MATCH(Table5[[#This Row],[PID]],Table3[[#All],[PID]],0)))</f>
        <v>1.287808506307444</v>
      </c>
      <c r="S148" s="60" t="str">
        <f>IF($C148="B",INDEX(Batters[[#All],[DEM]],MATCH(Table5[[#This Row],[PID]],Batters[[#All],[PID]],0)),INDEX(Table3[[#All],[DEM]],MATCH(Table5[[#This Row],[PID]],Table3[[#All],[PID]],0)))</f>
        <v>$230k</v>
      </c>
      <c r="T148" s="64">
        <f>IF($C148="B",VLOOKUP($A148,Bat!$A$4:$AU$1417,46,FALSE),VLOOKUP($A148,Pit!$A$4:$BD$570,55,FALSE))</f>
        <v>0</v>
      </c>
      <c r="U148" s="52">
        <f>IF($C148="B",VLOOKUP($A148,Bat!$A$4:$BA$1417,47,FALSE),VLOOKUP($A148,Pit!$A$4:$BF$570,56,FALSE))</f>
        <v>0</v>
      </c>
      <c r="V148" s="52">
        <f>IF($C148="B",VLOOKUP($A148,Bat!$A$4:$BA$1417,48,FALSE),VLOOKUP($A148,Pit!$A$4:$BF$570,57,FALSE))</f>
        <v>0</v>
      </c>
      <c r="W148" s="52">
        <f>Table5[[#This Row],[posRnk]]+Table5[[#This Row],[zRnk]]+IF($W$3&lt;&gt;Table5[[#This Row],[Type]],50,0)</f>
        <v>194</v>
      </c>
      <c r="X148" s="53">
        <f>RANK(Table5[[#This Row],[zScore]],Table5[[#All],[zScore]])</f>
        <v>144</v>
      </c>
      <c r="Y148" s="52" t="str">
        <f>IFERROR(INDEX(DraftResults[[#All],[OVR]],MATCH(Table5[[#This Row],[PID]],DraftResults[[#All],[Player ID]],0)),"")</f>
        <v/>
      </c>
      <c r="Z1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8" s="52" t="str">
        <f>IFERROR(INDEX(DraftResults[[#All],[Pick in Round]],MATCH(Table5[[#This Row],[PID]],DraftResults[[#All],[Player ID]],0)),"")</f>
        <v/>
      </c>
      <c r="AB148" s="52" t="str">
        <f>IFERROR(INDEX(DraftResults[[#All],[Team Name]],MATCH(Table5[[#This Row],[PID]],DraftResults[[#All],[Player ID]],0)),"")</f>
        <v/>
      </c>
      <c r="AC148" s="52" t="str">
        <f>IF(Table5[[#This Row],[Ovr]]="","",IF(Table5[[#This Row],[cmbList]]="","",Table5[[#This Row],[cmbList]]-Table5[[#This Row],[Ovr]]))</f>
        <v/>
      </c>
      <c r="AD148" s="56" t="str">
        <f>IF(ISERROR(VLOOKUP($AB148&amp;"-"&amp;$E148&amp;" "&amp;F148,Bonuses!$B$1:$G$1006,4,FALSE)),"",INT(VLOOKUP($AB148&amp;"-"&amp;$E148&amp;" "&amp;$F148,Bonuses!$B$1:$G$1006,4,FALSE)))</f>
        <v/>
      </c>
      <c r="AE1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49" spans="1:31" s="52" customFormat="1" x14ac:dyDescent="0.25">
      <c r="A149" s="52">
        <v>10481</v>
      </c>
      <c r="B149" s="52">
        <f>COUNTIF(Table5[PID],A149)</f>
        <v>1</v>
      </c>
      <c r="C149" s="52" t="str">
        <f>IF(COUNTIF(Table3[[#All],[PID]],A149)&gt;0,"P","B")</f>
        <v>B</v>
      </c>
      <c r="D149" s="61" t="str">
        <f>IF($C149="B",INDEX(Batters[[#All],[POS]],MATCH(Table5[[#This Row],[PID]],Batters[[#All],[PID]],0)),INDEX(Table3[[#All],[POS]],MATCH(Table5[[#This Row],[PID]],Table3[[#All],[PID]],0)))</f>
        <v>C</v>
      </c>
      <c r="E149" s="54" t="str">
        <f>IF($C149="B",INDEX(Batters[[#All],[First]],MATCH(Table5[[#This Row],[PID]],Batters[[#All],[PID]],0)),INDEX(Table3[[#All],[First]],MATCH(Table5[[#This Row],[PID]],Table3[[#All],[PID]],0)))</f>
        <v>Mike</v>
      </c>
      <c r="F149" s="52" t="str">
        <f>IF($C149="B",INDEX(Batters[[#All],[Last]],MATCH(A149,Batters[[#All],[PID]],0)),INDEX(Table3[[#All],[Last]],MATCH(A149,Table3[[#All],[PID]],0)))</f>
        <v>Roberts</v>
      </c>
      <c r="G149" s="58">
        <f>IF($C149="B",INDEX(Batters[[#All],[Age]],MATCH(Table5[[#This Row],[PID]],Batters[[#All],[PID]],0)),INDEX(Table3[[#All],[Age]],MATCH(Table5[[#This Row],[PID]],Table3[[#All],[PID]],0)))</f>
        <v>21</v>
      </c>
      <c r="H149" s="54" t="str">
        <f>IF($C149="B",INDEX(Batters[[#All],[B]],MATCH(Table5[[#This Row],[PID]],Batters[[#All],[PID]],0)),INDEX(Table3[[#All],[B]],MATCH(Table5[[#This Row],[PID]],Table3[[#All],[PID]],0)))</f>
        <v>R</v>
      </c>
      <c r="I149" s="54" t="str">
        <f>IF($C149="B",INDEX(Batters[[#All],[T]],MATCH(Table5[[#This Row],[PID]],Batters[[#All],[PID]],0)),INDEX(Table3[[#All],[T]],MATCH(Table5[[#This Row],[PID]],Table3[[#All],[PID]],0)))</f>
        <v>R</v>
      </c>
      <c r="J149" s="54" t="str">
        <f>IF($C149="B",INDEX(Batters[[#All],[WE]],MATCH(Table5[[#This Row],[PID]],Batters[[#All],[PID]],0)),INDEX(Table3[[#All],[WE]],MATCH(Table5[[#This Row],[PID]],Table3[[#All],[PID]],0)))</f>
        <v>High</v>
      </c>
      <c r="K149" s="54" t="str">
        <f>IF($C149="B",INDEX(Batters[[#All],[INT]],MATCH(Table5[[#This Row],[PID]],Batters[[#All],[PID]],0)),INDEX(Table3[[#All],[INT]],MATCH(Table5[[#This Row],[PID]],Table3[[#All],[PID]],0)))</f>
        <v>Normal</v>
      </c>
      <c r="L149" s="62">
        <f>IF($C149="B",INDEX(Batters[[#All],[CON P]],MATCH(Table5[[#This Row],[PID]],Batters[[#All],[PID]],0)),INDEX(Table3[[#All],[STU P]],MATCH(Table5[[#This Row],[PID]],Table3[[#All],[PID]],0)))</f>
        <v>5</v>
      </c>
      <c r="M149" s="58">
        <f>IF($C149="B",INDEX(Batters[[#All],[GAP P]],MATCH(Table5[[#This Row],[PID]],Batters[[#All],[PID]],0)),INDEX(Table3[[#All],[MOV P]],MATCH(Table5[[#This Row],[PID]],Table3[[#All],[PID]],0)))</f>
        <v>5</v>
      </c>
      <c r="N149" s="58">
        <f>IF($C149="B",INDEX(Batters[[#All],[POW P]],MATCH(Table5[[#This Row],[PID]],Batters[[#All],[PID]],0)),INDEX(Table3[[#All],[CON P]],MATCH(Table5[[#This Row],[PID]],Table3[[#All],[PID]],0)))</f>
        <v>4</v>
      </c>
      <c r="O149" s="58">
        <f>IF($C149="B",INDEX(Batters[[#All],[EYE P]],MATCH(Table5[[#This Row],[PID]],Batters[[#All],[PID]],0)),INDEX(Table3[[#All],[VELO]],MATCH(Table5[[#This Row],[PID]],Table3[[#All],[PID]],0)))</f>
        <v>5</v>
      </c>
      <c r="P149" s="58">
        <f>IF($C149="B",INDEX(Batters[[#All],[K P]],MATCH(Table5[[#This Row],[PID]],Batters[[#All],[PID]],0)),INDEX(Table3[[#All],[STM]],MATCH(Table5[[#This Row],[PID]],Table3[[#All],[PID]],0)))</f>
        <v>5</v>
      </c>
      <c r="Q149" s="63">
        <f>IF($C149="B",INDEX(Batters[[#All],[Tot]],MATCH(Table5[[#This Row],[PID]],Batters[[#All],[PID]],0)),INDEX(Table3[[#All],[Tot]],MATCH(Table5[[#This Row],[PID]],Table3[[#All],[PID]],0)))</f>
        <v>47.57744293094914</v>
      </c>
      <c r="R149" s="54">
        <f>IF($C149="B",INDEX(Batters[[#All],[zScore]],MATCH(Table5[[#This Row],[PID]],Batters[[#All],[PID]],0)),INDEX(Table3[[#All],[zScore]],MATCH(Table5[[#This Row],[PID]],Table3[[#All],[PID]],0)))</f>
        <v>1.2719289136044563</v>
      </c>
      <c r="S149" s="60" t="str">
        <f>IF($C149="B",INDEX(Batters[[#All],[DEM]],MATCH(Table5[[#This Row],[PID]],Batters[[#All],[PID]],0)),INDEX(Table3[[#All],[DEM]],MATCH(Table5[[#This Row],[PID]],Table3[[#All],[PID]],0)))</f>
        <v>$1.9m</v>
      </c>
      <c r="T149" s="64">
        <f>IF($C149="B",VLOOKUP($A149,Bat!$A$4:$AU$1417,46,FALSE),VLOOKUP($A149,Pit!$A$4:$BD$570,55,FALSE))</f>
        <v>0</v>
      </c>
      <c r="U149" s="52">
        <f>IF($C149="B",VLOOKUP($A149,Bat!$A$4:$BA$1417,47,FALSE),VLOOKUP($A149,Pit!$A$4:$BF$570,56,FALSE))</f>
        <v>0</v>
      </c>
      <c r="V149" s="52">
        <f>IF($C149="B",VLOOKUP($A149,Bat!$A$4:$BA$1417,48,FALSE),VLOOKUP($A149,Pit!$A$4:$BF$570,57,FALSE))</f>
        <v>0</v>
      </c>
      <c r="W149" s="52">
        <f>Table5[[#This Row],[posRnk]]+Table5[[#This Row],[zRnk]]+IF($W$3&lt;&gt;Table5[[#This Row],[Type]],50,0)</f>
        <v>195</v>
      </c>
      <c r="X149" s="53">
        <f>RANK(Table5[[#This Row],[zScore]],Table5[[#All],[zScore]])</f>
        <v>145</v>
      </c>
      <c r="Y149" s="52" t="str">
        <f>IFERROR(INDEX(DraftResults[[#All],[OVR]],MATCH(Table5[[#This Row],[PID]],DraftResults[[#All],[Player ID]],0)),"")</f>
        <v/>
      </c>
      <c r="Z1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49" s="52" t="str">
        <f>IFERROR(INDEX(DraftResults[[#All],[Pick in Round]],MATCH(Table5[[#This Row],[PID]],DraftResults[[#All],[Player ID]],0)),"")</f>
        <v/>
      </c>
      <c r="AB149" s="52" t="str">
        <f>IFERROR(INDEX(DraftResults[[#All],[Team Name]],MATCH(Table5[[#This Row],[PID]],DraftResults[[#All],[Player ID]],0)),"")</f>
        <v/>
      </c>
      <c r="AC149" s="52" t="str">
        <f>IF(Table5[[#This Row],[Ovr]]="","",IF(Table5[[#This Row],[cmbList]]="","",Table5[[#This Row],[cmbList]]-Table5[[#This Row],[Ovr]]))</f>
        <v/>
      </c>
      <c r="AD149" s="56" t="str">
        <f>IF(ISERROR(VLOOKUP($AB149&amp;"-"&amp;$E149&amp;" "&amp;F149,Bonuses!$B$1:$G$1006,4,FALSE)),"",INT(VLOOKUP($AB149&amp;"-"&amp;$E149&amp;" "&amp;$F149,Bonuses!$B$1:$G$1006,4,FALSE)))</f>
        <v/>
      </c>
      <c r="AE1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0" spans="1:31" s="52" customFormat="1" x14ac:dyDescent="0.25">
      <c r="A150" s="52">
        <v>10093</v>
      </c>
      <c r="B150" s="57">
        <f>COUNTIF(Table5[PID],A150)</f>
        <v>1</v>
      </c>
      <c r="C150" s="57" t="str">
        <f>IF(COUNTIF(Table3[[#All],[PID]],A150)&gt;0,"P","B")</f>
        <v>B</v>
      </c>
      <c r="D150" s="61" t="str">
        <f>IF($C150="B",INDEX(Batters[[#All],[POS]],MATCH(Table5[[#This Row],[PID]],Batters[[#All],[PID]],0)),INDEX(Table3[[#All],[POS]],MATCH(Table5[[#This Row],[PID]],Table3[[#All],[PID]],0)))</f>
        <v>SS</v>
      </c>
      <c r="E150" s="54" t="str">
        <f>IF($C150="B",INDEX(Batters[[#All],[First]],MATCH(Table5[[#This Row],[PID]],Batters[[#All],[PID]],0)),INDEX(Table3[[#All],[First]],MATCH(Table5[[#This Row],[PID]],Table3[[#All],[PID]],0)))</f>
        <v>Thomas</v>
      </c>
      <c r="F150" s="52" t="str">
        <f>IF($C150="B",INDEX(Batters[[#All],[Last]],MATCH(A150,Batters[[#All],[PID]],0)),INDEX(Table3[[#All],[Last]],MATCH(A150,Table3[[#All],[PID]],0)))</f>
        <v>Galindo</v>
      </c>
      <c r="G150" s="58">
        <f>IF($C150="B",INDEX(Batters[[#All],[Age]],MATCH(Table5[[#This Row],[PID]],Batters[[#All],[PID]],0)),INDEX(Table3[[#All],[Age]],MATCH(Table5[[#This Row],[PID]],Table3[[#All],[PID]],0)))</f>
        <v>21</v>
      </c>
      <c r="H150" s="54" t="str">
        <f>IF($C150="B",INDEX(Batters[[#All],[B]],MATCH(Table5[[#This Row],[PID]],Batters[[#All],[PID]],0)),INDEX(Table3[[#All],[B]],MATCH(Table5[[#This Row],[PID]],Table3[[#All],[PID]],0)))</f>
        <v>L</v>
      </c>
      <c r="I150" s="54" t="str">
        <f>IF($C150="B",INDEX(Batters[[#All],[T]],MATCH(Table5[[#This Row],[PID]],Batters[[#All],[PID]],0)),INDEX(Table3[[#All],[T]],MATCH(Table5[[#This Row],[PID]],Table3[[#All],[PID]],0)))</f>
        <v>R</v>
      </c>
      <c r="J150" s="54" t="str">
        <f>IF($C150="B",INDEX(Batters[[#All],[WE]],MATCH(Table5[[#This Row],[PID]],Batters[[#All],[PID]],0)),INDEX(Table3[[#All],[WE]],MATCH(Table5[[#This Row],[PID]],Table3[[#All],[PID]],0)))</f>
        <v>High</v>
      </c>
      <c r="K150" s="54" t="str">
        <f>IF($C150="B",INDEX(Batters[[#All],[INT]],MATCH(Table5[[#This Row],[PID]],Batters[[#All],[PID]],0)),INDEX(Table3[[#All],[INT]],MATCH(Table5[[#This Row],[PID]],Table3[[#All],[PID]],0)))</f>
        <v>High</v>
      </c>
      <c r="L150" s="62">
        <f>IF($C150="B",INDEX(Batters[[#All],[CON P]],MATCH(Table5[[#This Row],[PID]],Batters[[#All],[PID]],0)),INDEX(Table3[[#All],[STU P]],MATCH(Table5[[#This Row],[PID]],Table3[[#All],[PID]],0)))</f>
        <v>5</v>
      </c>
      <c r="M150" s="58">
        <f>IF($C150="B",INDEX(Batters[[#All],[GAP P]],MATCH(Table5[[#This Row],[PID]],Batters[[#All],[PID]],0)),INDEX(Table3[[#All],[MOV P]],MATCH(Table5[[#This Row],[PID]],Table3[[#All],[PID]],0)))</f>
        <v>5</v>
      </c>
      <c r="N150" s="58">
        <f>IF($C150="B",INDEX(Batters[[#All],[POW P]],MATCH(Table5[[#This Row],[PID]],Batters[[#All],[PID]],0)),INDEX(Table3[[#All],[CON P]],MATCH(Table5[[#This Row],[PID]],Table3[[#All],[PID]],0)))</f>
        <v>3</v>
      </c>
      <c r="O150" s="58">
        <f>IF($C150="B",INDEX(Batters[[#All],[EYE P]],MATCH(Table5[[#This Row],[PID]],Batters[[#All],[PID]],0)),INDEX(Table3[[#All],[VELO]],MATCH(Table5[[#This Row],[PID]],Table3[[#All],[PID]],0)))</f>
        <v>4</v>
      </c>
      <c r="P150" s="58">
        <f>IF($C150="B",INDEX(Batters[[#All],[K P]],MATCH(Table5[[#This Row],[PID]],Batters[[#All],[PID]],0)),INDEX(Table3[[#All],[STM]],MATCH(Table5[[#This Row],[PID]],Table3[[#All],[PID]],0)))</f>
        <v>4</v>
      </c>
      <c r="Q150" s="63">
        <f>IF($C150="B",INDEX(Batters[[#All],[Tot]],MATCH(Table5[[#This Row],[PID]],Batters[[#All],[PID]],0)),INDEX(Table3[[#All],[Tot]],MATCH(Table5[[#This Row],[PID]],Table3[[#All],[PID]],0)))</f>
        <v>47.531717220339004</v>
      </c>
      <c r="R150" s="54">
        <f>IF($C150="B",INDEX(Batters[[#All],[zScore]],MATCH(Table5[[#This Row],[PID]],Batters[[#All],[PID]],0)),INDEX(Table3[[#All],[zScore]],MATCH(Table5[[#This Row],[PID]],Table3[[#All],[PID]],0)))</f>
        <v>1.2638837787295478</v>
      </c>
      <c r="S150" s="60" t="str">
        <f>IF($C150="B",INDEX(Batters[[#All],[DEM]],MATCH(Table5[[#This Row],[PID]],Batters[[#All],[PID]],0)),INDEX(Table3[[#All],[DEM]],MATCH(Table5[[#This Row],[PID]],Table3[[#All],[PID]],0)))</f>
        <v>$180k</v>
      </c>
      <c r="T150" s="64">
        <f>IF($C150="B",VLOOKUP($A150,Bat!$A$4:$AU$1417,46,FALSE),VLOOKUP($A150,Pit!$A$4:$BD$570,55,FALSE))</f>
        <v>0</v>
      </c>
      <c r="U150" s="52">
        <f>IF($C150="B",VLOOKUP($A150,Bat!$A$4:$BA$1417,47,FALSE),VLOOKUP($A150,Pit!$A$4:$BF$570,56,FALSE))</f>
        <v>0</v>
      </c>
      <c r="V150" s="52">
        <f>IF($C150="B",VLOOKUP($A150,Bat!$A$4:$BA$1417,48,FALSE),VLOOKUP($A150,Pit!$A$4:$BF$570,57,FALSE))</f>
        <v>0</v>
      </c>
      <c r="W150" s="52">
        <f>Table5[[#This Row],[posRnk]]+Table5[[#This Row],[zRnk]]+IF($W$3&lt;&gt;Table5[[#This Row],[Type]],50,0)</f>
        <v>196</v>
      </c>
      <c r="X150" s="53">
        <f>RANK(Table5[[#This Row],[zScore]],Table5[[#All],[zScore]])</f>
        <v>146</v>
      </c>
      <c r="Y150" s="52" t="str">
        <f>IFERROR(INDEX(DraftResults[[#All],[OVR]],MATCH(Table5[[#This Row],[PID]],DraftResults[[#All],[Player ID]],0)),"")</f>
        <v/>
      </c>
      <c r="Z1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0" s="52" t="str">
        <f>IFERROR(INDEX(DraftResults[[#All],[Pick in Round]],MATCH(Table5[[#This Row],[PID]],DraftResults[[#All],[Player ID]],0)),"")</f>
        <v/>
      </c>
      <c r="AB150" s="52" t="str">
        <f>IFERROR(INDEX(DraftResults[[#All],[Team Name]],MATCH(Table5[[#This Row],[PID]],DraftResults[[#All],[Player ID]],0)),"")</f>
        <v/>
      </c>
      <c r="AC150" s="52" t="str">
        <f>IF(Table5[[#This Row],[Ovr]]="","",IF(Table5[[#This Row],[cmbList]]="","",Table5[[#This Row],[cmbList]]-Table5[[#This Row],[Ovr]]))</f>
        <v/>
      </c>
      <c r="AD150" s="56" t="str">
        <f>IF(ISERROR(VLOOKUP($AB150&amp;"-"&amp;$E150&amp;" "&amp;F150,Bonuses!$B$1:$G$1006,4,FALSE)),"",INT(VLOOKUP($AB150&amp;"-"&amp;$E150&amp;" "&amp;$F150,Bonuses!$B$1:$G$1006,4,FALSE)))</f>
        <v/>
      </c>
      <c r="AE1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1" spans="1:31" s="52" customFormat="1" x14ac:dyDescent="0.25">
      <c r="A151" s="52">
        <v>8554</v>
      </c>
      <c r="B151" s="57">
        <f>COUNTIF(Table5[PID],A151)</f>
        <v>1</v>
      </c>
      <c r="C151" s="57" t="str">
        <f>IF(COUNTIF(Table3[[#All],[PID]],A151)&gt;0,"P","B")</f>
        <v>B</v>
      </c>
      <c r="D151" s="61" t="str">
        <f>IF($C151="B",INDEX(Batters[[#All],[POS]],MATCH(Table5[[#This Row],[PID]],Batters[[#All],[PID]],0)),INDEX(Table3[[#All],[POS]],MATCH(Table5[[#This Row],[PID]],Table3[[#All],[PID]],0)))</f>
        <v>SS</v>
      </c>
      <c r="E151" s="54" t="str">
        <f>IF($C151="B",INDEX(Batters[[#All],[First]],MATCH(Table5[[#This Row],[PID]],Batters[[#All],[PID]],0)),INDEX(Table3[[#All],[First]],MATCH(Table5[[#This Row],[PID]],Table3[[#All],[PID]],0)))</f>
        <v>José</v>
      </c>
      <c r="F151" s="52" t="str">
        <f>IF($C151="B",INDEX(Batters[[#All],[Last]],MATCH(A151,Batters[[#All],[PID]],0)),INDEX(Table3[[#All],[Last]],MATCH(A151,Table3[[#All],[PID]],0)))</f>
        <v>Ordóñez</v>
      </c>
      <c r="G151" s="58">
        <f>IF($C151="B",INDEX(Batters[[#All],[Age]],MATCH(Table5[[#This Row],[PID]],Batters[[#All],[PID]],0)),INDEX(Table3[[#All],[Age]],MATCH(Table5[[#This Row],[PID]],Table3[[#All],[PID]],0)))</f>
        <v>18</v>
      </c>
      <c r="H151" s="54" t="str">
        <f>IF($C151="B",INDEX(Batters[[#All],[B]],MATCH(Table5[[#This Row],[PID]],Batters[[#All],[PID]],0)),INDEX(Table3[[#All],[B]],MATCH(Table5[[#This Row],[PID]],Table3[[#All],[PID]],0)))</f>
        <v>R</v>
      </c>
      <c r="I151" s="54" t="str">
        <f>IF($C151="B",INDEX(Batters[[#All],[T]],MATCH(Table5[[#This Row],[PID]],Batters[[#All],[PID]],0)),INDEX(Table3[[#All],[T]],MATCH(Table5[[#This Row],[PID]],Table3[[#All],[PID]],0)))</f>
        <v>R</v>
      </c>
      <c r="J151" s="54" t="str">
        <f>IF($C151="B",INDEX(Batters[[#All],[WE]],MATCH(Table5[[#This Row],[PID]],Batters[[#All],[PID]],0)),INDEX(Table3[[#All],[WE]],MATCH(Table5[[#This Row],[PID]],Table3[[#All],[PID]],0)))</f>
        <v>Normal</v>
      </c>
      <c r="K151" s="54" t="str">
        <f>IF($C151="B",INDEX(Batters[[#All],[INT]],MATCH(Table5[[#This Row],[PID]],Batters[[#All],[PID]],0)),INDEX(Table3[[#All],[INT]],MATCH(Table5[[#This Row],[PID]],Table3[[#All],[PID]],0)))</f>
        <v>Normal</v>
      </c>
      <c r="L151" s="62">
        <f>IF($C151="B",INDEX(Batters[[#All],[CON P]],MATCH(Table5[[#This Row],[PID]],Batters[[#All],[PID]],0)),INDEX(Table3[[#All],[STU P]],MATCH(Table5[[#This Row],[PID]],Table3[[#All],[PID]],0)))</f>
        <v>4</v>
      </c>
      <c r="M151" s="58">
        <f>IF($C151="B",INDEX(Batters[[#All],[GAP P]],MATCH(Table5[[#This Row],[PID]],Batters[[#All],[PID]],0)),INDEX(Table3[[#All],[MOV P]],MATCH(Table5[[#This Row],[PID]],Table3[[#All],[PID]],0)))</f>
        <v>5</v>
      </c>
      <c r="N151" s="58">
        <f>IF($C151="B",INDEX(Batters[[#All],[POW P]],MATCH(Table5[[#This Row],[PID]],Batters[[#All],[PID]],0)),INDEX(Table3[[#All],[CON P]],MATCH(Table5[[#This Row],[PID]],Table3[[#All],[PID]],0)))</f>
        <v>4</v>
      </c>
      <c r="O151" s="58">
        <f>IF($C151="B",INDEX(Batters[[#All],[EYE P]],MATCH(Table5[[#This Row],[PID]],Batters[[#All],[PID]],0)),INDEX(Table3[[#All],[VELO]],MATCH(Table5[[#This Row],[PID]],Table3[[#All],[PID]],0)))</f>
        <v>4</v>
      </c>
      <c r="P151" s="58">
        <f>IF($C151="B",INDEX(Batters[[#All],[K P]],MATCH(Table5[[#This Row],[PID]],Batters[[#All],[PID]],0)),INDEX(Table3[[#All],[STM]],MATCH(Table5[[#This Row],[PID]],Table3[[#All],[PID]],0)))</f>
        <v>4</v>
      </c>
      <c r="Q151" s="63">
        <f>IF($C151="B",INDEX(Batters[[#All],[Tot]],MATCH(Table5[[#This Row],[PID]],Batters[[#All],[PID]],0)),INDEX(Table3[[#All],[Tot]],MATCH(Table5[[#This Row],[PID]],Table3[[#All],[PID]],0)))</f>
        <v>47.510981760103206</v>
      </c>
      <c r="R151" s="54">
        <f>IF($C151="B",INDEX(Batters[[#All],[zScore]],MATCH(Table5[[#This Row],[PID]],Batters[[#All],[PID]],0)),INDEX(Table3[[#All],[zScore]],MATCH(Table5[[#This Row],[PID]],Table3[[#All],[PID]],0)))</f>
        <v>1.2602355123152185</v>
      </c>
      <c r="S151" s="60" t="str">
        <f>IF($C151="B",INDEX(Batters[[#All],[DEM]],MATCH(Table5[[#This Row],[PID]],Batters[[#All],[PID]],0)),INDEX(Table3[[#All],[DEM]],MATCH(Table5[[#This Row],[PID]],Table3[[#All],[PID]],0)))</f>
        <v>$1.7m</v>
      </c>
      <c r="T151" s="64">
        <f>IF($C151="B",VLOOKUP($A151,Bat!$A$4:$AU$1417,46,FALSE),VLOOKUP($A151,Pit!$A$4:$BD$570,55,FALSE))</f>
        <v>0</v>
      </c>
      <c r="U151" s="52">
        <f>IF($C151="B",VLOOKUP($A151,Bat!$A$4:$BA$1417,47,FALSE),VLOOKUP($A151,Pit!$A$4:$BF$570,56,FALSE))</f>
        <v>0</v>
      </c>
      <c r="V151" s="52">
        <f>IF($C151="B",VLOOKUP($A151,Bat!$A$4:$BA$1417,48,FALSE),VLOOKUP($A151,Pit!$A$4:$BF$570,57,FALSE))</f>
        <v>0</v>
      </c>
      <c r="W151" s="52">
        <f>Table5[[#This Row],[posRnk]]+Table5[[#This Row],[zRnk]]+IF($W$3&lt;&gt;Table5[[#This Row],[Type]],50,0)</f>
        <v>197</v>
      </c>
      <c r="X151" s="53">
        <f>RANK(Table5[[#This Row],[zScore]],Table5[[#All],[zScore]])</f>
        <v>147</v>
      </c>
      <c r="Y151" s="52" t="str">
        <f>IFERROR(INDEX(DraftResults[[#All],[OVR]],MATCH(Table5[[#This Row],[PID]],DraftResults[[#All],[Player ID]],0)),"")</f>
        <v/>
      </c>
      <c r="Z1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1" s="52" t="str">
        <f>IFERROR(INDEX(DraftResults[[#All],[Pick in Round]],MATCH(Table5[[#This Row],[PID]],DraftResults[[#All],[Player ID]],0)),"")</f>
        <v/>
      </c>
      <c r="AB151" s="52" t="str">
        <f>IFERROR(INDEX(DraftResults[[#All],[Team Name]],MATCH(Table5[[#This Row],[PID]],DraftResults[[#All],[Player ID]],0)),"")</f>
        <v/>
      </c>
      <c r="AC151" s="52" t="str">
        <f>IF(Table5[[#This Row],[Ovr]]="","",IF(Table5[[#This Row],[cmbList]]="","",Table5[[#This Row],[cmbList]]-Table5[[#This Row],[Ovr]]))</f>
        <v/>
      </c>
      <c r="AD151" s="56" t="str">
        <f>IF(ISERROR(VLOOKUP($AB151&amp;"-"&amp;$E151&amp;" "&amp;F151,Bonuses!$B$1:$G$1006,4,FALSE)),"",INT(VLOOKUP($AB151&amp;"-"&amp;$E151&amp;" "&amp;$F151,Bonuses!$B$1:$G$1006,4,FALSE)))</f>
        <v/>
      </c>
      <c r="AE1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2" spans="1:31" s="52" customFormat="1" x14ac:dyDescent="0.25">
      <c r="A152" s="52">
        <v>17927</v>
      </c>
      <c r="B152" s="52">
        <f>COUNTIF(Table5[PID],A152)</f>
        <v>1</v>
      </c>
      <c r="C152" s="52" t="str">
        <f>IF(COUNTIF(Table3[[#All],[PID]],A152)&gt;0,"P","B")</f>
        <v>P</v>
      </c>
      <c r="D152" s="61" t="str">
        <f>IF($C152="B",INDEX(Batters[[#All],[POS]],MATCH(Table5[[#This Row],[PID]],Batters[[#All],[PID]],0)),INDEX(Table3[[#All],[POS]],MATCH(Table5[[#This Row],[PID]],Table3[[#All],[PID]],0)))</f>
        <v>CL</v>
      </c>
      <c r="E152" s="54" t="str">
        <f>IF($C152="B",INDEX(Batters[[#All],[First]],MATCH(Table5[[#This Row],[PID]],Batters[[#All],[PID]],0)),INDEX(Table3[[#All],[First]],MATCH(Table5[[#This Row],[PID]],Table3[[#All],[PID]],0)))</f>
        <v>Cobus</v>
      </c>
      <c r="F152" s="52" t="str">
        <f>IF($C152="B",INDEX(Batters[[#All],[Last]],MATCH(A152,Batters[[#All],[PID]],0)),INDEX(Table3[[#All],[Last]],MATCH(A152,Table3[[#All],[PID]],0)))</f>
        <v>Kools</v>
      </c>
      <c r="G152" s="58">
        <f>IF($C152="B",INDEX(Batters[[#All],[Age]],MATCH(Table5[[#This Row],[PID]],Batters[[#All],[PID]],0)),INDEX(Table3[[#All],[Age]],MATCH(Table5[[#This Row],[PID]],Table3[[#All],[PID]],0)))</f>
        <v>18</v>
      </c>
      <c r="H152" s="54" t="str">
        <f>IF($C152="B",INDEX(Batters[[#All],[B]],MATCH(Table5[[#This Row],[PID]],Batters[[#All],[PID]],0)),INDEX(Table3[[#All],[B]],MATCH(Table5[[#This Row],[PID]],Table3[[#All],[PID]],0)))</f>
        <v>L</v>
      </c>
      <c r="I152" s="54" t="str">
        <f>IF($C152="B",INDEX(Batters[[#All],[T]],MATCH(Table5[[#This Row],[PID]],Batters[[#All],[PID]],0)),INDEX(Table3[[#All],[T]],MATCH(Table5[[#This Row],[PID]],Table3[[#All],[PID]],0)))</f>
        <v>L</v>
      </c>
      <c r="J152" s="54" t="str">
        <f>IF($C152="B",INDEX(Batters[[#All],[WE]],MATCH(Table5[[#This Row],[PID]],Batters[[#All],[PID]],0)),INDEX(Table3[[#All],[WE]],MATCH(Table5[[#This Row],[PID]],Table3[[#All],[PID]],0)))</f>
        <v>Normal</v>
      </c>
      <c r="K152" s="54" t="str">
        <f>IF($C152="B",INDEX(Batters[[#All],[INT]],MATCH(Table5[[#This Row],[PID]],Batters[[#All],[PID]],0)),INDEX(Table3[[#All],[INT]],MATCH(Table5[[#This Row],[PID]],Table3[[#All],[PID]],0)))</f>
        <v>Normal</v>
      </c>
      <c r="L152" s="62">
        <f>IF($C152="B",INDEX(Batters[[#All],[CON P]],MATCH(Table5[[#This Row],[PID]],Batters[[#All],[PID]],0)),INDEX(Table3[[#All],[STU P]],MATCH(Table5[[#This Row],[PID]],Table3[[#All],[PID]],0)))</f>
        <v>4</v>
      </c>
      <c r="M152" s="58">
        <f>IF($C152="B",INDEX(Batters[[#All],[GAP P]],MATCH(Table5[[#This Row],[PID]],Batters[[#All],[PID]],0)),INDEX(Table3[[#All],[MOV P]],MATCH(Table5[[#This Row],[PID]],Table3[[#All],[PID]],0)))</f>
        <v>4</v>
      </c>
      <c r="N152" s="58">
        <f>IF($C152="B",INDEX(Batters[[#All],[POW P]],MATCH(Table5[[#This Row],[PID]],Batters[[#All],[PID]],0)),INDEX(Table3[[#All],[CON P]],MATCH(Table5[[#This Row],[PID]],Table3[[#All],[PID]],0)))</f>
        <v>4</v>
      </c>
      <c r="O152" s="58" t="str">
        <f>IF($C152="B",INDEX(Batters[[#All],[EYE P]],MATCH(Table5[[#This Row],[PID]],Batters[[#All],[PID]],0)),INDEX(Table3[[#All],[VELO]],MATCH(Table5[[#This Row],[PID]],Table3[[#All],[PID]],0)))</f>
        <v>88-90 Mph</v>
      </c>
      <c r="P152" s="58">
        <f>IF($C152="B",INDEX(Batters[[#All],[K P]],MATCH(Table5[[#This Row],[PID]],Batters[[#All],[PID]],0)),INDEX(Table3[[#All],[STM]],MATCH(Table5[[#This Row],[PID]],Table3[[#All],[PID]],0)))</f>
        <v>8</v>
      </c>
      <c r="Q152" s="63">
        <f>IF($C152="B",INDEX(Batters[[#All],[Tot]],MATCH(Table5[[#This Row],[PID]],Batters[[#All],[PID]],0)),INDEX(Table3[[#All],[Tot]],MATCH(Table5[[#This Row],[PID]],Table3[[#All],[PID]],0)))</f>
        <v>46.41301854879498</v>
      </c>
      <c r="R152" s="54">
        <f>IF($C152="B",INDEX(Batters[[#All],[zScore]],MATCH(Table5[[#This Row],[PID]],Batters[[#All],[PID]],0)),INDEX(Table3[[#All],[zScore]],MATCH(Table5[[#This Row],[PID]],Table3[[#All],[PID]],0)))</f>
        <v>1.2555019131780321</v>
      </c>
      <c r="S152" s="60" t="str">
        <f>IF($C152="B",INDEX(Batters[[#All],[DEM]],MATCH(Table5[[#This Row],[PID]],Batters[[#All],[PID]],0)),INDEX(Table3[[#All],[DEM]],MATCH(Table5[[#This Row],[PID]],Table3[[#All],[PID]],0)))</f>
        <v>$90k</v>
      </c>
      <c r="T152" s="64">
        <f>IF($C152="B",VLOOKUP($A152,Bat!$A$4:$AU$1417,46,FALSE),VLOOKUP($A152,Pit!$A$4:$BD$570,55,FALSE))</f>
        <v>0</v>
      </c>
      <c r="U152" s="52">
        <f>IF($C152="B",VLOOKUP($A152,Bat!$A$4:$BA$1417,47,FALSE),VLOOKUP($A152,Pit!$A$4:$BF$570,56,FALSE))</f>
        <v>0</v>
      </c>
      <c r="V152" s="52">
        <f>IF($C152="B",VLOOKUP($A152,Bat!$A$4:$BA$1417,48,FALSE),VLOOKUP($A152,Pit!$A$4:$BF$570,57,FALSE))</f>
        <v>0</v>
      </c>
      <c r="W152" s="52">
        <f>Table5[[#This Row],[posRnk]]+Table5[[#This Row],[zRnk]]+IF($W$3&lt;&gt;Table5[[#This Row],[Type]],50,0)</f>
        <v>198</v>
      </c>
      <c r="X152" s="53">
        <f>RANK(Table5[[#This Row],[zScore]],Table5[[#All],[zScore]])</f>
        <v>148</v>
      </c>
      <c r="Y152" s="52" t="str">
        <f>IFERROR(INDEX(DraftResults[[#All],[OVR]],MATCH(Table5[[#This Row],[PID]],DraftResults[[#All],[Player ID]],0)),"")</f>
        <v/>
      </c>
      <c r="Z1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2" s="52" t="str">
        <f>IFERROR(INDEX(DraftResults[[#All],[Pick in Round]],MATCH(Table5[[#This Row],[PID]],DraftResults[[#All],[Player ID]],0)),"")</f>
        <v/>
      </c>
      <c r="AB152" s="52" t="str">
        <f>IFERROR(INDEX(DraftResults[[#All],[Team Name]],MATCH(Table5[[#This Row],[PID]],DraftResults[[#All],[Player ID]],0)),"")</f>
        <v/>
      </c>
      <c r="AC152" s="52" t="str">
        <f>IF(Table5[[#This Row],[Ovr]]="","",IF(Table5[[#This Row],[cmbList]]="","",Table5[[#This Row],[cmbList]]-Table5[[#This Row],[Ovr]]))</f>
        <v/>
      </c>
      <c r="AD152" s="56" t="str">
        <f>IF(ISERROR(VLOOKUP($AB152&amp;"-"&amp;$E152&amp;" "&amp;F152,Bonuses!$B$1:$G$1006,4,FALSE)),"",INT(VLOOKUP($AB152&amp;"-"&amp;$E152&amp;" "&amp;$F152,Bonuses!$B$1:$G$1006,4,FALSE)))</f>
        <v/>
      </c>
      <c r="AE1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3" spans="1:31" s="52" customFormat="1" x14ac:dyDescent="0.25">
      <c r="A153" s="52">
        <v>7969</v>
      </c>
      <c r="B153" s="52">
        <f>COUNTIF(Table5[PID],A153)</f>
        <v>1</v>
      </c>
      <c r="C153" s="52" t="str">
        <f>IF(COUNTIF(Table3[[#All],[PID]],A153)&gt;0,"P","B")</f>
        <v>B</v>
      </c>
      <c r="D153" s="61" t="str">
        <f>IF($C153="B",INDEX(Batters[[#All],[POS]],MATCH(Table5[[#This Row],[PID]],Batters[[#All],[PID]],0)),INDEX(Table3[[#All],[POS]],MATCH(Table5[[#This Row],[PID]],Table3[[#All],[PID]],0)))</f>
        <v>CF</v>
      </c>
      <c r="E153" s="54" t="str">
        <f>IF($C153="B",INDEX(Batters[[#All],[First]],MATCH(Table5[[#This Row],[PID]],Batters[[#All],[PID]],0)),INDEX(Table3[[#All],[First]],MATCH(Table5[[#This Row],[PID]],Table3[[#All],[PID]],0)))</f>
        <v>Juan</v>
      </c>
      <c r="F153" s="52" t="str">
        <f>IF($C153="B",INDEX(Batters[[#All],[Last]],MATCH(A153,Batters[[#All],[PID]],0)),INDEX(Table3[[#All],[Last]],MATCH(A153,Table3[[#All],[PID]],0)))</f>
        <v>Coronado</v>
      </c>
      <c r="G153" s="58">
        <f>IF($C153="B",INDEX(Batters[[#All],[Age]],MATCH(Table5[[#This Row],[PID]],Batters[[#All],[PID]],0)),INDEX(Table3[[#All],[Age]],MATCH(Table5[[#This Row],[PID]],Table3[[#All],[PID]],0)))</f>
        <v>18</v>
      </c>
      <c r="H153" s="54" t="str">
        <f>IF($C153="B",INDEX(Batters[[#All],[B]],MATCH(Table5[[#This Row],[PID]],Batters[[#All],[PID]],0)),INDEX(Table3[[#All],[B]],MATCH(Table5[[#This Row],[PID]],Table3[[#All],[PID]],0)))</f>
        <v>L</v>
      </c>
      <c r="I153" s="54" t="str">
        <f>IF($C153="B",INDEX(Batters[[#All],[T]],MATCH(Table5[[#This Row],[PID]],Batters[[#All],[PID]],0)),INDEX(Table3[[#All],[T]],MATCH(Table5[[#This Row],[PID]],Table3[[#All],[PID]],0)))</f>
        <v>R</v>
      </c>
      <c r="J153" s="54" t="str">
        <f>IF($C153="B",INDEX(Batters[[#All],[WE]],MATCH(Table5[[#This Row],[PID]],Batters[[#All],[PID]],0)),INDEX(Table3[[#All],[WE]],MATCH(Table5[[#This Row],[PID]],Table3[[#All],[PID]],0)))</f>
        <v>Normal</v>
      </c>
      <c r="K153" s="54" t="str">
        <f>IF($C153="B",INDEX(Batters[[#All],[INT]],MATCH(Table5[[#This Row],[PID]],Batters[[#All],[PID]],0)),INDEX(Table3[[#All],[INT]],MATCH(Table5[[#This Row],[PID]],Table3[[#All],[PID]],0)))</f>
        <v>High</v>
      </c>
      <c r="L153" s="62">
        <f>IF($C153="B",INDEX(Batters[[#All],[CON P]],MATCH(Table5[[#This Row],[PID]],Batters[[#All],[PID]],0)),INDEX(Table3[[#All],[STU P]],MATCH(Table5[[#This Row],[PID]],Table3[[#All],[PID]],0)))</f>
        <v>4</v>
      </c>
      <c r="M153" s="58">
        <f>IF($C153="B",INDEX(Batters[[#All],[GAP P]],MATCH(Table5[[#This Row],[PID]],Batters[[#All],[PID]],0)),INDEX(Table3[[#All],[MOV P]],MATCH(Table5[[#This Row],[PID]],Table3[[#All],[PID]],0)))</f>
        <v>5</v>
      </c>
      <c r="N153" s="58">
        <f>IF($C153="B",INDEX(Batters[[#All],[POW P]],MATCH(Table5[[#This Row],[PID]],Batters[[#All],[PID]],0)),INDEX(Table3[[#All],[CON P]],MATCH(Table5[[#This Row],[PID]],Table3[[#All],[PID]],0)))</f>
        <v>4</v>
      </c>
      <c r="O153" s="58">
        <f>IF($C153="B",INDEX(Batters[[#All],[EYE P]],MATCH(Table5[[#This Row],[PID]],Batters[[#All],[PID]],0)),INDEX(Table3[[#All],[VELO]],MATCH(Table5[[#This Row],[PID]],Table3[[#All],[PID]],0)))</f>
        <v>4</v>
      </c>
      <c r="P153" s="58">
        <f>IF($C153="B",INDEX(Batters[[#All],[K P]],MATCH(Table5[[#This Row],[PID]],Batters[[#All],[PID]],0)),INDEX(Table3[[#All],[STM]],MATCH(Table5[[#This Row],[PID]],Table3[[#All],[PID]],0)))</f>
        <v>5</v>
      </c>
      <c r="Q153" s="63">
        <f>IF($C153="B",INDEX(Batters[[#All],[Tot]],MATCH(Table5[[#This Row],[PID]],Batters[[#All],[PID]],0)),INDEX(Table3[[#All],[Tot]],MATCH(Table5[[#This Row],[PID]],Table3[[#All],[PID]],0)))</f>
        <v>47.470953760500159</v>
      </c>
      <c r="R153" s="54">
        <f>IF($C153="B",INDEX(Batters[[#All],[zScore]],MATCH(Table5[[#This Row],[PID]],Batters[[#All],[PID]],0)),INDEX(Table3[[#All],[zScore]],MATCH(Table5[[#This Row],[PID]],Table3[[#All],[PID]],0)))</f>
        <v>1.2531928518232913</v>
      </c>
      <c r="S153" s="60" t="str">
        <f>IF($C153="B",INDEX(Batters[[#All],[DEM]],MATCH(Table5[[#This Row],[PID]],Batters[[#All],[PID]],0)),INDEX(Table3[[#All],[DEM]],MATCH(Table5[[#This Row],[PID]],Table3[[#All],[PID]],0)))</f>
        <v>$340k</v>
      </c>
      <c r="T153" s="64">
        <f>IF($C153="B",VLOOKUP($A153,Bat!$A$4:$AU$1417,46,FALSE),VLOOKUP($A153,Pit!$A$4:$BD$570,55,FALSE))</f>
        <v>0</v>
      </c>
      <c r="U153" s="52">
        <f>IF($C153="B",VLOOKUP($A153,Bat!$A$4:$BA$1417,47,FALSE),VLOOKUP($A153,Pit!$A$4:$BF$570,56,FALSE))</f>
        <v>0</v>
      </c>
      <c r="V153" s="52">
        <f>IF($C153="B",VLOOKUP($A153,Bat!$A$4:$BA$1417,48,FALSE),VLOOKUP($A153,Pit!$A$4:$BF$570,57,FALSE))</f>
        <v>0</v>
      </c>
      <c r="W153" s="52">
        <f>Table5[[#This Row],[posRnk]]+Table5[[#This Row],[zRnk]]+IF($W$3&lt;&gt;Table5[[#This Row],[Type]],50,0)</f>
        <v>199</v>
      </c>
      <c r="X153" s="53">
        <f>RANK(Table5[[#This Row],[zScore]],Table5[[#All],[zScore]])</f>
        <v>149</v>
      </c>
      <c r="Y153" s="52" t="str">
        <f>IFERROR(INDEX(DraftResults[[#All],[OVR]],MATCH(Table5[[#This Row],[PID]],DraftResults[[#All],[Player ID]],0)),"")</f>
        <v/>
      </c>
      <c r="Z1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3" s="52" t="str">
        <f>IFERROR(INDEX(DraftResults[[#All],[Pick in Round]],MATCH(Table5[[#This Row],[PID]],DraftResults[[#All],[Player ID]],0)),"")</f>
        <v/>
      </c>
      <c r="AB153" s="52" t="str">
        <f>IFERROR(INDEX(DraftResults[[#All],[Team Name]],MATCH(Table5[[#This Row],[PID]],DraftResults[[#All],[Player ID]],0)),"")</f>
        <v/>
      </c>
      <c r="AC153" s="52" t="str">
        <f>IF(Table5[[#This Row],[Ovr]]="","",IF(Table5[[#This Row],[cmbList]]="","",Table5[[#This Row],[cmbList]]-Table5[[#This Row],[Ovr]]))</f>
        <v/>
      </c>
      <c r="AD153" s="56" t="str">
        <f>IF(ISERROR(VLOOKUP($AB153&amp;"-"&amp;$E153&amp;" "&amp;F153,Bonuses!$B$1:$G$1006,4,FALSE)),"",INT(VLOOKUP($AB153&amp;"-"&amp;$E153&amp;" "&amp;$F153,Bonuses!$B$1:$G$1006,4,FALSE)))</f>
        <v/>
      </c>
      <c r="AE1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4" spans="1:31" s="52" customFormat="1" x14ac:dyDescent="0.25">
      <c r="A154" s="52">
        <v>8026</v>
      </c>
      <c r="B154" s="52">
        <f>COUNTIF(Table5[PID],A154)</f>
        <v>1</v>
      </c>
      <c r="C154" s="52" t="str">
        <f>IF(COUNTIF(Table3[[#All],[PID]],A154)&gt;0,"P","B")</f>
        <v>P</v>
      </c>
      <c r="D154" s="61" t="str">
        <f>IF($C154="B",INDEX(Batters[[#All],[POS]],MATCH(Table5[[#This Row],[PID]],Batters[[#All],[PID]],0)),INDEX(Table3[[#All],[POS]],MATCH(Table5[[#This Row],[PID]],Table3[[#All],[PID]],0)))</f>
        <v>SP</v>
      </c>
      <c r="E154" s="54" t="str">
        <f>IF($C154="B",INDEX(Batters[[#All],[First]],MATCH(Table5[[#This Row],[PID]],Batters[[#All],[PID]],0)),INDEX(Table3[[#All],[First]],MATCH(Table5[[#This Row],[PID]],Table3[[#All],[PID]],0)))</f>
        <v>Bob</v>
      </c>
      <c r="F154" s="52" t="str">
        <f>IF($C154="B",INDEX(Batters[[#All],[Last]],MATCH(A154,Batters[[#All],[PID]],0)),INDEX(Table3[[#All],[Last]],MATCH(A154,Table3[[#All],[PID]],0)))</f>
        <v>Powell</v>
      </c>
      <c r="G154" s="58">
        <f>IF($C154="B",INDEX(Batters[[#All],[Age]],MATCH(Table5[[#This Row],[PID]],Batters[[#All],[PID]],0)),INDEX(Table3[[#All],[Age]],MATCH(Table5[[#This Row],[PID]],Table3[[#All],[PID]],0)))</f>
        <v>18</v>
      </c>
      <c r="H154" s="54" t="str">
        <f>IF($C154="B",INDEX(Batters[[#All],[B]],MATCH(Table5[[#This Row],[PID]],Batters[[#All],[PID]],0)),INDEX(Table3[[#All],[B]],MATCH(Table5[[#This Row],[PID]],Table3[[#All],[PID]],0)))</f>
        <v>L</v>
      </c>
      <c r="I154" s="54" t="str">
        <f>IF($C154="B",INDEX(Batters[[#All],[T]],MATCH(Table5[[#This Row],[PID]],Batters[[#All],[PID]],0)),INDEX(Table3[[#All],[T]],MATCH(Table5[[#This Row],[PID]],Table3[[#All],[PID]],0)))</f>
        <v>R</v>
      </c>
      <c r="J154" s="54" t="str">
        <f>IF($C154="B",INDEX(Batters[[#All],[WE]],MATCH(Table5[[#This Row],[PID]],Batters[[#All],[PID]],0)),INDEX(Table3[[#All],[WE]],MATCH(Table5[[#This Row],[PID]],Table3[[#All],[PID]],0)))</f>
        <v>Normal</v>
      </c>
      <c r="K154" s="54" t="str">
        <f>IF($C154="B",INDEX(Batters[[#All],[INT]],MATCH(Table5[[#This Row],[PID]],Batters[[#All],[PID]],0)),INDEX(Table3[[#All],[INT]],MATCH(Table5[[#This Row],[PID]],Table3[[#All],[PID]],0)))</f>
        <v>Normal</v>
      </c>
      <c r="L154" s="62">
        <f>IF($C154="B",INDEX(Batters[[#All],[CON P]],MATCH(Table5[[#This Row],[PID]],Batters[[#All],[PID]],0)),INDEX(Table3[[#All],[STU P]],MATCH(Table5[[#This Row],[PID]],Table3[[#All],[PID]],0)))</f>
        <v>4</v>
      </c>
      <c r="M154" s="58">
        <f>IF($C154="B",INDEX(Batters[[#All],[GAP P]],MATCH(Table5[[#This Row],[PID]],Batters[[#All],[PID]],0)),INDEX(Table3[[#All],[MOV P]],MATCH(Table5[[#This Row],[PID]],Table3[[#All],[PID]],0)))</f>
        <v>5</v>
      </c>
      <c r="N154" s="58">
        <f>IF($C154="B",INDEX(Batters[[#All],[POW P]],MATCH(Table5[[#This Row],[PID]],Batters[[#All],[PID]],0)),INDEX(Table3[[#All],[CON P]],MATCH(Table5[[#This Row],[PID]],Table3[[#All],[PID]],0)))</f>
        <v>3</v>
      </c>
      <c r="O154" s="58" t="str">
        <f>IF($C154="B",INDEX(Batters[[#All],[EYE P]],MATCH(Table5[[#This Row],[PID]],Batters[[#All],[PID]],0)),INDEX(Table3[[#All],[VELO]],MATCH(Table5[[#This Row],[PID]],Table3[[#All],[PID]],0)))</f>
        <v>88-90 Mph</v>
      </c>
      <c r="P154" s="58">
        <f>IF($C154="B",INDEX(Batters[[#All],[K P]],MATCH(Table5[[#This Row],[PID]],Batters[[#All],[PID]],0)),INDEX(Table3[[#All],[STM]],MATCH(Table5[[#This Row],[PID]],Table3[[#All],[PID]],0)))</f>
        <v>8</v>
      </c>
      <c r="Q154" s="63">
        <f>IF($C154="B",INDEX(Batters[[#All],[Tot]],MATCH(Table5[[#This Row],[PID]],Batters[[#All],[PID]],0)),INDEX(Table3[[#All],[Tot]],MATCH(Table5[[#This Row],[PID]],Table3[[#All],[PID]],0)))</f>
        <v>45.987839178201227</v>
      </c>
      <c r="R154" s="54">
        <f>IF($C154="B",INDEX(Batters[[#All],[zScore]],MATCH(Table5[[#This Row],[PID]],Batters[[#All],[PID]],0)),INDEX(Table3[[#All],[zScore]],MATCH(Table5[[#This Row],[PID]],Table3[[#All],[PID]],0)))</f>
        <v>1.2165111476397616</v>
      </c>
      <c r="S154" s="60" t="str">
        <f>IF($C154="B",INDEX(Batters[[#All],[DEM]],MATCH(Table5[[#This Row],[PID]],Batters[[#All],[PID]],0)),INDEX(Table3[[#All],[DEM]],MATCH(Table5[[#This Row],[PID]],Table3[[#All],[PID]],0)))</f>
        <v>$850k</v>
      </c>
      <c r="T154" s="64">
        <f>IF($C154="B",VLOOKUP($A154,Bat!$A$4:$AU$1417,46,FALSE),VLOOKUP($A154,Pit!$A$4:$BD$570,55,FALSE))</f>
        <v>0</v>
      </c>
      <c r="U154" s="52">
        <f>IF($C154="B",VLOOKUP($A154,Bat!$A$4:$BA$1417,47,FALSE),VLOOKUP($A154,Pit!$A$4:$BF$570,56,FALSE))</f>
        <v>0</v>
      </c>
      <c r="V154" s="52">
        <f>IF($C154="B",VLOOKUP($A154,Bat!$A$4:$BA$1417,48,FALSE),VLOOKUP($A154,Pit!$A$4:$BF$570,57,FALSE))</f>
        <v>0</v>
      </c>
      <c r="W154" s="52">
        <f>Table5[[#This Row],[posRnk]]+Table5[[#This Row],[zRnk]]+IF($W$3&lt;&gt;Table5[[#This Row],[Type]],50,0)</f>
        <v>200</v>
      </c>
      <c r="X154" s="53">
        <f>RANK(Table5[[#This Row],[zScore]],Table5[[#All],[zScore]])</f>
        <v>150</v>
      </c>
      <c r="Y154" s="52" t="str">
        <f>IFERROR(INDEX(DraftResults[[#All],[OVR]],MATCH(Table5[[#This Row],[PID]],DraftResults[[#All],[Player ID]],0)),"")</f>
        <v/>
      </c>
      <c r="Z1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4" s="52" t="str">
        <f>IFERROR(INDEX(DraftResults[[#All],[Pick in Round]],MATCH(Table5[[#This Row],[PID]],DraftResults[[#All],[Player ID]],0)),"")</f>
        <v/>
      </c>
      <c r="AB154" s="52" t="str">
        <f>IFERROR(INDEX(DraftResults[[#All],[Team Name]],MATCH(Table5[[#This Row],[PID]],DraftResults[[#All],[Player ID]],0)),"")</f>
        <v/>
      </c>
      <c r="AC154" s="52" t="str">
        <f>IF(Table5[[#This Row],[Ovr]]="","",IF(Table5[[#This Row],[cmbList]]="","",Table5[[#This Row],[cmbList]]-Table5[[#This Row],[Ovr]]))</f>
        <v/>
      </c>
      <c r="AD154" s="56" t="str">
        <f>IF(ISERROR(VLOOKUP($AB154&amp;"-"&amp;$E154&amp;" "&amp;F154,Bonuses!$B$1:$G$1006,4,FALSE)),"",INT(VLOOKUP($AB154&amp;"-"&amp;$E154&amp;" "&amp;$F154,Bonuses!$B$1:$G$1006,4,FALSE)))</f>
        <v/>
      </c>
      <c r="AE1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5" spans="1:31" s="52" customFormat="1" x14ac:dyDescent="0.25">
      <c r="A155" s="52">
        <v>7079</v>
      </c>
      <c r="B155" s="52">
        <f>COUNTIF(Table5[PID],A155)</f>
        <v>1</v>
      </c>
      <c r="C155" s="52" t="str">
        <f>IF(COUNTIF(Table3[[#All],[PID]],A155)&gt;0,"P","B")</f>
        <v>P</v>
      </c>
      <c r="D155" s="61" t="str">
        <f>IF($C155="B",INDEX(Batters[[#All],[POS]],MATCH(Table5[[#This Row],[PID]],Batters[[#All],[PID]],0)),INDEX(Table3[[#All],[POS]],MATCH(Table5[[#This Row],[PID]],Table3[[#All],[PID]],0)))</f>
        <v>RP</v>
      </c>
      <c r="E155" s="54" t="str">
        <f>IF($C155="B",INDEX(Batters[[#All],[First]],MATCH(Table5[[#This Row],[PID]],Batters[[#All],[PID]],0)),INDEX(Table3[[#All],[First]],MATCH(Table5[[#This Row],[PID]],Table3[[#All],[PID]],0)))</f>
        <v>Adam</v>
      </c>
      <c r="F155" s="52" t="str">
        <f>IF($C155="B",INDEX(Batters[[#All],[Last]],MATCH(A155,Batters[[#All],[PID]],0)),INDEX(Table3[[#All],[Last]],MATCH(A155,Table3[[#All],[PID]],0)))</f>
        <v>Thomson</v>
      </c>
      <c r="G155" s="58">
        <f>IF($C155="B",INDEX(Batters[[#All],[Age]],MATCH(Table5[[#This Row],[PID]],Batters[[#All],[PID]],0)),INDEX(Table3[[#All],[Age]],MATCH(Table5[[#This Row],[PID]],Table3[[#All],[PID]],0)))</f>
        <v>21</v>
      </c>
      <c r="H155" s="54" t="str">
        <f>IF($C155="B",INDEX(Batters[[#All],[B]],MATCH(Table5[[#This Row],[PID]],Batters[[#All],[PID]],0)),INDEX(Table3[[#All],[B]],MATCH(Table5[[#This Row],[PID]],Table3[[#All],[PID]],0)))</f>
        <v>R</v>
      </c>
      <c r="I155" s="54" t="str">
        <f>IF($C155="B",INDEX(Batters[[#All],[T]],MATCH(Table5[[#This Row],[PID]],Batters[[#All],[PID]],0)),INDEX(Table3[[#All],[T]],MATCH(Table5[[#This Row],[PID]],Table3[[#All],[PID]],0)))</f>
        <v>R</v>
      </c>
      <c r="J155" s="54" t="str">
        <f>IF($C155="B",INDEX(Batters[[#All],[WE]],MATCH(Table5[[#This Row],[PID]],Batters[[#All],[PID]],0)),INDEX(Table3[[#All],[WE]],MATCH(Table5[[#This Row],[PID]],Table3[[#All],[PID]],0)))</f>
        <v>Normal</v>
      </c>
      <c r="K155" s="54" t="str">
        <f>IF($C155="B",INDEX(Batters[[#All],[INT]],MATCH(Table5[[#This Row],[PID]],Batters[[#All],[PID]],0)),INDEX(Table3[[#All],[INT]],MATCH(Table5[[#This Row],[PID]],Table3[[#All],[PID]],0)))</f>
        <v>Normal</v>
      </c>
      <c r="L155" s="62">
        <f>IF($C155="B",INDEX(Batters[[#All],[CON P]],MATCH(Table5[[#This Row],[PID]],Batters[[#All],[PID]],0)),INDEX(Table3[[#All],[STU P]],MATCH(Table5[[#This Row],[PID]],Table3[[#All],[PID]],0)))</f>
        <v>6</v>
      </c>
      <c r="M155" s="58">
        <f>IF($C155="B",INDEX(Batters[[#All],[GAP P]],MATCH(Table5[[#This Row],[PID]],Batters[[#All],[PID]],0)),INDEX(Table3[[#All],[MOV P]],MATCH(Table5[[#This Row],[PID]],Table3[[#All],[PID]],0)))</f>
        <v>4</v>
      </c>
      <c r="N155" s="58">
        <f>IF($C155="B",INDEX(Batters[[#All],[POW P]],MATCH(Table5[[#This Row],[PID]],Batters[[#All],[PID]],0)),INDEX(Table3[[#All],[CON P]],MATCH(Table5[[#This Row],[PID]],Table3[[#All],[PID]],0)))</f>
        <v>4</v>
      </c>
      <c r="O155" s="58" t="str">
        <f>IF($C155="B",INDEX(Batters[[#All],[EYE P]],MATCH(Table5[[#This Row],[PID]],Batters[[#All],[PID]],0)),INDEX(Table3[[#All],[VELO]],MATCH(Table5[[#This Row],[PID]],Table3[[#All],[PID]],0)))</f>
        <v>91-93 Mph</v>
      </c>
      <c r="P155" s="58">
        <f>IF($C155="B",INDEX(Batters[[#All],[K P]],MATCH(Table5[[#This Row],[PID]],Batters[[#All],[PID]],0)),INDEX(Table3[[#All],[STM]],MATCH(Table5[[#This Row],[PID]],Table3[[#All],[PID]],0)))</f>
        <v>9</v>
      </c>
      <c r="Q155" s="63">
        <f>IF($C155="B",INDEX(Batters[[#All],[Tot]],MATCH(Table5[[#This Row],[PID]],Batters[[#All],[PID]],0)),INDEX(Table3[[#All],[Tot]],MATCH(Table5[[#This Row],[PID]],Table3[[#All],[PID]],0)))</f>
        <v>45.914562628673245</v>
      </c>
      <c r="R155" s="54">
        <f>IF($C155="B",INDEX(Batters[[#All],[zScore]],MATCH(Table5[[#This Row],[PID]],Batters[[#All],[PID]],0)),INDEX(Table3[[#All],[zScore]],MATCH(Table5[[#This Row],[PID]],Table3[[#All],[PID]],0)))</f>
        <v>1.2097913748574904</v>
      </c>
      <c r="S155" s="60" t="str">
        <f>IF($C155="B",INDEX(Batters[[#All],[DEM]],MATCH(Table5[[#This Row],[PID]],Batters[[#All],[PID]],0)),INDEX(Table3[[#All],[DEM]],MATCH(Table5[[#This Row],[PID]],Table3[[#All],[PID]],0)))</f>
        <v>-</v>
      </c>
      <c r="T155" s="64">
        <f>IF($C155="B",VLOOKUP($A155,Bat!$A$4:$AU$1417,46,FALSE),VLOOKUP($A155,Pit!$A$4:$BD$570,55,FALSE))</f>
        <v>0</v>
      </c>
      <c r="U155" s="52">
        <f>IF($C155="B",VLOOKUP($A155,Bat!$A$4:$BA$1417,47,FALSE),VLOOKUP($A155,Pit!$A$4:$BF$570,56,FALSE))</f>
        <v>0</v>
      </c>
      <c r="V155" s="52">
        <f>IF($C155="B",VLOOKUP($A155,Bat!$A$4:$BA$1417,48,FALSE),VLOOKUP($A155,Pit!$A$4:$BF$570,57,FALSE))</f>
        <v>0</v>
      </c>
      <c r="W155" s="52">
        <f>Table5[[#This Row],[posRnk]]+Table5[[#This Row],[zRnk]]+IF($W$3&lt;&gt;Table5[[#This Row],[Type]],50,0)</f>
        <v>201</v>
      </c>
      <c r="X155" s="53">
        <f>RANK(Table5[[#This Row],[zScore]],Table5[[#All],[zScore]])</f>
        <v>151</v>
      </c>
      <c r="Y155" s="52" t="str">
        <f>IFERROR(INDEX(DraftResults[[#All],[OVR]],MATCH(Table5[[#This Row],[PID]],DraftResults[[#All],[Player ID]],0)),"")</f>
        <v/>
      </c>
      <c r="Z1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5" s="52" t="str">
        <f>IFERROR(INDEX(DraftResults[[#All],[Pick in Round]],MATCH(Table5[[#This Row],[PID]],DraftResults[[#All],[Player ID]],0)),"")</f>
        <v/>
      </c>
      <c r="AB155" s="52" t="str">
        <f>IFERROR(INDEX(DraftResults[[#All],[Team Name]],MATCH(Table5[[#This Row],[PID]],DraftResults[[#All],[Player ID]],0)),"")</f>
        <v/>
      </c>
      <c r="AC155" s="52" t="str">
        <f>IF(Table5[[#This Row],[Ovr]]="","",IF(Table5[[#This Row],[cmbList]]="","",Table5[[#This Row],[cmbList]]-Table5[[#This Row],[Ovr]]))</f>
        <v/>
      </c>
      <c r="AD155" s="56" t="str">
        <f>IF(ISERROR(VLOOKUP($AB155&amp;"-"&amp;$E155&amp;" "&amp;F155,Bonuses!$B$1:$G$1006,4,FALSE)),"",INT(VLOOKUP($AB155&amp;"-"&amp;$E155&amp;" "&amp;$F155,Bonuses!$B$1:$G$1006,4,FALSE)))</f>
        <v/>
      </c>
      <c r="AE1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6" spans="1:31" s="52" customFormat="1" x14ac:dyDescent="0.25">
      <c r="A156" s="52">
        <v>9340</v>
      </c>
      <c r="B156" s="52">
        <f>COUNTIF(Table5[PID],A156)</f>
        <v>1</v>
      </c>
      <c r="C156" s="52" t="str">
        <f>IF(COUNTIF(Table3[[#All],[PID]],A156)&gt;0,"P","B")</f>
        <v>P</v>
      </c>
      <c r="D156" s="61" t="str">
        <f>IF($C156="B",INDEX(Batters[[#All],[POS]],MATCH(Table5[[#This Row],[PID]],Batters[[#All],[PID]],0)),INDEX(Table3[[#All],[POS]],MATCH(Table5[[#This Row],[PID]],Table3[[#All],[PID]],0)))</f>
        <v>RP</v>
      </c>
      <c r="E156" s="54" t="str">
        <f>IF($C156="B",INDEX(Batters[[#All],[First]],MATCH(Table5[[#This Row],[PID]],Batters[[#All],[PID]],0)),INDEX(Table3[[#All],[First]],MATCH(Table5[[#This Row],[PID]],Table3[[#All],[PID]],0)))</f>
        <v>Richard</v>
      </c>
      <c r="F156" s="52" t="str">
        <f>IF($C156="B",INDEX(Batters[[#All],[Last]],MATCH(A156,Batters[[#All],[PID]],0)),INDEX(Table3[[#All],[Last]],MATCH(A156,Table3[[#All],[PID]],0)))</f>
        <v>Hughes</v>
      </c>
      <c r="G156" s="58">
        <f>IF($C156="B",INDEX(Batters[[#All],[Age]],MATCH(Table5[[#This Row],[PID]],Batters[[#All],[PID]],0)),INDEX(Table3[[#All],[Age]],MATCH(Table5[[#This Row],[PID]],Table3[[#All],[PID]],0)))</f>
        <v>21</v>
      </c>
      <c r="H156" s="54" t="str">
        <f>IF($C156="B",INDEX(Batters[[#All],[B]],MATCH(Table5[[#This Row],[PID]],Batters[[#All],[PID]],0)),INDEX(Table3[[#All],[B]],MATCH(Table5[[#This Row],[PID]],Table3[[#All],[PID]],0)))</f>
        <v>R</v>
      </c>
      <c r="I156" s="54" t="str">
        <f>IF($C156="B",INDEX(Batters[[#All],[T]],MATCH(Table5[[#This Row],[PID]],Batters[[#All],[PID]],0)),INDEX(Table3[[#All],[T]],MATCH(Table5[[#This Row],[PID]],Table3[[#All],[PID]],0)))</f>
        <v>R</v>
      </c>
      <c r="J156" s="54" t="str">
        <f>IF($C156="B",INDEX(Batters[[#All],[WE]],MATCH(Table5[[#This Row],[PID]],Batters[[#All],[PID]],0)),INDEX(Table3[[#All],[WE]],MATCH(Table5[[#This Row],[PID]],Table3[[#All],[PID]],0)))</f>
        <v>Normal</v>
      </c>
      <c r="K156" s="54" t="str">
        <f>IF($C156="B",INDEX(Batters[[#All],[INT]],MATCH(Table5[[#This Row],[PID]],Batters[[#All],[PID]],0)),INDEX(Table3[[#All],[INT]],MATCH(Table5[[#This Row],[PID]],Table3[[#All],[PID]],0)))</f>
        <v>High</v>
      </c>
      <c r="L156" s="62">
        <f>IF($C156="B",INDEX(Batters[[#All],[CON P]],MATCH(Table5[[#This Row],[PID]],Batters[[#All],[PID]],0)),INDEX(Table3[[#All],[STU P]],MATCH(Table5[[#This Row],[PID]],Table3[[#All],[PID]],0)))</f>
        <v>6</v>
      </c>
      <c r="M156" s="58">
        <f>IF($C156="B",INDEX(Batters[[#All],[GAP P]],MATCH(Table5[[#This Row],[PID]],Batters[[#All],[PID]],0)),INDEX(Table3[[#All],[MOV P]],MATCH(Table5[[#This Row],[PID]],Table3[[#All],[PID]],0)))</f>
        <v>4</v>
      </c>
      <c r="N156" s="58">
        <f>IF($C156="B",INDEX(Batters[[#All],[POW P]],MATCH(Table5[[#This Row],[PID]],Batters[[#All],[PID]],0)),INDEX(Table3[[#All],[CON P]],MATCH(Table5[[#This Row],[PID]],Table3[[#All],[PID]],0)))</f>
        <v>3</v>
      </c>
      <c r="O156" s="58" t="str">
        <f>IF($C156="B",INDEX(Batters[[#All],[EYE P]],MATCH(Table5[[#This Row],[PID]],Batters[[#All],[PID]],0)),INDEX(Table3[[#All],[VELO]],MATCH(Table5[[#This Row],[PID]],Table3[[#All],[PID]],0)))</f>
        <v>95-97 Mph</v>
      </c>
      <c r="P156" s="58">
        <f>IF($C156="B",INDEX(Batters[[#All],[K P]],MATCH(Table5[[#This Row],[PID]],Batters[[#All],[PID]],0)),INDEX(Table3[[#All],[STM]],MATCH(Table5[[#This Row],[PID]],Table3[[#All],[PID]],0)))</f>
        <v>3</v>
      </c>
      <c r="Q156" s="63">
        <f>IF($C156="B",INDEX(Batters[[#All],[Tot]],MATCH(Table5[[#This Row],[PID]],Batters[[#All],[PID]],0)),INDEX(Table3[[#All],[Tot]],MATCH(Table5[[#This Row],[PID]],Table3[[#All],[PID]],0)))</f>
        <v>45.731056396038674</v>
      </c>
      <c r="R156" s="54">
        <f>IF($C156="B",INDEX(Batters[[#All],[zScore]],MATCH(Table5[[#This Row],[PID]],Batters[[#All],[PID]],0)),INDEX(Table3[[#All],[zScore]],MATCH(Table5[[#This Row],[PID]],Table3[[#All],[PID]],0)))</f>
        <v>1.1929630690027779</v>
      </c>
      <c r="S156" s="60" t="str">
        <f>IF($C156="B",INDEX(Batters[[#All],[DEM]],MATCH(Table5[[#This Row],[PID]],Batters[[#All],[PID]],0)),INDEX(Table3[[#All],[DEM]],MATCH(Table5[[#This Row],[PID]],Table3[[#All],[PID]],0)))</f>
        <v>-</v>
      </c>
      <c r="T156" s="64">
        <f>IF($C156="B",VLOOKUP($A156,Bat!$A$4:$AU$1417,46,FALSE),VLOOKUP($A156,Pit!$A$4:$BD$570,55,FALSE))</f>
        <v>0</v>
      </c>
      <c r="U156" s="52">
        <f>IF($C156="B",VLOOKUP($A156,Bat!$A$4:$BA$1417,47,FALSE),VLOOKUP($A156,Pit!$A$4:$BF$570,56,FALSE))</f>
        <v>0</v>
      </c>
      <c r="V156" s="52">
        <f>IF($C156="B",VLOOKUP($A156,Bat!$A$4:$BA$1417,48,FALSE),VLOOKUP($A156,Pit!$A$4:$BF$570,57,FALSE))</f>
        <v>0</v>
      </c>
      <c r="W156" s="52">
        <f>Table5[[#This Row],[posRnk]]+Table5[[#This Row],[zRnk]]+IF($W$3&lt;&gt;Table5[[#This Row],[Type]],50,0)</f>
        <v>202</v>
      </c>
      <c r="X156" s="53">
        <f>RANK(Table5[[#This Row],[zScore]],Table5[[#All],[zScore]])</f>
        <v>152</v>
      </c>
      <c r="Y156" s="52" t="str">
        <f>IFERROR(INDEX(DraftResults[[#All],[OVR]],MATCH(Table5[[#This Row],[PID]],DraftResults[[#All],[Player ID]],0)),"")</f>
        <v/>
      </c>
      <c r="Z1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6" s="52" t="str">
        <f>IFERROR(INDEX(DraftResults[[#All],[Pick in Round]],MATCH(Table5[[#This Row],[PID]],DraftResults[[#All],[Player ID]],0)),"")</f>
        <v/>
      </c>
      <c r="AB156" s="52" t="str">
        <f>IFERROR(INDEX(DraftResults[[#All],[Team Name]],MATCH(Table5[[#This Row],[PID]],DraftResults[[#All],[Player ID]],0)),"")</f>
        <v/>
      </c>
      <c r="AC156" s="52" t="str">
        <f>IF(Table5[[#This Row],[Ovr]]="","",IF(Table5[[#This Row],[cmbList]]="","",Table5[[#This Row],[cmbList]]-Table5[[#This Row],[Ovr]]))</f>
        <v/>
      </c>
      <c r="AD156" s="56" t="str">
        <f>IF(ISERROR(VLOOKUP($AB156&amp;"-"&amp;$E156&amp;" "&amp;F156,Bonuses!$B$1:$G$1006,4,FALSE)),"",INT(VLOOKUP($AB156&amp;"-"&amp;$E156&amp;" "&amp;$F156,Bonuses!$B$1:$G$1006,4,FALSE)))</f>
        <v/>
      </c>
      <c r="AE1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7" spans="1:31" s="52" customFormat="1" x14ac:dyDescent="0.25">
      <c r="A157" s="52">
        <v>9327</v>
      </c>
      <c r="B157" s="52">
        <f>COUNTIF(Table5[PID],A157)</f>
        <v>1</v>
      </c>
      <c r="C157" s="52" t="str">
        <f>IF(COUNTIF(Table3[[#All],[PID]],A157)&gt;0,"P","B")</f>
        <v>P</v>
      </c>
      <c r="D157" s="61" t="str">
        <f>IF($C157="B",INDEX(Batters[[#All],[POS]],MATCH(Table5[[#This Row],[PID]],Batters[[#All],[PID]],0)),INDEX(Table3[[#All],[POS]],MATCH(Table5[[#This Row],[PID]],Table3[[#All],[PID]],0)))</f>
        <v>SP</v>
      </c>
      <c r="E157" s="54" t="str">
        <f>IF($C157="B",INDEX(Batters[[#All],[First]],MATCH(Table5[[#This Row],[PID]],Batters[[#All],[PID]],0)),INDEX(Table3[[#All],[First]],MATCH(Table5[[#This Row],[PID]],Table3[[#All],[PID]],0)))</f>
        <v>Fred</v>
      </c>
      <c r="F157" s="52" t="str">
        <f>IF($C157="B",INDEX(Batters[[#All],[Last]],MATCH(A157,Batters[[#All],[PID]],0)),INDEX(Table3[[#All],[Last]],MATCH(A157,Table3[[#All],[PID]],0)))</f>
        <v>Marshall</v>
      </c>
      <c r="G157" s="58">
        <f>IF($C157="B",INDEX(Batters[[#All],[Age]],MATCH(Table5[[#This Row],[PID]],Batters[[#All],[PID]],0)),INDEX(Table3[[#All],[Age]],MATCH(Table5[[#This Row],[PID]],Table3[[#All],[PID]],0)))</f>
        <v>20</v>
      </c>
      <c r="H157" s="54" t="str">
        <f>IF($C157="B",INDEX(Batters[[#All],[B]],MATCH(Table5[[#This Row],[PID]],Batters[[#All],[PID]],0)),INDEX(Table3[[#All],[B]],MATCH(Table5[[#This Row],[PID]],Table3[[#All],[PID]],0)))</f>
        <v>L</v>
      </c>
      <c r="I157" s="54" t="str">
        <f>IF($C157="B",INDEX(Batters[[#All],[T]],MATCH(Table5[[#This Row],[PID]],Batters[[#All],[PID]],0)),INDEX(Table3[[#All],[T]],MATCH(Table5[[#This Row],[PID]],Table3[[#All],[PID]],0)))</f>
        <v>L</v>
      </c>
      <c r="J157" s="54" t="str">
        <f>IF($C157="B",INDEX(Batters[[#All],[WE]],MATCH(Table5[[#This Row],[PID]],Batters[[#All],[PID]],0)),INDEX(Table3[[#All],[WE]],MATCH(Table5[[#This Row],[PID]],Table3[[#All],[PID]],0)))</f>
        <v>Normal</v>
      </c>
      <c r="K157" s="54" t="str">
        <f>IF($C157="B",INDEX(Batters[[#All],[INT]],MATCH(Table5[[#This Row],[PID]],Batters[[#All],[PID]],0)),INDEX(Table3[[#All],[INT]],MATCH(Table5[[#This Row],[PID]],Table3[[#All],[PID]],0)))</f>
        <v>Normal</v>
      </c>
      <c r="L157" s="62">
        <f>IF($C157="B",INDEX(Batters[[#All],[CON P]],MATCH(Table5[[#This Row],[PID]],Batters[[#All],[PID]],0)),INDEX(Table3[[#All],[STU P]],MATCH(Table5[[#This Row],[PID]],Table3[[#All],[PID]],0)))</f>
        <v>6</v>
      </c>
      <c r="M157" s="58">
        <f>IF($C157="B",INDEX(Batters[[#All],[GAP P]],MATCH(Table5[[#This Row],[PID]],Batters[[#All],[PID]],0)),INDEX(Table3[[#All],[MOV P]],MATCH(Table5[[#This Row],[PID]],Table3[[#All],[PID]],0)))</f>
        <v>3</v>
      </c>
      <c r="N157" s="58">
        <f>IF($C157="B",INDEX(Batters[[#All],[POW P]],MATCH(Table5[[#This Row],[PID]],Batters[[#All],[PID]],0)),INDEX(Table3[[#All],[CON P]],MATCH(Table5[[#This Row],[PID]],Table3[[#All],[PID]],0)))</f>
        <v>3</v>
      </c>
      <c r="O157" s="58" t="str">
        <f>IF($C157="B",INDEX(Batters[[#All],[EYE P]],MATCH(Table5[[#This Row],[PID]],Batters[[#All],[PID]],0)),INDEX(Table3[[#All],[VELO]],MATCH(Table5[[#This Row],[PID]],Table3[[#All],[PID]],0)))</f>
        <v>93-95 Mph</v>
      </c>
      <c r="P157" s="58">
        <f>IF($C157="B",INDEX(Batters[[#All],[K P]],MATCH(Table5[[#This Row],[PID]],Batters[[#All],[PID]],0)),INDEX(Table3[[#All],[STM]],MATCH(Table5[[#This Row],[PID]],Table3[[#All],[PID]],0)))</f>
        <v>7</v>
      </c>
      <c r="Q157" s="63">
        <f>IF($C157="B",INDEX(Batters[[#All],[Tot]],MATCH(Table5[[#This Row],[PID]],Batters[[#All],[PID]],0)),INDEX(Table3[[#All],[Tot]],MATCH(Table5[[#This Row],[PID]],Table3[[#All],[PID]],0)))</f>
        <v>45.719590810424478</v>
      </c>
      <c r="R157" s="54">
        <f>IF($C157="B",INDEX(Batters[[#All],[zScore]],MATCH(Table5[[#This Row],[PID]],Batters[[#All],[PID]],0)),INDEX(Table3[[#All],[zScore]],MATCH(Table5[[#This Row],[PID]],Table3[[#All],[PID]],0)))</f>
        <v>1.1919116257970133</v>
      </c>
      <c r="S157" s="60" t="str">
        <f>IF($C157="B",INDEX(Batters[[#All],[DEM]],MATCH(Table5[[#This Row],[PID]],Batters[[#All],[PID]],0)),INDEX(Table3[[#All],[DEM]],MATCH(Table5[[#This Row],[PID]],Table3[[#All],[PID]],0)))</f>
        <v>$170k</v>
      </c>
      <c r="T157" s="64">
        <f>IF($C157="B",VLOOKUP($A157,Bat!$A$4:$AU$1417,46,FALSE),VLOOKUP($A157,Pit!$A$4:$BD$570,55,FALSE))</f>
        <v>0</v>
      </c>
      <c r="U157" s="52">
        <f>IF($C157="B",VLOOKUP($A157,Bat!$A$4:$BA$1417,47,FALSE),VLOOKUP($A157,Pit!$A$4:$BF$570,56,FALSE))</f>
        <v>0</v>
      </c>
      <c r="V157" s="52">
        <f>IF($C157="B",VLOOKUP($A157,Bat!$A$4:$BA$1417,48,FALSE),VLOOKUP($A157,Pit!$A$4:$BF$570,57,FALSE))</f>
        <v>0</v>
      </c>
      <c r="W157" s="52">
        <f>Table5[[#This Row],[posRnk]]+Table5[[#This Row],[zRnk]]+IF($W$3&lt;&gt;Table5[[#This Row],[Type]],50,0)</f>
        <v>203</v>
      </c>
      <c r="X157" s="53">
        <f>RANK(Table5[[#This Row],[zScore]],Table5[[#All],[zScore]])</f>
        <v>153</v>
      </c>
      <c r="Y157" s="52" t="str">
        <f>IFERROR(INDEX(DraftResults[[#All],[OVR]],MATCH(Table5[[#This Row],[PID]],DraftResults[[#All],[Player ID]],0)),"")</f>
        <v/>
      </c>
      <c r="Z1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7" s="52" t="str">
        <f>IFERROR(INDEX(DraftResults[[#All],[Pick in Round]],MATCH(Table5[[#This Row],[PID]],DraftResults[[#All],[Player ID]],0)),"")</f>
        <v/>
      </c>
      <c r="AB157" s="52" t="str">
        <f>IFERROR(INDEX(DraftResults[[#All],[Team Name]],MATCH(Table5[[#This Row],[PID]],DraftResults[[#All],[Player ID]],0)),"")</f>
        <v/>
      </c>
      <c r="AC157" s="52" t="str">
        <f>IF(Table5[[#This Row],[Ovr]]="","",IF(Table5[[#This Row],[cmbList]]="","",Table5[[#This Row],[cmbList]]-Table5[[#This Row],[Ovr]]))</f>
        <v/>
      </c>
      <c r="AD157" s="56" t="str">
        <f>IF(ISERROR(VLOOKUP($AB157&amp;"-"&amp;$E157&amp;" "&amp;F157,Bonuses!$B$1:$G$1006,4,FALSE)),"",INT(VLOOKUP($AB157&amp;"-"&amp;$E157&amp;" "&amp;$F157,Bonuses!$B$1:$G$1006,4,FALSE)))</f>
        <v/>
      </c>
      <c r="AE1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8" spans="1:31" s="52" customFormat="1" x14ac:dyDescent="0.25">
      <c r="A158" s="52">
        <v>7247</v>
      </c>
      <c r="B158" s="52">
        <f>COUNTIF(Table5[PID],A158)</f>
        <v>1</v>
      </c>
      <c r="C158" s="52" t="str">
        <f>IF(COUNTIF(Table3[[#All],[PID]],A158)&gt;0,"P","B")</f>
        <v>B</v>
      </c>
      <c r="D158" s="61" t="str">
        <f>IF($C158="B",INDEX(Batters[[#All],[POS]],MATCH(Table5[[#This Row],[PID]],Batters[[#All],[PID]],0)),INDEX(Table3[[#All],[POS]],MATCH(Table5[[#This Row],[PID]],Table3[[#All],[PID]],0)))</f>
        <v>CF</v>
      </c>
      <c r="E158" s="54" t="str">
        <f>IF($C158="B",INDEX(Batters[[#All],[First]],MATCH(Table5[[#This Row],[PID]],Batters[[#All],[PID]],0)),INDEX(Table3[[#All],[First]],MATCH(Table5[[#This Row],[PID]],Table3[[#All],[PID]],0)))</f>
        <v>Ryoma</v>
      </c>
      <c r="F158" s="52" t="str">
        <f>IF($C158="B",INDEX(Batters[[#All],[Last]],MATCH(A158,Batters[[#All],[PID]],0)),INDEX(Table3[[#All],[Last]],MATCH(A158,Table3[[#All],[PID]],0)))</f>
        <v>Nishimura</v>
      </c>
      <c r="G158" s="58">
        <f>IF($C158="B",INDEX(Batters[[#All],[Age]],MATCH(Table5[[#This Row],[PID]],Batters[[#All],[PID]],0)),INDEX(Table3[[#All],[Age]],MATCH(Table5[[#This Row],[PID]],Table3[[#All],[PID]],0)))</f>
        <v>20</v>
      </c>
      <c r="H158" s="54" t="str">
        <f>IF($C158="B",INDEX(Batters[[#All],[B]],MATCH(Table5[[#This Row],[PID]],Batters[[#All],[PID]],0)),INDEX(Table3[[#All],[B]],MATCH(Table5[[#This Row],[PID]],Table3[[#All],[PID]],0)))</f>
        <v>L</v>
      </c>
      <c r="I158" s="54" t="str">
        <f>IF($C158="B",INDEX(Batters[[#All],[T]],MATCH(Table5[[#This Row],[PID]],Batters[[#All],[PID]],0)),INDEX(Table3[[#All],[T]],MATCH(Table5[[#This Row],[PID]],Table3[[#All],[PID]],0)))</f>
        <v>L</v>
      </c>
      <c r="J158" s="54" t="str">
        <f>IF($C158="B",INDEX(Batters[[#All],[WE]],MATCH(Table5[[#This Row],[PID]],Batters[[#All],[PID]],0)),INDEX(Table3[[#All],[WE]],MATCH(Table5[[#This Row],[PID]],Table3[[#All],[PID]],0)))</f>
        <v>High</v>
      </c>
      <c r="K158" s="54" t="str">
        <f>IF($C158="B",INDEX(Batters[[#All],[INT]],MATCH(Table5[[#This Row],[PID]],Batters[[#All],[PID]],0)),INDEX(Table3[[#All],[INT]],MATCH(Table5[[#This Row],[PID]],Table3[[#All],[PID]],0)))</f>
        <v>High</v>
      </c>
      <c r="L158" s="62">
        <f>IF($C158="B",INDEX(Batters[[#All],[CON P]],MATCH(Table5[[#This Row],[PID]],Batters[[#All],[PID]],0)),INDEX(Table3[[#All],[STU P]],MATCH(Table5[[#This Row],[PID]],Table3[[#All],[PID]],0)))</f>
        <v>4</v>
      </c>
      <c r="M158" s="58">
        <f>IF($C158="B",INDEX(Batters[[#All],[GAP P]],MATCH(Table5[[#This Row],[PID]],Batters[[#All],[PID]],0)),INDEX(Table3[[#All],[MOV P]],MATCH(Table5[[#This Row],[PID]],Table3[[#All],[PID]],0)))</f>
        <v>7</v>
      </c>
      <c r="N158" s="58">
        <f>IF($C158="B",INDEX(Batters[[#All],[POW P]],MATCH(Table5[[#This Row],[PID]],Batters[[#All],[PID]],0)),INDEX(Table3[[#All],[CON P]],MATCH(Table5[[#This Row],[PID]],Table3[[#All],[PID]],0)))</f>
        <v>4</v>
      </c>
      <c r="O158" s="58">
        <f>IF($C158="B",INDEX(Batters[[#All],[EYE P]],MATCH(Table5[[#This Row],[PID]],Batters[[#All],[PID]],0)),INDEX(Table3[[#All],[VELO]],MATCH(Table5[[#This Row],[PID]],Table3[[#All],[PID]],0)))</f>
        <v>6</v>
      </c>
      <c r="P158" s="58">
        <f>IF($C158="B",INDEX(Batters[[#All],[K P]],MATCH(Table5[[#This Row],[PID]],Batters[[#All],[PID]],0)),INDEX(Table3[[#All],[STM]],MATCH(Table5[[#This Row],[PID]],Table3[[#All],[PID]],0)))</f>
        <v>4</v>
      </c>
      <c r="Q158" s="63">
        <f>IF($C158="B",INDEX(Batters[[#All],[Tot]],MATCH(Table5[[#This Row],[PID]],Batters[[#All],[PID]],0)),INDEX(Table3[[#All],[Tot]],MATCH(Table5[[#This Row],[PID]],Table3[[#All],[PID]],0)))</f>
        <v>46.931044793933935</v>
      </c>
      <c r="R158" s="54">
        <f>IF($C158="B",INDEX(Batters[[#All],[zScore]],MATCH(Table5[[#This Row],[PID]],Batters[[#All],[PID]],0)),INDEX(Table3[[#All],[zScore]],MATCH(Table5[[#This Row],[PID]],Table3[[#All],[PID]],0)))</f>
        <v>1.1581994575547523</v>
      </c>
      <c r="S158" s="60" t="str">
        <f>IF($C158="B",INDEX(Batters[[#All],[DEM]],MATCH(Table5[[#This Row],[PID]],Batters[[#All],[PID]],0)),INDEX(Table3[[#All],[DEM]],MATCH(Table5[[#This Row],[PID]],Table3[[#All],[PID]],0)))</f>
        <v>$130k</v>
      </c>
      <c r="T158" s="64">
        <f>IF($C158="B",VLOOKUP($A158,Bat!$A$4:$AU$1417,46,FALSE),VLOOKUP($A158,Pit!$A$4:$BD$570,55,FALSE))</f>
        <v>0</v>
      </c>
      <c r="U158" s="52">
        <f>IF($C158="B",VLOOKUP($A158,Bat!$A$4:$BA$1417,47,FALSE),VLOOKUP($A158,Pit!$A$4:$BF$570,56,FALSE))</f>
        <v>0</v>
      </c>
      <c r="V158" s="52">
        <f>IF($C158="B",VLOOKUP($A158,Bat!$A$4:$BA$1417,48,FALSE),VLOOKUP($A158,Pit!$A$4:$BF$570,57,FALSE))</f>
        <v>0</v>
      </c>
      <c r="W158" s="52">
        <f>Table5[[#This Row],[posRnk]]+Table5[[#This Row],[zRnk]]+IF($W$3&lt;&gt;Table5[[#This Row],[Type]],50,0)</f>
        <v>204</v>
      </c>
      <c r="X158" s="53">
        <f>RANK(Table5[[#This Row],[zScore]],Table5[[#All],[zScore]])</f>
        <v>154</v>
      </c>
      <c r="Y158" s="52" t="str">
        <f>IFERROR(INDEX(DraftResults[[#All],[OVR]],MATCH(Table5[[#This Row],[PID]],DraftResults[[#All],[Player ID]],0)),"")</f>
        <v/>
      </c>
      <c r="Z1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8" s="52" t="str">
        <f>IFERROR(INDEX(DraftResults[[#All],[Pick in Round]],MATCH(Table5[[#This Row],[PID]],DraftResults[[#All],[Player ID]],0)),"")</f>
        <v/>
      </c>
      <c r="AB158" s="52" t="str">
        <f>IFERROR(INDEX(DraftResults[[#All],[Team Name]],MATCH(Table5[[#This Row],[PID]],DraftResults[[#All],[Player ID]],0)),"")</f>
        <v/>
      </c>
      <c r="AC158" s="52" t="str">
        <f>IF(Table5[[#This Row],[Ovr]]="","",IF(Table5[[#This Row],[cmbList]]="","",Table5[[#This Row],[cmbList]]-Table5[[#This Row],[Ovr]]))</f>
        <v/>
      </c>
      <c r="AD158" s="56" t="str">
        <f>IF(ISERROR(VLOOKUP($AB158&amp;"-"&amp;$E158&amp;" "&amp;F158,Bonuses!$B$1:$G$1006,4,FALSE)),"",INT(VLOOKUP($AB158&amp;"-"&amp;$E158&amp;" "&amp;$F158,Bonuses!$B$1:$G$1006,4,FALSE)))</f>
        <v/>
      </c>
      <c r="AE1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9" spans="1:31" s="52" customFormat="1" x14ac:dyDescent="0.25">
      <c r="A159" s="52">
        <v>9561</v>
      </c>
      <c r="B159" s="52">
        <f>COUNTIF(Table5[PID],A159)</f>
        <v>1</v>
      </c>
      <c r="C159" s="52" t="str">
        <f>IF(COUNTIF(Table3[[#All],[PID]],A159)&gt;0,"P","B")</f>
        <v>P</v>
      </c>
      <c r="D159" s="61" t="str">
        <f>IF($C159="B",INDEX(Batters[[#All],[POS]],MATCH(Table5[[#This Row],[PID]],Batters[[#All],[PID]],0)),INDEX(Table3[[#All],[POS]],MATCH(Table5[[#This Row],[PID]],Table3[[#All],[PID]],0)))</f>
        <v>SP</v>
      </c>
      <c r="E159" s="54" t="str">
        <f>IF($C159="B",INDEX(Batters[[#All],[First]],MATCH(Table5[[#This Row],[PID]],Batters[[#All],[PID]],0)),INDEX(Table3[[#All],[First]],MATCH(Table5[[#This Row],[PID]],Table3[[#All],[PID]],0)))</f>
        <v>Stan</v>
      </c>
      <c r="F159" s="52" t="str">
        <f>IF($C159="B",INDEX(Batters[[#All],[Last]],MATCH(A159,Batters[[#All],[PID]],0)),INDEX(Table3[[#All],[Last]],MATCH(A159,Table3[[#All],[PID]],0)))</f>
        <v>Norman</v>
      </c>
      <c r="G159" s="58">
        <f>IF($C159="B",INDEX(Batters[[#All],[Age]],MATCH(Table5[[#This Row],[PID]],Batters[[#All],[PID]],0)),INDEX(Table3[[#All],[Age]],MATCH(Table5[[#This Row],[PID]],Table3[[#All],[PID]],0)))</f>
        <v>20</v>
      </c>
      <c r="H159" s="54" t="str">
        <f>IF($C159="B",INDEX(Batters[[#All],[B]],MATCH(Table5[[#This Row],[PID]],Batters[[#All],[PID]],0)),INDEX(Table3[[#All],[B]],MATCH(Table5[[#This Row],[PID]],Table3[[#All],[PID]],0)))</f>
        <v>L</v>
      </c>
      <c r="I159" s="54" t="str">
        <f>IF($C159="B",INDEX(Batters[[#All],[T]],MATCH(Table5[[#This Row],[PID]],Batters[[#All],[PID]],0)),INDEX(Table3[[#All],[T]],MATCH(Table5[[#This Row],[PID]],Table3[[#All],[PID]],0)))</f>
        <v>L</v>
      </c>
      <c r="J159" s="54" t="str">
        <f>IF($C159="B",INDEX(Batters[[#All],[WE]],MATCH(Table5[[#This Row],[PID]],Batters[[#All],[PID]],0)),INDEX(Table3[[#All],[WE]],MATCH(Table5[[#This Row],[PID]],Table3[[#All],[PID]],0)))</f>
        <v>Normal</v>
      </c>
      <c r="K159" s="54" t="str">
        <f>IF($C159="B",INDEX(Batters[[#All],[INT]],MATCH(Table5[[#This Row],[PID]],Batters[[#All],[PID]],0)),INDEX(Table3[[#All],[INT]],MATCH(Table5[[#This Row],[PID]],Table3[[#All],[PID]],0)))</f>
        <v>Normal</v>
      </c>
      <c r="L159" s="62">
        <f>IF($C159="B",INDEX(Batters[[#All],[CON P]],MATCH(Table5[[#This Row],[PID]],Batters[[#All],[PID]],0)),INDEX(Table3[[#All],[STU P]],MATCH(Table5[[#This Row],[PID]],Table3[[#All],[PID]],0)))</f>
        <v>4</v>
      </c>
      <c r="M159" s="58">
        <f>IF($C159="B",INDEX(Batters[[#All],[GAP P]],MATCH(Table5[[#This Row],[PID]],Batters[[#All],[PID]],0)),INDEX(Table3[[#All],[MOV P]],MATCH(Table5[[#This Row],[PID]],Table3[[#All],[PID]],0)))</f>
        <v>2</v>
      </c>
      <c r="N159" s="58">
        <f>IF($C159="B",INDEX(Batters[[#All],[POW P]],MATCH(Table5[[#This Row],[PID]],Batters[[#All],[PID]],0)),INDEX(Table3[[#All],[CON P]],MATCH(Table5[[#This Row],[PID]],Table3[[#All],[PID]],0)))</f>
        <v>6</v>
      </c>
      <c r="O159" s="58" t="str">
        <f>IF($C159="B",INDEX(Batters[[#All],[EYE P]],MATCH(Table5[[#This Row],[PID]],Batters[[#All],[PID]],0)),INDEX(Table3[[#All],[VELO]],MATCH(Table5[[#This Row],[PID]],Table3[[#All],[PID]],0)))</f>
        <v>92-94 Mph</v>
      </c>
      <c r="P159" s="58">
        <f>IF($C159="B",INDEX(Batters[[#All],[K P]],MATCH(Table5[[#This Row],[PID]],Batters[[#All],[PID]],0)),INDEX(Table3[[#All],[STM]],MATCH(Table5[[#This Row],[PID]],Table3[[#All],[PID]],0)))</f>
        <v>9</v>
      </c>
      <c r="Q159" s="63">
        <f>IF($C159="B",INDEX(Batters[[#All],[Tot]],MATCH(Table5[[#This Row],[PID]],Batters[[#All],[PID]],0)),INDEX(Table3[[#All],[Tot]],MATCH(Table5[[#This Row],[PID]],Table3[[#All],[PID]],0)))</f>
        <v>45.288572533757176</v>
      </c>
      <c r="R159" s="54">
        <f>IF($C159="B",INDEX(Batters[[#All],[zScore]],MATCH(Table5[[#This Row],[PID]],Batters[[#All],[PID]],0)),INDEX(Table3[[#All],[zScore]],MATCH(Table5[[#This Row],[PID]],Table3[[#All],[PID]],0)))</f>
        <v>1.1523854076157893</v>
      </c>
      <c r="S159" s="60" t="str">
        <f>IF($C159="B",INDEX(Batters[[#All],[DEM]],MATCH(Table5[[#This Row],[PID]],Batters[[#All],[PID]],0)),INDEX(Table3[[#All],[DEM]],MATCH(Table5[[#This Row],[PID]],Table3[[#All],[PID]],0)))</f>
        <v>$150k</v>
      </c>
      <c r="T159" s="64">
        <f>IF($C159="B",VLOOKUP($A159,Bat!$A$4:$AU$1417,46,FALSE),VLOOKUP($A159,Pit!$A$4:$BD$570,55,FALSE))</f>
        <v>0</v>
      </c>
      <c r="U159" s="52">
        <f>IF($C159="B",VLOOKUP($A159,Bat!$A$4:$BA$1417,47,FALSE),VLOOKUP($A159,Pit!$A$4:$BF$570,56,FALSE))</f>
        <v>0</v>
      </c>
      <c r="V159" s="52">
        <f>IF($C159="B",VLOOKUP($A159,Bat!$A$4:$BA$1417,48,FALSE),VLOOKUP($A159,Pit!$A$4:$BF$570,57,FALSE))</f>
        <v>0</v>
      </c>
      <c r="W159" s="52">
        <f>Table5[[#This Row],[posRnk]]+Table5[[#This Row],[zRnk]]+IF($W$3&lt;&gt;Table5[[#This Row],[Type]],50,0)</f>
        <v>205</v>
      </c>
      <c r="X159" s="53">
        <f>RANK(Table5[[#This Row],[zScore]],Table5[[#All],[zScore]])</f>
        <v>155</v>
      </c>
      <c r="Y159" s="52" t="str">
        <f>IFERROR(INDEX(DraftResults[[#All],[OVR]],MATCH(Table5[[#This Row],[PID]],DraftResults[[#All],[Player ID]],0)),"")</f>
        <v/>
      </c>
      <c r="Z1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9" s="52" t="str">
        <f>IFERROR(INDEX(DraftResults[[#All],[Pick in Round]],MATCH(Table5[[#This Row],[PID]],DraftResults[[#All],[Player ID]],0)),"")</f>
        <v/>
      </c>
      <c r="AB159" s="52" t="str">
        <f>IFERROR(INDEX(DraftResults[[#All],[Team Name]],MATCH(Table5[[#This Row],[PID]],DraftResults[[#All],[Player ID]],0)),"")</f>
        <v/>
      </c>
      <c r="AC159" s="52" t="str">
        <f>IF(Table5[[#This Row],[Ovr]]="","",IF(Table5[[#This Row],[cmbList]]="","",Table5[[#This Row],[cmbList]]-Table5[[#This Row],[Ovr]]))</f>
        <v/>
      </c>
      <c r="AD159" s="56" t="str">
        <f>IF(ISERROR(VLOOKUP($AB159&amp;"-"&amp;$E159&amp;" "&amp;F159,Bonuses!$B$1:$G$1006,4,FALSE)),"",INT(VLOOKUP($AB159&amp;"-"&amp;$E159&amp;" "&amp;$F159,Bonuses!$B$1:$G$1006,4,FALSE)))</f>
        <v/>
      </c>
      <c r="AE1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0" spans="1:31" s="52" customFormat="1" x14ac:dyDescent="0.25">
      <c r="A160" s="52">
        <v>8034</v>
      </c>
      <c r="B160" s="57">
        <f>COUNTIF(Table5[PID],A160)</f>
        <v>1</v>
      </c>
      <c r="C160" s="57" t="str">
        <f>IF(COUNTIF(Table3[[#All],[PID]],A160)&gt;0,"P","B")</f>
        <v>B</v>
      </c>
      <c r="D160" s="61" t="str">
        <f>IF($C160="B",INDEX(Batters[[#All],[POS]],MATCH(Table5[[#This Row],[PID]],Batters[[#All],[PID]],0)),INDEX(Table3[[#All],[POS]],MATCH(Table5[[#This Row],[PID]],Table3[[#All],[PID]],0)))</f>
        <v>RF</v>
      </c>
      <c r="E160" s="54" t="str">
        <f>IF($C160="B",INDEX(Batters[[#All],[First]],MATCH(Table5[[#This Row],[PID]],Batters[[#All],[PID]],0)),INDEX(Table3[[#All],[First]],MATCH(Table5[[#This Row],[PID]],Table3[[#All],[PID]],0)))</f>
        <v>Jon</v>
      </c>
      <c r="F160" s="52" t="str">
        <f>IF($C160="B",INDEX(Batters[[#All],[Last]],MATCH(A160,Batters[[#All],[PID]],0)),INDEX(Table3[[#All],[Last]],MATCH(A160,Table3[[#All],[PID]],0)))</f>
        <v>Holloway</v>
      </c>
      <c r="G160" s="58">
        <f>IF($C160="B",INDEX(Batters[[#All],[Age]],MATCH(Table5[[#This Row],[PID]],Batters[[#All],[PID]],0)),INDEX(Table3[[#All],[Age]],MATCH(Table5[[#This Row],[PID]],Table3[[#All],[PID]],0)))</f>
        <v>18</v>
      </c>
      <c r="H160" s="54" t="str">
        <f>IF($C160="B",INDEX(Batters[[#All],[B]],MATCH(Table5[[#This Row],[PID]],Batters[[#All],[PID]],0)),INDEX(Table3[[#All],[B]],MATCH(Table5[[#This Row],[PID]],Table3[[#All],[PID]],0)))</f>
        <v>R</v>
      </c>
      <c r="I160" s="54" t="str">
        <f>IF($C160="B",INDEX(Batters[[#All],[T]],MATCH(Table5[[#This Row],[PID]],Batters[[#All],[PID]],0)),INDEX(Table3[[#All],[T]],MATCH(Table5[[#This Row],[PID]],Table3[[#All],[PID]],0)))</f>
        <v>R</v>
      </c>
      <c r="J160" s="54" t="str">
        <f>IF($C160="B",INDEX(Batters[[#All],[WE]],MATCH(Table5[[#This Row],[PID]],Batters[[#All],[PID]],0)),INDEX(Table3[[#All],[WE]],MATCH(Table5[[#This Row],[PID]],Table3[[#All],[PID]],0)))</f>
        <v>Normal</v>
      </c>
      <c r="K160" s="54" t="str">
        <f>IF($C160="B",INDEX(Batters[[#All],[INT]],MATCH(Table5[[#This Row],[PID]],Batters[[#All],[PID]],0)),INDEX(Table3[[#All],[INT]],MATCH(Table5[[#This Row],[PID]],Table3[[#All],[PID]],0)))</f>
        <v>Low</v>
      </c>
      <c r="L160" s="62">
        <f>IF($C160="B",INDEX(Batters[[#All],[CON P]],MATCH(Table5[[#This Row],[PID]],Batters[[#All],[PID]],0)),INDEX(Table3[[#All],[STU P]],MATCH(Table5[[#This Row],[PID]],Table3[[#All],[PID]],0)))</f>
        <v>4</v>
      </c>
      <c r="M160" s="58">
        <f>IF($C160="B",INDEX(Batters[[#All],[GAP P]],MATCH(Table5[[#This Row],[PID]],Batters[[#All],[PID]],0)),INDEX(Table3[[#All],[MOV P]],MATCH(Table5[[#This Row],[PID]],Table3[[#All],[PID]],0)))</f>
        <v>5</v>
      </c>
      <c r="N160" s="58">
        <f>IF($C160="B",INDEX(Batters[[#All],[POW P]],MATCH(Table5[[#This Row],[PID]],Batters[[#All],[PID]],0)),INDEX(Table3[[#All],[CON P]],MATCH(Table5[[#This Row],[PID]],Table3[[#All],[PID]],0)))</f>
        <v>4</v>
      </c>
      <c r="O160" s="58">
        <f>IF($C160="B",INDEX(Batters[[#All],[EYE P]],MATCH(Table5[[#This Row],[PID]],Batters[[#All],[PID]],0)),INDEX(Table3[[#All],[VELO]],MATCH(Table5[[#This Row],[PID]],Table3[[#All],[PID]],0)))</f>
        <v>4</v>
      </c>
      <c r="P160" s="58">
        <f>IF($C160="B",INDEX(Batters[[#All],[K P]],MATCH(Table5[[#This Row],[PID]],Batters[[#All],[PID]],0)),INDEX(Table3[[#All],[STM]],MATCH(Table5[[#This Row],[PID]],Table3[[#All],[PID]],0)))</f>
        <v>5</v>
      </c>
      <c r="Q160" s="63">
        <f>IF($C160="B",INDEX(Batters[[#All],[Tot]],MATCH(Table5[[#This Row],[PID]],Batters[[#All],[PID]],0)),INDEX(Table3[[#All],[Tot]],MATCH(Table5[[#This Row],[PID]],Table3[[#All],[PID]],0)))</f>
        <v>46.875923081519403</v>
      </c>
      <c r="R160" s="54">
        <f>IF($C160="B",INDEX(Batters[[#All],[zScore]],MATCH(Table5[[#This Row],[PID]],Batters[[#All],[PID]],0)),INDEX(Table3[[#All],[zScore]],MATCH(Table5[[#This Row],[PID]],Table3[[#All],[PID]],0)))</f>
        <v>1.1485011586110387</v>
      </c>
      <c r="S160" s="60" t="str">
        <f>IF($C160="B",INDEX(Batters[[#All],[DEM]],MATCH(Table5[[#This Row],[PID]],Batters[[#All],[PID]],0)),INDEX(Table3[[#All],[DEM]],MATCH(Table5[[#This Row],[PID]],Table3[[#All],[PID]],0)))</f>
        <v>$200k</v>
      </c>
      <c r="T160" s="64">
        <f>IF($C160="B",VLOOKUP($A160,Bat!$A$4:$AU$1417,46,FALSE),VLOOKUP($A160,Pit!$A$4:$BD$570,55,FALSE))</f>
        <v>0</v>
      </c>
      <c r="U160" s="52">
        <f>IF($C160="B",VLOOKUP($A160,Bat!$A$4:$BA$1417,47,FALSE),VLOOKUP($A160,Pit!$A$4:$BF$570,56,FALSE))</f>
        <v>0</v>
      </c>
      <c r="V160" s="52">
        <f>IF($C160="B",VLOOKUP($A160,Bat!$A$4:$BA$1417,48,FALSE),VLOOKUP($A160,Pit!$A$4:$BF$570,57,FALSE))</f>
        <v>0</v>
      </c>
      <c r="W160" s="52">
        <f>Table5[[#This Row],[posRnk]]+Table5[[#This Row],[zRnk]]+IF($W$3&lt;&gt;Table5[[#This Row],[Type]],50,0)</f>
        <v>206</v>
      </c>
      <c r="X160" s="53">
        <f>RANK(Table5[[#This Row],[zScore]],Table5[[#All],[zScore]])</f>
        <v>156</v>
      </c>
      <c r="Y160" s="52" t="str">
        <f>IFERROR(INDEX(DraftResults[[#All],[OVR]],MATCH(Table5[[#This Row],[PID]],DraftResults[[#All],[Player ID]],0)),"")</f>
        <v/>
      </c>
      <c r="Z1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0" s="52" t="str">
        <f>IFERROR(INDEX(DraftResults[[#All],[Pick in Round]],MATCH(Table5[[#This Row],[PID]],DraftResults[[#All],[Player ID]],0)),"")</f>
        <v/>
      </c>
      <c r="AB160" s="52" t="str">
        <f>IFERROR(INDEX(DraftResults[[#All],[Team Name]],MATCH(Table5[[#This Row],[PID]],DraftResults[[#All],[Player ID]],0)),"")</f>
        <v/>
      </c>
      <c r="AC160" s="52" t="str">
        <f>IF(Table5[[#This Row],[Ovr]]="","",IF(Table5[[#This Row],[cmbList]]="","",Table5[[#This Row],[cmbList]]-Table5[[#This Row],[Ovr]]))</f>
        <v/>
      </c>
      <c r="AD160" s="56" t="str">
        <f>IF(ISERROR(VLOOKUP($AB160&amp;"-"&amp;$E160&amp;" "&amp;F160,Bonuses!$B$1:$G$1006,4,FALSE)),"",INT(VLOOKUP($AB160&amp;"-"&amp;$E160&amp;" "&amp;$F160,Bonuses!$B$1:$G$1006,4,FALSE)))</f>
        <v/>
      </c>
      <c r="AE1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1" spans="1:31" s="52" customFormat="1" x14ac:dyDescent="0.25">
      <c r="A161" s="52">
        <v>9335</v>
      </c>
      <c r="B161" s="57">
        <f>COUNTIF(Table5[PID],A161)</f>
        <v>1</v>
      </c>
      <c r="C161" s="57" t="str">
        <f>IF(COUNTIF(Table3[[#All],[PID]],A161)&gt;0,"P","B")</f>
        <v>B</v>
      </c>
      <c r="D161" s="61" t="str">
        <f>IF($C161="B",INDEX(Batters[[#All],[POS]],MATCH(Table5[[#This Row],[PID]],Batters[[#All],[PID]],0)),INDEX(Table3[[#All],[POS]],MATCH(Table5[[#This Row],[PID]],Table3[[#All],[PID]],0)))</f>
        <v>LF</v>
      </c>
      <c r="E161" s="54" t="str">
        <f>IF($C161="B",INDEX(Batters[[#All],[First]],MATCH(Table5[[#This Row],[PID]],Batters[[#All],[PID]],0)),INDEX(Table3[[#All],[First]],MATCH(Table5[[#This Row],[PID]],Table3[[#All],[PID]],0)))</f>
        <v>Iván</v>
      </c>
      <c r="F161" s="52" t="str">
        <f>IF($C161="B",INDEX(Batters[[#All],[Last]],MATCH(A161,Batters[[#All],[PID]],0)),INDEX(Table3[[#All],[Last]],MATCH(A161,Table3[[#All],[PID]],0)))</f>
        <v>Terrezas</v>
      </c>
      <c r="G161" s="58">
        <f>IF($C161="B",INDEX(Batters[[#All],[Age]],MATCH(Table5[[#This Row],[PID]],Batters[[#All],[PID]],0)),INDEX(Table3[[#All],[Age]],MATCH(Table5[[#This Row],[PID]],Table3[[#All],[PID]],0)))</f>
        <v>21</v>
      </c>
      <c r="H161" s="54" t="str">
        <f>IF($C161="B",INDEX(Batters[[#All],[B]],MATCH(Table5[[#This Row],[PID]],Batters[[#All],[PID]],0)),INDEX(Table3[[#All],[B]],MATCH(Table5[[#This Row],[PID]],Table3[[#All],[PID]],0)))</f>
        <v>L</v>
      </c>
      <c r="I161" s="54" t="str">
        <f>IF($C161="B",INDEX(Batters[[#All],[T]],MATCH(Table5[[#This Row],[PID]],Batters[[#All],[PID]],0)),INDEX(Table3[[#All],[T]],MATCH(Table5[[#This Row],[PID]],Table3[[#All],[PID]],0)))</f>
        <v>R</v>
      </c>
      <c r="J161" s="54" t="str">
        <f>IF($C161="B",INDEX(Batters[[#All],[WE]],MATCH(Table5[[#This Row],[PID]],Batters[[#All],[PID]],0)),INDEX(Table3[[#All],[WE]],MATCH(Table5[[#This Row],[PID]],Table3[[#All],[PID]],0)))</f>
        <v>Normal</v>
      </c>
      <c r="K161" s="54" t="str">
        <f>IF($C161="B",INDEX(Batters[[#All],[INT]],MATCH(Table5[[#This Row],[PID]],Batters[[#All],[PID]],0)),INDEX(Table3[[#All],[INT]],MATCH(Table5[[#This Row],[PID]],Table3[[#All],[PID]],0)))</f>
        <v>Normal</v>
      </c>
      <c r="L161" s="62">
        <f>IF($C161="B",INDEX(Batters[[#All],[CON P]],MATCH(Table5[[#This Row],[PID]],Batters[[#All],[PID]],0)),INDEX(Table3[[#All],[STU P]],MATCH(Table5[[#This Row],[PID]],Table3[[#All],[PID]],0)))</f>
        <v>4</v>
      </c>
      <c r="M161" s="58">
        <f>IF($C161="B",INDEX(Batters[[#All],[GAP P]],MATCH(Table5[[#This Row],[PID]],Batters[[#All],[PID]],0)),INDEX(Table3[[#All],[MOV P]],MATCH(Table5[[#This Row],[PID]],Table3[[#All],[PID]],0)))</f>
        <v>6</v>
      </c>
      <c r="N161" s="58">
        <f>IF($C161="B",INDEX(Batters[[#All],[POW P]],MATCH(Table5[[#This Row],[PID]],Batters[[#All],[PID]],0)),INDEX(Table3[[#All],[CON P]],MATCH(Table5[[#This Row],[PID]],Table3[[#All],[PID]],0)))</f>
        <v>7</v>
      </c>
      <c r="O161" s="58">
        <f>IF($C161="B",INDEX(Batters[[#All],[EYE P]],MATCH(Table5[[#This Row],[PID]],Batters[[#All],[PID]],0)),INDEX(Table3[[#All],[VELO]],MATCH(Table5[[#This Row],[PID]],Table3[[#All],[PID]],0)))</f>
        <v>6</v>
      </c>
      <c r="P161" s="58">
        <f>IF($C161="B",INDEX(Batters[[#All],[K P]],MATCH(Table5[[#This Row],[PID]],Batters[[#All],[PID]],0)),INDEX(Table3[[#All],[STM]],MATCH(Table5[[#This Row],[PID]],Table3[[#All],[PID]],0)))</f>
        <v>3</v>
      </c>
      <c r="Q161" s="63">
        <f>IF($C161="B",INDEX(Batters[[#All],[Tot]],MATCH(Table5[[#This Row],[PID]],Batters[[#All],[PID]],0)),INDEX(Table3[[#All],[Tot]],MATCH(Table5[[#This Row],[PID]],Table3[[#All],[PID]],0)))</f>
        <v>46.858663003201876</v>
      </c>
      <c r="R161" s="54">
        <f>IF($C161="B",INDEX(Batters[[#All],[zScore]],MATCH(Table5[[#This Row],[PID]],Batters[[#All],[PID]],0)),INDEX(Table3[[#All],[zScore]],MATCH(Table5[[#This Row],[PID]],Table3[[#All],[PID]],0)))</f>
        <v>1.1454643625467866</v>
      </c>
      <c r="S161" s="60" t="str">
        <f>IF($C161="B",INDEX(Batters[[#All],[DEM]],MATCH(Table5[[#This Row],[PID]],Batters[[#All],[PID]],0)),INDEX(Table3[[#All],[DEM]],MATCH(Table5[[#This Row],[PID]],Table3[[#All],[PID]],0)))</f>
        <v>$1.1m</v>
      </c>
      <c r="T161" s="64">
        <f>IF($C161="B",VLOOKUP($A161,Bat!$A$4:$AU$1417,46,FALSE),VLOOKUP($A161,Pit!$A$4:$BD$570,55,FALSE))</f>
        <v>0</v>
      </c>
      <c r="U161" s="52">
        <f>IF($C161="B",VLOOKUP($A161,Bat!$A$4:$BA$1417,47,FALSE),VLOOKUP($A161,Pit!$A$4:$BF$570,56,FALSE))</f>
        <v>0</v>
      </c>
      <c r="V161" s="52">
        <f>IF($C161="B",VLOOKUP($A161,Bat!$A$4:$BA$1417,48,FALSE),VLOOKUP($A161,Pit!$A$4:$BF$570,57,FALSE))</f>
        <v>0</v>
      </c>
      <c r="W161" s="52">
        <f>Table5[[#This Row],[posRnk]]+Table5[[#This Row],[zRnk]]+IF($W$3&lt;&gt;Table5[[#This Row],[Type]],50,0)</f>
        <v>207</v>
      </c>
      <c r="X161" s="53">
        <f>RANK(Table5[[#This Row],[zScore]],Table5[[#All],[zScore]])</f>
        <v>157</v>
      </c>
      <c r="Y161" s="52" t="str">
        <f>IFERROR(INDEX(DraftResults[[#All],[OVR]],MATCH(Table5[[#This Row],[PID]],DraftResults[[#All],[Player ID]],0)),"")</f>
        <v/>
      </c>
      <c r="Z1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1" s="52" t="str">
        <f>IFERROR(INDEX(DraftResults[[#All],[Pick in Round]],MATCH(Table5[[#This Row],[PID]],DraftResults[[#All],[Player ID]],0)),"")</f>
        <v/>
      </c>
      <c r="AB161" s="52" t="str">
        <f>IFERROR(INDEX(DraftResults[[#All],[Team Name]],MATCH(Table5[[#This Row],[PID]],DraftResults[[#All],[Player ID]],0)),"")</f>
        <v/>
      </c>
      <c r="AC161" s="52" t="str">
        <f>IF(Table5[[#This Row],[Ovr]]="","",IF(Table5[[#This Row],[cmbList]]="","",Table5[[#This Row],[cmbList]]-Table5[[#This Row],[Ovr]]))</f>
        <v/>
      </c>
      <c r="AD161" s="56" t="str">
        <f>IF(ISERROR(VLOOKUP($AB161&amp;"-"&amp;$E161&amp;" "&amp;F161,Bonuses!$B$1:$G$1006,4,FALSE)),"",INT(VLOOKUP($AB161&amp;"-"&amp;$E161&amp;" "&amp;$F161,Bonuses!$B$1:$G$1006,4,FALSE)))</f>
        <v/>
      </c>
      <c r="AE1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2" spans="1:31" s="52" customFormat="1" x14ac:dyDescent="0.25">
      <c r="A162" s="52">
        <v>13700</v>
      </c>
      <c r="B162" s="52">
        <f>COUNTIF(Table5[PID],A162)</f>
        <v>1</v>
      </c>
      <c r="C162" s="52" t="str">
        <f>IF(COUNTIF(Table3[[#All],[PID]],A162)&gt;0,"P","B")</f>
        <v>P</v>
      </c>
      <c r="D162" s="61" t="str">
        <f>IF($C162="B",INDEX(Batters[[#All],[POS]],MATCH(Table5[[#This Row],[PID]],Batters[[#All],[PID]],0)),INDEX(Table3[[#All],[POS]],MATCH(Table5[[#This Row],[PID]],Table3[[#All],[PID]],0)))</f>
        <v>RP</v>
      </c>
      <c r="E162" s="54" t="str">
        <f>IF($C162="B",INDEX(Batters[[#All],[First]],MATCH(Table5[[#This Row],[PID]],Batters[[#All],[PID]],0)),INDEX(Table3[[#All],[First]],MATCH(Table5[[#This Row],[PID]],Table3[[#All],[PID]],0)))</f>
        <v>Dave</v>
      </c>
      <c r="F162" s="52" t="str">
        <f>IF($C162="B",INDEX(Batters[[#All],[Last]],MATCH(A162,Batters[[#All],[PID]],0)),INDEX(Table3[[#All],[Last]],MATCH(A162,Table3[[#All],[PID]],0)))</f>
        <v>Gregory</v>
      </c>
      <c r="G162" s="58">
        <f>IF($C162="B",INDEX(Batters[[#All],[Age]],MATCH(Table5[[#This Row],[PID]],Batters[[#All],[PID]],0)),INDEX(Table3[[#All],[Age]],MATCH(Table5[[#This Row],[PID]],Table3[[#All],[PID]],0)))</f>
        <v>18</v>
      </c>
      <c r="H162" s="54" t="str">
        <f>IF($C162="B",INDEX(Batters[[#All],[B]],MATCH(Table5[[#This Row],[PID]],Batters[[#All],[PID]],0)),INDEX(Table3[[#All],[B]],MATCH(Table5[[#This Row],[PID]],Table3[[#All],[PID]],0)))</f>
        <v>R</v>
      </c>
      <c r="I162" s="54" t="str">
        <f>IF($C162="B",INDEX(Batters[[#All],[T]],MATCH(Table5[[#This Row],[PID]],Batters[[#All],[PID]],0)),INDEX(Table3[[#All],[T]],MATCH(Table5[[#This Row],[PID]],Table3[[#All],[PID]],0)))</f>
        <v>R</v>
      </c>
      <c r="J162" s="54" t="str">
        <f>IF($C162="B",INDEX(Batters[[#All],[WE]],MATCH(Table5[[#This Row],[PID]],Batters[[#All],[PID]],0)),INDEX(Table3[[#All],[WE]],MATCH(Table5[[#This Row],[PID]],Table3[[#All],[PID]],0)))</f>
        <v>Low</v>
      </c>
      <c r="K162" s="54" t="str">
        <f>IF($C162="B",INDEX(Batters[[#All],[INT]],MATCH(Table5[[#This Row],[PID]],Batters[[#All],[PID]],0)),INDEX(Table3[[#All],[INT]],MATCH(Table5[[#This Row],[PID]],Table3[[#All],[PID]],0)))</f>
        <v>Normal</v>
      </c>
      <c r="L162" s="62">
        <f>IF($C162="B",INDEX(Batters[[#All],[CON P]],MATCH(Table5[[#This Row],[PID]],Batters[[#All],[PID]],0)),INDEX(Table3[[#All],[STU P]],MATCH(Table5[[#This Row],[PID]],Table3[[#All],[PID]],0)))</f>
        <v>5</v>
      </c>
      <c r="M162" s="58">
        <f>IF($C162="B",INDEX(Batters[[#All],[GAP P]],MATCH(Table5[[#This Row],[PID]],Batters[[#All],[PID]],0)),INDEX(Table3[[#All],[MOV P]],MATCH(Table5[[#This Row],[PID]],Table3[[#All],[PID]],0)))</f>
        <v>3</v>
      </c>
      <c r="N162" s="58">
        <f>IF($C162="B",INDEX(Batters[[#All],[POW P]],MATCH(Table5[[#This Row],[PID]],Batters[[#All],[PID]],0)),INDEX(Table3[[#All],[CON P]],MATCH(Table5[[#This Row],[PID]],Table3[[#All],[PID]],0)))</f>
        <v>5</v>
      </c>
      <c r="O162" s="58" t="str">
        <f>IF($C162="B",INDEX(Batters[[#All],[EYE P]],MATCH(Table5[[#This Row],[PID]],Batters[[#All],[PID]],0)),INDEX(Table3[[#All],[VELO]],MATCH(Table5[[#This Row],[PID]],Table3[[#All],[PID]],0)))</f>
        <v>92-94 Mph</v>
      </c>
      <c r="P162" s="58">
        <f>IF($C162="B",INDEX(Batters[[#All],[K P]],MATCH(Table5[[#This Row],[PID]],Batters[[#All],[PID]],0)),INDEX(Table3[[#All],[STM]],MATCH(Table5[[#This Row],[PID]],Table3[[#All],[PID]],0)))</f>
        <v>4</v>
      </c>
      <c r="Q162" s="63">
        <f>IF($C162="B",INDEX(Batters[[#All],[Tot]],MATCH(Table5[[#This Row],[PID]],Batters[[#All],[PID]],0)),INDEX(Table3[[#All],[Tot]],MATCH(Table5[[#This Row],[PID]],Table3[[#All],[PID]],0)))</f>
        <v>45.211350022336291</v>
      </c>
      <c r="R162" s="54">
        <f>IF($C162="B",INDEX(Batters[[#All],[zScore]],MATCH(Table5[[#This Row],[PID]],Batters[[#All],[PID]],0)),INDEX(Table3[[#All],[zScore]],MATCH(Table5[[#This Row],[PID]],Table3[[#All],[PID]],0)))</f>
        <v>1.1453037732625435</v>
      </c>
      <c r="S162" s="60" t="str">
        <f>IF($C162="B",INDEX(Batters[[#All],[DEM]],MATCH(Table5[[#This Row],[PID]],Batters[[#All],[PID]],0)),INDEX(Table3[[#All],[DEM]],MATCH(Table5[[#This Row],[PID]],Table3[[#All],[PID]],0)))</f>
        <v>$90k</v>
      </c>
      <c r="T162" s="64">
        <f>IF($C162="B",VLOOKUP($A162,Bat!$A$4:$AU$1417,46,FALSE),VLOOKUP($A162,Pit!$A$4:$BD$570,55,FALSE))</f>
        <v>0</v>
      </c>
      <c r="U162" s="52">
        <f>IF($C162="B",VLOOKUP($A162,Bat!$A$4:$BA$1417,47,FALSE),VLOOKUP($A162,Pit!$A$4:$BF$570,56,FALSE))</f>
        <v>0</v>
      </c>
      <c r="V162" s="52">
        <f>IF($C162="B",VLOOKUP($A162,Bat!$A$4:$BA$1417,48,FALSE),VLOOKUP($A162,Pit!$A$4:$BF$570,57,FALSE))</f>
        <v>0</v>
      </c>
      <c r="W162" s="52">
        <f>Table5[[#This Row],[posRnk]]+Table5[[#This Row],[zRnk]]+IF($W$3&lt;&gt;Table5[[#This Row],[Type]],50,0)</f>
        <v>208</v>
      </c>
      <c r="X162" s="53">
        <f>RANK(Table5[[#This Row],[zScore]],Table5[[#All],[zScore]])</f>
        <v>158</v>
      </c>
      <c r="Y162" s="52" t="str">
        <f>IFERROR(INDEX(DraftResults[[#All],[OVR]],MATCH(Table5[[#This Row],[PID]],DraftResults[[#All],[Player ID]],0)),"")</f>
        <v/>
      </c>
      <c r="Z1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2" s="52" t="str">
        <f>IFERROR(INDEX(DraftResults[[#All],[Pick in Round]],MATCH(Table5[[#This Row],[PID]],DraftResults[[#All],[Player ID]],0)),"")</f>
        <v/>
      </c>
      <c r="AB162" s="52" t="str">
        <f>IFERROR(INDEX(DraftResults[[#All],[Team Name]],MATCH(Table5[[#This Row],[PID]],DraftResults[[#All],[Player ID]],0)),"")</f>
        <v/>
      </c>
      <c r="AC162" s="52" t="str">
        <f>IF(Table5[[#This Row],[Ovr]]="","",IF(Table5[[#This Row],[cmbList]]="","",Table5[[#This Row],[cmbList]]-Table5[[#This Row],[Ovr]]))</f>
        <v/>
      </c>
      <c r="AD162" s="56" t="str">
        <f>IF(ISERROR(VLOOKUP($AB162&amp;"-"&amp;$E162&amp;" "&amp;F162,Bonuses!$B$1:$G$1006,4,FALSE)),"",INT(VLOOKUP($AB162&amp;"-"&amp;$E162&amp;" "&amp;$F162,Bonuses!$B$1:$G$1006,4,FALSE)))</f>
        <v/>
      </c>
      <c r="AE1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3" spans="1:31" s="52" customFormat="1" x14ac:dyDescent="0.25">
      <c r="A163" s="52">
        <v>10458</v>
      </c>
      <c r="B163" s="52">
        <f>COUNTIF(Table5[PID],A163)</f>
        <v>1</v>
      </c>
      <c r="C163" s="52" t="str">
        <f>IF(COUNTIF(Table3[[#All],[PID]],A163)&gt;0,"P","B")</f>
        <v>P</v>
      </c>
      <c r="D163" s="61" t="str">
        <f>IF($C163="B",INDEX(Batters[[#All],[POS]],MATCH(Table5[[#This Row],[PID]],Batters[[#All],[PID]],0)),INDEX(Table3[[#All],[POS]],MATCH(Table5[[#This Row],[PID]],Table3[[#All],[PID]],0)))</f>
        <v>SP</v>
      </c>
      <c r="E163" s="54" t="str">
        <f>IF($C163="B",INDEX(Batters[[#All],[First]],MATCH(Table5[[#This Row],[PID]],Batters[[#All],[PID]],0)),INDEX(Table3[[#All],[First]],MATCH(Table5[[#This Row],[PID]],Table3[[#All],[PID]],0)))</f>
        <v>Ramón</v>
      </c>
      <c r="F163" s="52" t="str">
        <f>IF($C163="B",INDEX(Batters[[#All],[Last]],MATCH(A163,Batters[[#All],[PID]],0)),INDEX(Table3[[#All],[Last]],MATCH(A163,Table3[[#All],[PID]],0)))</f>
        <v>Peña</v>
      </c>
      <c r="G163" s="58">
        <f>IF($C163="B",INDEX(Batters[[#All],[Age]],MATCH(Table5[[#This Row],[PID]],Batters[[#All],[PID]],0)),INDEX(Table3[[#All],[Age]],MATCH(Table5[[#This Row],[PID]],Table3[[#All],[PID]],0)))</f>
        <v>21</v>
      </c>
      <c r="H163" s="54" t="str">
        <f>IF($C163="B",INDEX(Batters[[#All],[B]],MATCH(Table5[[#This Row],[PID]],Batters[[#All],[PID]],0)),INDEX(Table3[[#All],[B]],MATCH(Table5[[#This Row],[PID]],Table3[[#All],[PID]],0)))</f>
        <v>R</v>
      </c>
      <c r="I163" s="54" t="str">
        <f>IF($C163="B",INDEX(Batters[[#All],[T]],MATCH(Table5[[#This Row],[PID]],Batters[[#All],[PID]],0)),INDEX(Table3[[#All],[T]],MATCH(Table5[[#This Row],[PID]],Table3[[#All],[PID]],0)))</f>
        <v>R</v>
      </c>
      <c r="J163" s="54" t="str">
        <f>IF($C163="B",INDEX(Batters[[#All],[WE]],MATCH(Table5[[#This Row],[PID]],Batters[[#All],[PID]],0)),INDEX(Table3[[#All],[WE]],MATCH(Table5[[#This Row],[PID]],Table3[[#All],[PID]],0)))</f>
        <v>High</v>
      </c>
      <c r="K163" s="54" t="str">
        <f>IF($C163="B",INDEX(Batters[[#All],[INT]],MATCH(Table5[[#This Row],[PID]],Batters[[#All],[PID]],0)),INDEX(Table3[[#All],[INT]],MATCH(Table5[[#This Row],[PID]],Table3[[#All],[PID]],0)))</f>
        <v>Low</v>
      </c>
      <c r="L163" s="62">
        <f>IF($C163="B",INDEX(Batters[[#All],[CON P]],MATCH(Table5[[#This Row],[PID]],Batters[[#All],[PID]],0)),INDEX(Table3[[#All],[STU P]],MATCH(Table5[[#This Row],[PID]],Table3[[#All],[PID]],0)))</f>
        <v>6</v>
      </c>
      <c r="M163" s="58">
        <f>IF($C163="B",INDEX(Batters[[#All],[GAP P]],MATCH(Table5[[#This Row],[PID]],Batters[[#All],[PID]],0)),INDEX(Table3[[#All],[MOV P]],MATCH(Table5[[#This Row],[PID]],Table3[[#All],[PID]],0)))</f>
        <v>5</v>
      </c>
      <c r="N163" s="58">
        <f>IF($C163="B",INDEX(Batters[[#All],[POW P]],MATCH(Table5[[#This Row],[PID]],Batters[[#All],[PID]],0)),INDEX(Table3[[#All],[CON P]],MATCH(Table5[[#This Row],[PID]],Table3[[#All],[PID]],0)))</f>
        <v>2</v>
      </c>
      <c r="O163" s="58" t="str">
        <f>IF($C163="B",INDEX(Batters[[#All],[EYE P]],MATCH(Table5[[#This Row],[PID]],Batters[[#All],[PID]],0)),INDEX(Table3[[#All],[VELO]],MATCH(Table5[[#This Row],[PID]],Table3[[#All],[PID]],0)))</f>
        <v>96-98 Mph</v>
      </c>
      <c r="P163" s="58">
        <f>IF($C163="B",INDEX(Batters[[#All],[K P]],MATCH(Table5[[#This Row],[PID]],Batters[[#All],[PID]],0)),INDEX(Table3[[#All],[STM]],MATCH(Table5[[#This Row],[PID]],Table3[[#All],[PID]],0)))</f>
        <v>4</v>
      </c>
      <c r="Q163" s="63">
        <f>IF($C163="B",INDEX(Batters[[#All],[Tot]],MATCH(Table5[[#This Row],[PID]],Batters[[#All],[PID]],0)),INDEX(Table3[[#All],[Tot]],MATCH(Table5[[#This Row],[PID]],Table3[[#All],[PID]],0)))</f>
        <v>45.195553601299196</v>
      </c>
      <c r="R163" s="54">
        <f>IF($C163="B",INDEX(Batters[[#All],[zScore]],MATCH(Table5[[#This Row],[PID]],Batters[[#All],[PID]],0)),INDEX(Table3[[#All],[zScore]],MATCH(Table5[[#This Row],[PID]],Table3[[#All],[PID]],0)))</f>
        <v>1.1438551739381195</v>
      </c>
      <c r="S163" s="60" t="str">
        <f>IF($C163="B",INDEX(Batters[[#All],[DEM]],MATCH(Table5[[#This Row],[PID]],Batters[[#All],[PID]],0)),INDEX(Table3[[#All],[DEM]],MATCH(Table5[[#This Row],[PID]],Table3[[#All],[PID]],0)))</f>
        <v>$80k</v>
      </c>
      <c r="T163" s="64">
        <f>IF($C163="B",VLOOKUP($A163,Bat!$A$4:$AU$1417,46,FALSE),VLOOKUP($A163,Pit!$A$4:$BD$570,55,FALSE))</f>
        <v>0</v>
      </c>
      <c r="U163" s="52">
        <f>IF($C163="B",VLOOKUP($A163,Bat!$A$4:$BA$1417,47,FALSE),VLOOKUP($A163,Pit!$A$4:$BF$570,56,FALSE))</f>
        <v>0</v>
      </c>
      <c r="V163" s="52">
        <f>IF($C163="B",VLOOKUP($A163,Bat!$A$4:$BA$1417,48,FALSE),VLOOKUP($A163,Pit!$A$4:$BF$570,57,FALSE))</f>
        <v>0</v>
      </c>
      <c r="W163" s="52">
        <f>Table5[[#This Row],[posRnk]]+Table5[[#This Row],[zRnk]]+IF($W$3&lt;&gt;Table5[[#This Row],[Type]],50,0)</f>
        <v>209</v>
      </c>
      <c r="X163" s="53">
        <f>RANK(Table5[[#This Row],[zScore]],Table5[[#All],[zScore]])</f>
        <v>159</v>
      </c>
      <c r="Y163" s="52" t="str">
        <f>IFERROR(INDEX(DraftResults[[#All],[OVR]],MATCH(Table5[[#This Row],[PID]],DraftResults[[#All],[Player ID]],0)),"")</f>
        <v/>
      </c>
      <c r="Z1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3" s="52" t="str">
        <f>IFERROR(INDEX(DraftResults[[#All],[Pick in Round]],MATCH(Table5[[#This Row],[PID]],DraftResults[[#All],[Player ID]],0)),"")</f>
        <v/>
      </c>
      <c r="AB163" s="52" t="str">
        <f>IFERROR(INDEX(DraftResults[[#All],[Team Name]],MATCH(Table5[[#This Row],[PID]],DraftResults[[#All],[Player ID]],0)),"")</f>
        <v/>
      </c>
      <c r="AC163" s="52" t="str">
        <f>IF(Table5[[#This Row],[Ovr]]="","",IF(Table5[[#This Row],[cmbList]]="","",Table5[[#This Row],[cmbList]]-Table5[[#This Row],[Ovr]]))</f>
        <v/>
      </c>
      <c r="AD163" s="56" t="str">
        <f>IF(ISERROR(VLOOKUP($AB163&amp;"-"&amp;$E163&amp;" "&amp;F163,Bonuses!$B$1:$G$1006,4,FALSE)),"",INT(VLOOKUP($AB163&amp;"-"&amp;$E163&amp;" "&amp;$F163,Bonuses!$B$1:$G$1006,4,FALSE)))</f>
        <v/>
      </c>
      <c r="AE1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4" spans="1:31" s="52" customFormat="1" x14ac:dyDescent="0.25">
      <c r="A164" s="52">
        <v>17935</v>
      </c>
      <c r="B164" s="57">
        <f>COUNTIF(Table5[PID],A164)</f>
        <v>1</v>
      </c>
      <c r="C164" s="57" t="str">
        <f>IF(COUNTIF(Table3[[#All],[PID]],A164)&gt;0,"P","B")</f>
        <v>B</v>
      </c>
      <c r="D164" s="61" t="str">
        <f>IF($C164="B",INDEX(Batters[[#All],[POS]],MATCH(Table5[[#This Row],[PID]],Batters[[#All],[PID]],0)),INDEX(Table3[[#All],[POS]],MATCH(Table5[[#This Row],[PID]],Table3[[#All],[PID]],0)))</f>
        <v>LF</v>
      </c>
      <c r="E164" s="54" t="str">
        <f>IF($C164="B",INDEX(Batters[[#All],[First]],MATCH(Table5[[#This Row],[PID]],Batters[[#All],[PID]],0)),INDEX(Table3[[#All],[First]],MATCH(Table5[[#This Row],[PID]],Table3[[#All],[PID]],0)))</f>
        <v>Ogai</v>
      </c>
      <c r="F164" s="52" t="str">
        <f>IF($C164="B",INDEX(Batters[[#All],[Last]],MATCH(A164,Batters[[#All],[PID]],0)),INDEX(Table3[[#All],[Last]],MATCH(A164,Table3[[#All],[PID]],0)))</f>
        <v>Sano</v>
      </c>
      <c r="G164" s="58">
        <f>IF($C164="B",INDEX(Batters[[#All],[Age]],MATCH(Table5[[#This Row],[PID]],Batters[[#All],[PID]],0)),INDEX(Table3[[#All],[Age]],MATCH(Table5[[#This Row],[PID]],Table3[[#All],[PID]],0)))</f>
        <v>18</v>
      </c>
      <c r="H164" s="54" t="str">
        <f>IF($C164="B",INDEX(Batters[[#All],[B]],MATCH(Table5[[#This Row],[PID]],Batters[[#All],[PID]],0)),INDEX(Table3[[#All],[B]],MATCH(Table5[[#This Row],[PID]],Table3[[#All],[PID]],0)))</f>
        <v>L</v>
      </c>
      <c r="I164" s="54" t="str">
        <f>IF($C164="B",INDEX(Batters[[#All],[T]],MATCH(Table5[[#This Row],[PID]],Batters[[#All],[PID]],0)),INDEX(Table3[[#All],[T]],MATCH(Table5[[#This Row],[PID]],Table3[[#All],[PID]],0)))</f>
        <v>L</v>
      </c>
      <c r="J164" s="54" t="str">
        <f>IF($C164="B",INDEX(Batters[[#All],[WE]],MATCH(Table5[[#This Row],[PID]],Batters[[#All],[PID]],0)),INDEX(Table3[[#All],[WE]],MATCH(Table5[[#This Row],[PID]],Table3[[#All],[PID]],0)))</f>
        <v>Normal</v>
      </c>
      <c r="K164" s="54" t="str">
        <f>IF($C164="B",INDEX(Batters[[#All],[INT]],MATCH(Table5[[#This Row],[PID]],Batters[[#All],[PID]],0)),INDEX(Table3[[#All],[INT]],MATCH(Table5[[#This Row],[PID]],Table3[[#All],[PID]],0)))</f>
        <v>Normal</v>
      </c>
      <c r="L164" s="62">
        <f>IF($C164="B",INDEX(Batters[[#All],[CON P]],MATCH(Table5[[#This Row],[PID]],Batters[[#All],[PID]],0)),INDEX(Table3[[#All],[STU P]],MATCH(Table5[[#This Row],[PID]],Table3[[#All],[PID]],0)))</f>
        <v>4</v>
      </c>
      <c r="M164" s="58">
        <f>IF($C164="B",INDEX(Batters[[#All],[GAP P]],MATCH(Table5[[#This Row],[PID]],Batters[[#All],[PID]],0)),INDEX(Table3[[#All],[MOV P]],MATCH(Table5[[#This Row],[PID]],Table3[[#All],[PID]],0)))</f>
        <v>4</v>
      </c>
      <c r="N164" s="58">
        <f>IF($C164="B",INDEX(Batters[[#All],[POW P]],MATCH(Table5[[#This Row],[PID]],Batters[[#All],[PID]],0)),INDEX(Table3[[#All],[CON P]],MATCH(Table5[[#This Row],[PID]],Table3[[#All],[PID]],0)))</f>
        <v>4</v>
      </c>
      <c r="O164" s="58">
        <f>IF($C164="B",INDEX(Batters[[#All],[EYE P]],MATCH(Table5[[#This Row],[PID]],Batters[[#All],[PID]],0)),INDEX(Table3[[#All],[VELO]],MATCH(Table5[[#This Row],[PID]],Table3[[#All],[PID]],0)))</f>
        <v>5</v>
      </c>
      <c r="P164" s="58">
        <f>IF($C164="B",INDEX(Batters[[#All],[K P]],MATCH(Table5[[#This Row],[PID]],Batters[[#All],[PID]],0)),INDEX(Table3[[#All],[STM]],MATCH(Table5[[#This Row],[PID]],Table3[[#All],[PID]],0)))</f>
        <v>4</v>
      </c>
      <c r="Q164" s="63">
        <f>IF($C164="B",INDEX(Batters[[#All],[Tot]],MATCH(Table5[[#This Row],[PID]],Batters[[#All],[PID]],0)),INDEX(Table3[[#All],[Tot]],MATCH(Table5[[#This Row],[PID]],Table3[[#All],[PID]],0)))</f>
        <v>46.838854747756557</v>
      </c>
      <c r="R164" s="54">
        <f>IF($C164="B",INDEX(Batters[[#All],[zScore]],MATCH(Table5[[#This Row],[PID]],Batters[[#All],[PID]],0)),INDEX(Table3[[#All],[zScore]],MATCH(Table5[[#This Row],[PID]],Table3[[#All],[PID]],0)))</f>
        <v>1.1419792316528579</v>
      </c>
      <c r="S164" s="60" t="str">
        <f>IF($C164="B",INDEX(Batters[[#All],[DEM]],MATCH(Table5[[#This Row],[PID]],Batters[[#All],[PID]],0)),INDEX(Table3[[#All],[DEM]],MATCH(Table5[[#This Row],[PID]],Table3[[#All],[PID]],0)))</f>
        <v>$200k</v>
      </c>
      <c r="T164" s="64">
        <f>IF($C164="B",VLOOKUP($A164,Bat!$A$4:$AU$1417,46,FALSE),VLOOKUP($A164,Pit!$A$4:$BD$570,55,FALSE))</f>
        <v>0</v>
      </c>
      <c r="U164" s="52">
        <f>IF($C164="B",VLOOKUP($A164,Bat!$A$4:$BA$1417,47,FALSE),VLOOKUP($A164,Pit!$A$4:$BF$570,56,FALSE))</f>
        <v>0</v>
      </c>
      <c r="V164" s="52">
        <f>IF($C164="B",VLOOKUP($A164,Bat!$A$4:$BA$1417,48,FALSE),VLOOKUP($A164,Pit!$A$4:$BF$570,57,FALSE))</f>
        <v>0</v>
      </c>
      <c r="W164" s="52">
        <f>Table5[[#This Row],[posRnk]]+Table5[[#This Row],[zRnk]]+IF($W$3&lt;&gt;Table5[[#This Row],[Type]],50,0)</f>
        <v>210</v>
      </c>
      <c r="X164" s="53">
        <f>RANK(Table5[[#This Row],[zScore]],Table5[[#All],[zScore]])</f>
        <v>160</v>
      </c>
      <c r="Y164" s="52" t="str">
        <f>IFERROR(INDEX(DraftResults[[#All],[OVR]],MATCH(Table5[[#This Row],[PID]],DraftResults[[#All],[Player ID]],0)),"")</f>
        <v/>
      </c>
      <c r="Z1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4" s="52" t="str">
        <f>IFERROR(INDEX(DraftResults[[#All],[Pick in Round]],MATCH(Table5[[#This Row],[PID]],DraftResults[[#All],[Player ID]],0)),"")</f>
        <v/>
      </c>
      <c r="AB164" s="52" t="str">
        <f>IFERROR(INDEX(DraftResults[[#All],[Team Name]],MATCH(Table5[[#This Row],[PID]],DraftResults[[#All],[Player ID]],0)),"")</f>
        <v/>
      </c>
      <c r="AC164" s="52" t="str">
        <f>IF(Table5[[#This Row],[Ovr]]="","",IF(Table5[[#This Row],[cmbList]]="","",Table5[[#This Row],[cmbList]]-Table5[[#This Row],[Ovr]]))</f>
        <v/>
      </c>
      <c r="AD164" s="56" t="str">
        <f>IF(ISERROR(VLOOKUP($AB164&amp;"-"&amp;$E164&amp;" "&amp;F164,Bonuses!$B$1:$G$1006,4,FALSE)),"",INT(VLOOKUP($AB164&amp;"-"&amp;$E164&amp;" "&amp;$F164,Bonuses!$B$1:$G$1006,4,FALSE)))</f>
        <v/>
      </c>
      <c r="AE1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5" spans="1:31" s="52" customFormat="1" x14ac:dyDescent="0.25">
      <c r="A165" s="52">
        <v>13002</v>
      </c>
      <c r="B165" s="52">
        <f>COUNTIF(Table5[PID],A165)</f>
        <v>1</v>
      </c>
      <c r="C165" s="52" t="str">
        <f>IF(COUNTIF(Table3[[#All],[PID]],A165)&gt;0,"P","B")</f>
        <v>P</v>
      </c>
      <c r="D165" s="61" t="str">
        <f>IF($C165="B",INDEX(Batters[[#All],[POS]],MATCH(Table5[[#This Row],[PID]],Batters[[#All],[PID]],0)),INDEX(Table3[[#All],[POS]],MATCH(Table5[[#This Row],[PID]],Table3[[#All],[PID]],0)))</f>
        <v>RP</v>
      </c>
      <c r="E165" s="54" t="str">
        <f>IF($C165="B",INDEX(Batters[[#All],[First]],MATCH(Table5[[#This Row],[PID]],Batters[[#All],[PID]],0)),INDEX(Table3[[#All],[First]],MATCH(Table5[[#This Row],[PID]],Table3[[#All],[PID]],0)))</f>
        <v>Bob</v>
      </c>
      <c r="F165" s="52" t="str">
        <f>IF($C165="B",INDEX(Batters[[#All],[Last]],MATCH(A165,Batters[[#All],[PID]],0)),INDEX(Table3[[#All],[Last]],MATCH(A165,Table3[[#All],[PID]],0)))</f>
        <v>Kirk</v>
      </c>
      <c r="G165" s="58">
        <f>IF($C165="B",INDEX(Batters[[#All],[Age]],MATCH(Table5[[#This Row],[PID]],Batters[[#All],[PID]],0)),INDEX(Table3[[#All],[Age]],MATCH(Table5[[#This Row],[PID]],Table3[[#All],[PID]],0)))</f>
        <v>18</v>
      </c>
      <c r="H165" s="54" t="str">
        <f>IF($C165="B",INDEX(Batters[[#All],[B]],MATCH(Table5[[#This Row],[PID]],Batters[[#All],[PID]],0)),INDEX(Table3[[#All],[B]],MATCH(Table5[[#This Row],[PID]],Table3[[#All],[PID]],0)))</f>
        <v>R</v>
      </c>
      <c r="I165" s="54" t="str">
        <f>IF($C165="B",INDEX(Batters[[#All],[T]],MATCH(Table5[[#This Row],[PID]],Batters[[#All],[PID]],0)),INDEX(Table3[[#All],[T]],MATCH(Table5[[#This Row],[PID]],Table3[[#All],[PID]],0)))</f>
        <v>R</v>
      </c>
      <c r="J165" s="54" t="str">
        <f>IF($C165="B",INDEX(Batters[[#All],[WE]],MATCH(Table5[[#This Row],[PID]],Batters[[#All],[PID]],0)),INDEX(Table3[[#All],[WE]],MATCH(Table5[[#This Row],[PID]],Table3[[#All],[PID]],0)))</f>
        <v>Normal</v>
      </c>
      <c r="K165" s="54" t="str">
        <f>IF($C165="B",INDEX(Batters[[#All],[INT]],MATCH(Table5[[#This Row],[PID]],Batters[[#All],[PID]],0)),INDEX(Table3[[#All],[INT]],MATCH(Table5[[#This Row],[PID]],Table3[[#All],[PID]],0)))</f>
        <v>High</v>
      </c>
      <c r="L165" s="62">
        <f>IF($C165="B",INDEX(Batters[[#All],[CON P]],MATCH(Table5[[#This Row],[PID]],Batters[[#All],[PID]],0)),INDEX(Table3[[#All],[STU P]],MATCH(Table5[[#This Row],[PID]],Table3[[#All],[PID]],0)))</f>
        <v>6</v>
      </c>
      <c r="M165" s="58">
        <f>IF($C165="B",INDEX(Batters[[#All],[GAP P]],MATCH(Table5[[#This Row],[PID]],Batters[[#All],[PID]],0)),INDEX(Table3[[#All],[MOV P]],MATCH(Table5[[#This Row],[PID]],Table3[[#All],[PID]],0)))</f>
        <v>5</v>
      </c>
      <c r="N165" s="58">
        <f>IF($C165="B",INDEX(Batters[[#All],[POW P]],MATCH(Table5[[#This Row],[PID]],Batters[[#All],[PID]],0)),INDEX(Table3[[#All],[CON P]],MATCH(Table5[[#This Row],[PID]],Table3[[#All],[PID]],0)))</f>
        <v>2</v>
      </c>
      <c r="O165" s="58" t="str">
        <f>IF($C165="B",INDEX(Batters[[#All],[EYE P]],MATCH(Table5[[#This Row],[PID]],Batters[[#All],[PID]],0)),INDEX(Table3[[#All],[VELO]],MATCH(Table5[[#This Row],[PID]],Table3[[#All],[PID]],0)))</f>
        <v>92-94 Mph</v>
      </c>
      <c r="P165" s="58">
        <f>IF($C165="B",INDEX(Batters[[#All],[K P]],MATCH(Table5[[#This Row],[PID]],Batters[[#All],[PID]],0)),INDEX(Table3[[#All],[STM]],MATCH(Table5[[#This Row],[PID]],Table3[[#All],[PID]],0)))</f>
        <v>9</v>
      </c>
      <c r="Q165" s="63">
        <f>IF($C165="B",INDEX(Batters[[#All],[Tot]],MATCH(Table5[[#This Row],[PID]],Batters[[#All],[PID]],0)),INDEX(Table3[[#All],[Tot]],MATCH(Table5[[#This Row],[PID]],Table3[[#All],[PID]],0)))</f>
        <v>45.168019102387788</v>
      </c>
      <c r="R165" s="54">
        <f>IF($C165="B",INDEX(Batters[[#All],[zScore]],MATCH(Table5[[#This Row],[PID]],Batters[[#All],[PID]],0)),INDEX(Table3[[#All],[zScore]],MATCH(Table5[[#This Row],[PID]],Table3[[#All],[PID]],0)))</f>
        <v>1.1413301427030216</v>
      </c>
      <c r="S165" s="60" t="str">
        <f>IF($C165="B",INDEX(Batters[[#All],[DEM]],MATCH(Table5[[#This Row],[PID]],Batters[[#All],[PID]],0)),INDEX(Table3[[#All],[DEM]],MATCH(Table5[[#This Row],[PID]],Table3[[#All],[PID]],0)))</f>
        <v>$70k</v>
      </c>
      <c r="T165" s="64">
        <f>IF($C165="B",VLOOKUP($A165,Bat!$A$4:$AU$1417,46,FALSE),VLOOKUP($A165,Pit!$A$4:$BD$570,55,FALSE))</f>
        <v>0</v>
      </c>
      <c r="U165" s="52">
        <f>IF($C165="B",VLOOKUP($A165,Bat!$A$4:$BA$1417,47,FALSE),VLOOKUP($A165,Pit!$A$4:$BF$570,56,FALSE))</f>
        <v>0</v>
      </c>
      <c r="V165" s="52">
        <f>IF($C165="B",VLOOKUP($A165,Bat!$A$4:$BA$1417,48,FALSE),VLOOKUP($A165,Pit!$A$4:$BF$570,57,FALSE))</f>
        <v>0</v>
      </c>
      <c r="W165" s="52">
        <f>Table5[[#This Row],[posRnk]]+Table5[[#This Row],[zRnk]]+IF($W$3&lt;&gt;Table5[[#This Row],[Type]],50,0)</f>
        <v>211</v>
      </c>
      <c r="X165" s="53">
        <f>RANK(Table5[[#This Row],[zScore]],Table5[[#All],[zScore]])</f>
        <v>161</v>
      </c>
      <c r="Y165" s="52" t="str">
        <f>IFERROR(INDEX(DraftResults[[#All],[OVR]],MATCH(Table5[[#This Row],[PID]],DraftResults[[#All],[Player ID]],0)),"")</f>
        <v/>
      </c>
      <c r="Z1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5" s="52" t="str">
        <f>IFERROR(INDEX(DraftResults[[#All],[Pick in Round]],MATCH(Table5[[#This Row],[PID]],DraftResults[[#All],[Player ID]],0)),"")</f>
        <v/>
      </c>
      <c r="AB165" s="52" t="str">
        <f>IFERROR(INDEX(DraftResults[[#All],[Team Name]],MATCH(Table5[[#This Row],[PID]],DraftResults[[#All],[Player ID]],0)),"")</f>
        <v/>
      </c>
      <c r="AC165" s="52" t="str">
        <f>IF(Table5[[#This Row],[Ovr]]="","",IF(Table5[[#This Row],[cmbList]]="","",Table5[[#This Row],[cmbList]]-Table5[[#This Row],[Ovr]]))</f>
        <v/>
      </c>
      <c r="AD165" s="56" t="str">
        <f>IF(ISERROR(VLOOKUP($AB165&amp;"-"&amp;$E165&amp;" "&amp;F165,Bonuses!$B$1:$G$1006,4,FALSE)),"",INT(VLOOKUP($AB165&amp;"-"&amp;$E165&amp;" "&amp;$F165,Bonuses!$B$1:$G$1006,4,FALSE)))</f>
        <v/>
      </c>
      <c r="AE1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6" spans="1:31" s="52" customFormat="1" x14ac:dyDescent="0.25">
      <c r="A166" s="52">
        <v>7838</v>
      </c>
      <c r="B166" s="52">
        <f>COUNTIF(Table5[PID],A166)</f>
        <v>1</v>
      </c>
      <c r="C166" s="52" t="str">
        <f>IF(COUNTIF(Table3[[#All],[PID]],A166)&gt;0,"P","B")</f>
        <v>B</v>
      </c>
      <c r="D166" s="61" t="str">
        <f>IF($C166="B",INDEX(Batters[[#All],[POS]],MATCH(Table5[[#This Row],[PID]],Batters[[#All],[PID]],0)),INDEX(Table3[[#All],[POS]],MATCH(Table5[[#This Row],[PID]],Table3[[#All],[PID]],0)))</f>
        <v>C</v>
      </c>
      <c r="E166" s="54" t="str">
        <f>IF($C166="B",INDEX(Batters[[#All],[First]],MATCH(Table5[[#This Row],[PID]],Batters[[#All],[PID]],0)),INDEX(Table3[[#All],[First]],MATCH(Table5[[#This Row],[PID]],Table3[[#All],[PID]],0)))</f>
        <v>Tom</v>
      </c>
      <c r="F166" s="52" t="str">
        <f>IF($C166="B",INDEX(Batters[[#All],[Last]],MATCH(A166,Batters[[#All],[PID]],0)),INDEX(Table3[[#All],[Last]],MATCH(A166,Table3[[#All],[PID]],0)))</f>
        <v>Schmidt</v>
      </c>
      <c r="G166" s="58">
        <f>IF($C166="B",INDEX(Batters[[#All],[Age]],MATCH(Table5[[#This Row],[PID]],Batters[[#All],[PID]],0)),INDEX(Table3[[#All],[Age]],MATCH(Table5[[#This Row],[PID]],Table3[[#All],[PID]],0)))</f>
        <v>18</v>
      </c>
      <c r="H166" s="54" t="str">
        <f>IF($C166="B",INDEX(Batters[[#All],[B]],MATCH(Table5[[#This Row],[PID]],Batters[[#All],[PID]],0)),INDEX(Table3[[#All],[B]],MATCH(Table5[[#This Row],[PID]],Table3[[#All],[PID]],0)))</f>
        <v>R</v>
      </c>
      <c r="I166" s="54" t="str">
        <f>IF($C166="B",INDEX(Batters[[#All],[T]],MATCH(Table5[[#This Row],[PID]],Batters[[#All],[PID]],0)),INDEX(Table3[[#All],[T]],MATCH(Table5[[#This Row],[PID]],Table3[[#All],[PID]],0)))</f>
        <v>R</v>
      </c>
      <c r="J166" s="54" t="str">
        <f>IF($C166="B",INDEX(Batters[[#All],[WE]],MATCH(Table5[[#This Row],[PID]],Batters[[#All],[PID]],0)),INDEX(Table3[[#All],[WE]],MATCH(Table5[[#This Row],[PID]],Table3[[#All],[PID]],0)))</f>
        <v>High</v>
      </c>
      <c r="K166" s="54" t="str">
        <f>IF($C166="B",INDEX(Batters[[#All],[INT]],MATCH(Table5[[#This Row],[PID]],Batters[[#All],[PID]],0)),INDEX(Table3[[#All],[INT]],MATCH(Table5[[#This Row],[PID]],Table3[[#All],[PID]],0)))</f>
        <v>Normal</v>
      </c>
      <c r="L166" s="62">
        <f>IF($C166="B",INDEX(Batters[[#All],[CON P]],MATCH(Table5[[#This Row],[PID]],Batters[[#All],[PID]],0)),INDEX(Table3[[#All],[STU P]],MATCH(Table5[[#This Row],[PID]],Table3[[#All],[PID]],0)))</f>
        <v>4</v>
      </c>
      <c r="M166" s="58">
        <f>IF($C166="B",INDEX(Batters[[#All],[GAP P]],MATCH(Table5[[#This Row],[PID]],Batters[[#All],[PID]],0)),INDEX(Table3[[#All],[MOV P]],MATCH(Table5[[#This Row],[PID]],Table3[[#All],[PID]],0)))</f>
        <v>4</v>
      </c>
      <c r="N166" s="58">
        <f>IF($C166="B",INDEX(Batters[[#All],[POW P]],MATCH(Table5[[#This Row],[PID]],Batters[[#All],[PID]],0)),INDEX(Table3[[#All],[CON P]],MATCH(Table5[[#This Row],[PID]],Table3[[#All],[PID]],0)))</f>
        <v>5</v>
      </c>
      <c r="O166" s="58">
        <f>IF($C166="B",INDEX(Batters[[#All],[EYE P]],MATCH(Table5[[#This Row],[PID]],Batters[[#All],[PID]],0)),INDEX(Table3[[#All],[VELO]],MATCH(Table5[[#This Row],[PID]],Table3[[#All],[PID]],0)))</f>
        <v>4</v>
      </c>
      <c r="P166" s="58">
        <f>IF($C166="B",INDEX(Batters[[#All],[K P]],MATCH(Table5[[#This Row],[PID]],Batters[[#All],[PID]],0)),INDEX(Table3[[#All],[STM]],MATCH(Table5[[#This Row],[PID]],Table3[[#All],[PID]],0)))</f>
        <v>3</v>
      </c>
      <c r="Q166" s="63">
        <f>IF($C166="B",INDEX(Batters[[#All],[Tot]],MATCH(Table5[[#This Row],[PID]],Batters[[#All],[PID]],0)),INDEX(Table3[[#All],[Tot]],MATCH(Table5[[#This Row],[PID]],Table3[[#All],[PID]],0)))</f>
        <v>46.714805055160582</v>
      </c>
      <c r="R166" s="54">
        <f>IF($C166="B",INDEX(Batters[[#All],[zScore]],MATCH(Table5[[#This Row],[PID]],Batters[[#All],[PID]],0)),INDEX(Table3[[#All],[zScore]],MATCH(Table5[[#This Row],[PID]],Table3[[#All],[PID]],0)))</f>
        <v>1.1201535127124871</v>
      </c>
      <c r="S166" s="60" t="str">
        <f>IF($C166="B",INDEX(Batters[[#All],[DEM]],MATCH(Table5[[#This Row],[PID]],Batters[[#All],[PID]],0)),INDEX(Table3[[#All],[DEM]],MATCH(Table5[[#This Row],[PID]],Table3[[#All],[PID]],0)))</f>
        <v>$400k</v>
      </c>
      <c r="T166" s="64">
        <f>IF($C166="B",VLOOKUP($A166,Bat!$A$4:$AU$1417,46,FALSE),VLOOKUP($A166,Pit!$A$4:$BD$570,55,FALSE))</f>
        <v>0</v>
      </c>
      <c r="U166" s="52">
        <f>IF($C166="B",VLOOKUP($A166,Bat!$A$4:$BA$1417,47,FALSE),VLOOKUP($A166,Pit!$A$4:$BF$570,56,FALSE))</f>
        <v>0</v>
      </c>
      <c r="V166" s="52">
        <f>IF($C166="B",VLOOKUP($A166,Bat!$A$4:$BA$1417,48,FALSE),VLOOKUP($A166,Pit!$A$4:$BF$570,57,FALSE))</f>
        <v>0</v>
      </c>
      <c r="W166" s="52">
        <f>Table5[[#This Row],[posRnk]]+Table5[[#This Row],[zRnk]]+IF($W$3&lt;&gt;Table5[[#This Row],[Type]],50,0)</f>
        <v>212</v>
      </c>
      <c r="X166" s="53">
        <f>RANK(Table5[[#This Row],[zScore]],Table5[[#All],[zScore]])</f>
        <v>162</v>
      </c>
      <c r="Y166" s="52" t="str">
        <f>IFERROR(INDEX(DraftResults[[#All],[OVR]],MATCH(Table5[[#This Row],[PID]],DraftResults[[#All],[Player ID]],0)),"")</f>
        <v/>
      </c>
      <c r="Z1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6" s="52" t="str">
        <f>IFERROR(INDEX(DraftResults[[#All],[Pick in Round]],MATCH(Table5[[#This Row],[PID]],DraftResults[[#All],[Player ID]],0)),"")</f>
        <v/>
      </c>
      <c r="AB166" s="52" t="str">
        <f>IFERROR(INDEX(DraftResults[[#All],[Team Name]],MATCH(Table5[[#This Row],[PID]],DraftResults[[#All],[Player ID]],0)),"")</f>
        <v/>
      </c>
      <c r="AC166" s="52" t="str">
        <f>IF(Table5[[#This Row],[Ovr]]="","",IF(Table5[[#This Row],[cmbList]]="","",Table5[[#This Row],[cmbList]]-Table5[[#This Row],[Ovr]]))</f>
        <v/>
      </c>
      <c r="AD166" s="56" t="str">
        <f>IF(ISERROR(VLOOKUP($AB166&amp;"-"&amp;$E166&amp;" "&amp;F166,Bonuses!$B$1:$G$1006,4,FALSE)),"",INT(VLOOKUP($AB166&amp;"-"&amp;$E166&amp;" "&amp;$F166,Bonuses!$B$1:$G$1006,4,FALSE)))</f>
        <v/>
      </c>
      <c r="AE1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7" spans="1:31" s="52" customFormat="1" x14ac:dyDescent="0.25">
      <c r="A167" s="52">
        <v>7365</v>
      </c>
      <c r="B167" s="52">
        <f>COUNTIF(Table5[PID],A167)</f>
        <v>1</v>
      </c>
      <c r="C167" s="52" t="str">
        <f>IF(COUNTIF(Table3[[#All],[PID]],A167)&gt;0,"P","B")</f>
        <v>B</v>
      </c>
      <c r="D167" s="61" t="str">
        <f>IF($C167="B",INDEX(Batters[[#All],[POS]],MATCH(Table5[[#This Row],[PID]],Batters[[#All],[PID]],0)),INDEX(Table3[[#All],[POS]],MATCH(Table5[[#This Row],[PID]],Table3[[#All],[PID]],0)))</f>
        <v>2B</v>
      </c>
      <c r="E167" s="54" t="str">
        <f>IF($C167="B",INDEX(Batters[[#All],[First]],MATCH(Table5[[#This Row],[PID]],Batters[[#All],[PID]],0)),INDEX(Table3[[#All],[First]],MATCH(Table5[[#This Row],[PID]],Table3[[#All],[PID]],0)))</f>
        <v>Mendel</v>
      </c>
      <c r="F167" s="52" t="str">
        <f>IF($C167="B",INDEX(Batters[[#All],[Last]],MATCH(A167,Batters[[#All],[PID]],0)),INDEX(Table3[[#All],[Last]],MATCH(A167,Table3[[#All],[PID]],0)))</f>
        <v>de Kok</v>
      </c>
      <c r="G167" s="58">
        <f>IF($C167="B",INDEX(Batters[[#All],[Age]],MATCH(Table5[[#This Row],[PID]],Batters[[#All],[PID]],0)),INDEX(Table3[[#All],[Age]],MATCH(Table5[[#This Row],[PID]],Table3[[#All],[PID]],0)))</f>
        <v>21</v>
      </c>
      <c r="H167" s="54" t="str">
        <f>IF($C167="B",INDEX(Batters[[#All],[B]],MATCH(Table5[[#This Row],[PID]],Batters[[#All],[PID]],0)),INDEX(Table3[[#All],[B]],MATCH(Table5[[#This Row],[PID]],Table3[[#All],[PID]],0)))</f>
        <v>R</v>
      </c>
      <c r="I167" s="54" t="str">
        <f>IF($C167="B",INDEX(Batters[[#All],[T]],MATCH(Table5[[#This Row],[PID]],Batters[[#All],[PID]],0)),INDEX(Table3[[#All],[T]],MATCH(Table5[[#This Row],[PID]],Table3[[#All],[PID]],0)))</f>
        <v>R</v>
      </c>
      <c r="J167" s="54" t="str">
        <f>IF($C167="B",INDEX(Batters[[#All],[WE]],MATCH(Table5[[#This Row],[PID]],Batters[[#All],[PID]],0)),INDEX(Table3[[#All],[WE]],MATCH(Table5[[#This Row],[PID]],Table3[[#All],[PID]],0)))</f>
        <v>Normal</v>
      </c>
      <c r="K167" s="54" t="str">
        <f>IF($C167="B",INDEX(Batters[[#All],[INT]],MATCH(Table5[[#This Row],[PID]],Batters[[#All],[PID]],0)),INDEX(Table3[[#All],[INT]],MATCH(Table5[[#This Row],[PID]],Table3[[#All],[PID]],0)))</f>
        <v>Normal</v>
      </c>
      <c r="L167" s="62">
        <f>IF($C167="B",INDEX(Batters[[#All],[CON P]],MATCH(Table5[[#This Row],[PID]],Batters[[#All],[PID]],0)),INDEX(Table3[[#All],[STU P]],MATCH(Table5[[#This Row],[PID]],Table3[[#All],[PID]],0)))</f>
        <v>5</v>
      </c>
      <c r="M167" s="58">
        <f>IF($C167="B",INDEX(Batters[[#All],[GAP P]],MATCH(Table5[[#This Row],[PID]],Batters[[#All],[PID]],0)),INDEX(Table3[[#All],[MOV P]],MATCH(Table5[[#This Row],[PID]],Table3[[#All],[PID]],0)))</f>
        <v>6</v>
      </c>
      <c r="N167" s="58">
        <f>IF($C167="B",INDEX(Batters[[#All],[POW P]],MATCH(Table5[[#This Row],[PID]],Batters[[#All],[PID]],0)),INDEX(Table3[[#All],[CON P]],MATCH(Table5[[#This Row],[PID]],Table3[[#All],[PID]],0)))</f>
        <v>3</v>
      </c>
      <c r="O167" s="58">
        <f>IF($C167="B",INDEX(Batters[[#All],[EYE P]],MATCH(Table5[[#This Row],[PID]],Batters[[#All],[PID]],0)),INDEX(Table3[[#All],[VELO]],MATCH(Table5[[#This Row],[PID]],Table3[[#All],[PID]],0)))</f>
        <v>4</v>
      </c>
      <c r="P167" s="58">
        <f>IF($C167="B",INDEX(Batters[[#All],[K P]],MATCH(Table5[[#This Row],[PID]],Batters[[#All],[PID]],0)),INDEX(Table3[[#All],[STM]],MATCH(Table5[[#This Row],[PID]],Table3[[#All],[PID]],0)))</f>
        <v>5</v>
      </c>
      <c r="Q167" s="63">
        <f>IF($C167="B",INDEX(Batters[[#All],[Tot]],MATCH(Table5[[#This Row],[PID]],Batters[[#All],[PID]],0)),INDEX(Table3[[#All],[Tot]],MATCH(Table5[[#This Row],[PID]],Table3[[#All],[PID]],0)))</f>
        <v>46.696047258896122</v>
      </c>
      <c r="R167" s="54">
        <f>IF($C167="B",INDEX(Batters[[#All],[zScore]],MATCH(Table5[[#This Row],[PID]],Batters[[#All],[PID]],0)),INDEX(Table3[[#All],[zScore]],MATCH(Table5[[#This Row],[PID]],Table3[[#All],[PID]],0)))</f>
        <v>1.11685320312976</v>
      </c>
      <c r="S167" s="60" t="str">
        <f>IF($C167="B",INDEX(Batters[[#All],[DEM]],MATCH(Table5[[#This Row],[PID]],Batters[[#All],[PID]],0)),INDEX(Table3[[#All],[DEM]],MATCH(Table5[[#This Row],[PID]],Table3[[#All],[PID]],0)))</f>
        <v>$400k</v>
      </c>
      <c r="T167" s="64">
        <f>IF($C167="B",VLOOKUP($A167,Bat!$A$4:$AU$1417,46,FALSE),VLOOKUP($A167,Pit!$A$4:$BD$570,55,FALSE))</f>
        <v>0</v>
      </c>
      <c r="U167" s="52">
        <f>IF($C167="B",VLOOKUP($A167,Bat!$A$4:$BA$1417,47,FALSE),VLOOKUP($A167,Pit!$A$4:$BF$570,56,FALSE))</f>
        <v>0</v>
      </c>
      <c r="V167" s="52">
        <f>IF($C167="B",VLOOKUP($A167,Bat!$A$4:$BA$1417,48,FALSE),VLOOKUP($A167,Pit!$A$4:$BF$570,57,FALSE))</f>
        <v>0</v>
      </c>
      <c r="W167" s="52">
        <f>Table5[[#This Row],[posRnk]]+Table5[[#This Row],[zRnk]]+IF($W$3&lt;&gt;Table5[[#This Row],[Type]],50,0)</f>
        <v>213</v>
      </c>
      <c r="X167" s="53">
        <f>RANK(Table5[[#This Row],[zScore]],Table5[[#All],[zScore]])</f>
        <v>163</v>
      </c>
      <c r="Y167" s="52" t="str">
        <f>IFERROR(INDEX(DraftResults[[#All],[OVR]],MATCH(Table5[[#This Row],[PID]],DraftResults[[#All],[Player ID]],0)),"")</f>
        <v/>
      </c>
      <c r="Z1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7" s="52" t="str">
        <f>IFERROR(INDEX(DraftResults[[#All],[Pick in Round]],MATCH(Table5[[#This Row],[PID]],DraftResults[[#All],[Player ID]],0)),"")</f>
        <v/>
      </c>
      <c r="AB167" s="52" t="str">
        <f>IFERROR(INDEX(DraftResults[[#All],[Team Name]],MATCH(Table5[[#This Row],[PID]],DraftResults[[#All],[Player ID]],0)),"")</f>
        <v/>
      </c>
      <c r="AC167" s="52" t="str">
        <f>IF(Table5[[#This Row],[Ovr]]="","",IF(Table5[[#This Row],[cmbList]]="","",Table5[[#This Row],[cmbList]]-Table5[[#This Row],[Ovr]]))</f>
        <v/>
      </c>
      <c r="AD167" s="56" t="str">
        <f>IF(ISERROR(VLOOKUP($AB167&amp;"-"&amp;$E167&amp;" "&amp;F167,Bonuses!$B$1:$G$1006,4,FALSE)),"",INT(VLOOKUP($AB167&amp;"-"&amp;$E167&amp;" "&amp;$F167,Bonuses!$B$1:$G$1006,4,FALSE)))</f>
        <v/>
      </c>
      <c r="AE1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8" spans="1:31" s="52" customFormat="1" x14ac:dyDescent="0.25">
      <c r="A168" s="52">
        <v>6296</v>
      </c>
      <c r="B168" s="52">
        <f>COUNTIF(Table5[PID],A168)</f>
        <v>1</v>
      </c>
      <c r="C168" s="52" t="str">
        <f>IF(COUNTIF(Table3[[#All],[PID]],A168)&gt;0,"P","B")</f>
        <v>B</v>
      </c>
      <c r="D168" s="61" t="str">
        <f>IF($C168="B",INDEX(Batters[[#All],[POS]],MATCH(Table5[[#This Row],[PID]],Batters[[#All],[PID]],0)),INDEX(Table3[[#All],[POS]],MATCH(Table5[[#This Row],[PID]],Table3[[#All],[PID]],0)))</f>
        <v>C</v>
      </c>
      <c r="E168" s="54" t="str">
        <f>IF($C168="B",INDEX(Batters[[#All],[First]],MATCH(Table5[[#This Row],[PID]],Batters[[#All],[PID]],0)),INDEX(Table3[[#All],[First]],MATCH(Table5[[#This Row],[PID]],Table3[[#All],[PID]],0)))</f>
        <v>Jason</v>
      </c>
      <c r="F168" s="52" t="str">
        <f>IF($C168="B",INDEX(Batters[[#All],[Last]],MATCH(A168,Batters[[#All],[PID]],0)),INDEX(Table3[[#All],[Last]],MATCH(A168,Table3[[#All],[PID]],0)))</f>
        <v>Bain</v>
      </c>
      <c r="G168" s="58">
        <f>IF($C168="B",INDEX(Batters[[#All],[Age]],MATCH(Table5[[#This Row],[PID]],Batters[[#All],[PID]],0)),INDEX(Table3[[#All],[Age]],MATCH(Table5[[#This Row],[PID]],Table3[[#All],[PID]],0)))</f>
        <v>18</v>
      </c>
      <c r="H168" s="54" t="str">
        <f>IF($C168="B",INDEX(Batters[[#All],[B]],MATCH(Table5[[#This Row],[PID]],Batters[[#All],[PID]],0)),INDEX(Table3[[#All],[B]],MATCH(Table5[[#This Row],[PID]],Table3[[#All],[PID]],0)))</f>
        <v>L</v>
      </c>
      <c r="I168" s="54" t="str">
        <f>IF($C168="B",INDEX(Batters[[#All],[T]],MATCH(Table5[[#This Row],[PID]],Batters[[#All],[PID]],0)),INDEX(Table3[[#All],[T]],MATCH(Table5[[#This Row],[PID]],Table3[[#All],[PID]],0)))</f>
        <v>R</v>
      </c>
      <c r="J168" s="54" t="str">
        <f>IF($C168="B",INDEX(Batters[[#All],[WE]],MATCH(Table5[[#This Row],[PID]],Batters[[#All],[PID]],0)),INDEX(Table3[[#All],[WE]],MATCH(Table5[[#This Row],[PID]],Table3[[#All],[PID]],0)))</f>
        <v>Normal</v>
      </c>
      <c r="K168" s="54" t="str">
        <f>IF($C168="B",INDEX(Batters[[#All],[INT]],MATCH(Table5[[#This Row],[PID]],Batters[[#All],[PID]],0)),INDEX(Table3[[#All],[INT]],MATCH(Table5[[#This Row],[PID]],Table3[[#All],[PID]],0)))</f>
        <v>Normal</v>
      </c>
      <c r="L168" s="62">
        <f>IF($C168="B",INDEX(Batters[[#All],[CON P]],MATCH(Table5[[#This Row],[PID]],Batters[[#All],[PID]],0)),INDEX(Table3[[#All],[STU P]],MATCH(Table5[[#This Row],[PID]],Table3[[#All],[PID]],0)))</f>
        <v>4</v>
      </c>
      <c r="M168" s="58">
        <f>IF($C168="B",INDEX(Batters[[#All],[GAP P]],MATCH(Table5[[#This Row],[PID]],Batters[[#All],[PID]],0)),INDEX(Table3[[#All],[MOV P]],MATCH(Table5[[#This Row],[PID]],Table3[[#All],[PID]],0)))</f>
        <v>5</v>
      </c>
      <c r="N168" s="58">
        <f>IF($C168="B",INDEX(Batters[[#All],[POW P]],MATCH(Table5[[#This Row],[PID]],Batters[[#All],[PID]],0)),INDEX(Table3[[#All],[CON P]],MATCH(Table5[[#This Row],[PID]],Table3[[#All],[PID]],0)))</f>
        <v>4</v>
      </c>
      <c r="O168" s="58">
        <f>IF($C168="B",INDEX(Batters[[#All],[EYE P]],MATCH(Table5[[#This Row],[PID]],Batters[[#All],[PID]],0)),INDEX(Table3[[#All],[VELO]],MATCH(Table5[[#This Row],[PID]],Table3[[#All],[PID]],0)))</f>
        <v>4</v>
      </c>
      <c r="P168" s="58">
        <f>IF($C168="B",INDEX(Batters[[#All],[K P]],MATCH(Table5[[#This Row],[PID]],Batters[[#All],[PID]],0)),INDEX(Table3[[#All],[STM]],MATCH(Table5[[#This Row],[PID]],Table3[[#All],[PID]],0)))</f>
        <v>4</v>
      </c>
      <c r="Q168" s="63">
        <f>IF($C168="B",INDEX(Batters[[#All],[Tot]],MATCH(Table5[[#This Row],[PID]],Batters[[#All],[PID]],0)),INDEX(Table3[[#All],[Tot]],MATCH(Table5[[#This Row],[PID]],Table3[[#All],[PID]],0)))</f>
        <v>46.562420274648169</v>
      </c>
      <c r="R168" s="54">
        <f>IF($C168="B",INDEX(Batters[[#All],[zScore]],MATCH(Table5[[#This Row],[PID]],Batters[[#All],[PID]],0)),INDEX(Table3[[#All],[zScore]],MATCH(Table5[[#This Row],[PID]],Table3[[#All],[PID]],0)))</f>
        <v>1.0933424233768092</v>
      </c>
      <c r="S168" s="60" t="str">
        <f>IF($C168="B",INDEX(Batters[[#All],[DEM]],MATCH(Table5[[#This Row],[PID]],Batters[[#All],[PID]],0)),INDEX(Table3[[#All],[DEM]],MATCH(Table5[[#This Row],[PID]],Table3[[#All],[PID]],0)))</f>
        <v>$500k</v>
      </c>
      <c r="T168" s="64">
        <f>IF($C168="B",VLOOKUP($A168,Bat!$A$4:$AU$1417,46,FALSE),VLOOKUP($A168,Pit!$A$4:$BD$570,55,FALSE))</f>
        <v>0</v>
      </c>
      <c r="U168" s="52">
        <f>IF($C168="B",VLOOKUP($A168,Bat!$A$4:$BA$1417,47,FALSE),VLOOKUP($A168,Pit!$A$4:$BF$570,56,FALSE))</f>
        <v>0</v>
      </c>
      <c r="V168" s="52">
        <f>IF($C168="B",VLOOKUP($A168,Bat!$A$4:$BA$1417,48,FALSE),VLOOKUP($A168,Pit!$A$4:$BF$570,57,FALSE))</f>
        <v>0</v>
      </c>
      <c r="W168" s="52">
        <f>Table5[[#This Row],[posRnk]]+Table5[[#This Row],[zRnk]]+IF($W$3&lt;&gt;Table5[[#This Row],[Type]],50,0)</f>
        <v>214</v>
      </c>
      <c r="X168" s="53">
        <f>RANK(Table5[[#This Row],[zScore]],Table5[[#All],[zScore]])</f>
        <v>164</v>
      </c>
      <c r="Y168" s="52" t="str">
        <f>IFERROR(INDEX(DraftResults[[#All],[OVR]],MATCH(Table5[[#This Row],[PID]],DraftResults[[#All],[Player ID]],0)),"")</f>
        <v/>
      </c>
      <c r="Z1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8" s="52" t="str">
        <f>IFERROR(INDEX(DraftResults[[#All],[Pick in Round]],MATCH(Table5[[#This Row],[PID]],DraftResults[[#All],[Player ID]],0)),"")</f>
        <v/>
      </c>
      <c r="AB168" s="52" t="str">
        <f>IFERROR(INDEX(DraftResults[[#All],[Team Name]],MATCH(Table5[[#This Row],[PID]],DraftResults[[#All],[Player ID]],0)),"")</f>
        <v/>
      </c>
      <c r="AC168" s="52" t="str">
        <f>IF(Table5[[#This Row],[Ovr]]="","",IF(Table5[[#This Row],[cmbList]]="","",Table5[[#This Row],[cmbList]]-Table5[[#This Row],[Ovr]]))</f>
        <v/>
      </c>
      <c r="AD168" s="56" t="str">
        <f>IF(ISERROR(VLOOKUP($AB168&amp;"-"&amp;$E168&amp;" "&amp;F168,Bonuses!$B$1:$G$1006,4,FALSE)),"",INT(VLOOKUP($AB168&amp;"-"&amp;$E168&amp;" "&amp;$F168,Bonuses!$B$1:$G$1006,4,FALSE)))</f>
        <v/>
      </c>
      <c r="AE1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9" spans="1:31" s="52" customFormat="1" x14ac:dyDescent="0.25">
      <c r="A169" s="52">
        <v>6420</v>
      </c>
      <c r="B169" s="52">
        <f>COUNTIF(Table5[PID],A169)</f>
        <v>1</v>
      </c>
      <c r="C169" s="52" t="str">
        <f>IF(COUNTIF(Table3[[#All],[PID]],A169)&gt;0,"P","B")</f>
        <v>P</v>
      </c>
      <c r="D169" s="61" t="str">
        <f>IF($C169="B",INDEX(Batters[[#All],[POS]],MATCH(Table5[[#This Row],[PID]],Batters[[#All],[PID]],0)),INDEX(Table3[[#All],[POS]],MATCH(Table5[[#This Row],[PID]],Table3[[#All],[PID]],0)))</f>
        <v>RP</v>
      </c>
      <c r="E169" s="54" t="str">
        <f>IF($C169="B",INDEX(Batters[[#All],[First]],MATCH(Table5[[#This Row],[PID]],Batters[[#All],[PID]],0)),INDEX(Table3[[#All],[First]],MATCH(Table5[[#This Row],[PID]],Table3[[#All],[PID]],0)))</f>
        <v>Timmo</v>
      </c>
      <c r="F169" s="52" t="str">
        <f>IF($C169="B",INDEX(Batters[[#All],[Last]],MATCH(A169,Batters[[#All],[PID]],0)),INDEX(Table3[[#All],[Last]],MATCH(A169,Table3[[#All],[PID]],0)))</f>
        <v>Weerheim</v>
      </c>
      <c r="G169" s="58">
        <f>IF($C169="B",INDEX(Batters[[#All],[Age]],MATCH(Table5[[#This Row],[PID]],Batters[[#All],[PID]],0)),INDEX(Table3[[#All],[Age]],MATCH(Table5[[#This Row],[PID]],Table3[[#All],[PID]],0)))</f>
        <v>18</v>
      </c>
      <c r="H169" s="54" t="str">
        <f>IF($C169="B",INDEX(Batters[[#All],[B]],MATCH(Table5[[#This Row],[PID]],Batters[[#All],[PID]],0)),INDEX(Table3[[#All],[B]],MATCH(Table5[[#This Row],[PID]],Table3[[#All],[PID]],0)))</f>
        <v>L</v>
      </c>
      <c r="I169" s="54" t="str">
        <f>IF($C169="B",INDEX(Batters[[#All],[T]],MATCH(Table5[[#This Row],[PID]],Batters[[#All],[PID]],0)),INDEX(Table3[[#All],[T]],MATCH(Table5[[#This Row],[PID]],Table3[[#All],[PID]],0)))</f>
        <v>L</v>
      </c>
      <c r="J169" s="54" t="str">
        <f>IF($C169="B",INDEX(Batters[[#All],[WE]],MATCH(Table5[[#This Row],[PID]],Batters[[#All],[PID]],0)),INDEX(Table3[[#All],[WE]],MATCH(Table5[[#This Row],[PID]],Table3[[#All],[PID]],0)))</f>
        <v>Normal</v>
      </c>
      <c r="K169" s="54" t="str">
        <f>IF($C169="B",INDEX(Batters[[#All],[INT]],MATCH(Table5[[#This Row],[PID]],Batters[[#All],[PID]],0)),INDEX(Table3[[#All],[INT]],MATCH(Table5[[#This Row],[PID]],Table3[[#All],[PID]],0)))</f>
        <v>High</v>
      </c>
      <c r="L169" s="62">
        <f>IF($C169="B",INDEX(Batters[[#All],[CON P]],MATCH(Table5[[#This Row],[PID]],Batters[[#All],[PID]],0)),INDEX(Table3[[#All],[STU P]],MATCH(Table5[[#This Row],[PID]],Table3[[#All],[PID]],0)))</f>
        <v>3</v>
      </c>
      <c r="M169" s="58">
        <f>IF($C169="B",INDEX(Batters[[#All],[GAP P]],MATCH(Table5[[#This Row],[PID]],Batters[[#All],[PID]],0)),INDEX(Table3[[#All],[MOV P]],MATCH(Table5[[#This Row],[PID]],Table3[[#All],[PID]],0)))</f>
        <v>4</v>
      </c>
      <c r="N169" s="58">
        <f>IF($C169="B",INDEX(Batters[[#All],[POW P]],MATCH(Table5[[#This Row],[PID]],Batters[[#All],[PID]],0)),INDEX(Table3[[#All],[CON P]],MATCH(Table5[[#This Row],[PID]],Table3[[#All],[PID]],0)))</f>
        <v>4</v>
      </c>
      <c r="O169" s="58" t="str">
        <f>IF($C169="B",INDEX(Batters[[#All],[EYE P]],MATCH(Table5[[#This Row],[PID]],Batters[[#All],[PID]],0)),INDEX(Table3[[#All],[VELO]],MATCH(Table5[[#This Row],[PID]],Table3[[#All],[PID]],0)))</f>
        <v>85-87 Mph</v>
      </c>
      <c r="P169" s="58">
        <f>IF($C169="B",INDEX(Batters[[#All],[K P]],MATCH(Table5[[#This Row],[PID]],Batters[[#All],[PID]],0)),INDEX(Table3[[#All],[STM]],MATCH(Table5[[#This Row],[PID]],Table3[[#All],[PID]],0)))</f>
        <v>6</v>
      </c>
      <c r="Q169" s="63">
        <f>IF($C169="B",INDEX(Batters[[#All],[Tot]],MATCH(Table5[[#This Row],[PID]],Batters[[#All],[PID]],0)),INDEX(Table3[[#All],[Tot]],MATCH(Table5[[#This Row],[PID]],Table3[[#All],[PID]],0)))</f>
        <v>42.824320191562066</v>
      </c>
      <c r="R169" s="54">
        <f>IF($C169="B",INDEX(Batters[[#All],[zScore]],MATCH(Table5[[#This Row],[PID]],Batters[[#All],[PID]],0)),INDEX(Table3[[#All],[zScore]],MATCH(Table5[[#This Row],[PID]],Table3[[#All],[PID]],0)))</f>
        <v>1.0893165061705044</v>
      </c>
      <c r="S169" s="60" t="str">
        <f>IF($C169="B",INDEX(Batters[[#All],[DEM]],MATCH(Table5[[#This Row],[PID]],Batters[[#All],[PID]],0)),INDEX(Table3[[#All],[DEM]],MATCH(Table5[[#This Row],[PID]],Table3[[#All],[PID]],0)))</f>
        <v>$130k</v>
      </c>
      <c r="T169" s="64">
        <f>IF($C169="B",VLOOKUP($A169,Bat!$A$4:$AU$1417,46,FALSE),VLOOKUP($A169,Pit!$A$4:$BD$570,55,FALSE))</f>
        <v>0</v>
      </c>
      <c r="U169" s="52">
        <f>IF($C169="B",VLOOKUP($A169,Bat!$A$4:$BA$1417,47,FALSE),VLOOKUP($A169,Pit!$A$4:$BF$570,56,FALSE))</f>
        <v>0</v>
      </c>
      <c r="V169" s="52">
        <f>IF($C169="B",VLOOKUP($A169,Bat!$A$4:$BA$1417,48,FALSE),VLOOKUP($A169,Pit!$A$4:$BF$570,57,FALSE))</f>
        <v>0</v>
      </c>
      <c r="W169" s="52">
        <f>Table5[[#This Row],[posRnk]]+Table5[[#This Row],[zRnk]]+IF($W$3&lt;&gt;Table5[[#This Row],[Type]],50,0)</f>
        <v>215</v>
      </c>
      <c r="X169" s="53">
        <f>RANK(Table5[[#This Row],[zScore]],Table5[[#All],[zScore]])</f>
        <v>165</v>
      </c>
      <c r="Y169" s="52" t="str">
        <f>IFERROR(INDEX(DraftResults[[#All],[OVR]],MATCH(Table5[[#This Row],[PID]],DraftResults[[#All],[Player ID]],0)),"")</f>
        <v/>
      </c>
      <c r="Z1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9" s="52" t="str">
        <f>IFERROR(INDEX(DraftResults[[#All],[Pick in Round]],MATCH(Table5[[#This Row],[PID]],DraftResults[[#All],[Player ID]],0)),"")</f>
        <v/>
      </c>
      <c r="AB169" s="52" t="str">
        <f>IFERROR(INDEX(DraftResults[[#All],[Team Name]],MATCH(Table5[[#This Row],[PID]],DraftResults[[#All],[Player ID]],0)),"")</f>
        <v/>
      </c>
      <c r="AC169" s="52" t="str">
        <f>IF(Table5[[#This Row],[Ovr]]="","",IF(Table5[[#This Row],[cmbList]]="","",Table5[[#This Row],[cmbList]]-Table5[[#This Row],[Ovr]]))</f>
        <v/>
      </c>
      <c r="AD169" s="56" t="str">
        <f>IF(ISERROR(VLOOKUP($AB169&amp;"-"&amp;$E169&amp;" "&amp;F169,Bonuses!$B$1:$G$1006,4,FALSE)),"",INT(VLOOKUP($AB169&amp;"-"&amp;$E169&amp;" "&amp;$F169,Bonuses!$B$1:$G$1006,4,FALSE)))</f>
        <v/>
      </c>
      <c r="AE1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0" spans="1:31" s="52" customFormat="1" x14ac:dyDescent="0.25">
      <c r="A170" s="52">
        <v>8172</v>
      </c>
      <c r="B170" s="57">
        <f>COUNTIF(Table5[PID],A170)</f>
        <v>1</v>
      </c>
      <c r="C170" s="57" t="str">
        <f>IF(COUNTIF(Table3[[#All],[PID]],A170)&gt;0,"P","B")</f>
        <v>B</v>
      </c>
      <c r="D170" s="61" t="str">
        <f>IF($C170="B",INDEX(Batters[[#All],[POS]],MATCH(Table5[[#This Row],[PID]],Batters[[#All],[PID]],0)),INDEX(Table3[[#All],[POS]],MATCH(Table5[[#This Row],[PID]],Table3[[#All],[PID]],0)))</f>
        <v>RF</v>
      </c>
      <c r="E170" s="54" t="str">
        <f>IF($C170="B",INDEX(Batters[[#All],[First]],MATCH(Table5[[#This Row],[PID]],Batters[[#All],[PID]],0)),INDEX(Table3[[#All],[First]],MATCH(Table5[[#This Row],[PID]],Table3[[#All],[PID]],0)))</f>
        <v>Ángel</v>
      </c>
      <c r="F170" s="52" t="str">
        <f>IF($C170="B",INDEX(Batters[[#All],[Last]],MATCH(A170,Batters[[#All],[PID]],0)),INDEX(Table3[[#All],[Last]],MATCH(A170,Table3[[#All],[PID]],0)))</f>
        <v>Oliveros</v>
      </c>
      <c r="G170" s="58">
        <f>IF($C170="B",INDEX(Batters[[#All],[Age]],MATCH(Table5[[#This Row],[PID]],Batters[[#All],[PID]],0)),INDEX(Table3[[#All],[Age]],MATCH(Table5[[#This Row],[PID]],Table3[[#All],[PID]],0)))</f>
        <v>18</v>
      </c>
      <c r="H170" s="54" t="str">
        <f>IF($C170="B",INDEX(Batters[[#All],[B]],MATCH(Table5[[#This Row],[PID]],Batters[[#All],[PID]],0)),INDEX(Table3[[#All],[B]],MATCH(Table5[[#This Row],[PID]],Table3[[#All],[PID]],0)))</f>
        <v>L</v>
      </c>
      <c r="I170" s="54" t="str">
        <f>IF($C170="B",INDEX(Batters[[#All],[T]],MATCH(Table5[[#This Row],[PID]],Batters[[#All],[PID]],0)),INDEX(Table3[[#All],[T]],MATCH(Table5[[#This Row],[PID]],Table3[[#All],[PID]],0)))</f>
        <v>L</v>
      </c>
      <c r="J170" s="54" t="str">
        <f>IF($C170="B",INDEX(Batters[[#All],[WE]],MATCH(Table5[[#This Row],[PID]],Batters[[#All],[PID]],0)),INDEX(Table3[[#All],[WE]],MATCH(Table5[[#This Row],[PID]],Table3[[#All],[PID]],0)))</f>
        <v>Low</v>
      </c>
      <c r="K170" s="54" t="str">
        <f>IF($C170="B",INDEX(Batters[[#All],[INT]],MATCH(Table5[[#This Row],[PID]],Batters[[#All],[PID]],0)),INDEX(Table3[[#All],[INT]],MATCH(Table5[[#This Row],[PID]],Table3[[#All],[PID]],0)))</f>
        <v>Normal</v>
      </c>
      <c r="L170" s="62">
        <f>IF($C170="B",INDEX(Batters[[#All],[CON P]],MATCH(Table5[[#This Row],[PID]],Batters[[#All],[PID]],0)),INDEX(Table3[[#All],[STU P]],MATCH(Table5[[#This Row],[PID]],Table3[[#All],[PID]],0)))</f>
        <v>4</v>
      </c>
      <c r="M170" s="58">
        <f>IF($C170="B",INDEX(Batters[[#All],[GAP P]],MATCH(Table5[[#This Row],[PID]],Batters[[#All],[PID]],0)),INDEX(Table3[[#All],[MOV P]],MATCH(Table5[[#This Row],[PID]],Table3[[#All],[PID]],0)))</f>
        <v>3</v>
      </c>
      <c r="N170" s="58">
        <f>IF($C170="B",INDEX(Batters[[#All],[POW P]],MATCH(Table5[[#This Row],[PID]],Batters[[#All],[PID]],0)),INDEX(Table3[[#All],[CON P]],MATCH(Table5[[#This Row],[PID]],Table3[[#All],[PID]],0)))</f>
        <v>6</v>
      </c>
      <c r="O170" s="58">
        <f>IF($C170="B",INDEX(Batters[[#All],[EYE P]],MATCH(Table5[[#This Row],[PID]],Batters[[#All],[PID]],0)),INDEX(Table3[[#All],[VELO]],MATCH(Table5[[#This Row],[PID]],Table3[[#All],[PID]],0)))</f>
        <v>4</v>
      </c>
      <c r="P170" s="58">
        <f>IF($C170="B",INDEX(Batters[[#All],[K P]],MATCH(Table5[[#This Row],[PID]],Batters[[#All],[PID]],0)),INDEX(Table3[[#All],[STM]],MATCH(Table5[[#This Row],[PID]],Table3[[#All],[PID]],0)))</f>
        <v>3</v>
      </c>
      <c r="Q170" s="63">
        <f>IF($C170="B",INDEX(Batters[[#All],[Tot]],MATCH(Table5[[#This Row],[PID]],Batters[[#All],[PID]],0)),INDEX(Table3[[#All],[Tot]],MATCH(Table5[[#This Row],[PID]],Table3[[#All],[PID]],0)))</f>
        <v>46.516101532426305</v>
      </c>
      <c r="R170" s="54">
        <f>IF($C170="B",INDEX(Batters[[#All],[zScore]],MATCH(Table5[[#This Row],[PID]],Batters[[#All],[PID]],0)),INDEX(Table3[[#All],[zScore]],MATCH(Table5[[#This Row],[PID]],Table3[[#All],[PID]],0)))</f>
        <v>1.0851929485312852</v>
      </c>
      <c r="S170" s="60" t="str">
        <f>IF($C170="B",INDEX(Batters[[#All],[DEM]],MATCH(Table5[[#This Row],[PID]],Batters[[#All],[PID]],0)),INDEX(Table3[[#All],[DEM]],MATCH(Table5[[#This Row],[PID]],Table3[[#All],[PID]],0)))</f>
        <v>$200k</v>
      </c>
      <c r="T170" s="64">
        <f>IF($C170="B",VLOOKUP($A170,Bat!$A$4:$AU$1417,46,FALSE),VLOOKUP($A170,Pit!$A$4:$BD$570,55,FALSE))</f>
        <v>0</v>
      </c>
      <c r="U170" s="52">
        <f>IF($C170="B",VLOOKUP($A170,Bat!$A$4:$BA$1417,47,FALSE),VLOOKUP($A170,Pit!$A$4:$BF$570,56,FALSE))</f>
        <v>0</v>
      </c>
      <c r="V170" s="52">
        <f>IF($C170="B",VLOOKUP($A170,Bat!$A$4:$BA$1417,48,FALSE),VLOOKUP($A170,Pit!$A$4:$BF$570,57,FALSE))</f>
        <v>0</v>
      </c>
      <c r="W170" s="52">
        <f>Table5[[#This Row],[posRnk]]+Table5[[#This Row],[zRnk]]+IF($W$3&lt;&gt;Table5[[#This Row],[Type]],50,0)</f>
        <v>216</v>
      </c>
      <c r="X170" s="53">
        <f>RANK(Table5[[#This Row],[zScore]],Table5[[#All],[zScore]])</f>
        <v>166</v>
      </c>
      <c r="Y170" s="52" t="str">
        <f>IFERROR(INDEX(DraftResults[[#All],[OVR]],MATCH(Table5[[#This Row],[PID]],DraftResults[[#All],[Player ID]],0)),"")</f>
        <v/>
      </c>
      <c r="Z1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0" s="52" t="str">
        <f>IFERROR(INDEX(DraftResults[[#All],[Pick in Round]],MATCH(Table5[[#This Row],[PID]],DraftResults[[#All],[Player ID]],0)),"")</f>
        <v/>
      </c>
      <c r="AB170" s="52" t="str">
        <f>IFERROR(INDEX(DraftResults[[#All],[Team Name]],MATCH(Table5[[#This Row],[PID]],DraftResults[[#All],[Player ID]],0)),"")</f>
        <v/>
      </c>
      <c r="AC170" s="52" t="str">
        <f>IF(Table5[[#This Row],[Ovr]]="","",IF(Table5[[#This Row],[cmbList]]="","",Table5[[#This Row],[cmbList]]-Table5[[#This Row],[Ovr]]))</f>
        <v/>
      </c>
      <c r="AD170" s="56" t="str">
        <f>IF(ISERROR(VLOOKUP($AB170&amp;"-"&amp;$E170&amp;" "&amp;F170,Bonuses!$B$1:$G$1006,4,FALSE)),"",INT(VLOOKUP($AB170&amp;"-"&amp;$E170&amp;" "&amp;$F170,Bonuses!$B$1:$G$1006,4,FALSE)))</f>
        <v/>
      </c>
      <c r="AE1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1" spans="1:31" s="52" customFormat="1" x14ac:dyDescent="0.25">
      <c r="A171" s="52">
        <v>6331</v>
      </c>
      <c r="B171" s="52">
        <f>COUNTIF(Table5[PID],A171)</f>
        <v>1</v>
      </c>
      <c r="C171" s="52" t="str">
        <f>IF(COUNTIF(Table3[[#All],[PID]],A171)&gt;0,"P","B")</f>
        <v>B</v>
      </c>
      <c r="D171" s="61" t="str">
        <f>IF($C171="B",INDEX(Batters[[#All],[POS]],MATCH(Table5[[#This Row],[PID]],Batters[[#All],[PID]],0)),INDEX(Table3[[#All],[POS]],MATCH(Table5[[#This Row],[PID]],Table3[[#All],[PID]],0)))</f>
        <v>1B</v>
      </c>
      <c r="E171" s="54" t="str">
        <f>IF($C171="B",INDEX(Batters[[#All],[First]],MATCH(Table5[[#This Row],[PID]],Batters[[#All],[PID]],0)),INDEX(Table3[[#All],[First]],MATCH(Table5[[#This Row],[PID]],Table3[[#All],[PID]],0)))</f>
        <v>Joseph</v>
      </c>
      <c r="F171" s="52" t="str">
        <f>IF($C171="B",INDEX(Batters[[#All],[Last]],MATCH(A171,Batters[[#All],[PID]],0)),INDEX(Table3[[#All],[Last]],MATCH(A171,Table3[[#All],[PID]],0)))</f>
        <v>Chaundler</v>
      </c>
      <c r="G171" s="58">
        <f>IF($C171="B",INDEX(Batters[[#All],[Age]],MATCH(Table5[[#This Row],[PID]],Batters[[#All],[PID]],0)),INDEX(Table3[[#All],[Age]],MATCH(Table5[[#This Row],[PID]],Table3[[#All],[PID]],0)))</f>
        <v>18</v>
      </c>
      <c r="H171" s="54" t="str">
        <f>IF($C171="B",INDEX(Batters[[#All],[B]],MATCH(Table5[[#This Row],[PID]],Batters[[#All],[PID]],0)),INDEX(Table3[[#All],[B]],MATCH(Table5[[#This Row],[PID]],Table3[[#All],[PID]],0)))</f>
        <v>R</v>
      </c>
      <c r="I171" s="54" t="str">
        <f>IF($C171="B",INDEX(Batters[[#All],[T]],MATCH(Table5[[#This Row],[PID]],Batters[[#All],[PID]],0)),INDEX(Table3[[#All],[T]],MATCH(Table5[[#This Row],[PID]],Table3[[#All],[PID]],0)))</f>
        <v>R</v>
      </c>
      <c r="J171" s="54" t="str">
        <f>IF($C171="B",INDEX(Batters[[#All],[WE]],MATCH(Table5[[#This Row],[PID]],Batters[[#All],[PID]],0)),INDEX(Table3[[#All],[WE]],MATCH(Table5[[#This Row],[PID]],Table3[[#All],[PID]],0)))</f>
        <v>Normal</v>
      </c>
      <c r="K171" s="54" t="str">
        <f>IF($C171="B",INDEX(Batters[[#All],[INT]],MATCH(Table5[[#This Row],[PID]],Batters[[#All],[PID]],0)),INDEX(Table3[[#All],[INT]],MATCH(Table5[[#This Row],[PID]],Table3[[#All],[PID]],0)))</f>
        <v>Normal</v>
      </c>
      <c r="L171" s="62">
        <f>IF($C171="B",INDEX(Batters[[#All],[CON P]],MATCH(Table5[[#This Row],[PID]],Batters[[#All],[PID]],0)),INDEX(Table3[[#All],[STU P]],MATCH(Table5[[#This Row],[PID]],Table3[[#All],[PID]],0)))</f>
        <v>4</v>
      </c>
      <c r="M171" s="58">
        <f>IF($C171="B",INDEX(Batters[[#All],[GAP P]],MATCH(Table5[[#This Row],[PID]],Batters[[#All],[PID]],0)),INDEX(Table3[[#All],[MOV P]],MATCH(Table5[[#This Row],[PID]],Table3[[#All],[PID]],0)))</f>
        <v>3</v>
      </c>
      <c r="N171" s="58">
        <f>IF($C171="B",INDEX(Batters[[#All],[POW P]],MATCH(Table5[[#This Row],[PID]],Batters[[#All],[PID]],0)),INDEX(Table3[[#All],[CON P]],MATCH(Table5[[#This Row],[PID]],Table3[[#All],[PID]],0)))</f>
        <v>3</v>
      </c>
      <c r="O171" s="58">
        <f>IF($C171="B",INDEX(Batters[[#All],[EYE P]],MATCH(Table5[[#This Row],[PID]],Batters[[#All],[PID]],0)),INDEX(Table3[[#All],[VELO]],MATCH(Table5[[#This Row],[PID]],Table3[[#All],[PID]],0)))</f>
        <v>6</v>
      </c>
      <c r="P171" s="58">
        <f>IF($C171="B",INDEX(Batters[[#All],[K P]],MATCH(Table5[[#This Row],[PID]],Batters[[#All],[PID]],0)),INDEX(Table3[[#All],[STM]],MATCH(Table5[[#This Row],[PID]],Table3[[#All],[PID]],0)))</f>
        <v>4</v>
      </c>
      <c r="Q171" s="63">
        <f>IF($C171="B",INDEX(Batters[[#All],[Tot]],MATCH(Table5[[#This Row],[PID]],Batters[[#All],[PID]],0)),INDEX(Table3[[#All],[Tot]],MATCH(Table5[[#This Row],[PID]],Table3[[#All],[PID]],0)))</f>
        <v>46.488168447780538</v>
      </c>
      <c r="R171" s="54">
        <f>IF($C171="B",INDEX(Batters[[#All],[zScore]],MATCH(Table5[[#This Row],[PID]],Batters[[#All],[PID]],0)),INDEX(Table3[[#All],[zScore]],MATCH(Table5[[#This Row],[PID]],Table3[[#All],[PID]],0)))</f>
        <v>1.0802783079396174</v>
      </c>
      <c r="S171" s="60" t="str">
        <f>IF($C171="B",INDEX(Batters[[#All],[DEM]],MATCH(Table5[[#This Row],[PID]],Batters[[#All],[PID]],0)),INDEX(Table3[[#All],[DEM]],MATCH(Table5[[#This Row],[PID]],Table3[[#All],[PID]],0)))</f>
        <v>$38k</v>
      </c>
      <c r="T171" s="64">
        <f>IF($C171="B",VLOOKUP($A171,Bat!$A$4:$AU$1417,46,FALSE),VLOOKUP($A171,Pit!$A$4:$BD$570,55,FALSE))</f>
        <v>0</v>
      </c>
      <c r="U171" s="52">
        <f>IF($C171="B",VLOOKUP($A171,Bat!$A$4:$BA$1417,47,FALSE),VLOOKUP($A171,Pit!$A$4:$BF$570,56,FALSE))</f>
        <v>0</v>
      </c>
      <c r="V171" s="52">
        <f>IF($C171="B",VLOOKUP($A171,Bat!$A$4:$BA$1417,48,FALSE),VLOOKUP($A171,Pit!$A$4:$BF$570,57,FALSE))</f>
        <v>0</v>
      </c>
      <c r="W171" s="52">
        <f>Table5[[#This Row],[posRnk]]+Table5[[#This Row],[zRnk]]+IF($W$3&lt;&gt;Table5[[#This Row],[Type]],50,0)</f>
        <v>217</v>
      </c>
      <c r="X171" s="53">
        <f>RANK(Table5[[#This Row],[zScore]],Table5[[#All],[zScore]])</f>
        <v>167</v>
      </c>
      <c r="Y171" s="52" t="str">
        <f>IFERROR(INDEX(DraftResults[[#All],[OVR]],MATCH(Table5[[#This Row],[PID]],DraftResults[[#All],[Player ID]],0)),"")</f>
        <v/>
      </c>
      <c r="Z1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1" s="52" t="str">
        <f>IFERROR(INDEX(DraftResults[[#All],[Pick in Round]],MATCH(Table5[[#This Row],[PID]],DraftResults[[#All],[Player ID]],0)),"")</f>
        <v/>
      </c>
      <c r="AB171" s="52" t="str">
        <f>IFERROR(INDEX(DraftResults[[#All],[Team Name]],MATCH(Table5[[#This Row],[PID]],DraftResults[[#All],[Player ID]],0)),"")</f>
        <v/>
      </c>
      <c r="AC171" s="52" t="str">
        <f>IF(Table5[[#This Row],[Ovr]]="","",IF(Table5[[#This Row],[cmbList]]="","",Table5[[#This Row],[cmbList]]-Table5[[#This Row],[Ovr]]))</f>
        <v/>
      </c>
      <c r="AD171" s="56" t="str">
        <f>IF(ISERROR(VLOOKUP($AB171&amp;"-"&amp;$E171&amp;" "&amp;F171,Bonuses!$B$1:$G$1006,4,FALSE)),"",INT(VLOOKUP($AB171&amp;"-"&amp;$E171&amp;" "&amp;$F171,Bonuses!$B$1:$G$1006,4,FALSE)))</f>
        <v/>
      </c>
      <c r="AE1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2" spans="1:31" s="52" customFormat="1" x14ac:dyDescent="0.25">
      <c r="A172" s="52">
        <v>7731</v>
      </c>
      <c r="B172" s="52">
        <f>COUNTIF(Table5[PID],A172)</f>
        <v>1</v>
      </c>
      <c r="C172" s="52" t="str">
        <f>IF(COUNTIF(Table3[[#All],[PID]],A172)&gt;0,"P","B")</f>
        <v>B</v>
      </c>
      <c r="D172" s="61" t="str">
        <f>IF($C172="B",INDEX(Batters[[#All],[POS]],MATCH(Table5[[#This Row],[PID]],Batters[[#All],[PID]],0)),INDEX(Table3[[#All],[POS]],MATCH(Table5[[#This Row],[PID]],Table3[[#All],[PID]],0)))</f>
        <v>LF</v>
      </c>
      <c r="E172" s="54" t="str">
        <f>IF($C172="B",INDEX(Batters[[#All],[First]],MATCH(Table5[[#This Row],[PID]],Batters[[#All],[PID]],0)),INDEX(Table3[[#All],[First]],MATCH(Table5[[#This Row],[PID]],Table3[[#All],[PID]],0)))</f>
        <v>Royce</v>
      </c>
      <c r="F172" s="52" t="str">
        <f>IF($C172="B",INDEX(Batters[[#All],[Last]],MATCH(A172,Batters[[#All],[PID]],0)),INDEX(Table3[[#All],[Last]],MATCH(A172,Table3[[#All],[PID]],0)))</f>
        <v>Greene</v>
      </c>
      <c r="G172" s="58">
        <f>IF($C172="B",INDEX(Batters[[#All],[Age]],MATCH(Table5[[#This Row],[PID]],Batters[[#All],[PID]],0)),INDEX(Table3[[#All],[Age]],MATCH(Table5[[#This Row],[PID]],Table3[[#All],[PID]],0)))</f>
        <v>18</v>
      </c>
      <c r="H172" s="54" t="str">
        <f>IF($C172="B",INDEX(Batters[[#All],[B]],MATCH(Table5[[#This Row],[PID]],Batters[[#All],[PID]],0)),INDEX(Table3[[#All],[B]],MATCH(Table5[[#This Row],[PID]],Table3[[#All],[PID]],0)))</f>
        <v>L</v>
      </c>
      <c r="I172" s="54" t="str">
        <f>IF($C172="B",INDEX(Batters[[#All],[T]],MATCH(Table5[[#This Row],[PID]],Batters[[#All],[PID]],0)),INDEX(Table3[[#All],[T]],MATCH(Table5[[#This Row],[PID]],Table3[[#All],[PID]],0)))</f>
        <v>L</v>
      </c>
      <c r="J172" s="54" t="str">
        <f>IF($C172="B",INDEX(Batters[[#All],[WE]],MATCH(Table5[[#This Row],[PID]],Batters[[#All],[PID]],0)),INDEX(Table3[[#All],[WE]],MATCH(Table5[[#This Row],[PID]],Table3[[#All],[PID]],0)))</f>
        <v>Normal</v>
      </c>
      <c r="K172" s="54" t="str">
        <f>IF($C172="B",INDEX(Batters[[#All],[INT]],MATCH(Table5[[#This Row],[PID]],Batters[[#All],[PID]],0)),INDEX(Table3[[#All],[INT]],MATCH(Table5[[#This Row],[PID]],Table3[[#All],[PID]],0)))</f>
        <v>Normal</v>
      </c>
      <c r="L172" s="62">
        <f>IF($C172="B",INDEX(Batters[[#All],[CON P]],MATCH(Table5[[#This Row],[PID]],Batters[[#All],[PID]],0)),INDEX(Table3[[#All],[STU P]],MATCH(Table5[[#This Row],[PID]],Table3[[#All],[PID]],0)))</f>
        <v>4</v>
      </c>
      <c r="M172" s="58">
        <f>IF($C172="B",INDEX(Batters[[#All],[GAP P]],MATCH(Table5[[#This Row],[PID]],Batters[[#All],[PID]],0)),INDEX(Table3[[#All],[MOV P]],MATCH(Table5[[#This Row],[PID]],Table3[[#All],[PID]],0)))</f>
        <v>4</v>
      </c>
      <c r="N172" s="58">
        <f>IF($C172="B",INDEX(Batters[[#All],[POW P]],MATCH(Table5[[#This Row],[PID]],Batters[[#All],[PID]],0)),INDEX(Table3[[#All],[CON P]],MATCH(Table5[[#This Row],[PID]],Table3[[#All],[PID]],0)))</f>
        <v>4</v>
      </c>
      <c r="O172" s="58">
        <f>IF($C172="B",INDEX(Batters[[#All],[EYE P]],MATCH(Table5[[#This Row],[PID]],Batters[[#All],[PID]],0)),INDEX(Table3[[#All],[VELO]],MATCH(Table5[[#This Row],[PID]],Table3[[#All],[PID]],0)))</f>
        <v>4</v>
      </c>
      <c r="P172" s="58">
        <f>IF($C172="B",INDEX(Batters[[#All],[K P]],MATCH(Table5[[#This Row],[PID]],Batters[[#All],[PID]],0)),INDEX(Table3[[#All],[STM]],MATCH(Table5[[#This Row],[PID]],Table3[[#All],[PID]],0)))</f>
        <v>5</v>
      </c>
      <c r="Q172" s="63">
        <f>IF($C172="B",INDEX(Batters[[#All],[Tot]],MATCH(Table5[[#This Row],[PID]],Batters[[#All],[PID]],0)),INDEX(Table3[[#All],[Tot]],MATCH(Table5[[#This Row],[PID]],Table3[[#All],[PID]],0)))</f>
        <v>46.387430237484722</v>
      </c>
      <c r="R172" s="54">
        <f>IF($C172="B",INDEX(Batters[[#All],[zScore]],MATCH(Table5[[#This Row],[PID]],Batters[[#All],[PID]],0)),INDEX(Table3[[#All],[zScore]],MATCH(Table5[[#This Row],[PID]],Table3[[#All],[PID]],0)))</f>
        <v>1.0625540893747758</v>
      </c>
      <c r="S172" s="60" t="str">
        <f>IF($C172="B",INDEX(Batters[[#All],[DEM]],MATCH(Table5[[#This Row],[PID]],Batters[[#All],[PID]],0)),INDEX(Table3[[#All],[DEM]],MATCH(Table5[[#This Row],[PID]],Table3[[#All],[PID]],0)))</f>
        <v>$240k</v>
      </c>
      <c r="T172" s="64">
        <f>IF($C172="B",VLOOKUP($A172,Bat!$A$4:$AU$1417,46,FALSE),VLOOKUP($A172,Pit!$A$4:$BD$570,55,FALSE))</f>
        <v>0</v>
      </c>
      <c r="U172" s="52">
        <f>IF($C172="B",VLOOKUP($A172,Bat!$A$4:$BA$1417,47,FALSE),VLOOKUP($A172,Pit!$A$4:$BF$570,56,FALSE))</f>
        <v>0</v>
      </c>
      <c r="V172" s="52">
        <f>IF($C172="B",VLOOKUP($A172,Bat!$A$4:$BA$1417,48,FALSE),VLOOKUP($A172,Pit!$A$4:$BF$570,57,FALSE))</f>
        <v>0</v>
      </c>
      <c r="W172" s="52">
        <f>Table5[[#This Row],[posRnk]]+Table5[[#This Row],[zRnk]]+IF($W$3&lt;&gt;Table5[[#This Row],[Type]],50,0)</f>
        <v>218</v>
      </c>
      <c r="X172" s="53">
        <f>RANK(Table5[[#This Row],[zScore]],Table5[[#All],[zScore]])</f>
        <v>168</v>
      </c>
      <c r="Y172" s="52" t="str">
        <f>IFERROR(INDEX(DraftResults[[#All],[OVR]],MATCH(Table5[[#This Row],[PID]],DraftResults[[#All],[Player ID]],0)),"")</f>
        <v/>
      </c>
      <c r="Z1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2" s="52" t="str">
        <f>IFERROR(INDEX(DraftResults[[#All],[Pick in Round]],MATCH(Table5[[#This Row],[PID]],DraftResults[[#All],[Player ID]],0)),"")</f>
        <v/>
      </c>
      <c r="AB172" s="52" t="str">
        <f>IFERROR(INDEX(DraftResults[[#All],[Team Name]],MATCH(Table5[[#This Row],[PID]],DraftResults[[#All],[Player ID]],0)),"")</f>
        <v/>
      </c>
      <c r="AC172" s="52" t="str">
        <f>IF(Table5[[#This Row],[Ovr]]="","",IF(Table5[[#This Row],[cmbList]]="","",Table5[[#This Row],[cmbList]]-Table5[[#This Row],[Ovr]]))</f>
        <v/>
      </c>
      <c r="AD172" s="56" t="str">
        <f>IF(ISERROR(VLOOKUP($AB172&amp;"-"&amp;$E172&amp;" "&amp;F172,Bonuses!$B$1:$G$1006,4,FALSE)),"",INT(VLOOKUP($AB172&amp;"-"&amp;$E172&amp;" "&amp;$F172,Bonuses!$B$1:$G$1006,4,FALSE)))</f>
        <v/>
      </c>
      <c r="AE1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3" spans="1:31" s="52" customFormat="1" x14ac:dyDescent="0.25">
      <c r="A173" s="52">
        <v>8049</v>
      </c>
      <c r="B173" s="52">
        <f>COUNTIF(Table5[PID],A173)</f>
        <v>1</v>
      </c>
      <c r="C173" s="52" t="str">
        <f>IF(COUNTIF(Table3[[#All],[PID]],A173)&gt;0,"P","B")</f>
        <v>B</v>
      </c>
      <c r="D173" s="61" t="str">
        <f>IF($C173="B",INDEX(Batters[[#All],[POS]],MATCH(Table5[[#This Row],[PID]],Batters[[#All],[PID]],0)),INDEX(Table3[[#All],[POS]],MATCH(Table5[[#This Row],[PID]],Table3[[#All],[PID]],0)))</f>
        <v>2B</v>
      </c>
      <c r="E173" s="54" t="str">
        <f>IF($C173="B",INDEX(Batters[[#All],[First]],MATCH(Table5[[#This Row],[PID]],Batters[[#All],[PID]],0)),INDEX(Table3[[#All],[First]],MATCH(Table5[[#This Row],[PID]],Table3[[#All],[PID]],0)))</f>
        <v>Roberto</v>
      </c>
      <c r="F173" s="52" t="str">
        <f>IF($C173="B",INDEX(Batters[[#All],[Last]],MATCH(A173,Batters[[#All],[PID]],0)),INDEX(Table3[[#All],[Last]],MATCH(A173,Table3[[#All],[PID]],0)))</f>
        <v>López</v>
      </c>
      <c r="G173" s="58">
        <f>IF($C173="B",INDEX(Batters[[#All],[Age]],MATCH(Table5[[#This Row],[PID]],Batters[[#All],[PID]],0)),INDEX(Table3[[#All],[Age]],MATCH(Table5[[#This Row],[PID]],Table3[[#All],[PID]],0)))</f>
        <v>18</v>
      </c>
      <c r="H173" s="54" t="str">
        <f>IF($C173="B",INDEX(Batters[[#All],[B]],MATCH(Table5[[#This Row],[PID]],Batters[[#All],[PID]],0)),INDEX(Table3[[#All],[B]],MATCH(Table5[[#This Row],[PID]],Table3[[#All],[PID]],0)))</f>
        <v>R</v>
      </c>
      <c r="I173" s="54" t="str">
        <f>IF($C173="B",INDEX(Batters[[#All],[T]],MATCH(Table5[[#This Row],[PID]],Batters[[#All],[PID]],0)),INDEX(Table3[[#All],[T]],MATCH(Table5[[#This Row],[PID]],Table3[[#All],[PID]],0)))</f>
        <v>R</v>
      </c>
      <c r="J173" s="54" t="str">
        <f>IF($C173="B",INDEX(Batters[[#All],[WE]],MATCH(Table5[[#This Row],[PID]],Batters[[#All],[PID]],0)),INDEX(Table3[[#All],[WE]],MATCH(Table5[[#This Row],[PID]],Table3[[#All],[PID]],0)))</f>
        <v>High</v>
      </c>
      <c r="K173" s="54" t="str">
        <f>IF($C173="B",INDEX(Batters[[#All],[INT]],MATCH(Table5[[#This Row],[PID]],Batters[[#All],[PID]],0)),INDEX(Table3[[#All],[INT]],MATCH(Table5[[#This Row],[PID]],Table3[[#All],[PID]],0)))</f>
        <v>Normal</v>
      </c>
      <c r="L173" s="62">
        <f>IF($C173="B",INDEX(Batters[[#All],[CON P]],MATCH(Table5[[#This Row],[PID]],Batters[[#All],[PID]],0)),INDEX(Table3[[#All],[STU P]],MATCH(Table5[[#This Row],[PID]],Table3[[#All],[PID]],0)))</f>
        <v>4</v>
      </c>
      <c r="M173" s="58">
        <f>IF($C173="B",INDEX(Batters[[#All],[GAP P]],MATCH(Table5[[#This Row],[PID]],Batters[[#All],[PID]],0)),INDEX(Table3[[#All],[MOV P]],MATCH(Table5[[#This Row],[PID]],Table3[[#All],[PID]],0)))</f>
        <v>4</v>
      </c>
      <c r="N173" s="58">
        <f>IF($C173="B",INDEX(Batters[[#All],[POW P]],MATCH(Table5[[#This Row],[PID]],Batters[[#All],[PID]],0)),INDEX(Table3[[#All],[CON P]],MATCH(Table5[[#This Row],[PID]],Table3[[#All],[PID]],0)))</f>
        <v>3</v>
      </c>
      <c r="O173" s="58">
        <f>IF($C173="B",INDEX(Batters[[#All],[EYE P]],MATCH(Table5[[#This Row],[PID]],Batters[[#All],[PID]],0)),INDEX(Table3[[#All],[VELO]],MATCH(Table5[[#This Row],[PID]],Table3[[#All],[PID]],0)))</f>
        <v>4</v>
      </c>
      <c r="P173" s="58">
        <f>IF($C173="B",INDEX(Batters[[#All],[K P]],MATCH(Table5[[#This Row],[PID]],Batters[[#All],[PID]],0)),INDEX(Table3[[#All],[STM]],MATCH(Table5[[#This Row],[PID]],Table3[[#All],[PID]],0)))</f>
        <v>6</v>
      </c>
      <c r="Q173" s="63">
        <f>IF($C173="B",INDEX(Batters[[#All],[Tot]],MATCH(Table5[[#This Row],[PID]],Batters[[#All],[PID]],0)),INDEX(Table3[[#All],[Tot]],MATCH(Table5[[#This Row],[PID]],Table3[[#All],[PID]],0)))</f>
        <v>46.332585732650323</v>
      </c>
      <c r="R173" s="54">
        <f>IF($C173="B",INDEX(Batters[[#All],[zScore]],MATCH(Table5[[#This Row],[PID]],Batters[[#All],[PID]],0)),INDEX(Table3[[#All],[zScore]],MATCH(Table5[[#This Row],[PID]],Table3[[#All],[PID]],0)))</f>
        <v>1.052904563262381</v>
      </c>
      <c r="S173" s="60" t="str">
        <f>IF($C173="B",INDEX(Batters[[#All],[DEM]],MATCH(Table5[[#This Row],[PID]],Batters[[#All],[PID]],0)),INDEX(Table3[[#All],[DEM]],MATCH(Table5[[#This Row],[PID]],Table3[[#All],[PID]],0)))</f>
        <v>$240k</v>
      </c>
      <c r="T173" s="64">
        <f>IF($C173="B",VLOOKUP($A173,Bat!$A$4:$AU$1417,46,FALSE),VLOOKUP($A173,Pit!$A$4:$BD$570,55,FALSE))</f>
        <v>0</v>
      </c>
      <c r="U173" s="52">
        <f>IF($C173="B",VLOOKUP($A173,Bat!$A$4:$BA$1417,47,FALSE),VLOOKUP($A173,Pit!$A$4:$BF$570,56,FALSE))</f>
        <v>0</v>
      </c>
      <c r="V173" s="52">
        <f>IF($C173="B",VLOOKUP($A173,Bat!$A$4:$BA$1417,48,FALSE),VLOOKUP($A173,Pit!$A$4:$BF$570,57,FALSE))</f>
        <v>0</v>
      </c>
      <c r="W173" s="52">
        <f>Table5[[#This Row],[posRnk]]+Table5[[#This Row],[zRnk]]+IF($W$3&lt;&gt;Table5[[#This Row],[Type]],50,0)</f>
        <v>219</v>
      </c>
      <c r="X173" s="53">
        <f>RANK(Table5[[#This Row],[zScore]],Table5[[#All],[zScore]])</f>
        <v>169</v>
      </c>
      <c r="Y173" s="52" t="str">
        <f>IFERROR(INDEX(DraftResults[[#All],[OVR]],MATCH(Table5[[#This Row],[PID]],DraftResults[[#All],[Player ID]],0)),"")</f>
        <v/>
      </c>
      <c r="Z1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3" s="52" t="str">
        <f>IFERROR(INDEX(DraftResults[[#All],[Pick in Round]],MATCH(Table5[[#This Row],[PID]],DraftResults[[#All],[Player ID]],0)),"")</f>
        <v/>
      </c>
      <c r="AB173" s="52" t="str">
        <f>IFERROR(INDEX(DraftResults[[#All],[Team Name]],MATCH(Table5[[#This Row],[PID]],DraftResults[[#All],[Player ID]],0)),"")</f>
        <v/>
      </c>
      <c r="AC173" s="52" t="str">
        <f>IF(Table5[[#This Row],[Ovr]]="","",IF(Table5[[#This Row],[cmbList]]="","",Table5[[#This Row],[cmbList]]-Table5[[#This Row],[Ovr]]))</f>
        <v/>
      </c>
      <c r="AD173" s="56" t="str">
        <f>IF(ISERROR(VLOOKUP($AB173&amp;"-"&amp;$E173&amp;" "&amp;F173,Bonuses!$B$1:$G$1006,4,FALSE)),"",INT(VLOOKUP($AB173&amp;"-"&amp;$E173&amp;" "&amp;$F173,Bonuses!$B$1:$G$1006,4,FALSE)))</f>
        <v/>
      </c>
      <c r="AE1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4" spans="1:31" s="52" customFormat="1" x14ac:dyDescent="0.25">
      <c r="A174" s="52">
        <v>17807</v>
      </c>
      <c r="B174" s="52">
        <f>COUNTIF(Table5[PID],A174)</f>
        <v>1</v>
      </c>
      <c r="C174" s="52" t="str">
        <f>IF(COUNTIF(Table3[[#All],[PID]],A174)&gt;0,"P","B")</f>
        <v>B</v>
      </c>
      <c r="D174" s="61" t="str">
        <f>IF($C174="B",INDEX(Batters[[#All],[POS]],MATCH(Table5[[#This Row],[PID]],Batters[[#All],[PID]],0)),INDEX(Table3[[#All],[POS]],MATCH(Table5[[#This Row],[PID]],Table3[[#All],[PID]],0)))</f>
        <v>C</v>
      </c>
      <c r="E174" s="54" t="str">
        <f>IF($C174="B",INDEX(Batters[[#All],[First]],MATCH(Table5[[#This Row],[PID]],Batters[[#All],[PID]],0)),INDEX(Table3[[#All],[First]],MATCH(Table5[[#This Row],[PID]],Table3[[#All],[PID]],0)))</f>
        <v>Yoshitsune</v>
      </c>
      <c r="F174" s="52" t="str">
        <f>IF($C174="B",INDEX(Batters[[#All],[Last]],MATCH(A174,Batters[[#All],[PID]],0)),INDEX(Table3[[#All],[Last]],MATCH(A174,Table3[[#All],[PID]],0)))</f>
        <v>Maeda</v>
      </c>
      <c r="G174" s="58">
        <f>IF($C174="B",INDEX(Batters[[#All],[Age]],MATCH(Table5[[#This Row],[PID]],Batters[[#All],[PID]],0)),INDEX(Table3[[#All],[Age]],MATCH(Table5[[#This Row],[PID]],Table3[[#All],[PID]],0)))</f>
        <v>20</v>
      </c>
      <c r="H174" s="54" t="str">
        <f>IF($C174="B",INDEX(Batters[[#All],[B]],MATCH(Table5[[#This Row],[PID]],Batters[[#All],[PID]],0)),INDEX(Table3[[#All],[B]],MATCH(Table5[[#This Row],[PID]],Table3[[#All],[PID]],0)))</f>
        <v>R</v>
      </c>
      <c r="I174" s="54" t="str">
        <f>IF($C174="B",INDEX(Batters[[#All],[T]],MATCH(Table5[[#This Row],[PID]],Batters[[#All],[PID]],0)),INDEX(Table3[[#All],[T]],MATCH(Table5[[#This Row],[PID]],Table3[[#All],[PID]],0)))</f>
        <v>R</v>
      </c>
      <c r="J174" s="54" t="str">
        <f>IF($C174="B",INDEX(Batters[[#All],[WE]],MATCH(Table5[[#This Row],[PID]],Batters[[#All],[PID]],0)),INDEX(Table3[[#All],[WE]],MATCH(Table5[[#This Row],[PID]],Table3[[#All],[PID]],0)))</f>
        <v>Normal</v>
      </c>
      <c r="K174" s="54" t="str">
        <f>IF($C174="B",INDEX(Batters[[#All],[INT]],MATCH(Table5[[#This Row],[PID]],Batters[[#All],[PID]],0)),INDEX(Table3[[#All],[INT]],MATCH(Table5[[#This Row],[PID]],Table3[[#All],[PID]],0)))</f>
        <v>Normal</v>
      </c>
      <c r="L174" s="62">
        <f>IF($C174="B",INDEX(Batters[[#All],[CON P]],MATCH(Table5[[#This Row],[PID]],Batters[[#All],[PID]],0)),INDEX(Table3[[#All],[STU P]],MATCH(Table5[[#This Row],[PID]],Table3[[#All],[PID]],0)))</f>
        <v>4</v>
      </c>
      <c r="M174" s="58">
        <f>IF($C174="B",INDEX(Batters[[#All],[GAP P]],MATCH(Table5[[#This Row],[PID]],Batters[[#All],[PID]],0)),INDEX(Table3[[#All],[MOV P]],MATCH(Table5[[#This Row],[PID]],Table3[[#All],[PID]],0)))</f>
        <v>5</v>
      </c>
      <c r="N174" s="58">
        <f>IF($C174="B",INDEX(Batters[[#All],[POW P]],MATCH(Table5[[#This Row],[PID]],Batters[[#All],[PID]],0)),INDEX(Table3[[#All],[CON P]],MATCH(Table5[[#This Row],[PID]],Table3[[#All],[PID]],0)))</f>
        <v>7</v>
      </c>
      <c r="O174" s="58">
        <f>IF($C174="B",INDEX(Batters[[#All],[EYE P]],MATCH(Table5[[#This Row],[PID]],Batters[[#All],[PID]],0)),INDEX(Table3[[#All],[VELO]],MATCH(Table5[[#This Row],[PID]],Table3[[#All],[PID]],0)))</f>
        <v>5</v>
      </c>
      <c r="P174" s="58">
        <f>IF($C174="B",INDEX(Batters[[#All],[K P]],MATCH(Table5[[#This Row],[PID]],Batters[[#All],[PID]],0)),INDEX(Table3[[#All],[STM]],MATCH(Table5[[#This Row],[PID]],Table3[[#All],[PID]],0)))</f>
        <v>3</v>
      </c>
      <c r="Q174" s="63">
        <f>IF($C174="B",INDEX(Batters[[#All],[Tot]],MATCH(Table5[[#This Row],[PID]],Batters[[#All],[PID]],0)),INDEX(Table3[[#All],[Tot]],MATCH(Table5[[#This Row],[PID]],Table3[[#All],[PID]],0)))</f>
        <v>46.306791419244604</v>
      </c>
      <c r="R174" s="54">
        <f>IF($C174="B",INDEX(Batters[[#All],[zScore]],MATCH(Table5[[#This Row],[PID]],Batters[[#All],[PID]],0)),INDEX(Table3[[#All],[zScore]],MATCH(Table5[[#This Row],[PID]],Table3[[#All],[PID]],0)))</f>
        <v>1.0483662252554771</v>
      </c>
      <c r="S174" s="60" t="str">
        <f>IF($C174="B",INDEX(Batters[[#All],[DEM]],MATCH(Table5[[#This Row],[PID]],Batters[[#All],[PID]],0)),INDEX(Table3[[#All],[DEM]],MATCH(Table5[[#This Row],[PID]],Table3[[#All],[PID]],0)))</f>
        <v>$270k</v>
      </c>
      <c r="T174" s="64">
        <f>IF($C174="B",VLOOKUP($A174,Bat!$A$4:$AU$1417,46,FALSE),VLOOKUP($A174,Pit!$A$4:$BD$570,55,FALSE))</f>
        <v>0</v>
      </c>
      <c r="U174" s="52">
        <f>IF($C174="B",VLOOKUP($A174,Bat!$A$4:$BA$1417,47,FALSE),VLOOKUP($A174,Pit!$A$4:$BF$570,56,FALSE))</f>
        <v>0</v>
      </c>
      <c r="V174" s="52">
        <f>IF($C174="B",VLOOKUP($A174,Bat!$A$4:$BA$1417,48,FALSE),VLOOKUP($A174,Pit!$A$4:$BF$570,57,FALSE))</f>
        <v>0</v>
      </c>
      <c r="W174" s="52">
        <f>Table5[[#This Row],[posRnk]]+Table5[[#This Row],[zRnk]]+IF($W$3&lt;&gt;Table5[[#This Row],[Type]],50,0)</f>
        <v>220</v>
      </c>
      <c r="X174" s="53">
        <f>RANK(Table5[[#This Row],[zScore]],Table5[[#All],[zScore]])</f>
        <v>170</v>
      </c>
      <c r="Y174" s="52" t="str">
        <f>IFERROR(INDEX(DraftResults[[#All],[OVR]],MATCH(Table5[[#This Row],[PID]],DraftResults[[#All],[Player ID]],0)),"")</f>
        <v/>
      </c>
      <c r="Z1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4" s="52" t="str">
        <f>IFERROR(INDEX(DraftResults[[#All],[Pick in Round]],MATCH(Table5[[#This Row],[PID]],DraftResults[[#All],[Player ID]],0)),"")</f>
        <v/>
      </c>
      <c r="AB174" s="52" t="str">
        <f>IFERROR(INDEX(DraftResults[[#All],[Team Name]],MATCH(Table5[[#This Row],[PID]],DraftResults[[#All],[Player ID]],0)),"")</f>
        <v/>
      </c>
      <c r="AC174" s="52" t="str">
        <f>IF(Table5[[#This Row],[Ovr]]="","",IF(Table5[[#This Row],[cmbList]]="","",Table5[[#This Row],[cmbList]]-Table5[[#This Row],[Ovr]]))</f>
        <v/>
      </c>
      <c r="AD174" s="56" t="str">
        <f>IF(ISERROR(VLOOKUP($AB174&amp;"-"&amp;$E174&amp;" "&amp;F174,Bonuses!$B$1:$G$1006,4,FALSE)),"",INT(VLOOKUP($AB174&amp;"-"&amp;$E174&amp;" "&amp;$F174,Bonuses!$B$1:$G$1006,4,FALSE)))</f>
        <v/>
      </c>
      <c r="AE1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5" spans="1:31" s="52" customFormat="1" x14ac:dyDescent="0.25">
      <c r="A175" s="52">
        <v>7621</v>
      </c>
      <c r="B175" s="52">
        <f>COUNTIF(Table5[PID],A175)</f>
        <v>1</v>
      </c>
      <c r="C175" s="52" t="str">
        <f>IF(COUNTIF(Table3[[#All],[PID]],A175)&gt;0,"P","B")</f>
        <v>P</v>
      </c>
      <c r="D175" s="61" t="str">
        <f>IF($C175="B",INDEX(Batters[[#All],[POS]],MATCH(Table5[[#This Row],[PID]],Batters[[#All],[PID]],0)),INDEX(Table3[[#All],[POS]],MATCH(Table5[[#This Row],[PID]],Table3[[#All],[PID]],0)))</f>
        <v>SP</v>
      </c>
      <c r="E175" s="54" t="str">
        <f>IF($C175="B",INDEX(Batters[[#All],[First]],MATCH(Table5[[#This Row],[PID]],Batters[[#All],[PID]],0)),INDEX(Table3[[#All],[First]],MATCH(Table5[[#This Row],[PID]],Table3[[#All],[PID]],0)))</f>
        <v>Dave</v>
      </c>
      <c r="F175" s="52" t="str">
        <f>IF($C175="B",INDEX(Batters[[#All],[Last]],MATCH(A175,Batters[[#All],[PID]],0)),INDEX(Table3[[#All],[Last]],MATCH(A175,Table3[[#All],[PID]],0)))</f>
        <v>López</v>
      </c>
      <c r="G175" s="58">
        <f>IF($C175="B",INDEX(Batters[[#All],[Age]],MATCH(Table5[[#This Row],[PID]],Batters[[#All],[PID]],0)),INDEX(Table3[[#All],[Age]],MATCH(Table5[[#This Row],[PID]],Table3[[#All],[PID]],0)))</f>
        <v>18</v>
      </c>
      <c r="H175" s="54" t="str">
        <f>IF($C175="B",INDEX(Batters[[#All],[B]],MATCH(Table5[[#This Row],[PID]],Batters[[#All],[PID]],0)),INDEX(Table3[[#All],[B]],MATCH(Table5[[#This Row],[PID]],Table3[[#All],[PID]],0)))</f>
        <v>L</v>
      </c>
      <c r="I175" s="54" t="str">
        <f>IF($C175="B",INDEX(Batters[[#All],[T]],MATCH(Table5[[#This Row],[PID]],Batters[[#All],[PID]],0)),INDEX(Table3[[#All],[T]],MATCH(Table5[[#This Row],[PID]],Table3[[#All],[PID]],0)))</f>
        <v>L</v>
      </c>
      <c r="J175" s="54" t="str">
        <f>IF($C175="B",INDEX(Batters[[#All],[WE]],MATCH(Table5[[#This Row],[PID]],Batters[[#All],[PID]],0)),INDEX(Table3[[#All],[WE]],MATCH(Table5[[#This Row],[PID]],Table3[[#All],[PID]],0)))</f>
        <v>High</v>
      </c>
      <c r="K175" s="54" t="str">
        <f>IF($C175="B",INDEX(Batters[[#All],[INT]],MATCH(Table5[[#This Row],[PID]],Batters[[#All],[PID]],0)),INDEX(Table3[[#All],[INT]],MATCH(Table5[[#This Row],[PID]],Table3[[#All],[PID]],0)))</f>
        <v>Normal</v>
      </c>
      <c r="L175" s="62">
        <f>IF($C175="B",INDEX(Batters[[#All],[CON P]],MATCH(Table5[[#This Row],[PID]],Batters[[#All],[PID]],0)),INDEX(Table3[[#All],[STU P]],MATCH(Table5[[#This Row],[PID]],Table3[[#All],[PID]],0)))</f>
        <v>4</v>
      </c>
      <c r="M175" s="58">
        <f>IF($C175="B",INDEX(Batters[[#All],[GAP P]],MATCH(Table5[[#This Row],[PID]],Batters[[#All],[PID]],0)),INDEX(Table3[[#All],[MOV P]],MATCH(Table5[[#This Row],[PID]],Table3[[#All],[PID]],0)))</f>
        <v>4</v>
      </c>
      <c r="N175" s="58">
        <f>IF($C175="B",INDEX(Batters[[#All],[POW P]],MATCH(Table5[[#This Row],[PID]],Batters[[#All],[PID]],0)),INDEX(Table3[[#All],[CON P]],MATCH(Table5[[#This Row],[PID]],Table3[[#All],[PID]],0)))</f>
        <v>3</v>
      </c>
      <c r="O175" s="58" t="str">
        <f>IF($C175="B",INDEX(Batters[[#All],[EYE P]],MATCH(Table5[[#This Row],[PID]],Batters[[#All],[PID]],0)),INDEX(Table3[[#All],[VELO]],MATCH(Table5[[#This Row],[PID]],Table3[[#All],[PID]],0)))</f>
        <v>89-91 Mph</v>
      </c>
      <c r="P175" s="58">
        <f>IF($C175="B",INDEX(Batters[[#All],[K P]],MATCH(Table5[[#This Row],[PID]],Batters[[#All],[PID]],0)),INDEX(Table3[[#All],[STM]],MATCH(Table5[[#This Row],[PID]],Table3[[#All],[PID]],0)))</f>
        <v>7</v>
      </c>
      <c r="Q175" s="63">
        <f>IF($C175="B",INDEX(Batters[[#All],[Tot]],MATCH(Table5[[#This Row],[PID]],Batters[[#All],[PID]],0)),INDEX(Table3[[#All],[Tot]],MATCH(Table5[[#This Row],[PID]],Table3[[#All],[PID]],0)))</f>
        <v>44.043143114501945</v>
      </c>
      <c r="R175" s="54">
        <f>IF($C175="B",INDEX(Batters[[#All],[zScore]],MATCH(Table5[[#This Row],[PID]],Batters[[#All],[PID]],0)),INDEX(Table3[[#All],[zScore]],MATCH(Table5[[#This Row],[PID]],Table3[[#All],[PID]],0)))</f>
        <v>1.0381742067928712</v>
      </c>
      <c r="S175" s="60" t="str">
        <f>IF($C175="B",INDEX(Batters[[#All],[DEM]],MATCH(Table5[[#This Row],[PID]],Batters[[#All],[PID]],0)),INDEX(Table3[[#All],[DEM]],MATCH(Table5[[#This Row],[PID]],Table3[[#All],[PID]],0)))</f>
        <v>$65k</v>
      </c>
      <c r="T175" s="64">
        <f>IF($C175="B",VLOOKUP($A175,Bat!$A$4:$AU$1417,46,FALSE),VLOOKUP($A175,Pit!$A$4:$BD$570,55,FALSE))</f>
        <v>0</v>
      </c>
      <c r="U175" s="52">
        <f>IF($C175="B",VLOOKUP($A175,Bat!$A$4:$BA$1417,47,FALSE),VLOOKUP($A175,Pit!$A$4:$BF$570,56,FALSE))</f>
        <v>0</v>
      </c>
      <c r="V175" s="52">
        <f>IF($C175="B",VLOOKUP($A175,Bat!$A$4:$BA$1417,48,FALSE),VLOOKUP($A175,Pit!$A$4:$BF$570,57,FALSE))</f>
        <v>0</v>
      </c>
      <c r="W175" s="52">
        <f>Table5[[#This Row],[posRnk]]+Table5[[#This Row],[zRnk]]+IF($W$3&lt;&gt;Table5[[#This Row],[Type]],50,0)</f>
        <v>221</v>
      </c>
      <c r="X175" s="53">
        <f>RANK(Table5[[#This Row],[zScore]],Table5[[#All],[zScore]])</f>
        <v>171</v>
      </c>
      <c r="Y175" s="52" t="str">
        <f>IFERROR(INDEX(DraftResults[[#All],[OVR]],MATCH(Table5[[#This Row],[PID]],DraftResults[[#All],[Player ID]],0)),"")</f>
        <v/>
      </c>
      <c r="Z1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5" s="52" t="str">
        <f>IFERROR(INDEX(DraftResults[[#All],[Pick in Round]],MATCH(Table5[[#This Row],[PID]],DraftResults[[#All],[Player ID]],0)),"")</f>
        <v/>
      </c>
      <c r="AB175" s="52" t="str">
        <f>IFERROR(INDEX(DraftResults[[#All],[Team Name]],MATCH(Table5[[#This Row],[PID]],DraftResults[[#All],[Player ID]],0)),"")</f>
        <v/>
      </c>
      <c r="AC175" s="52" t="str">
        <f>IF(Table5[[#This Row],[Ovr]]="","",IF(Table5[[#This Row],[cmbList]]="","",Table5[[#This Row],[cmbList]]-Table5[[#This Row],[Ovr]]))</f>
        <v/>
      </c>
      <c r="AD175" s="56" t="str">
        <f>IF(ISERROR(VLOOKUP($AB175&amp;"-"&amp;$E175&amp;" "&amp;F175,Bonuses!$B$1:$G$1006,4,FALSE)),"",INT(VLOOKUP($AB175&amp;"-"&amp;$E175&amp;" "&amp;$F175,Bonuses!$B$1:$G$1006,4,FALSE)))</f>
        <v/>
      </c>
      <c r="AE1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6" spans="1:31" s="52" customFormat="1" x14ac:dyDescent="0.25">
      <c r="A176" s="52">
        <v>12979</v>
      </c>
      <c r="B176" s="52">
        <f>COUNTIF(Table5[PID],A176)</f>
        <v>1</v>
      </c>
      <c r="C176" s="52" t="str">
        <f>IF(COUNTIF(Table3[[#All],[PID]],A176)&gt;0,"P","B")</f>
        <v>P</v>
      </c>
      <c r="D176" s="61" t="str">
        <f>IF($C176="B",INDEX(Batters[[#All],[POS]],MATCH(Table5[[#This Row],[PID]],Batters[[#All],[PID]],0)),INDEX(Table3[[#All],[POS]],MATCH(Table5[[#This Row],[PID]],Table3[[#All],[PID]],0)))</f>
        <v>CL</v>
      </c>
      <c r="E176" s="54" t="str">
        <f>IF($C176="B",INDEX(Batters[[#All],[First]],MATCH(Table5[[#This Row],[PID]],Batters[[#All],[PID]],0)),INDEX(Table3[[#All],[First]],MATCH(Table5[[#This Row],[PID]],Table3[[#All],[PID]],0)))</f>
        <v>Mal</v>
      </c>
      <c r="F176" s="52" t="str">
        <f>IF($C176="B",INDEX(Batters[[#All],[Last]],MATCH(A176,Batters[[#All],[PID]],0)),INDEX(Table3[[#All],[Last]],MATCH(A176,Table3[[#All],[PID]],0)))</f>
        <v>Schmidt</v>
      </c>
      <c r="G176" s="58">
        <f>IF($C176="B",INDEX(Batters[[#All],[Age]],MATCH(Table5[[#This Row],[PID]],Batters[[#All],[PID]],0)),INDEX(Table3[[#All],[Age]],MATCH(Table5[[#This Row],[PID]],Table3[[#All],[PID]],0)))</f>
        <v>18</v>
      </c>
      <c r="H176" s="54" t="str">
        <f>IF($C176="B",INDEX(Batters[[#All],[B]],MATCH(Table5[[#This Row],[PID]],Batters[[#All],[PID]],0)),INDEX(Table3[[#All],[B]],MATCH(Table5[[#This Row],[PID]],Table3[[#All],[PID]],0)))</f>
        <v>R</v>
      </c>
      <c r="I176" s="54" t="str">
        <f>IF($C176="B",INDEX(Batters[[#All],[T]],MATCH(Table5[[#This Row],[PID]],Batters[[#All],[PID]],0)),INDEX(Table3[[#All],[T]],MATCH(Table5[[#This Row],[PID]],Table3[[#All],[PID]],0)))</f>
        <v>R</v>
      </c>
      <c r="J176" s="54" t="str">
        <f>IF($C176="B",INDEX(Batters[[#All],[WE]],MATCH(Table5[[#This Row],[PID]],Batters[[#All],[PID]],0)),INDEX(Table3[[#All],[WE]],MATCH(Table5[[#This Row],[PID]],Table3[[#All],[PID]],0)))</f>
        <v>Normal</v>
      </c>
      <c r="K176" s="54" t="str">
        <f>IF($C176="B",INDEX(Batters[[#All],[INT]],MATCH(Table5[[#This Row],[PID]],Batters[[#All],[PID]],0)),INDEX(Table3[[#All],[INT]],MATCH(Table5[[#This Row],[PID]],Table3[[#All],[PID]],0)))</f>
        <v>Normal</v>
      </c>
      <c r="L176" s="62">
        <f>IF($C176="B",INDEX(Batters[[#All],[CON P]],MATCH(Table5[[#This Row],[PID]],Batters[[#All],[PID]],0)),INDEX(Table3[[#All],[STU P]],MATCH(Table5[[#This Row],[PID]],Table3[[#All],[PID]],0)))</f>
        <v>6</v>
      </c>
      <c r="M176" s="58">
        <f>IF($C176="B",INDEX(Batters[[#All],[GAP P]],MATCH(Table5[[#This Row],[PID]],Batters[[#All],[PID]],0)),INDEX(Table3[[#All],[MOV P]],MATCH(Table5[[#This Row],[PID]],Table3[[#All],[PID]],0)))</f>
        <v>4</v>
      </c>
      <c r="N176" s="58">
        <f>IF($C176="B",INDEX(Batters[[#All],[POW P]],MATCH(Table5[[#This Row],[PID]],Batters[[#All],[PID]],0)),INDEX(Table3[[#All],[CON P]],MATCH(Table5[[#This Row],[PID]],Table3[[#All],[PID]],0)))</f>
        <v>3</v>
      </c>
      <c r="O176" s="58" t="str">
        <f>IF($C176="B",INDEX(Batters[[#All],[EYE P]],MATCH(Table5[[#This Row],[PID]],Batters[[#All],[PID]],0)),INDEX(Table3[[#All],[VELO]],MATCH(Table5[[#This Row],[PID]],Table3[[#All],[PID]],0)))</f>
        <v>93-95 Mph</v>
      </c>
      <c r="P176" s="58">
        <f>IF($C176="B",INDEX(Batters[[#All],[K P]],MATCH(Table5[[#This Row],[PID]],Batters[[#All],[PID]],0)),INDEX(Table3[[#All],[STM]],MATCH(Table5[[#This Row],[PID]],Table3[[#All],[PID]],0)))</f>
        <v>2</v>
      </c>
      <c r="Q176" s="63">
        <f>IF($C176="B",INDEX(Batters[[#All],[Tot]],MATCH(Table5[[#This Row],[PID]],Batters[[#All],[PID]],0)),INDEX(Table3[[#All],[Tot]],MATCH(Table5[[#This Row],[PID]],Table3[[#All],[PID]],0)))</f>
        <v>43.837143947378578</v>
      </c>
      <c r="R176" s="54">
        <f>IF($C176="B",INDEX(Batters[[#All],[zScore]],MATCH(Table5[[#This Row],[PID]],Batters[[#All],[PID]],0)),INDEX(Table3[[#All],[zScore]],MATCH(Table5[[#This Row],[PID]],Table3[[#All],[PID]],0)))</f>
        <v>1.0192832027087135</v>
      </c>
      <c r="S176" s="60" t="str">
        <f>IF($C176="B",INDEX(Batters[[#All],[DEM]],MATCH(Table5[[#This Row],[PID]],Batters[[#All],[PID]],0)),INDEX(Table3[[#All],[DEM]],MATCH(Table5[[#This Row],[PID]],Table3[[#All],[PID]],0)))</f>
        <v>$70k</v>
      </c>
      <c r="T176" s="64">
        <f>IF($C176="B",VLOOKUP($A176,Bat!$A$4:$AU$1417,46,FALSE),VLOOKUP($A176,Pit!$A$4:$BD$570,55,FALSE))</f>
        <v>0</v>
      </c>
      <c r="U176" s="52">
        <f>IF($C176="B",VLOOKUP($A176,Bat!$A$4:$BA$1417,47,FALSE),VLOOKUP($A176,Pit!$A$4:$BF$570,56,FALSE))</f>
        <v>0</v>
      </c>
      <c r="V176" s="52">
        <f>IF($C176="B",VLOOKUP($A176,Bat!$A$4:$BA$1417,48,FALSE),VLOOKUP($A176,Pit!$A$4:$BF$570,57,FALSE))</f>
        <v>0</v>
      </c>
      <c r="W176" s="52">
        <f>Table5[[#This Row],[posRnk]]+Table5[[#This Row],[zRnk]]+IF($W$3&lt;&gt;Table5[[#This Row],[Type]],50,0)</f>
        <v>222</v>
      </c>
      <c r="X176" s="53">
        <f>RANK(Table5[[#This Row],[zScore]],Table5[[#All],[zScore]])</f>
        <v>172</v>
      </c>
      <c r="Y176" s="52" t="str">
        <f>IFERROR(INDEX(DraftResults[[#All],[OVR]],MATCH(Table5[[#This Row],[PID]],DraftResults[[#All],[Player ID]],0)),"")</f>
        <v/>
      </c>
      <c r="Z1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6" s="52" t="str">
        <f>IFERROR(INDEX(DraftResults[[#All],[Pick in Round]],MATCH(Table5[[#This Row],[PID]],DraftResults[[#All],[Player ID]],0)),"")</f>
        <v/>
      </c>
      <c r="AB176" s="52" t="str">
        <f>IFERROR(INDEX(DraftResults[[#All],[Team Name]],MATCH(Table5[[#This Row],[PID]],DraftResults[[#All],[Player ID]],0)),"")</f>
        <v/>
      </c>
      <c r="AC176" s="52" t="str">
        <f>IF(Table5[[#This Row],[Ovr]]="","",IF(Table5[[#This Row],[cmbList]]="","",Table5[[#This Row],[cmbList]]-Table5[[#This Row],[Ovr]]))</f>
        <v/>
      </c>
      <c r="AD176" s="56" t="str">
        <f>IF(ISERROR(VLOOKUP($AB176&amp;"-"&amp;$E176&amp;" "&amp;F176,Bonuses!$B$1:$G$1006,4,FALSE)),"",INT(VLOOKUP($AB176&amp;"-"&amp;$E176&amp;" "&amp;$F176,Bonuses!$B$1:$G$1006,4,FALSE)))</f>
        <v/>
      </c>
      <c r="AE1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7" spans="1:31" s="52" customFormat="1" x14ac:dyDescent="0.25">
      <c r="A177" s="52">
        <v>12546</v>
      </c>
      <c r="B177" s="52">
        <f>COUNTIF(Table5[PID],A177)</f>
        <v>1</v>
      </c>
      <c r="C177" s="52" t="str">
        <f>IF(COUNTIF(Table3[[#All],[PID]],A177)&gt;0,"P","B")</f>
        <v>P</v>
      </c>
      <c r="D177" s="61" t="str">
        <f>IF($C177="B",INDEX(Batters[[#All],[POS]],MATCH(Table5[[#This Row],[PID]],Batters[[#All],[PID]],0)),INDEX(Table3[[#All],[POS]],MATCH(Table5[[#This Row],[PID]],Table3[[#All],[PID]],0)))</f>
        <v>RP</v>
      </c>
      <c r="E177" s="54" t="str">
        <f>IF($C177="B",INDEX(Batters[[#All],[First]],MATCH(Table5[[#This Row],[PID]],Batters[[#All],[PID]],0)),INDEX(Table3[[#All],[First]],MATCH(Table5[[#This Row],[PID]],Table3[[#All],[PID]],0)))</f>
        <v>Brian</v>
      </c>
      <c r="F177" s="52" t="str">
        <f>IF($C177="B",INDEX(Batters[[#All],[Last]],MATCH(A177,Batters[[#All],[PID]],0)),INDEX(Table3[[#All],[Last]],MATCH(A177,Table3[[#All],[PID]],0)))</f>
        <v>Carson</v>
      </c>
      <c r="G177" s="58">
        <f>IF($C177="B",INDEX(Batters[[#All],[Age]],MATCH(Table5[[#This Row],[PID]],Batters[[#All],[PID]],0)),INDEX(Table3[[#All],[Age]],MATCH(Table5[[#This Row],[PID]],Table3[[#All],[PID]],0)))</f>
        <v>18</v>
      </c>
      <c r="H177" s="54" t="str">
        <f>IF($C177="B",INDEX(Batters[[#All],[B]],MATCH(Table5[[#This Row],[PID]],Batters[[#All],[PID]],0)),INDEX(Table3[[#All],[B]],MATCH(Table5[[#This Row],[PID]],Table3[[#All],[PID]],0)))</f>
        <v>R</v>
      </c>
      <c r="I177" s="54" t="str">
        <f>IF($C177="B",INDEX(Batters[[#All],[T]],MATCH(Table5[[#This Row],[PID]],Batters[[#All],[PID]],0)),INDEX(Table3[[#All],[T]],MATCH(Table5[[#This Row],[PID]],Table3[[#All],[PID]],0)))</f>
        <v>R</v>
      </c>
      <c r="J177" s="54" t="str">
        <f>IF($C177="B",INDEX(Batters[[#All],[WE]],MATCH(Table5[[#This Row],[PID]],Batters[[#All],[PID]],0)),INDEX(Table3[[#All],[WE]],MATCH(Table5[[#This Row],[PID]],Table3[[#All],[PID]],0)))</f>
        <v>High</v>
      </c>
      <c r="K177" s="54" t="str">
        <f>IF($C177="B",INDEX(Batters[[#All],[INT]],MATCH(Table5[[#This Row],[PID]],Batters[[#All],[PID]],0)),INDEX(Table3[[#All],[INT]],MATCH(Table5[[#This Row],[PID]],Table3[[#All],[PID]],0)))</f>
        <v>Normal</v>
      </c>
      <c r="L177" s="62">
        <f>IF($C177="B",INDEX(Batters[[#All],[CON P]],MATCH(Table5[[#This Row],[PID]],Batters[[#All],[PID]],0)),INDEX(Table3[[#All],[STU P]],MATCH(Table5[[#This Row],[PID]],Table3[[#All],[PID]],0)))</f>
        <v>5</v>
      </c>
      <c r="M177" s="58">
        <f>IF($C177="B",INDEX(Batters[[#All],[GAP P]],MATCH(Table5[[#This Row],[PID]],Batters[[#All],[PID]],0)),INDEX(Table3[[#All],[MOV P]],MATCH(Table5[[#This Row],[PID]],Table3[[#All],[PID]],0)))</f>
        <v>5</v>
      </c>
      <c r="N177" s="58">
        <f>IF($C177="B",INDEX(Batters[[#All],[POW P]],MATCH(Table5[[#This Row],[PID]],Batters[[#All],[PID]],0)),INDEX(Table3[[#All],[CON P]],MATCH(Table5[[#This Row],[PID]],Table3[[#All],[PID]],0)))</f>
        <v>2</v>
      </c>
      <c r="O177" s="58" t="str">
        <f>IF($C177="B",INDEX(Batters[[#All],[EYE P]],MATCH(Table5[[#This Row],[PID]],Batters[[#All],[PID]],0)),INDEX(Table3[[#All],[VELO]],MATCH(Table5[[#This Row],[PID]],Table3[[#All],[PID]],0)))</f>
        <v>87-89 Mph</v>
      </c>
      <c r="P177" s="58">
        <f>IF($C177="B",INDEX(Batters[[#All],[K P]],MATCH(Table5[[#This Row],[PID]],Batters[[#All],[PID]],0)),INDEX(Table3[[#All],[STM]],MATCH(Table5[[#This Row],[PID]],Table3[[#All],[PID]],0)))</f>
        <v>4</v>
      </c>
      <c r="Q177" s="63">
        <f>IF($C177="B",INDEX(Batters[[#All],[Tot]],MATCH(Table5[[#This Row],[PID]],Batters[[#All],[PID]],0)),INDEX(Table3[[#All],[Tot]],MATCH(Table5[[#This Row],[PID]],Table3[[#All],[PID]],0)))</f>
        <v>43.825991629937363</v>
      </c>
      <c r="R177" s="54">
        <f>IF($C177="B",INDEX(Batters[[#All],[zScore]],MATCH(Table5[[#This Row],[PID]],Batters[[#All],[PID]],0)),INDEX(Table3[[#All],[zScore]],MATCH(Table5[[#This Row],[PID]],Table3[[#All],[PID]],0)))</f>
        <v>1.0182604875333476</v>
      </c>
      <c r="S177" s="60" t="str">
        <f>IF($C177="B",INDEX(Batters[[#All],[DEM]],MATCH(Table5[[#This Row],[PID]],Batters[[#All],[PID]],0)),INDEX(Table3[[#All],[DEM]],MATCH(Table5[[#This Row],[PID]],Table3[[#All],[PID]],0)))</f>
        <v>$65k</v>
      </c>
      <c r="T177" s="64">
        <f>IF($C177="B",VLOOKUP($A177,Bat!$A$4:$AU$1417,46,FALSE),VLOOKUP($A177,Pit!$A$4:$BD$570,55,FALSE))</f>
        <v>0</v>
      </c>
      <c r="U177" s="52">
        <f>IF($C177="B",VLOOKUP($A177,Bat!$A$4:$BA$1417,47,FALSE),VLOOKUP($A177,Pit!$A$4:$BF$570,56,FALSE))</f>
        <v>0</v>
      </c>
      <c r="V177" s="52">
        <f>IF($C177="B",VLOOKUP($A177,Bat!$A$4:$BA$1417,48,FALSE),VLOOKUP($A177,Pit!$A$4:$BF$570,57,FALSE))</f>
        <v>0</v>
      </c>
      <c r="W177" s="52">
        <f>Table5[[#This Row],[posRnk]]+Table5[[#This Row],[zRnk]]+IF($W$3&lt;&gt;Table5[[#This Row],[Type]],50,0)</f>
        <v>223</v>
      </c>
      <c r="X177" s="53">
        <f>RANK(Table5[[#This Row],[zScore]],Table5[[#All],[zScore]])</f>
        <v>173</v>
      </c>
      <c r="Y177" s="52" t="str">
        <f>IFERROR(INDEX(DraftResults[[#All],[OVR]],MATCH(Table5[[#This Row],[PID]],DraftResults[[#All],[Player ID]],0)),"")</f>
        <v/>
      </c>
      <c r="Z1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7" s="52" t="str">
        <f>IFERROR(INDEX(DraftResults[[#All],[Pick in Round]],MATCH(Table5[[#This Row],[PID]],DraftResults[[#All],[Player ID]],0)),"")</f>
        <v/>
      </c>
      <c r="AB177" s="52" t="str">
        <f>IFERROR(INDEX(DraftResults[[#All],[Team Name]],MATCH(Table5[[#This Row],[PID]],DraftResults[[#All],[Player ID]],0)),"")</f>
        <v/>
      </c>
      <c r="AC177" s="52" t="str">
        <f>IF(Table5[[#This Row],[Ovr]]="","",IF(Table5[[#This Row],[cmbList]]="","",Table5[[#This Row],[cmbList]]-Table5[[#This Row],[Ovr]]))</f>
        <v/>
      </c>
      <c r="AD177" s="56" t="str">
        <f>IF(ISERROR(VLOOKUP($AB177&amp;"-"&amp;$E177&amp;" "&amp;F177,Bonuses!$B$1:$G$1006,4,FALSE)),"",INT(VLOOKUP($AB177&amp;"-"&amp;$E177&amp;" "&amp;$F177,Bonuses!$B$1:$G$1006,4,FALSE)))</f>
        <v/>
      </c>
      <c r="AE1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8" spans="1:31" s="52" customFormat="1" x14ac:dyDescent="0.25">
      <c r="A178" s="52">
        <v>12920</v>
      </c>
      <c r="B178" s="52">
        <f>COUNTIF(Table5[PID],A178)</f>
        <v>1</v>
      </c>
      <c r="C178" s="52" t="str">
        <f>IF(COUNTIF(Table3[[#All],[PID]],A178)&gt;0,"P","B")</f>
        <v>B</v>
      </c>
      <c r="D178" s="61" t="str">
        <f>IF($C178="B",INDEX(Batters[[#All],[POS]],MATCH(Table5[[#This Row],[PID]],Batters[[#All],[PID]],0)),INDEX(Table3[[#All],[POS]],MATCH(Table5[[#This Row],[PID]],Table3[[#All],[PID]],0)))</f>
        <v>1B</v>
      </c>
      <c r="E178" s="54" t="str">
        <f>IF($C178="B",INDEX(Batters[[#All],[First]],MATCH(Table5[[#This Row],[PID]],Batters[[#All],[PID]],0)),INDEX(Table3[[#All],[First]],MATCH(Table5[[#This Row],[PID]],Table3[[#All],[PID]],0)))</f>
        <v>Ángel</v>
      </c>
      <c r="F178" s="52" t="str">
        <f>IF($C178="B",INDEX(Batters[[#All],[Last]],MATCH(A178,Batters[[#All],[PID]],0)),INDEX(Table3[[#All],[Last]],MATCH(A178,Table3[[#All],[PID]],0)))</f>
        <v>Torres</v>
      </c>
      <c r="G178" s="58">
        <f>IF($C178="B",INDEX(Batters[[#All],[Age]],MATCH(Table5[[#This Row],[PID]],Batters[[#All],[PID]],0)),INDEX(Table3[[#All],[Age]],MATCH(Table5[[#This Row],[PID]],Table3[[#All],[PID]],0)))</f>
        <v>18</v>
      </c>
      <c r="H178" s="54" t="str">
        <f>IF($C178="B",INDEX(Batters[[#All],[B]],MATCH(Table5[[#This Row],[PID]],Batters[[#All],[PID]],0)),INDEX(Table3[[#All],[B]],MATCH(Table5[[#This Row],[PID]],Table3[[#All],[PID]],0)))</f>
        <v>R</v>
      </c>
      <c r="I178" s="54" t="str">
        <f>IF($C178="B",INDEX(Batters[[#All],[T]],MATCH(Table5[[#This Row],[PID]],Batters[[#All],[PID]],0)),INDEX(Table3[[#All],[T]],MATCH(Table5[[#This Row],[PID]],Table3[[#All],[PID]],0)))</f>
        <v>R</v>
      </c>
      <c r="J178" s="54" t="str">
        <f>IF($C178="B",INDEX(Batters[[#All],[WE]],MATCH(Table5[[#This Row],[PID]],Batters[[#All],[PID]],0)),INDEX(Table3[[#All],[WE]],MATCH(Table5[[#This Row],[PID]],Table3[[#All],[PID]],0)))</f>
        <v>High</v>
      </c>
      <c r="K178" s="54" t="str">
        <f>IF($C178="B",INDEX(Batters[[#All],[INT]],MATCH(Table5[[#This Row],[PID]],Batters[[#All],[PID]],0)),INDEX(Table3[[#All],[INT]],MATCH(Table5[[#This Row],[PID]],Table3[[#All],[PID]],0)))</f>
        <v>Normal</v>
      </c>
      <c r="L178" s="62">
        <f>IF($C178="B",INDEX(Batters[[#All],[CON P]],MATCH(Table5[[#This Row],[PID]],Batters[[#All],[PID]],0)),INDEX(Table3[[#All],[STU P]],MATCH(Table5[[#This Row],[PID]],Table3[[#All],[PID]],0)))</f>
        <v>3</v>
      </c>
      <c r="M178" s="58">
        <f>IF($C178="B",INDEX(Batters[[#All],[GAP P]],MATCH(Table5[[#This Row],[PID]],Batters[[#All],[PID]],0)),INDEX(Table3[[#All],[MOV P]],MATCH(Table5[[#This Row],[PID]],Table3[[#All],[PID]],0)))</f>
        <v>5</v>
      </c>
      <c r="N178" s="58">
        <f>IF($C178="B",INDEX(Batters[[#All],[POW P]],MATCH(Table5[[#This Row],[PID]],Batters[[#All],[PID]],0)),INDEX(Table3[[#All],[CON P]],MATCH(Table5[[#This Row],[PID]],Table3[[#All],[PID]],0)))</f>
        <v>6</v>
      </c>
      <c r="O178" s="58">
        <f>IF($C178="B",INDEX(Batters[[#All],[EYE P]],MATCH(Table5[[#This Row],[PID]],Batters[[#All],[PID]],0)),INDEX(Table3[[#All],[VELO]],MATCH(Table5[[#This Row],[PID]],Table3[[#All],[PID]],0)))</f>
        <v>6</v>
      </c>
      <c r="P178" s="58">
        <f>IF($C178="B",INDEX(Batters[[#All],[K P]],MATCH(Table5[[#This Row],[PID]],Batters[[#All],[PID]],0)),INDEX(Table3[[#All],[STM]],MATCH(Table5[[#This Row],[PID]],Table3[[#All],[PID]],0)))</f>
        <v>2</v>
      </c>
      <c r="Q178" s="63">
        <f>IF($C178="B",INDEX(Batters[[#All],[Tot]],MATCH(Table5[[#This Row],[PID]],Batters[[#All],[PID]],0)),INDEX(Table3[[#All],[Tot]],MATCH(Table5[[#This Row],[PID]],Table3[[#All],[PID]],0)))</f>
        <v>46.135395581865644</v>
      </c>
      <c r="R178" s="54">
        <f>IF($C178="B",INDEX(Batters[[#All],[zScore]],MATCH(Table5[[#This Row],[PID]],Batters[[#All],[PID]],0)),INDEX(Table3[[#All],[zScore]],MATCH(Table5[[#This Row],[PID]],Table3[[#All],[PID]],0)))</f>
        <v>1.018210266817382</v>
      </c>
      <c r="S178" s="60" t="str">
        <f>IF($C178="B",INDEX(Batters[[#All],[DEM]],MATCH(Table5[[#This Row],[PID]],Batters[[#All],[PID]],0)),INDEX(Table3[[#All],[DEM]],MATCH(Table5[[#This Row],[PID]],Table3[[#All],[PID]],0)))</f>
        <v>$75k</v>
      </c>
      <c r="T178" s="64">
        <f>IF($C178="B",VLOOKUP($A178,Bat!$A$4:$AU$1417,46,FALSE),VLOOKUP($A178,Pit!$A$4:$BD$570,55,FALSE))</f>
        <v>0</v>
      </c>
      <c r="U178" s="52">
        <f>IF($C178="B",VLOOKUP($A178,Bat!$A$4:$BA$1417,47,FALSE),VLOOKUP($A178,Pit!$A$4:$BF$570,56,FALSE))</f>
        <v>0</v>
      </c>
      <c r="V178" s="52">
        <f>IF($C178="B",VLOOKUP($A178,Bat!$A$4:$BA$1417,48,FALSE),VLOOKUP($A178,Pit!$A$4:$BF$570,57,FALSE))</f>
        <v>0</v>
      </c>
      <c r="W178" s="52">
        <f>Table5[[#This Row],[posRnk]]+Table5[[#This Row],[zRnk]]+IF($W$3&lt;&gt;Table5[[#This Row],[Type]],50,0)</f>
        <v>224</v>
      </c>
      <c r="X178" s="53">
        <f>RANK(Table5[[#This Row],[zScore]],Table5[[#All],[zScore]])</f>
        <v>174</v>
      </c>
      <c r="Y178" s="52" t="str">
        <f>IFERROR(INDEX(DraftResults[[#All],[OVR]],MATCH(Table5[[#This Row],[PID]],DraftResults[[#All],[Player ID]],0)),"")</f>
        <v/>
      </c>
      <c r="Z1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8" s="52" t="str">
        <f>IFERROR(INDEX(DraftResults[[#All],[Pick in Round]],MATCH(Table5[[#This Row],[PID]],DraftResults[[#All],[Player ID]],0)),"")</f>
        <v/>
      </c>
      <c r="AB178" s="52" t="str">
        <f>IFERROR(INDEX(DraftResults[[#All],[Team Name]],MATCH(Table5[[#This Row],[PID]],DraftResults[[#All],[Player ID]],0)),"")</f>
        <v/>
      </c>
      <c r="AC178" s="52" t="str">
        <f>IF(Table5[[#This Row],[Ovr]]="","",IF(Table5[[#This Row],[cmbList]]="","",Table5[[#This Row],[cmbList]]-Table5[[#This Row],[Ovr]]))</f>
        <v/>
      </c>
      <c r="AD178" s="56" t="str">
        <f>IF(ISERROR(VLOOKUP($AB178&amp;"-"&amp;$E178&amp;" "&amp;F178,Bonuses!$B$1:$G$1006,4,FALSE)),"",INT(VLOOKUP($AB178&amp;"-"&amp;$E178&amp;" "&amp;$F178,Bonuses!$B$1:$G$1006,4,FALSE)))</f>
        <v/>
      </c>
      <c r="AE1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79" spans="1:31" s="52" customFormat="1" x14ac:dyDescent="0.25">
      <c r="A179" s="52">
        <v>13324</v>
      </c>
      <c r="B179" s="52">
        <f>COUNTIF(Table5[PID],A179)</f>
        <v>1</v>
      </c>
      <c r="C179" s="52" t="str">
        <f>IF(COUNTIF(Table3[[#All],[PID]],A179)&gt;0,"P","B")</f>
        <v>P</v>
      </c>
      <c r="D179" s="61" t="str">
        <f>IF($C179="B",INDEX(Batters[[#All],[POS]],MATCH(Table5[[#This Row],[PID]],Batters[[#All],[PID]],0)),INDEX(Table3[[#All],[POS]],MATCH(Table5[[#This Row],[PID]],Table3[[#All],[PID]],0)))</f>
        <v>RP</v>
      </c>
      <c r="E179" s="54" t="str">
        <f>IF($C179="B",INDEX(Batters[[#All],[First]],MATCH(Table5[[#This Row],[PID]],Batters[[#All],[PID]],0)),INDEX(Table3[[#All],[First]],MATCH(Table5[[#This Row],[PID]],Table3[[#All],[PID]],0)))</f>
        <v>Matt</v>
      </c>
      <c r="F179" s="52" t="str">
        <f>IF($C179="B",INDEX(Batters[[#All],[Last]],MATCH(A179,Batters[[#All],[PID]],0)),INDEX(Table3[[#All],[Last]],MATCH(A179,Table3[[#All],[PID]],0)))</f>
        <v>Taylor</v>
      </c>
      <c r="G179" s="58">
        <f>IF($C179="B",INDEX(Batters[[#All],[Age]],MATCH(Table5[[#This Row],[PID]],Batters[[#All],[PID]],0)),INDEX(Table3[[#All],[Age]],MATCH(Table5[[#This Row],[PID]],Table3[[#All],[PID]],0)))</f>
        <v>18</v>
      </c>
      <c r="H179" s="54" t="str">
        <f>IF($C179="B",INDEX(Batters[[#All],[B]],MATCH(Table5[[#This Row],[PID]],Batters[[#All],[PID]],0)),INDEX(Table3[[#All],[B]],MATCH(Table5[[#This Row],[PID]],Table3[[#All],[PID]],0)))</f>
        <v>R</v>
      </c>
      <c r="I179" s="54" t="str">
        <f>IF($C179="B",INDEX(Batters[[#All],[T]],MATCH(Table5[[#This Row],[PID]],Batters[[#All],[PID]],0)),INDEX(Table3[[#All],[T]],MATCH(Table5[[#This Row],[PID]],Table3[[#All],[PID]],0)))</f>
        <v>R</v>
      </c>
      <c r="J179" s="54" t="str">
        <f>IF($C179="B",INDEX(Batters[[#All],[WE]],MATCH(Table5[[#This Row],[PID]],Batters[[#All],[PID]],0)),INDEX(Table3[[#All],[WE]],MATCH(Table5[[#This Row],[PID]],Table3[[#All],[PID]],0)))</f>
        <v>Normal</v>
      </c>
      <c r="K179" s="54" t="str">
        <f>IF($C179="B",INDEX(Batters[[#All],[INT]],MATCH(Table5[[#This Row],[PID]],Batters[[#All],[PID]],0)),INDEX(Table3[[#All],[INT]],MATCH(Table5[[#This Row],[PID]],Table3[[#All],[PID]],0)))</f>
        <v>Normal</v>
      </c>
      <c r="L179" s="62">
        <f>IF($C179="B",INDEX(Batters[[#All],[CON P]],MATCH(Table5[[#This Row],[PID]],Batters[[#All],[PID]],0)),INDEX(Table3[[#All],[STU P]],MATCH(Table5[[#This Row],[PID]],Table3[[#All],[PID]],0)))</f>
        <v>8</v>
      </c>
      <c r="M179" s="58">
        <f>IF($C179="B",INDEX(Batters[[#All],[GAP P]],MATCH(Table5[[#This Row],[PID]],Batters[[#All],[PID]],0)),INDEX(Table3[[#All],[MOV P]],MATCH(Table5[[#This Row],[PID]],Table3[[#All],[PID]],0)))</f>
        <v>2</v>
      </c>
      <c r="N179" s="58">
        <f>IF($C179="B",INDEX(Batters[[#All],[POW P]],MATCH(Table5[[#This Row],[PID]],Batters[[#All],[PID]],0)),INDEX(Table3[[#All],[CON P]],MATCH(Table5[[#This Row],[PID]],Table3[[#All],[PID]],0)))</f>
        <v>3</v>
      </c>
      <c r="O179" s="58" t="str">
        <f>IF($C179="B",INDEX(Batters[[#All],[EYE P]],MATCH(Table5[[#This Row],[PID]],Batters[[#All],[PID]],0)),INDEX(Table3[[#All],[VELO]],MATCH(Table5[[#This Row],[PID]],Table3[[#All],[PID]],0)))</f>
        <v>96-98 Mph</v>
      </c>
      <c r="P179" s="58">
        <f>IF($C179="B",INDEX(Batters[[#All],[K P]],MATCH(Table5[[#This Row],[PID]],Batters[[#All],[PID]],0)),INDEX(Table3[[#All],[STM]],MATCH(Table5[[#This Row],[PID]],Table3[[#All],[PID]],0)))</f>
        <v>3</v>
      </c>
      <c r="Q179" s="63">
        <f>IF($C179="B",INDEX(Batters[[#All],[Tot]],MATCH(Table5[[#This Row],[PID]],Batters[[#All],[PID]],0)),INDEX(Table3[[#All],[Tot]],MATCH(Table5[[#This Row],[PID]],Table3[[#All],[PID]],0)))</f>
        <v>43.81808088622811</v>
      </c>
      <c r="R179" s="54">
        <f>IF($C179="B",INDEX(Batters[[#All],[zScore]],MATCH(Table5[[#This Row],[PID]],Batters[[#All],[PID]],0)),INDEX(Table3[[#All],[zScore]],MATCH(Table5[[#This Row],[PID]],Table3[[#All],[PID]],0)))</f>
        <v>1.0175350385239799</v>
      </c>
      <c r="S179" s="60" t="str">
        <f>IF($C179="B",INDEX(Batters[[#All],[DEM]],MATCH(Table5[[#This Row],[PID]],Batters[[#All],[PID]],0)),INDEX(Table3[[#All],[DEM]],MATCH(Table5[[#This Row],[PID]],Table3[[#All],[PID]],0)))</f>
        <v>$80k</v>
      </c>
      <c r="T179" s="64">
        <f>IF($C179="B",VLOOKUP($A179,Bat!$A$4:$AU$1417,46,FALSE),VLOOKUP($A179,Pit!$A$4:$BD$570,55,FALSE))</f>
        <v>0</v>
      </c>
      <c r="U179" s="52">
        <f>IF($C179="B",VLOOKUP($A179,Bat!$A$4:$BA$1417,47,FALSE),VLOOKUP($A179,Pit!$A$4:$BF$570,56,FALSE))</f>
        <v>0</v>
      </c>
      <c r="V179" s="52">
        <f>IF($C179="B",VLOOKUP($A179,Bat!$A$4:$BA$1417,48,FALSE),VLOOKUP($A179,Pit!$A$4:$BF$570,57,FALSE))</f>
        <v>0</v>
      </c>
      <c r="W179" s="52">
        <f>Table5[[#This Row],[posRnk]]+Table5[[#This Row],[zRnk]]+IF($W$3&lt;&gt;Table5[[#This Row],[Type]],50,0)</f>
        <v>225</v>
      </c>
      <c r="X179" s="53">
        <f>RANK(Table5[[#This Row],[zScore]],Table5[[#All],[zScore]])</f>
        <v>175</v>
      </c>
      <c r="Y179" s="52" t="str">
        <f>IFERROR(INDEX(DraftResults[[#All],[OVR]],MATCH(Table5[[#This Row],[PID]],DraftResults[[#All],[Player ID]],0)),"")</f>
        <v/>
      </c>
      <c r="Z1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9" s="52" t="str">
        <f>IFERROR(INDEX(DraftResults[[#All],[Pick in Round]],MATCH(Table5[[#This Row],[PID]],DraftResults[[#All],[Player ID]],0)),"")</f>
        <v/>
      </c>
      <c r="AB179" s="52" t="str">
        <f>IFERROR(INDEX(DraftResults[[#All],[Team Name]],MATCH(Table5[[#This Row],[PID]],DraftResults[[#All],[Player ID]],0)),"")</f>
        <v/>
      </c>
      <c r="AC179" s="52" t="str">
        <f>IF(Table5[[#This Row],[Ovr]]="","",IF(Table5[[#This Row],[cmbList]]="","",Table5[[#This Row],[cmbList]]-Table5[[#This Row],[Ovr]]))</f>
        <v/>
      </c>
      <c r="AD179" s="56" t="str">
        <f>IF(ISERROR(VLOOKUP($AB179&amp;"-"&amp;$E179&amp;" "&amp;F179,Bonuses!$B$1:$G$1006,4,FALSE)),"",INT(VLOOKUP($AB179&amp;"-"&amp;$E179&amp;" "&amp;$F179,Bonuses!$B$1:$G$1006,4,FALSE)))</f>
        <v/>
      </c>
      <c r="AE1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0" spans="1:31" s="52" customFormat="1" x14ac:dyDescent="0.25">
      <c r="A180" s="52">
        <v>7141</v>
      </c>
      <c r="B180" s="57">
        <f>COUNTIF(Table5[PID],A180)</f>
        <v>1</v>
      </c>
      <c r="C180" s="57" t="str">
        <f>IF(COUNTIF(Table3[[#All],[PID]],A180)&gt;0,"P","B")</f>
        <v>B</v>
      </c>
      <c r="D180" s="61" t="str">
        <f>IF($C180="B",INDEX(Batters[[#All],[POS]],MATCH(Table5[[#This Row],[PID]],Batters[[#All],[PID]],0)),INDEX(Table3[[#All],[POS]],MATCH(Table5[[#This Row],[PID]],Table3[[#All],[PID]],0)))</f>
        <v>SS</v>
      </c>
      <c r="E180" s="54" t="str">
        <f>IF($C180="B",INDEX(Batters[[#All],[First]],MATCH(Table5[[#This Row],[PID]],Batters[[#All],[PID]],0)),INDEX(Table3[[#All],[First]],MATCH(Table5[[#This Row],[PID]],Table3[[#All],[PID]],0)))</f>
        <v>Takayuki</v>
      </c>
      <c r="F180" s="52" t="str">
        <f>IF($C180="B",INDEX(Batters[[#All],[Last]],MATCH(A180,Batters[[#All],[PID]],0)),INDEX(Table3[[#All],[Last]],MATCH(A180,Table3[[#All],[PID]],0)))</f>
        <v>Yamada</v>
      </c>
      <c r="G180" s="58">
        <f>IF($C180="B",INDEX(Batters[[#All],[Age]],MATCH(Table5[[#This Row],[PID]],Batters[[#All],[PID]],0)),INDEX(Table3[[#All],[Age]],MATCH(Table5[[#This Row],[PID]],Table3[[#All],[PID]],0)))</f>
        <v>21</v>
      </c>
      <c r="H180" s="54" t="str">
        <f>IF($C180="B",INDEX(Batters[[#All],[B]],MATCH(Table5[[#This Row],[PID]],Batters[[#All],[PID]],0)),INDEX(Table3[[#All],[B]],MATCH(Table5[[#This Row],[PID]],Table3[[#All],[PID]],0)))</f>
        <v>R</v>
      </c>
      <c r="I180" s="54" t="str">
        <f>IF($C180="B",INDEX(Batters[[#All],[T]],MATCH(Table5[[#This Row],[PID]],Batters[[#All],[PID]],0)),INDEX(Table3[[#All],[T]],MATCH(Table5[[#This Row],[PID]],Table3[[#All],[PID]],0)))</f>
        <v>R</v>
      </c>
      <c r="J180" s="54" t="str">
        <f>IF($C180="B",INDEX(Batters[[#All],[WE]],MATCH(Table5[[#This Row],[PID]],Batters[[#All],[PID]],0)),INDEX(Table3[[#All],[WE]],MATCH(Table5[[#This Row],[PID]],Table3[[#All],[PID]],0)))</f>
        <v>Normal</v>
      </c>
      <c r="K180" s="54" t="str">
        <f>IF($C180="B",INDEX(Batters[[#All],[INT]],MATCH(Table5[[#This Row],[PID]],Batters[[#All],[PID]],0)),INDEX(Table3[[#All],[INT]],MATCH(Table5[[#This Row],[PID]],Table3[[#All],[PID]],0)))</f>
        <v>Low</v>
      </c>
      <c r="L180" s="62">
        <f>IF($C180="B",INDEX(Batters[[#All],[CON P]],MATCH(Table5[[#This Row],[PID]],Batters[[#All],[PID]],0)),INDEX(Table3[[#All],[STU P]],MATCH(Table5[[#This Row],[PID]],Table3[[#All],[PID]],0)))</f>
        <v>4</v>
      </c>
      <c r="M180" s="58">
        <f>IF($C180="B",INDEX(Batters[[#All],[GAP P]],MATCH(Table5[[#This Row],[PID]],Batters[[#All],[PID]],0)),INDEX(Table3[[#All],[MOV P]],MATCH(Table5[[#This Row],[PID]],Table3[[#All],[PID]],0)))</f>
        <v>6</v>
      </c>
      <c r="N180" s="58">
        <f>IF($C180="B",INDEX(Batters[[#All],[POW P]],MATCH(Table5[[#This Row],[PID]],Batters[[#All],[PID]],0)),INDEX(Table3[[#All],[CON P]],MATCH(Table5[[#This Row],[PID]],Table3[[#All],[PID]],0)))</f>
        <v>4</v>
      </c>
      <c r="O180" s="58">
        <f>IF($C180="B",INDEX(Batters[[#All],[EYE P]],MATCH(Table5[[#This Row],[PID]],Batters[[#All],[PID]],0)),INDEX(Table3[[#All],[VELO]],MATCH(Table5[[#This Row],[PID]],Table3[[#All],[PID]],0)))</f>
        <v>6</v>
      </c>
      <c r="P180" s="58">
        <f>IF($C180="B",INDEX(Batters[[#All],[K P]],MATCH(Table5[[#This Row],[PID]],Batters[[#All],[PID]],0)),INDEX(Table3[[#All],[STM]],MATCH(Table5[[#This Row],[PID]],Table3[[#All],[PID]],0)))</f>
        <v>4</v>
      </c>
      <c r="Q180" s="63">
        <f>IF($C180="B",INDEX(Batters[[#All],[Tot]],MATCH(Table5[[#This Row],[PID]],Batters[[#All],[PID]],0)),INDEX(Table3[[#All],[Tot]],MATCH(Table5[[#This Row],[PID]],Table3[[#All],[PID]],0)))</f>
        <v>46.104886917214287</v>
      </c>
      <c r="R180" s="54">
        <f>IF($C180="B",INDEX(Batters[[#All],[zScore]],MATCH(Table5[[#This Row],[PID]],Batters[[#All],[PID]],0)),INDEX(Table3[[#All],[zScore]],MATCH(Table5[[#This Row],[PID]],Table3[[#All],[PID]],0)))</f>
        <v>1.0128424700418166</v>
      </c>
      <c r="S180" s="60" t="str">
        <f>IF($C180="B",INDEX(Batters[[#All],[DEM]],MATCH(Table5[[#This Row],[PID]],Batters[[#All],[PID]],0)),INDEX(Table3[[#All],[DEM]],MATCH(Table5[[#This Row],[PID]],Table3[[#All],[PID]],0)))</f>
        <v>$390k</v>
      </c>
      <c r="T180" s="64">
        <f>IF($C180="B",VLOOKUP($A180,Bat!$A$4:$AU$1417,46,FALSE),VLOOKUP($A180,Pit!$A$4:$BD$570,55,FALSE))</f>
        <v>0</v>
      </c>
      <c r="U180" s="52">
        <f>IF($C180="B",VLOOKUP($A180,Bat!$A$4:$BA$1417,47,FALSE),VLOOKUP($A180,Pit!$A$4:$BF$570,56,FALSE))</f>
        <v>0</v>
      </c>
      <c r="V180" s="52">
        <f>IF($C180="B",VLOOKUP($A180,Bat!$A$4:$BA$1417,48,FALSE),VLOOKUP($A180,Pit!$A$4:$BF$570,57,FALSE))</f>
        <v>0</v>
      </c>
      <c r="W180" s="52">
        <f>Table5[[#This Row],[posRnk]]+Table5[[#This Row],[zRnk]]+IF($W$3&lt;&gt;Table5[[#This Row],[Type]],50,0)</f>
        <v>226</v>
      </c>
      <c r="X180" s="53">
        <f>RANK(Table5[[#This Row],[zScore]],Table5[[#All],[zScore]])</f>
        <v>176</v>
      </c>
      <c r="Y180" s="52" t="str">
        <f>IFERROR(INDEX(DraftResults[[#All],[OVR]],MATCH(Table5[[#This Row],[PID]],DraftResults[[#All],[Player ID]],0)),"")</f>
        <v/>
      </c>
      <c r="Z1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0" s="52" t="str">
        <f>IFERROR(INDEX(DraftResults[[#All],[Pick in Round]],MATCH(Table5[[#This Row],[PID]],DraftResults[[#All],[Player ID]],0)),"")</f>
        <v/>
      </c>
      <c r="AB180" s="52" t="str">
        <f>IFERROR(INDEX(DraftResults[[#All],[Team Name]],MATCH(Table5[[#This Row],[PID]],DraftResults[[#All],[Player ID]],0)),"")</f>
        <v/>
      </c>
      <c r="AC180" s="52" t="str">
        <f>IF(Table5[[#This Row],[Ovr]]="","",IF(Table5[[#This Row],[cmbList]]="","",Table5[[#This Row],[cmbList]]-Table5[[#This Row],[Ovr]]))</f>
        <v/>
      </c>
      <c r="AD180" s="56" t="str">
        <f>IF(ISERROR(VLOOKUP($AB180&amp;"-"&amp;$E180&amp;" "&amp;F180,Bonuses!$B$1:$G$1006,4,FALSE)),"",INT(VLOOKUP($AB180&amp;"-"&amp;$E180&amp;" "&amp;$F180,Bonuses!$B$1:$G$1006,4,FALSE)))</f>
        <v/>
      </c>
      <c r="AE1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1" spans="1:31" s="52" customFormat="1" x14ac:dyDescent="0.25">
      <c r="A181" s="52">
        <v>7034</v>
      </c>
      <c r="B181" s="52">
        <f>COUNTIF(Table5[PID],A181)</f>
        <v>1</v>
      </c>
      <c r="C181" s="52" t="str">
        <f>IF(COUNTIF(Table3[[#All],[PID]],A181)&gt;0,"P","B")</f>
        <v>B</v>
      </c>
      <c r="D181" s="61" t="str">
        <f>IF($C181="B",INDEX(Batters[[#All],[POS]],MATCH(Table5[[#This Row],[PID]],Batters[[#All],[PID]],0)),INDEX(Table3[[#All],[POS]],MATCH(Table5[[#This Row],[PID]],Table3[[#All],[PID]],0)))</f>
        <v>C</v>
      </c>
      <c r="E181" s="54" t="str">
        <f>IF($C181="B",INDEX(Batters[[#All],[First]],MATCH(Table5[[#This Row],[PID]],Batters[[#All],[PID]],0)),INDEX(Table3[[#All],[First]],MATCH(Table5[[#This Row],[PID]],Table3[[#All],[PID]],0)))</f>
        <v>Masashige</v>
      </c>
      <c r="F181" s="52" t="str">
        <f>IF($C181="B",INDEX(Batters[[#All],[Last]],MATCH(A181,Batters[[#All],[PID]],0)),INDEX(Table3[[#All],[Last]],MATCH(A181,Table3[[#All],[PID]],0)))</f>
        <v>Hamada</v>
      </c>
      <c r="G181" s="58">
        <f>IF($C181="B",INDEX(Batters[[#All],[Age]],MATCH(Table5[[#This Row],[PID]],Batters[[#All],[PID]],0)),INDEX(Table3[[#All],[Age]],MATCH(Table5[[#This Row],[PID]],Table3[[#All],[PID]],0)))</f>
        <v>21</v>
      </c>
      <c r="H181" s="54" t="str">
        <f>IF($C181="B",INDEX(Batters[[#All],[B]],MATCH(Table5[[#This Row],[PID]],Batters[[#All],[PID]],0)),INDEX(Table3[[#All],[B]],MATCH(Table5[[#This Row],[PID]],Table3[[#All],[PID]],0)))</f>
        <v>R</v>
      </c>
      <c r="I181" s="54" t="str">
        <f>IF($C181="B",INDEX(Batters[[#All],[T]],MATCH(Table5[[#This Row],[PID]],Batters[[#All],[PID]],0)),INDEX(Table3[[#All],[T]],MATCH(Table5[[#This Row],[PID]],Table3[[#All],[PID]],0)))</f>
        <v>R</v>
      </c>
      <c r="J181" s="54" t="str">
        <f>IF($C181="B",INDEX(Batters[[#All],[WE]],MATCH(Table5[[#This Row],[PID]],Batters[[#All],[PID]],0)),INDEX(Table3[[#All],[WE]],MATCH(Table5[[#This Row],[PID]],Table3[[#All],[PID]],0)))</f>
        <v>Normal</v>
      </c>
      <c r="K181" s="54" t="str">
        <f>IF($C181="B",INDEX(Batters[[#All],[INT]],MATCH(Table5[[#This Row],[PID]],Batters[[#All],[PID]],0)),INDEX(Table3[[#All],[INT]],MATCH(Table5[[#This Row],[PID]],Table3[[#All],[PID]],0)))</f>
        <v>Normal</v>
      </c>
      <c r="L181" s="62">
        <f>IF($C181="B",INDEX(Batters[[#All],[CON P]],MATCH(Table5[[#This Row],[PID]],Batters[[#All],[PID]],0)),INDEX(Table3[[#All],[STU P]],MATCH(Table5[[#This Row],[PID]],Table3[[#All],[PID]],0)))</f>
        <v>4</v>
      </c>
      <c r="M181" s="58">
        <f>IF($C181="B",INDEX(Batters[[#All],[GAP P]],MATCH(Table5[[#This Row],[PID]],Batters[[#All],[PID]],0)),INDEX(Table3[[#All],[MOV P]],MATCH(Table5[[#This Row],[PID]],Table3[[#All],[PID]],0)))</f>
        <v>8</v>
      </c>
      <c r="N181" s="58">
        <f>IF($C181="B",INDEX(Batters[[#All],[POW P]],MATCH(Table5[[#This Row],[PID]],Batters[[#All],[PID]],0)),INDEX(Table3[[#All],[CON P]],MATCH(Table5[[#This Row],[PID]],Table3[[#All],[PID]],0)))</f>
        <v>5</v>
      </c>
      <c r="O181" s="58">
        <f>IF($C181="B",INDEX(Batters[[#All],[EYE P]],MATCH(Table5[[#This Row],[PID]],Batters[[#All],[PID]],0)),INDEX(Table3[[#All],[VELO]],MATCH(Table5[[#This Row],[PID]],Table3[[#All],[PID]],0)))</f>
        <v>4</v>
      </c>
      <c r="P181" s="58">
        <f>IF($C181="B",INDEX(Batters[[#All],[K P]],MATCH(Table5[[#This Row],[PID]],Batters[[#All],[PID]],0)),INDEX(Table3[[#All],[STM]],MATCH(Table5[[#This Row],[PID]],Table3[[#All],[PID]],0)))</f>
        <v>5</v>
      </c>
      <c r="Q181" s="63">
        <f>IF($C181="B",INDEX(Batters[[#All],[Tot]],MATCH(Table5[[#This Row],[PID]],Batters[[#All],[PID]],0)),INDEX(Table3[[#All],[Tot]],MATCH(Table5[[#This Row],[PID]],Table3[[#All],[PID]],0)))</f>
        <v>46.059471488829537</v>
      </c>
      <c r="R181" s="54">
        <f>IF($C181="B",INDEX(Batters[[#All],[zScore]],MATCH(Table5[[#This Row],[PID]],Batters[[#All],[PID]],0)),INDEX(Table3[[#All],[zScore]],MATCH(Table5[[#This Row],[PID]],Table3[[#All],[PID]],0)))</f>
        <v>1.0048519272622349</v>
      </c>
      <c r="S181" s="60" t="str">
        <f>IF($C181="B",INDEX(Batters[[#All],[DEM]],MATCH(Table5[[#This Row],[PID]],Batters[[#All],[PID]],0)),INDEX(Table3[[#All],[DEM]],MATCH(Table5[[#This Row],[PID]],Table3[[#All],[PID]],0)))</f>
        <v>$270k</v>
      </c>
      <c r="T181" s="64">
        <f>IF($C181="B",VLOOKUP($A181,Bat!$A$4:$AU$1417,46,FALSE),VLOOKUP($A181,Pit!$A$4:$BD$570,55,FALSE))</f>
        <v>0</v>
      </c>
      <c r="U181" s="52">
        <f>IF($C181="B",VLOOKUP($A181,Bat!$A$4:$BA$1417,47,FALSE),VLOOKUP($A181,Pit!$A$4:$BF$570,56,FALSE))</f>
        <v>0</v>
      </c>
      <c r="V181" s="52">
        <f>IF($C181="B",VLOOKUP($A181,Bat!$A$4:$BA$1417,48,FALSE),VLOOKUP($A181,Pit!$A$4:$BF$570,57,FALSE))</f>
        <v>0</v>
      </c>
      <c r="W181" s="52">
        <f>Table5[[#This Row],[posRnk]]+Table5[[#This Row],[zRnk]]+IF($W$3&lt;&gt;Table5[[#This Row],[Type]],50,0)</f>
        <v>227</v>
      </c>
      <c r="X181" s="53">
        <f>RANK(Table5[[#This Row],[zScore]],Table5[[#All],[zScore]])</f>
        <v>177</v>
      </c>
      <c r="Y181" s="52" t="str">
        <f>IFERROR(INDEX(DraftResults[[#All],[OVR]],MATCH(Table5[[#This Row],[PID]],DraftResults[[#All],[Player ID]],0)),"")</f>
        <v/>
      </c>
      <c r="Z1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1" s="52" t="str">
        <f>IFERROR(INDEX(DraftResults[[#All],[Pick in Round]],MATCH(Table5[[#This Row],[PID]],DraftResults[[#All],[Player ID]],0)),"")</f>
        <v/>
      </c>
      <c r="AB181" s="52" t="str">
        <f>IFERROR(INDEX(DraftResults[[#All],[Team Name]],MATCH(Table5[[#This Row],[PID]],DraftResults[[#All],[Player ID]],0)),"")</f>
        <v/>
      </c>
      <c r="AC181" s="52" t="str">
        <f>IF(Table5[[#This Row],[Ovr]]="","",IF(Table5[[#This Row],[cmbList]]="","",Table5[[#This Row],[cmbList]]-Table5[[#This Row],[Ovr]]))</f>
        <v/>
      </c>
      <c r="AD181" s="56" t="str">
        <f>IF(ISERROR(VLOOKUP($AB181&amp;"-"&amp;$E181&amp;" "&amp;F181,Bonuses!$B$1:$G$1006,4,FALSE)),"",INT(VLOOKUP($AB181&amp;"-"&amp;$E181&amp;" "&amp;$F181,Bonuses!$B$1:$G$1006,4,FALSE)))</f>
        <v/>
      </c>
      <c r="AE1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2" spans="1:31" s="52" customFormat="1" x14ac:dyDescent="0.25">
      <c r="A182" s="52">
        <v>12650</v>
      </c>
      <c r="B182" s="52">
        <f>COUNTIF(Table5[PID],A182)</f>
        <v>1</v>
      </c>
      <c r="C182" s="52" t="str">
        <f>IF(COUNTIF(Table3[[#All],[PID]],A182)&gt;0,"P","B")</f>
        <v>P</v>
      </c>
      <c r="D182" s="61" t="str">
        <f>IF($C182="B",INDEX(Batters[[#All],[POS]],MATCH(Table5[[#This Row],[PID]],Batters[[#All],[PID]],0)),INDEX(Table3[[#All],[POS]],MATCH(Table5[[#This Row],[PID]],Table3[[#All],[PID]],0)))</f>
        <v>RP</v>
      </c>
      <c r="E182" s="54" t="str">
        <f>IF($C182="B",INDEX(Batters[[#All],[First]],MATCH(Table5[[#This Row],[PID]],Batters[[#All],[PID]],0)),INDEX(Table3[[#All],[First]],MATCH(Table5[[#This Row],[PID]],Table3[[#All],[PID]],0)))</f>
        <v>Roosevelt</v>
      </c>
      <c r="F182" s="52" t="str">
        <f>IF($C182="B",INDEX(Batters[[#All],[Last]],MATCH(A182,Batters[[#All],[PID]],0)),INDEX(Table3[[#All],[Last]],MATCH(A182,Table3[[#All],[PID]],0)))</f>
        <v>Clemons</v>
      </c>
      <c r="G182" s="58">
        <f>IF($C182="B",INDEX(Batters[[#All],[Age]],MATCH(Table5[[#This Row],[PID]],Batters[[#All],[PID]],0)),INDEX(Table3[[#All],[Age]],MATCH(Table5[[#This Row],[PID]],Table3[[#All],[PID]],0)))</f>
        <v>18</v>
      </c>
      <c r="H182" s="54" t="str">
        <f>IF($C182="B",INDEX(Batters[[#All],[B]],MATCH(Table5[[#This Row],[PID]],Batters[[#All],[PID]],0)),INDEX(Table3[[#All],[B]],MATCH(Table5[[#This Row],[PID]],Table3[[#All],[PID]],0)))</f>
        <v>R</v>
      </c>
      <c r="I182" s="54" t="str">
        <f>IF($C182="B",INDEX(Batters[[#All],[T]],MATCH(Table5[[#This Row],[PID]],Batters[[#All],[PID]],0)),INDEX(Table3[[#All],[T]],MATCH(Table5[[#This Row],[PID]],Table3[[#All],[PID]],0)))</f>
        <v>R</v>
      </c>
      <c r="J182" s="54" t="str">
        <f>IF($C182="B",INDEX(Batters[[#All],[WE]],MATCH(Table5[[#This Row],[PID]],Batters[[#All],[PID]],0)),INDEX(Table3[[#All],[WE]],MATCH(Table5[[#This Row],[PID]],Table3[[#All],[PID]],0)))</f>
        <v>Normal</v>
      </c>
      <c r="K182" s="54" t="str">
        <f>IF($C182="B",INDEX(Batters[[#All],[INT]],MATCH(Table5[[#This Row],[PID]],Batters[[#All],[PID]],0)),INDEX(Table3[[#All],[INT]],MATCH(Table5[[#This Row],[PID]],Table3[[#All],[PID]],0)))</f>
        <v>Normal</v>
      </c>
      <c r="L182" s="62">
        <f>IF($C182="B",INDEX(Batters[[#All],[CON P]],MATCH(Table5[[#This Row],[PID]],Batters[[#All],[PID]],0)),INDEX(Table3[[#All],[STU P]],MATCH(Table5[[#This Row],[PID]],Table3[[#All],[PID]],0)))</f>
        <v>6</v>
      </c>
      <c r="M182" s="58">
        <f>IF($C182="B",INDEX(Batters[[#All],[GAP P]],MATCH(Table5[[#This Row],[PID]],Batters[[#All],[PID]],0)),INDEX(Table3[[#All],[MOV P]],MATCH(Table5[[#This Row],[PID]],Table3[[#All],[PID]],0)))</f>
        <v>2</v>
      </c>
      <c r="N182" s="58">
        <f>IF($C182="B",INDEX(Batters[[#All],[POW P]],MATCH(Table5[[#This Row],[PID]],Batters[[#All],[PID]],0)),INDEX(Table3[[#All],[CON P]],MATCH(Table5[[#This Row],[PID]],Table3[[#All],[PID]],0)))</f>
        <v>3</v>
      </c>
      <c r="O182" s="58" t="str">
        <f>IF($C182="B",INDEX(Batters[[#All],[EYE P]],MATCH(Table5[[#This Row],[PID]],Batters[[#All],[PID]],0)),INDEX(Table3[[#All],[VELO]],MATCH(Table5[[#This Row],[PID]],Table3[[#All],[PID]],0)))</f>
        <v>92-94 Mph</v>
      </c>
      <c r="P182" s="58">
        <f>IF($C182="B",INDEX(Batters[[#All],[K P]],MATCH(Table5[[#This Row],[PID]],Batters[[#All],[PID]],0)),INDEX(Table3[[#All],[STM]],MATCH(Table5[[#This Row],[PID]],Table3[[#All],[PID]],0)))</f>
        <v>6</v>
      </c>
      <c r="Q182" s="63">
        <f>IF($C182="B",INDEX(Batters[[#All],[Tot]],MATCH(Table5[[#This Row],[PID]],Batters[[#All],[PID]],0)),INDEX(Table3[[#All],[Tot]],MATCH(Table5[[#This Row],[PID]],Table3[[#All],[PID]],0)))</f>
        <v>43.551314251725003</v>
      </c>
      <c r="R182" s="54">
        <f>IF($C182="B",INDEX(Batters[[#All],[zScore]],MATCH(Table5[[#This Row],[PID]],Batters[[#All],[PID]],0)),INDEX(Table3[[#All],[zScore]],MATCH(Table5[[#This Row],[PID]],Table3[[#All],[PID]],0)))</f>
        <v>0.99307139795548571</v>
      </c>
      <c r="S182" s="60" t="str">
        <f>IF($C182="B",INDEX(Batters[[#All],[DEM]],MATCH(Table5[[#This Row],[PID]],Batters[[#All],[PID]],0)),INDEX(Table3[[#All],[DEM]],MATCH(Table5[[#This Row],[PID]],Table3[[#All],[PID]],0)))</f>
        <v>$75k</v>
      </c>
      <c r="T182" s="64">
        <f>IF($C182="B",VLOOKUP($A182,Bat!$A$4:$AU$1417,46,FALSE),VLOOKUP($A182,Pit!$A$4:$BD$570,55,FALSE))</f>
        <v>0</v>
      </c>
      <c r="U182" s="52">
        <f>IF($C182="B",VLOOKUP($A182,Bat!$A$4:$BA$1417,47,FALSE),VLOOKUP($A182,Pit!$A$4:$BF$570,56,FALSE))</f>
        <v>0</v>
      </c>
      <c r="V182" s="52">
        <f>IF($C182="B",VLOOKUP($A182,Bat!$A$4:$BA$1417,48,FALSE),VLOOKUP($A182,Pit!$A$4:$BF$570,57,FALSE))</f>
        <v>0</v>
      </c>
      <c r="W182" s="52">
        <f>Table5[[#This Row],[posRnk]]+Table5[[#This Row],[zRnk]]+IF($W$3&lt;&gt;Table5[[#This Row],[Type]],50,0)</f>
        <v>228</v>
      </c>
      <c r="X182" s="53">
        <f>RANK(Table5[[#This Row],[zScore]],Table5[[#All],[zScore]])</f>
        <v>178</v>
      </c>
      <c r="Y182" s="52" t="str">
        <f>IFERROR(INDEX(DraftResults[[#All],[OVR]],MATCH(Table5[[#This Row],[PID]],DraftResults[[#All],[Player ID]],0)),"")</f>
        <v/>
      </c>
      <c r="Z1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2" s="52" t="str">
        <f>IFERROR(INDEX(DraftResults[[#All],[Pick in Round]],MATCH(Table5[[#This Row],[PID]],DraftResults[[#All],[Player ID]],0)),"")</f>
        <v/>
      </c>
      <c r="AB182" s="52" t="str">
        <f>IFERROR(INDEX(DraftResults[[#All],[Team Name]],MATCH(Table5[[#This Row],[PID]],DraftResults[[#All],[Player ID]],0)),"")</f>
        <v/>
      </c>
      <c r="AC182" s="52" t="str">
        <f>IF(Table5[[#This Row],[Ovr]]="","",IF(Table5[[#This Row],[cmbList]]="","",Table5[[#This Row],[cmbList]]-Table5[[#This Row],[Ovr]]))</f>
        <v/>
      </c>
      <c r="AD182" s="56" t="str">
        <f>IF(ISERROR(VLOOKUP($AB182&amp;"-"&amp;$E182&amp;" "&amp;F182,Bonuses!$B$1:$G$1006,4,FALSE)),"",INT(VLOOKUP($AB182&amp;"-"&amp;$E182&amp;" "&amp;$F182,Bonuses!$B$1:$G$1006,4,FALSE)))</f>
        <v/>
      </c>
      <c r="AE1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3" spans="1:31" s="52" customFormat="1" x14ac:dyDescent="0.25">
      <c r="A183" s="52">
        <v>15712</v>
      </c>
      <c r="B183" s="52">
        <f>COUNTIF(Table5[PID],A183)</f>
        <v>1</v>
      </c>
      <c r="C183" s="52" t="str">
        <f>IF(COUNTIF(Table3[[#All],[PID]],A183)&gt;0,"P","B")</f>
        <v>P</v>
      </c>
      <c r="D183" s="61" t="str">
        <f>IF($C183="B",INDEX(Batters[[#All],[POS]],MATCH(Table5[[#This Row],[PID]],Batters[[#All],[PID]],0)),INDEX(Table3[[#All],[POS]],MATCH(Table5[[#This Row],[PID]],Table3[[#All],[PID]],0)))</f>
        <v>RP</v>
      </c>
      <c r="E183" s="54" t="str">
        <f>IF($C183="B",INDEX(Batters[[#All],[First]],MATCH(Table5[[#This Row],[PID]],Batters[[#All],[PID]],0)),INDEX(Table3[[#All],[First]],MATCH(Table5[[#This Row],[PID]],Table3[[#All],[PID]],0)))</f>
        <v>Riley</v>
      </c>
      <c r="F183" s="52" t="str">
        <f>IF($C183="B",INDEX(Batters[[#All],[Last]],MATCH(A183,Batters[[#All],[PID]],0)),INDEX(Table3[[#All],[Last]],MATCH(A183,Table3[[#All],[PID]],0)))</f>
        <v>Bosomworth</v>
      </c>
      <c r="G183" s="58">
        <f>IF($C183="B",INDEX(Batters[[#All],[Age]],MATCH(Table5[[#This Row],[PID]],Batters[[#All],[PID]],0)),INDEX(Table3[[#All],[Age]],MATCH(Table5[[#This Row],[PID]],Table3[[#All],[PID]],0)))</f>
        <v>18</v>
      </c>
      <c r="H183" s="54" t="str">
        <f>IF($C183="B",INDEX(Batters[[#All],[B]],MATCH(Table5[[#This Row],[PID]],Batters[[#All],[PID]],0)),INDEX(Table3[[#All],[B]],MATCH(Table5[[#This Row],[PID]],Table3[[#All],[PID]],0)))</f>
        <v>R</v>
      </c>
      <c r="I183" s="54" t="str">
        <f>IF($C183="B",INDEX(Batters[[#All],[T]],MATCH(Table5[[#This Row],[PID]],Batters[[#All],[PID]],0)),INDEX(Table3[[#All],[T]],MATCH(Table5[[#This Row],[PID]],Table3[[#All],[PID]],0)))</f>
        <v>R</v>
      </c>
      <c r="J183" s="54" t="str">
        <f>IF($C183="B",INDEX(Batters[[#All],[WE]],MATCH(Table5[[#This Row],[PID]],Batters[[#All],[PID]],0)),INDEX(Table3[[#All],[WE]],MATCH(Table5[[#This Row],[PID]],Table3[[#All],[PID]],0)))</f>
        <v>Low</v>
      </c>
      <c r="K183" s="54" t="str">
        <f>IF($C183="B",INDEX(Batters[[#All],[INT]],MATCH(Table5[[#This Row],[PID]],Batters[[#All],[PID]],0)),INDEX(Table3[[#All],[INT]],MATCH(Table5[[#This Row],[PID]],Table3[[#All],[PID]],0)))</f>
        <v>Normal</v>
      </c>
      <c r="L183" s="62">
        <f>IF($C183="B",INDEX(Batters[[#All],[CON P]],MATCH(Table5[[#This Row],[PID]],Batters[[#All],[PID]],0)),INDEX(Table3[[#All],[STU P]],MATCH(Table5[[#This Row],[PID]],Table3[[#All],[PID]],0)))</f>
        <v>5</v>
      </c>
      <c r="M183" s="58">
        <f>IF($C183="B",INDEX(Batters[[#All],[GAP P]],MATCH(Table5[[#This Row],[PID]],Batters[[#All],[PID]],0)),INDEX(Table3[[#All],[MOV P]],MATCH(Table5[[#This Row],[PID]],Table3[[#All],[PID]],0)))</f>
        <v>3</v>
      </c>
      <c r="N183" s="58">
        <f>IF($C183="B",INDEX(Batters[[#All],[POW P]],MATCH(Table5[[#This Row],[PID]],Batters[[#All],[PID]],0)),INDEX(Table3[[#All],[CON P]],MATCH(Table5[[#This Row],[PID]],Table3[[#All],[PID]],0)))</f>
        <v>3</v>
      </c>
      <c r="O183" s="58" t="str">
        <f>IF($C183="B",INDEX(Batters[[#All],[EYE P]],MATCH(Table5[[#This Row],[PID]],Batters[[#All],[PID]],0)),INDEX(Table3[[#All],[VELO]],MATCH(Table5[[#This Row],[PID]],Table3[[#All],[PID]],0)))</f>
        <v>88-90 Mph</v>
      </c>
      <c r="P183" s="58">
        <f>IF($C183="B",INDEX(Batters[[#All],[K P]],MATCH(Table5[[#This Row],[PID]],Batters[[#All],[PID]],0)),INDEX(Table3[[#All],[STM]],MATCH(Table5[[#This Row],[PID]],Table3[[#All],[PID]],0)))</f>
        <v>6</v>
      </c>
      <c r="Q183" s="63">
        <f>IF($C183="B",INDEX(Batters[[#All],[Tot]],MATCH(Table5[[#This Row],[PID]],Batters[[#All],[PID]],0)),INDEX(Table3[[#All],[Tot]],MATCH(Table5[[#This Row],[PID]],Table3[[#All],[PID]],0)))</f>
        <v>43.4157518941822</v>
      </c>
      <c r="R183" s="54">
        <f>IF($C183="B",INDEX(Batters[[#All],[zScore]],MATCH(Table5[[#This Row],[PID]],Batters[[#All],[PID]],0)),INDEX(Table3[[#All],[zScore]],MATCH(Table5[[#This Row],[PID]],Table3[[#All],[PID]],0)))</f>
        <v>0.98063975036311712</v>
      </c>
      <c r="S183" s="60" t="str">
        <f>IF($C183="B",INDEX(Batters[[#All],[DEM]],MATCH(Table5[[#This Row],[PID]],Batters[[#All],[PID]],0)),INDEX(Table3[[#All],[DEM]],MATCH(Table5[[#This Row],[PID]],Table3[[#All],[PID]],0)))</f>
        <v>$200k</v>
      </c>
      <c r="T183" s="64">
        <f>IF($C183="B",VLOOKUP($A183,Bat!$A$4:$AU$1417,46,FALSE),VLOOKUP($A183,Pit!$A$4:$BD$570,55,FALSE))</f>
        <v>0</v>
      </c>
      <c r="U183" s="52">
        <f>IF($C183="B",VLOOKUP($A183,Bat!$A$4:$BA$1417,47,FALSE),VLOOKUP($A183,Pit!$A$4:$BF$570,56,FALSE))</f>
        <v>0</v>
      </c>
      <c r="V183" s="52">
        <f>IF($C183="B",VLOOKUP($A183,Bat!$A$4:$BA$1417,48,FALSE),VLOOKUP($A183,Pit!$A$4:$BF$570,57,FALSE))</f>
        <v>0</v>
      </c>
      <c r="W183" s="52">
        <f>Table5[[#This Row],[posRnk]]+Table5[[#This Row],[zRnk]]+IF($W$3&lt;&gt;Table5[[#This Row],[Type]],50,0)</f>
        <v>229</v>
      </c>
      <c r="X183" s="53">
        <f>RANK(Table5[[#This Row],[zScore]],Table5[[#All],[zScore]])</f>
        <v>179</v>
      </c>
      <c r="Y183" s="52" t="str">
        <f>IFERROR(INDEX(DraftResults[[#All],[OVR]],MATCH(Table5[[#This Row],[PID]],DraftResults[[#All],[Player ID]],0)),"")</f>
        <v/>
      </c>
      <c r="Z1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3" s="52" t="str">
        <f>IFERROR(INDEX(DraftResults[[#All],[Pick in Round]],MATCH(Table5[[#This Row],[PID]],DraftResults[[#All],[Player ID]],0)),"")</f>
        <v/>
      </c>
      <c r="AB183" s="52" t="str">
        <f>IFERROR(INDEX(DraftResults[[#All],[Team Name]],MATCH(Table5[[#This Row],[PID]],DraftResults[[#All],[Player ID]],0)),"")</f>
        <v/>
      </c>
      <c r="AC183" s="52" t="str">
        <f>IF(Table5[[#This Row],[Ovr]]="","",IF(Table5[[#This Row],[cmbList]]="","",Table5[[#This Row],[cmbList]]-Table5[[#This Row],[Ovr]]))</f>
        <v/>
      </c>
      <c r="AD183" s="56" t="str">
        <f>IF(ISERROR(VLOOKUP($AB183&amp;"-"&amp;$E183&amp;" "&amp;F183,Bonuses!$B$1:$G$1006,4,FALSE)),"",INT(VLOOKUP($AB183&amp;"-"&amp;$E183&amp;" "&amp;$F183,Bonuses!$B$1:$G$1006,4,FALSE)))</f>
        <v/>
      </c>
      <c r="AE1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4" spans="1:31" s="52" customFormat="1" x14ac:dyDescent="0.25">
      <c r="A184" s="52">
        <v>14602</v>
      </c>
      <c r="B184" s="52">
        <f>COUNTIF(Table5[PID],A184)</f>
        <v>1</v>
      </c>
      <c r="C184" s="52" t="str">
        <f>IF(COUNTIF(Table3[[#All],[PID]],A184)&gt;0,"P","B")</f>
        <v>P</v>
      </c>
      <c r="D184" s="61" t="str">
        <f>IF($C184="B",INDEX(Batters[[#All],[POS]],MATCH(Table5[[#This Row],[PID]],Batters[[#All],[PID]],0)),INDEX(Table3[[#All],[POS]],MATCH(Table5[[#This Row],[PID]],Table3[[#All],[PID]],0)))</f>
        <v>RP</v>
      </c>
      <c r="E184" s="54" t="str">
        <f>IF($C184="B",INDEX(Batters[[#All],[First]],MATCH(Table5[[#This Row],[PID]],Batters[[#All],[PID]],0)),INDEX(Table3[[#All],[First]],MATCH(Table5[[#This Row],[PID]],Table3[[#All],[PID]],0)))</f>
        <v>Shichirobei</v>
      </c>
      <c r="F184" s="52" t="str">
        <f>IF($C184="B",INDEX(Batters[[#All],[Last]],MATCH(A184,Batters[[#All],[PID]],0)),INDEX(Table3[[#All],[Last]],MATCH(A184,Table3[[#All],[PID]],0)))</f>
        <v>Takeuchi</v>
      </c>
      <c r="G184" s="58">
        <f>IF($C184="B",INDEX(Batters[[#All],[Age]],MATCH(Table5[[#This Row],[PID]],Batters[[#All],[PID]],0)),INDEX(Table3[[#All],[Age]],MATCH(Table5[[#This Row],[PID]],Table3[[#All],[PID]],0)))</f>
        <v>18</v>
      </c>
      <c r="H184" s="54" t="str">
        <f>IF($C184="B",INDEX(Batters[[#All],[B]],MATCH(Table5[[#This Row],[PID]],Batters[[#All],[PID]],0)),INDEX(Table3[[#All],[B]],MATCH(Table5[[#This Row],[PID]],Table3[[#All],[PID]],0)))</f>
        <v>R</v>
      </c>
      <c r="I184" s="54" t="str">
        <f>IF($C184="B",INDEX(Batters[[#All],[T]],MATCH(Table5[[#This Row],[PID]],Batters[[#All],[PID]],0)),INDEX(Table3[[#All],[T]],MATCH(Table5[[#This Row],[PID]],Table3[[#All],[PID]],0)))</f>
        <v>R</v>
      </c>
      <c r="J184" s="54" t="str">
        <f>IF($C184="B",INDEX(Batters[[#All],[WE]],MATCH(Table5[[#This Row],[PID]],Batters[[#All],[PID]],0)),INDEX(Table3[[#All],[WE]],MATCH(Table5[[#This Row],[PID]],Table3[[#All],[PID]],0)))</f>
        <v>High</v>
      </c>
      <c r="K184" s="54" t="str">
        <f>IF($C184="B",INDEX(Batters[[#All],[INT]],MATCH(Table5[[#This Row],[PID]],Batters[[#All],[PID]],0)),INDEX(Table3[[#All],[INT]],MATCH(Table5[[#This Row],[PID]],Table3[[#All],[PID]],0)))</f>
        <v>High</v>
      </c>
      <c r="L184" s="62">
        <f>IF($C184="B",INDEX(Batters[[#All],[CON P]],MATCH(Table5[[#This Row],[PID]],Batters[[#All],[PID]],0)),INDEX(Table3[[#All],[STU P]],MATCH(Table5[[#This Row],[PID]],Table3[[#All],[PID]],0)))</f>
        <v>6</v>
      </c>
      <c r="M184" s="58">
        <f>IF($C184="B",INDEX(Batters[[#All],[GAP P]],MATCH(Table5[[#This Row],[PID]],Batters[[#All],[PID]],0)),INDEX(Table3[[#All],[MOV P]],MATCH(Table5[[#This Row],[PID]],Table3[[#All],[PID]],0)))</f>
        <v>3</v>
      </c>
      <c r="N184" s="58">
        <f>IF($C184="B",INDEX(Batters[[#All],[POW P]],MATCH(Table5[[#This Row],[PID]],Batters[[#All],[PID]],0)),INDEX(Table3[[#All],[CON P]],MATCH(Table5[[#This Row],[PID]],Table3[[#All],[PID]],0)))</f>
        <v>2</v>
      </c>
      <c r="O184" s="58" t="str">
        <f>IF($C184="B",INDEX(Batters[[#All],[EYE P]],MATCH(Table5[[#This Row],[PID]],Batters[[#All],[PID]],0)),INDEX(Table3[[#All],[VELO]],MATCH(Table5[[#This Row],[PID]],Table3[[#All],[PID]],0)))</f>
        <v>91-93 Mph</v>
      </c>
      <c r="P184" s="58">
        <f>IF($C184="B",INDEX(Batters[[#All],[K P]],MATCH(Table5[[#This Row],[PID]],Batters[[#All],[PID]],0)),INDEX(Table3[[#All],[STM]],MATCH(Table5[[#This Row],[PID]],Table3[[#All],[PID]],0)))</f>
        <v>6</v>
      </c>
      <c r="Q184" s="63">
        <f>IF($C184="B",INDEX(Batters[[#All],[Tot]],MATCH(Table5[[#This Row],[PID]],Batters[[#All],[PID]],0)),INDEX(Table3[[#All],[Tot]],MATCH(Table5[[#This Row],[PID]],Table3[[#All],[PID]],0)))</f>
        <v>43.386981684055939</v>
      </c>
      <c r="R184" s="54">
        <f>IF($C184="B",INDEX(Batters[[#All],[zScore]],MATCH(Table5[[#This Row],[PID]],Batters[[#All],[PID]],0)),INDEX(Table3[[#All],[zScore]],MATCH(Table5[[#This Row],[PID]],Table3[[#All],[PID]],0)))</f>
        <v>0.9780013991280766</v>
      </c>
      <c r="S184" s="60" t="str">
        <f>IF($C184="B",INDEX(Batters[[#All],[DEM]],MATCH(Table5[[#This Row],[PID]],Batters[[#All],[PID]],0)),INDEX(Table3[[#All],[DEM]],MATCH(Table5[[#This Row],[PID]],Table3[[#All],[PID]],0)))</f>
        <v>$70k</v>
      </c>
      <c r="T184" s="64">
        <f>IF($C184="B",VLOOKUP($A184,Bat!$A$4:$AU$1417,46,FALSE),VLOOKUP($A184,Pit!$A$4:$BD$570,55,FALSE))</f>
        <v>0</v>
      </c>
      <c r="U184" s="52">
        <f>IF($C184="B",VLOOKUP($A184,Bat!$A$4:$BA$1417,47,FALSE),VLOOKUP($A184,Pit!$A$4:$BF$570,56,FALSE))</f>
        <v>0</v>
      </c>
      <c r="V184" s="52">
        <f>IF($C184="B",VLOOKUP($A184,Bat!$A$4:$BA$1417,48,FALSE),VLOOKUP($A184,Pit!$A$4:$BF$570,57,FALSE))</f>
        <v>0</v>
      </c>
      <c r="W184" s="52">
        <f>Table5[[#This Row],[posRnk]]+Table5[[#This Row],[zRnk]]+IF($W$3&lt;&gt;Table5[[#This Row],[Type]],50,0)</f>
        <v>230</v>
      </c>
      <c r="X184" s="53">
        <f>RANK(Table5[[#This Row],[zScore]],Table5[[#All],[zScore]])</f>
        <v>180</v>
      </c>
      <c r="Y184" s="52" t="str">
        <f>IFERROR(INDEX(DraftResults[[#All],[OVR]],MATCH(Table5[[#This Row],[PID]],DraftResults[[#All],[Player ID]],0)),"")</f>
        <v/>
      </c>
      <c r="Z1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4" s="52" t="str">
        <f>IFERROR(INDEX(DraftResults[[#All],[Pick in Round]],MATCH(Table5[[#This Row],[PID]],DraftResults[[#All],[Player ID]],0)),"")</f>
        <v/>
      </c>
      <c r="AB184" s="52" t="str">
        <f>IFERROR(INDEX(DraftResults[[#All],[Team Name]],MATCH(Table5[[#This Row],[PID]],DraftResults[[#All],[Player ID]],0)),"")</f>
        <v/>
      </c>
      <c r="AC184" s="52" t="str">
        <f>IF(Table5[[#This Row],[Ovr]]="","",IF(Table5[[#This Row],[cmbList]]="","",Table5[[#This Row],[cmbList]]-Table5[[#This Row],[Ovr]]))</f>
        <v/>
      </c>
      <c r="AD184" s="56" t="str">
        <f>IF(ISERROR(VLOOKUP($AB184&amp;"-"&amp;$E184&amp;" "&amp;F184,Bonuses!$B$1:$G$1006,4,FALSE)),"",INT(VLOOKUP($AB184&amp;"-"&amp;$E184&amp;" "&amp;$F184,Bonuses!$B$1:$G$1006,4,FALSE)))</f>
        <v/>
      </c>
      <c r="AE1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5" spans="1:31" s="52" customFormat="1" x14ac:dyDescent="0.25">
      <c r="A185" s="52">
        <v>15987</v>
      </c>
      <c r="B185" s="52">
        <f>COUNTIF(Table5[PID],A185)</f>
        <v>1</v>
      </c>
      <c r="C185" s="52" t="str">
        <f>IF(COUNTIF(Table3[[#All],[PID]],A185)&gt;0,"P","B")</f>
        <v>P</v>
      </c>
      <c r="D185" s="61" t="str">
        <f>IF($C185="B",INDEX(Batters[[#All],[POS]],MATCH(Table5[[#This Row],[PID]],Batters[[#All],[PID]],0)),INDEX(Table3[[#All],[POS]],MATCH(Table5[[#This Row],[PID]],Table3[[#All],[PID]],0)))</f>
        <v>RP</v>
      </c>
      <c r="E185" s="54" t="str">
        <f>IF($C185="B",INDEX(Batters[[#All],[First]],MATCH(Table5[[#This Row],[PID]],Batters[[#All],[PID]],0)),INDEX(Table3[[#All],[First]],MATCH(Table5[[#This Row],[PID]],Table3[[#All],[PID]],0)))</f>
        <v>David</v>
      </c>
      <c r="F185" s="52" t="str">
        <f>IF($C185="B",INDEX(Batters[[#All],[Last]],MATCH(A185,Batters[[#All],[PID]],0)),INDEX(Table3[[#All],[Last]],MATCH(A185,Table3[[#All],[PID]],0)))</f>
        <v>Washington</v>
      </c>
      <c r="G185" s="58">
        <f>IF($C185="B",INDEX(Batters[[#All],[Age]],MATCH(Table5[[#This Row],[PID]],Batters[[#All],[PID]],0)),INDEX(Table3[[#All],[Age]],MATCH(Table5[[#This Row],[PID]],Table3[[#All],[PID]],0)))</f>
        <v>18</v>
      </c>
      <c r="H185" s="54" t="str">
        <f>IF($C185="B",INDEX(Batters[[#All],[B]],MATCH(Table5[[#This Row],[PID]],Batters[[#All],[PID]],0)),INDEX(Table3[[#All],[B]],MATCH(Table5[[#This Row],[PID]],Table3[[#All],[PID]],0)))</f>
        <v>S</v>
      </c>
      <c r="I185" s="54" t="str">
        <f>IF($C185="B",INDEX(Batters[[#All],[T]],MATCH(Table5[[#This Row],[PID]],Batters[[#All],[PID]],0)),INDEX(Table3[[#All],[T]],MATCH(Table5[[#This Row],[PID]],Table3[[#All],[PID]],0)))</f>
        <v>R</v>
      </c>
      <c r="J185" s="54" t="str">
        <f>IF($C185="B",INDEX(Batters[[#All],[WE]],MATCH(Table5[[#This Row],[PID]],Batters[[#All],[PID]],0)),INDEX(Table3[[#All],[WE]],MATCH(Table5[[#This Row],[PID]],Table3[[#All],[PID]],0)))</f>
        <v>Normal</v>
      </c>
      <c r="K185" s="54" t="str">
        <f>IF($C185="B",INDEX(Batters[[#All],[INT]],MATCH(Table5[[#This Row],[PID]],Batters[[#All],[PID]],0)),INDEX(Table3[[#All],[INT]],MATCH(Table5[[#This Row],[PID]],Table3[[#All],[PID]],0)))</f>
        <v>Normal</v>
      </c>
      <c r="L185" s="62">
        <f>IF($C185="B",INDEX(Batters[[#All],[CON P]],MATCH(Table5[[#This Row],[PID]],Batters[[#All],[PID]],0)),INDEX(Table3[[#All],[STU P]],MATCH(Table5[[#This Row],[PID]],Table3[[#All],[PID]],0)))</f>
        <v>4</v>
      </c>
      <c r="M185" s="58">
        <f>IF($C185="B",INDEX(Batters[[#All],[GAP P]],MATCH(Table5[[#This Row],[PID]],Batters[[#All],[PID]],0)),INDEX(Table3[[#All],[MOV P]],MATCH(Table5[[#This Row],[PID]],Table3[[#All],[PID]],0)))</f>
        <v>3</v>
      </c>
      <c r="N185" s="58">
        <f>IF($C185="B",INDEX(Batters[[#All],[POW P]],MATCH(Table5[[#This Row],[PID]],Batters[[#All],[PID]],0)),INDEX(Table3[[#All],[CON P]],MATCH(Table5[[#This Row],[PID]],Table3[[#All],[PID]],0)))</f>
        <v>4</v>
      </c>
      <c r="O185" s="58" t="str">
        <f>IF($C185="B",INDEX(Batters[[#All],[EYE P]],MATCH(Table5[[#This Row],[PID]],Batters[[#All],[PID]],0)),INDEX(Table3[[#All],[VELO]],MATCH(Table5[[#This Row],[PID]],Table3[[#All],[PID]],0)))</f>
        <v>91-93 Mph</v>
      </c>
      <c r="P185" s="58">
        <f>IF($C185="B",INDEX(Batters[[#All],[K P]],MATCH(Table5[[#This Row],[PID]],Batters[[#All],[PID]],0)),INDEX(Table3[[#All],[STM]],MATCH(Table5[[#This Row],[PID]],Table3[[#All],[PID]],0)))</f>
        <v>2</v>
      </c>
      <c r="Q185" s="63">
        <f>IF($C185="B",INDEX(Batters[[#All],[Tot]],MATCH(Table5[[#This Row],[PID]],Batters[[#All],[PID]],0)),INDEX(Table3[[#All],[Tot]],MATCH(Table5[[#This Row],[PID]],Table3[[#All],[PID]],0)))</f>
        <v>43.354165009184179</v>
      </c>
      <c r="R185" s="54">
        <f>IF($C185="B",INDEX(Batters[[#All],[zScore]],MATCH(Table5[[#This Row],[PID]],Batters[[#All],[PID]],0)),INDEX(Table3[[#All],[zScore]],MATCH(Table5[[#This Row],[PID]],Table3[[#All],[PID]],0)))</f>
        <v>0.97499196978091984</v>
      </c>
      <c r="S185" s="60" t="str">
        <f>IF($C185="B",INDEX(Batters[[#All],[DEM]],MATCH(Table5[[#This Row],[PID]],Batters[[#All],[PID]],0)),INDEX(Table3[[#All],[DEM]],MATCH(Table5[[#This Row],[PID]],Table3[[#All],[PID]],0)))</f>
        <v>$65k</v>
      </c>
      <c r="T185" s="64">
        <f>IF($C185="B",VLOOKUP($A185,Bat!$A$4:$AU$1417,46,FALSE),VLOOKUP($A185,Pit!$A$4:$BD$570,55,FALSE))</f>
        <v>0</v>
      </c>
      <c r="U185" s="52">
        <f>IF($C185="B",VLOOKUP($A185,Bat!$A$4:$BA$1417,47,FALSE),VLOOKUP($A185,Pit!$A$4:$BF$570,56,FALSE))</f>
        <v>0</v>
      </c>
      <c r="V185" s="52">
        <f>IF($C185="B",VLOOKUP($A185,Bat!$A$4:$BA$1417,48,FALSE),VLOOKUP($A185,Pit!$A$4:$BF$570,57,FALSE))</f>
        <v>0</v>
      </c>
      <c r="W185" s="52">
        <f>Table5[[#This Row],[posRnk]]+Table5[[#This Row],[zRnk]]+IF($W$3&lt;&gt;Table5[[#This Row],[Type]],50,0)</f>
        <v>231</v>
      </c>
      <c r="X185" s="53">
        <f>RANK(Table5[[#This Row],[zScore]],Table5[[#All],[zScore]])</f>
        <v>181</v>
      </c>
      <c r="Y185" s="52" t="str">
        <f>IFERROR(INDEX(DraftResults[[#All],[OVR]],MATCH(Table5[[#This Row],[PID]],DraftResults[[#All],[Player ID]],0)),"")</f>
        <v/>
      </c>
      <c r="Z1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5" s="52" t="str">
        <f>IFERROR(INDEX(DraftResults[[#All],[Pick in Round]],MATCH(Table5[[#This Row],[PID]],DraftResults[[#All],[Player ID]],0)),"")</f>
        <v/>
      </c>
      <c r="AB185" s="52" t="str">
        <f>IFERROR(INDEX(DraftResults[[#All],[Team Name]],MATCH(Table5[[#This Row],[PID]],DraftResults[[#All],[Player ID]],0)),"")</f>
        <v/>
      </c>
      <c r="AC185" s="52" t="str">
        <f>IF(Table5[[#This Row],[Ovr]]="","",IF(Table5[[#This Row],[cmbList]]="","",Table5[[#This Row],[cmbList]]-Table5[[#This Row],[Ovr]]))</f>
        <v/>
      </c>
      <c r="AD185" s="56" t="str">
        <f>IF(ISERROR(VLOOKUP($AB185&amp;"-"&amp;$E185&amp;" "&amp;F185,Bonuses!$B$1:$G$1006,4,FALSE)),"",INT(VLOOKUP($AB185&amp;"-"&amp;$E185&amp;" "&amp;$F185,Bonuses!$B$1:$G$1006,4,FALSE)))</f>
        <v/>
      </c>
      <c r="AE1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6" spans="1:31" s="52" customFormat="1" x14ac:dyDescent="0.25">
      <c r="A186" s="52">
        <v>6718</v>
      </c>
      <c r="B186" s="57">
        <f>COUNTIF(Table5[PID],A186)</f>
        <v>1</v>
      </c>
      <c r="C186" s="57" t="str">
        <f>IF(COUNTIF(Table3[[#All],[PID]],A186)&gt;0,"P","B")</f>
        <v>B</v>
      </c>
      <c r="D186" s="61" t="str">
        <f>IF($C186="B",INDEX(Batters[[#All],[POS]],MATCH(Table5[[#This Row],[PID]],Batters[[#All],[PID]],0)),INDEX(Table3[[#All],[POS]],MATCH(Table5[[#This Row],[PID]],Table3[[#All],[PID]],0)))</f>
        <v>RF</v>
      </c>
      <c r="E186" s="54" t="str">
        <f>IF($C186="B",INDEX(Batters[[#All],[First]],MATCH(Table5[[#This Row],[PID]],Batters[[#All],[PID]],0)),INDEX(Table3[[#All],[First]],MATCH(Table5[[#This Row],[PID]],Table3[[#All],[PID]],0)))</f>
        <v>Hui-ying</v>
      </c>
      <c r="F186" s="52" t="str">
        <f>IF($C186="B",INDEX(Batters[[#All],[Last]],MATCH(A186,Batters[[#All],[PID]],0)),INDEX(Table3[[#All],[Last]],MATCH(A186,Table3[[#All],[PID]],0)))</f>
        <v>Yang</v>
      </c>
      <c r="G186" s="58">
        <f>IF($C186="B",INDEX(Batters[[#All],[Age]],MATCH(Table5[[#This Row],[PID]],Batters[[#All],[PID]],0)),INDEX(Table3[[#All],[Age]],MATCH(Table5[[#This Row],[PID]],Table3[[#All],[PID]],0)))</f>
        <v>21</v>
      </c>
      <c r="H186" s="54" t="str">
        <f>IF($C186="B",INDEX(Batters[[#All],[B]],MATCH(Table5[[#This Row],[PID]],Batters[[#All],[PID]],0)),INDEX(Table3[[#All],[B]],MATCH(Table5[[#This Row],[PID]],Table3[[#All],[PID]],0)))</f>
        <v>R</v>
      </c>
      <c r="I186" s="54" t="str">
        <f>IF($C186="B",INDEX(Batters[[#All],[T]],MATCH(Table5[[#This Row],[PID]],Batters[[#All],[PID]],0)),INDEX(Table3[[#All],[T]],MATCH(Table5[[#This Row],[PID]],Table3[[#All],[PID]],0)))</f>
        <v>L</v>
      </c>
      <c r="J186" s="54" t="str">
        <f>IF($C186="B",INDEX(Batters[[#All],[WE]],MATCH(Table5[[#This Row],[PID]],Batters[[#All],[PID]],0)),INDEX(Table3[[#All],[WE]],MATCH(Table5[[#This Row],[PID]],Table3[[#All],[PID]],0)))</f>
        <v>Low</v>
      </c>
      <c r="K186" s="54" t="str">
        <f>IF($C186="B",INDEX(Batters[[#All],[INT]],MATCH(Table5[[#This Row],[PID]],Batters[[#All],[PID]],0)),INDEX(Table3[[#All],[INT]],MATCH(Table5[[#This Row],[PID]],Table3[[#All],[PID]],0)))</f>
        <v>Normal</v>
      </c>
      <c r="L186" s="62">
        <f>IF($C186="B",INDEX(Batters[[#All],[CON P]],MATCH(Table5[[#This Row],[PID]],Batters[[#All],[PID]],0)),INDEX(Table3[[#All],[STU P]],MATCH(Table5[[#This Row],[PID]],Table3[[#All],[PID]],0)))</f>
        <v>4</v>
      </c>
      <c r="M186" s="58">
        <f>IF($C186="B",INDEX(Batters[[#All],[GAP P]],MATCH(Table5[[#This Row],[PID]],Batters[[#All],[PID]],0)),INDEX(Table3[[#All],[MOV P]],MATCH(Table5[[#This Row],[PID]],Table3[[#All],[PID]],0)))</f>
        <v>5</v>
      </c>
      <c r="N186" s="58">
        <f>IF($C186="B",INDEX(Batters[[#All],[POW P]],MATCH(Table5[[#This Row],[PID]],Batters[[#All],[PID]],0)),INDEX(Table3[[#All],[CON P]],MATCH(Table5[[#This Row],[PID]],Table3[[#All],[PID]],0)))</f>
        <v>6</v>
      </c>
      <c r="O186" s="58">
        <f>IF($C186="B",INDEX(Batters[[#All],[EYE P]],MATCH(Table5[[#This Row],[PID]],Batters[[#All],[PID]],0)),INDEX(Table3[[#All],[VELO]],MATCH(Table5[[#This Row],[PID]],Table3[[#All],[PID]],0)))</f>
        <v>6</v>
      </c>
      <c r="P186" s="58">
        <f>IF($C186="B",INDEX(Batters[[#All],[K P]],MATCH(Table5[[#This Row],[PID]],Batters[[#All],[PID]],0)),INDEX(Table3[[#All],[STM]],MATCH(Table5[[#This Row],[PID]],Table3[[#All],[PID]],0)))</f>
        <v>3</v>
      </c>
      <c r="Q186" s="63">
        <f>IF($C186="B",INDEX(Batters[[#All],[Tot]],MATCH(Table5[[#This Row],[PID]],Batters[[#All],[PID]],0)),INDEX(Table3[[#All],[Tot]],MATCH(Table5[[#This Row],[PID]],Table3[[#All],[PID]],0)))</f>
        <v>45.817448367644872</v>
      </c>
      <c r="R186" s="54">
        <f>IF($C186="B",INDEX(Batters[[#All],[zScore]],MATCH(Table5[[#This Row],[PID]],Batters[[#All],[PID]],0)),INDEX(Table3[[#All],[zScore]],MATCH(Table5[[#This Row],[PID]],Table3[[#All],[PID]],0)))</f>
        <v>0.96226956764888083</v>
      </c>
      <c r="S186" s="60" t="str">
        <f>IF($C186="B",INDEX(Batters[[#All],[DEM]],MATCH(Table5[[#This Row],[PID]],Batters[[#All],[PID]],0)),INDEX(Table3[[#All],[DEM]],MATCH(Table5[[#This Row],[PID]],Table3[[#All],[PID]],0)))</f>
        <v>-</v>
      </c>
      <c r="T186" s="64">
        <f>IF($C186="B",VLOOKUP($A186,Bat!$A$4:$AU$1417,46,FALSE),VLOOKUP($A186,Pit!$A$4:$BD$570,55,FALSE))</f>
        <v>0</v>
      </c>
      <c r="U186" s="52">
        <f>IF($C186="B",VLOOKUP($A186,Bat!$A$4:$BA$1417,47,FALSE),VLOOKUP($A186,Pit!$A$4:$BF$570,56,FALSE))</f>
        <v>0</v>
      </c>
      <c r="V186" s="52">
        <f>IF($C186="B",VLOOKUP($A186,Bat!$A$4:$BA$1417,48,FALSE),VLOOKUP($A186,Pit!$A$4:$BF$570,57,FALSE))</f>
        <v>0</v>
      </c>
      <c r="W186" s="52">
        <f>Table5[[#This Row],[posRnk]]+Table5[[#This Row],[zRnk]]+IF($W$3&lt;&gt;Table5[[#This Row],[Type]],50,0)</f>
        <v>232</v>
      </c>
      <c r="X186" s="53">
        <f>RANK(Table5[[#This Row],[zScore]],Table5[[#All],[zScore]])</f>
        <v>182</v>
      </c>
      <c r="Y186" s="52" t="str">
        <f>IFERROR(INDEX(DraftResults[[#All],[OVR]],MATCH(Table5[[#This Row],[PID]],DraftResults[[#All],[Player ID]],0)),"")</f>
        <v/>
      </c>
      <c r="Z1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6" s="52" t="str">
        <f>IFERROR(INDEX(DraftResults[[#All],[Pick in Round]],MATCH(Table5[[#This Row],[PID]],DraftResults[[#All],[Player ID]],0)),"")</f>
        <v/>
      </c>
      <c r="AB186" s="52" t="str">
        <f>IFERROR(INDEX(DraftResults[[#All],[Team Name]],MATCH(Table5[[#This Row],[PID]],DraftResults[[#All],[Player ID]],0)),"")</f>
        <v/>
      </c>
      <c r="AC186" s="52" t="str">
        <f>IF(Table5[[#This Row],[Ovr]]="","",IF(Table5[[#This Row],[cmbList]]="","",Table5[[#This Row],[cmbList]]-Table5[[#This Row],[Ovr]]))</f>
        <v/>
      </c>
      <c r="AD186" s="56" t="str">
        <f>IF(ISERROR(VLOOKUP($AB186&amp;"-"&amp;$E186&amp;" "&amp;F186,Bonuses!$B$1:$G$1006,4,FALSE)),"",INT(VLOOKUP($AB186&amp;"-"&amp;$E186&amp;" "&amp;$F186,Bonuses!$B$1:$G$1006,4,FALSE)))</f>
        <v/>
      </c>
      <c r="AE1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7" spans="1:31" s="52" customFormat="1" x14ac:dyDescent="0.25">
      <c r="A187" s="52">
        <v>9625</v>
      </c>
      <c r="B187" s="52">
        <f>COUNTIF(Table5[PID],A187)</f>
        <v>1</v>
      </c>
      <c r="C187" s="52" t="str">
        <f>IF(COUNTIF(Table3[[#All],[PID]],A187)&gt;0,"P","B")</f>
        <v>P</v>
      </c>
      <c r="D187" s="61" t="str">
        <f>IF($C187="B",INDEX(Batters[[#All],[POS]],MATCH(Table5[[#This Row],[PID]],Batters[[#All],[PID]],0)),INDEX(Table3[[#All],[POS]],MATCH(Table5[[#This Row],[PID]],Table3[[#All],[PID]],0)))</f>
        <v>CL</v>
      </c>
      <c r="E187" s="54" t="str">
        <f>IF($C187="B",INDEX(Batters[[#All],[First]],MATCH(Table5[[#This Row],[PID]],Batters[[#All],[PID]],0)),INDEX(Table3[[#All],[First]],MATCH(Table5[[#This Row],[PID]],Table3[[#All],[PID]],0)))</f>
        <v>Victor</v>
      </c>
      <c r="F187" s="52" t="str">
        <f>IF($C187="B",INDEX(Batters[[#All],[Last]],MATCH(A187,Batters[[#All],[PID]],0)),INDEX(Table3[[#All],[Last]],MATCH(A187,Table3[[#All],[PID]],0)))</f>
        <v>Smith</v>
      </c>
      <c r="G187" s="58">
        <f>IF($C187="B",INDEX(Batters[[#All],[Age]],MATCH(Table5[[#This Row],[PID]],Batters[[#All],[PID]],0)),INDEX(Table3[[#All],[Age]],MATCH(Table5[[#This Row],[PID]],Table3[[#All],[PID]],0)))</f>
        <v>21</v>
      </c>
      <c r="H187" s="54" t="str">
        <f>IF($C187="B",INDEX(Batters[[#All],[B]],MATCH(Table5[[#This Row],[PID]],Batters[[#All],[PID]],0)),INDEX(Table3[[#All],[B]],MATCH(Table5[[#This Row],[PID]],Table3[[#All],[PID]],0)))</f>
        <v>R</v>
      </c>
      <c r="I187" s="54" t="str">
        <f>IF($C187="B",INDEX(Batters[[#All],[T]],MATCH(Table5[[#This Row],[PID]],Batters[[#All],[PID]],0)),INDEX(Table3[[#All],[T]],MATCH(Table5[[#This Row],[PID]],Table3[[#All],[PID]],0)))</f>
        <v>R</v>
      </c>
      <c r="J187" s="54" t="str">
        <f>IF($C187="B",INDEX(Batters[[#All],[WE]],MATCH(Table5[[#This Row],[PID]],Batters[[#All],[PID]],0)),INDEX(Table3[[#All],[WE]],MATCH(Table5[[#This Row],[PID]],Table3[[#All],[PID]],0)))</f>
        <v>Normal</v>
      </c>
      <c r="K187" s="54" t="str">
        <f>IF($C187="B",INDEX(Batters[[#All],[INT]],MATCH(Table5[[#This Row],[PID]],Batters[[#All],[PID]],0)),INDEX(Table3[[#All],[INT]],MATCH(Table5[[#This Row],[PID]],Table3[[#All],[PID]],0)))</f>
        <v>Normal</v>
      </c>
      <c r="L187" s="62">
        <f>IF($C187="B",INDEX(Batters[[#All],[CON P]],MATCH(Table5[[#This Row],[PID]],Batters[[#All],[PID]],0)),INDEX(Table3[[#All],[STU P]],MATCH(Table5[[#This Row],[PID]],Table3[[#All],[PID]],0)))</f>
        <v>5</v>
      </c>
      <c r="M187" s="58">
        <f>IF($C187="B",INDEX(Batters[[#All],[GAP P]],MATCH(Table5[[#This Row],[PID]],Batters[[#All],[PID]],0)),INDEX(Table3[[#All],[MOV P]],MATCH(Table5[[#This Row],[PID]],Table3[[#All],[PID]],0)))</f>
        <v>2</v>
      </c>
      <c r="N187" s="58">
        <f>IF($C187="B",INDEX(Batters[[#All],[POW P]],MATCH(Table5[[#This Row],[PID]],Batters[[#All],[PID]],0)),INDEX(Table3[[#All],[CON P]],MATCH(Table5[[#This Row],[PID]],Table3[[#All],[PID]],0)))</f>
        <v>5</v>
      </c>
      <c r="O187" s="58" t="str">
        <f>IF($C187="B",INDEX(Batters[[#All],[EYE P]],MATCH(Table5[[#This Row],[PID]],Batters[[#All],[PID]],0)),INDEX(Table3[[#All],[VELO]],MATCH(Table5[[#This Row],[PID]],Table3[[#All],[PID]],0)))</f>
        <v>92-94 Mph</v>
      </c>
      <c r="P187" s="58">
        <f>IF($C187="B",INDEX(Batters[[#All],[K P]],MATCH(Table5[[#This Row],[PID]],Batters[[#All],[PID]],0)),INDEX(Table3[[#All],[STM]],MATCH(Table5[[#This Row],[PID]],Table3[[#All],[PID]],0)))</f>
        <v>4</v>
      </c>
      <c r="Q187" s="63">
        <f>IF($C187="B",INDEX(Batters[[#All],[Tot]],MATCH(Table5[[#This Row],[PID]],Batters[[#All],[PID]],0)),INDEX(Table3[[#All],[Tot]],MATCH(Table5[[#This Row],[PID]],Table3[[#All],[PID]],0)))</f>
        <v>43.206179669372261</v>
      </c>
      <c r="R187" s="54">
        <f>IF($C187="B",INDEX(Batters[[#All],[zScore]],MATCH(Table5[[#This Row],[PID]],Batters[[#All],[PID]],0)),INDEX(Table3[[#All],[zScore]],MATCH(Table5[[#This Row],[PID]],Table3[[#All],[PID]],0)))</f>
        <v>0.96142108161753126</v>
      </c>
      <c r="S187" s="60" t="str">
        <f>IF($C187="B",INDEX(Batters[[#All],[DEM]],MATCH(Table5[[#This Row],[PID]],Batters[[#All],[PID]],0)),INDEX(Table3[[#All],[DEM]],MATCH(Table5[[#This Row],[PID]],Table3[[#All],[PID]],0)))</f>
        <v>-</v>
      </c>
      <c r="T187" s="64">
        <f>IF($C187="B",VLOOKUP($A187,Bat!$A$4:$AU$1417,46,FALSE),VLOOKUP($A187,Pit!$A$4:$BD$570,55,FALSE))</f>
        <v>0</v>
      </c>
      <c r="U187" s="52">
        <f>IF($C187="B",VLOOKUP($A187,Bat!$A$4:$BA$1417,47,FALSE),VLOOKUP($A187,Pit!$A$4:$BF$570,56,FALSE))</f>
        <v>0</v>
      </c>
      <c r="V187" s="52">
        <f>IF($C187="B",VLOOKUP($A187,Bat!$A$4:$BA$1417,48,FALSE),VLOOKUP($A187,Pit!$A$4:$BF$570,57,FALSE))</f>
        <v>0</v>
      </c>
      <c r="W187" s="52">
        <f>Table5[[#This Row],[posRnk]]+Table5[[#This Row],[zRnk]]+IF($W$3&lt;&gt;Table5[[#This Row],[Type]],50,0)</f>
        <v>233</v>
      </c>
      <c r="X187" s="53">
        <f>RANK(Table5[[#This Row],[zScore]],Table5[[#All],[zScore]])</f>
        <v>183</v>
      </c>
      <c r="Y187" s="52" t="str">
        <f>IFERROR(INDEX(DraftResults[[#All],[OVR]],MATCH(Table5[[#This Row],[PID]],DraftResults[[#All],[Player ID]],0)),"")</f>
        <v/>
      </c>
      <c r="Z1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7" s="52" t="str">
        <f>IFERROR(INDEX(DraftResults[[#All],[Pick in Round]],MATCH(Table5[[#This Row],[PID]],DraftResults[[#All],[Player ID]],0)),"")</f>
        <v/>
      </c>
      <c r="AB187" s="52" t="str">
        <f>IFERROR(INDEX(DraftResults[[#All],[Team Name]],MATCH(Table5[[#This Row],[PID]],DraftResults[[#All],[Player ID]],0)),"")</f>
        <v/>
      </c>
      <c r="AC187" s="52" t="str">
        <f>IF(Table5[[#This Row],[Ovr]]="","",IF(Table5[[#This Row],[cmbList]]="","",Table5[[#This Row],[cmbList]]-Table5[[#This Row],[Ovr]]))</f>
        <v/>
      </c>
      <c r="AD187" s="56" t="str">
        <f>IF(ISERROR(VLOOKUP($AB187&amp;"-"&amp;$E187&amp;" "&amp;F187,Bonuses!$B$1:$G$1006,4,FALSE)),"",INT(VLOOKUP($AB187&amp;"-"&amp;$E187&amp;" "&amp;$F187,Bonuses!$B$1:$G$1006,4,FALSE)))</f>
        <v/>
      </c>
      <c r="AE1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8" spans="1:31" s="52" customFormat="1" x14ac:dyDescent="0.25">
      <c r="A188" s="52">
        <v>9386</v>
      </c>
      <c r="B188" s="52">
        <f>COUNTIF(Table5[PID],A188)</f>
        <v>1</v>
      </c>
      <c r="C188" s="52" t="str">
        <f>IF(COUNTIF(Table3[[#All],[PID]],A188)&gt;0,"P","B")</f>
        <v>B</v>
      </c>
      <c r="D188" s="61" t="str">
        <f>IF($C188="B",INDEX(Batters[[#All],[POS]],MATCH(Table5[[#This Row],[PID]],Batters[[#All],[PID]],0)),INDEX(Table3[[#All],[POS]],MATCH(Table5[[#This Row],[PID]],Table3[[#All],[PID]],0)))</f>
        <v>LF</v>
      </c>
      <c r="E188" s="54" t="str">
        <f>IF($C188="B",INDEX(Batters[[#All],[First]],MATCH(Table5[[#This Row],[PID]],Batters[[#All],[PID]],0)),INDEX(Table3[[#All],[First]],MATCH(Table5[[#This Row],[PID]],Table3[[#All],[PID]],0)))</f>
        <v>Ronald</v>
      </c>
      <c r="F188" s="52" t="str">
        <f>IF($C188="B",INDEX(Batters[[#All],[Last]],MATCH(A188,Batters[[#All],[PID]],0)),INDEX(Table3[[#All],[Last]],MATCH(A188,Table3[[#All],[PID]],0)))</f>
        <v>Collins</v>
      </c>
      <c r="G188" s="58">
        <f>IF($C188="B",INDEX(Batters[[#All],[Age]],MATCH(Table5[[#This Row],[PID]],Batters[[#All],[PID]],0)),INDEX(Table3[[#All],[Age]],MATCH(Table5[[#This Row],[PID]],Table3[[#All],[PID]],0)))</f>
        <v>21</v>
      </c>
      <c r="H188" s="54" t="str">
        <f>IF($C188="B",INDEX(Batters[[#All],[B]],MATCH(Table5[[#This Row],[PID]],Batters[[#All],[PID]],0)),INDEX(Table3[[#All],[B]],MATCH(Table5[[#This Row],[PID]],Table3[[#All],[PID]],0)))</f>
        <v>L</v>
      </c>
      <c r="I188" s="54" t="str">
        <f>IF($C188="B",INDEX(Batters[[#All],[T]],MATCH(Table5[[#This Row],[PID]],Batters[[#All],[PID]],0)),INDEX(Table3[[#All],[T]],MATCH(Table5[[#This Row],[PID]],Table3[[#All],[PID]],0)))</f>
        <v>L</v>
      </c>
      <c r="J188" s="54" t="str">
        <f>IF($C188="B",INDEX(Batters[[#All],[WE]],MATCH(Table5[[#This Row],[PID]],Batters[[#All],[PID]],0)),INDEX(Table3[[#All],[WE]],MATCH(Table5[[#This Row],[PID]],Table3[[#All],[PID]],0)))</f>
        <v>High</v>
      </c>
      <c r="K188" s="54" t="str">
        <f>IF($C188="B",INDEX(Batters[[#All],[INT]],MATCH(Table5[[#This Row],[PID]],Batters[[#All],[PID]],0)),INDEX(Table3[[#All],[INT]],MATCH(Table5[[#This Row],[PID]],Table3[[#All],[PID]],0)))</f>
        <v>High</v>
      </c>
      <c r="L188" s="62">
        <f>IF($C188="B",INDEX(Batters[[#All],[CON P]],MATCH(Table5[[#This Row],[PID]],Batters[[#All],[PID]],0)),INDEX(Table3[[#All],[STU P]],MATCH(Table5[[#This Row],[PID]],Table3[[#All],[PID]],0)))</f>
        <v>4</v>
      </c>
      <c r="M188" s="58">
        <f>IF($C188="B",INDEX(Batters[[#All],[GAP P]],MATCH(Table5[[#This Row],[PID]],Batters[[#All],[PID]],0)),INDEX(Table3[[#All],[MOV P]],MATCH(Table5[[#This Row],[PID]],Table3[[#All],[PID]],0)))</f>
        <v>4</v>
      </c>
      <c r="N188" s="58">
        <f>IF($C188="B",INDEX(Batters[[#All],[POW P]],MATCH(Table5[[#This Row],[PID]],Batters[[#All],[PID]],0)),INDEX(Table3[[#All],[CON P]],MATCH(Table5[[#This Row],[PID]],Table3[[#All],[PID]],0)))</f>
        <v>6</v>
      </c>
      <c r="O188" s="58">
        <f>IF($C188="B",INDEX(Batters[[#All],[EYE P]],MATCH(Table5[[#This Row],[PID]],Batters[[#All],[PID]],0)),INDEX(Table3[[#All],[VELO]],MATCH(Table5[[#This Row],[PID]],Table3[[#All],[PID]],0)))</f>
        <v>5</v>
      </c>
      <c r="P188" s="58">
        <f>IF($C188="B",INDEX(Batters[[#All],[K P]],MATCH(Table5[[#This Row],[PID]],Batters[[#All],[PID]],0)),INDEX(Table3[[#All],[STM]],MATCH(Table5[[#This Row],[PID]],Table3[[#All],[PID]],0)))</f>
        <v>4</v>
      </c>
      <c r="Q188" s="63">
        <f>IF($C188="B",INDEX(Batters[[#All],[Tot]],MATCH(Table5[[#This Row],[PID]],Batters[[#All],[PID]],0)),INDEX(Table3[[#All],[Tot]],MATCH(Table5[[#This Row],[PID]],Table3[[#All],[PID]],0)))</f>
        <v>45.751453843289127</v>
      </c>
      <c r="R188" s="54">
        <f>IF($C188="B",INDEX(Batters[[#All],[zScore]],MATCH(Table5[[#This Row],[PID]],Batters[[#All],[PID]],0)),INDEX(Table3[[#All],[zScore]],MATCH(Table5[[#This Row],[PID]],Table3[[#All],[PID]],0)))</f>
        <v>0.95065826970811773</v>
      </c>
      <c r="S188" s="60" t="str">
        <f>IF($C188="B",INDEX(Batters[[#All],[DEM]],MATCH(Table5[[#This Row],[PID]],Batters[[#All],[PID]],0)),INDEX(Table3[[#All],[DEM]],MATCH(Table5[[#This Row],[PID]],Table3[[#All],[PID]],0)))</f>
        <v>$160k</v>
      </c>
      <c r="T188" s="64">
        <f>IF($C188="B",VLOOKUP($A188,Bat!$A$4:$AU$1417,46,FALSE),VLOOKUP($A188,Pit!$A$4:$BD$570,55,FALSE))</f>
        <v>0</v>
      </c>
      <c r="U188" s="52">
        <f>IF($C188="B",VLOOKUP($A188,Bat!$A$4:$BA$1417,47,FALSE),VLOOKUP($A188,Pit!$A$4:$BF$570,56,FALSE))</f>
        <v>0</v>
      </c>
      <c r="V188" s="52">
        <f>IF($C188="B",VLOOKUP($A188,Bat!$A$4:$BA$1417,48,FALSE),VLOOKUP($A188,Pit!$A$4:$BF$570,57,FALSE))</f>
        <v>0</v>
      </c>
      <c r="W188" s="52">
        <f>Table5[[#This Row],[posRnk]]+Table5[[#This Row],[zRnk]]+IF($W$3&lt;&gt;Table5[[#This Row],[Type]],50,0)</f>
        <v>234</v>
      </c>
      <c r="X188" s="53">
        <f>RANK(Table5[[#This Row],[zScore]],Table5[[#All],[zScore]])</f>
        <v>184</v>
      </c>
      <c r="Y188" s="52" t="str">
        <f>IFERROR(INDEX(DraftResults[[#All],[OVR]],MATCH(Table5[[#This Row],[PID]],DraftResults[[#All],[Player ID]],0)),"")</f>
        <v/>
      </c>
      <c r="Z1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8" s="52" t="str">
        <f>IFERROR(INDEX(DraftResults[[#All],[Pick in Round]],MATCH(Table5[[#This Row],[PID]],DraftResults[[#All],[Player ID]],0)),"")</f>
        <v/>
      </c>
      <c r="AB188" s="52" t="str">
        <f>IFERROR(INDEX(DraftResults[[#All],[Team Name]],MATCH(Table5[[#This Row],[PID]],DraftResults[[#All],[Player ID]],0)),"")</f>
        <v/>
      </c>
      <c r="AC188" s="52" t="str">
        <f>IF(Table5[[#This Row],[Ovr]]="","",IF(Table5[[#This Row],[cmbList]]="","",Table5[[#This Row],[cmbList]]-Table5[[#This Row],[Ovr]]))</f>
        <v/>
      </c>
      <c r="AD188" s="56" t="str">
        <f>IF(ISERROR(VLOOKUP($AB188&amp;"-"&amp;$E188&amp;" "&amp;F188,Bonuses!$B$1:$G$1006,4,FALSE)),"",INT(VLOOKUP($AB188&amp;"-"&amp;$E188&amp;" "&amp;$F188,Bonuses!$B$1:$G$1006,4,FALSE)))</f>
        <v/>
      </c>
      <c r="AE1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9" spans="1:31" s="52" customFormat="1" x14ac:dyDescent="0.25">
      <c r="A189" s="52">
        <v>10507</v>
      </c>
      <c r="B189" s="52">
        <f>COUNTIF(Table5[PID],A189)</f>
        <v>1</v>
      </c>
      <c r="C189" s="52" t="str">
        <f>IF(COUNTIF(Table3[[#All],[PID]],A189)&gt;0,"P","B")</f>
        <v>B</v>
      </c>
      <c r="D189" s="61" t="str">
        <f>IF($C189="B",INDEX(Batters[[#All],[POS]],MATCH(Table5[[#This Row],[PID]],Batters[[#All],[PID]],0)),INDEX(Table3[[#All],[POS]],MATCH(Table5[[#This Row],[PID]],Table3[[#All],[PID]],0)))</f>
        <v>CF</v>
      </c>
      <c r="E189" s="54" t="str">
        <f>IF($C189="B",INDEX(Batters[[#All],[First]],MATCH(Table5[[#This Row],[PID]],Batters[[#All],[PID]],0)),INDEX(Table3[[#All],[First]],MATCH(Table5[[#This Row],[PID]],Table3[[#All],[PID]],0)))</f>
        <v>Jesús</v>
      </c>
      <c r="F189" s="52" t="str">
        <f>IF($C189="B",INDEX(Batters[[#All],[Last]],MATCH(A189,Batters[[#All],[PID]],0)),INDEX(Table3[[#All],[Last]],MATCH(A189,Table3[[#All],[PID]],0)))</f>
        <v>Mercado</v>
      </c>
      <c r="G189" s="58">
        <f>IF($C189="B",INDEX(Batters[[#All],[Age]],MATCH(Table5[[#This Row],[PID]],Batters[[#All],[PID]],0)),INDEX(Table3[[#All],[Age]],MATCH(Table5[[#This Row],[PID]],Table3[[#All],[PID]],0)))</f>
        <v>21</v>
      </c>
      <c r="H189" s="54" t="str">
        <f>IF($C189="B",INDEX(Batters[[#All],[B]],MATCH(Table5[[#This Row],[PID]],Batters[[#All],[PID]],0)),INDEX(Table3[[#All],[B]],MATCH(Table5[[#This Row],[PID]],Table3[[#All],[PID]],0)))</f>
        <v>L</v>
      </c>
      <c r="I189" s="54" t="str">
        <f>IF($C189="B",INDEX(Batters[[#All],[T]],MATCH(Table5[[#This Row],[PID]],Batters[[#All],[PID]],0)),INDEX(Table3[[#All],[T]],MATCH(Table5[[#This Row],[PID]],Table3[[#All],[PID]],0)))</f>
        <v>R</v>
      </c>
      <c r="J189" s="54" t="str">
        <f>IF($C189="B",INDEX(Batters[[#All],[WE]],MATCH(Table5[[#This Row],[PID]],Batters[[#All],[PID]],0)),INDEX(Table3[[#All],[WE]],MATCH(Table5[[#This Row],[PID]],Table3[[#All],[PID]],0)))</f>
        <v>Normal</v>
      </c>
      <c r="K189" s="54" t="str">
        <f>IF($C189="B",INDEX(Batters[[#All],[INT]],MATCH(Table5[[#This Row],[PID]],Batters[[#All],[PID]],0)),INDEX(Table3[[#All],[INT]],MATCH(Table5[[#This Row],[PID]],Table3[[#All],[PID]],0)))</f>
        <v>Normal</v>
      </c>
      <c r="L189" s="62">
        <f>IF($C189="B",INDEX(Batters[[#All],[CON P]],MATCH(Table5[[#This Row],[PID]],Batters[[#All],[PID]],0)),INDEX(Table3[[#All],[STU P]],MATCH(Table5[[#This Row],[PID]],Table3[[#All],[PID]],0)))</f>
        <v>4</v>
      </c>
      <c r="M189" s="58">
        <f>IF($C189="B",INDEX(Batters[[#All],[GAP P]],MATCH(Table5[[#This Row],[PID]],Batters[[#All],[PID]],0)),INDEX(Table3[[#All],[MOV P]],MATCH(Table5[[#This Row],[PID]],Table3[[#All],[PID]],0)))</f>
        <v>6</v>
      </c>
      <c r="N189" s="58">
        <f>IF($C189="B",INDEX(Batters[[#All],[POW P]],MATCH(Table5[[#This Row],[PID]],Batters[[#All],[PID]],0)),INDEX(Table3[[#All],[CON P]],MATCH(Table5[[#This Row],[PID]],Table3[[#All],[PID]],0)))</f>
        <v>5</v>
      </c>
      <c r="O189" s="58">
        <f>IF($C189="B",INDEX(Batters[[#All],[EYE P]],MATCH(Table5[[#This Row],[PID]],Batters[[#All],[PID]],0)),INDEX(Table3[[#All],[VELO]],MATCH(Table5[[#This Row],[PID]],Table3[[#All],[PID]],0)))</f>
        <v>5</v>
      </c>
      <c r="P189" s="58">
        <f>IF($C189="B",INDEX(Batters[[#All],[K P]],MATCH(Table5[[#This Row],[PID]],Batters[[#All],[PID]],0)),INDEX(Table3[[#All],[STM]],MATCH(Table5[[#This Row],[PID]],Table3[[#All],[PID]],0)))</f>
        <v>3</v>
      </c>
      <c r="Q189" s="63">
        <f>IF($C189="B",INDEX(Batters[[#All],[Tot]],MATCH(Table5[[#This Row],[PID]],Batters[[#All],[PID]],0)),INDEX(Table3[[#All],[Tot]],MATCH(Table5[[#This Row],[PID]],Table3[[#All],[PID]],0)))</f>
        <v>45.712351027663154</v>
      </c>
      <c r="R189" s="54">
        <f>IF($C189="B",INDEX(Batters[[#All],[zScore]],MATCH(Table5[[#This Row],[PID]],Batters[[#All],[PID]],0)),INDEX(Table3[[#All],[zScore]],MATCH(Table5[[#This Row],[PID]],Table3[[#All],[PID]],0)))</f>
        <v>0.94377838918790324</v>
      </c>
      <c r="S189" s="60" t="str">
        <f>IF($C189="B",INDEX(Batters[[#All],[DEM]],MATCH(Table5[[#This Row],[PID]],Batters[[#All],[PID]],0)),INDEX(Table3[[#All],[DEM]],MATCH(Table5[[#This Row],[PID]],Table3[[#All],[PID]],0)))</f>
        <v>$270k</v>
      </c>
      <c r="T189" s="64">
        <f>IF($C189="B",VLOOKUP($A189,Bat!$A$4:$AU$1417,46,FALSE),VLOOKUP($A189,Pit!$A$4:$BD$570,55,FALSE))</f>
        <v>0</v>
      </c>
      <c r="U189" s="52">
        <f>IF($C189="B",VLOOKUP($A189,Bat!$A$4:$BA$1417,47,FALSE),VLOOKUP($A189,Pit!$A$4:$BF$570,56,FALSE))</f>
        <v>0</v>
      </c>
      <c r="V189" s="52">
        <f>IF($C189="B",VLOOKUP($A189,Bat!$A$4:$BA$1417,48,FALSE),VLOOKUP($A189,Pit!$A$4:$BF$570,57,FALSE))</f>
        <v>0</v>
      </c>
      <c r="W189" s="52">
        <f>Table5[[#This Row],[posRnk]]+Table5[[#This Row],[zRnk]]+IF($W$3&lt;&gt;Table5[[#This Row],[Type]],50,0)</f>
        <v>235</v>
      </c>
      <c r="X189" s="53">
        <f>RANK(Table5[[#This Row],[zScore]],Table5[[#All],[zScore]])</f>
        <v>185</v>
      </c>
      <c r="Y189" s="52" t="str">
        <f>IFERROR(INDEX(DraftResults[[#All],[OVR]],MATCH(Table5[[#This Row],[PID]],DraftResults[[#All],[Player ID]],0)),"")</f>
        <v/>
      </c>
      <c r="Z1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9" s="52" t="str">
        <f>IFERROR(INDEX(DraftResults[[#All],[Pick in Round]],MATCH(Table5[[#This Row],[PID]],DraftResults[[#All],[Player ID]],0)),"")</f>
        <v/>
      </c>
      <c r="AB189" s="52" t="str">
        <f>IFERROR(INDEX(DraftResults[[#All],[Team Name]],MATCH(Table5[[#This Row],[PID]],DraftResults[[#All],[Player ID]],0)),"")</f>
        <v/>
      </c>
      <c r="AC189" s="52" t="str">
        <f>IF(Table5[[#This Row],[Ovr]]="","",IF(Table5[[#This Row],[cmbList]]="","",Table5[[#This Row],[cmbList]]-Table5[[#This Row],[Ovr]]))</f>
        <v/>
      </c>
      <c r="AD189" s="56" t="str">
        <f>IF(ISERROR(VLOOKUP($AB189&amp;"-"&amp;$E189&amp;" "&amp;F189,Bonuses!$B$1:$G$1006,4,FALSE)),"",INT(VLOOKUP($AB189&amp;"-"&amp;$E189&amp;" "&amp;$F189,Bonuses!$B$1:$G$1006,4,FALSE)))</f>
        <v/>
      </c>
      <c r="AE1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0" spans="1:31" s="52" customFormat="1" x14ac:dyDescent="0.25">
      <c r="A190" s="52">
        <v>15373</v>
      </c>
      <c r="B190" s="52">
        <f>COUNTIF(Table5[PID],A190)</f>
        <v>1</v>
      </c>
      <c r="C190" s="52" t="str">
        <f>IF(COUNTIF(Table3[[#All],[PID]],A190)&gt;0,"P","B")</f>
        <v>P</v>
      </c>
      <c r="D190" s="61" t="str">
        <f>IF($C190="B",INDEX(Batters[[#All],[POS]],MATCH(Table5[[#This Row],[PID]],Batters[[#All],[PID]],0)),INDEX(Table3[[#All],[POS]],MATCH(Table5[[#This Row],[PID]],Table3[[#All],[PID]],0)))</f>
        <v>CL</v>
      </c>
      <c r="E190" s="54" t="str">
        <f>IF($C190="B",INDEX(Batters[[#All],[First]],MATCH(Table5[[#This Row],[PID]],Batters[[#All],[PID]],0)),INDEX(Table3[[#All],[First]],MATCH(Table5[[#This Row],[PID]],Table3[[#All],[PID]],0)))</f>
        <v>Yoshiaga</v>
      </c>
      <c r="F190" s="52" t="str">
        <f>IF($C190="B",INDEX(Batters[[#All],[Last]],MATCH(A190,Batters[[#All],[PID]],0)),INDEX(Table3[[#All],[Last]],MATCH(A190,Table3[[#All],[PID]],0)))</f>
        <v>Nakashima</v>
      </c>
      <c r="G190" s="58">
        <f>IF($C190="B",INDEX(Batters[[#All],[Age]],MATCH(Table5[[#This Row],[PID]],Batters[[#All],[PID]],0)),INDEX(Table3[[#All],[Age]],MATCH(Table5[[#This Row],[PID]],Table3[[#All],[PID]],0)))</f>
        <v>18</v>
      </c>
      <c r="H190" s="54" t="str">
        <f>IF($C190="B",INDEX(Batters[[#All],[B]],MATCH(Table5[[#This Row],[PID]],Batters[[#All],[PID]],0)),INDEX(Table3[[#All],[B]],MATCH(Table5[[#This Row],[PID]],Table3[[#All],[PID]],0)))</f>
        <v>R</v>
      </c>
      <c r="I190" s="54" t="str">
        <f>IF($C190="B",INDEX(Batters[[#All],[T]],MATCH(Table5[[#This Row],[PID]],Batters[[#All],[PID]],0)),INDEX(Table3[[#All],[T]],MATCH(Table5[[#This Row],[PID]],Table3[[#All],[PID]],0)))</f>
        <v>R</v>
      </c>
      <c r="J190" s="54" t="str">
        <f>IF($C190="B",INDEX(Batters[[#All],[WE]],MATCH(Table5[[#This Row],[PID]],Batters[[#All],[PID]],0)),INDEX(Table3[[#All],[WE]],MATCH(Table5[[#This Row],[PID]],Table3[[#All],[PID]],0)))</f>
        <v>Normal</v>
      </c>
      <c r="K190" s="54" t="str">
        <f>IF($C190="B",INDEX(Batters[[#All],[INT]],MATCH(Table5[[#This Row],[PID]],Batters[[#All],[PID]],0)),INDEX(Table3[[#All],[INT]],MATCH(Table5[[#This Row],[PID]],Table3[[#All],[PID]],0)))</f>
        <v>Normal</v>
      </c>
      <c r="L190" s="62">
        <f>IF($C190="B",INDEX(Batters[[#All],[CON P]],MATCH(Table5[[#This Row],[PID]],Batters[[#All],[PID]],0)),INDEX(Table3[[#All],[STU P]],MATCH(Table5[[#This Row],[PID]],Table3[[#All],[PID]],0)))</f>
        <v>6</v>
      </c>
      <c r="M190" s="58">
        <f>IF($C190="B",INDEX(Batters[[#All],[GAP P]],MATCH(Table5[[#This Row],[PID]],Batters[[#All],[PID]],0)),INDEX(Table3[[#All],[MOV P]],MATCH(Table5[[#This Row],[PID]],Table3[[#All],[PID]],0)))</f>
        <v>5</v>
      </c>
      <c r="N190" s="58">
        <f>IF($C190="B",INDEX(Batters[[#All],[POW P]],MATCH(Table5[[#This Row],[PID]],Batters[[#All],[PID]],0)),INDEX(Table3[[#All],[CON P]],MATCH(Table5[[#This Row],[PID]],Table3[[#All],[PID]],0)))</f>
        <v>2</v>
      </c>
      <c r="O190" s="58" t="str">
        <f>IF($C190="B",INDEX(Batters[[#All],[EYE P]],MATCH(Table5[[#This Row],[PID]],Batters[[#All],[PID]],0)),INDEX(Table3[[#All],[VELO]],MATCH(Table5[[#This Row],[PID]],Table3[[#All],[PID]],0)))</f>
        <v>93-95 Mph</v>
      </c>
      <c r="P190" s="58">
        <f>IF($C190="B",INDEX(Batters[[#All],[K P]],MATCH(Table5[[#This Row],[PID]],Batters[[#All],[PID]],0)),INDEX(Table3[[#All],[STM]],MATCH(Table5[[#This Row],[PID]],Table3[[#All],[PID]],0)))</f>
        <v>5</v>
      </c>
      <c r="Q190" s="63">
        <f>IF($C190="B",INDEX(Batters[[#All],[Tot]],MATCH(Table5[[#This Row],[PID]],Batters[[#All],[PID]],0)),INDEX(Table3[[#All],[Tot]],MATCH(Table5[[#This Row],[PID]],Table3[[#All],[PID]],0)))</f>
        <v>42.908265518935067</v>
      </c>
      <c r="R190" s="54">
        <f>IF($C190="B",INDEX(Batters[[#All],[zScore]],MATCH(Table5[[#This Row],[PID]],Batters[[#All],[PID]],0)),INDEX(Table3[[#All],[zScore]],MATCH(Table5[[#This Row],[PID]],Table3[[#All],[PID]],0)))</f>
        <v>0.93410108071060038</v>
      </c>
      <c r="S190" s="60" t="str">
        <f>IF($C190="B",INDEX(Batters[[#All],[DEM]],MATCH(Table5[[#This Row],[PID]],Batters[[#All],[PID]],0)),INDEX(Table3[[#All],[DEM]],MATCH(Table5[[#This Row],[PID]],Table3[[#All],[PID]],0)))</f>
        <v>$65k</v>
      </c>
      <c r="T190" s="64">
        <f>IF($C190="B",VLOOKUP($A190,Bat!$A$4:$AU$1417,46,FALSE),VLOOKUP($A190,Pit!$A$4:$BD$570,55,FALSE))</f>
        <v>0</v>
      </c>
      <c r="U190" s="52">
        <f>IF($C190="B",VLOOKUP($A190,Bat!$A$4:$BA$1417,47,FALSE),VLOOKUP($A190,Pit!$A$4:$BF$570,56,FALSE))</f>
        <v>0</v>
      </c>
      <c r="V190" s="52">
        <f>IF($C190="B",VLOOKUP($A190,Bat!$A$4:$BA$1417,48,FALSE),VLOOKUP($A190,Pit!$A$4:$BF$570,57,FALSE))</f>
        <v>0</v>
      </c>
      <c r="W190" s="52">
        <f>Table5[[#This Row],[posRnk]]+Table5[[#This Row],[zRnk]]+IF($W$3&lt;&gt;Table5[[#This Row],[Type]],50,0)</f>
        <v>236</v>
      </c>
      <c r="X190" s="53">
        <f>RANK(Table5[[#This Row],[zScore]],Table5[[#All],[zScore]])</f>
        <v>186</v>
      </c>
      <c r="Y190" s="52" t="str">
        <f>IFERROR(INDEX(DraftResults[[#All],[OVR]],MATCH(Table5[[#This Row],[PID]],DraftResults[[#All],[Player ID]],0)),"")</f>
        <v/>
      </c>
      <c r="Z1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0" s="52" t="str">
        <f>IFERROR(INDEX(DraftResults[[#All],[Pick in Round]],MATCH(Table5[[#This Row],[PID]],DraftResults[[#All],[Player ID]],0)),"")</f>
        <v/>
      </c>
      <c r="AB190" s="52" t="str">
        <f>IFERROR(INDEX(DraftResults[[#All],[Team Name]],MATCH(Table5[[#This Row],[PID]],DraftResults[[#All],[Player ID]],0)),"")</f>
        <v/>
      </c>
      <c r="AC190" s="52" t="str">
        <f>IF(Table5[[#This Row],[Ovr]]="","",IF(Table5[[#This Row],[cmbList]]="","",Table5[[#This Row],[cmbList]]-Table5[[#This Row],[Ovr]]))</f>
        <v/>
      </c>
      <c r="AD190" s="56" t="str">
        <f>IF(ISERROR(VLOOKUP($AB190&amp;"-"&amp;$E190&amp;" "&amp;F190,Bonuses!$B$1:$G$1006,4,FALSE)),"",INT(VLOOKUP($AB190&amp;"-"&amp;$E190&amp;" "&amp;$F190,Bonuses!$B$1:$G$1006,4,FALSE)))</f>
        <v/>
      </c>
      <c r="AE1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1" spans="1:31" s="52" customFormat="1" x14ac:dyDescent="0.25">
      <c r="A191" s="52">
        <v>14541</v>
      </c>
      <c r="B191" s="52">
        <f>COUNTIF(Table5[PID],A191)</f>
        <v>1</v>
      </c>
      <c r="C191" s="52" t="str">
        <f>IF(COUNTIF(Table3[[#All],[PID]],A191)&gt;0,"P","B")</f>
        <v>B</v>
      </c>
      <c r="D191" s="61" t="str">
        <f>IF($C191="B",INDEX(Batters[[#All],[POS]],MATCH(Table5[[#This Row],[PID]],Batters[[#All],[PID]],0)),INDEX(Table3[[#All],[POS]],MATCH(Table5[[#This Row],[PID]],Table3[[#All],[PID]],0)))</f>
        <v>3B</v>
      </c>
      <c r="E191" s="54" t="str">
        <f>IF($C191="B",INDEX(Batters[[#All],[First]],MATCH(Table5[[#This Row],[PID]],Batters[[#All],[PID]],0)),INDEX(Table3[[#All],[First]],MATCH(Table5[[#This Row],[PID]],Table3[[#All],[PID]],0)))</f>
        <v>Roberto</v>
      </c>
      <c r="F191" s="52" t="str">
        <f>IF($C191="B",INDEX(Batters[[#All],[Last]],MATCH(A191,Batters[[#All],[PID]],0)),INDEX(Table3[[#All],[Last]],MATCH(A191,Table3[[#All],[PID]],0)))</f>
        <v>Matta</v>
      </c>
      <c r="G191" s="58">
        <f>IF($C191="B",INDEX(Batters[[#All],[Age]],MATCH(Table5[[#This Row],[PID]],Batters[[#All],[PID]],0)),INDEX(Table3[[#All],[Age]],MATCH(Table5[[#This Row],[PID]],Table3[[#All],[PID]],0)))</f>
        <v>21</v>
      </c>
      <c r="H191" s="54" t="str">
        <f>IF($C191="B",INDEX(Batters[[#All],[B]],MATCH(Table5[[#This Row],[PID]],Batters[[#All],[PID]],0)),INDEX(Table3[[#All],[B]],MATCH(Table5[[#This Row],[PID]],Table3[[#All],[PID]],0)))</f>
        <v>L</v>
      </c>
      <c r="I191" s="54" t="str">
        <f>IF($C191="B",INDEX(Batters[[#All],[T]],MATCH(Table5[[#This Row],[PID]],Batters[[#All],[PID]],0)),INDEX(Table3[[#All],[T]],MATCH(Table5[[#This Row],[PID]],Table3[[#All],[PID]],0)))</f>
        <v>R</v>
      </c>
      <c r="J191" s="54" t="str">
        <f>IF($C191="B",INDEX(Batters[[#All],[WE]],MATCH(Table5[[#This Row],[PID]],Batters[[#All],[PID]],0)),INDEX(Table3[[#All],[WE]],MATCH(Table5[[#This Row],[PID]],Table3[[#All],[PID]],0)))</f>
        <v>Normal</v>
      </c>
      <c r="K191" s="54" t="str">
        <f>IF($C191="B",INDEX(Batters[[#All],[INT]],MATCH(Table5[[#This Row],[PID]],Batters[[#All],[PID]],0)),INDEX(Table3[[#All],[INT]],MATCH(Table5[[#This Row],[PID]],Table3[[#All],[PID]],0)))</f>
        <v>Low</v>
      </c>
      <c r="L191" s="62">
        <f>IF($C191="B",INDEX(Batters[[#All],[CON P]],MATCH(Table5[[#This Row],[PID]],Batters[[#All],[PID]],0)),INDEX(Table3[[#All],[STU P]],MATCH(Table5[[#This Row],[PID]],Table3[[#All],[PID]],0)))</f>
        <v>4</v>
      </c>
      <c r="M191" s="58">
        <f>IF($C191="B",INDEX(Batters[[#All],[GAP P]],MATCH(Table5[[#This Row],[PID]],Batters[[#All],[PID]],0)),INDEX(Table3[[#All],[MOV P]],MATCH(Table5[[#This Row],[PID]],Table3[[#All],[PID]],0)))</f>
        <v>6</v>
      </c>
      <c r="N191" s="58">
        <f>IF($C191="B",INDEX(Batters[[#All],[POW P]],MATCH(Table5[[#This Row],[PID]],Batters[[#All],[PID]],0)),INDEX(Table3[[#All],[CON P]],MATCH(Table5[[#This Row],[PID]],Table3[[#All],[PID]],0)))</f>
        <v>6</v>
      </c>
      <c r="O191" s="58">
        <f>IF($C191="B",INDEX(Batters[[#All],[EYE P]],MATCH(Table5[[#This Row],[PID]],Batters[[#All],[PID]],0)),INDEX(Table3[[#All],[VELO]],MATCH(Table5[[#This Row],[PID]],Table3[[#All],[PID]],0)))</f>
        <v>6</v>
      </c>
      <c r="P191" s="58">
        <f>IF($C191="B",INDEX(Batters[[#All],[K P]],MATCH(Table5[[#This Row],[PID]],Batters[[#All],[PID]],0)),INDEX(Table3[[#All],[STM]],MATCH(Table5[[#This Row],[PID]],Table3[[#All],[PID]],0)))</f>
        <v>3</v>
      </c>
      <c r="Q191" s="63">
        <f>IF($C191="B",INDEX(Batters[[#All],[Tot]],MATCH(Table5[[#This Row],[PID]],Batters[[#All],[PID]],0)),INDEX(Table3[[#All],[Tot]],MATCH(Table5[[#This Row],[PID]],Table3[[#All],[PID]],0)))</f>
        <v>45.62357556538376</v>
      </c>
      <c r="R191" s="54">
        <f>IF($C191="B",INDEX(Batters[[#All],[zScore]],MATCH(Table5[[#This Row],[PID]],Batters[[#All],[PID]],0)),INDEX(Table3[[#All],[zScore]],MATCH(Table5[[#This Row],[PID]],Table3[[#All],[PID]],0)))</f>
        <v>0.9281589366284988</v>
      </c>
      <c r="S191" s="60" t="str">
        <f>IF($C191="B",INDEX(Batters[[#All],[DEM]],MATCH(Table5[[#This Row],[PID]],Batters[[#All],[PID]],0)),INDEX(Table3[[#All],[DEM]],MATCH(Table5[[#This Row],[PID]],Table3[[#All],[PID]],0)))</f>
        <v>-</v>
      </c>
      <c r="T191" s="64">
        <f>IF($C191="B",VLOOKUP($A191,Bat!$A$4:$AU$1417,46,FALSE),VLOOKUP($A191,Pit!$A$4:$BD$570,55,FALSE))</f>
        <v>0</v>
      </c>
      <c r="U191" s="52">
        <f>IF($C191="B",VLOOKUP($A191,Bat!$A$4:$BA$1417,47,FALSE),VLOOKUP($A191,Pit!$A$4:$BF$570,56,FALSE))</f>
        <v>0</v>
      </c>
      <c r="V191" s="52">
        <f>IF($C191="B",VLOOKUP($A191,Bat!$A$4:$BA$1417,48,FALSE),VLOOKUP($A191,Pit!$A$4:$BF$570,57,FALSE))</f>
        <v>0</v>
      </c>
      <c r="W191" s="52">
        <f>Table5[[#This Row],[posRnk]]+Table5[[#This Row],[zRnk]]+IF($W$3&lt;&gt;Table5[[#This Row],[Type]],50,0)</f>
        <v>237</v>
      </c>
      <c r="X191" s="53">
        <f>RANK(Table5[[#This Row],[zScore]],Table5[[#All],[zScore]])</f>
        <v>187</v>
      </c>
      <c r="Y191" s="52" t="str">
        <f>IFERROR(INDEX(DraftResults[[#All],[OVR]],MATCH(Table5[[#This Row],[PID]],DraftResults[[#All],[Player ID]],0)),"")</f>
        <v/>
      </c>
      <c r="Z1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1" s="52" t="str">
        <f>IFERROR(INDEX(DraftResults[[#All],[Pick in Round]],MATCH(Table5[[#This Row],[PID]],DraftResults[[#All],[Player ID]],0)),"")</f>
        <v/>
      </c>
      <c r="AB191" s="52" t="str">
        <f>IFERROR(INDEX(DraftResults[[#All],[Team Name]],MATCH(Table5[[#This Row],[PID]],DraftResults[[#All],[Player ID]],0)),"")</f>
        <v/>
      </c>
      <c r="AC191" s="52" t="str">
        <f>IF(Table5[[#This Row],[Ovr]]="","",IF(Table5[[#This Row],[cmbList]]="","",Table5[[#This Row],[cmbList]]-Table5[[#This Row],[Ovr]]))</f>
        <v/>
      </c>
      <c r="AD191" s="56" t="str">
        <f>IF(ISERROR(VLOOKUP($AB191&amp;"-"&amp;$E191&amp;" "&amp;F191,Bonuses!$B$1:$G$1006,4,FALSE)),"",INT(VLOOKUP($AB191&amp;"-"&amp;$E191&amp;" "&amp;$F191,Bonuses!$B$1:$G$1006,4,FALSE)))</f>
        <v/>
      </c>
      <c r="AE1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2" spans="1:31" s="52" customFormat="1" x14ac:dyDescent="0.25">
      <c r="A192" s="52">
        <v>9429</v>
      </c>
      <c r="B192" s="52">
        <f>COUNTIF(Table5[PID],A192)</f>
        <v>1</v>
      </c>
      <c r="C192" s="52" t="str">
        <f>IF(COUNTIF(Table3[[#All],[PID]],A192)&gt;0,"P","B")</f>
        <v>B</v>
      </c>
      <c r="D192" s="61" t="str">
        <f>IF($C192="B",INDEX(Batters[[#All],[POS]],MATCH(Table5[[#This Row],[PID]],Batters[[#All],[PID]],0)),INDEX(Table3[[#All],[POS]],MATCH(Table5[[#This Row],[PID]],Table3[[#All],[PID]],0)))</f>
        <v>1B</v>
      </c>
      <c r="E192" s="54" t="str">
        <f>IF($C192="B",INDEX(Batters[[#All],[First]],MATCH(Table5[[#This Row],[PID]],Batters[[#All],[PID]],0)),INDEX(Table3[[#All],[First]],MATCH(Table5[[#This Row],[PID]],Table3[[#All],[PID]],0)))</f>
        <v>Ron</v>
      </c>
      <c r="F192" s="52" t="str">
        <f>IF($C192="B",INDEX(Batters[[#All],[Last]],MATCH(A192,Batters[[#All],[PID]],0)),INDEX(Table3[[#All],[Last]],MATCH(A192,Table3[[#All],[PID]],0)))</f>
        <v>Webb</v>
      </c>
      <c r="G192" s="58">
        <f>IF($C192="B",INDEX(Batters[[#All],[Age]],MATCH(Table5[[#This Row],[PID]],Batters[[#All],[PID]],0)),INDEX(Table3[[#All],[Age]],MATCH(Table5[[#This Row],[PID]],Table3[[#All],[PID]],0)))</f>
        <v>21</v>
      </c>
      <c r="H192" s="54" t="str">
        <f>IF($C192="B",INDEX(Batters[[#All],[B]],MATCH(Table5[[#This Row],[PID]],Batters[[#All],[PID]],0)),INDEX(Table3[[#All],[B]],MATCH(Table5[[#This Row],[PID]],Table3[[#All],[PID]],0)))</f>
        <v>S</v>
      </c>
      <c r="I192" s="54" t="str">
        <f>IF($C192="B",INDEX(Batters[[#All],[T]],MATCH(Table5[[#This Row],[PID]],Batters[[#All],[PID]],0)),INDEX(Table3[[#All],[T]],MATCH(Table5[[#This Row],[PID]],Table3[[#All],[PID]],0)))</f>
        <v>R</v>
      </c>
      <c r="J192" s="54" t="str">
        <f>IF($C192="B",INDEX(Batters[[#All],[WE]],MATCH(Table5[[#This Row],[PID]],Batters[[#All],[PID]],0)),INDEX(Table3[[#All],[WE]],MATCH(Table5[[#This Row],[PID]],Table3[[#All],[PID]],0)))</f>
        <v>High</v>
      </c>
      <c r="K192" s="54" t="str">
        <f>IF($C192="B",INDEX(Batters[[#All],[INT]],MATCH(Table5[[#This Row],[PID]],Batters[[#All],[PID]],0)),INDEX(Table3[[#All],[INT]],MATCH(Table5[[#This Row],[PID]],Table3[[#All],[PID]],0)))</f>
        <v>High</v>
      </c>
      <c r="L192" s="62">
        <f>IF($C192="B",INDEX(Batters[[#All],[CON P]],MATCH(Table5[[#This Row],[PID]],Batters[[#All],[PID]],0)),INDEX(Table3[[#All],[STU P]],MATCH(Table5[[#This Row],[PID]],Table3[[#All],[PID]],0)))</f>
        <v>2</v>
      </c>
      <c r="M192" s="58">
        <f>IF($C192="B",INDEX(Batters[[#All],[GAP P]],MATCH(Table5[[#This Row],[PID]],Batters[[#All],[PID]],0)),INDEX(Table3[[#All],[MOV P]],MATCH(Table5[[#This Row],[PID]],Table3[[#All],[PID]],0)))</f>
        <v>3</v>
      </c>
      <c r="N192" s="58">
        <f>IF($C192="B",INDEX(Batters[[#All],[POW P]],MATCH(Table5[[#This Row],[PID]],Batters[[#All],[PID]],0)),INDEX(Table3[[#All],[CON P]],MATCH(Table5[[#This Row],[PID]],Table3[[#All],[PID]],0)))</f>
        <v>3</v>
      </c>
      <c r="O192" s="58">
        <f>IF($C192="B",INDEX(Batters[[#All],[EYE P]],MATCH(Table5[[#This Row],[PID]],Batters[[#All],[PID]],0)),INDEX(Table3[[#All],[VELO]],MATCH(Table5[[#This Row],[PID]],Table3[[#All],[PID]],0)))</f>
        <v>6</v>
      </c>
      <c r="P192" s="58">
        <f>IF($C192="B",INDEX(Batters[[#All],[K P]],MATCH(Table5[[#This Row],[PID]],Batters[[#All],[PID]],0)),INDEX(Table3[[#All],[STM]],MATCH(Table5[[#This Row],[PID]],Table3[[#All],[PID]],0)))</f>
        <v>2</v>
      </c>
      <c r="Q192" s="63">
        <f>IF($C192="B",INDEX(Batters[[#All],[Tot]],MATCH(Table5[[#This Row],[PID]],Batters[[#All],[PID]],0)),INDEX(Table3[[#All],[Tot]],MATCH(Table5[[#This Row],[PID]],Table3[[#All],[PID]],0)))</f>
        <v>45.6</v>
      </c>
      <c r="R192" s="54">
        <f>IF($C192="B",INDEX(Batters[[#All],[zScore]],MATCH(Table5[[#This Row],[PID]],Batters[[#All],[PID]],0)),INDEX(Table3[[#All],[zScore]],MATCH(Table5[[#This Row],[PID]],Table3[[#All],[PID]],0)))</f>
        <v>0.92401097258958631</v>
      </c>
      <c r="S192" s="60" t="str">
        <f>IF($C192="B",INDEX(Batters[[#All],[DEM]],MATCH(Table5[[#This Row],[PID]],Batters[[#All],[PID]],0)),INDEX(Table3[[#All],[DEM]],MATCH(Table5[[#This Row],[PID]],Table3[[#All],[PID]],0)))</f>
        <v>-</v>
      </c>
      <c r="T192" s="64">
        <f>IF($C192="B",VLOOKUP($A192,Bat!$A$4:$AU$1417,46,FALSE),VLOOKUP($A192,Pit!$A$4:$BD$570,55,FALSE))</f>
        <v>0</v>
      </c>
      <c r="U192" s="52">
        <f>IF($C192="B",VLOOKUP($A192,Bat!$A$4:$BA$1417,47,FALSE),VLOOKUP($A192,Pit!$A$4:$BF$570,56,FALSE))</f>
        <v>0</v>
      </c>
      <c r="V192" s="52">
        <f>IF($C192="B",VLOOKUP($A192,Bat!$A$4:$BA$1417,48,FALSE),VLOOKUP($A192,Pit!$A$4:$BF$570,57,FALSE))</f>
        <v>0</v>
      </c>
      <c r="W192" s="52">
        <f>Table5[[#This Row],[posRnk]]+Table5[[#This Row],[zRnk]]+IF($W$3&lt;&gt;Table5[[#This Row],[Type]],50,0)</f>
        <v>238</v>
      </c>
      <c r="X192" s="53">
        <f>RANK(Table5[[#This Row],[zScore]],Table5[[#All],[zScore]])</f>
        <v>188</v>
      </c>
      <c r="Y192" s="52" t="str">
        <f>IFERROR(INDEX(DraftResults[[#All],[OVR]],MATCH(Table5[[#This Row],[PID]],DraftResults[[#All],[Player ID]],0)),"")</f>
        <v/>
      </c>
      <c r="Z1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2" s="52" t="str">
        <f>IFERROR(INDEX(DraftResults[[#All],[Pick in Round]],MATCH(Table5[[#This Row],[PID]],DraftResults[[#All],[Player ID]],0)),"")</f>
        <v/>
      </c>
      <c r="AB192" s="52" t="str">
        <f>IFERROR(INDEX(DraftResults[[#All],[Team Name]],MATCH(Table5[[#This Row],[PID]],DraftResults[[#All],[Player ID]],0)),"")</f>
        <v/>
      </c>
      <c r="AC192" s="52" t="str">
        <f>IF(Table5[[#This Row],[Ovr]]="","",IF(Table5[[#This Row],[cmbList]]="","",Table5[[#This Row],[cmbList]]-Table5[[#This Row],[Ovr]]))</f>
        <v/>
      </c>
      <c r="AD192" s="56" t="str">
        <f>IF(ISERROR(VLOOKUP($AB192&amp;"-"&amp;$E192&amp;" "&amp;F192,Bonuses!$B$1:$G$1006,4,FALSE)),"",INT(VLOOKUP($AB192&amp;"-"&amp;$E192&amp;" "&amp;$F192,Bonuses!$B$1:$G$1006,4,FALSE)))</f>
        <v/>
      </c>
      <c r="AE1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3" spans="1:31" s="52" customFormat="1" x14ac:dyDescent="0.25">
      <c r="A193" s="52">
        <v>7459</v>
      </c>
      <c r="B193" s="57">
        <f>COUNTIF(Table5[PID],A193)</f>
        <v>1</v>
      </c>
      <c r="C193" s="57" t="str">
        <f>IF(COUNTIF(Table3[[#All],[PID]],A193)&gt;0,"P","B")</f>
        <v>B</v>
      </c>
      <c r="D193" s="61" t="str">
        <f>IF($C193="B",INDEX(Batters[[#All],[POS]],MATCH(Table5[[#This Row],[PID]],Batters[[#All],[PID]],0)),INDEX(Table3[[#All],[POS]],MATCH(Table5[[#This Row],[PID]],Table3[[#All],[PID]],0)))</f>
        <v>SS</v>
      </c>
      <c r="E193" s="54" t="str">
        <f>IF($C193="B",INDEX(Batters[[#All],[First]],MATCH(Table5[[#This Row],[PID]],Batters[[#All],[PID]],0)),INDEX(Table3[[#All],[First]],MATCH(Table5[[#This Row],[PID]],Table3[[#All],[PID]],0)))</f>
        <v>Bobby</v>
      </c>
      <c r="F193" s="52" t="str">
        <f>IF($C193="B",INDEX(Batters[[#All],[Last]],MATCH(A193,Batters[[#All],[PID]],0)),INDEX(Table3[[#All],[Last]],MATCH(A193,Table3[[#All],[PID]],0)))</f>
        <v>Leach</v>
      </c>
      <c r="G193" s="58">
        <f>IF($C193="B",INDEX(Batters[[#All],[Age]],MATCH(Table5[[#This Row],[PID]],Batters[[#All],[PID]],0)),INDEX(Table3[[#All],[Age]],MATCH(Table5[[#This Row],[PID]],Table3[[#All],[PID]],0)))</f>
        <v>18</v>
      </c>
      <c r="H193" s="54" t="str">
        <f>IF($C193="B",INDEX(Batters[[#All],[B]],MATCH(Table5[[#This Row],[PID]],Batters[[#All],[PID]],0)),INDEX(Table3[[#All],[B]],MATCH(Table5[[#This Row],[PID]],Table3[[#All],[PID]],0)))</f>
        <v>L</v>
      </c>
      <c r="I193" s="54" t="str">
        <f>IF($C193="B",INDEX(Batters[[#All],[T]],MATCH(Table5[[#This Row],[PID]],Batters[[#All],[PID]],0)),INDEX(Table3[[#All],[T]],MATCH(Table5[[#This Row],[PID]],Table3[[#All],[PID]],0)))</f>
        <v>R</v>
      </c>
      <c r="J193" s="54" t="str">
        <f>IF($C193="B",INDEX(Batters[[#All],[WE]],MATCH(Table5[[#This Row],[PID]],Batters[[#All],[PID]],0)),INDEX(Table3[[#All],[WE]],MATCH(Table5[[#This Row],[PID]],Table3[[#All],[PID]],0)))</f>
        <v>Normal</v>
      </c>
      <c r="K193" s="54" t="str">
        <f>IF($C193="B",INDEX(Batters[[#All],[INT]],MATCH(Table5[[#This Row],[PID]],Batters[[#All],[PID]],0)),INDEX(Table3[[#All],[INT]],MATCH(Table5[[#This Row],[PID]],Table3[[#All],[PID]],0)))</f>
        <v>Normal</v>
      </c>
      <c r="L193" s="62">
        <f>IF($C193="B",INDEX(Batters[[#All],[CON P]],MATCH(Table5[[#This Row],[PID]],Batters[[#All],[PID]],0)),INDEX(Table3[[#All],[STU P]],MATCH(Table5[[#This Row],[PID]],Table3[[#All],[PID]],0)))</f>
        <v>4</v>
      </c>
      <c r="M193" s="58">
        <f>IF($C193="B",INDEX(Batters[[#All],[GAP P]],MATCH(Table5[[#This Row],[PID]],Batters[[#All],[PID]],0)),INDEX(Table3[[#All],[MOV P]],MATCH(Table5[[#This Row],[PID]],Table3[[#All],[PID]],0)))</f>
        <v>3</v>
      </c>
      <c r="N193" s="58">
        <f>IF($C193="B",INDEX(Batters[[#All],[POW P]],MATCH(Table5[[#This Row],[PID]],Batters[[#All],[PID]],0)),INDEX(Table3[[#All],[CON P]],MATCH(Table5[[#This Row],[PID]],Table3[[#All],[PID]],0)))</f>
        <v>3</v>
      </c>
      <c r="O193" s="58">
        <f>IF($C193="B",INDEX(Batters[[#All],[EYE P]],MATCH(Table5[[#This Row],[PID]],Batters[[#All],[PID]],0)),INDEX(Table3[[#All],[VELO]],MATCH(Table5[[#This Row],[PID]],Table3[[#All],[PID]],0)))</f>
        <v>4</v>
      </c>
      <c r="P193" s="58">
        <f>IF($C193="B",INDEX(Batters[[#All],[K P]],MATCH(Table5[[#This Row],[PID]],Batters[[#All],[PID]],0)),INDEX(Table3[[#All],[STM]],MATCH(Table5[[#This Row],[PID]],Table3[[#All],[PID]],0)))</f>
        <v>3</v>
      </c>
      <c r="Q193" s="63">
        <f>IF($C193="B",INDEX(Batters[[#All],[Tot]],MATCH(Table5[[#This Row],[PID]],Batters[[#All],[PID]],0)),INDEX(Table3[[#All],[Tot]],MATCH(Table5[[#This Row],[PID]],Table3[[#All],[PID]],0)))</f>
        <v>45.542581598163451</v>
      </c>
      <c r="R193" s="54">
        <f>IF($C193="B",INDEX(Batters[[#All],[zScore]],MATCH(Table5[[#This Row],[PID]],Batters[[#All],[PID]],0)),INDEX(Table3[[#All],[zScore]],MATCH(Table5[[#This Row],[PID]],Table3[[#All],[PID]],0)))</f>
        <v>0.91390858640656336</v>
      </c>
      <c r="S193" s="60" t="str">
        <f>IF($C193="B",INDEX(Batters[[#All],[DEM]],MATCH(Table5[[#This Row],[PID]],Batters[[#All],[PID]],0)),INDEX(Table3[[#All],[DEM]],MATCH(Table5[[#This Row],[PID]],Table3[[#All],[PID]],0)))</f>
        <v>$330k</v>
      </c>
      <c r="T193" s="64">
        <f>IF($C193="B",VLOOKUP($A193,Bat!$A$4:$AU$1417,46,FALSE),VLOOKUP($A193,Pit!$A$4:$BD$570,55,FALSE))</f>
        <v>0</v>
      </c>
      <c r="U193" s="52">
        <f>IF($C193="B",VLOOKUP($A193,Bat!$A$4:$BA$1417,47,FALSE),VLOOKUP($A193,Pit!$A$4:$BF$570,56,FALSE))</f>
        <v>0</v>
      </c>
      <c r="V193" s="52">
        <f>IF($C193="B",VLOOKUP($A193,Bat!$A$4:$BA$1417,48,FALSE),VLOOKUP($A193,Pit!$A$4:$BF$570,57,FALSE))</f>
        <v>0</v>
      </c>
      <c r="W193" s="52">
        <f>Table5[[#This Row],[posRnk]]+Table5[[#This Row],[zRnk]]+IF($W$3&lt;&gt;Table5[[#This Row],[Type]],50,0)</f>
        <v>239</v>
      </c>
      <c r="X193" s="53">
        <f>RANK(Table5[[#This Row],[zScore]],Table5[[#All],[zScore]])</f>
        <v>189</v>
      </c>
      <c r="Y193" s="52" t="str">
        <f>IFERROR(INDEX(DraftResults[[#All],[OVR]],MATCH(Table5[[#This Row],[PID]],DraftResults[[#All],[Player ID]],0)),"")</f>
        <v/>
      </c>
      <c r="Z1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3" s="52" t="str">
        <f>IFERROR(INDEX(DraftResults[[#All],[Pick in Round]],MATCH(Table5[[#This Row],[PID]],DraftResults[[#All],[Player ID]],0)),"")</f>
        <v/>
      </c>
      <c r="AB193" s="52" t="str">
        <f>IFERROR(INDEX(DraftResults[[#All],[Team Name]],MATCH(Table5[[#This Row],[PID]],DraftResults[[#All],[Player ID]],0)),"")</f>
        <v/>
      </c>
      <c r="AC193" s="52" t="str">
        <f>IF(Table5[[#This Row],[Ovr]]="","",IF(Table5[[#This Row],[cmbList]]="","",Table5[[#This Row],[cmbList]]-Table5[[#This Row],[Ovr]]))</f>
        <v/>
      </c>
      <c r="AD193" s="56" t="str">
        <f>IF(ISERROR(VLOOKUP($AB193&amp;"-"&amp;$E193&amp;" "&amp;F193,Bonuses!$B$1:$G$1006,4,FALSE)),"",INT(VLOOKUP($AB193&amp;"-"&amp;$E193&amp;" "&amp;$F193,Bonuses!$B$1:$G$1006,4,FALSE)))</f>
        <v/>
      </c>
      <c r="AE1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4" spans="1:31" s="52" customFormat="1" x14ac:dyDescent="0.25">
      <c r="A194" s="52">
        <v>18000</v>
      </c>
      <c r="B194" s="52">
        <f>COUNTIF(Table5[PID],A194)</f>
        <v>1</v>
      </c>
      <c r="C194" s="52" t="str">
        <f>IF(COUNTIF(Table3[[#All],[PID]],A194)&gt;0,"P","B")</f>
        <v>B</v>
      </c>
      <c r="D194" s="61" t="str">
        <f>IF($C194="B",INDEX(Batters[[#All],[POS]],MATCH(Table5[[#This Row],[PID]],Batters[[#All],[PID]],0)),INDEX(Table3[[#All],[POS]],MATCH(Table5[[#This Row],[PID]],Table3[[#All],[PID]],0)))</f>
        <v>3B</v>
      </c>
      <c r="E194" s="54" t="str">
        <f>IF($C194="B",INDEX(Batters[[#All],[First]],MATCH(Table5[[#This Row],[PID]],Batters[[#All],[PID]],0)),INDEX(Table3[[#All],[First]],MATCH(Table5[[#This Row],[PID]],Table3[[#All],[PID]],0)))</f>
        <v>Benedict</v>
      </c>
      <c r="F194" s="52" t="str">
        <f>IF($C194="B",INDEX(Batters[[#All],[Last]],MATCH(A194,Batters[[#All],[PID]],0)),INDEX(Table3[[#All],[Last]],MATCH(A194,Table3[[#All],[PID]],0)))</f>
        <v>Stobart</v>
      </c>
      <c r="G194" s="58">
        <f>IF($C194="B",INDEX(Batters[[#All],[Age]],MATCH(Table5[[#This Row],[PID]],Batters[[#All],[PID]],0)),INDEX(Table3[[#All],[Age]],MATCH(Table5[[#This Row],[PID]],Table3[[#All],[PID]],0)))</f>
        <v>21</v>
      </c>
      <c r="H194" s="54" t="str">
        <f>IF($C194="B",INDEX(Batters[[#All],[B]],MATCH(Table5[[#This Row],[PID]],Batters[[#All],[PID]],0)),INDEX(Table3[[#All],[B]],MATCH(Table5[[#This Row],[PID]],Table3[[#All],[PID]],0)))</f>
        <v>R</v>
      </c>
      <c r="I194" s="54" t="str">
        <f>IF($C194="B",INDEX(Batters[[#All],[T]],MATCH(Table5[[#This Row],[PID]],Batters[[#All],[PID]],0)),INDEX(Table3[[#All],[T]],MATCH(Table5[[#This Row],[PID]],Table3[[#All],[PID]],0)))</f>
        <v>R</v>
      </c>
      <c r="J194" s="54" t="str">
        <f>IF($C194="B",INDEX(Batters[[#All],[WE]],MATCH(Table5[[#This Row],[PID]],Batters[[#All],[PID]],0)),INDEX(Table3[[#All],[WE]],MATCH(Table5[[#This Row],[PID]],Table3[[#All],[PID]],0)))</f>
        <v>High</v>
      </c>
      <c r="K194" s="54" t="str">
        <f>IF($C194="B",INDEX(Batters[[#All],[INT]],MATCH(Table5[[#This Row],[PID]],Batters[[#All],[PID]],0)),INDEX(Table3[[#All],[INT]],MATCH(Table5[[#This Row],[PID]],Table3[[#All],[PID]],0)))</f>
        <v>Normal</v>
      </c>
      <c r="L194" s="62">
        <f>IF($C194="B",INDEX(Batters[[#All],[CON P]],MATCH(Table5[[#This Row],[PID]],Batters[[#All],[PID]],0)),INDEX(Table3[[#All],[STU P]],MATCH(Table5[[#This Row],[PID]],Table3[[#All],[PID]],0)))</f>
        <v>2</v>
      </c>
      <c r="M194" s="58">
        <f>IF($C194="B",INDEX(Batters[[#All],[GAP P]],MATCH(Table5[[#This Row],[PID]],Batters[[#All],[PID]],0)),INDEX(Table3[[#All],[MOV P]],MATCH(Table5[[#This Row],[PID]],Table3[[#All],[PID]],0)))</f>
        <v>3</v>
      </c>
      <c r="N194" s="58">
        <f>IF($C194="B",INDEX(Batters[[#All],[POW P]],MATCH(Table5[[#This Row],[PID]],Batters[[#All],[PID]],0)),INDEX(Table3[[#All],[CON P]],MATCH(Table5[[#This Row],[PID]],Table3[[#All],[PID]],0)))</f>
        <v>2</v>
      </c>
      <c r="O194" s="58">
        <f>IF($C194="B",INDEX(Batters[[#All],[EYE P]],MATCH(Table5[[#This Row],[PID]],Batters[[#All],[PID]],0)),INDEX(Table3[[#All],[VELO]],MATCH(Table5[[#This Row],[PID]],Table3[[#All],[PID]],0)))</f>
        <v>4</v>
      </c>
      <c r="P194" s="58">
        <f>IF($C194="B",INDEX(Batters[[#All],[K P]],MATCH(Table5[[#This Row],[PID]],Batters[[#All],[PID]],0)),INDEX(Table3[[#All],[STM]],MATCH(Table5[[#This Row],[PID]],Table3[[#All],[PID]],0)))</f>
        <v>3</v>
      </c>
      <c r="Q194" s="63">
        <f>IF($C194="B",INDEX(Batters[[#All],[Tot]],MATCH(Table5[[#This Row],[PID]],Batters[[#All],[PID]],0)),INDEX(Table3[[#All],[Tot]],MATCH(Table5[[#This Row],[PID]],Table3[[#All],[PID]],0)))</f>
        <v>45.524999999999999</v>
      </c>
      <c r="R194" s="54">
        <f>IF($C194="B",INDEX(Batters[[#All],[zScore]],MATCH(Table5[[#This Row],[PID]],Batters[[#All],[PID]],0)),INDEX(Table3[[#All],[zScore]],MATCH(Table5[[#This Row],[PID]],Table3[[#All],[PID]],0)))</f>
        <v>0.91081522106233914</v>
      </c>
      <c r="S194" s="60" t="str">
        <f>IF($C194="B",INDEX(Batters[[#All],[DEM]],MATCH(Table5[[#This Row],[PID]],Batters[[#All],[PID]],0)),INDEX(Table3[[#All],[DEM]],MATCH(Table5[[#This Row],[PID]],Table3[[#All],[PID]],0)))</f>
        <v>-</v>
      </c>
      <c r="T194" s="64">
        <f>IF($C194="B",VLOOKUP($A194,Bat!$A$4:$AU$1417,46,FALSE),VLOOKUP($A194,Pit!$A$4:$BD$570,55,FALSE))</f>
        <v>0</v>
      </c>
      <c r="U194" s="52">
        <f>IF($C194="B",VLOOKUP($A194,Bat!$A$4:$BA$1417,47,FALSE),VLOOKUP($A194,Pit!$A$4:$BF$570,56,FALSE))</f>
        <v>0</v>
      </c>
      <c r="V194" s="52">
        <f>IF($C194="B",VLOOKUP($A194,Bat!$A$4:$BA$1417,48,FALSE),VLOOKUP($A194,Pit!$A$4:$BF$570,57,FALSE))</f>
        <v>0</v>
      </c>
      <c r="W194" s="52">
        <f>Table5[[#This Row],[posRnk]]+Table5[[#This Row],[zRnk]]+IF($W$3&lt;&gt;Table5[[#This Row],[Type]],50,0)</f>
        <v>240</v>
      </c>
      <c r="X194" s="53">
        <f>RANK(Table5[[#This Row],[zScore]],Table5[[#All],[zScore]])</f>
        <v>190</v>
      </c>
      <c r="Y194" s="52" t="str">
        <f>IFERROR(INDEX(DraftResults[[#All],[OVR]],MATCH(Table5[[#This Row],[PID]],DraftResults[[#All],[Player ID]],0)),"")</f>
        <v/>
      </c>
      <c r="Z1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4" s="52" t="str">
        <f>IFERROR(INDEX(DraftResults[[#All],[Pick in Round]],MATCH(Table5[[#This Row],[PID]],DraftResults[[#All],[Player ID]],0)),"")</f>
        <v/>
      </c>
      <c r="AB194" s="52" t="str">
        <f>IFERROR(INDEX(DraftResults[[#All],[Team Name]],MATCH(Table5[[#This Row],[PID]],DraftResults[[#All],[Player ID]],0)),"")</f>
        <v/>
      </c>
      <c r="AC194" s="52" t="str">
        <f>IF(Table5[[#This Row],[Ovr]]="","",IF(Table5[[#This Row],[cmbList]]="","",Table5[[#This Row],[cmbList]]-Table5[[#This Row],[Ovr]]))</f>
        <v/>
      </c>
      <c r="AD194" s="56" t="str">
        <f>IF(ISERROR(VLOOKUP($AB194&amp;"-"&amp;$E194&amp;" "&amp;F194,Bonuses!$B$1:$G$1006,4,FALSE)),"",INT(VLOOKUP($AB194&amp;"-"&amp;$E194&amp;" "&amp;$F194,Bonuses!$B$1:$G$1006,4,FALSE)))</f>
        <v/>
      </c>
      <c r="AE1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5" spans="1:31" s="52" customFormat="1" x14ac:dyDescent="0.25">
      <c r="A195" s="52">
        <v>9736</v>
      </c>
      <c r="B195" s="52">
        <f>COUNTIF(Table5[PID],A195)</f>
        <v>1</v>
      </c>
      <c r="C195" s="52" t="str">
        <f>IF(COUNTIF(Table3[[#All],[PID]],A195)&gt;0,"P","B")</f>
        <v>B</v>
      </c>
      <c r="D195" s="61" t="str">
        <f>IF($C195="B",INDEX(Batters[[#All],[POS]],MATCH(Table5[[#This Row],[PID]],Batters[[#All],[PID]],0)),INDEX(Table3[[#All],[POS]],MATCH(Table5[[#This Row],[PID]],Table3[[#All],[PID]],0)))</f>
        <v>C</v>
      </c>
      <c r="E195" s="54" t="str">
        <f>IF($C195="B",INDEX(Batters[[#All],[First]],MATCH(Table5[[#This Row],[PID]],Batters[[#All],[PID]],0)),INDEX(Table3[[#All],[First]],MATCH(Table5[[#This Row],[PID]],Table3[[#All],[PID]],0)))</f>
        <v>Travis</v>
      </c>
      <c r="F195" s="52" t="str">
        <f>IF($C195="B",INDEX(Batters[[#All],[Last]],MATCH(A195,Batters[[#All],[PID]],0)),INDEX(Table3[[#All],[Last]],MATCH(A195,Table3[[#All],[PID]],0)))</f>
        <v>Reynolds</v>
      </c>
      <c r="G195" s="58">
        <f>IF($C195="B",INDEX(Batters[[#All],[Age]],MATCH(Table5[[#This Row],[PID]],Batters[[#All],[PID]],0)),INDEX(Table3[[#All],[Age]],MATCH(Table5[[#This Row],[PID]],Table3[[#All],[PID]],0)))</f>
        <v>21</v>
      </c>
      <c r="H195" s="54" t="str">
        <f>IF($C195="B",INDEX(Batters[[#All],[B]],MATCH(Table5[[#This Row],[PID]],Batters[[#All],[PID]],0)),INDEX(Table3[[#All],[B]],MATCH(Table5[[#This Row],[PID]],Table3[[#All],[PID]],0)))</f>
        <v>L</v>
      </c>
      <c r="I195" s="54" t="str">
        <f>IF($C195="B",INDEX(Batters[[#All],[T]],MATCH(Table5[[#This Row],[PID]],Batters[[#All],[PID]],0)),INDEX(Table3[[#All],[T]],MATCH(Table5[[#This Row],[PID]],Table3[[#All],[PID]],0)))</f>
        <v>L</v>
      </c>
      <c r="J195" s="54" t="str">
        <f>IF($C195="B",INDEX(Batters[[#All],[WE]],MATCH(Table5[[#This Row],[PID]],Batters[[#All],[PID]],0)),INDEX(Table3[[#All],[WE]],MATCH(Table5[[#This Row],[PID]],Table3[[#All],[PID]],0)))</f>
        <v>High</v>
      </c>
      <c r="K195" s="54" t="str">
        <f>IF($C195="B",INDEX(Batters[[#All],[INT]],MATCH(Table5[[#This Row],[PID]],Batters[[#All],[PID]],0)),INDEX(Table3[[#All],[INT]],MATCH(Table5[[#This Row],[PID]],Table3[[#All],[PID]],0)))</f>
        <v>Normal</v>
      </c>
      <c r="L195" s="62">
        <f>IF($C195="B",INDEX(Batters[[#All],[CON P]],MATCH(Table5[[#This Row],[PID]],Batters[[#All],[PID]],0)),INDEX(Table3[[#All],[STU P]],MATCH(Table5[[#This Row],[PID]],Table3[[#All],[PID]],0)))</f>
        <v>2</v>
      </c>
      <c r="M195" s="58">
        <f>IF($C195="B",INDEX(Batters[[#All],[GAP P]],MATCH(Table5[[#This Row],[PID]],Batters[[#All],[PID]],0)),INDEX(Table3[[#All],[MOV P]],MATCH(Table5[[#This Row],[PID]],Table3[[#All],[PID]],0)))</f>
        <v>3</v>
      </c>
      <c r="N195" s="58">
        <f>IF($C195="B",INDEX(Batters[[#All],[POW P]],MATCH(Table5[[#This Row],[PID]],Batters[[#All],[PID]],0)),INDEX(Table3[[#All],[CON P]],MATCH(Table5[[#This Row],[PID]],Table3[[#All],[PID]],0)))</f>
        <v>3</v>
      </c>
      <c r="O195" s="58">
        <f>IF($C195="B",INDEX(Batters[[#All],[EYE P]],MATCH(Table5[[#This Row],[PID]],Batters[[#All],[PID]],0)),INDEX(Table3[[#All],[VELO]],MATCH(Table5[[#This Row],[PID]],Table3[[#All],[PID]],0)))</f>
        <v>5</v>
      </c>
      <c r="P195" s="58">
        <f>IF($C195="B",INDEX(Batters[[#All],[K P]],MATCH(Table5[[#This Row],[PID]],Batters[[#All],[PID]],0)),INDEX(Table3[[#All],[STM]],MATCH(Table5[[#This Row],[PID]],Table3[[#All],[PID]],0)))</f>
        <v>3</v>
      </c>
      <c r="Q195" s="63">
        <f>IF($C195="B",INDEX(Batters[[#All],[Tot]],MATCH(Table5[[#This Row],[PID]],Batters[[#All],[PID]],0)),INDEX(Table3[[#All],[Tot]],MATCH(Table5[[#This Row],[PID]],Table3[[#All],[PID]],0)))</f>
        <v>45.524999999999999</v>
      </c>
      <c r="R195" s="54">
        <f>IF($C195="B",INDEX(Batters[[#All],[zScore]],MATCH(Table5[[#This Row],[PID]],Batters[[#All],[PID]],0)),INDEX(Table3[[#All],[zScore]],MATCH(Table5[[#This Row],[PID]],Table3[[#All],[PID]],0)))</f>
        <v>0.91081522106233914</v>
      </c>
      <c r="S195" s="60" t="str">
        <f>IF($C195="B",INDEX(Batters[[#All],[DEM]],MATCH(Table5[[#This Row],[PID]],Batters[[#All],[PID]],0)),INDEX(Table3[[#All],[DEM]],MATCH(Table5[[#This Row],[PID]],Table3[[#All],[PID]],0)))</f>
        <v>$20k</v>
      </c>
      <c r="T195" s="64">
        <f>IF($C195="B",VLOOKUP($A195,Bat!$A$4:$AU$1417,46,FALSE),VLOOKUP($A195,Pit!$A$4:$BD$570,55,FALSE))</f>
        <v>0</v>
      </c>
      <c r="U195" s="52">
        <f>IF($C195="B",VLOOKUP($A195,Bat!$A$4:$BA$1417,47,FALSE),VLOOKUP($A195,Pit!$A$4:$BF$570,56,FALSE))</f>
        <v>0</v>
      </c>
      <c r="V195" s="52">
        <f>IF($C195="B",VLOOKUP($A195,Bat!$A$4:$BA$1417,48,FALSE),VLOOKUP($A195,Pit!$A$4:$BF$570,57,FALSE))</f>
        <v>0</v>
      </c>
      <c r="W195" s="52">
        <f>Table5[[#This Row],[posRnk]]+Table5[[#This Row],[zRnk]]+IF($W$3&lt;&gt;Table5[[#This Row],[Type]],50,0)</f>
        <v>240</v>
      </c>
      <c r="X195" s="53">
        <f>RANK(Table5[[#This Row],[zScore]],Table5[[#All],[zScore]])</f>
        <v>190</v>
      </c>
      <c r="Y195" s="52" t="str">
        <f>IFERROR(INDEX(DraftResults[[#All],[OVR]],MATCH(Table5[[#This Row],[PID]],DraftResults[[#All],[Player ID]],0)),"")</f>
        <v/>
      </c>
      <c r="Z1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5" s="52" t="str">
        <f>IFERROR(INDEX(DraftResults[[#All],[Pick in Round]],MATCH(Table5[[#This Row],[PID]],DraftResults[[#All],[Player ID]],0)),"")</f>
        <v/>
      </c>
      <c r="AB195" s="52" t="str">
        <f>IFERROR(INDEX(DraftResults[[#All],[Team Name]],MATCH(Table5[[#This Row],[PID]],DraftResults[[#All],[Player ID]],0)),"")</f>
        <v/>
      </c>
      <c r="AC195" s="52" t="str">
        <f>IF(Table5[[#This Row],[Ovr]]="","",IF(Table5[[#This Row],[cmbList]]="","",Table5[[#This Row],[cmbList]]-Table5[[#This Row],[Ovr]]))</f>
        <v/>
      </c>
      <c r="AD195" s="56" t="str">
        <f>IF(ISERROR(VLOOKUP($AB195&amp;"-"&amp;$E195&amp;" "&amp;F195,Bonuses!$B$1:$G$1006,4,FALSE)),"",INT(VLOOKUP($AB195&amp;"-"&amp;$E195&amp;" "&amp;$F195,Bonuses!$B$1:$G$1006,4,FALSE)))</f>
        <v/>
      </c>
      <c r="AE1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6" spans="1:31" s="52" customFormat="1" x14ac:dyDescent="0.25">
      <c r="A196" s="52">
        <v>9988</v>
      </c>
      <c r="B196" s="52">
        <f>COUNTIF(Table5[PID],A196)</f>
        <v>1</v>
      </c>
      <c r="C196" s="52" t="str">
        <f>IF(COUNTIF(Table3[[#All],[PID]],A196)&gt;0,"P","B")</f>
        <v>P</v>
      </c>
      <c r="D196" s="61" t="str">
        <f>IF($C196="B",INDEX(Batters[[#All],[POS]],MATCH(Table5[[#This Row],[PID]],Batters[[#All],[PID]],0)),INDEX(Table3[[#All],[POS]],MATCH(Table5[[#This Row],[PID]],Table3[[#All],[PID]],0)))</f>
        <v>SP</v>
      </c>
      <c r="E196" s="54" t="str">
        <f>IF($C196="B",INDEX(Batters[[#All],[First]],MATCH(Table5[[#This Row],[PID]],Batters[[#All],[PID]],0)),INDEX(Table3[[#All],[First]],MATCH(Table5[[#This Row],[PID]],Table3[[#All],[PID]],0)))</f>
        <v>Joe</v>
      </c>
      <c r="F196" s="52" t="str">
        <f>IF($C196="B",INDEX(Batters[[#All],[Last]],MATCH(A196,Batters[[#All],[PID]],0)),INDEX(Table3[[#All],[Last]],MATCH(A196,Table3[[#All],[PID]],0)))</f>
        <v>Taylor</v>
      </c>
      <c r="G196" s="58">
        <f>IF($C196="B",INDEX(Batters[[#All],[Age]],MATCH(Table5[[#This Row],[PID]],Batters[[#All],[PID]],0)),INDEX(Table3[[#All],[Age]],MATCH(Table5[[#This Row],[PID]],Table3[[#All],[PID]],0)))</f>
        <v>21</v>
      </c>
      <c r="H196" s="54" t="str">
        <f>IF($C196="B",INDEX(Batters[[#All],[B]],MATCH(Table5[[#This Row],[PID]],Batters[[#All],[PID]],0)),INDEX(Table3[[#All],[B]],MATCH(Table5[[#This Row],[PID]],Table3[[#All],[PID]],0)))</f>
        <v>R</v>
      </c>
      <c r="I196" s="54" t="str">
        <f>IF($C196="B",INDEX(Batters[[#All],[T]],MATCH(Table5[[#This Row],[PID]],Batters[[#All],[PID]],0)),INDEX(Table3[[#All],[T]],MATCH(Table5[[#This Row],[PID]],Table3[[#All],[PID]],0)))</f>
        <v>R</v>
      </c>
      <c r="J196" s="54" t="str">
        <f>IF($C196="B",INDEX(Batters[[#All],[WE]],MATCH(Table5[[#This Row],[PID]],Batters[[#All],[PID]],0)),INDEX(Table3[[#All],[WE]],MATCH(Table5[[#This Row],[PID]],Table3[[#All],[PID]],0)))</f>
        <v>Normal</v>
      </c>
      <c r="K196" s="54" t="str">
        <f>IF($C196="B",INDEX(Batters[[#All],[INT]],MATCH(Table5[[#This Row],[PID]],Batters[[#All],[PID]],0)),INDEX(Table3[[#All],[INT]],MATCH(Table5[[#This Row],[PID]],Table3[[#All],[PID]],0)))</f>
        <v>Normal</v>
      </c>
      <c r="L196" s="62">
        <f>IF($C196="B",INDEX(Batters[[#All],[CON P]],MATCH(Table5[[#This Row],[PID]],Batters[[#All],[PID]],0)),INDEX(Table3[[#All],[STU P]],MATCH(Table5[[#This Row],[PID]],Table3[[#All],[PID]],0)))</f>
        <v>6</v>
      </c>
      <c r="M196" s="58">
        <f>IF($C196="B",INDEX(Batters[[#All],[GAP P]],MATCH(Table5[[#This Row],[PID]],Batters[[#All],[PID]],0)),INDEX(Table3[[#All],[MOV P]],MATCH(Table5[[#This Row],[PID]],Table3[[#All],[PID]],0)))</f>
        <v>3</v>
      </c>
      <c r="N196" s="58">
        <f>IF($C196="B",INDEX(Batters[[#All],[POW P]],MATCH(Table5[[#This Row],[PID]],Batters[[#All],[PID]],0)),INDEX(Table3[[#All],[CON P]],MATCH(Table5[[#This Row],[PID]],Table3[[#All],[PID]],0)))</f>
        <v>3</v>
      </c>
      <c r="O196" s="58" t="str">
        <f>IF($C196="B",INDEX(Batters[[#All],[EYE P]],MATCH(Table5[[#This Row],[PID]],Batters[[#All],[PID]],0)),INDEX(Table3[[#All],[VELO]],MATCH(Table5[[#This Row],[PID]],Table3[[#All],[PID]],0)))</f>
        <v>97-99 Mph</v>
      </c>
      <c r="P196" s="58">
        <f>IF($C196="B",INDEX(Batters[[#All],[K P]],MATCH(Table5[[#This Row],[PID]],Batters[[#All],[PID]],0)),INDEX(Table3[[#All],[STM]],MATCH(Table5[[#This Row],[PID]],Table3[[#All],[PID]],0)))</f>
        <v>8</v>
      </c>
      <c r="Q196" s="63">
        <f>IF($C196="B",INDEX(Batters[[#All],[Tot]],MATCH(Table5[[#This Row],[PID]],Batters[[#All],[PID]],0)),INDEX(Table3[[#All],[Tot]],MATCH(Table5[[#This Row],[PID]],Table3[[#All],[PID]],0)))</f>
        <v>42.623790210875022</v>
      </c>
      <c r="R196" s="54">
        <f>IF($C196="B",INDEX(Batters[[#All],[zScore]],MATCH(Table5[[#This Row],[PID]],Batters[[#All],[PID]],0)),INDEX(Table3[[#All],[zScore]],MATCH(Table5[[#This Row],[PID]],Table3[[#All],[PID]],0)))</f>
        <v>0.90801347908847341</v>
      </c>
      <c r="S196" s="60" t="str">
        <f>IF($C196="B",INDEX(Batters[[#All],[DEM]],MATCH(Table5[[#This Row],[PID]],Batters[[#All],[PID]],0)),INDEX(Table3[[#All],[DEM]],MATCH(Table5[[#This Row],[PID]],Table3[[#All],[PID]],0)))</f>
        <v>$1.7m</v>
      </c>
      <c r="T196" s="64">
        <f>IF($C196="B",VLOOKUP($A196,Bat!$A$4:$AU$1417,46,FALSE),VLOOKUP($A196,Pit!$A$4:$BD$570,55,FALSE))</f>
        <v>0</v>
      </c>
      <c r="U196" s="52">
        <f>IF($C196="B",VLOOKUP($A196,Bat!$A$4:$BA$1417,47,FALSE),VLOOKUP($A196,Pit!$A$4:$BF$570,56,FALSE))</f>
        <v>0</v>
      </c>
      <c r="V196" s="52">
        <f>IF($C196="B",VLOOKUP($A196,Bat!$A$4:$BA$1417,48,FALSE),VLOOKUP($A196,Pit!$A$4:$BF$570,57,FALSE))</f>
        <v>0</v>
      </c>
      <c r="W196" s="52">
        <f>Table5[[#This Row],[posRnk]]+Table5[[#This Row],[zRnk]]+IF($W$3&lt;&gt;Table5[[#This Row],[Type]],50,0)</f>
        <v>242</v>
      </c>
      <c r="X196" s="53">
        <f>RANK(Table5[[#This Row],[zScore]],Table5[[#All],[zScore]])</f>
        <v>192</v>
      </c>
      <c r="Y196" s="52" t="str">
        <f>IFERROR(INDEX(DraftResults[[#All],[OVR]],MATCH(Table5[[#This Row],[PID]],DraftResults[[#All],[Player ID]],0)),"")</f>
        <v/>
      </c>
      <c r="Z1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6" s="52" t="str">
        <f>IFERROR(INDEX(DraftResults[[#All],[Pick in Round]],MATCH(Table5[[#This Row],[PID]],DraftResults[[#All],[Player ID]],0)),"")</f>
        <v/>
      </c>
      <c r="AB196" s="52" t="str">
        <f>IFERROR(INDEX(DraftResults[[#All],[Team Name]],MATCH(Table5[[#This Row],[PID]],DraftResults[[#All],[Player ID]],0)),"")</f>
        <v/>
      </c>
      <c r="AC196" s="52" t="str">
        <f>IF(Table5[[#This Row],[Ovr]]="","",IF(Table5[[#This Row],[cmbList]]="","",Table5[[#This Row],[cmbList]]-Table5[[#This Row],[Ovr]]))</f>
        <v/>
      </c>
      <c r="AD196" s="56" t="str">
        <f>IF(ISERROR(VLOOKUP($AB196&amp;"-"&amp;$E196&amp;" "&amp;F196,Bonuses!$B$1:$G$1006,4,FALSE)),"",INT(VLOOKUP($AB196&amp;"-"&amp;$E196&amp;" "&amp;$F196,Bonuses!$B$1:$G$1006,4,FALSE)))</f>
        <v/>
      </c>
      <c r="AE1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7" spans="1:31" s="52" customFormat="1" x14ac:dyDescent="0.25">
      <c r="A197" s="52">
        <v>8743</v>
      </c>
      <c r="B197" s="52">
        <f>COUNTIF(Table5[PID],A197)</f>
        <v>1</v>
      </c>
      <c r="C197" s="52" t="str">
        <f>IF(COUNTIF(Table3[[#All],[PID]],A197)&gt;0,"P","B")</f>
        <v>P</v>
      </c>
      <c r="D197" s="61" t="str">
        <f>IF($C197="B",INDEX(Batters[[#All],[POS]],MATCH(Table5[[#This Row],[PID]],Batters[[#All],[PID]],0)),INDEX(Table3[[#All],[POS]],MATCH(Table5[[#This Row],[PID]],Table3[[#All],[PID]],0)))</f>
        <v>SP</v>
      </c>
      <c r="E197" s="54" t="str">
        <f>IF($C197="B",INDEX(Batters[[#All],[First]],MATCH(Table5[[#This Row],[PID]],Batters[[#All],[PID]],0)),INDEX(Table3[[#All],[First]],MATCH(Table5[[#This Row],[PID]],Table3[[#All],[PID]],0)))</f>
        <v>José</v>
      </c>
      <c r="F197" s="52" t="str">
        <f>IF($C197="B",INDEX(Batters[[#All],[Last]],MATCH(A197,Batters[[#All],[PID]],0)),INDEX(Table3[[#All],[Last]],MATCH(A197,Table3[[#All],[PID]],0)))</f>
        <v>Rojas</v>
      </c>
      <c r="G197" s="58">
        <f>IF($C197="B",INDEX(Batters[[#All],[Age]],MATCH(Table5[[#This Row],[PID]],Batters[[#All],[PID]],0)),INDEX(Table3[[#All],[Age]],MATCH(Table5[[#This Row],[PID]],Table3[[#All],[PID]],0)))</f>
        <v>18</v>
      </c>
      <c r="H197" s="54" t="str">
        <f>IF($C197="B",INDEX(Batters[[#All],[B]],MATCH(Table5[[#This Row],[PID]],Batters[[#All],[PID]],0)),INDEX(Table3[[#All],[B]],MATCH(Table5[[#This Row],[PID]],Table3[[#All],[PID]],0)))</f>
        <v>R</v>
      </c>
      <c r="I197" s="54" t="str">
        <f>IF($C197="B",INDEX(Batters[[#All],[T]],MATCH(Table5[[#This Row],[PID]],Batters[[#All],[PID]],0)),INDEX(Table3[[#All],[T]],MATCH(Table5[[#This Row],[PID]],Table3[[#All],[PID]],0)))</f>
        <v>R</v>
      </c>
      <c r="J197" s="54" t="str">
        <f>IF($C197="B",INDEX(Batters[[#All],[WE]],MATCH(Table5[[#This Row],[PID]],Batters[[#All],[PID]],0)),INDEX(Table3[[#All],[WE]],MATCH(Table5[[#This Row],[PID]],Table3[[#All],[PID]],0)))</f>
        <v>Normal</v>
      </c>
      <c r="K197" s="54" t="str">
        <f>IF($C197="B",INDEX(Batters[[#All],[INT]],MATCH(Table5[[#This Row],[PID]],Batters[[#All],[PID]],0)),INDEX(Table3[[#All],[INT]],MATCH(Table5[[#This Row],[PID]],Table3[[#All],[PID]],0)))</f>
        <v>Normal</v>
      </c>
      <c r="L197" s="62">
        <f>IF($C197="B",INDEX(Batters[[#All],[CON P]],MATCH(Table5[[#This Row],[PID]],Batters[[#All],[PID]],0)),INDEX(Table3[[#All],[STU P]],MATCH(Table5[[#This Row],[PID]],Table3[[#All],[PID]],0)))</f>
        <v>5</v>
      </c>
      <c r="M197" s="58">
        <f>IF($C197="B",INDEX(Batters[[#All],[GAP P]],MATCH(Table5[[#This Row],[PID]],Batters[[#All],[PID]],0)),INDEX(Table3[[#All],[MOV P]],MATCH(Table5[[#This Row],[PID]],Table3[[#All],[PID]],0)))</f>
        <v>5</v>
      </c>
      <c r="N197" s="58">
        <f>IF($C197="B",INDEX(Batters[[#All],[POW P]],MATCH(Table5[[#This Row],[PID]],Batters[[#All],[PID]],0)),INDEX(Table3[[#All],[CON P]],MATCH(Table5[[#This Row],[PID]],Table3[[#All],[PID]],0)))</f>
        <v>3</v>
      </c>
      <c r="O197" s="58" t="str">
        <f>IF($C197="B",INDEX(Batters[[#All],[EYE P]],MATCH(Table5[[#This Row],[PID]],Batters[[#All],[PID]],0)),INDEX(Table3[[#All],[VELO]],MATCH(Table5[[#This Row],[PID]],Table3[[#All],[PID]],0)))</f>
        <v>92-94 Mph</v>
      </c>
      <c r="P197" s="58">
        <f>IF($C197="B",INDEX(Batters[[#All],[K P]],MATCH(Table5[[#This Row],[PID]],Batters[[#All],[PID]],0)),INDEX(Table3[[#All],[STM]],MATCH(Table5[[#This Row],[PID]],Table3[[#All],[PID]],0)))</f>
        <v>7</v>
      </c>
      <c r="Q197" s="63">
        <f>IF($C197="B",INDEX(Batters[[#All],[Tot]],MATCH(Table5[[#This Row],[PID]],Batters[[#All],[PID]],0)),INDEX(Table3[[#All],[Tot]],MATCH(Table5[[#This Row],[PID]],Table3[[#All],[PID]],0)))</f>
        <v>42.570752011670706</v>
      </c>
      <c r="R197" s="54">
        <f>IF($C197="B",INDEX(Batters[[#All],[zScore]],MATCH(Table5[[#This Row],[PID]],Batters[[#All],[PID]],0)),INDEX(Table3[[#All],[zScore]],MATCH(Table5[[#This Row],[PID]],Table3[[#All],[PID]],0)))</f>
        <v>0.90314964953140986</v>
      </c>
      <c r="S197" s="60" t="str">
        <f>IF($C197="B",INDEX(Batters[[#All],[DEM]],MATCH(Table5[[#This Row],[PID]],Batters[[#All],[PID]],0)),INDEX(Table3[[#All],[DEM]],MATCH(Table5[[#This Row],[PID]],Table3[[#All],[PID]],0)))</f>
        <v>$200k</v>
      </c>
      <c r="T197" s="64">
        <f>IF($C197="B",VLOOKUP($A197,Bat!$A$4:$AU$1417,46,FALSE),VLOOKUP($A197,Pit!$A$4:$BD$570,55,FALSE))</f>
        <v>0</v>
      </c>
      <c r="U197" s="52">
        <f>IF($C197="B",VLOOKUP($A197,Bat!$A$4:$BA$1417,47,FALSE),VLOOKUP($A197,Pit!$A$4:$BF$570,56,FALSE))</f>
        <v>0</v>
      </c>
      <c r="V197" s="52">
        <f>IF($C197="B",VLOOKUP($A197,Bat!$A$4:$BA$1417,48,FALSE),VLOOKUP($A197,Pit!$A$4:$BF$570,57,FALSE))</f>
        <v>0</v>
      </c>
      <c r="W197" s="52">
        <f>Table5[[#This Row],[posRnk]]+Table5[[#This Row],[zRnk]]+IF($W$3&lt;&gt;Table5[[#This Row],[Type]],50,0)</f>
        <v>243</v>
      </c>
      <c r="X197" s="53">
        <f>RANK(Table5[[#This Row],[zScore]],Table5[[#All],[zScore]])</f>
        <v>193</v>
      </c>
      <c r="Y197" s="52" t="str">
        <f>IFERROR(INDEX(DraftResults[[#All],[OVR]],MATCH(Table5[[#This Row],[PID]],DraftResults[[#All],[Player ID]],0)),"")</f>
        <v/>
      </c>
      <c r="Z1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7" s="52" t="str">
        <f>IFERROR(INDEX(DraftResults[[#All],[Pick in Round]],MATCH(Table5[[#This Row],[PID]],DraftResults[[#All],[Player ID]],0)),"")</f>
        <v/>
      </c>
      <c r="AB197" s="52" t="str">
        <f>IFERROR(INDEX(DraftResults[[#All],[Team Name]],MATCH(Table5[[#This Row],[PID]],DraftResults[[#All],[Player ID]],0)),"")</f>
        <v/>
      </c>
      <c r="AC197" s="52" t="str">
        <f>IF(Table5[[#This Row],[Ovr]]="","",IF(Table5[[#This Row],[cmbList]]="","",Table5[[#This Row],[cmbList]]-Table5[[#This Row],[Ovr]]))</f>
        <v/>
      </c>
      <c r="AD197" s="56" t="str">
        <f>IF(ISERROR(VLOOKUP($AB197&amp;"-"&amp;$E197&amp;" "&amp;F197,Bonuses!$B$1:$G$1006,4,FALSE)),"",INT(VLOOKUP($AB197&amp;"-"&amp;$E197&amp;" "&amp;$F197,Bonuses!$B$1:$G$1006,4,FALSE)))</f>
        <v/>
      </c>
      <c r="AE1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8" spans="1:31" s="52" customFormat="1" x14ac:dyDescent="0.25">
      <c r="A198" s="52">
        <v>15600</v>
      </c>
      <c r="B198" s="52">
        <f>COUNTIF(Table5[PID],A198)</f>
        <v>1</v>
      </c>
      <c r="C198" s="52" t="str">
        <f>IF(COUNTIF(Table3[[#All],[PID]],A198)&gt;0,"P","B")</f>
        <v>P</v>
      </c>
      <c r="D198" s="61" t="str">
        <f>IF($C198="B",INDEX(Batters[[#All],[POS]],MATCH(Table5[[#This Row],[PID]],Batters[[#All],[PID]],0)),INDEX(Table3[[#All],[POS]],MATCH(Table5[[#This Row],[PID]],Table3[[#All],[PID]],0)))</f>
        <v>RP</v>
      </c>
      <c r="E198" s="54" t="str">
        <f>IF($C198="B",INDEX(Batters[[#All],[First]],MATCH(Table5[[#This Row],[PID]],Batters[[#All],[PID]],0)),INDEX(Table3[[#All],[First]],MATCH(Table5[[#This Row],[PID]],Table3[[#All],[PID]],0)))</f>
        <v>Yodo</v>
      </c>
      <c r="F198" s="52" t="str">
        <f>IF($C198="B",INDEX(Batters[[#All],[Last]],MATCH(A198,Batters[[#All],[PID]],0)),INDEX(Table3[[#All],[Last]],MATCH(A198,Table3[[#All],[PID]],0)))</f>
        <v>Nakayama</v>
      </c>
      <c r="G198" s="58">
        <f>IF($C198="B",INDEX(Batters[[#All],[Age]],MATCH(Table5[[#This Row],[PID]],Batters[[#All],[PID]],0)),INDEX(Table3[[#All],[Age]],MATCH(Table5[[#This Row],[PID]],Table3[[#All],[PID]],0)))</f>
        <v>18</v>
      </c>
      <c r="H198" s="54" t="str">
        <f>IF($C198="B",INDEX(Batters[[#All],[B]],MATCH(Table5[[#This Row],[PID]],Batters[[#All],[PID]],0)),INDEX(Table3[[#All],[B]],MATCH(Table5[[#This Row],[PID]],Table3[[#All],[PID]],0)))</f>
        <v>L</v>
      </c>
      <c r="I198" s="54" t="str">
        <f>IF($C198="B",INDEX(Batters[[#All],[T]],MATCH(Table5[[#This Row],[PID]],Batters[[#All],[PID]],0)),INDEX(Table3[[#All],[T]],MATCH(Table5[[#This Row],[PID]],Table3[[#All],[PID]],0)))</f>
        <v>L</v>
      </c>
      <c r="J198" s="54" t="str">
        <f>IF($C198="B",INDEX(Batters[[#All],[WE]],MATCH(Table5[[#This Row],[PID]],Batters[[#All],[PID]],0)),INDEX(Table3[[#All],[WE]],MATCH(Table5[[#This Row],[PID]],Table3[[#All],[PID]],0)))</f>
        <v>Normal</v>
      </c>
      <c r="K198" s="54" t="str">
        <f>IF($C198="B",INDEX(Batters[[#All],[INT]],MATCH(Table5[[#This Row],[PID]],Batters[[#All],[PID]],0)),INDEX(Table3[[#All],[INT]],MATCH(Table5[[#This Row],[PID]],Table3[[#All],[PID]],0)))</f>
        <v>High</v>
      </c>
      <c r="L198" s="62">
        <f>IF($C198="B",INDEX(Batters[[#All],[CON P]],MATCH(Table5[[#This Row],[PID]],Batters[[#All],[PID]],0)),INDEX(Table3[[#All],[STU P]],MATCH(Table5[[#This Row],[PID]],Table3[[#All],[PID]],0)))</f>
        <v>4</v>
      </c>
      <c r="M198" s="58">
        <f>IF($C198="B",INDEX(Batters[[#All],[GAP P]],MATCH(Table5[[#This Row],[PID]],Batters[[#All],[PID]],0)),INDEX(Table3[[#All],[MOV P]],MATCH(Table5[[#This Row],[PID]],Table3[[#All],[PID]],0)))</f>
        <v>4</v>
      </c>
      <c r="N198" s="58">
        <f>IF($C198="B",INDEX(Batters[[#All],[POW P]],MATCH(Table5[[#This Row],[PID]],Batters[[#All],[PID]],0)),INDEX(Table3[[#All],[CON P]],MATCH(Table5[[#This Row],[PID]],Table3[[#All],[PID]],0)))</f>
        <v>3</v>
      </c>
      <c r="O198" s="58" t="str">
        <f>IF($C198="B",INDEX(Batters[[#All],[EYE P]],MATCH(Table5[[#This Row],[PID]],Batters[[#All],[PID]],0)),INDEX(Table3[[#All],[VELO]],MATCH(Table5[[#This Row],[PID]],Table3[[#All],[PID]],0)))</f>
        <v>88-90 Mph</v>
      </c>
      <c r="P198" s="58">
        <f>IF($C198="B",INDEX(Batters[[#All],[K P]],MATCH(Table5[[#This Row],[PID]],Batters[[#All],[PID]],0)),INDEX(Table3[[#All],[STM]],MATCH(Table5[[#This Row],[PID]],Table3[[#All],[PID]],0)))</f>
        <v>6</v>
      </c>
      <c r="Q198" s="63">
        <f>IF($C198="B",INDEX(Batters[[#All],[Tot]],MATCH(Table5[[#This Row],[PID]],Batters[[#All],[PID]],0)),INDEX(Table3[[#All],[Tot]],MATCH(Table5[[#This Row],[PID]],Table3[[#All],[PID]],0)))</f>
        <v>42.567689536639406</v>
      </c>
      <c r="R198" s="54">
        <f>IF($C198="B",INDEX(Batters[[#All],[zScore]],MATCH(Table5[[#This Row],[PID]],Batters[[#All],[PID]],0)),INDEX(Table3[[#All],[zScore]],MATCH(Table5[[#This Row],[PID]],Table3[[#All],[PID]],0)))</f>
        <v>0.90286880748174636</v>
      </c>
      <c r="S198" s="60" t="str">
        <f>IF($C198="B",INDEX(Batters[[#All],[DEM]],MATCH(Table5[[#This Row],[PID]],Batters[[#All],[PID]],0)),INDEX(Table3[[#All],[DEM]],MATCH(Table5[[#This Row],[PID]],Table3[[#All],[PID]],0)))</f>
        <v>$65k</v>
      </c>
      <c r="T198" s="64">
        <f>IF($C198="B",VLOOKUP($A198,Bat!$A$4:$AU$1417,46,FALSE),VLOOKUP($A198,Pit!$A$4:$BD$570,55,FALSE))</f>
        <v>0</v>
      </c>
      <c r="U198" s="52">
        <f>IF($C198="B",VLOOKUP($A198,Bat!$A$4:$BA$1417,47,FALSE),VLOOKUP($A198,Pit!$A$4:$BF$570,56,FALSE))</f>
        <v>0</v>
      </c>
      <c r="V198" s="52">
        <f>IF($C198="B",VLOOKUP($A198,Bat!$A$4:$BA$1417,48,FALSE),VLOOKUP($A198,Pit!$A$4:$BF$570,57,FALSE))</f>
        <v>0</v>
      </c>
      <c r="W198" s="52">
        <f>Table5[[#This Row],[posRnk]]+Table5[[#This Row],[zRnk]]+IF($W$3&lt;&gt;Table5[[#This Row],[Type]],50,0)</f>
        <v>244</v>
      </c>
      <c r="X198" s="53">
        <f>RANK(Table5[[#This Row],[zScore]],Table5[[#All],[zScore]])</f>
        <v>194</v>
      </c>
      <c r="Y198" s="52" t="str">
        <f>IFERROR(INDEX(DraftResults[[#All],[OVR]],MATCH(Table5[[#This Row],[PID]],DraftResults[[#All],[Player ID]],0)),"")</f>
        <v/>
      </c>
      <c r="Z1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8" s="52" t="str">
        <f>IFERROR(INDEX(DraftResults[[#All],[Pick in Round]],MATCH(Table5[[#This Row],[PID]],DraftResults[[#All],[Player ID]],0)),"")</f>
        <v/>
      </c>
      <c r="AB198" s="52" t="str">
        <f>IFERROR(INDEX(DraftResults[[#All],[Team Name]],MATCH(Table5[[#This Row],[PID]],DraftResults[[#All],[Player ID]],0)),"")</f>
        <v/>
      </c>
      <c r="AC198" s="52" t="str">
        <f>IF(Table5[[#This Row],[Ovr]]="","",IF(Table5[[#This Row],[cmbList]]="","",Table5[[#This Row],[cmbList]]-Table5[[#This Row],[Ovr]]))</f>
        <v/>
      </c>
      <c r="AD198" s="56" t="str">
        <f>IF(ISERROR(VLOOKUP($AB198&amp;"-"&amp;$E198&amp;" "&amp;F198,Bonuses!$B$1:$G$1006,4,FALSE)),"",INT(VLOOKUP($AB198&amp;"-"&amp;$E198&amp;" "&amp;$F198,Bonuses!$B$1:$G$1006,4,FALSE)))</f>
        <v/>
      </c>
      <c r="AE1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9" spans="1:31" s="52" customFormat="1" x14ac:dyDescent="0.25">
      <c r="A199" s="52">
        <v>5922</v>
      </c>
      <c r="B199" s="57">
        <f>COUNTIF(Table5[PID],A199)</f>
        <v>1</v>
      </c>
      <c r="C199" s="57" t="str">
        <f>IF(COUNTIF(Table3[[#All],[PID]],A199)&gt;0,"P","B")</f>
        <v>B</v>
      </c>
      <c r="D199" s="61" t="str">
        <f>IF($C199="B",INDEX(Batters[[#All],[POS]],MATCH(Table5[[#This Row],[PID]],Batters[[#All],[PID]],0)),INDEX(Table3[[#All],[POS]],MATCH(Table5[[#This Row],[PID]],Table3[[#All],[PID]],0)))</f>
        <v>LF</v>
      </c>
      <c r="E199" s="54" t="str">
        <f>IF($C199="B",INDEX(Batters[[#All],[First]],MATCH(Table5[[#This Row],[PID]],Batters[[#All],[PID]],0)),INDEX(Table3[[#All],[First]],MATCH(Table5[[#This Row],[PID]],Table3[[#All],[PID]],0)))</f>
        <v>Gustavo</v>
      </c>
      <c r="F199" s="52" t="str">
        <f>IF($C199="B",INDEX(Batters[[#All],[Last]],MATCH(A199,Batters[[#All],[PID]],0)),INDEX(Table3[[#All],[Last]],MATCH(A199,Table3[[#All],[PID]],0)))</f>
        <v>Randín</v>
      </c>
      <c r="G199" s="58">
        <f>IF($C199="B",INDEX(Batters[[#All],[Age]],MATCH(Table5[[#This Row],[PID]],Batters[[#All],[PID]],0)),INDEX(Table3[[#All],[Age]],MATCH(Table5[[#This Row],[PID]],Table3[[#All],[PID]],0)))</f>
        <v>18</v>
      </c>
      <c r="H199" s="54" t="str">
        <f>IF($C199="B",INDEX(Batters[[#All],[B]],MATCH(Table5[[#This Row],[PID]],Batters[[#All],[PID]],0)),INDEX(Table3[[#All],[B]],MATCH(Table5[[#This Row],[PID]],Table3[[#All],[PID]],0)))</f>
        <v>R</v>
      </c>
      <c r="I199" s="54" t="str">
        <f>IF($C199="B",INDEX(Batters[[#All],[T]],MATCH(Table5[[#This Row],[PID]],Batters[[#All],[PID]],0)),INDEX(Table3[[#All],[T]],MATCH(Table5[[#This Row],[PID]],Table3[[#All],[PID]],0)))</f>
        <v>R</v>
      </c>
      <c r="J199" s="54" t="str">
        <f>IF($C199="B",INDEX(Batters[[#All],[WE]],MATCH(Table5[[#This Row],[PID]],Batters[[#All],[PID]],0)),INDEX(Table3[[#All],[WE]],MATCH(Table5[[#This Row],[PID]],Table3[[#All],[PID]],0)))</f>
        <v>Low</v>
      </c>
      <c r="K199" s="54" t="str">
        <f>IF($C199="B",INDEX(Batters[[#All],[INT]],MATCH(Table5[[#This Row],[PID]],Batters[[#All],[PID]],0)),INDEX(Table3[[#All],[INT]],MATCH(Table5[[#This Row],[PID]],Table3[[#All],[PID]],0)))</f>
        <v>Normal</v>
      </c>
      <c r="L199" s="62">
        <f>IF($C199="B",INDEX(Batters[[#All],[CON P]],MATCH(Table5[[#This Row],[PID]],Batters[[#All],[PID]],0)),INDEX(Table3[[#All],[STU P]],MATCH(Table5[[#This Row],[PID]],Table3[[#All],[PID]],0)))</f>
        <v>4</v>
      </c>
      <c r="M199" s="58">
        <f>IF($C199="B",INDEX(Batters[[#All],[GAP P]],MATCH(Table5[[#This Row],[PID]],Batters[[#All],[PID]],0)),INDEX(Table3[[#All],[MOV P]],MATCH(Table5[[#This Row],[PID]],Table3[[#All],[PID]],0)))</f>
        <v>4</v>
      </c>
      <c r="N199" s="58">
        <f>IF($C199="B",INDEX(Batters[[#All],[POW P]],MATCH(Table5[[#This Row],[PID]],Batters[[#All],[PID]],0)),INDEX(Table3[[#All],[CON P]],MATCH(Table5[[#This Row],[PID]],Table3[[#All],[PID]],0)))</f>
        <v>4</v>
      </c>
      <c r="O199" s="58">
        <f>IF($C199="B",INDEX(Batters[[#All],[EYE P]],MATCH(Table5[[#This Row],[PID]],Batters[[#All],[PID]],0)),INDEX(Table3[[#All],[VELO]],MATCH(Table5[[#This Row],[PID]],Table3[[#All],[PID]],0)))</f>
        <v>4</v>
      </c>
      <c r="P199" s="58">
        <f>IF($C199="B",INDEX(Batters[[#All],[K P]],MATCH(Table5[[#This Row],[PID]],Batters[[#All],[PID]],0)),INDEX(Table3[[#All],[STM]],MATCH(Table5[[#This Row],[PID]],Table3[[#All],[PID]],0)))</f>
        <v>4</v>
      </c>
      <c r="Q199" s="63">
        <f>IF($C199="B",INDEX(Batters[[#All],[Tot]],MATCH(Table5[[#This Row],[PID]],Batters[[#All],[PID]],0)),INDEX(Table3[[#All],[Tot]],MATCH(Table5[[#This Row],[PID]],Table3[[#All],[PID]],0)))</f>
        <v>45.44826320467876</v>
      </c>
      <c r="R199" s="54">
        <f>IF($C199="B",INDEX(Batters[[#All],[zScore]],MATCH(Table5[[#This Row],[PID]],Batters[[#All],[PID]],0)),INDEX(Table3[[#All],[zScore]],MATCH(Table5[[#This Row],[PID]],Table3[[#All],[PID]],0)))</f>
        <v>0.89731389194158906</v>
      </c>
      <c r="S199" s="60" t="str">
        <f>IF($C199="B",INDEX(Batters[[#All],[DEM]],MATCH(Table5[[#This Row],[PID]],Batters[[#All],[PID]],0)),INDEX(Table3[[#All],[DEM]],MATCH(Table5[[#This Row],[PID]],Table3[[#All],[PID]],0)))</f>
        <v>$200k</v>
      </c>
      <c r="T199" s="64">
        <f>IF($C199="B",VLOOKUP($A199,Bat!$A$4:$AU$1417,46,FALSE),VLOOKUP($A199,Pit!$A$4:$BD$570,55,FALSE))</f>
        <v>0</v>
      </c>
      <c r="U199" s="52">
        <f>IF($C199="B",VLOOKUP($A199,Bat!$A$4:$BA$1417,47,FALSE),VLOOKUP($A199,Pit!$A$4:$BF$570,56,FALSE))</f>
        <v>0</v>
      </c>
      <c r="V199" s="52">
        <f>IF($C199="B",VLOOKUP($A199,Bat!$A$4:$BA$1417,48,FALSE),VLOOKUP($A199,Pit!$A$4:$BF$570,57,FALSE))</f>
        <v>0</v>
      </c>
      <c r="W199" s="52">
        <f>Table5[[#This Row],[posRnk]]+Table5[[#This Row],[zRnk]]+IF($W$3&lt;&gt;Table5[[#This Row],[Type]],50,0)</f>
        <v>245</v>
      </c>
      <c r="X199" s="53">
        <f>RANK(Table5[[#This Row],[zScore]],Table5[[#All],[zScore]])</f>
        <v>195</v>
      </c>
      <c r="Y199" s="52" t="str">
        <f>IFERROR(INDEX(DraftResults[[#All],[OVR]],MATCH(Table5[[#This Row],[PID]],DraftResults[[#All],[Player ID]],0)),"")</f>
        <v/>
      </c>
      <c r="Z1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9" s="52" t="str">
        <f>IFERROR(INDEX(DraftResults[[#All],[Pick in Round]],MATCH(Table5[[#This Row],[PID]],DraftResults[[#All],[Player ID]],0)),"")</f>
        <v/>
      </c>
      <c r="AB199" s="52" t="str">
        <f>IFERROR(INDEX(DraftResults[[#All],[Team Name]],MATCH(Table5[[#This Row],[PID]],DraftResults[[#All],[Player ID]],0)),"")</f>
        <v/>
      </c>
      <c r="AC199" s="52" t="str">
        <f>IF(Table5[[#This Row],[Ovr]]="","",IF(Table5[[#This Row],[cmbList]]="","",Table5[[#This Row],[cmbList]]-Table5[[#This Row],[Ovr]]))</f>
        <v/>
      </c>
      <c r="AD199" s="56" t="str">
        <f>IF(ISERROR(VLOOKUP($AB199&amp;"-"&amp;$E199&amp;" "&amp;F199,Bonuses!$B$1:$G$1006,4,FALSE)),"",INT(VLOOKUP($AB199&amp;"-"&amp;$E199&amp;" "&amp;$F199,Bonuses!$B$1:$G$1006,4,FALSE)))</f>
        <v/>
      </c>
      <c r="AE1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0" spans="1:31" s="52" customFormat="1" x14ac:dyDescent="0.25">
      <c r="A200" s="52">
        <v>2920</v>
      </c>
      <c r="B200" s="57">
        <f>COUNTIF(Table5[PID],A200)</f>
        <v>1</v>
      </c>
      <c r="C200" s="57" t="str">
        <f>IF(COUNTIF(Table3[[#All],[PID]],A200)&gt;0,"P","B")</f>
        <v>B</v>
      </c>
      <c r="D200" s="61" t="str">
        <f>IF($C200="B",INDEX(Batters[[#All],[POS]],MATCH(Table5[[#This Row],[PID]],Batters[[#All],[PID]],0)),INDEX(Table3[[#All],[POS]],MATCH(Table5[[#This Row],[PID]],Table3[[#All],[PID]],0)))</f>
        <v>LF</v>
      </c>
      <c r="E200" s="54" t="str">
        <f>IF($C200="B",INDEX(Batters[[#All],[First]],MATCH(Table5[[#This Row],[PID]],Batters[[#All],[PID]],0)),INDEX(Table3[[#All],[First]],MATCH(Table5[[#This Row],[PID]],Table3[[#All],[PID]],0)))</f>
        <v>Bartho</v>
      </c>
      <c r="F200" s="52" t="str">
        <f>IF($C200="B",INDEX(Batters[[#All],[Last]],MATCH(A200,Batters[[#All],[PID]],0)),INDEX(Table3[[#All],[Last]],MATCH(A200,Table3[[#All],[PID]],0)))</f>
        <v>Schoof</v>
      </c>
      <c r="G200" s="58">
        <f>IF($C200="B",INDEX(Batters[[#All],[Age]],MATCH(Table5[[#This Row],[PID]],Batters[[#All],[PID]],0)),INDEX(Table3[[#All],[Age]],MATCH(Table5[[#This Row],[PID]],Table3[[#All],[PID]],0)))</f>
        <v>21</v>
      </c>
      <c r="H200" s="54" t="str">
        <f>IF($C200="B",INDEX(Batters[[#All],[B]],MATCH(Table5[[#This Row],[PID]],Batters[[#All],[PID]],0)),INDEX(Table3[[#All],[B]],MATCH(Table5[[#This Row],[PID]],Table3[[#All],[PID]],0)))</f>
        <v>L</v>
      </c>
      <c r="I200" s="54" t="str">
        <f>IF($C200="B",INDEX(Batters[[#All],[T]],MATCH(Table5[[#This Row],[PID]],Batters[[#All],[PID]],0)),INDEX(Table3[[#All],[T]],MATCH(Table5[[#This Row],[PID]],Table3[[#All],[PID]],0)))</f>
        <v>L</v>
      </c>
      <c r="J200" s="54" t="str">
        <f>IF($C200="B",INDEX(Batters[[#All],[WE]],MATCH(Table5[[#This Row],[PID]],Batters[[#All],[PID]],0)),INDEX(Table3[[#All],[WE]],MATCH(Table5[[#This Row],[PID]],Table3[[#All],[PID]],0)))</f>
        <v>High</v>
      </c>
      <c r="K200" s="54" t="str">
        <f>IF($C200="B",INDEX(Batters[[#All],[INT]],MATCH(Table5[[#This Row],[PID]],Batters[[#All],[PID]],0)),INDEX(Table3[[#All],[INT]],MATCH(Table5[[#This Row],[PID]],Table3[[#All],[PID]],0)))</f>
        <v>Normal</v>
      </c>
      <c r="L200" s="62">
        <f>IF($C200="B",INDEX(Batters[[#All],[CON P]],MATCH(Table5[[#This Row],[PID]],Batters[[#All],[PID]],0)),INDEX(Table3[[#All],[STU P]],MATCH(Table5[[#This Row],[PID]],Table3[[#All],[PID]],0)))</f>
        <v>4</v>
      </c>
      <c r="M200" s="58">
        <f>IF($C200="B",INDEX(Batters[[#All],[GAP P]],MATCH(Table5[[#This Row],[PID]],Batters[[#All],[PID]],0)),INDEX(Table3[[#All],[MOV P]],MATCH(Table5[[#This Row],[PID]],Table3[[#All],[PID]],0)))</f>
        <v>5</v>
      </c>
      <c r="N200" s="58">
        <f>IF($C200="B",INDEX(Batters[[#All],[POW P]],MATCH(Table5[[#This Row],[PID]],Batters[[#All],[PID]],0)),INDEX(Table3[[#All],[CON P]],MATCH(Table5[[#This Row],[PID]],Table3[[#All],[PID]],0)))</f>
        <v>6</v>
      </c>
      <c r="O200" s="58">
        <f>IF($C200="B",INDEX(Batters[[#All],[EYE P]],MATCH(Table5[[#This Row],[PID]],Batters[[#All],[PID]],0)),INDEX(Table3[[#All],[VELO]],MATCH(Table5[[#This Row],[PID]],Table3[[#All],[PID]],0)))</f>
        <v>5</v>
      </c>
      <c r="P200" s="58">
        <f>IF($C200="B",INDEX(Batters[[#All],[K P]],MATCH(Table5[[#This Row],[PID]],Batters[[#All],[PID]],0)),INDEX(Table3[[#All],[STM]],MATCH(Table5[[#This Row],[PID]],Table3[[#All],[PID]],0)))</f>
        <v>5</v>
      </c>
      <c r="Q200" s="63">
        <f>IF($C200="B",INDEX(Batters[[#All],[Tot]],MATCH(Table5[[#This Row],[PID]],Batters[[#All],[PID]],0)),INDEX(Table3[[#All],[Tot]],MATCH(Table5[[#This Row],[PID]],Table3[[#All],[PID]],0)))</f>
        <v>45.446329997853553</v>
      </c>
      <c r="R200" s="54">
        <f>IF($C200="B",INDEX(Batters[[#All],[zScore]],MATCH(Table5[[#This Row],[PID]],Batters[[#All],[PID]],0)),INDEX(Table3[[#All],[zScore]],MATCH(Table5[[#This Row],[PID]],Table3[[#All],[PID]],0)))</f>
        <v>0.89697375704937299</v>
      </c>
      <c r="S200" s="60" t="str">
        <f>IF($C200="B",INDEX(Batters[[#All],[DEM]],MATCH(Table5[[#This Row],[PID]],Batters[[#All],[PID]],0)),INDEX(Table3[[#All],[DEM]],MATCH(Table5[[#This Row],[PID]],Table3[[#All],[PID]],0)))</f>
        <v>$75k</v>
      </c>
      <c r="T200" s="64">
        <f>IF($C200="B",VLOOKUP($A200,Bat!$A$4:$AU$1417,46,FALSE),VLOOKUP($A200,Pit!$A$4:$BD$570,55,FALSE))</f>
        <v>0</v>
      </c>
      <c r="U200" s="52">
        <f>IF($C200="B",VLOOKUP($A200,Bat!$A$4:$BA$1417,47,FALSE),VLOOKUP($A200,Pit!$A$4:$BF$570,56,FALSE))</f>
        <v>0</v>
      </c>
      <c r="V200" s="52">
        <f>IF($C200="B",VLOOKUP($A200,Bat!$A$4:$BA$1417,48,FALSE),VLOOKUP($A200,Pit!$A$4:$BF$570,57,FALSE))</f>
        <v>0</v>
      </c>
      <c r="W200" s="52">
        <f>Table5[[#This Row],[posRnk]]+Table5[[#This Row],[zRnk]]+IF($W$3&lt;&gt;Table5[[#This Row],[Type]],50,0)</f>
        <v>246</v>
      </c>
      <c r="X200" s="53">
        <f>RANK(Table5[[#This Row],[zScore]],Table5[[#All],[zScore]])</f>
        <v>196</v>
      </c>
      <c r="Y200" s="52" t="str">
        <f>IFERROR(INDEX(DraftResults[[#All],[OVR]],MATCH(Table5[[#This Row],[PID]],DraftResults[[#All],[Player ID]],0)),"")</f>
        <v/>
      </c>
      <c r="Z2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0" s="52" t="str">
        <f>IFERROR(INDEX(DraftResults[[#All],[Pick in Round]],MATCH(Table5[[#This Row],[PID]],DraftResults[[#All],[Player ID]],0)),"")</f>
        <v/>
      </c>
      <c r="AB200" s="52" t="str">
        <f>IFERROR(INDEX(DraftResults[[#All],[Team Name]],MATCH(Table5[[#This Row],[PID]],DraftResults[[#All],[Player ID]],0)),"")</f>
        <v/>
      </c>
      <c r="AC200" s="52" t="str">
        <f>IF(Table5[[#This Row],[Ovr]]="","",IF(Table5[[#This Row],[cmbList]]="","",Table5[[#This Row],[cmbList]]-Table5[[#This Row],[Ovr]]))</f>
        <v/>
      </c>
      <c r="AD200" s="56" t="str">
        <f>IF(ISERROR(VLOOKUP($AB200&amp;"-"&amp;$E200&amp;" "&amp;F200,Bonuses!$B$1:$G$1006,4,FALSE)),"",INT(VLOOKUP($AB200&amp;"-"&amp;$E200&amp;" "&amp;$F200,Bonuses!$B$1:$G$1006,4,FALSE)))</f>
        <v/>
      </c>
      <c r="AE2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1" spans="1:31" s="52" customFormat="1" x14ac:dyDescent="0.25">
      <c r="A201" s="52">
        <v>9644</v>
      </c>
      <c r="B201" s="52">
        <f>COUNTIF(Table5[PID],A201)</f>
        <v>1</v>
      </c>
      <c r="C201" s="52" t="str">
        <f>IF(COUNTIF(Table3[[#All],[PID]],A201)&gt;0,"P","B")</f>
        <v>B</v>
      </c>
      <c r="D201" s="61" t="str">
        <f>IF($C201="B",INDEX(Batters[[#All],[POS]],MATCH(Table5[[#This Row],[PID]],Batters[[#All],[PID]],0)),INDEX(Table3[[#All],[POS]],MATCH(Table5[[#This Row],[PID]],Table3[[#All],[PID]],0)))</f>
        <v>3B</v>
      </c>
      <c r="E201" s="54" t="str">
        <f>IF($C201="B",INDEX(Batters[[#All],[First]],MATCH(Table5[[#This Row],[PID]],Batters[[#All],[PID]],0)),INDEX(Table3[[#All],[First]],MATCH(Table5[[#This Row],[PID]],Table3[[#All],[PID]],0)))</f>
        <v>Jeff</v>
      </c>
      <c r="F201" s="52" t="str">
        <f>IF($C201="B",INDEX(Batters[[#All],[Last]],MATCH(A201,Batters[[#All],[PID]],0)),INDEX(Table3[[#All],[Last]],MATCH(A201,Table3[[#All],[PID]],0)))</f>
        <v>Rodríguez</v>
      </c>
      <c r="G201" s="58">
        <f>IF($C201="B",INDEX(Batters[[#All],[Age]],MATCH(Table5[[#This Row],[PID]],Batters[[#All],[PID]],0)),INDEX(Table3[[#All],[Age]],MATCH(Table5[[#This Row],[PID]],Table3[[#All],[PID]],0)))</f>
        <v>21</v>
      </c>
      <c r="H201" s="54" t="str">
        <f>IF($C201="B",INDEX(Batters[[#All],[B]],MATCH(Table5[[#This Row],[PID]],Batters[[#All],[PID]],0)),INDEX(Table3[[#All],[B]],MATCH(Table5[[#This Row],[PID]],Table3[[#All],[PID]],0)))</f>
        <v>R</v>
      </c>
      <c r="I201" s="54" t="str">
        <f>IF($C201="B",INDEX(Batters[[#All],[T]],MATCH(Table5[[#This Row],[PID]],Batters[[#All],[PID]],0)),INDEX(Table3[[#All],[T]],MATCH(Table5[[#This Row],[PID]],Table3[[#All],[PID]],0)))</f>
        <v>R</v>
      </c>
      <c r="J201" s="54" t="str">
        <f>IF($C201="B",INDEX(Batters[[#All],[WE]],MATCH(Table5[[#This Row],[PID]],Batters[[#All],[PID]],0)),INDEX(Table3[[#All],[WE]],MATCH(Table5[[#This Row],[PID]],Table3[[#All],[PID]],0)))</f>
        <v>High</v>
      </c>
      <c r="K201" s="54" t="str">
        <f>IF($C201="B",INDEX(Batters[[#All],[INT]],MATCH(Table5[[#This Row],[PID]],Batters[[#All],[PID]],0)),INDEX(Table3[[#All],[INT]],MATCH(Table5[[#This Row],[PID]],Table3[[#All],[PID]],0)))</f>
        <v>Normal</v>
      </c>
      <c r="L201" s="62">
        <f>IF($C201="B",INDEX(Batters[[#All],[CON P]],MATCH(Table5[[#This Row],[PID]],Batters[[#All],[PID]],0)),INDEX(Table3[[#All],[STU P]],MATCH(Table5[[#This Row],[PID]],Table3[[#All],[PID]],0)))</f>
        <v>2</v>
      </c>
      <c r="M201" s="58">
        <f>IF($C201="B",INDEX(Batters[[#All],[GAP P]],MATCH(Table5[[#This Row],[PID]],Batters[[#All],[PID]],0)),INDEX(Table3[[#All],[MOV P]],MATCH(Table5[[#This Row],[PID]],Table3[[#All],[PID]],0)))</f>
        <v>2</v>
      </c>
      <c r="N201" s="58">
        <f>IF($C201="B",INDEX(Batters[[#All],[POW P]],MATCH(Table5[[#This Row],[PID]],Batters[[#All],[PID]],0)),INDEX(Table3[[#All],[CON P]],MATCH(Table5[[#This Row],[PID]],Table3[[#All],[PID]],0)))</f>
        <v>3</v>
      </c>
      <c r="O201" s="58">
        <f>IF($C201="B",INDEX(Batters[[#All],[EYE P]],MATCH(Table5[[#This Row],[PID]],Batters[[#All],[PID]],0)),INDEX(Table3[[#All],[VELO]],MATCH(Table5[[#This Row],[PID]],Table3[[#All],[PID]],0)))</f>
        <v>4</v>
      </c>
      <c r="P201" s="58">
        <f>IF($C201="B",INDEX(Batters[[#All],[K P]],MATCH(Table5[[#This Row],[PID]],Batters[[#All],[PID]],0)),INDEX(Table3[[#All],[STM]],MATCH(Table5[[#This Row],[PID]],Table3[[#All],[PID]],0)))</f>
        <v>2</v>
      </c>
      <c r="Q201" s="63">
        <f>IF($C201="B",INDEX(Batters[[#All],[Tot]],MATCH(Table5[[#This Row],[PID]],Batters[[#All],[PID]],0)),INDEX(Table3[[#All],[Tot]],MATCH(Table5[[#This Row],[PID]],Table3[[#All],[PID]],0)))</f>
        <v>45.3</v>
      </c>
      <c r="R201" s="54">
        <f>IF($C201="B",INDEX(Batters[[#All],[zScore]],MATCH(Table5[[#This Row],[PID]],Batters[[#All],[PID]],0)),INDEX(Table3[[#All],[zScore]],MATCH(Table5[[#This Row],[PID]],Table3[[#All],[PID]],0)))</f>
        <v>0.87122796648059875</v>
      </c>
      <c r="S201" s="60" t="str">
        <f>IF($C201="B",INDEX(Batters[[#All],[DEM]],MATCH(Table5[[#This Row],[PID]],Batters[[#All],[PID]],0)),INDEX(Table3[[#All],[DEM]],MATCH(Table5[[#This Row],[PID]],Table3[[#All],[PID]],0)))</f>
        <v>-</v>
      </c>
      <c r="T201" s="64">
        <f>IF($C201="B",VLOOKUP($A201,Bat!$A$4:$AU$1417,46,FALSE),VLOOKUP($A201,Pit!$A$4:$BD$570,55,FALSE))</f>
        <v>0</v>
      </c>
      <c r="U201" s="52">
        <f>IF($C201="B",VLOOKUP($A201,Bat!$A$4:$BA$1417,47,FALSE),VLOOKUP($A201,Pit!$A$4:$BF$570,56,FALSE))</f>
        <v>0</v>
      </c>
      <c r="V201" s="52">
        <f>IF($C201="B",VLOOKUP($A201,Bat!$A$4:$BA$1417,48,FALSE),VLOOKUP($A201,Pit!$A$4:$BF$570,57,FALSE))</f>
        <v>0</v>
      </c>
      <c r="W201" s="52">
        <f>Table5[[#This Row],[posRnk]]+Table5[[#This Row],[zRnk]]+IF($W$3&lt;&gt;Table5[[#This Row],[Type]],50,0)</f>
        <v>247</v>
      </c>
      <c r="X201" s="53">
        <f>RANK(Table5[[#This Row],[zScore]],Table5[[#All],[zScore]])</f>
        <v>197</v>
      </c>
      <c r="Y201" s="52" t="str">
        <f>IFERROR(INDEX(DraftResults[[#All],[OVR]],MATCH(Table5[[#This Row],[PID]],DraftResults[[#All],[Player ID]],0)),"")</f>
        <v/>
      </c>
      <c r="Z2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1" s="52" t="str">
        <f>IFERROR(INDEX(DraftResults[[#All],[Pick in Round]],MATCH(Table5[[#This Row],[PID]],DraftResults[[#All],[Player ID]],0)),"")</f>
        <v/>
      </c>
      <c r="AB201" s="52" t="str">
        <f>IFERROR(INDEX(DraftResults[[#All],[Team Name]],MATCH(Table5[[#This Row],[PID]],DraftResults[[#All],[Player ID]],0)),"")</f>
        <v/>
      </c>
      <c r="AC201" s="52" t="str">
        <f>IF(Table5[[#This Row],[Ovr]]="","",IF(Table5[[#This Row],[cmbList]]="","",Table5[[#This Row],[cmbList]]-Table5[[#This Row],[Ovr]]))</f>
        <v/>
      </c>
      <c r="AD201" s="56" t="str">
        <f>IF(ISERROR(VLOOKUP($AB201&amp;"-"&amp;$E201&amp;" "&amp;F201,Bonuses!$B$1:$G$1006,4,FALSE)),"",INT(VLOOKUP($AB201&amp;"-"&amp;$E201&amp;" "&amp;$F201,Bonuses!$B$1:$G$1006,4,FALSE)))</f>
        <v/>
      </c>
      <c r="AE2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2" spans="1:31" s="52" customFormat="1" x14ac:dyDescent="0.25">
      <c r="A202" s="52">
        <v>13724</v>
      </c>
      <c r="B202" s="52">
        <f>COUNTIF(Table5[PID],A202)</f>
        <v>1</v>
      </c>
      <c r="C202" s="52" t="str">
        <f>IF(COUNTIF(Table3[[#All],[PID]],A202)&gt;0,"P","B")</f>
        <v>B</v>
      </c>
      <c r="D202" s="61" t="str">
        <f>IF($C202="B",INDEX(Batters[[#All],[POS]],MATCH(Table5[[#This Row],[PID]],Batters[[#All],[PID]],0)),INDEX(Table3[[#All],[POS]],MATCH(Table5[[#This Row],[PID]],Table3[[#All],[PID]],0)))</f>
        <v>3B</v>
      </c>
      <c r="E202" s="54" t="str">
        <f>IF($C202="B",INDEX(Batters[[#All],[First]],MATCH(Table5[[#This Row],[PID]],Batters[[#All],[PID]],0)),INDEX(Table3[[#All],[First]],MATCH(Table5[[#This Row],[PID]],Table3[[#All],[PID]],0)))</f>
        <v>Atsushi</v>
      </c>
      <c r="F202" s="52" t="str">
        <f>IF($C202="B",INDEX(Batters[[#All],[Last]],MATCH(A202,Batters[[#All],[PID]],0)),INDEX(Table3[[#All],[Last]],MATCH(A202,Table3[[#All],[PID]],0)))</f>
        <v>Ueno</v>
      </c>
      <c r="G202" s="58">
        <f>IF($C202="B",INDEX(Batters[[#All],[Age]],MATCH(Table5[[#This Row],[PID]],Batters[[#All],[PID]],0)),INDEX(Table3[[#All],[Age]],MATCH(Table5[[#This Row],[PID]],Table3[[#All],[PID]],0)))</f>
        <v>21</v>
      </c>
      <c r="H202" s="54" t="str">
        <f>IF($C202="B",INDEX(Batters[[#All],[B]],MATCH(Table5[[#This Row],[PID]],Batters[[#All],[PID]],0)),INDEX(Table3[[#All],[B]],MATCH(Table5[[#This Row],[PID]],Table3[[#All],[PID]],0)))</f>
        <v>R</v>
      </c>
      <c r="I202" s="54" t="str">
        <f>IF($C202="B",INDEX(Batters[[#All],[T]],MATCH(Table5[[#This Row],[PID]],Batters[[#All],[PID]],0)),INDEX(Table3[[#All],[T]],MATCH(Table5[[#This Row],[PID]],Table3[[#All],[PID]],0)))</f>
        <v>R</v>
      </c>
      <c r="J202" s="54" t="str">
        <f>IF($C202="B",INDEX(Batters[[#All],[WE]],MATCH(Table5[[#This Row],[PID]],Batters[[#All],[PID]],0)),INDEX(Table3[[#All],[WE]],MATCH(Table5[[#This Row],[PID]],Table3[[#All],[PID]],0)))</f>
        <v>Normal</v>
      </c>
      <c r="K202" s="54" t="str">
        <f>IF($C202="B",INDEX(Batters[[#All],[INT]],MATCH(Table5[[#This Row],[PID]],Batters[[#All],[PID]],0)),INDEX(Table3[[#All],[INT]],MATCH(Table5[[#This Row],[PID]],Table3[[#All],[PID]],0)))</f>
        <v>High</v>
      </c>
      <c r="L202" s="62">
        <f>IF($C202="B",INDEX(Batters[[#All],[CON P]],MATCH(Table5[[#This Row],[PID]],Batters[[#All],[PID]],0)),INDEX(Table3[[#All],[STU P]],MATCH(Table5[[#This Row],[PID]],Table3[[#All],[PID]],0)))</f>
        <v>2</v>
      </c>
      <c r="M202" s="58">
        <f>IF($C202="B",INDEX(Batters[[#All],[GAP P]],MATCH(Table5[[#This Row],[PID]],Batters[[#All],[PID]],0)),INDEX(Table3[[#All],[MOV P]],MATCH(Table5[[#This Row],[PID]],Table3[[#All],[PID]],0)))</f>
        <v>3</v>
      </c>
      <c r="N202" s="58">
        <f>IF($C202="B",INDEX(Batters[[#All],[POW P]],MATCH(Table5[[#This Row],[PID]],Batters[[#All],[PID]],0)),INDEX(Table3[[#All],[CON P]],MATCH(Table5[[#This Row],[PID]],Table3[[#All],[PID]],0)))</f>
        <v>4</v>
      </c>
      <c r="O202" s="58">
        <f>IF($C202="B",INDEX(Batters[[#All],[EYE P]],MATCH(Table5[[#This Row],[PID]],Batters[[#All],[PID]],0)),INDEX(Table3[[#All],[VELO]],MATCH(Table5[[#This Row],[PID]],Table3[[#All],[PID]],0)))</f>
        <v>5</v>
      </c>
      <c r="P202" s="58">
        <f>IF($C202="B",INDEX(Batters[[#All],[K P]],MATCH(Table5[[#This Row],[PID]],Batters[[#All],[PID]],0)),INDEX(Table3[[#All],[STM]],MATCH(Table5[[#This Row],[PID]],Table3[[#All],[PID]],0)))</f>
        <v>2</v>
      </c>
      <c r="Q202" s="63">
        <f>IF($C202="B",INDEX(Batters[[#All],[Tot]],MATCH(Table5[[#This Row],[PID]],Batters[[#All],[PID]],0)),INDEX(Table3[[#All],[Tot]],MATCH(Table5[[#This Row],[PID]],Table3[[#All],[PID]],0)))</f>
        <v>45.3</v>
      </c>
      <c r="R202" s="54">
        <f>IF($C202="B",INDEX(Batters[[#All],[zScore]],MATCH(Table5[[#This Row],[PID]],Batters[[#All],[PID]],0)),INDEX(Table3[[#All],[zScore]],MATCH(Table5[[#This Row],[PID]],Table3[[#All],[PID]],0)))</f>
        <v>0.87122796648059875</v>
      </c>
      <c r="S202" s="60" t="str">
        <f>IF($C202="B",INDEX(Batters[[#All],[DEM]],MATCH(Table5[[#This Row],[PID]],Batters[[#All],[PID]],0)),INDEX(Table3[[#All],[DEM]],MATCH(Table5[[#This Row],[PID]],Table3[[#All],[PID]],0)))</f>
        <v>-</v>
      </c>
      <c r="T202" s="64">
        <f>IF($C202="B",VLOOKUP($A202,Bat!$A$4:$AU$1417,46,FALSE),VLOOKUP($A202,Pit!$A$4:$BD$570,55,FALSE))</f>
        <v>0</v>
      </c>
      <c r="U202" s="52">
        <f>IF($C202="B",VLOOKUP($A202,Bat!$A$4:$BA$1417,47,FALSE),VLOOKUP($A202,Pit!$A$4:$BF$570,56,FALSE))</f>
        <v>0</v>
      </c>
      <c r="V202" s="52">
        <f>IF($C202="B",VLOOKUP($A202,Bat!$A$4:$BA$1417,48,FALSE),VLOOKUP($A202,Pit!$A$4:$BF$570,57,FALSE))</f>
        <v>0</v>
      </c>
      <c r="W202" s="52">
        <f>Table5[[#This Row],[posRnk]]+Table5[[#This Row],[zRnk]]+IF($W$3&lt;&gt;Table5[[#This Row],[Type]],50,0)</f>
        <v>247</v>
      </c>
      <c r="X202" s="53">
        <f>RANK(Table5[[#This Row],[zScore]],Table5[[#All],[zScore]])</f>
        <v>197</v>
      </c>
      <c r="Y202" s="52" t="str">
        <f>IFERROR(INDEX(DraftResults[[#All],[OVR]],MATCH(Table5[[#This Row],[PID]],DraftResults[[#All],[Player ID]],0)),"")</f>
        <v/>
      </c>
      <c r="Z2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2" s="52" t="str">
        <f>IFERROR(INDEX(DraftResults[[#All],[Pick in Round]],MATCH(Table5[[#This Row],[PID]],DraftResults[[#All],[Player ID]],0)),"")</f>
        <v/>
      </c>
      <c r="AB202" s="52" t="str">
        <f>IFERROR(INDEX(DraftResults[[#All],[Team Name]],MATCH(Table5[[#This Row],[PID]],DraftResults[[#All],[Player ID]],0)),"")</f>
        <v/>
      </c>
      <c r="AC202" s="52" t="str">
        <f>IF(Table5[[#This Row],[Ovr]]="","",IF(Table5[[#This Row],[cmbList]]="","",Table5[[#This Row],[cmbList]]-Table5[[#This Row],[Ovr]]))</f>
        <v/>
      </c>
      <c r="AD202" s="56" t="str">
        <f>IF(ISERROR(VLOOKUP($AB202&amp;"-"&amp;$E202&amp;" "&amp;F202,Bonuses!$B$1:$G$1006,4,FALSE)),"",INT(VLOOKUP($AB202&amp;"-"&amp;$E202&amp;" "&amp;$F202,Bonuses!$B$1:$G$1006,4,FALSE)))</f>
        <v/>
      </c>
      <c r="AE2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3" spans="1:31" s="52" customFormat="1" x14ac:dyDescent="0.25">
      <c r="A203" s="52">
        <v>4860</v>
      </c>
      <c r="B203" s="52">
        <f>COUNTIF(Table5[PID],A203)</f>
        <v>1</v>
      </c>
      <c r="C203" s="52" t="str">
        <f>IF(COUNTIF(Table3[[#All],[PID]],A203)&gt;0,"P","B")</f>
        <v>B</v>
      </c>
      <c r="D203" s="61" t="str">
        <f>IF($C203="B",INDEX(Batters[[#All],[POS]],MATCH(Table5[[#This Row],[PID]],Batters[[#All],[PID]],0)),INDEX(Table3[[#All],[POS]],MATCH(Table5[[#This Row],[PID]],Table3[[#All],[PID]],0)))</f>
        <v>3B</v>
      </c>
      <c r="E203" s="54" t="str">
        <f>IF($C203="B",INDEX(Batters[[#All],[First]],MATCH(Table5[[#This Row],[PID]],Batters[[#All],[PID]],0)),INDEX(Table3[[#All],[First]],MATCH(Table5[[#This Row],[PID]],Table3[[#All],[PID]],0)))</f>
        <v>Jesús</v>
      </c>
      <c r="F203" s="52" t="str">
        <f>IF($C203="B",INDEX(Batters[[#All],[Last]],MATCH(A203,Batters[[#All],[PID]],0)),INDEX(Table3[[#All],[Last]],MATCH(A203,Table3[[#All],[PID]],0)))</f>
        <v>Valdés</v>
      </c>
      <c r="G203" s="58">
        <f>IF($C203="B",INDEX(Batters[[#All],[Age]],MATCH(Table5[[#This Row],[PID]],Batters[[#All],[PID]],0)),INDEX(Table3[[#All],[Age]],MATCH(Table5[[#This Row],[PID]],Table3[[#All],[PID]],0)))</f>
        <v>21</v>
      </c>
      <c r="H203" s="54" t="str">
        <f>IF($C203="B",INDEX(Batters[[#All],[B]],MATCH(Table5[[#This Row],[PID]],Batters[[#All],[PID]],0)),INDEX(Table3[[#All],[B]],MATCH(Table5[[#This Row],[PID]],Table3[[#All],[PID]],0)))</f>
        <v>R</v>
      </c>
      <c r="I203" s="54" t="str">
        <f>IF($C203="B",INDEX(Batters[[#All],[T]],MATCH(Table5[[#This Row],[PID]],Batters[[#All],[PID]],0)),INDEX(Table3[[#All],[T]],MATCH(Table5[[#This Row],[PID]],Table3[[#All],[PID]],0)))</f>
        <v>R</v>
      </c>
      <c r="J203" s="54" t="str">
        <f>IF($C203="B",INDEX(Batters[[#All],[WE]],MATCH(Table5[[#This Row],[PID]],Batters[[#All],[PID]],0)),INDEX(Table3[[#All],[WE]],MATCH(Table5[[#This Row],[PID]],Table3[[#All],[PID]],0)))</f>
        <v>High</v>
      </c>
      <c r="K203" s="54" t="str">
        <f>IF($C203="B",INDEX(Batters[[#All],[INT]],MATCH(Table5[[#This Row],[PID]],Batters[[#All],[PID]],0)),INDEX(Table3[[#All],[INT]],MATCH(Table5[[#This Row],[PID]],Table3[[#All],[PID]],0)))</f>
        <v>Normal</v>
      </c>
      <c r="L203" s="62">
        <f>IF($C203="B",INDEX(Batters[[#All],[CON P]],MATCH(Table5[[#This Row],[PID]],Batters[[#All],[PID]],0)),INDEX(Table3[[#All],[STU P]],MATCH(Table5[[#This Row],[PID]],Table3[[#All],[PID]],0)))</f>
        <v>2</v>
      </c>
      <c r="M203" s="58">
        <f>IF($C203="B",INDEX(Batters[[#All],[GAP P]],MATCH(Table5[[#This Row],[PID]],Batters[[#All],[PID]],0)),INDEX(Table3[[#All],[MOV P]],MATCH(Table5[[#This Row],[PID]],Table3[[#All],[PID]],0)))</f>
        <v>4</v>
      </c>
      <c r="N203" s="58">
        <f>IF($C203="B",INDEX(Batters[[#All],[POW P]],MATCH(Table5[[#This Row],[PID]],Batters[[#All],[PID]],0)),INDEX(Table3[[#All],[CON P]],MATCH(Table5[[#This Row],[PID]],Table3[[#All],[PID]],0)))</f>
        <v>5</v>
      </c>
      <c r="O203" s="58">
        <f>IF($C203="B",INDEX(Batters[[#All],[EYE P]],MATCH(Table5[[#This Row],[PID]],Batters[[#All],[PID]],0)),INDEX(Table3[[#All],[VELO]],MATCH(Table5[[#This Row],[PID]],Table3[[#All],[PID]],0)))</f>
        <v>5</v>
      </c>
      <c r="P203" s="58">
        <f>IF($C203="B",INDEX(Batters[[#All],[K P]],MATCH(Table5[[#This Row],[PID]],Batters[[#All],[PID]],0)),INDEX(Table3[[#All],[STM]],MATCH(Table5[[#This Row],[PID]],Table3[[#All],[PID]],0)))</f>
        <v>2</v>
      </c>
      <c r="Q203" s="63">
        <f>IF($C203="B",INDEX(Batters[[#All],[Tot]],MATCH(Table5[[#This Row],[PID]],Batters[[#All],[PID]],0)),INDEX(Table3[[#All],[Tot]],MATCH(Table5[[#This Row],[PID]],Table3[[#All],[PID]],0)))</f>
        <v>45.3</v>
      </c>
      <c r="R203" s="54">
        <f>IF($C203="B",INDEX(Batters[[#All],[zScore]],MATCH(Table5[[#This Row],[PID]],Batters[[#All],[PID]],0)),INDEX(Table3[[#All],[zScore]],MATCH(Table5[[#This Row],[PID]],Table3[[#All],[PID]],0)))</f>
        <v>0.87122796648059875</v>
      </c>
      <c r="S203" s="60" t="str">
        <f>IF($C203="B",INDEX(Batters[[#All],[DEM]],MATCH(Table5[[#This Row],[PID]],Batters[[#All],[PID]],0)),INDEX(Table3[[#All],[DEM]],MATCH(Table5[[#This Row],[PID]],Table3[[#All],[PID]],0)))</f>
        <v>-</v>
      </c>
      <c r="T203" s="64">
        <f>IF($C203="B",VLOOKUP($A203,Bat!$A$4:$AU$1417,46,FALSE),VLOOKUP($A203,Pit!$A$4:$BD$570,55,FALSE))</f>
        <v>0</v>
      </c>
      <c r="U203" s="52">
        <f>IF($C203="B",VLOOKUP($A203,Bat!$A$4:$BA$1417,47,FALSE),VLOOKUP($A203,Pit!$A$4:$BF$570,56,FALSE))</f>
        <v>0</v>
      </c>
      <c r="V203" s="52">
        <f>IF($C203="B",VLOOKUP($A203,Bat!$A$4:$BA$1417,48,FALSE),VLOOKUP($A203,Pit!$A$4:$BF$570,57,FALSE))</f>
        <v>0</v>
      </c>
      <c r="W203" s="52">
        <f>Table5[[#This Row],[posRnk]]+Table5[[#This Row],[zRnk]]+IF($W$3&lt;&gt;Table5[[#This Row],[Type]],50,0)</f>
        <v>247</v>
      </c>
      <c r="X203" s="53">
        <f>RANK(Table5[[#This Row],[zScore]],Table5[[#All],[zScore]])</f>
        <v>197</v>
      </c>
      <c r="Y203" s="52" t="str">
        <f>IFERROR(INDEX(DraftResults[[#All],[OVR]],MATCH(Table5[[#This Row],[PID]],DraftResults[[#All],[Player ID]],0)),"")</f>
        <v/>
      </c>
      <c r="Z2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3" s="52" t="str">
        <f>IFERROR(INDEX(DraftResults[[#All],[Pick in Round]],MATCH(Table5[[#This Row],[PID]],DraftResults[[#All],[Player ID]],0)),"")</f>
        <v/>
      </c>
      <c r="AB203" s="52" t="str">
        <f>IFERROR(INDEX(DraftResults[[#All],[Team Name]],MATCH(Table5[[#This Row],[PID]],DraftResults[[#All],[Player ID]],0)),"")</f>
        <v/>
      </c>
      <c r="AC203" s="52" t="str">
        <f>IF(Table5[[#This Row],[Ovr]]="","",IF(Table5[[#This Row],[cmbList]]="","",Table5[[#This Row],[cmbList]]-Table5[[#This Row],[Ovr]]))</f>
        <v/>
      </c>
      <c r="AD203" s="56" t="str">
        <f>IF(ISERROR(VLOOKUP($AB203&amp;"-"&amp;$E203&amp;" "&amp;F203,Bonuses!$B$1:$G$1006,4,FALSE)),"",INT(VLOOKUP($AB203&amp;"-"&amp;$E203&amp;" "&amp;$F203,Bonuses!$B$1:$G$1006,4,FALSE)))</f>
        <v/>
      </c>
      <c r="AE2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4" spans="1:31" s="52" customFormat="1" x14ac:dyDescent="0.25">
      <c r="A204" s="52">
        <v>15169</v>
      </c>
      <c r="B204" s="52">
        <f>COUNTIF(Table5[PID],A204)</f>
        <v>1</v>
      </c>
      <c r="C204" s="52" t="str">
        <f>IF(COUNTIF(Table3[[#All],[PID]],A204)&gt;0,"P","B")</f>
        <v>P</v>
      </c>
      <c r="D204" s="61" t="str">
        <f>IF($C204="B",INDEX(Batters[[#All],[POS]],MATCH(Table5[[#This Row],[PID]],Batters[[#All],[PID]],0)),INDEX(Table3[[#All],[POS]],MATCH(Table5[[#This Row],[PID]],Table3[[#All],[PID]],0)))</f>
        <v>CL</v>
      </c>
      <c r="E204" s="54" t="str">
        <f>IF($C204="B",INDEX(Batters[[#All],[First]],MATCH(Table5[[#This Row],[PID]],Batters[[#All],[PID]],0)),INDEX(Table3[[#All],[First]],MATCH(Table5[[#This Row],[PID]],Table3[[#All],[PID]],0)))</f>
        <v>Henry</v>
      </c>
      <c r="F204" s="52" t="str">
        <f>IF($C204="B",INDEX(Batters[[#All],[Last]],MATCH(A204,Batters[[#All],[PID]],0)),INDEX(Table3[[#All],[Last]],MATCH(A204,Table3[[#All],[PID]],0)))</f>
        <v>O'Day</v>
      </c>
      <c r="G204" s="58">
        <f>IF($C204="B",INDEX(Batters[[#All],[Age]],MATCH(Table5[[#This Row],[PID]],Batters[[#All],[PID]],0)),INDEX(Table3[[#All],[Age]],MATCH(Table5[[#This Row],[PID]],Table3[[#All],[PID]],0)))</f>
        <v>18</v>
      </c>
      <c r="H204" s="54" t="str">
        <f>IF($C204="B",INDEX(Batters[[#All],[B]],MATCH(Table5[[#This Row],[PID]],Batters[[#All],[PID]],0)),INDEX(Table3[[#All],[B]],MATCH(Table5[[#This Row],[PID]],Table3[[#All],[PID]],0)))</f>
        <v>R</v>
      </c>
      <c r="I204" s="54" t="str">
        <f>IF($C204="B",INDEX(Batters[[#All],[T]],MATCH(Table5[[#This Row],[PID]],Batters[[#All],[PID]],0)),INDEX(Table3[[#All],[T]],MATCH(Table5[[#This Row],[PID]],Table3[[#All],[PID]],0)))</f>
        <v>R</v>
      </c>
      <c r="J204" s="54" t="str">
        <f>IF($C204="B",INDEX(Batters[[#All],[WE]],MATCH(Table5[[#This Row],[PID]],Batters[[#All],[PID]],0)),INDEX(Table3[[#All],[WE]],MATCH(Table5[[#This Row],[PID]],Table3[[#All],[PID]],0)))</f>
        <v>Normal</v>
      </c>
      <c r="K204" s="54" t="str">
        <f>IF($C204="B",INDEX(Batters[[#All],[INT]],MATCH(Table5[[#This Row],[PID]],Batters[[#All],[PID]],0)),INDEX(Table3[[#All],[INT]],MATCH(Table5[[#This Row],[PID]],Table3[[#All],[PID]],0)))</f>
        <v>Normal</v>
      </c>
      <c r="L204" s="62">
        <f>IF($C204="B",INDEX(Batters[[#All],[CON P]],MATCH(Table5[[#This Row],[PID]],Batters[[#All],[PID]],0)),INDEX(Table3[[#All],[STU P]],MATCH(Table5[[#This Row],[PID]],Table3[[#All],[PID]],0)))</f>
        <v>5</v>
      </c>
      <c r="M204" s="58">
        <f>IF($C204="B",INDEX(Batters[[#All],[GAP P]],MATCH(Table5[[#This Row],[PID]],Batters[[#All],[PID]],0)),INDEX(Table3[[#All],[MOV P]],MATCH(Table5[[#This Row],[PID]],Table3[[#All],[PID]],0)))</f>
        <v>4</v>
      </c>
      <c r="N204" s="58">
        <f>IF($C204="B",INDEX(Batters[[#All],[POW P]],MATCH(Table5[[#This Row],[PID]],Batters[[#All],[PID]],0)),INDEX(Table3[[#All],[CON P]],MATCH(Table5[[#This Row],[PID]],Table3[[#All],[PID]],0)))</f>
        <v>2</v>
      </c>
      <c r="O204" s="58" t="str">
        <f>IF($C204="B",INDEX(Batters[[#All],[EYE P]],MATCH(Table5[[#This Row],[PID]],Batters[[#All],[PID]],0)),INDEX(Table3[[#All],[VELO]],MATCH(Table5[[#This Row],[PID]],Table3[[#All],[PID]],0)))</f>
        <v>93-95 Mph</v>
      </c>
      <c r="P204" s="58">
        <f>IF($C204="B",INDEX(Batters[[#All],[K P]],MATCH(Table5[[#This Row],[PID]],Batters[[#All],[PID]],0)),INDEX(Table3[[#All],[STM]],MATCH(Table5[[#This Row],[PID]],Table3[[#All],[PID]],0)))</f>
        <v>9</v>
      </c>
      <c r="Q204" s="63">
        <f>IF($C204="B",INDEX(Batters[[#All],[Tot]],MATCH(Table5[[#This Row],[PID]],Batters[[#All],[PID]],0)),INDEX(Table3[[#All],[Tot]],MATCH(Table5[[#This Row],[PID]],Table3[[#All],[PID]],0)))</f>
        <v>42.179697240693294</v>
      </c>
      <c r="R204" s="54">
        <f>IF($C204="B",INDEX(Batters[[#All],[zScore]],MATCH(Table5[[#This Row],[PID]],Batters[[#All],[PID]],0)),INDEX(Table3[[#All],[zScore]],MATCH(Table5[[#This Row],[PID]],Table3[[#All],[PID]],0)))</f>
        <v>0.86728825562956202</v>
      </c>
      <c r="S204" s="60" t="str">
        <f>IF($C204="B",INDEX(Batters[[#All],[DEM]],MATCH(Table5[[#This Row],[PID]],Batters[[#All],[PID]],0)),INDEX(Table3[[#All],[DEM]],MATCH(Table5[[#This Row],[PID]],Table3[[#All],[PID]],0)))</f>
        <v>$65k</v>
      </c>
      <c r="T204" s="64">
        <f>IF($C204="B",VLOOKUP($A204,Bat!$A$4:$AU$1417,46,FALSE),VLOOKUP($A204,Pit!$A$4:$BD$570,55,FALSE))</f>
        <v>0</v>
      </c>
      <c r="U204" s="52">
        <f>IF($C204="B",VLOOKUP($A204,Bat!$A$4:$BA$1417,47,FALSE),VLOOKUP($A204,Pit!$A$4:$BF$570,56,FALSE))</f>
        <v>0</v>
      </c>
      <c r="V204" s="52">
        <f>IF($C204="B",VLOOKUP($A204,Bat!$A$4:$BA$1417,48,FALSE),VLOOKUP($A204,Pit!$A$4:$BF$570,57,FALSE))</f>
        <v>0</v>
      </c>
      <c r="W204" s="52">
        <f>Table5[[#This Row],[posRnk]]+Table5[[#This Row],[zRnk]]+IF($W$3&lt;&gt;Table5[[#This Row],[Type]],50,0)</f>
        <v>250</v>
      </c>
      <c r="X204" s="53">
        <f>RANK(Table5[[#This Row],[zScore]],Table5[[#All],[zScore]])</f>
        <v>200</v>
      </c>
      <c r="Y204" s="52" t="str">
        <f>IFERROR(INDEX(DraftResults[[#All],[OVR]],MATCH(Table5[[#This Row],[PID]],DraftResults[[#All],[Player ID]],0)),"")</f>
        <v/>
      </c>
      <c r="Z2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4" s="52" t="str">
        <f>IFERROR(INDEX(DraftResults[[#All],[Pick in Round]],MATCH(Table5[[#This Row],[PID]],DraftResults[[#All],[Player ID]],0)),"")</f>
        <v/>
      </c>
      <c r="AB204" s="52" t="str">
        <f>IFERROR(INDEX(DraftResults[[#All],[Team Name]],MATCH(Table5[[#This Row],[PID]],DraftResults[[#All],[Player ID]],0)),"")</f>
        <v/>
      </c>
      <c r="AC204" s="52" t="str">
        <f>IF(Table5[[#This Row],[Ovr]]="","",IF(Table5[[#This Row],[cmbList]]="","",Table5[[#This Row],[cmbList]]-Table5[[#This Row],[Ovr]]))</f>
        <v/>
      </c>
      <c r="AD204" s="56" t="str">
        <f>IF(ISERROR(VLOOKUP($AB204&amp;"-"&amp;$E204&amp;" "&amp;F204,Bonuses!$B$1:$G$1006,4,FALSE)),"",INT(VLOOKUP($AB204&amp;"-"&amp;$E204&amp;" "&amp;$F204,Bonuses!$B$1:$G$1006,4,FALSE)))</f>
        <v/>
      </c>
      <c r="AE2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5" spans="1:31" s="52" customFormat="1" x14ac:dyDescent="0.25">
      <c r="A205" s="52">
        <v>10191</v>
      </c>
      <c r="B205" s="57">
        <f>COUNTIF(Table5[PID],A205)</f>
        <v>1</v>
      </c>
      <c r="C205" s="57" t="str">
        <f>IF(COUNTIF(Table3[[#All],[PID]],A205)&gt;0,"P","B")</f>
        <v>B</v>
      </c>
      <c r="D205" s="61" t="str">
        <f>IF($C205="B",INDEX(Batters[[#All],[POS]],MATCH(Table5[[#This Row],[PID]],Batters[[#All],[PID]],0)),INDEX(Table3[[#All],[POS]],MATCH(Table5[[#This Row],[PID]],Table3[[#All],[PID]],0)))</f>
        <v>RF</v>
      </c>
      <c r="E205" s="54" t="str">
        <f>IF($C205="B",INDEX(Batters[[#All],[First]],MATCH(Table5[[#This Row],[PID]],Batters[[#All],[PID]],0)),INDEX(Table3[[#All],[First]],MATCH(Table5[[#This Row],[PID]],Table3[[#All],[PID]],0)))</f>
        <v>Kenny</v>
      </c>
      <c r="F205" s="52" t="str">
        <f>IF($C205="B",INDEX(Batters[[#All],[Last]],MATCH(A205,Batters[[#All],[PID]],0)),INDEX(Table3[[#All],[Last]],MATCH(A205,Table3[[#All],[PID]],0)))</f>
        <v>O'Herlihy</v>
      </c>
      <c r="G205" s="58">
        <f>IF($C205="B",INDEX(Batters[[#All],[Age]],MATCH(Table5[[#This Row],[PID]],Batters[[#All],[PID]],0)),INDEX(Table3[[#All],[Age]],MATCH(Table5[[#This Row],[PID]],Table3[[#All],[PID]],0)))</f>
        <v>21</v>
      </c>
      <c r="H205" s="54" t="str">
        <f>IF($C205="B",INDEX(Batters[[#All],[B]],MATCH(Table5[[#This Row],[PID]],Batters[[#All],[PID]],0)),INDEX(Table3[[#All],[B]],MATCH(Table5[[#This Row],[PID]],Table3[[#All],[PID]],0)))</f>
        <v>L</v>
      </c>
      <c r="I205" s="54" t="str">
        <f>IF($C205="B",INDEX(Batters[[#All],[T]],MATCH(Table5[[#This Row],[PID]],Batters[[#All],[PID]],0)),INDEX(Table3[[#All],[T]],MATCH(Table5[[#This Row],[PID]],Table3[[#All],[PID]],0)))</f>
        <v>L</v>
      </c>
      <c r="J205" s="54" t="str">
        <f>IF($C205="B",INDEX(Batters[[#All],[WE]],MATCH(Table5[[#This Row],[PID]],Batters[[#All],[PID]],0)),INDEX(Table3[[#All],[WE]],MATCH(Table5[[#This Row],[PID]],Table3[[#All],[PID]],0)))</f>
        <v>High</v>
      </c>
      <c r="K205" s="54" t="str">
        <f>IF($C205="B",INDEX(Batters[[#All],[INT]],MATCH(Table5[[#This Row],[PID]],Batters[[#All],[PID]],0)),INDEX(Table3[[#All],[INT]],MATCH(Table5[[#This Row],[PID]],Table3[[#All],[PID]],0)))</f>
        <v>Normal</v>
      </c>
      <c r="L205" s="62">
        <f>IF($C205="B",INDEX(Batters[[#All],[CON P]],MATCH(Table5[[#This Row],[PID]],Batters[[#All],[PID]],0)),INDEX(Table3[[#All],[STU P]],MATCH(Table5[[#This Row],[PID]],Table3[[#All],[PID]],0)))</f>
        <v>4</v>
      </c>
      <c r="M205" s="58">
        <f>IF($C205="B",INDEX(Batters[[#All],[GAP P]],MATCH(Table5[[#This Row],[PID]],Batters[[#All],[PID]],0)),INDEX(Table3[[#All],[MOV P]],MATCH(Table5[[#This Row],[PID]],Table3[[#All],[PID]],0)))</f>
        <v>6</v>
      </c>
      <c r="N205" s="58">
        <f>IF($C205="B",INDEX(Batters[[#All],[POW P]],MATCH(Table5[[#This Row],[PID]],Batters[[#All],[PID]],0)),INDEX(Table3[[#All],[CON P]],MATCH(Table5[[#This Row],[PID]],Table3[[#All],[PID]],0)))</f>
        <v>5</v>
      </c>
      <c r="O205" s="58">
        <f>IF($C205="B",INDEX(Batters[[#All],[EYE P]],MATCH(Table5[[#This Row],[PID]],Batters[[#All],[PID]],0)),INDEX(Table3[[#All],[VELO]],MATCH(Table5[[#This Row],[PID]],Table3[[#All],[PID]],0)))</f>
        <v>5</v>
      </c>
      <c r="P205" s="58">
        <f>IF($C205="B",INDEX(Batters[[#All],[K P]],MATCH(Table5[[#This Row],[PID]],Batters[[#All],[PID]],0)),INDEX(Table3[[#All],[STM]],MATCH(Table5[[#This Row],[PID]],Table3[[#All],[PID]],0)))</f>
        <v>4</v>
      </c>
      <c r="Q205" s="63">
        <f>IF($C205="B",INDEX(Batters[[#All],[Tot]],MATCH(Table5[[#This Row],[PID]],Batters[[#All],[PID]],0)),INDEX(Table3[[#All],[Tot]],MATCH(Table5[[#This Row],[PID]],Table3[[#All],[PID]],0)))</f>
        <v>45.257031668441599</v>
      </c>
      <c r="R205" s="54">
        <f>IF($C205="B",INDEX(Batters[[#All],[zScore]],MATCH(Table5[[#This Row],[PID]],Batters[[#All],[PID]],0)),INDEX(Table3[[#All],[zScore]],MATCH(Table5[[#This Row],[PID]],Table3[[#All],[PID]],0)))</f>
        <v>0.86366797412346574</v>
      </c>
      <c r="S205" s="60" t="str">
        <f>IF($C205="B",INDEX(Batters[[#All],[DEM]],MATCH(Table5[[#This Row],[PID]],Batters[[#All],[PID]],0)),INDEX(Table3[[#All],[DEM]],MATCH(Table5[[#This Row],[PID]],Table3[[#All],[PID]],0)))</f>
        <v>$100k</v>
      </c>
      <c r="T205" s="64">
        <f>IF($C205="B",VLOOKUP($A205,Bat!$A$4:$AU$1417,46,FALSE),VLOOKUP($A205,Pit!$A$4:$BD$570,55,FALSE))</f>
        <v>0</v>
      </c>
      <c r="U205" s="52">
        <f>IF($C205="B",VLOOKUP($A205,Bat!$A$4:$BA$1417,47,FALSE),VLOOKUP($A205,Pit!$A$4:$BF$570,56,FALSE))</f>
        <v>0</v>
      </c>
      <c r="V205" s="52">
        <f>IF($C205="B",VLOOKUP($A205,Bat!$A$4:$BA$1417,48,FALSE),VLOOKUP($A205,Pit!$A$4:$BF$570,57,FALSE))</f>
        <v>0</v>
      </c>
      <c r="W205" s="52">
        <f>Table5[[#This Row],[posRnk]]+Table5[[#This Row],[zRnk]]+IF($W$3&lt;&gt;Table5[[#This Row],[Type]],50,0)</f>
        <v>251</v>
      </c>
      <c r="X205" s="53">
        <f>RANK(Table5[[#This Row],[zScore]],Table5[[#All],[zScore]])</f>
        <v>201</v>
      </c>
      <c r="Y205" s="52" t="str">
        <f>IFERROR(INDEX(DraftResults[[#All],[OVR]],MATCH(Table5[[#This Row],[PID]],DraftResults[[#All],[Player ID]],0)),"")</f>
        <v/>
      </c>
      <c r="Z2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5" s="52" t="str">
        <f>IFERROR(INDEX(DraftResults[[#All],[Pick in Round]],MATCH(Table5[[#This Row],[PID]],DraftResults[[#All],[Player ID]],0)),"")</f>
        <v/>
      </c>
      <c r="AB205" s="52" t="str">
        <f>IFERROR(INDEX(DraftResults[[#All],[Team Name]],MATCH(Table5[[#This Row],[PID]],DraftResults[[#All],[Player ID]],0)),"")</f>
        <v/>
      </c>
      <c r="AC205" s="52" t="str">
        <f>IF(Table5[[#This Row],[Ovr]]="","",IF(Table5[[#This Row],[cmbList]]="","",Table5[[#This Row],[cmbList]]-Table5[[#This Row],[Ovr]]))</f>
        <v/>
      </c>
      <c r="AD205" s="56" t="str">
        <f>IF(ISERROR(VLOOKUP($AB205&amp;"-"&amp;$E205&amp;" "&amp;F205,Bonuses!$B$1:$G$1006,4,FALSE)),"",INT(VLOOKUP($AB205&amp;"-"&amp;$E205&amp;" "&amp;$F205,Bonuses!$B$1:$G$1006,4,FALSE)))</f>
        <v/>
      </c>
      <c r="AE2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6" spans="1:31" s="52" customFormat="1" x14ac:dyDescent="0.25">
      <c r="A206" s="52">
        <v>13267</v>
      </c>
      <c r="B206" s="52">
        <f>COUNTIF(Table5[PID],A206)</f>
        <v>1</v>
      </c>
      <c r="C206" s="52" t="str">
        <f>IF(COUNTIF(Table3[[#All],[PID]],A206)&gt;0,"P","B")</f>
        <v>B</v>
      </c>
      <c r="D206" s="61" t="str">
        <f>IF($C206="B",INDEX(Batters[[#All],[POS]],MATCH(Table5[[#This Row],[PID]],Batters[[#All],[PID]],0)),INDEX(Table3[[#All],[POS]],MATCH(Table5[[#This Row],[PID]],Table3[[#All],[PID]],0)))</f>
        <v>C</v>
      </c>
      <c r="E206" s="54" t="str">
        <f>IF($C206="B",INDEX(Batters[[#All],[First]],MATCH(Table5[[#This Row],[PID]],Batters[[#All],[PID]],0)),INDEX(Table3[[#All],[First]],MATCH(Table5[[#This Row],[PID]],Table3[[#All],[PID]],0)))</f>
        <v>Flobert</v>
      </c>
      <c r="F206" s="52" t="str">
        <f>IF($C206="B",INDEX(Batters[[#All],[Last]],MATCH(A206,Batters[[#All],[PID]],0)),INDEX(Table3[[#All],[Last]],MATCH(A206,Table3[[#All],[PID]],0)))</f>
        <v>van Houten</v>
      </c>
      <c r="G206" s="58">
        <f>IF($C206="B",INDEX(Batters[[#All],[Age]],MATCH(Table5[[#This Row],[PID]],Batters[[#All],[PID]],0)),INDEX(Table3[[#All],[Age]],MATCH(Table5[[#This Row],[PID]],Table3[[#All],[PID]],0)))</f>
        <v>22</v>
      </c>
      <c r="H206" s="54" t="str">
        <f>IF($C206="B",INDEX(Batters[[#All],[B]],MATCH(Table5[[#This Row],[PID]],Batters[[#All],[PID]],0)),INDEX(Table3[[#All],[B]],MATCH(Table5[[#This Row],[PID]],Table3[[#All],[PID]],0)))</f>
        <v>S</v>
      </c>
      <c r="I206" s="54" t="str">
        <f>IF($C206="B",INDEX(Batters[[#All],[T]],MATCH(Table5[[#This Row],[PID]],Batters[[#All],[PID]],0)),INDEX(Table3[[#All],[T]],MATCH(Table5[[#This Row],[PID]],Table3[[#All],[PID]],0)))</f>
        <v>R</v>
      </c>
      <c r="J206" s="54" t="str">
        <f>IF($C206="B",INDEX(Batters[[#All],[WE]],MATCH(Table5[[#This Row],[PID]],Batters[[#All],[PID]],0)),INDEX(Table3[[#All],[WE]],MATCH(Table5[[#This Row],[PID]],Table3[[#All],[PID]],0)))</f>
        <v>Normal</v>
      </c>
      <c r="K206" s="54" t="str">
        <f>IF($C206="B",INDEX(Batters[[#All],[INT]],MATCH(Table5[[#This Row],[PID]],Batters[[#All],[PID]],0)),INDEX(Table3[[#All],[INT]],MATCH(Table5[[#This Row],[PID]],Table3[[#All],[PID]],0)))</f>
        <v>Normal</v>
      </c>
      <c r="L206" s="62">
        <f>IF($C206="B",INDEX(Batters[[#All],[CON P]],MATCH(Table5[[#This Row],[PID]],Batters[[#All],[PID]],0)),INDEX(Table3[[#All],[STU P]],MATCH(Table5[[#This Row],[PID]],Table3[[#All],[PID]],0)))</f>
        <v>2</v>
      </c>
      <c r="M206" s="58">
        <f>IF($C206="B",INDEX(Batters[[#All],[GAP P]],MATCH(Table5[[#This Row],[PID]],Batters[[#All],[PID]],0)),INDEX(Table3[[#All],[MOV P]],MATCH(Table5[[#This Row],[PID]],Table3[[#All],[PID]],0)))</f>
        <v>3</v>
      </c>
      <c r="N206" s="58">
        <f>IF($C206="B",INDEX(Batters[[#All],[POW P]],MATCH(Table5[[#This Row],[PID]],Batters[[#All],[PID]],0)),INDEX(Table3[[#All],[CON P]],MATCH(Table5[[#This Row],[PID]],Table3[[#All],[PID]],0)))</f>
        <v>3</v>
      </c>
      <c r="O206" s="58">
        <f>IF($C206="B",INDEX(Batters[[#All],[EYE P]],MATCH(Table5[[#This Row],[PID]],Batters[[#All],[PID]],0)),INDEX(Table3[[#All],[VELO]],MATCH(Table5[[#This Row],[PID]],Table3[[#All],[PID]],0)))</f>
        <v>6</v>
      </c>
      <c r="P206" s="58">
        <f>IF($C206="B",INDEX(Batters[[#All],[K P]],MATCH(Table5[[#This Row],[PID]],Batters[[#All],[PID]],0)),INDEX(Table3[[#All],[STM]],MATCH(Table5[[#This Row],[PID]],Table3[[#All],[PID]],0)))</f>
        <v>1</v>
      </c>
      <c r="Q206" s="63">
        <f>IF($C206="B",INDEX(Batters[[#All],[Tot]],MATCH(Table5[[#This Row],[PID]],Batters[[#All],[PID]],0)),INDEX(Table3[[#All],[Tot]],MATCH(Table5[[#This Row],[PID]],Table3[[#All],[PID]],0)))</f>
        <v>45.224999999999994</v>
      </c>
      <c r="R206" s="54">
        <f>IF($C206="B",INDEX(Batters[[#All],[zScore]],MATCH(Table5[[#This Row],[PID]],Batters[[#All],[PID]],0)),INDEX(Table3[[#All],[zScore]],MATCH(Table5[[#This Row],[PID]],Table3[[#All],[PID]],0)))</f>
        <v>0.85803221495335158</v>
      </c>
      <c r="S206" s="60" t="str">
        <f>IF($C206="B",INDEX(Batters[[#All],[DEM]],MATCH(Table5[[#This Row],[PID]],Batters[[#All],[PID]],0)),INDEX(Table3[[#All],[DEM]],MATCH(Table5[[#This Row],[PID]],Table3[[#All],[PID]],0)))</f>
        <v>-</v>
      </c>
      <c r="T206" s="64">
        <f>IF($C206="B",VLOOKUP($A206,Bat!$A$4:$AU$1417,46,FALSE),VLOOKUP($A206,Pit!$A$4:$BD$570,55,FALSE))</f>
        <v>0</v>
      </c>
      <c r="U206" s="52">
        <f>IF($C206="B",VLOOKUP($A206,Bat!$A$4:$BA$1417,47,FALSE),VLOOKUP($A206,Pit!$A$4:$BF$570,56,FALSE))</f>
        <v>0</v>
      </c>
      <c r="V206" s="52">
        <f>IF($C206="B",VLOOKUP($A206,Bat!$A$4:$BA$1417,48,FALSE),VLOOKUP($A206,Pit!$A$4:$BF$570,57,FALSE))</f>
        <v>0</v>
      </c>
      <c r="W206" s="52">
        <f>Table5[[#This Row],[posRnk]]+Table5[[#This Row],[zRnk]]+IF($W$3&lt;&gt;Table5[[#This Row],[Type]],50,0)</f>
        <v>252</v>
      </c>
      <c r="X206" s="53">
        <f>RANK(Table5[[#This Row],[zScore]],Table5[[#All],[zScore]])</f>
        <v>202</v>
      </c>
      <c r="Y206" s="52" t="str">
        <f>IFERROR(INDEX(DraftResults[[#All],[OVR]],MATCH(Table5[[#This Row],[PID]],DraftResults[[#All],[Player ID]],0)),"")</f>
        <v/>
      </c>
      <c r="Z2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6" s="52" t="str">
        <f>IFERROR(INDEX(DraftResults[[#All],[Pick in Round]],MATCH(Table5[[#This Row],[PID]],DraftResults[[#All],[Player ID]],0)),"")</f>
        <v/>
      </c>
      <c r="AB206" s="52" t="str">
        <f>IFERROR(INDEX(DraftResults[[#All],[Team Name]],MATCH(Table5[[#This Row],[PID]],DraftResults[[#All],[Player ID]],0)),"")</f>
        <v/>
      </c>
      <c r="AC206" s="52" t="str">
        <f>IF(Table5[[#This Row],[Ovr]]="","",IF(Table5[[#This Row],[cmbList]]="","",Table5[[#This Row],[cmbList]]-Table5[[#This Row],[Ovr]]))</f>
        <v/>
      </c>
      <c r="AD206" s="56" t="str">
        <f>IF(ISERROR(VLOOKUP($AB206&amp;"-"&amp;$E206&amp;" "&amp;F206,Bonuses!$B$1:$G$1006,4,FALSE)),"",INT(VLOOKUP($AB206&amp;"-"&amp;$E206&amp;" "&amp;$F206,Bonuses!$B$1:$G$1006,4,FALSE)))</f>
        <v/>
      </c>
      <c r="AE2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7" spans="1:31" s="52" customFormat="1" x14ac:dyDescent="0.25">
      <c r="A207" s="52">
        <v>15307</v>
      </c>
      <c r="B207" s="52">
        <f>COUNTIF(Table5[PID],A207)</f>
        <v>1</v>
      </c>
      <c r="C207" s="52" t="str">
        <f>IF(COUNTIF(Table3[[#All],[PID]],A207)&gt;0,"P","B")</f>
        <v>B</v>
      </c>
      <c r="D207" s="61" t="str">
        <f>IF($C207="B",INDEX(Batters[[#All],[POS]],MATCH(Table5[[#This Row],[PID]],Batters[[#All],[PID]],0)),INDEX(Table3[[#All],[POS]],MATCH(Table5[[#This Row],[PID]],Table3[[#All],[PID]],0)))</f>
        <v>CF</v>
      </c>
      <c r="E207" s="54" t="str">
        <f>IF($C207="B",INDEX(Batters[[#All],[First]],MATCH(Table5[[#This Row],[PID]],Batters[[#All],[PID]],0)),INDEX(Table3[[#All],[First]],MATCH(Table5[[#This Row],[PID]],Table3[[#All],[PID]],0)))</f>
        <v>Masahiko</v>
      </c>
      <c r="F207" s="52" t="str">
        <f>IF($C207="B",INDEX(Batters[[#All],[Last]],MATCH(A207,Batters[[#All],[PID]],0)),INDEX(Table3[[#All],[Last]],MATCH(A207,Table3[[#All],[PID]],0)))</f>
        <v>Takata</v>
      </c>
      <c r="G207" s="58">
        <f>IF($C207="B",INDEX(Batters[[#All],[Age]],MATCH(Table5[[#This Row],[PID]],Batters[[#All],[PID]],0)),INDEX(Table3[[#All],[Age]],MATCH(Table5[[#This Row],[PID]],Table3[[#All],[PID]],0)))</f>
        <v>18</v>
      </c>
      <c r="H207" s="54" t="str">
        <f>IF($C207="B",INDEX(Batters[[#All],[B]],MATCH(Table5[[#This Row],[PID]],Batters[[#All],[PID]],0)),INDEX(Table3[[#All],[B]],MATCH(Table5[[#This Row],[PID]],Table3[[#All],[PID]],0)))</f>
        <v>R</v>
      </c>
      <c r="I207" s="54" t="str">
        <f>IF($C207="B",INDEX(Batters[[#All],[T]],MATCH(Table5[[#This Row],[PID]],Batters[[#All],[PID]],0)),INDEX(Table3[[#All],[T]],MATCH(Table5[[#This Row],[PID]],Table3[[#All],[PID]],0)))</f>
        <v>L</v>
      </c>
      <c r="J207" s="54" t="str">
        <f>IF($C207="B",INDEX(Batters[[#All],[WE]],MATCH(Table5[[#This Row],[PID]],Batters[[#All],[PID]],0)),INDEX(Table3[[#All],[WE]],MATCH(Table5[[#This Row],[PID]],Table3[[#All],[PID]],0)))</f>
        <v>High</v>
      </c>
      <c r="K207" s="54" t="str">
        <f>IF($C207="B",INDEX(Batters[[#All],[INT]],MATCH(Table5[[#This Row],[PID]],Batters[[#All],[PID]],0)),INDEX(Table3[[#All],[INT]],MATCH(Table5[[#This Row],[PID]],Table3[[#All],[PID]],0)))</f>
        <v>Normal</v>
      </c>
      <c r="L207" s="62">
        <f>IF($C207="B",INDEX(Batters[[#All],[CON P]],MATCH(Table5[[#This Row],[PID]],Batters[[#All],[PID]],0)),INDEX(Table3[[#All],[STU P]],MATCH(Table5[[#This Row],[PID]],Table3[[#All],[PID]],0)))</f>
        <v>4</v>
      </c>
      <c r="M207" s="58">
        <f>IF($C207="B",INDEX(Batters[[#All],[GAP P]],MATCH(Table5[[#This Row],[PID]],Batters[[#All],[PID]],0)),INDEX(Table3[[#All],[MOV P]],MATCH(Table5[[#This Row],[PID]],Table3[[#All],[PID]],0)))</f>
        <v>4</v>
      </c>
      <c r="N207" s="58">
        <f>IF($C207="B",INDEX(Batters[[#All],[POW P]],MATCH(Table5[[#This Row],[PID]],Batters[[#All],[PID]],0)),INDEX(Table3[[#All],[CON P]],MATCH(Table5[[#This Row],[PID]],Table3[[#All],[PID]],0)))</f>
        <v>2</v>
      </c>
      <c r="O207" s="58">
        <f>IF($C207="B",INDEX(Batters[[#All],[EYE P]],MATCH(Table5[[#This Row],[PID]],Batters[[#All],[PID]],0)),INDEX(Table3[[#All],[VELO]],MATCH(Table5[[#This Row],[PID]],Table3[[#All],[PID]],0)))</f>
        <v>4</v>
      </c>
      <c r="P207" s="58">
        <f>IF($C207="B",INDEX(Batters[[#All],[K P]],MATCH(Table5[[#This Row],[PID]],Batters[[#All],[PID]],0)),INDEX(Table3[[#All],[STM]],MATCH(Table5[[#This Row],[PID]],Table3[[#All],[PID]],0)))</f>
        <v>6</v>
      </c>
      <c r="Q207" s="63">
        <f>IF($C207="B",INDEX(Batters[[#All],[Tot]],MATCH(Table5[[#This Row],[PID]],Batters[[#All],[PID]],0)),INDEX(Table3[[#All],[Tot]],MATCH(Table5[[#This Row],[PID]],Table3[[#All],[PID]],0)))</f>
        <v>45.183258080659662</v>
      </c>
      <c r="R207" s="54">
        <f>IF($C207="B",INDEX(Batters[[#All],[zScore]],MATCH(Table5[[#This Row],[PID]],Batters[[#All],[PID]],0)),INDEX(Table3[[#All],[zScore]],MATCH(Table5[[#This Row],[PID]],Table3[[#All],[PID]],0)))</f>
        <v>0.85068800167487968</v>
      </c>
      <c r="S207" s="60" t="str">
        <f>IF($C207="B",INDEX(Batters[[#All],[DEM]],MATCH(Table5[[#This Row],[PID]],Batters[[#All],[PID]],0)),INDEX(Table3[[#All],[DEM]],MATCH(Table5[[#This Row],[PID]],Table3[[#All],[PID]],0)))</f>
        <v>$2.4m</v>
      </c>
      <c r="T207" s="64">
        <f>IF($C207="B",VLOOKUP($A207,Bat!$A$4:$AU$1417,46,FALSE),VLOOKUP($A207,Pit!$A$4:$BD$570,55,FALSE))</f>
        <v>0</v>
      </c>
      <c r="U207" s="52">
        <f>IF($C207="B",VLOOKUP($A207,Bat!$A$4:$BA$1417,47,FALSE),VLOOKUP($A207,Pit!$A$4:$BF$570,56,FALSE))</f>
        <v>0</v>
      </c>
      <c r="V207" s="52">
        <f>IF($C207="B",VLOOKUP($A207,Bat!$A$4:$BA$1417,48,FALSE),VLOOKUP($A207,Pit!$A$4:$BF$570,57,FALSE))</f>
        <v>0</v>
      </c>
      <c r="W207" s="52">
        <f>Table5[[#This Row],[posRnk]]+Table5[[#This Row],[zRnk]]+IF($W$3&lt;&gt;Table5[[#This Row],[Type]],50,0)</f>
        <v>253</v>
      </c>
      <c r="X207" s="53">
        <f>RANK(Table5[[#This Row],[zScore]],Table5[[#All],[zScore]])</f>
        <v>203</v>
      </c>
      <c r="Y207" s="52" t="str">
        <f>IFERROR(INDEX(DraftResults[[#All],[OVR]],MATCH(Table5[[#This Row],[PID]],DraftResults[[#All],[Player ID]],0)),"")</f>
        <v/>
      </c>
      <c r="Z2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7" s="52" t="str">
        <f>IFERROR(INDEX(DraftResults[[#All],[Pick in Round]],MATCH(Table5[[#This Row],[PID]],DraftResults[[#All],[Player ID]],0)),"")</f>
        <v/>
      </c>
      <c r="AB207" s="52" t="str">
        <f>IFERROR(INDEX(DraftResults[[#All],[Team Name]],MATCH(Table5[[#This Row],[PID]],DraftResults[[#All],[Player ID]],0)),"")</f>
        <v/>
      </c>
      <c r="AC207" s="52" t="str">
        <f>IF(Table5[[#This Row],[Ovr]]="","",IF(Table5[[#This Row],[cmbList]]="","",Table5[[#This Row],[cmbList]]-Table5[[#This Row],[Ovr]]))</f>
        <v/>
      </c>
      <c r="AD207" s="56" t="str">
        <f>IF(ISERROR(VLOOKUP($AB207&amp;"-"&amp;$E207&amp;" "&amp;F207,Bonuses!$B$1:$G$1006,4,FALSE)),"",INT(VLOOKUP($AB207&amp;"-"&amp;$E207&amp;" "&amp;$F207,Bonuses!$B$1:$G$1006,4,FALSE)))</f>
        <v/>
      </c>
      <c r="AE2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8" spans="1:31" s="52" customFormat="1" x14ac:dyDescent="0.25">
      <c r="A208" s="52">
        <v>12620</v>
      </c>
      <c r="B208" s="52">
        <f>COUNTIF(Table5[PID],A208)</f>
        <v>1</v>
      </c>
      <c r="C208" s="52" t="str">
        <f>IF(COUNTIF(Table3[[#All],[PID]],A208)&gt;0,"P","B")</f>
        <v>P</v>
      </c>
      <c r="D208" s="61" t="str">
        <f>IF($C208="B",INDEX(Batters[[#All],[POS]],MATCH(Table5[[#This Row],[PID]],Batters[[#All],[PID]],0)),INDEX(Table3[[#All],[POS]],MATCH(Table5[[#This Row],[PID]],Table3[[#All],[PID]],0)))</f>
        <v>RP</v>
      </c>
      <c r="E208" s="54" t="str">
        <f>IF($C208="B",INDEX(Batters[[#All],[First]],MATCH(Table5[[#This Row],[PID]],Batters[[#All],[PID]],0)),INDEX(Table3[[#All],[First]],MATCH(Table5[[#This Row],[PID]],Table3[[#All],[PID]],0)))</f>
        <v>Ed</v>
      </c>
      <c r="F208" s="52" t="str">
        <f>IF($C208="B",INDEX(Batters[[#All],[Last]],MATCH(A208,Batters[[#All],[PID]],0)),INDEX(Table3[[#All],[Last]],MATCH(A208,Table3[[#All],[PID]],0)))</f>
        <v>Bowles</v>
      </c>
      <c r="G208" s="58">
        <f>IF($C208="B",INDEX(Batters[[#All],[Age]],MATCH(Table5[[#This Row],[PID]],Batters[[#All],[PID]],0)),INDEX(Table3[[#All],[Age]],MATCH(Table5[[#This Row],[PID]],Table3[[#All],[PID]],0)))</f>
        <v>18</v>
      </c>
      <c r="H208" s="54" t="str">
        <f>IF($C208="B",INDEX(Batters[[#All],[B]],MATCH(Table5[[#This Row],[PID]],Batters[[#All],[PID]],0)),INDEX(Table3[[#All],[B]],MATCH(Table5[[#This Row],[PID]],Table3[[#All],[PID]],0)))</f>
        <v>R</v>
      </c>
      <c r="I208" s="54" t="str">
        <f>IF($C208="B",INDEX(Batters[[#All],[T]],MATCH(Table5[[#This Row],[PID]],Batters[[#All],[PID]],0)),INDEX(Table3[[#All],[T]],MATCH(Table5[[#This Row],[PID]],Table3[[#All],[PID]],0)))</f>
        <v>R</v>
      </c>
      <c r="J208" s="54" t="str">
        <f>IF($C208="B",INDEX(Batters[[#All],[WE]],MATCH(Table5[[#This Row],[PID]],Batters[[#All],[PID]],0)),INDEX(Table3[[#All],[WE]],MATCH(Table5[[#This Row],[PID]],Table3[[#All],[PID]],0)))</f>
        <v>Normal</v>
      </c>
      <c r="K208" s="54" t="str">
        <f>IF($C208="B",INDEX(Batters[[#All],[INT]],MATCH(Table5[[#This Row],[PID]],Batters[[#All],[PID]],0)),INDEX(Table3[[#All],[INT]],MATCH(Table5[[#This Row],[PID]],Table3[[#All],[PID]],0)))</f>
        <v>Low</v>
      </c>
      <c r="L208" s="62">
        <f>IF($C208="B",INDEX(Batters[[#All],[CON P]],MATCH(Table5[[#This Row],[PID]],Batters[[#All],[PID]],0)),INDEX(Table3[[#All],[STU P]],MATCH(Table5[[#This Row],[PID]],Table3[[#All],[PID]],0)))</f>
        <v>3</v>
      </c>
      <c r="M208" s="58">
        <f>IF($C208="B",INDEX(Batters[[#All],[GAP P]],MATCH(Table5[[#This Row],[PID]],Batters[[#All],[PID]],0)),INDEX(Table3[[#All],[MOV P]],MATCH(Table5[[#This Row],[PID]],Table3[[#All],[PID]],0)))</f>
        <v>4</v>
      </c>
      <c r="N208" s="58">
        <f>IF($C208="B",INDEX(Batters[[#All],[POW P]],MATCH(Table5[[#This Row],[PID]],Batters[[#All],[PID]],0)),INDEX(Table3[[#All],[CON P]],MATCH(Table5[[#This Row],[PID]],Table3[[#All],[PID]],0)))</f>
        <v>4</v>
      </c>
      <c r="O208" s="58" t="str">
        <f>IF($C208="B",INDEX(Batters[[#All],[EYE P]],MATCH(Table5[[#This Row],[PID]],Batters[[#All],[PID]],0)),INDEX(Table3[[#All],[VELO]],MATCH(Table5[[#This Row],[PID]],Table3[[#All],[PID]],0)))</f>
        <v>85-87 Mph</v>
      </c>
      <c r="P208" s="58">
        <f>IF($C208="B",INDEX(Batters[[#All],[K P]],MATCH(Table5[[#This Row],[PID]],Batters[[#All],[PID]],0)),INDEX(Table3[[#All],[STM]],MATCH(Table5[[#This Row],[PID]],Table3[[#All],[PID]],0)))</f>
        <v>8</v>
      </c>
      <c r="Q208" s="63">
        <f>IF($C208="B",INDEX(Batters[[#All],[Tot]],MATCH(Table5[[#This Row],[PID]],Batters[[#All],[PID]],0)),INDEX(Table3[[#All],[Tot]],MATCH(Table5[[#This Row],[PID]],Table3[[#All],[PID]],0)))</f>
        <v>41.985200196473912</v>
      </c>
      <c r="R208" s="54">
        <f>IF($C208="B",INDEX(Batters[[#All],[zScore]],MATCH(Table5[[#This Row],[PID]],Batters[[#All],[PID]],0)),INDEX(Table3[[#All],[zScore]],MATCH(Table5[[#This Row],[PID]],Table3[[#All],[PID]],0)))</f>
        <v>0.84945204537680619</v>
      </c>
      <c r="S208" s="60" t="str">
        <f>IF($C208="B",INDEX(Batters[[#All],[DEM]],MATCH(Table5[[#This Row],[PID]],Batters[[#All],[PID]],0)),INDEX(Table3[[#All],[DEM]],MATCH(Table5[[#This Row],[PID]],Table3[[#All],[PID]],0)))</f>
        <v>$65k</v>
      </c>
      <c r="T208" s="64">
        <f>IF($C208="B",VLOOKUP($A208,Bat!$A$4:$AU$1417,46,FALSE),VLOOKUP($A208,Pit!$A$4:$BD$570,55,FALSE))</f>
        <v>0</v>
      </c>
      <c r="U208" s="52">
        <f>IF($C208="B",VLOOKUP($A208,Bat!$A$4:$BA$1417,47,FALSE),VLOOKUP($A208,Pit!$A$4:$BF$570,56,FALSE))</f>
        <v>0</v>
      </c>
      <c r="V208" s="52">
        <f>IF($C208="B",VLOOKUP($A208,Bat!$A$4:$BA$1417,48,FALSE),VLOOKUP($A208,Pit!$A$4:$BF$570,57,FALSE))</f>
        <v>0</v>
      </c>
      <c r="W208" s="52">
        <f>Table5[[#This Row],[posRnk]]+Table5[[#This Row],[zRnk]]+IF($W$3&lt;&gt;Table5[[#This Row],[Type]],50,0)</f>
        <v>254</v>
      </c>
      <c r="X208" s="53">
        <f>RANK(Table5[[#This Row],[zScore]],Table5[[#All],[zScore]])</f>
        <v>204</v>
      </c>
      <c r="Y208" s="52" t="str">
        <f>IFERROR(INDEX(DraftResults[[#All],[OVR]],MATCH(Table5[[#This Row],[PID]],DraftResults[[#All],[Player ID]],0)),"")</f>
        <v/>
      </c>
      <c r="Z2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8" s="52" t="str">
        <f>IFERROR(INDEX(DraftResults[[#All],[Pick in Round]],MATCH(Table5[[#This Row],[PID]],DraftResults[[#All],[Player ID]],0)),"")</f>
        <v/>
      </c>
      <c r="AB208" s="52" t="str">
        <f>IFERROR(INDEX(DraftResults[[#All],[Team Name]],MATCH(Table5[[#This Row],[PID]],DraftResults[[#All],[Player ID]],0)),"")</f>
        <v/>
      </c>
      <c r="AC208" s="52" t="str">
        <f>IF(Table5[[#This Row],[Ovr]]="","",IF(Table5[[#This Row],[cmbList]]="","",Table5[[#This Row],[cmbList]]-Table5[[#This Row],[Ovr]]))</f>
        <v/>
      </c>
      <c r="AD208" s="56" t="str">
        <f>IF(ISERROR(VLOOKUP($AB208&amp;"-"&amp;$E208&amp;" "&amp;F208,Bonuses!$B$1:$G$1006,4,FALSE)),"",INT(VLOOKUP($AB208&amp;"-"&amp;$E208&amp;" "&amp;$F208,Bonuses!$B$1:$G$1006,4,FALSE)))</f>
        <v/>
      </c>
      <c r="AE2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9" spans="1:31" s="52" customFormat="1" x14ac:dyDescent="0.25">
      <c r="A209" s="52">
        <v>12208</v>
      </c>
      <c r="B209" s="52">
        <f>COUNTIF(Table5[PID],A209)</f>
        <v>1</v>
      </c>
      <c r="C209" s="52" t="str">
        <f>IF(COUNTIF(Table3[[#All],[PID]],A209)&gt;0,"P","B")</f>
        <v>B</v>
      </c>
      <c r="D209" s="61" t="str">
        <f>IF($C209="B",INDEX(Batters[[#All],[POS]],MATCH(Table5[[#This Row],[PID]],Batters[[#All],[PID]],0)),INDEX(Table3[[#All],[POS]],MATCH(Table5[[#This Row],[PID]],Table3[[#All],[PID]],0)))</f>
        <v>1B</v>
      </c>
      <c r="E209" s="54" t="str">
        <f>IF($C209="B",INDEX(Batters[[#All],[First]],MATCH(Table5[[#This Row],[PID]],Batters[[#All],[PID]],0)),INDEX(Table3[[#All],[First]],MATCH(Table5[[#This Row],[PID]],Table3[[#All],[PID]],0)))</f>
        <v>Jason</v>
      </c>
      <c r="F209" s="52" t="str">
        <f>IF($C209="B",INDEX(Batters[[#All],[Last]],MATCH(A209,Batters[[#All],[PID]],0)),INDEX(Table3[[#All],[Last]],MATCH(A209,Table3[[#All],[PID]],0)))</f>
        <v>Williams</v>
      </c>
      <c r="G209" s="58">
        <f>IF($C209="B",INDEX(Batters[[#All],[Age]],MATCH(Table5[[#This Row],[PID]],Batters[[#All],[PID]],0)),INDEX(Table3[[#All],[Age]],MATCH(Table5[[#This Row],[PID]],Table3[[#All],[PID]],0)))</f>
        <v>21</v>
      </c>
      <c r="H209" s="54" t="str">
        <f>IF($C209="B",INDEX(Batters[[#All],[B]],MATCH(Table5[[#This Row],[PID]],Batters[[#All],[PID]],0)),INDEX(Table3[[#All],[B]],MATCH(Table5[[#This Row],[PID]],Table3[[#All],[PID]],0)))</f>
        <v>R</v>
      </c>
      <c r="I209" s="54" t="str">
        <f>IF($C209="B",INDEX(Batters[[#All],[T]],MATCH(Table5[[#This Row],[PID]],Batters[[#All],[PID]],0)),INDEX(Table3[[#All],[T]],MATCH(Table5[[#This Row],[PID]],Table3[[#All],[PID]],0)))</f>
        <v>R</v>
      </c>
      <c r="J209" s="54" t="str">
        <f>IF($C209="B",INDEX(Batters[[#All],[WE]],MATCH(Table5[[#This Row],[PID]],Batters[[#All],[PID]],0)),INDEX(Table3[[#All],[WE]],MATCH(Table5[[#This Row],[PID]],Table3[[#All],[PID]],0)))</f>
        <v>High</v>
      </c>
      <c r="K209" s="54" t="str">
        <f>IF($C209="B",INDEX(Batters[[#All],[INT]],MATCH(Table5[[#This Row],[PID]],Batters[[#All],[PID]],0)),INDEX(Table3[[#All],[INT]],MATCH(Table5[[#This Row],[PID]],Table3[[#All],[PID]],0)))</f>
        <v>Normal</v>
      </c>
      <c r="L209" s="62">
        <f>IF($C209="B",INDEX(Batters[[#All],[CON P]],MATCH(Table5[[#This Row],[PID]],Batters[[#All],[PID]],0)),INDEX(Table3[[#All],[STU P]],MATCH(Table5[[#This Row],[PID]],Table3[[#All],[PID]],0)))</f>
        <v>2</v>
      </c>
      <c r="M209" s="58">
        <f>IF($C209="B",INDEX(Batters[[#All],[GAP P]],MATCH(Table5[[#This Row],[PID]],Batters[[#All],[PID]],0)),INDEX(Table3[[#All],[MOV P]],MATCH(Table5[[#This Row],[PID]],Table3[[#All],[PID]],0)))</f>
        <v>3</v>
      </c>
      <c r="N209" s="58">
        <f>IF($C209="B",INDEX(Batters[[#All],[POW P]],MATCH(Table5[[#This Row],[PID]],Batters[[#All],[PID]],0)),INDEX(Table3[[#All],[CON P]],MATCH(Table5[[#This Row],[PID]],Table3[[#All],[PID]],0)))</f>
        <v>4</v>
      </c>
      <c r="O209" s="58">
        <f>IF($C209="B",INDEX(Batters[[#All],[EYE P]],MATCH(Table5[[#This Row],[PID]],Batters[[#All],[PID]],0)),INDEX(Table3[[#All],[VELO]],MATCH(Table5[[#This Row],[PID]],Table3[[#All],[PID]],0)))</f>
        <v>4</v>
      </c>
      <c r="P209" s="58">
        <f>IF($C209="B",INDEX(Batters[[#All],[K P]],MATCH(Table5[[#This Row],[PID]],Batters[[#All],[PID]],0)),INDEX(Table3[[#All],[STM]],MATCH(Table5[[#This Row],[PID]],Table3[[#All],[PID]],0)))</f>
        <v>2</v>
      </c>
      <c r="Q209" s="63">
        <f>IF($C209="B",INDEX(Batters[[#All],[Tot]],MATCH(Table5[[#This Row],[PID]],Batters[[#All],[PID]],0)),INDEX(Table3[[#All],[Tot]],MATCH(Table5[[#This Row],[PID]],Table3[[#All],[PID]],0)))</f>
        <v>45.15</v>
      </c>
      <c r="R209" s="54">
        <f>IF($C209="B",INDEX(Batters[[#All],[zScore]],MATCH(Table5[[#This Row],[PID]],Batters[[#All],[PID]],0)),INDEX(Table3[[#All],[zScore]],MATCH(Table5[[#This Row],[PID]],Table3[[#All],[PID]],0)))</f>
        <v>0.84483646342610563</v>
      </c>
      <c r="S209" s="60" t="str">
        <f>IF($C209="B",INDEX(Batters[[#All],[DEM]],MATCH(Table5[[#This Row],[PID]],Batters[[#All],[PID]],0)),INDEX(Table3[[#All],[DEM]],MATCH(Table5[[#This Row],[PID]],Table3[[#All],[PID]],0)))</f>
        <v>-</v>
      </c>
      <c r="T209" s="64">
        <f>IF($C209="B",VLOOKUP($A209,Bat!$A$4:$AU$1417,46,FALSE),VLOOKUP($A209,Pit!$A$4:$BD$570,55,FALSE))</f>
        <v>0</v>
      </c>
      <c r="U209" s="52">
        <f>IF($C209="B",VLOOKUP($A209,Bat!$A$4:$BA$1417,47,FALSE),VLOOKUP($A209,Pit!$A$4:$BF$570,56,FALSE))</f>
        <v>0</v>
      </c>
      <c r="V209" s="52">
        <f>IF($C209="B",VLOOKUP($A209,Bat!$A$4:$BA$1417,48,FALSE),VLOOKUP($A209,Pit!$A$4:$BF$570,57,FALSE))</f>
        <v>0</v>
      </c>
      <c r="W209" s="52">
        <f>Table5[[#This Row],[posRnk]]+Table5[[#This Row],[zRnk]]+IF($W$3&lt;&gt;Table5[[#This Row],[Type]],50,0)</f>
        <v>255</v>
      </c>
      <c r="X209" s="53">
        <f>RANK(Table5[[#This Row],[zScore]],Table5[[#All],[zScore]])</f>
        <v>205</v>
      </c>
      <c r="Y209" s="52" t="str">
        <f>IFERROR(INDEX(DraftResults[[#All],[OVR]],MATCH(Table5[[#This Row],[PID]],DraftResults[[#All],[Player ID]],0)),"")</f>
        <v/>
      </c>
      <c r="Z2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9" s="52" t="str">
        <f>IFERROR(INDEX(DraftResults[[#All],[Pick in Round]],MATCH(Table5[[#This Row],[PID]],DraftResults[[#All],[Player ID]],0)),"")</f>
        <v/>
      </c>
      <c r="AB209" s="52" t="str">
        <f>IFERROR(INDEX(DraftResults[[#All],[Team Name]],MATCH(Table5[[#This Row],[PID]],DraftResults[[#All],[Player ID]],0)),"")</f>
        <v/>
      </c>
      <c r="AC209" s="52" t="str">
        <f>IF(Table5[[#This Row],[Ovr]]="","",IF(Table5[[#This Row],[cmbList]]="","",Table5[[#This Row],[cmbList]]-Table5[[#This Row],[Ovr]]))</f>
        <v/>
      </c>
      <c r="AD209" s="56" t="str">
        <f>IF(ISERROR(VLOOKUP($AB209&amp;"-"&amp;$E209&amp;" "&amp;F209,Bonuses!$B$1:$G$1006,4,FALSE)),"",INT(VLOOKUP($AB209&amp;"-"&amp;$E209&amp;" "&amp;$F209,Bonuses!$B$1:$G$1006,4,FALSE)))</f>
        <v/>
      </c>
      <c r="AE2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0" spans="1:31" s="52" customFormat="1" x14ac:dyDescent="0.25">
      <c r="A210" s="52">
        <v>8093</v>
      </c>
      <c r="B210" s="52">
        <f>COUNTIF(Table5[PID],A210)</f>
        <v>1</v>
      </c>
      <c r="C210" s="52" t="str">
        <f>IF(COUNTIF(Table3[[#All],[PID]],A210)&gt;0,"P","B")</f>
        <v>B</v>
      </c>
      <c r="D210" s="61" t="str">
        <f>IF($C210="B",INDEX(Batters[[#All],[POS]],MATCH(Table5[[#This Row],[PID]],Batters[[#All],[PID]],0)),INDEX(Table3[[#All],[POS]],MATCH(Table5[[#This Row],[PID]],Table3[[#All],[PID]],0)))</f>
        <v>CF</v>
      </c>
      <c r="E210" s="54" t="str">
        <f>IF($C210="B",INDEX(Batters[[#All],[First]],MATCH(Table5[[#This Row],[PID]],Batters[[#All],[PID]],0)),INDEX(Table3[[#All],[First]],MATCH(Table5[[#This Row],[PID]],Table3[[#All],[PID]],0)))</f>
        <v>Ernie</v>
      </c>
      <c r="F210" s="52" t="str">
        <f>IF($C210="B",INDEX(Batters[[#All],[Last]],MATCH(A210,Batters[[#All],[PID]],0)),INDEX(Table3[[#All],[Last]],MATCH(A210,Table3[[#All],[PID]],0)))</f>
        <v>Gibson</v>
      </c>
      <c r="G210" s="58">
        <f>IF($C210="B",INDEX(Batters[[#All],[Age]],MATCH(Table5[[#This Row],[PID]],Batters[[#All],[PID]],0)),INDEX(Table3[[#All],[Age]],MATCH(Table5[[#This Row],[PID]],Table3[[#All],[PID]],0)))</f>
        <v>18</v>
      </c>
      <c r="H210" s="54" t="str">
        <f>IF($C210="B",INDEX(Batters[[#All],[B]],MATCH(Table5[[#This Row],[PID]],Batters[[#All],[PID]],0)),INDEX(Table3[[#All],[B]],MATCH(Table5[[#This Row],[PID]],Table3[[#All],[PID]],0)))</f>
        <v>L</v>
      </c>
      <c r="I210" s="54" t="str">
        <f>IF($C210="B",INDEX(Batters[[#All],[T]],MATCH(Table5[[#This Row],[PID]],Batters[[#All],[PID]],0)),INDEX(Table3[[#All],[T]],MATCH(Table5[[#This Row],[PID]],Table3[[#All],[PID]],0)))</f>
        <v>L</v>
      </c>
      <c r="J210" s="54" t="str">
        <f>IF($C210="B",INDEX(Batters[[#All],[WE]],MATCH(Table5[[#This Row],[PID]],Batters[[#All],[PID]],0)),INDEX(Table3[[#All],[WE]],MATCH(Table5[[#This Row],[PID]],Table3[[#All],[PID]],0)))</f>
        <v>Normal</v>
      </c>
      <c r="K210" s="54" t="str">
        <f>IF($C210="B",INDEX(Batters[[#All],[INT]],MATCH(Table5[[#This Row],[PID]],Batters[[#All],[PID]],0)),INDEX(Table3[[#All],[INT]],MATCH(Table5[[#This Row],[PID]],Table3[[#All],[PID]],0)))</f>
        <v>High</v>
      </c>
      <c r="L210" s="62">
        <f>IF($C210="B",INDEX(Batters[[#All],[CON P]],MATCH(Table5[[#This Row],[PID]],Batters[[#All],[PID]],0)),INDEX(Table3[[#All],[STU P]],MATCH(Table5[[#This Row],[PID]],Table3[[#All],[PID]],0)))</f>
        <v>4</v>
      </c>
      <c r="M210" s="58">
        <f>IF($C210="B",INDEX(Batters[[#All],[GAP P]],MATCH(Table5[[#This Row],[PID]],Batters[[#All],[PID]],0)),INDEX(Table3[[#All],[MOV P]],MATCH(Table5[[#This Row],[PID]],Table3[[#All],[PID]],0)))</f>
        <v>3</v>
      </c>
      <c r="N210" s="58">
        <f>IF($C210="B",INDEX(Batters[[#All],[POW P]],MATCH(Table5[[#This Row],[PID]],Batters[[#All],[PID]],0)),INDEX(Table3[[#All],[CON P]],MATCH(Table5[[#This Row],[PID]],Table3[[#All],[PID]],0)))</f>
        <v>3</v>
      </c>
      <c r="O210" s="58">
        <f>IF($C210="B",INDEX(Batters[[#All],[EYE P]],MATCH(Table5[[#This Row],[PID]],Batters[[#All],[PID]],0)),INDEX(Table3[[#All],[VELO]],MATCH(Table5[[#This Row],[PID]],Table3[[#All],[PID]],0)))</f>
        <v>4</v>
      </c>
      <c r="P210" s="58">
        <f>IF($C210="B",INDEX(Batters[[#All],[K P]],MATCH(Table5[[#This Row],[PID]],Batters[[#All],[PID]],0)),INDEX(Table3[[#All],[STM]],MATCH(Table5[[#This Row],[PID]],Table3[[#All],[PID]],0)))</f>
        <v>5</v>
      </c>
      <c r="Q210" s="63">
        <f>IF($C210="B",INDEX(Batters[[#All],[Tot]],MATCH(Table5[[#This Row],[PID]],Batters[[#All],[PID]],0)),INDEX(Table3[[#All],[Tot]],MATCH(Table5[[#This Row],[PID]],Table3[[#All],[PID]],0)))</f>
        <v>45.081975387755165</v>
      </c>
      <c r="R210" s="54">
        <f>IF($C210="B",INDEX(Batters[[#All],[zScore]],MATCH(Table5[[#This Row],[PID]],Batters[[#All],[PID]],0)),INDEX(Table3[[#All],[zScore]],MATCH(Table5[[#This Row],[PID]],Table3[[#All],[PID]],0)))</f>
        <v>0.8328679850138373</v>
      </c>
      <c r="S210" s="60" t="str">
        <f>IF($C210="B",INDEX(Batters[[#All],[DEM]],MATCH(Table5[[#This Row],[PID]],Batters[[#All],[PID]],0)),INDEX(Table3[[#All],[DEM]],MATCH(Table5[[#This Row],[PID]],Table3[[#All],[PID]],0)))</f>
        <v>$65k</v>
      </c>
      <c r="T210" s="64">
        <f>IF($C210="B",VLOOKUP($A210,Bat!$A$4:$AU$1417,46,FALSE),VLOOKUP($A210,Pit!$A$4:$BD$570,55,FALSE))</f>
        <v>0</v>
      </c>
      <c r="U210" s="52">
        <f>IF($C210="B",VLOOKUP($A210,Bat!$A$4:$BA$1417,47,FALSE),VLOOKUP($A210,Pit!$A$4:$BF$570,56,FALSE))</f>
        <v>0</v>
      </c>
      <c r="V210" s="52">
        <f>IF($C210="B",VLOOKUP($A210,Bat!$A$4:$BA$1417,48,FALSE),VLOOKUP($A210,Pit!$A$4:$BF$570,57,FALSE))</f>
        <v>0</v>
      </c>
      <c r="W210" s="52">
        <f>Table5[[#This Row],[posRnk]]+Table5[[#This Row],[zRnk]]+IF($W$3&lt;&gt;Table5[[#This Row],[Type]],50,0)</f>
        <v>256</v>
      </c>
      <c r="X210" s="53">
        <f>RANK(Table5[[#This Row],[zScore]],Table5[[#All],[zScore]])</f>
        <v>206</v>
      </c>
      <c r="Y210" s="52" t="str">
        <f>IFERROR(INDEX(DraftResults[[#All],[OVR]],MATCH(Table5[[#This Row],[PID]],DraftResults[[#All],[Player ID]],0)),"")</f>
        <v/>
      </c>
      <c r="Z2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0" s="52" t="str">
        <f>IFERROR(INDEX(DraftResults[[#All],[Pick in Round]],MATCH(Table5[[#This Row],[PID]],DraftResults[[#All],[Player ID]],0)),"")</f>
        <v/>
      </c>
      <c r="AB210" s="52" t="str">
        <f>IFERROR(INDEX(DraftResults[[#All],[Team Name]],MATCH(Table5[[#This Row],[PID]],DraftResults[[#All],[Player ID]],0)),"")</f>
        <v/>
      </c>
      <c r="AC210" s="52" t="str">
        <f>IF(Table5[[#This Row],[Ovr]]="","",IF(Table5[[#This Row],[cmbList]]="","",Table5[[#This Row],[cmbList]]-Table5[[#This Row],[Ovr]]))</f>
        <v/>
      </c>
      <c r="AD210" s="56" t="str">
        <f>IF(ISERROR(VLOOKUP($AB210&amp;"-"&amp;$E210&amp;" "&amp;F210,Bonuses!$B$1:$G$1006,4,FALSE)),"",INT(VLOOKUP($AB210&amp;"-"&amp;$E210&amp;" "&amp;$F210,Bonuses!$B$1:$G$1006,4,FALSE)))</f>
        <v/>
      </c>
      <c r="AE2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1" spans="1:31" s="52" customFormat="1" x14ac:dyDescent="0.25">
      <c r="A211" s="52">
        <v>6012</v>
      </c>
      <c r="B211" s="52">
        <f>COUNTIF(Table5[PID],A211)</f>
        <v>1</v>
      </c>
      <c r="C211" s="52" t="str">
        <f>IF(COUNTIF(Table3[[#All],[PID]],A211)&gt;0,"P","B")</f>
        <v>B</v>
      </c>
      <c r="D211" s="61" t="str">
        <f>IF($C211="B",INDEX(Batters[[#All],[POS]],MATCH(Table5[[#This Row],[PID]],Batters[[#All],[PID]],0)),INDEX(Table3[[#All],[POS]],MATCH(Table5[[#This Row],[PID]],Table3[[#All],[PID]],0)))</f>
        <v>3B</v>
      </c>
      <c r="E211" s="54" t="str">
        <f>IF($C211="B",INDEX(Batters[[#All],[First]],MATCH(Table5[[#This Row],[PID]],Batters[[#All],[PID]],0)),INDEX(Table3[[#All],[First]],MATCH(Table5[[#This Row],[PID]],Table3[[#All],[PID]],0)))</f>
        <v>Keith</v>
      </c>
      <c r="F211" s="52" t="str">
        <f>IF($C211="B",INDEX(Batters[[#All],[Last]],MATCH(A211,Batters[[#All],[PID]],0)),INDEX(Table3[[#All],[Last]],MATCH(A211,Table3[[#All],[PID]],0)))</f>
        <v>Thompson</v>
      </c>
      <c r="G211" s="58">
        <f>IF($C211="B",INDEX(Batters[[#All],[Age]],MATCH(Table5[[#This Row],[PID]],Batters[[#All],[PID]],0)),INDEX(Table3[[#All],[Age]],MATCH(Table5[[#This Row],[PID]],Table3[[#All],[PID]],0)))</f>
        <v>21</v>
      </c>
      <c r="H211" s="54" t="str">
        <f>IF($C211="B",INDEX(Batters[[#All],[B]],MATCH(Table5[[#This Row],[PID]],Batters[[#All],[PID]],0)),INDEX(Table3[[#All],[B]],MATCH(Table5[[#This Row],[PID]],Table3[[#All],[PID]],0)))</f>
        <v>R</v>
      </c>
      <c r="I211" s="54" t="str">
        <f>IF($C211="B",INDEX(Batters[[#All],[T]],MATCH(Table5[[#This Row],[PID]],Batters[[#All],[PID]],0)),INDEX(Table3[[#All],[T]],MATCH(Table5[[#This Row],[PID]],Table3[[#All],[PID]],0)))</f>
        <v>R</v>
      </c>
      <c r="J211" s="54" t="str">
        <f>IF($C211="B",INDEX(Batters[[#All],[WE]],MATCH(Table5[[#This Row],[PID]],Batters[[#All],[PID]],0)),INDEX(Table3[[#All],[WE]],MATCH(Table5[[#This Row],[PID]],Table3[[#All],[PID]],0)))</f>
        <v>High</v>
      </c>
      <c r="K211" s="54" t="str">
        <f>IF($C211="B",INDEX(Batters[[#All],[INT]],MATCH(Table5[[#This Row],[PID]],Batters[[#All],[PID]],0)),INDEX(Table3[[#All],[INT]],MATCH(Table5[[#This Row],[PID]],Table3[[#All],[PID]],0)))</f>
        <v>Normal</v>
      </c>
      <c r="L211" s="62">
        <f>IF($C211="B",INDEX(Batters[[#All],[CON P]],MATCH(Table5[[#This Row],[PID]],Batters[[#All],[PID]],0)),INDEX(Table3[[#All],[STU P]],MATCH(Table5[[#This Row],[PID]],Table3[[#All],[PID]],0)))</f>
        <v>4</v>
      </c>
      <c r="M211" s="58">
        <f>IF($C211="B",INDEX(Batters[[#All],[GAP P]],MATCH(Table5[[#This Row],[PID]],Batters[[#All],[PID]],0)),INDEX(Table3[[#All],[MOV P]],MATCH(Table5[[#This Row],[PID]],Table3[[#All],[PID]],0)))</f>
        <v>6</v>
      </c>
      <c r="N211" s="58">
        <f>IF($C211="B",INDEX(Batters[[#All],[POW P]],MATCH(Table5[[#This Row],[PID]],Batters[[#All],[PID]],0)),INDEX(Table3[[#All],[CON P]],MATCH(Table5[[#This Row],[PID]],Table3[[#All],[PID]],0)))</f>
        <v>5</v>
      </c>
      <c r="O211" s="58">
        <f>IF($C211="B",INDEX(Batters[[#All],[EYE P]],MATCH(Table5[[#This Row],[PID]],Batters[[#All],[PID]],0)),INDEX(Table3[[#All],[VELO]],MATCH(Table5[[#This Row],[PID]],Table3[[#All],[PID]],0)))</f>
        <v>5</v>
      </c>
      <c r="P211" s="58">
        <f>IF($C211="B",INDEX(Batters[[#All],[K P]],MATCH(Table5[[#This Row],[PID]],Batters[[#All],[PID]],0)),INDEX(Table3[[#All],[STM]],MATCH(Table5[[#This Row],[PID]],Table3[[#All],[PID]],0)))</f>
        <v>3</v>
      </c>
      <c r="Q211" s="63">
        <f>IF($C211="B",INDEX(Batters[[#All],[Tot]],MATCH(Table5[[#This Row],[PID]],Batters[[#All],[PID]],0)),INDEX(Table3[[#All],[Tot]],MATCH(Table5[[#This Row],[PID]],Table3[[#All],[PID]],0)))</f>
        <v>45.002275718682036</v>
      </c>
      <c r="R211" s="54">
        <f>IF($C211="B",INDEX(Batters[[#All],[zScore]],MATCH(Table5[[#This Row],[PID]],Batters[[#All],[PID]],0)),INDEX(Table3[[#All],[zScore]],MATCH(Table5[[#This Row],[PID]],Table3[[#All],[PID]],0)))</f>
        <v>0.81884535794860003</v>
      </c>
      <c r="S211" s="60" t="str">
        <f>IF($C211="B",INDEX(Batters[[#All],[DEM]],MATCH(Table5[[#This Row],[PID]],Batters[[#All],[PID]],0)),INDEX(Table3[[#All],[DEM]],MATCH(Table5[[#This Row],[PID]],Table3[[#All],[PID]],0)))</f>
        <v>$300k</v>
      </c>
      <c r="T211" s="64">
        <f>IF($C211="B",VLOOKUP($A211,Bat!$A$4:$AU$1417,46,FALSE),VLOOKUP($A211,Pit!$A$4:$BD$570,55,FALSE))</f>
        <v>0</v>
      </c>
      <c r="U211" s="52">
        <f>IF($C211="B",VLOOKUP($A211,Bat!$A$4:$BA$1417,47,FALSE),VLOOKUP($A211,Pit!$A$4:$BF$570,56,FALSE))</f>
        <v>0</v>
      </c>
      <c r="V211" s="52">
        <f>IF($C211="B",VLOOKUP($A211,Bat!$A$4:$BA$1417,48,FALSE),VLOOKUP($A211,Pit!$A$4:$BF$570,57,FALSE))</f>
        <v>0</v>
      </c>
      <c r="W211" s="52">
        <f>Table5[[#This Row],[posRnk]]+Table5[[#This Row],[zRnk]]+IF($W$3&lt;&gt;Table5[[#This Row],[Type]],50,0)</f>
        <v>257</v>
      </c>
      <c r="X211" s="53">
        <f>RANK(Table5[[#This Row],[zScore]],Table5[[#All],[zScore]])</f>
        <v>207</v>
      </c>
      <c r="Y211" s="52" t="str">
        <f>IFERROR(INDEX(DraftResults[[#All],[OVR]],MATCH(Table5[[#This Row],[PID]],DraftResults[[#All],[Player ID]],0)),"")</f>
        <v/>
      </c>
      <c r="Z2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1" s="52" t="str">
        <f>IFERROR(INDEX(DraftResults[[#All],[Pick in Round]],MATCH(Table5[[#This Row],[PID]],DraftResults[[#All],[Player ID]],0)),"")</f>
        <v/>
      </c>
      <c r="AB211" s="52" t="str">
        <f>IFERROR(INDEX(DraftResults[[#All],[Team Name]],MATCH(Table5[[#This Row],[PID]],DraftResults[[#All],[Player ID]],0)),"")</f>
        <v/>
      </c>
      <c r="AC211" s="52" t="str">
        <f>IF(Table5[[#This Row],[Ovr]]="","",IF(Table5[[#This Row],[cmbList]]="","",Table5[[#This Row],[cmbList]]-Table5[[#This Row],[Ovr]]))</f>
        <v/>
      </c>
      <c r="AD211" s="56" t="str">
        <f>IF(ISERROR(VLOOKUP($AB211&amp;"-"&amp;$E211&amp;" "&amp;F211,Bonuses!$B$1:$G$1006,4,FALSE)),"",INT(VLOOKUP($AB211&amp;"-"&amp;$E211&amp;" "&amp;$F211,Bonuses!$B$1:$G$1006,4,FALSE)))</f>
        <v/>
      </c>
      <c r="AE2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2" spans="1:31" s="52" customFormat="1" x14ac:dyDescent="0.25">
      <c r="A212" s="52">
        <v>7025</v>
      </c>
      <c r="B212" s="57">
        <f>COUNTIF(Table5[PID],A212)</f>
        <v>1</v>
      </c>
      <c r="C212" s="57" t="str">
        <f>IF(COUNTIF(Table3[[#All],[PID]],A212)&gt;0,"P","B")</f>
        <v>B</v>
      </c>
      <c r="D212" s="61" t="str">
        <f>IF($C212="B",INDEX(Batters[[#All],[POS]],MATCH(Table5[[#This Row],[PID]],Batters[[#All],[PID]],0)),INDEX(Table3[[#All],[POS]],MATCH(Table5[[#This Row],[PID]],Table3[[#All],[PID]],0)))</f>
        <v>SS</v>
      </c>
      <c r="E212" s="54" t="str">
        <f>IF($C212="B",INDEX(Batters[[#All],[First]],MATCH(Table5[[#This Row],[PID]],Batters[[#All],[PID]],0)),INDEX(Table3[[#All],[First]],MATCH(Table5[[#This Row],[PID]],Table3[[#All],[PID]],0)))</f>
        <v>Sieb</v>
      </c>
      <c r="F212" s="52" t="str">
        <f>IF($C212="B",INDEX(Batters[[#All],[Last]],MATCH(A212,Batters[[#All],[PID]],0)),INDEX(Table3[[#All],[Last]],MATCH(A212,Table3[[#All],[PID]],0)))</f>
        <v>Angelbeek</v>
      </c>
      <c r="G212" s="58">
        <f>IF($C212="B",INDEX(Batters[[#All],[Age]],MATCH(Table5[[#This Row],[PID]],Batters[[#All],[PID]],0)),INDEX(Table3[[#All],[Age]],MATCH(Table5[[#This Row],[PID]],Table3[[#All],[PID]],0)))</f>
        <v>21</v>
      </c>
      <c r="H212" s="54" t="str">
        <f>IF($C212="B",INDEX(Batters[[#All],[B]],MATCH(Table5[[#This Row],[PID]],Batters[[#All],[PID]],0)),INDEX(Table3[[#All],[B]],MATCH(Table5[[#This Row],[PID]],Table3[[#All],[PID]],0)))</f>
        <v>L</v>
      </c>
      <c r="I212" s="54" t="str">
        <f>IF($C212="B",INDEX(Batters[[#All],[T]],MATCH(Table5[[#This Row],[PID]],Batters[[#All],[PID]],0)),INDEX(Table3[[#All],[T]],MATCH(Table5[[#This Row],[PID]],Table3[[#All],[PID]],0)))</f>
        <v>R</v>
      </c>
      <c r="J212" s="54" t="str">
        <f>IF($C212="B",INDEX(Batters[[#All],[WE]],MATCH(Table5[[#This Row],[PID]],Batters[[#All],[PID]],0)),INDEX(Table3[[#All],[WE]],MATCH(Table5[[#This Row],[PID]],Table3[[#All],[PID]],0)))</f>
        <v>High</v>
      </c>
      <c r="K212" s="54" t="str">
        <f>IF($C212="B",INDEX(Batters[[#All],[INT]],MATCH(Table5[[#This Row],[PID]],Batters[[#All],[PID]],0)),INDEX(Table3[[#All],[INT]],MATCH(Table5[[#This Row],[PID]],Table3[[#All],[PID]],0)))</f>
        <v>Normal</v>
      </c>
      <c r="L212" s="62">
        <f>IF($C212="B",INDEX(Batters[[#All],[CON P]],MATCH(Table5[[#This Row],[PID]],Batters[[#All],[PID]],0)),INDEX(Table3[[#All],[STU P]],MATCH(Table5[[#This Row],[PID]],Table3[[#All],[PID]],0)))</f>
        <v>4</v>
      </c>
      <c r="M212" s="58">
        <f>IF($C212="B",INDEX(Batters[[#All],[GAP P]],MATCH(Table5[[#This Row],[PID]],Batters[[#All],[PID]],0)),INDEX(Table3[[#All],[MOV P]],MATCH(Table5[[#This Row],[PID]],Table3[[#All],[PID]],0)))</f>
        <v>4</v>
      </c>
      <c r="N212" s="58">
        <f>IF($C212="B",INDEX(Batters[[#All],[POW P]],MATCH(Table5[[#This Row],[PID]],Batters[[#All],[PID]],0)),INDEX(Table3[[#All],[CON P]],MATCH(Table5[[#This Row],[PID]],Table3[[#All],[PID]],0)))</f>
        <v>4</v>
      </c>
      <c r="O212" s="58">
        <f>IF($C212="B",INDEX(Batters[[#All],[EYE P]],MATCH(Table5[[#This Row],[PID]],Batters[[#All],[PID]],0)),INDEX(Table3[[#All],[VELO]],MATCH(Table5[[#This Row],[PID]],Table3[[#All],[PID]],0)))</f>
        <v>6</v>
      </c>
      <c r="P212" s="58">
        <f>IF($C212="B",INDEX(Batters[[#All],[K P]],MATCH(Table5[[#This Row],[PID]],Batters[[#All],[PID]],0)),INDEX(Table3[[#All],[STM]],MATCH(Table5[[#This Row],[PID]],Table3[[#All],[PID]],0)))</f>
        <v>3</v>
      </c>
      <c r="Q212" s="63">
        <f>IF($C212="B",INDEX(Batters[[#All],[Tot]],MATCH(Table5[[#This Row],[PID]],Batters[[#All],[PID]],0)),INDEX(Table3[[#All],[Tot]],MATCH(Table5[[#This Row],[PID]],Table3[[#All],[PID]],0)))</f>
        <v>45.001706785321616</v>
      </c>
      <c r="R212" s="54">
        <f>IF($C212="B",INDEX(Batters[[#All],[zScore]],MATCH(Table5[[#This Row],[PID]],Batters[[#All],[PID]],0)),INDEX(Table3[[#All],[zScore]],MATCH(Table5[[#This Row],[PID]],Table3[[#All],[PID]],0)))</f>
        <v>0.81874525790513786</v>
      </c>
      <c r="S212" s="60" t="str">
        <f>IF($C212="B",INDEX(Batters[[#All],[DEM]],MATCH(Table5[[#This Row],[PID]],Batters[[#All],[PID]],0)),INDEX(Table3[[#All],[DEM]],MATCH(Table5[[#This Row],[PID]],Table3[[#All],[PID]],0)))</f>
        <v>$180k</v>
      </c>
      <c r="T212" s="64">
        <f>IF($C212="B",VLOOKUP($A212,Bat!$A$4:$AU$1417,46,FALSE),VLOOKUP($A212,Pit!$A$4:$BD$570,55,FALSE))</f>
        <v>0</v>
      </c>
      <c r="U212" s="52">
        <f>IF($C212="B",VLOOKUP($A212,Bat!$A$4:$BA$1417,47,FALSE),VLOOKUP($A212,Pit!$A$4:$BF$570,56,FALSE))</f>
        <v>0</v>
      </c>
      <c r="V212" s="52">
        <f>IF($C212="B",VLOOKUP($A212,Bat!$A$4:$BA$1417,48,FALSE),VLOOKUP($A212,Pit!$A$4:$BF$570,57,FALSE))</f>
        <v>0</v>
      </c>
      <c r="W212" s="52">
        <f>Table5[[#This Row],[posRnk]]+Table5[[#This Row],[zRnk]]+IF($W$3&lt;&gt;Table5[[#This Row],[Type]],50,0)</f>
        <v>258</v>
      </c>
      <c r="X212" s="53">
        <f>RANK(Table5[[#This Row],[zScore]],Table5[[#All],[zScore]])</f>
        <v>208</v>
      </c>
      <c r="Y212" s="52" t="str">
        <f>IFERROR(INDEX(DraftResults[[#All],[OVR]],MATCH(Table5[[#This Row],[PID]],DraftResults[[#All],[Player ID]],0)),"")</f>
        <v/>
      </c>
      <c r="Z2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2" s="52" t="str">
        <f>IFERROR(INDEX(DraftResults[[#All],[Pick in Round]],MATCH(Table5[[#This Row],[PID]],DraftResults[[#All],[Player ID]],0)),"")</f>
        <v/>
      </c>
      <c r="AB212" s="52" t="str">
        <f>IFERROR(INDEX(DraftResults[[#All],[Team Name]],MATCH(Table5[[#This Row],[PID]],DraftResults[[#All],[Player ID]],0)),"")</f>
        <v/>
      </c>
      <c r="AC212" s="52" t="str">
        <f>IF(Table5[[#This Row],[Ovr]]="","",IF(Table5[[#This Row],[cmbList]]="","",Table5[[#This Row],[cmbList]]-Table5[[#This Row],[Ovr]]))</f>
        <v/>
      </c>
      <c r="AD212" s="56" t="str">
        <f>IF(ISERROR(VLOOKUP($AB212&amp;"-"&amp;$E212&amp;" "&amp;F212,Bonuses!$B$1:$G$1006,4,FALSE)),"",INT(VLOOKUP($AB212&amp;"-"&amp;$E212&amp;" "&amp;$F212,Bonuses!$B$1:$G$1006,4,FALSE)))</f>
        <v/>
      </c>
      <c r="AE2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3" spans="1:31" s="52" customFormat="1" x14ac:dyDescent="0.25">
      <c r="A213" s="52">
        <v>12101</v>
      </c>
      <c r="B213" s="52">
        <f>COUNTIF(Table5[PID],A213)</f>
        <v>1</v>
      </c>
      <c r="C213" s="52" t="str">
        <f>IF(COUNTIF(Table3[[#All],[PID]],A213)&gt;0,"P","B")</f>
        <v>B</v>
      </c>
      <c r="D213" s="61" t="str">
        <f>IF($C213="B",INDEX(Batters[[#All],[POS]],MATCH(Table5[[#This Row],[PID]],Batters[[#All],[PID]],0)),INDEX(Table3[[#All],[POS]],MATCH(Table5[[#This Row],[PID]],Table3[[#All],[PID]],0)))</f>
        <v>1B</v>
      </c>
      <c r="E213" s="54" t="str">
        <f>IF($C213="B",INDEX(Batters[[#All],[First]],MATCH(Table5[[#This Row],[PID]],Batters[[#All],[PID]],0)),INDEX(Table3[[#All],[First]],MATCH(Table5[[#This Row],[PID]],Table3[[#All],[PID]],0)))</f>
        <v>Brian</v>
      </c>
      <c r="F213" s="52" t="str">
        <f>IF($C213="B",INDEX(Batters[[#All],[Last]],MATCH(A213,Batters[[#All],[PID]],0)),INDEX(Table3[[#All],[Last]],MATCH(A213,Table3[[#All],[PID]],0)))</f>
        <v>James</v>
      </c>
      <c r="G213" s="58">
        <f>IF($C213="B",INDEX(Batters[[#All],[Age]],MATCH(Table5[[#This Row],[PID]],Batters[[#All],[PID]],0)),INDEX(Table3[[#All],[Age]],MATCH(Table5[[#This Row],[PID]],Table3[[#All],[PID]],0)))</f>
        <v>21</v>
      </c>
      <c r="H213" s="54" t="str">
        <f>IF($C213="B",INDEX(Batters[[#All],[B]],MATCH(Table5[[#This Row],[PID]],Batters[[#All],[PID]],0)),INDEX(Table3[[#All],[B]],MATCH(Table5[[#This Row],[PID]],Table3[[#All],[PID]],0)))</f>
        <v>S</v>
      </c>
      <c r="I213" s="54" t="str">
        <f>IF($C213="B",INDEX(Batters[[#All],[T]],MATCH(Table5[[#This Row],[PID]],Batters[[#All],[PID]],0)),INDEX(Table3[[#All],[T]],MATCH(Table5[[#This Row],[PID]],Table3[[#All],[PID]],0)))</f>
        <v>R</v>
      </c>
      <c r="J213" s="54" t="str">
        <f>IF($C213="B",INDEX(Batters[[#All],[WE]],MATCH(Table5[[#This Row],[PID]],Batters[[#All],[PID]],0)),INDEX(Table3[[#All],[WE]],MATCH(Table5[[#This Row],[PID]],Table3[[#All],[PID]],0)))</f>
        <v>Normal</v>
      </c>
      <c r="K213" s="54" t="str">
        <f>IF($C213="B",INDEX(Batters[[#All],[INT]],MATCH(Table5[[#This Row],[PID]],Batters[[#All],[PID]],0)),INDEX(Table3[[#All],[INT]],MATCH(Table5[[#This Row],[PID]],Table3[[#All],[PID]],0)))</f>
        <v>Normal</v>
      </c>
      <c r="L213" s="62">
        <f>IF($C213="B",INDEX(Batters[[#All],[CON P]],MATCH(Table5[[#This Row],[PID]],Batters[[#All],[PID]],0)),INDEX(Table3[[#All],[STU P]],MATCH(Table5[[#This Row],[PID]],Table3[[#All],[PID]],0)))</f>
        <v>1</v>
      </c>
      <c r="M213" s="58">
        <f>IF($C213="B",INDEX(Batters[[#All],[GAP P]],MATCH(Table5[[#This Row],[PID]],Batters[[#All],[PID]],0)),INDEX(Table3[[#All],[MOV P]],MATCH(Table5[[#This Row],[PID]],Table3[[#All],[PID]],0)))</f>
        <v>3</v>
      </c>
      <c r="N213" s="58">
        <f>IF($C213="B",INDEX(Batters[[#All],[POW P]],MATCH(Table5[[#This Row],[PID]],Batters[[#All],[PID]],0)),INDEX(Table3[[#All],[CON P]],MATCH(Table5[[#This Row],[PID]],Table3[[#All],[PID]],0)))</f>
        <v>4</v>
      </c>
      <c r="O213" s="58">
        <f>IF($C213="B",INDEX(Batters[[#All],[EYE P]],MATCH(Table5[[#This Row],[PID]],Batters[[#All],[PID]],0)),INDEX(Table3[[#All],[VELO]],MATCH(Table5[[#This Row],[PID]],Table3[[#All],[PID]],0)))</f>
        <v>5</v>
      </c>
      <c r="P213" s="58">
        <f>IF($C213="B",INDEX(Batters[[#All],[K P]],MATCH(Table5[[#This Row],[PID]],Batters[[#All],[PID]],0)),INDEX(Table3[[#All],[STM]],MATCH(Table5[[#This Row],[PID]],Table3[[#All],[PID]],0)))</f>
        <v>1</v>
      </c>
      <c r="Q213" s="63">
        <f>IF($C213="B",INDEX(Batters[[#All],[Tot]],MATCH(Table5[[#This Row],[PID]],Batters[[#All],[PID]],0)),INDEX(Table3[[#All],[Tot]],MATCH(Table5[[#This Row],[PID]],Table3[[#All],[PID]],0)))</f>
        <v>45</v>
      </c>
      <c r="R213" s="54">
        <f>IF($C213="B",INDEX(Batters[[#All],[zScore]],MATCH(Table5[[#This Row],[PID]],Batters[[#All],[PID]],0)),INDEX(Table3[[#All],[zScore]],MATCH(Table5[[#This Row],[PID]],Table3[[#All],[PID]],0)))</f>
        <v>0.81844496037161252</v>
      </c>
      <c r="S213" s="60" t="str">
        <f>IF($C213="B",INDEX(Batters[[#All],[DEM]],MATCH(Table5[[#This Row],[PID]],Batters[[#All],[PID]],0)),INDEX(Table3[[#All],[DEM]],MATCH(Table5[[#This Row],[PID]],Table3[[#All],[PID]],0)))</f>
        <v>$20k</v>
      </c>
      <c r="T213" s="64">
        <f>IF($C213="B",VLOOKUP($A213,Bat!$A$4:$AU$1417,46,FALSE),VLOOKUP($A213,Pit!$A$4:$BD$570,55,FALSE))</f>
        <v>0</v>
      </c>
      <c r="U213" s="52">
        <f>IF($C213="B",VLOOKUP($A213,Bat!$A$4:$BA$1417,47,FALSE),VLOOKUP($A213,Pit!$A$4:$BF$570,56,FALSE))</f>
        <v>0</v>
      </c>
      <c r="V213" s="52">
        <f>IF($C213="B",VLOOKUP($A213,Bat!$A$4:$BA$1417,48,FALSE),VLOOKUP($A213,Pit!$A$4:$BF$570,57,FALSE))</f>
        <v>0</v>
      </c>
      <c r="W213" s="52">
        <f>Table5[[#This Row],[posRnk]]+Table5[[#This Row],[zRnk]]+IF($W$3&lt;&gt;Table5[[#This Row],[Type]],50,0)</f>
        <v>259</v>
      </c>
      <c r="X213" s="53">
        <f>RANK(Table5[[#This Row],[zScore]],Table5[[#All],[zScore]])</f>
        <v>209</v>
      </c>
      <c r="Y213" s="52" t="str">
        <f>IFERROR(INDEX(DraftResults[[#All],[OVR]],MATCH(Table5[[#This Row],[PID]],DraftResults[[#All],[Player ID]],0)),"")</f>
        <v/>
      </c>
      <c r="Z2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3" s="52" t="str">
        <f>IFERROR(INDEX(DraftResults[[#All],[Pick in Round]],MATCH(Table5[[#This Row],[PID]],DraftResults[[#All],[Player ID]],0)),"")</f>
        <v/>
      </c>
      <c r="AB213" s="52" t="str">
        <f>IFERROR(INDEX(DraftResults[[#All],[Team Name]],MATCH(Table5[[#This Row],[PID]],DraftResults[[#All],[Player ID]],0)),"")</f>
        <v/>
      </c>
      <c r="AC213" s="52" t="str">
        <f>IF(Table5[[#This Row],[Ovr]]="","",IF(Table5[[#This Row],[cmbList]]="","",Table5[[#This Row],[cmbList]]-Table5[[#This Row],[Ovr]]))</f>
        <v/>
      </c>
      <c r="AD213" s="56" t="str">
        <f>IF(ISERROR(VLOOKUP($AB213&amp;"-"&amp;$E213&amp;" "&amp;F213,Bonuses!$B$1:$G$1006,4,FALSE)),"",INT(VLOOKUP($AB213&amp;"-"&amp;$E213&amp;" "&amp;$F213,Bonuses!$B$1:$G$1006,4,FALSE)))</f>
        <v/>
      </c>
      <c r="AE2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4" spans="1:31" s="52" customFormat="1" x14ac:dyDescent="0.25">
      <c r="A214" s="52">
        <v>16396</v>
      </c>
      <c r="B214" s="52">
        <f>COUNTIF(Table5[PID],A214)</f>
        <v>1</v>
      </c>
      <c r="C214" s="52" t="str">
        <f>IF(COUNTIF(Table3[[#All],[PID]],A214)&gt;0,"P","B")</f>
        <v>B</v>
      </c>
      <c r="D214" s="61" t="str">
        <f>IF($C214="B",INDEX(Batters[[#All],[POS]],MATCH(Table5[[#This Row],[PID]],Batters[[#All],[PID]],0)),INDEX(Table3[[#All],[POS]],MATCH(Table5[[#This Row],[PID]],Table3[[#All],[PID]],0)))</f>
        <v>1B</v>
      </c>
      <c r="E214" s="54" t="str">
        <f>IF($C214="B",INDEX(Batters[[#All],[First]],MATCH(Table5[[#This Row],[PID]],Batters[[#All],[PID]],0)),INDEX(Table3[[#All],[First]],MATCH(Table5[[#This Row],[PID]],Table3[[#All],[PID]],0)))</f>
        <v>Eduardo</v>
      </c>
      <c r="F214" s="52" t="str">
        <f>IF($C214="B",INDEX(Batters[[#All],[Last]],MATCH(A214,Batters[[#All],[PID]],0)),INDEX(Table3[[#All],[Last]],MATCH(A214,Table3[[#All],[PID]],0)))</f>
        <v>Sánchez</v>
      </c>
      <c r="G214" s="58">
        <f>IF($C214="B",INDEX(Batters[[#All],[Age]],MATCH(Table5[[#This Row],[PID]],Batters[[#All],[PID]],0)),INDEX(Table3[[#All],[Age]],MATCH(Table5[[#This Row],[PID]],Table3[[#All],[PID]],0)))</f>
        <v>21</v>
      </c>
      <c r="H214" s="54" t="str">
        <f>IF($C214="B",INDEX(Batters[[#All],[B]],MATCH(Table5[[#This Row],[PID]],Batters[[#All],[PID]],0)),INDEX(Table3[[#All],[B]],MATCH(Table5[[#This Row],[PID]],Table3[[#All],[PID]],0)))</f>
        <v>R</v>
      </c>
      <c r="I214" s="54" t="str">
        <f>IF($C214="B",INDEX(Batters[[#All],[T]],MATCH(Table5[[#This Row],[PID]],Batters[[#All],[PID]],0)),INDEX(Table3[[#All],[T]],MATCH(Table5[[#This Row],[PID]],Table3[[#All],[PID]],0)))</f>
        <v>R</v>
      </c>
      <c r="J214" s="54" t="str">
        <f>IF($C214="B",INDEX(Batters[[#All],[WE]],MATCH(Table5[[#This Row],[PID]],Batters[[#All],[PID]],0)),INDEX(Table3[[#All],[WE]],MATCH(Table5[[#This Row],[PID]],Table3[[#All],[PID]],0)))</f>
        <v>Low</v>
      </c>
      <c r="K214" s="54" t="str">
        <f>IF($C214="B",INDEX(Batters[[#All],[INT]],MATCH(Table5[[#This Row],[PID]],Batters[[#All],[PID]],0)),INDEX(Table3[[#All],[INT]],MATCH(Table5[[#This Row],[PID]],Table3[[#All],[PID]],0)))</f>
        <v>High</v>
      </c>
      <c r="L214" s="62">
        <f>IF($C214="B",INDEX(Batters[[#All],[CON P]],MATCH(Table5[[#This Row],[PID]],Batters[[#All],[PID]],0)),INDEX(Table3[[#All],[STU P]],MATCH(Table5[[#This Row],[PID]],Table3[[#All],[PID]],0)))</f>
        <v>2</v>
      </c>
      <c r="M214" s="58">
        <f>IF($C214="B",INDEX(Batters[[#All],[GAP P]],MATCH(Table5[[#This Row],[PID]],Batters[[#All],[PID]],0)),INDEX(Table3[[#All],[MOV P]],MATCH(Table5[[#This Row],[PID]],Table3[[#All],[PID]],0)))</f>
        <v>3</v>
      </c>
      <c r="N214" s="58">
        <f>IF($C214="B",INDEX(Batters[[#All],[POW P]],MATCH(Table5[[#This Row],[PID]],Batters[[#All],[PID]],0)),INDEX(Table3[[#All],[CON P]],MATCH(Table5[[#This Row],[PID]],Table3[[#All],[PID]],0)))</f>
        <v>3</v>
      </c>
      <c r="O214" s="58">
        <f>IF($C214="B",INDEX(Batters[[#All],[EYE P]],MATCH(Table5[[#This Row],[PID]],Batters[[#All],[PID]],0)),INDEX(Table3[[#All],[VELO]],MATCH(Table5[[#This Row],[PID]],Table3[[#All],[PID]],0)))</f>
        <v>5</v>
      </c>
      <c r="P214" s="58">
        <f>IF($C214="B",INDEX(Batters[[#All],[K P]],MATCH(Table5[[#This Row],[PID]],Batters[[#All],[PID]],0)),INDEX(Table3[[#All],[STM]],MATCH(Table5[[#This Row],[PID]],Table3[[#All],[PID]],0)))</f>
        <v>3</v>
      </c>
      <c r="Q214" s="63">
        <f>IF($C214="B",INDEX(Batters[[#All],[Tot]],MATCH(Table5[[#This Row],[PID]],Batters[[#All],[PID]],0)),INDEX(Table3[[#All],[Tot]],MATCH(Table5[[#This Row],[PID]],Table3[[#All],[PID]],0)))</f>
        <v>45</v>
      </c>
      <c r="R214" s="54">
        <f>IF($C214="B",INDEX(Batters[[#All],[zScore]],MATCH(Table5[[#This Row],[PID]],Batters[[#All],[PID]],0)),INDEX(Table3[[#All],[zScore]],MATCH(Table5[[#This Row],[PID]],Table3[[#All],[PID]],0)))</f>
        <v>0.81844496037161252</v>
      </c>
      <c r="S214" s="60" t="str">
        <f>IF($C214="B",INDEX(Batters[[#All],[DEM]],MATCH(Table5[[#This Row],[PID]],Batters[[#All],[PID]],0)),INDEX(Table3[[#All],[DEM]],MATCH(Table5[[#This Row],[PID]],Table3[[#All],[PID]],0)))</f>
        <v>-</v>
      </c>
      <c r="T214" s="64">
        <f>IF($C214="B",VLOOKUP($A214,Bat!$A$4:$AU$1417,46,FALSE),VLOOKUP($A214,Pit!$A$4:$BD$570,55,FALSE))</f>
        <v>0</v>
      </c>
      <c r="U214" s="52">
        <f>IF($C214="B",VLOOKUP($A214,Bat!$A$4:$BA$1417,47,FALSE),VLOOKUP($A214,Pit!$A$4:$BF$570,56,FALSE))</f>
        <v>0</v>
      </c>
      <c r="V214" s="52">
        <f>IF($C214="B",VLOOKUP($A214,Bat!$A$4:$BA$1417,48,FALSE),VLOOKUP($A214,Pit!$A$4:$BF$570,57,FALSE))</f>
        <v>0</v>
      </c>
      <c r="W214" s="52">
        <f>Table5[[#This Row],[posRnk]]+Table5[[#This Row],[zRnk]]+IF($W$3&lt;&gt;Table5[[#This Row],[Type]],50,0)</f>
        <v>259</v>
      </c>
      <c r="X214" s="53">
        <f>RANK(Table5[[#This Row],[zScore]],Table5[[#All],[zScore]])</f>
        <v>209</v>
      </c>
      <c r="Y214" s="52" t="str">
        <f>IFERROR(INDEX(DraftResults[[#All],[OVR]],MATCH(Table5[[#This Row],[PID]],DraftResults[[#All],[Player ID]],0)),"")</f>
        <v/>
      </c>
      <c r="Z2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4" s="52" t="str">
        <f>IFERROR(INDEX(DraftResults[[#All],[Pick in Round]],MATCH(Table5[[#This Row],[PID]],DraftResults[[#All],[Player ID]],0)),"")</f>
        <v/>
      </c>
      <c r="AB214" s="52" t="str">
        <f>IFERROR(INDEX(DraftResults[[#All],[Team Name]],MATCH(Table5[[#This Row],[PID]],DraftResults[[#All],[Player ID]],0)),"")</f>
        <v/>
      </c>
      <c r="AC214" s="52" t="str">
        <f>IF(Table5[[#This Row],[Ovr]]="","",IF(Table5[[#This Row],[cmbList]]="","",Table5[[#This Row],[cmbList]]-Table5[[#This Row],[Ovr]]))</f>
        <v/>
      </c>
      <c r="AD214" s="56" t="str">
        <f>IF(ISERROR(VLOOKUP($AB214&amp;"-"&amp;$E214&amp;" "&amp;F214,Bonuses!$B$1:$G$1006,4,FALSE)),"",INT(VLOOKUP($AB214&amp;"-"&amp;$E214&amp;" "&amp;$F214,Bonuses!$B$1:$G$1006,4,FALSE)))</f>
        <v/>
      </c>
      <c r="AE2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5" spans="1:31" s="52" customFormat="1" x14ac:dyDescent="0.25">
      <c r="A215" s="52">
        <v>9304</v>
      </c>
      <c r="B215" s="52">
        <f>COUNTIF(Table5[PID],A215)</f>
        <v>1</v>
      </c>
      <c r="C215" s="52" t="str">
        <f>IF(COUNTIF(Table3[[#All],[PID]],A215)&gt;0,"P","B")</f>
        <v>B</v>
      </c>
      <c r="D215" s="61" t="str">
        <f>IF($C215="B",INDEX(Batters[[#All],[POS]],MATCH(Table5[[#This Row],[PID]],Batters[[#All],[PID]],0)),INDEX(Table3[[#All],[POS]],MATCH(Table5[[#This Row],[PID]],Table3[[#All],[PID]],0)))</f>
        <v>1B</v>
      </c>
      <c r="E215" s="54" t="str">
        <f>IF($C215="B",INDEX(Batters[[#All],[First]],MATCH(Table5[[#This Row],[PID]],Batters[[#All],[PID]],0)),INDEX(Table3[[#All],[First]],MATCH(Table5[[#This Row],[PID]],Table3[[#All],[PID]],0)))</f>
        <v>Dudley</v>
      </c>
      <c r="F215" s="52" t="str">
        <f>IF($C215="B",INDEX(Batters[[#All],[Last]],MATCH(A215,Batters[[#All],[PID]],0)),INDEX(Table3[[#All],[Last]],MATCH(A215,Table3[[#All],[PID]],0)))</f>
        <v>Smith</v>
      </c>
      <c r="G215" s="58">
        <f>IF($C215="B",INDEX(Batters[[#All],[Age]],MATCH(Table5[[#This Row],[PID]],Batters[[#All],[PID]],0)),INDEX(Table3[[#All],[Age]],MATCH(Table5[[#This Row],[PID]],Table3[[#All],[PID]],0)))</f>
        <v>21</v>
      </c>
      <c r="H215" s="54" t="str">
        <f>IF($C215="B",INDEX(Batters[[#All],[B]],MATCH(Table5[[#This Row],[PID]],Batters[[#All],[PID]],0)),INDEX(Table3[[#All],[B]],MATCH(Table5[[#This Row],[PID]],Table3[[#All],[PID]],0)))</f>
        <v>R</v>
      </c>
      <c r="I215" s="54" t="str">
        <f>IF($C215="B",INDEX(Batters[[#All],[T]],MATCH(Table5[[#This Row],[PID]],Batters[[#All],[PID]],0)),INDEX(Table3[[#All],[T]],MATCH(Table5[[#This Row],[PID]],Table3[[#All],[PID]],0)))</f>
        <v>R</v>
      </c>
      <c r="J215" s="54" t="str">
        <f>IF($C215="B",INDEX(Batters[[#All],[WE]],MATCH(Table5[[#This Row],[PID]],Batters[[#All],[PID]],0)),INDEX(Table3[[#All],[WE]],MATCH(Table5[[#This Row],[PID]],Table3[[#All],[PID]],0)))</f>
        <v>Low</v>
      </c>
      <c r="K215" s="54" t="str">
        <f>IF($C215="B",INDEX(Batters[[#All],[INT]],MATCH(Table5[[#This Row],[PID]],Batters[[#All],[PID]],0)),INDEX(Table3[[#All],[INT]],MATCH(Table5[[#This Row],[PID]],Table3[[#All],[PID]],0)))</f>
        <v>High</v>
      </c>
      <c r="L215" s="62">
        <f>IF($C215="B",INDEX(Batters[[#All],[CON P]],MATCH(Table5[[#This Row],[PID]],Batters[[#All],[PID]],0)),INDEX(Table3[[#All],[STU P]],MATCH(Table5[[#This Row],[PID]],Table3[[#All],[PID]],0)))</f>
        <v>2</v>
      </c>
      <c r="M215" s="58">
        <f>IF($C215="B",INDEX(Batters[[#All],[GAP P]],MATCH(Table5[[#This Row],[PID]],Batters[[#All],[PID]],0)),INDEX(Table3[[#All],[MOV P]],MATCH(Table5[[#This Row],[PID]],Table3[[#All],[PID]],0)))</f>
        <v>2</v>
      </c>
      <c r="N215" s="58">
        <f>IF($C215="B",INDEX(Batters[[#All],[POW P]],MATCH(Table5[[#This Row],[PID]],Batters[[#All],[PID]],0)),INDEX(Table3[[#All],[CON P]],MATCH(Table5[[#This Row],[PID]],Table3[[#All],[PID]],0)))</f>
        <v>4</v>
      </c>
      <c r="O215" s="58">
        <f>IF($C215="B",INDEX(Batters[[#All],[EYE P]],MATCH(Table5[[#This Row],[PID]],Batters[[#All],[PID]],0)),INDEX(Table3[[#All],[VELO]],MATCH(Table5[[#This Row],[PID]],Table3[[#All],[PID]],0)))</f>
        <v>4</v>
      </c>
      <c r="P215" s="58">
        <f>IF($C215="B",INDEX(Batters[[#All],[K P]],MATCH(Table5[[#This Row],[PID]],Batters[[#All],[PID]],0)),INDEX(Table3[[#All],[STM]],MATCH(Table5[[#This Row],[PID]],Table3[[#All],[PID]],0)))</f>
        <v>2</v>
      </c>
      <c r="Q215" s="63">
        <f>IF($C215="B",INDEX(Batters[[#All],[Tot]],MATCH(Table5[[#This Row],[PID]],Batters[[#All],[PID]],0)),INDEX(Table3[[#All],[Tot]],MATCH(Table5[[#This Row],[PID]],Table3[[#All],[PID]],0)))</f>
        <v>45</v>
      </c>
      <c r="R215" s="54">
        <f>IF($C215="B",INDEX(Batters[[#All],[zScore]],MATCH(Table5[[#This Row],[PID]],Batters[[#All],[PID]],0)),INDEX(Table3[[#All],[zScore]],MATCH(Table5[[#This Row],[PID]],Table3[[#All],[PID]],0)))</f>
        <v>0.81844496037161252</v>
      </c>
      <c r="S215" s="60" t="str">
        <f>IF($C215="B",INDEX(Batters[[#All],[DEM]],MATCH(Table5[[#This Row],[PID]],Batters[[#All],[PID]],0)),INDEX(Table3[[#All],[DEM]],MATCH(Table5[[#This Row],[PID]],Table3[[#All],[PID]],0)))</f>
        <v>-</v>
      </c>
      <c r="T215" s="64">
        <f>IF($C215="B",VLOOKUP($A215,Bat!$A$4:$AU$1417,46,FALSE),VLOOKUP($A215,Pit!$A$4:$BD$570,55,FALSE))</f>
        <v>0</v>
      </c>
      <c r="U215" s="52">
        <f>IF($C215="B",VLOOKUP($A215,Bat!$A$4:$BA$1417,47,FALSE),VLOOKUP($A215,Pit!$A$4:$BF$570,56,FALSE))</f>
        <v>0</v>
      </c>
      <c r="V215" s="52">
        <f>IF($C215="B",VLOOKUP($A215,Bat!$A$4:$BA$1417,48,FALSE),VLOOKUP($A215,Pit!$A$4:$BF$570,57,FALSE))</f>
        <v>0</v>
      </c>
      <c r="W215" s="52">
        <f>Table5[[#This Row],[posRnk]]+Table5[[#This Row],[zRnk]]+IF($W$3&lt;&gt;Table5[[#This Row],[Type]],50,0)</f>
        <v>259</v>
      </c>
      <c r="X215" s="53">
        <f>RANK(Table5[[#This Row],[zScore]],Table5[[#All],[zScore]])</f>
        <v>209</v>
      </c>
      <c r="Y215" s="52" t="str">
        <f>IFERROR(INDEX(DraftResults[[#All],[OVR]],MATCH(Table5[[#This Row],[PID]],DraftResults[[#All],[Player ID]],0)),"")</f>
        <v/>
      </c>
      <c r="Z2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5" s="52" t="str">
        <f>IFERROR(INDEX(DraftResults[[#All],[Pick in Round]],MATCH(Table5[[#This Row],[PID]],DraftResults[[#All],[Player ID]],0)),"")</f>
        <v/>
      </c>
      <c r="AB215" s="52" t="str">
        <f>IFERROR(INDEX(DraftResults[[#All],[Team Name]],MATCH(Table5[[#This Row],[PID]],DraftResults[[#All],[Player ID]],0)),"")</f>
        <v/>
      </c>
      <c r="AC215" s="52" t="str">
        <f>IF(Table5[[#This Row],[Ovr]]="","",IF(Table5[[#This Row],[cmbList]]="","",Table5[[#This Row],[cmbList]]-Table5[[#This Row],[Ovr]]))</f>
        <v/>
      </c>
      <c r="AD215" s="56" t="str">
        <f>IF(ISERROR(VLOOKUP($AB215&amp;"-"&amp;$E215&amp;" "&amp;F215,Bonuses!$B$1:$G$1006,4,FALSE)),"",INT(VLOOKUP($AB215&amp;"-"&amp;$E215&amp;" "&amp;$F215,Bonuses!$B$1:$G$1006,4,FALSE)))</f>
        <v/>
      </c>
      <c r="AE2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6" spans="1:31" s="52" customFormat="1" x14ac:dyDescent="0.25">
      <c r="A216" s="52">
        <v>11807</v>
      </c>
      <c r="B216" s="52">
        <f>COUNTIF(Table5[PID],A216)</f>
        <v>1</v>
      </c>
      <c r="C216" s="52" t="str">
        <f>IF(COUNTIF(Table3[[#All],[PID]],A216)&gt;0,"P","B")</f>
        <v>B</v>
      </c>
      <c r="D216" s="61" t="str">
        <f>IF($C216="B",INDEX(Batters[[#All],[POS]],MATCH(Table5[[#This Row],[PID]],Batters[[#All],[PID]],0)),INDEX(Table3[[#All],[POS]],MATCH(Table5[[#This Row],[PID]],Table3[[#All],[PID]],0)))</f>
        <v>3B</v>
      </c>
      <c r="E216" s="54" t="str">
        <f>IF($C216="B",INDEX(Batters[[#All],[First]],MATCH(Table5[[#This Row],[PID]],Batters[[#All],[PID]],0)),INDEX(Table3[[#All],[First]],MATCH(Table5[[#This Row],[PID]],Table3[[#All],[PID]],0)))</f>
        <v>Juan</v>
      </c>
      <c r="F216" s="52" t="str">
        <f>IF($C216="B",INDEX(Batters[[#All],[Last]],MATCH(A216,Batters[[#All],[PID]],0)),INDEX(Table3[[#All],[Last]],MATCH(A216,Table3[[#All],[PID]],0)))</f>
        <v>Vargas</v>
      </c>
      <c r="G216" s="58">
        <f>IF($C216="B",INDEX(Batters[[#All],[Age]],MATCH(Table5[[#This Row],[PID]],Batters[[#All],[PID]],0)),INDEX(Table3[[#All],[Age]],MATCH(Table5[[#This Row],[PID]],Table3[[#All],[PID]],0)))</f>
        <v>22</v>
      </c>
      <c r="H216" s="54" t="str">
        <f>IF($C216="B",INDEX(Batters[[#All],[B]],MATCH(Table5[[#This Row],[PID]],Batters[[#All],[PID]],0)),INDEX(Table3[[#All],[B]],MATCH(Table5[[#This Row],[PID]],Table3[[#All],[PID]],0)))</f>
        <v>S</v>
      </c>
      <c r="I216" s="54" t="str">
        <f>IF($C216="B",INDEX(Batters[[#All],[T]],MATCH(Table5[[#This Row],[PID]],Batters[[#All],[PID]],0)),INDEX(Table3[[#All],[T]],MATCH(Table5[[#This Row],[PID]],Table3[[#All],[PID]],0)))</f>
        <v>R</v>
      </c>
      <c r="J216" s="54" t="str">
        <f>IF($C216="B",INDEX(Batters[[#All],[WE]],MATCH(Table5[[#This Row],[PID]],Batters[[#All],[PID]],0)),INDEX(Table3[[#All],[WE]],MATCH(Table5[[#This Row],[PID]],Table3[[#All],[PID]],0)))</f>
        <v>Normal</v>
      </c>
      <c r="K216" s="54" t="str">
        <f>IF($C216="B",INDEX(Batters[[#All],[INT]],MATCH(Table5[[#This Row],[PID]],Batters[[#All],[PID]],0)),INDEX(Table3[[#All],[INT]],MATCH(Table5[[#This Row],[PID]],Table3[[#All],[PID]],0)))</f>
        <v>Normal</v>
      </c>
      <c r="L216" s="62">
        <f>IF($C216="B",INDEX(Batters[[#All],[CON P]],MATCH(Table5[[#This Row],[PID]],Batters[[#All],[PID]],0)),INDEX(Table3[[#All],[STU P]],MATCH(Table5[[#This Row],[PID]],Table3[[#All],[PID]],0)))</f>
        <v>2</v>
      </c>
      <c r="M216" s="58">
        <f>IF($C216="B",INDEX(Batters[[#All],[GAP P]],MATCH(Table5[[#This Row],[PID]],Batters[[#All],[PID]],0)),INDEX(Table3[[#All],[MOV P]],MATCH(Table5[[#This Row],[PID]],Table3[[#All],[PID]],0)))</f>
        <v>3</v>
      </c>
      <c r="N216" s="58">
        <f>IF($C216="B",INDEX(Batters[[#All],[POW P]],MATCH(Table5[[#This Row],[PID]],Batters[[#All],[PID]],0)),INDEX(Table3[[#All],[CON P]],MATCH(Table5[[#This Row],[PID]],Table3[[#All],[PID]],0)))</f>
        <v>4</v>
      </c>
      <c r="O216" s="58">
        <f>IF($C216="B",INDEX(Batters[[#All],[EYE P]],MATCH(Table5[[#This Row],[PID]],Batters[[#All],[PID]],0)),INDEX(Table3[[#All],[VELO]],MATCH(Table5[[#This Row],[PID]],Table3[[#All],[PID]],0)))</f>
        <v>3</v>
      </c>
      <c r="P216" s="58">
        <f>IF($C216="B",INDEX(Batters[[#All],[K P]],MATCH(Table5[[#This Row],[PID]],Batters[[#All],[PID]],0)),INDEX(Table3[[#All],[STM]],MATCH(Table5[[#This Row],[PID]],Table3[[#All],[PID]],0)))</f>
        <v>3</v>
      </c>
      <c r="Q216" s="63">
        <f>IF($C216="B",INDEX(Batters[[#All],[Tot]],MATCH(Table5[[#This Row],[PID]],Batters[[#All],[PID]],0)),INDEX(Table3[[#All],[Tot]],MATCH(Table5[[#This Row],[PID]],Table3[[#All],[PID]],0)))</f>
        <v>45</v>
      </c>
      <c r="R216" s="54">
        <f>IF($C216="B",INDEX(Batters[[#All],[zScore]],MATCH(Table5[[#This Row],[PID]],Batters[[#All],[PID]],0)),INDEX(Table3[[#All],[zScore]],MATCH(Table5[[#This Row],[PID]],Table3[[#All],[PID]],0)))</f>
        <v>0.81844496037161252</v>
      </c>
      <c r="S216" s="60" t="str">
        <f>IF($C216="B",INDEX(Batters[[#All],[DEM]],MATCH(Table5[[#This Row],[PID]],Batters[[#All],[PID]],0)),INDEX(Table3[[#All],[DEM]],MATCH(Table5[[#This Row],[PID]],Table3[[#All],[PID]],0)))</f>
        <v>-</v>
      </c>
      <c r="T216" s="64">
        <f>IF($C216="B",VLOOKUP($A216,Bat!$A$4:$AU$1417,46,FALSE),VLOOKUP($A216,Pit!$A$4:$BD$570,55,FALSE))</f>
        <v>0</v>
      </c>
      <c r="U216" s="52">
        <f>IF($C216="B",VLOOKUP($A216,Bat!$A$4:$BA$1417,47,FALSE),VLOOKUP($A216,Pit!$A$4:$BF$570,56,FALSE))</f>
        <v>0</v>
      </c>
      <c r="V216" s="52">
        <f>IF($C216="B",VLOOKUP($A216,Bat!$A$4:$BA$1417,48,FALSE),VLOOKUP($A216,Pit!$A$4:$BF$570,57,FALSE))</f>
        <v>0</v>
      </c>
      <c r="W216" s="52">
        <f>Table5[[#This Row],[posRnk]]+Table5[[#This Row],[zRnk]]+IF($W$3&lt;&gt;Table5[[#This Row],[Type]],50,0)</f>
        <v>259</v>
      </c>
      <c r="X216" s="53">
        <f>RANK(Table5[[#This Row],[zScore]],Table5[[#All],[zScore]])</f>
        <v>209</v>
      </c>
      <c r="Y216" s="52" t="str">
        <f>IFERROR(INDEX(DraftResults[[#All],[OVR]],MATCH(Table5[[#This Row],[PID]],DraftResults[[#All],[Player ID]],0)),"")</f>
        <v/>
      </c>
      <c r="Z2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6" s="52" t="str">
        <f>IFERROR(INDEX(DraftResults[[#All],[Pick in Round]],MATCH(Table5[[#This Row],[PID]],DraftResults[[#All],[Player ID]],0)),"")</f>
        <v/>
      </c>
      <c r="AB216" s="52" t="str">
        <f>IFERROR(INDEX(DraftResults[[#All],[Team Name]],MATCH(Table5[[#This Row],[PID]],DraftResults[[#All],[Player ID]],0)),"")</f>
        <v/>
      </c>
      <c r="AC216" s="52" t="str">
        <f>IF(Table5[[#This Row],[Ovr]]="","",IF(Table5[[#This Row],[cmbList]]="","",Table5[[#This Row],[cmbList]]-Table5[[#This Row],[Ovr]]))</f>
        <v/>
      </c>
      <c r="AD216" s="56" t="str">
        <f>IF(ISERROR(VLOOKUP($AB216&amp;"-"&amp;$E216&amp;" "&amp;F216,Bonuses!$B$1:$G$1006,4,FALSE)),"",INT(VLOOKUP($AB216&amp;"-"&amp;$E216&amp;" "&amp;$F216,Bonuses!$B$1:$G$1006,4,FALSE)))</f>
        <v/>
      </c>
      <c r="AE2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7" spans="1:31" s="52" customFormat="1" x14ac:dyDescent="0.25">
      <c r="A217" s="52">
        <v>13356</v>
      </c>
      <c r="B217" s="52">
        <f>COUNTIF(Table5[PID],A217)</f>
        <v>1</v>
      </c>
      <c r="C217" s="52" t="str">
        <f>IF(COUNTIF(Table3[[#All],[PID]],A217)&gt;0,"P","B")</f>
        <v>B</v>
      </c>
      <c r="D217" s="61" t="str">
        <f>IF($C217="B",INDEX(Batters[[#All],[POS]],MATCH(Table5[[#This Row],[PID]],Batters[[#All],[PID]],0)),INDEX(Table3[[#All],[POS]],MATCH(Table5[[#This Row],[PID]],Table3[[#All],[PID]],0)))</f>
        <v>C</v>
      </c>
      <c r="E217" s="54" t="str">
        <f>IF($C217="B",INDEX(Batters[[#All],[First]],MATCH(Table5[[#This Row],[PID]],Batters[[#All],[PID]],0)),INDEX(Table3[[#All],[First]],MATCH(Table5[[#This Row],[PID]],Table3[[#All],[PID]],0)))</f>
        <v>Katsunan</v>
      </c>
      <c r="F217" s="52" t="str">
        <f>IF($C217="B",INDEX(Batters[[#All],[Last]],MATCH(A217,Batters[[#All],[PID]],0)),INDEX(Table3[[#All],[Last]],MATCH(A217,Table3[[#All],[PID]],0)))</f>
        <v>Suzuki</v>
      </c>
      <c r="G217" s="58">
        <f>IF($C217="B",INDEX(Batters[[#All],[Age]],MATCH(Table5[[#This Row],[PID]],Batters[[#All],[PID]],0)),INDEX(Table3[[#All],[Age]],MATCH(Table5[[#This Row],[PID]],Table3[[#All],[PID]],0)))</f>
        <v>22</v>
      </c>
      <c r="H217" s="54" t="str">
        <f>IF($C217="B",INDEX(Batters[[#All],[B]],MATCH(Table5[[#This Row],[PID]],Batters[[#All],[PID]],0)),INDEX(Table3[[#All],[B]],MATCH(Table5[[#This Row],[PID]],Table3[[#All],[PID]],0)))</f>
        <v>R</v>
      </c>
      <c r="I217" s="54" t="str">
        <f>IF($C217="B",INDEX(Batters[[#All],[T]],MATCH(Table5[[#This Row],[PID]],Batters[[#All],[PID]],0)),INDEX(Table3[[#All],[T]],MATCH(Table5[[#This Row],[PID]],Table3[[#All],[PID]],0)))</f>
        <v>R</v>
      </c>
      <c r="J217" s="54" t="str">
        <f>IF($C217="B",INDEX(Batters[[#All],[WE]],MATCH(Table5[[#This Row],[PID]],Batters[[#All],[PID]],0)),INDEX(Table3[[#All],[WE]],MATCH(Table5[[#This Row],[PID]],Table3[[#All],[PID]],0)))</f>
        <v>Normal</v>
      </c>
      <c r="K217" s="54" t="str">
        <f>IF($C217="B",INDEX(Batters[[#All],[INT]],MATCH(Table5[[#This Row],[PID]],Batters[[#All],[PID]],0)),INDEX(Table3[[#All],[INT]],MATCH(Table5[[#This Row],[PID]],Table3[[#All],[PID]],0)))</f>
        <v>Normal</v>
      </c>
      <c r="L217" s="62">
        <f>IF($C217="B",INDEX(Batters[[#All],[CON P]],MATCH(Table5[[#This Row],[PID]],Batters[[#All],[PID]],0)),INDEX(Table3[[#All],[STU P]],MATCH(Table5[[#This Row],[PID]],Table3[[#All],[PID]],0)))</f>
        <v>2</v>
      </c>
      <c r="M217" s="58">
        <f>IF($C217="B",INDEX(Batters[[#All],[GAP P]],MATCH(Table5[[#This Row],[PID]],Batters[[#All],[PID]],0)),INDEX(Table3[[#All],[MOV P]],MATCH(Table5[[#This Row],[PID]],Table3[[#All],[PID]],0)))</f>
        <v>4</v>
      </c>
      <c r="N217" s="58">
        <f>IF($C217="B",INDEX(Batters[[#All],[POW P]],MATCH(Table5[[#This Row],[PID]],Batters[[#All],[PID]],0)),INDEX(Table3[[#All],[CON P]],MATCH(Table5[[#This Row],[PID]],Table3[[#All],[PID]],0)))</f>
        <v>3</v>
      </c>
      <c r="O217" s="58">
        <f>IF($C217="B",INDEX(Batters[[#All],[EYE P]],MATCH(Table5[[#This Row],[PID]],Batters[[#All],[PID]],0)),INDEX(Table3[[#All],[VELO]],MATCH(Table5[[#This Row],[PID]],Table3[[#All],[PID]],0)))</f>
        <v>5</v>
      </c>
      <c r="P217" s="58">
        <f>IF($C217="B",INDEX(Batters[[#All],[K P]],MATCH(Table5[[#This Row],[PID]],Batters[[#All],[PID]],0)),INDEX(Table3[[#All],[STM]],MATCH(Table5[[#This Row],[PID]],Table3[[#All],[PID]],0)))</f>
        <v>2</v>
      </c>
      <c r="Q217" s="63">
        <f>IF($C217="B",INDEX(Batters[[#All],[Tot]],MATCH(Table5[[#This Row],[PID]],Batters[[#All],[PID]],0)),INDEX(Table3[[#All],[Tot]],MATCH(Table5[[#This Row],[PID]],Table3[[#All],[PID]],0)))</f>
        <v>45</v>
      </c>
      <c r="R217" s="54">
        <f>IF($C217="B",INDEX(Batters[[#All],[zScore]],MATCH(Table5[[#This Row],[PID]],Batters[[#All],[PID]],0)),INDEX(Table3[[#All],[zScore]],MATCH(Table5[[#This Row],[PID]],Table3[[#All],[PID]],0)))</f>
        <v>0.81844496037161252</v>
      </c>
      <c r="S217" s="60" t="str">
        <f>IF($C217="B",INDEX(Batters[[#All],[DEM]],MATCH(Table5[[#This Row],[PID]],Batters[[#All],[PID]],0)),INDEX(Table3[[#All],[DEM]],MATCH(Table5[[#This Row],[PID]],Table3[[#All],[PID]],0)))</f>
        <v>-</v>
      </c>
      <c r="T217" s="64">
        <f>IF($C217="B",VLOOKUP($A217,Bat!$A$4:$AU$1417,46,FALSE),VLOOKUP($A217,Pit!$A$4:$BD$570,55,FALSE))</f>
        <v>0</v>
      </c>
      <c r="U217" s="52">
        <f>IF($C217="B",VLOOKUP($A217,Bat!$A$4:$BA$1417,47,FALSE),VLOOKUP($A217,Pit!$A$4:$BF$570,56,FALSE))</f>
        <v>0</v>
      </c>
      <c r="V217" s="52">
        <f>IF($C217="B",VLOOKUP($A217,Bat!$A$4:$BA$1417,48,FALSE),VLOOKUP($A217,Pit!$A$4:$BF$570,57,FALSE))</f>
        <v>0</v>
      </c>
      <c r="W217" s="52">
        <f>Table5[[#This Row],[posRnk]]+Table5[[#This Row],[zRnk]]+IF($W$3&lt;&gt;Table5[[#This Row],[Type]],50,0)</f>
        <v>259</v>
      </c>
      <c r="X217" s="53">
        <f>RANK(Table5[[#This Row],[zScore]],Table5[[#All],[zScore]])</f>
        <v>209</v>
      </c>
      <c r="Y217" s="52" t="str">
        <f>IFERROR(INDEX(DraftResults[[#All],[OVR]],MATCH(Table5[[#This Row],[PID]],DraftResults[[#All],[Player ID]],0)),"")</f>
        <v/>
      </c>
      <c r="Z2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7" s="52" t="str">
        <f>IFERROR(INDEX(DraftResults[[#All],[Pick in Round]],MATCH(Table5[[#This Row],[PID]],DraftResults[[#All],[Player ID]],0)),"")</f>
        <v/>
      </c>
      <c r="AB217" s="52" t="str">
        <f>IFERROR(INDEX(DraftResults[[#All],[Team Name]],MATCH(Table5[[#This Row],[PID]],DraftResults[[#All],[Player ID]],0)),"")</f>
        <v/>
      </c>
      <c r="AC217" s="52" t="str">
        <f>IF(Table5[[#This Row],[Ovr]]="","",IF(Table5[[#This Row],[cmbList]]="","",Table5[[#This Row],[cmbList]]-Table5[[#This Row],[Ovr]]))</f>
        <v/>
      </c>
      <c r="AD217" s="56" t="str">
        <f>IF(ISERROR(VLOOKUP($AB217&amp;"-"&amp;$E217&amp;" "&amp;F217,Bonuses!$B$1:$G$1006,4,FALSE)),"",INT(VLOOKUP($AB217&amp;"-"&amp;$E217&amp;" "&amp;$F217,Bonuses!$B$1:$G$1006,4,FALSE)))</f>
        <v/>
      </c>
      <c r="AE2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8" spans="1:31" s="52" customFormat="1" x14ac:dyDescent="0.25">
      <c r="A218" s="52">
        <v>18061</v>
      </c>
      <c r="B218" s="52">
        <f>COUNTIF(Table5[PID],A218)</f>
        <v>1</v>
      </c>
      <c r="C218" s="52" t="str">
        <f>IF(COUNTIF(Table3[[#All],[PID]],A218)&gt;0,"P","B")</f>
        <v>B</v>
      </c>
      <c r="D218" s="61" t="str">
        <f>IF($C218="B",INDEX(Batters[[#All],[POS]],MATCH(Table5[[#This Row],[PID]],Batters[[#All],[PID]],0)),INDEX(Table3[[#All],[POS]],MATCH(Table5[[#This Row],[PID]],Table3[[#All],[PID]],0)))</f>
        <v>C</v>
      </c>
      <c r="E218" s="54" t="str">
        <f>IF($C218="B",INDEX(Batters[[#All],[First]],MATCH(Table5[[#This Row],[PID]],Batters[[#All],[PID]],0)),INDEX(Table3[[#All],[First]],MATCH(Table5[[#This Row],[PID]],Table3[[#All],[PID]],0)))</f>
        <v>Bobby</v>
      </c>
      <c r="F218" s="52" t="str">
        <f>IF($C218="B",INDEX(Batters[[#All],[Last]],MATCH(A218,Batters[[#All],[PID]],0)),INDEX(Table3[[#All],[Last]],MATCH(A218,Table3[[#All],[PID]],0)))</f>
        <v>Trujillo</v>
      </c>
      <c r="G218" s="58">
        <f>IF($C218="B",INDEX(Batters[[#All],[Age]],MATCH(Table5[[#This Row],[PID]],Batters[[#All],[PID]],0)),INDEX(Table3[[#All],[Age]],MATCH(Table5[[#This Row],[PID]],Table3[[#All],[PID]],0)))</f>
        <v>22</v>
      </c>
      <c r="H218" s="54" t="str">
        <f>IF($C218="B",INDEX(Batters[[#All],[B]],MATCH(Table5[[#This Row],[PID]],Batters[[#All],[PID]],0)),INDEX(Table3[[#All],[B]],MATCH(Table5[[#This Row],[PID]],Table3[[#All],[PID]],0)))</f>
        <v>R</v>
      </c>
      <c r="I218" s="54" t="str">
        <f>IF($C218="B",INDEX(Batters[[#All],[T]],MATCH(Table5[[#This Row],[PID]],Batters[[#All],[PID]],0)),INDEX(Table3[[#All],[T]],MATCH(Table5[[#This Row],[PID]],Table3[[#All],[PID]],0)))</f>
        <v>R</v>
      </c>
      <c r="J218" s="54" t="str">
        <f>IF($C218="B",INDEX(Batters[[#All],[WE]],MATCH(Table5[[#This Row],[PID]],Batters[[#All],[PID]],0)),INDEX(Table3[[#All],[WE]],MATCH(Table5[[#This Row],[PID]],Table3[[#All],[PID]],0)))</f>
        <v>Low</v>
      </c>
      <c r="K218" s="54" t="str">
        <f>IF($C218="B",INDEX(Batters[[#All],[INT]],MATCH(Table5[[#This Row],[PID]],Batters[[#All],[PID]],0)),INDEX(Table3[[#All],[INT]],MATCH(Table5[[#This Row],[PID]],Table3[[#All],[PID]],0)))</f>
        <v>High</v>
      </c>
      <c r="L218" s="62">
        <f>IF($C218="B",INDEX(Batters[[#All],[CON P]],MATCH(Table5[[#This Row],[PID]],Batters[[#All],[PID]],0)),INDEX(Table3[[#All],[STU P]],MATCH(Table5[[#This Row],[PID]],Table3[[#All],[PID]],0)))</f>
        <v>2</v>
      </c>
      <c r="M218" s="58">
        <f>IF($C218="B",INDEX(Batters[[#All],[GAP P]],MATCH(Table5[[#This Row],[PID]],Batters[[#All],[PID]],0)),INDEX(Table3[[#All],[MOV P]],MATCH(Table5[[#This Row],[PID]],Table3[[#All],[PID]],0)))</f>
        <v>2</v>
      </c>
      <c r="N218" s="58">
        <f>IF($C218="B",INDEX(Batters[[#All],[POW P]],MATCH(Table5[[#This Row],[PID]],Batters[[#All],[PID]],0)),INDEX(Table3[[#All],[CON P]],MATCH(Table5[[#This Row],[PID]],Table3[[#All],[PID]],0)))</f>
        <v>4</v>
      </c>
      <c r="O218" s="58">
        <f>IF($C218="B",INDEX(Batters[[#All],[EYE P]],MATCH(Table5[[#This Row],[PID]],Batters[[#All],[PID]],0)),INDEX(Table3[[#All],[VELO]],MATCH(Table5[[#This Row],[PID]],Table3[[#All],[PID]],0)))</f>
        <v>4</v>
      </c>
      <c r="P218" s="58">
        <f>IF($C218="B",INDEX(Batters[[#All],[K P]],MATCH(Table5[[#This Row],[PID]],Batters[[#All],[PID]],0)),INDEX(Table3[[#All],[STM]],MATCH(Table5[[#This Row],[PID]],Table3[[#All],[PID]],0)))</f>
        <v>1</v>
      </c>
      <c r="Q218" s="63">
        <f>IF($C218="B",INDEX(Batters[[#All],[Tot]],MATCH(Table5[[#This Row],[PID]],Batters[[#All],[PID]],0)),INDEX(Table3[[#All],[Tot]],MATCH(Table5[[#This Row],[PID]],Table3[[#All],[PID]],0)))</f>
        <v>45</v>
      </c>
      <c r="R218" s="54">
        <f>IF($C218="B",INDEX(Batters[[#All],[zScore]],MATCH(Table5[[#This Row],[PID]],Batters[[#All],[PID]],0)),INDEX(Table3[[#All],[zScore]],MATCH(Table5[[#This Row],[PID]],Table3[[#All],[PID]],0)))</f>
        <v>0.81844496037161252</v>
      </c>
      <c r="S218" s="60" t="str">
        <f>IF($C218="B",INDEX(Batters[[#All],[DEM]],MATCH(Table5[[#This Row],[PID]],Batters[[#All],[PID]],0)),INDEX(Table3[[#All],[DEM]],MATCH(Table5[[#This Row],[PID]],Table3[[#All],[PID]],0)))</f>
        <v>-</v>
      </c>
      <c r="T218" s="64">
        <f>IF($C218="B",VLOOKUP($A218,Bat!$A$4:$AU$1417,46,FALSE),VLOOKUP($A218,Pit!$A$4:$BD$570,55,FALSE))</f>
        <v>0</v>
      </c>
      <c r="U218" s="52">
        <f>IF($C218="B",VLOOKUP($A218,Bat!$A$4:$BA$1417,47,FALSE),VLOOKUP($A218,Pit!$A$4:$BF$570,56,FALSE))</f>
        <v>0</v>
      </c>
      <c r="V218" s="52">
        <f>IF($C218="B",VLOOKUP($A218,Bat!$A$4:$BA$1417,48,FALSE),VLOOKUP($A218,Pit!$A$4:$BF$570,57,FALSE))</f>
        <v>0</v>
      </c>
      <c r="W218" s="52">
        <f>Table5[[#This Row],[posRnk]]+Table5[[#This Row],[zRnk]]+IF($W$3&lt;&gt;Table5[[#This Row],[Type]],50,0)</f>
        <v>259</v>
      </c>
      <c r="X218" s="53">
        <f>RANK(Table5[[#This Row],[zScore]],Table5[[#All],[zScore]])</f>
        <v>209</v>
      </c>
      <c r="Y218" s="52" t="str">
        <f>IFERROR(INDEX(DraftResults[[#All],[OVR]],MATCH(Table5[[#This Row],[PID]],DraftResults[[#All],[Player ID]],0)),"")</f>
        <v/>
      </c>
      <c r="Z2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8" s="52" t="str">
        <f>IFERROR(INDEX(DraftResults[[#All],[Pick in Round]],MATCH(Table5[[#This Row],[PID]],DraftResults[[#All],[Player ID]],0)),"")</f>
        <v/>
      </c>
      <c r="AB218" s="52" t="str">
        <f>IFERROR(INDEX(DraftResults[[#All],[Team Name]],MATCH(Table5[[#This Row],[PID]],DraftResults[[#All],[Player ID]],0)),"")</f>
        <v/>
      </c>
      <c r="AC218" s="52" t="str">
        <f>IF(Table5[[#This Row],[Ovr]]="","",IF(Table5[[#This Row],[cmbList]]="","",Table5[[#This Row],[cmbList]]-Table5[[#This Row],[Ovr]]))</f>
        <v/>
      </c>
      <c r="AD218" s="56" t="str">
        <f>IF(ISERROR(VLOOKUP($AB218&amp;"-"&amp;$E218&amp;" "&amp;F218,Bonuses!$B$1:$G$1006,4,FALSE)),"",INT(VLOOKUP($AB218&amp;"-"&amp;$E218&amp;" "&amp;$F218,Bonuses!$B$1:$G$1006,4,FALSE)))</f>
        <v/>
      </c>
      <c r="AE2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19" spans="1:31" s="52" customFormat="1" x14ac:dyDescent="0.25">
      <c r="A219" s="52">
        <v>17814</v>
      </c>
      <c r="B219" s="52">
        <f>COUNTIF(Table5[PID],A219)</f>
        <v>1</v>
      </c>
      <c r="C219" s="52" t="str">
        <f>IF(COUNTIF(Table3[[#All],[PID]],A219)&gt;0,"P","B")</f>
        <v>B</v>
      </c>
      <c r="D219" s="61" t="str">
        <f>IF($C219="B",INDEX(Batters[[#All],[POS]],MATCH(Table5[[#This Row],[PID]],Batters[[#All],[PID]],0)),INDEX(Table3[[#All],[POS]],MATCH(Table5[[#This Row],[PID]],Table3[[#All],[PID]],0)))</f>
        <v>C</v>
      </c>
      <c r="E219" s="54" t="str">
        <f>IF($C219="B",INDEX(Batters[[#All],[First]],MATCH(Table5[[#This Row],[PID]],Batters[[#All],[PID]],0)),INDEX(Table3[[#All],[First]],MATCH(Table5[[#This Row],[PID]],Table3[[#All],[PID]],0)))</f>
        <v>Marc</v>
      </c>
      <c r="F219" s="52" t="str">
        <f>IF($C219="B",INDEX(Batters[[#All],[Last]],MATCH(A219,Batters[[#All],[PID]],0)),INDEX(Table3[[#All],[Last]],MATCH(A219,Table3[[#All],[PID]],0)))</f>
        <v>Zuijdam</v>
      </c>
      <c r="G219" s="58">
        <f>IF($C219="B",INDEX(Batters[[#All],[Age]],MATCH(Table5[[#This Row],[PID]],Batters[[#All],[PID]],0)),INDEX(Table3[[#All],[Age]],MATCH(Table5[[#This Row],[PID]],Table3[[#All],[PID]],0)))</f>
        <v>21</v>
      </c>
      <c r="H219" s="54" t="str">
        <f>IF($C219="B",INDEX(Batters[[#All],[B]],MATCH(Table5[[#This Row],[PID]],Batters[[#All],[PID]],0)),INDEX(Table3[[#All],[B]],MATCH(Table5[[#This Row],[PID]],Table3[[#All],[PID]],0)))</f>
        <v>R</v>
      </c>
      <c r="I219" s="54" t="str">
        <f>IF($C219="B",INDEX(Batters[[#All],[T]],MATCH(Table5[[#This Row],[PID]],Batters[[#All],[PID]],0)),INDEX(Table3[[#All],[T]],MATCH(Table5[[#This Row],[PID]],Table3[[#All],[PID]],0)))</f>
        <v>R</v>
      </c>
      <c r="J219" s="54" t="str">
        <f>IF($C219="B",INDEX(Batters[[#All],[WE]],MATCH(Table5[[#This Row],[PID]],Batters[[#All],[PID]],0)),INDEX(Table3[[#All],[WE]],MATCH(Table5[[#This Row],[PID]],Table3[[#All],[PID]],0)))</f>
        <v>Normal</v>
      </c>
      <c r="K219" s="54" t="str">
        <f>IF($C219="B",INDEX(Batters[[#All],[INT]],MATCH(Table5[[#This Row],[PID]],Batters[[#All],[PID]],0)),INDEX(Table3[[#All],[INT]],MATCH(Table5[[#This Row],[PID]],Table3[[#All],[PID]],0)))</f>
        <v>Normal</v>
      </c>
      <c r="L219" s="62">
        <f>IF($C219="B",INDEX(Batters[[#All],[CON P]],MATCH(Table5[[#This Row],[PID]],Batters[[#All],[PID]],0)),INDEX(Table3[[#All],[STU P]],MATCH(Table5[[#This Row],[PID]],Table3[[#All],[PID]],0)))</f>
        <v>2</v>
      </c>
      <c r="M219" s="58">
        <f>IF($C219="B",INDEX(Batters[[#All],[GAP P]],MATCH(Table5[[#This Row],[PID]],Batters[[#All],[PID]],0)),INDEX(Table3[[#All],[MOV P]],MATCH(Table5[[#This Row],[PID]],Table3[[#All],[PID]],0)))</f>
        <v>5</v>
      </c>
      <c r="N219" s="58">
        <f>IF($C219="B",INDEX(Batters[[#All],[POW P]],MATCH(Table5[[#This Row],[PID]],Batters[[#All],[PID]],0)),INDEX(Table3[[#All],[CON P]],MATCH(Table5[[#This Row],[PID]],Table3[[#All],[PID]],0)))</f>
        <v>3</v>
      </c>
      <c r="O219" s="58">
        <f>IF($C219="B",INDEX(Batters[[#All],[EYE P]],MATCH(Table5[[#This Row],[PID]],Batters[[#All],[PID]],0)),INDEX(Table3[[#All],[VELO]],MATCH(Table5[[#This Row],[PID]],Table3[[#All],[PID]],0)))</f>
        <v>6</v>
      </c>
      <c r="P219" s="58">
        <f>IF($C219="B",INDEX(Batters[[#All],[K P]],MATCH(Table5[[#This Row],[PID]],Batters[[#All],[PID]],0)),INDEX(Table3[[#All],[STM]],MATCH(Table5[[#This Row],[PID]],Table3[[#All],[PID]],0)))</f>
        <v>2</v>
      </c>
      <c r="Q219" s="63">
        <f>IF($C219="B",INDEX(Batters[[#All],[Tot]],MATCH(Table5[[#This Row],[PID]],Batters[[#All],[PID]],0)),INDEX(Table3[[#All],[Tot]],MATCH(Table5[[#This Row],[PID]],Table3[[#All],[PID]],0)))</f>
        <v>45</v>
      </c>
      <c r="R219" s="54">
        <f>IF($C219="B",INDEX(Batters[[#All],[zScore]],MATCH(Table5[[#This Row],[PID]],Batters[[#All],[PID]],0)),INDEX(Table3[[#All],[zScore]],MATCH(Table5[[#This Row],[PID]],Table3[[#All],[PID]],0)))</f>
        <v>0.81844496037161252</v>
      </c>
      <c r="S219" s="60" t="str">
        <f>IF($C219="B",INDEX(Batters[[#All],[DEM]],MATCH(Table5[[#This Row],[PID]],Batters[[#All],[PID]],0)),INDEX(Table3[[#All],[DEM]],MATCH(Table5[[#This Row],[PID]],Table3[[#All],[PID]],0)))</f>
        <v>-</v>
      </c>
      <c r="T219" s="64">
        <f>IF($C219="B",VLOOKUP($A219,Bat!$A$4:$AU$1417,46,FALSE),VLOOKUP($A219,Pit!$A$4:$BD$570,55,FALSE))</f>
        <v>0</v>
      </c>
      <c r="U219" s="52">
        <f>IF($C219="B",VLOOKUP($A219,Bat!$A$4:$BA$1417,47,FALSE),VLOOKUP($A219,Pit!$A$4:$BF$570,56,FALSE))</f>
        <v>0</v>
      </c>
      <c r="V219" s="52">
        <f>IF($C219="B",VLOOKUP($A219,Bat!$A$4:$BA$1417,48,FALSE),VLOOKUP($A219,Pit!$A$4:$BF$570,57,FALSE))</f>
        <v>0</v>
      </c>
      <c r="W219" s="52">
        <f>Table5[[#This Row],[posRnk]]+Table5[[#This Row],[zRnk]]+IF($W$3&lt;&gt;Table5[[#This Row],[Type]],50,0)</f>
        <v>259</v>
      </c>
      <c r="X219" s="53">
        <f>RANK(Table5[[#This Row],[zScore]],Table5[[#All],[zScore]])</f>
        <v>209</v>
      </c>
      <c r="Y219" s="52" t="str">
        <f>IFERROR(INDEX(DraftResults[[#All],[OVR]],MATCH(Table5[[#This Row],[PID]],DraftResults[[#All],[Player ID]],0)),"")</f>
        <v/>
      </c>
      <c r="Z2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19" s="52" t="str">
        <f>IFERROR(INDEX(DraftResults[[#All],[Pick in Round]],MATCH(Table5[[#This Row],[PID]],DraftResults[[#All],[Player ID]],0)),"")</f>
        <v/>
      </c>
      <c r="AB219" s="52" t="str">
        <f>IFERROR(INDEX(DraftResults[[#All],[Team Name]],MATCH(Table5[[#This Row],[PID]],DraftResults[[#All],[Player ID]],0)),"")</f>
        <v/>
      </c>
      <c r="AC219" s="52" t="str">
        <f>IF(Table5[[#This Row],[Ovr]]="","",IF(Table5[[#This Row],[cmbList]]="","",Table5[[#This Row],[cmbList]]-Table5[[#This Row],[Ovr]]))</f>
        <v/>
      </c>
      <c r="AD219" s="56" t="str">
        <f>IF(ISERROR(VLOOKUP($AB219&amp;"-"&amp;$E219&amp;" "&amp;F219,Bonuses!$B$1:$G$1006,4,FALSE)),"",INT(VLOOKUP($AB219&amp;"-"&amp;$E219&amp;" "&amp;$F219,Bonuses!$B$1:$G$1006,4,FALSE)))</f>
        <v/>
      </c>
      <c r="AE2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0" spans="1:31" s="52" customFormat="1" x14ac:dyDescent="0.25">
      <c r="A220" s="52">
        <v>12887</v>
      </c>
      <c r="B220" s="57">
        <f>COUNTIF(Table5[PID],A220)</f>
        <v>1</v>
      </c>
      <c r="C220" s="57" t="str">
        <f>IF(COUNTIF(Table3[[#All],[PID]],A220)&gt;0,"P","B")</f>
        <v>B</v>
      </c>
      <c r="D220" s="61" t="str">
        <f>IF($C220="B",INDEX(Batters[[#All],[POS]],MATCH(Table5[[#This Row],[PID]],Batters[[#All],[PID]],0)),INDEX(Table3[[#All],[POS]],MATCH(Table5[[#This Row],[PID]],Table3[[#All],[PID]],0)))</f>
        <v>SS</v>
      </c>
      <c r="E220" s="54" t="str">
        <f>IF($C220="B",INDEX(Batters[[#All],[First]],MATCH(Table5[[#This Row],[PID]],Batters[[#All],[PID]],0)),INDEX(Table3[[#All],[First]],MATCH(Table5[[#This Row],[PID]],Table3[[#All],[PID]],0)))</f>
        <v>Mitsuoki</v>
      </c>
      <c r="F220" s="52" t="str">
        <f>IF($C220="B",INDEX(Batters[[#All],[Last]],MATCH(A220,Batters[[#All],[PID]],0)),INDEX(Table3[[#All],[Last]],MATCH(A220,Table3[[#All],[PID]],0)))</f>
        <v>Yamashita</v>
      </c>
      <c r="G220" s="58">
        <f>IF($C220="B",INDEX(Batters[[#All],[Age]],MATCH(Table5[[#This Row],[PID]],Batters[[#All],[PID]],0)),INDEX(Table3[[#All],[Age]],MATCH(Table5[[#This Row],[PID]],Table3[[#All],[PID]],0)))</f>
        <v>21</v>
      </c>
      <c r="H220" s="54" t="str">
        <f>IF($C220="B",INDEX(Batters[[#All],[B]],MATCH(Table5[[#This Row],[PID]],Batters[[#All],[PID]],0)),INDEX(Table3[[#All],[B]],MATCH(Table5[[#This Row],[PID]],Table3[[#All],[PID]],0)))</f>
        <v>R</v>
      </c>
      <c r="I220" s="54" t="str">
        <f>IF($C220="B",INDEX(Batters[[#All],[T]],MATCH(Table5[[#This Row],[PID]],Batters[[#All],[PID]],0)),INDEX(Table3[[#All],[T]],MATCH(Table5[[#This Row],[PID]],Table3[[#All],[PID]],0)))</f>
        <v>R</v>
      </c>
      <c r="J220" s="54" t="str">
        <f>IF($C220="B",INDEX(Batters[[#All],[WE]],MATCH(Table5[[#This Row],[PID]],Batters[[#All],[PID]],0)),INDEX(Table3[[#All],[WE]],MATCH(Table5[[#This Row],[PID]],Table3[[#All],[PID]],0)))</f>
        <v>Normal</v>
      </c>
      <c r="K220" s="54" t="str">
        <f>IF($C220="B",INDEX(Batters[[#All],[INT]],MATCH(Table5[[#This Row],[PID]],Batters[[#All],[PID]],0)),INDEX(Table3[[#All],[INT]],MATCH(Table5[[#This Row],[PID]],Table3[[#All],[PID]],0)))</f>
        <v>Normal</v>
      </c>
      <c r="L220" s="62">
        <f>IF($C220="B",INDEX(Batters[[#All],[CON P]],MATCH(Table5[[#This Row],[PID]],Batters[[#All],[PID]],0)),INDEX(Table3[[#All],[STU P]],MATCH(Table5[[#This Row],[PID]],Table3[[#All],[PID]],0)))</f>
        <v>2</v>
      </c>
      <c r="M220" s="58">
        <f>IF($C220="B",INDEX(Batters[[#All],[GAP P]],MATCH(Table5[[#This Row],[PID]],Batters[[#All],[PID]],0)),INDEX(Table3[[#All],[MOV P]],MATCH(Table5[[#This Row],[PID]],Table3[[#All],[PID]],0)))</f>
        <v>4</v>
      </c>
      <c r="N220" s="58">
        <f>IF($C220="B",INDEX(Batters[[#All],[POW P]],MATCH(Table5[[#This Row],[PID]],Batters[[#All],[PID]],0)),INDEX(Table3[[#All],[CON P]],MATCH(Table5[[#This Row],[PID]],Table3[[#All],[PID]],0)))</f>
        <v>3</v>
      </c>
      <c r="O220" s="58">
        <f>IF($C220="B",INDEX(Batters[[#All],[EYE P]],MATCH(Table5[[#This Row],[PID]],Batters[[#All],[PID]],0)),INDEX(Table3[[#All],[VELO]],MATCH(Table5[[#This Row],[PID]],Table3[[#All],[PID]],0)))</f>
        <v>5</v>
      </c>
      <c r="P220" s="58">
        <f>IF($C220="B",INDEX(Batters[[#All],[K P]],MATCH(Table5[[#This Row],[PID]],Batters[[#All],[PID]],0)),INDEX(Table3[[#All],[STM]],MATCH(Table5[[#This Row],[PID]],Table3[[#All],[PID]],0)))</f>
        <v>3</v>
      </c>
      <c r="Q220" s="63">
        <f>IF($C220="B",INDEX(Batters[[#All],[Tot]],MATCH(Table5[[#This Row],[PID]],Batters[[#All],[PID]],0)),INDEX(Table3[[#All],[Tot]],MATCH(Table5[[#This Row],[PID]],Table3[[#All],[PID]],0)))</f>
        <v>45</v>
      </c>
      <c r="R220" s="54">
        <f>IF($C220="B",INDEX(Batters[[#All],[zScore]],MATCH(Table5[[#This Row],[PID]],Batters[[#All],[PID]],0)),INDEX(Table3[[#All],[zScore]],MATCH(Table5[[#This Row],[PID]],Table3[[#All],[PID]],0)))</f>
        <v>0.81844496037161252</v>
      </c>
      <c r="S220" s="60" t="str">
        <f>IF($C220="B",INDEX(Batters[[#All],[DEM]],MATCH(Table5[[#This Row],[PID]],Batters[[#All],[PID]],0)),INDEX(Table3[[#All],[DEM]],MATCH(Table5[[#This Row],[PID]],Table3[[#All],[PID]],0)))</f>
        <v>-</v>
      </c>
      <c r="T220" s="64">
        <f>IF($C220="B",VLOOKUP($A220,Bat!$A$4:$AU$1417,46,FALSE),VLOOKUP($A220,Pit!$A$4:$BD$570,55,FALSE))</f>
        <v>0</v>
      </c>
      <c r="U220" s="52">
        <f>IF($C220="B",VLOOKUP($A220,Bat!$A$4:$BA$1417,47,FALSE),VLOOKUP($A220,Pit!$A$4:$BF$570,56,FALSE))</f>
        <v>0</v>
      </c>
      <c r="V220" s="52">
        <f>IF($C220="B",VLOOKUP($A220,Bat!$A$4:$BA$1417,48,FALSE),VLOOKUP($A220,Pit!$A$4:$BF$570,57,FALSE))</f>
        <v>0</v>
      </c>
      <c r="W220" s="52">
        <f>Table5[[#This Row],[posRnk]]+Table5[[#This Row],[zRnk]]+IF($W$3&lt;&gt;Table5[[#This Row],[Type]],50,0)</f>
        <v>259</v>
      </c>
      <c r="X220" s="53">
        <f>RANK(Table5[[#This Row],[zScore]],Table5[[#All],[zScore]])</f>
        <v>209</v>
      </c>
      <c r="Y220" s="52" t="str">
        <f>IFERROR(INDEX(DraftResults[[#All],[OVR]],MATCH(Table5[[#This Row],[PID]],DraftResults[[#All],[Player ID]],0)),"")</f>
        <v/>
      </c>
      <c r="Z2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0" s="52" t="str">
        <f>IFERROR(INDEX(DraftResults[[#All],[Pick in Round]],MATCH(Table5[[#This Row],[PID]],DraftResults[[#All],[Player ID]],0)),"")</f>
        <v/>
      </c>
      <c r="AB220" s="52" t="str">
        <f>IFERROR(INDEX(DraftResults[[#All],[Team Name]],MATCH(Table5[[#This Row],[PID]],DraftResults[[#All],[Player ID]],0)),"")</f>
        <v/>
      </c>
      <c r="AC220" s="52" t="str">
        <f>IF(Table5[[#This Row],[Ovr]]="","",IF(Table5[[#This Row],[cmbList]]="","",Table5[[#This Row],[cmbList]]-Table5[[#This Row],[Ovr]]))</f>
        <v/>
      </c>
      <c r="AD220" s="56" t="str">
        <f>IF(ISERROR(VLOOKUP($AB220&amp;"-"&amp;$E220&amp;" "&amp;F220,Bonuses!$B$1:$G$1006,4,FALSE)),"",INT(VLOOKUP($AB220&amp;"-"&amp;$E220&amp;" "&amp;$F220,Bonuses!$B$1:$G$1006,4,FALSE)))</f>
        <v/>
      </c>
      <c r="AE2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1" spans="1:31" s="52" customFormat="1" x14ac:dyDescent="0.25">
      <c r="A221" s="52">
        <v>17590</v>
      </c>
      <c r="B221" s="52">
        <f>COUNTIF(Table5[PID],A221)</f>
        <v>1</v>
      </c>
      <c r="C221" s="52" t="str">
        <f>IF(COUNTIF(Table3[[#All],[PID]],A221)&gt;0,"P","B")</f>
        <v>B</v>
      </c>
      <c r="D221" s="61" t="str">
        <f>IF($C221="B",INDEX(Batters[[#All],[POS]],MATCH(Table5[[#This Row],[PID]],Batters[[#All],[PID]],0)),INDEX(Table3[[#All],[POS]],MATCH(Table5[[#This Row],[PID]],Table3[[#All],[PID]],0)))</f>
        <v>CF</v>
      </c>
      <c r="E221" s="54" t="str">
        <f>IF($C221="B",INDEX(Batters[[#All],[First]],MATCH(Table5[[#This Row],[PID]],Batters[[#All],[PID]],0)),INDEX(Table3[[#All],[First]],MATCH(Table5[[#This Row],[PID]],Table3[[#All],[PID]],0)))</f>
        <v>Tim</v>
      </c>
      <c r="F221" s="52" t="str">
        <f>IF($C221="B",INDEX(Batters[[#All],[Last]],MATCH(A221,Batters[[#All],[PID]],0)),INDEX(Table3[[#All],[Last]],MATCH(A221,Table3[[#All],[PID]],0)))</f>
        <v>Davis</v>
      </c>
      <c r="G221" s="58">
        <f>IF($C221="B",INDEX(Batters[[#All],[Age]],MATCH(Table5[[#This Row],[PID]],Batters[[#All],[PID]],0)),INDEX(Table3[[#All],[Age]],MATCH(Table5[[#This Row],[PID]],Table3[[#All],[PID]],0)))</f>
        <v>18</v>
      </c>
      <c r="H221" s="54" t="str">
        <f>IF($C221="B",INDEX(Batters[[#All],[B]],MATCH(Table5[[#This Row],[PID]],Batters[[#All],[PID]],0)),INDEX(Table3[[#All],[B]],MATCH(Table5[[#This Row],[PID]],Table3[[#All],[PID]],0)))</f>
        <v>R</v>
      </c>
      <c r="I221" s="54" t="str">
        <f>IF($C221="B",INDEX(Batters[[#All],[T]],MATCH(Table5[[#This Row],[PID]],Batters[[#All],[PID]],0)),INDEX(Table3[[#All],[T]],MATCH(Table5[[#This Row],[PID]],Table3[[#All],[PID]],0)))</f>
        <v>L</v>
      </c>
      <c r="J221" s="54" t="str">
        <f>IF($C221="B",INDEX(Batters[[#All],[WE]],MATCH(Table5[[#This Row],[PID]],Batters[[#All],[PID]],0)),INDEX(Table3[[#All],[WE]],MATCH(Table5[[#This Row],[PID]],Table3[[#All],[PID]],0)))</f>
        <v>Low</v>
      </c>
      <c r="K221" s="54" t="str">
        <f>IF($C221="B",INDEX(Batters[[#All],[INT]],MATCH(Table5[[#This Row],[PID]],Batters[[#All],[PID]],0)),INDEX(Table3[[#All],[INT]],MATCH(Table5[[#This Row],[PID]],Table3[[#All],[PID]],0)))</f>
        <v>Normal</v>
      </c>
      <c r="L221" s="62">
        <f>IF($C221="B",INDEX(Batters[[#All],[CON P]],MATCH(Table5[[#This Row],[PID]],Batters[[#All],[PID]],0)),INDEX(Table3[[#All],[STU P]],MATCH(Table5[[#This Row],[PID]],Table3[[#All],[PID]],0)))</f>
        <v>4</v>
      </c>
      <c r="M221" s="58">
        <f>IF($C221="B",INDEX(Batters[[#All],[GAP P]],MATCH(Table5[[#This Row],[PID]],Batters[[#All],[PID]],0)),INDEX(Table3[[#All],[MOV P]],MATCH(Table5[[#This Row],[PID]],Table3[[#All],[PID]],0)))</f>
        <v>4</v>
      </c>
      <c r="N221" s="58">
        <f>IF($C221="B",INDEX(Batters[[#All],[POW P]],MATCH(Table5[[#This Row],[PID]],Batters[[#All],[PID]],0)),INDEX(Table3[[#All],[CON P]],MATCH(Table5[[#This Row],[PID]],Table3[[#All],[PID]],0)))</f>
        <v>3</v>
      </c>
      <c r="O221" s="58">
        <f>IF($C221="B",INDEX(Batters[[#All],[EYE P]],MATCH(Table5[[#This Row],[PID]],Batters[[#All],[PID]],0)),INDEX(Table3[[#All],[VELO]],MATCH(Table5[[#This Row],[PID]],Table3[[#All],[PID]],0)))</f>
        <v>3</v>
      </c>
      <c r="P221" s="58">
        <f>IF($C221="B",INDEX(Batters[[#All],[K P]],MATCH(Table5[[#This Row],[PID]],Batters[[#All],[PID]],0)),INDEX(Table3[[#All],[STM]],MATCH(Table5[[#This Row],[PID]],Table3[[#All],[PID]],0)))</f>
        <v>4</v>
      </c>
      <c r="Q221" s="63">
        <f>IF($C221="B",INDEX(Batters[[#All],[Tot]],MATCH(Table5[[#This Row],[PID]],Batters[[#All],[PID]],0)),INDEX(Table3[[#All],[Tot]],MATCH(Table5[[#This Row],[PID]],Table3[[#All],[PID]],0)))</f>
        <v>44.945678976925343</v>
      </c>
      <c r="R221" s="54">
        <f>IF($C221="B",INDEX(Batters[[#All],[zScore]],MATCH(Table5[[#This Row],[PID]],Batters[[#All],[PID]],0)),INDEX(Table3[[#All],[zScore]],MATCH(Table5[[#This Row],[PID]],Table3[[#All],[PID]],0)))</f>
        <v>0.8088875373956258</v>
      </c>
      <c r="S221" s="60" t="str">
        <f>IF($C221="B",INDEX(Batters[[#All],[DEM]],MATCH(Table5[[#This Row],[PID]],Batters[[#All],[PID]],0)),INDEX(Table3[[#All],[DEM]],MATCH(Table5[[#This Row],[PID]],Table3[[#All],[PID]],0)))</f>
        <v>$220k</v>
      </c>
      <c r="T221" s="64">
        <f>IF($C221="B",VLOOKUP($A221,Bat!$A$4:$AU$1417,46,FALSE),VLOOKUP($A221,Pit!$A$4:$BD$570,55,FALSE))</f>
        <v>0</v>
      </c>
      <c r="U221" s="52">
        <f>IF($C221="B",VLOOKUP($A221,Bat!$A$4:$BA$1417,47,FALSE),VLOOKUP($A221,Pit!$A$4:$BF$570,56,FALSE))</f>
        <v>0</v>
      </c>
      <c r="V221" s="52">
        <f>IF($C221="B",VLOOKUP($A221,Bat!$A$4:$BA$1417,48,FALSE),VLOOKUP($A221,Pit!$A$4:$BF$570,57,FALSE))</f>
        <v>0</v>
      </c>
      <c r="W221" s="52">
        <f>Table5[[#This Row],[posRnk]]+Table5[[#This Row],[zRnk]]+IF($W$3&lt;&gt;Table5[[#This Row],[Type]],50,0)</f>
        <v>267</v>
      </c>
      <c r="X221" s="53">
        <f>RANK(Table5[[#This Row],[zScore]],Table5[[#All],[zScore]])</f>
        <v>217</v>
      </c>
      <c r="Y221" s="52" t="str">
        <f>IFERROR(INDEX(DraftResults[[#All],[OVR]],MATCH(Table5[[#This Row],[PID]],DraftResults[[#All],[Player ID]],0)),"")</f>
        <v/>
      </c>
      <c r="Z2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1" s="52" t="str">
        <f>IFERROR(INDEX(DraftResults[[#All],[Pick in Round]],MATCH(Table5[[#This Row],[PID]],DraftResults[[#All],[Player ID]],0)),"")</f>
        <v/>
      </c>
      <c r="AB221" s="52" t="str">
        <f>IFERROR(INDEX(DraftResults[[#All],[Team Name]],MATCH(Table5[[#This Row],[PID]],DraftResults[[#All],[Player ID]],0)),"")</f>
        <v/>
      </c>
      <c r="AC221" s="52" t="str">
        <f>IF(Table5[[#This Row],[Ovr]]="","",IF(Table5[[#This Row],[cmbList]]="","",Table5[[#This Row],[cmbList]]-Table5[[#This Row],[Ovr]]))</f>
        <v/>
      </c>
      <c r="AD221" s="56" t="str">
        <f>IF(ISERROR(VLOOKUP($AB221&amp;"-"&amp;$E221&amp;" "&amp;F221,Bonuses!$B$1:$G$1006,4,FALSE)),"",INT(VLOOKUP($AB221&amp;"-"&amp;$E221&amp;" "&amp;$F221,Bonuses!$B$1:$G$1006,4,FALSE)))</f>
        <v/>
      </c>
      <c r="AE2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2" spans="1:31" s="52" customFormat="1" x14ac:dyDescent="0.25">
      <c r="A222" s="52">
        <v>6903</v>
      </c>
      <c r="B222" s="52">
        <f>COUNTIF(Table5[PID],A222)</f>
        <v>1</v>
      </c>
      <c r="C222" s="52" t="str">
        <f>IF(COUNTIF(Table3[[#All],[PID]],A222)&gt;0,"P","B")</f>
        <v>P</v>
      </c>
      <c r="D222" s="61" t="str">
        <f>IF($C222="B",INDEX(Batters[[#All],[POS]],MATCH(Table5[[#This Row],[PID]],Batters[[#All],[PID]],0)),INDEX(Table3[[#All],[POS]],MATCH(Table5[[#This Row],[PID]],Table3[[#All],[PID]],0)))</f>
        <v>RP</v>
      </c>
      <c r="E222" s="54" t="str">
        <f>IF($C222="B",INDEX(Batters[[#All],[First]],MATCH(Table5[[#This Row],[PID]],Batters[[#All],[PID]],0)),INDEX(Table3[[#All],[First]],MATCH(Table5[[#This Row],[PID]],Table3[[#All],[PID]],0)))</f>
        <v>Luis</v>
      </c>
      <c r="F222" s="52" t="str">
        <f>IF($C222="B",INDEX(Batters[[#All],[Last]],MATCH(A222,Batters[[#All],[PID]],0)),INDEX(Table3[[#All],[Last]],MATCH(A222,Table3[[#All],[PID]],0)))</f>
        <v>Cerda</v>
      </c>
      <c r="G222" s="58">
        <f>IF($C222="B",INDEX(Batters[[#All],[Age]],MATCH(Table5[[#This Row],[PID]],Batters[[#All],[PID]],0)),INDEX(Table3[[#All],[Age]],MATCH(Table5[[#This Row],[PID]],Table3[[#All],[PID]],0)))</f>
        <v>21</v>
      </c>
      <c r="H222" s="54" t="str">
        <f>IF($C222="B",INDEX(Batters[[#All],[B]],MATCH(Table5[[#This Row],[PID]],Batters[[#All],[PID]],0)),INDEX(Table3[[#All],[B]],MATCH(Table5[[#This Row],[PID]],Table3[[#All],[PID]],0)))</f>
        <v>L</v>
      </c>
      <c r="I222" s="54" t="str">
        <f>IF($C222="B",INDEX(Batters[[#All],[T]],MATCH(Table5[[#This Row],[PID]],Batters[[#All],[PID]],0)),INDEX(Table3[[#All],[T]],MATCH(Table5[[#This Row],[PID]],Table3[[#All],[PID]],0)))</f>
        <v>L</v>
      </c>
      <c r="J222" s="54" t="str">
        <f>IF($C222="B",INDEX(Batters[[#All],[WE]],MATCH(Table5[[#This Row],[PID]],Batters[[#All],[PID]],0)),INDEX(Table3[[#All],[WE]],MATCH(Table5[[#This Row],[PID]],Table3[[#All],[PID]],0)))</f>
        <v>Normal</v>
      </c>
      <c r="K222" s="54" t="str">
        <f>IF($C222="B",INDEX(Batters[[#All],[INT]],MATCH(Table5[[#This Row],[PID]],Batters[[#All],[PID]],0)),INDEX(Table3[[#All],[INT]],MATCH(Table5[[#This Row],[PID]],Table3[[#All],[PID]],0)))</f>
        <v>Normal</v>
      </c>
      <c r="L222" s="62">
        <f>IF($C222="B",INDEX(Batters[[#All],[CON P]],MATCH(Table5[[#This Row],[PID]],Batters[[#All],[PID]],0)),INDEX(Table3[[#All],[STU P]],MATCH(Table5[[#This Row],[PID]],Table3[[#All],[PID]],0)))</f>
        <v>6</v>
      </c>
      <c r="M222" s="58">
        <f>IF($C222="B",INDEX(Batters[[#All],[GAP P]],MATCH(Table5[[#This Row],[PID]],Batters[[#All],[PID]],0)),INDEX(Table3[[#All],[MOV P]],MATCH(Table5[[#This Row],[PID]],Table3[[#All],[PID]],0)))</f>
        <v>4</v>
      </c>
      <c r="N222" s="58">
        <f>IF($C222="B",INDEX(Batters[[#All],[POW P]],MATCH(Table5[[#This Row],[PID]],Batters[[#All],[PID]],0)),INDEX(Table3[[#All],[CON P]],MATCH(Table5[[#This Row],[PID]],Table3[[#All],[PID]],0)))</f>
        <v>2</v>
      </c>
      <c r="O222" s="58" t="str">
        <f>IF($C222="B",INDEX(Batters[[#All],[EYE P]],MATCH(Table5[[#This Row],[PID]],Batters[[#All],[PID]],0)),INDEX(Table3[[#All],[VELO]],MATCH(Table5[[#This Row],[PID]],Table3[[#All],[PID]],0)))</f>
        <v>90-92 Mph</v>
      </c>
      <c r="P222" s="58">
        <f>IF($C222="B",INDEX(Batters[[#All],[K P]],MATCH(Table5[[#This Row],[PID]],Batters[[#All],[PID]],0)),INDEX(Table3[[#All],[STM]],MATCH(Table5[[#This Row],[PID]],Table3[[#All],[PID]],0)))</f>
        <v>8</v>
      </c>
      <c r="Q222" s="63">
        <f>IF($C222="B",INDEX(Batters[[#All],[Tot]],MATCH(Table5[[#This Row],[PID]],Batters[[#All],[PID]],0)),INDEX(Table3[[#All],[Tot]],MATCH(Table5[[#This Row],[PID]],Table3[[#All],[PID]],0)))</f>
        <v>41.459384773786681</v>
      </c>
      <c r="R222" s="54">
        <f>IF($C222="B",INDEX(Batters[[#All],[zScore]],MATCH(Table5[[#This Row],[PID]],Batters[[#All],[PID]],0)),INDEX(Table3[[#All],[zScore]],MATCH(Table5[[#This Row],[PID]],Table3[[#All],[PID]],0)))</f>
        <v>0.80123252373403719</v>
      </c>
      <c r="S222" s="60" t="str">
        <f>IF($C222="B",INDEX(Batters[[#All],[DEM]],MATCH(Table5[[#This Row],[PID]],Batters[[#All],[PID]],0)),INDEX(Table3[[#All],[DEM]],MATCH(Table5[[#This Row],[PID]],Table3[[#All],[PID]],0)))</f>
        <v>-</v>
      </c>
      <c r="T222" s="64">
        <f>IF($C222="B",VLOOKUP($A222,Bat!$A$4:$AU$1417,46,FALSE),VLOOKUP($A222,Pit!$A$4:$BD$570,55,FALSE))</f>
        <v>0</v>
      </c>
      <c r="U222" s="52">
        <f>IF($C222="B",VLOOKUP($A222,Bat!$A$4:$BA$1417,47,FALSE),VLOOKUP($A222,Pit!$A$4:$BF$570,56,FALSE))</f>
        <v>0</v>
      </c>
      <c r="V222" s="52">
        <f>IF($C222="B",VLOOKUP($A222,Bat!$A$4:$BA$1417,48,FALSE),VLOOKUP($A222,Pit!$A$4:$BF$570,57,FALSE))</f>
        <v>0</v>
      </c>
      <c r="W222" s="52">
        <f>Table5[[#This Row],[posRnk]]+Table5[[#This Row],[zRnk]]+IF($W$3&lt;&gt;Table5[[#This Row],[Type]],50,0)</f>
        <v>268</v>
      </c>
      <c r="X222" s="53">
        <f>RANK(Table5[[#This Row],[zScore]],Table5[[#All],[zScore]])</f>
        <v>218</v>
      </c>
      <c r="Y222" s="52" t="str">
        <f>IFERROR(INDEX(DraftResults[[#All],[OVR]],MATCH(Table5[[#This Row],[PID]],DraftResults[[#All],[Player ID]],0)),"")</f>
        <v/>
      </c>
      <c r="Z2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2" s="52" t="str">
        <f>IFERROR(INDEX(DraftResults[[#All],[Pick in Round]],MATCH(Table5[[#This Row],[PID]],DraftResults[[#All],[Player ID]],0)),"")</f>
        <v/>
      </c>
      <c r="AB222" s="52" t="str">
        <f>IFERROR(INDEX(DraftResults[[#All],[Team Name]],MATCH(Table5[[#This Row],[PID]],DraftResults[[#All],[Player ID]],0)),"")</f>
        <v/>
      </c>
      <c r="AC222" s="52" t="str">
        <f>IF(Table5[[#This Row],[Ovr]]="","",IF(Table5[[#This Row],[cmbList]]="","",Table5[[#This Row],[cmbList]]-Table5[[#This Row],[Ovr]]))</f>
        <v/>
      </c>
      <c r="AD222" s="56" t="str">
        <f>IF(ISERROR(VLOOKUP($AB222&amp;"-"&amp;$E222&amp;" "&amp;F222,Bonuses!$B$1:$G$1006,4,FALSE)),"",INT(VLOOKUP($AB222&amp;"-"&amp;$E222&amp;" "&amp;$F222,Bonuses!$B$1:$G$1006,4,FALSE)))</f>
        <v/>
      </c>
      <c r="AE2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3" spans="1:31" s="52" customFormat="1" x14ac:dyDescent="0.25">
      <c r="A223" s="52">
        <v>8140</v>
      </c>
      <c r="B223" s="52">
        <f>COUNTIF(Table5[PID],A223)</f>
        <v>1</v>
      </c>
      <c r="C223" s="52" t="str">
        <f>IF(COUNTIF(Table3[[#All],[PID]],A223)&gt;0,"P","B")</f>
        <v>P</v>
      </c>
      <c r="D223" s="61" t="str">
        <f>IF($C223="B",INDEX(Batters[[#All],[POS]],MATCH(Table5[[#This Row],[PID]],Batters[[#All],[PID]],0)),INDEX(Table3[[#All],[POS]],MATCH(Table5[[#This Row],[PID]],Table3[[#All],[PID]],0)))</f>
        <v>SP</v>
      </c>
      <c r="E223" s="54" t="str">
        <f>IF($C223="B",INDEX(Batters[[#All],[First]],MATCH(Table5[[#This Row],[PID]],Batters[[#All],[PID]],0)),INDEX(Table3[[#All],[First]],MATCH(Table5[[#This Row],[PID]],Table3[[#All],[PID]],0)))</f>
        <v>Brad</v>
      </c>
      <c r="F223" s="52" t="str">
        <f>IF($C223="B",INDEX(Batters[[#All],[Last]],MATCH(A223,Batters[[#All],[PID]],0)),INDEX(Table3[[#All],[Last]],MATCH(A223,Table3[[#All],[PID]],0)))</f>
        <v>Allen</v>
      </c>
      <c r="G223" s="58">
        <f>IF($C223="B",INDEX(Batters[[#All],[Age]],MATCH(Table5[[#This Row],[PID]],Batters[[#All],[PID]],0)),INDEX(Table3[[#All],[Age]],MATCH(Table5[[#This Row],[PID]],Table3[[#All],[PID]],0)))</f>
        <v>18</v>
      </c>
      <c r="H223" s="54" t="str">
        <f>IF($C223="B",INDEX(Batters[[#All],[B]],MATCH(Table5[[#This Row],[PID]],Batters[[#All],[PID]],0)),INDEX(Table3[[#All],[B]],MATCH(Table5[[#This Row],[PID]],Table3[[#All],[PID]],0)))</f>
        <v>L</v>
      </c>
      <c r="I223" s="54" t="str">
        <f>IF($C223="B",INDEX(Batters[[#All],[T]],MATCH(Table5[[#This Row],[PID]],Batters[[#All],[PID]],0)),INDEX(Table3[[#All],[T]],MATCH(Table5[[#This Row],[PID]],Table3[[#All],[PID]],0)))</f>
        <v>L</v>
      </c>
      <c r="J223" s="54" t="str">
        <f>IF($C223="B",INDEX(Batters[[#All],[WE]],MATCH(Table5[[#This Row],[PID]],Batters[[#All],[PID]],0)),INDEX(Table3[[#All],[WE]],MATCH(Table5[[#This Row],[PID]],Table3[[#All],[PID]],0)))</f>
        <v>Normal</v>
      </c>
      <c r="K223" s="54" t="str">
        <f>IF($C223="B",INDEX(Batters[[#All],[INT]],MATCH(Table5[[#This Row],[PID]],Batters[[#All],[PID]],0)),INDEX(Table3[[#All],[INT]],MATCH(Table5[[#This Row],[PID]],Table3[[#All],[PID]],0)))</f>
        <v>High</v>
      </c>
      <c r="L223" s="62">
        <f>IF($C223="B",INDEX(Batters[[#All],[CON P]],MATCH(Table5[[#This Row],[PID]],Batters[[#All],[PID]],0)),INDEX(Table3[[#All],[STU P]],MATCH(Table5[[#This Row],[PID]],Table3[[#All],[PID]],0)))</f>
        <v>4</v>
      </c>
      <c r="M223" s="58">
        <f>IF($C223="B",INDEX(Batters[[#All],[GAP P]],MATCH(Table5[[#This Row],[PID]],Batters[[#All],[PID]],0)),INDEX(Table3[[#All],[MOV P]],MATCH(Table5[[#This Row],[PID]],Table3[[#All],[PID]],0)))</f>
        <v>5</v>
      </c>
      <c r="N223" s="58">
        <f>IF($C223="B",INDEX(Batters[[#All],[POW P]],MATCH(Table5[[#This Row],[PID]],Batters[[#All],[PID]],0)),INDEX(Table3[[#All],[CON P]],MATCH(Table5[[#This Row],[PID]],Table3[[#All],[PID]],0)))</f>
        <v>2</v>
      </c>
      <c r="O223" s="58" t="str">
        <f>IF($C223="B",INDEX(Batters[[#All],[EYE P]],MATCH(Table5[[#This Row],[PID]],Batters[[#All],[PID]],0)),INDEX(Table3[[#All],[VELO]],MATCH(Table5[[#This Row],[PID]],Table3[[#All],[PID]],0)))</f>
        <v>88-90 Mph</v>
      </c>
      <c r="P223" s="58">
        <f>IF($C223="B",INDEX(Batters[[#All],[K P]],MATCH(Table5[[#This Row],[PID]],Batters[[#All],[PID]],0)),INDEX(Table3[[#All],[STM]],MATCH(Table5[[#This Row],[PID]],Table3[[#All],[PID]],0)))</f>
        <v>9</v>
      </c>
      <c r="Q223" s="63">
        <f>IF($C223="B",INDEX(Batters[[#All],[Tot]],MATCH(Table5[[#This Row],[PID]],Batters[[#All],[PID]],0)),INDEX(Table3[[#All],[Tot]],MATCH(Table5[[#This Row],[PID]],Table3[[#All],[PID]],0)))</f>
        <v>41.441427857119024</v>
      </c>
      <c r="R223" s="54">
        <f>IF($C223="B",INDEX(Batters[[#All],[zScore]],MATCH(Table5[[#This Row],[PID]],Batters[[#All],[PID]],0)),INDEX(Table3[[#All],[zScore]],MATCH(Table5[[#This Row],[PID]],Table3[[#All],[PID]],0)))</f>
        <v>0.79958579772613814</v>
      </c>
      <c r="S223" s="60" t="str">
        <f>IF($C223="B",INDEX(Batters[[#All],[DEM]],MATCH(Table5[[#This Row],[PID]],Batters[[#All],[PID]],0)),INDEX(Table3[[#All],[DEM]],MATCH(Table5[[#This Row],[PID]],Table3[[#All],[PID]],0)))</f>
        <v>$330k</v>
      </c>
      <c r="T223" s="64">
        <f>IF($C223="B",VLOOKUP($A223,Bat!$A$4:$AU$1417,46,FALSE),VLOOKUP($A223,Pit!$A$4:$BD$570,55,FALSE))</f>
        <v>0</v>
      </c>
      <c r="U223" s="52">
        <f>IF($C223="B",VLOOKUP($A223,Bat!$A$4:$BA$1417,47,FALSE),VLOOKUP($A223,Pit!$A$4:$BF$570,56,FALSE))</f>
        <v>0</v>
      </c>
      <c r="V223" s="52">
        <f>IF($C223="B",VLOOKUP($A223,Bat!$A$4:$BA$1417,48,FALSE),VLOOKUP($A223,Pit!$A$4:$BF$570,57,FALSE))</f>
        <v>0</v>
      </c>
      <c r="W223" s="52">
        <f>Table5[[#This Row],[posRnk]]+Table5[[#This Row],[zRnk]]+IF($W$3&lt;&gt;Table5[[#This Row],[Type]],50,0)</f>
        <v>269</v>
      </c>
      <c r="X223" s="53">
        <f>RANK(Table5[[#This Row],[zScore]],Table5[[#All],[zScore]])</f>
        <v>219</v>
      </c>
      <c r="Y223" s="52" t="str">
        <f>IFERROR(INDEX(DraftResults[[#All],[OVR]],MATCH(Table5[[#This Row],[PID]],DraftResults[[#All],[Player ID]],0)),"")</f>
        <v/>
      </c>
      <c r="Z2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3" s="52" t="str">
        <f>IFERROR(INDEX(DraftResults[[#All],[Pick in Round]],MATCH(Table5[[#This Row],[PID]],DraftResults[[#All],[Player ID]],0)),"")</f>
        <v/>
      </c>
      <c r="AB223" s="52" t="str">
        <f>IFERROR(INDEX(DraftResults[[#All],[Team Name]],MATCH(Table5[[#This Row],[PID]],DraftResults[[#All],[Player ID]],0)),"")</f>
        <v/>
      </c>
      <c r="AC223" s="52" t="str">
        <f>IF(Table5[[#This Row],[Ovr]]="","",IF(Table5[[#This Row],[cmbList]]="","",Table5[[#This Row],[cmbList]]-Table5[[#This Row],[Ovr]]))</f>
        <v/>
      </c>
      <c r="AD223" s="56" t="str">
        <f>IF(ISERROR(VLOOKUP($AB223&amp;"-"&amp;$E223&amp;" "&amp;F223,Bonuses!$B$1:$G$1006,4,FALSE)),"",INT(VLOOKUP($AB223&amp;"-"&amp;$E223&amp;" "&amp;$F223,Bonuses!$B$1:$G$1006,4,FALSE)))</f>
        <v/>
      </c>
      <c r="AE2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4" spans="1:31" s="52" customFormat="1" x14ac:dyDescent="0.25">
      <c r="A224" s="52">
        <v>7547</v>
      </c>
      <c r="B224" s="52">
        <f>COUNTIF(Table5[PID],A224)</f>
        <v>1</v>
      </c>
      <c r="C224" s="52" t="str">
        <f>IF(COUNTIF(Table3[[#All],[PID]],A224)&gt;0,"P","B")</f>
        <v>P</v>
      </c>
      <c r="D224" s="61" t="str">
        <f>IF($C224="B",INDEX(Batters[[#All],[POS]],MATCH(Table5[[#This Row],[PID]],Batters[[#All],[PID]],0)),INDEX(Table3[[#All],[POS]],MATCH(Table5[[#This Row],[PID]],Table3[[#All],[PID]],0)))</f>
        <v>SP</v>
      </c>
      <c r="E224" s="54" t="str">
        <f>IF($C224="B",INDEX(Batters[[#All],[First]],MATCH(Table5[[#This Row],[PID]],Batters[[#All],[PID]],0)),INDEX(Table3[[#All],[First]],MATCH(Table5[[#This Row],[PID]],Table3[[#All],[PID]],0)))</f>
        <v>Emílio</v>
      </c>
      <c r="F224" s="52" t="str">
        <f>IF($C224="B",INDEX(Batters[[#All],[Last]],MATCH(A224,Batters[[#All],[PID]],0)),INDEX(Table3[[#All],[Last]],MATCH(A224,Table3[[#All],[PID]],0)))</f>
        <v>García</v>
      </c>
      <c r="G224" s="58">
        <f>IF($C224="B",INDEX(Batters[[#All],[Age]],MATCH(Table5[[#This Row],[PID]],Batters[[#All],[PID]],0)),INDEX(Table3[[#All],[Age]],MATCH(Table5[[#This Row],[PID]],Table3[[#All],[PID]],0)))</f>
        <v>18</v>
      </c>
      <c r="H224" s="54" t="str">
        <f>IF($C224="B",INDEX(Batters[[#All],[B]],MATCH(Table5[[#This Row],[PID]],Batters[[#All],[PID]],0)),INDEX(Table3[[#All],[B]],MATCH(Table5[[#This Row],[PID]],Table3[[#All],[PID]],0)))</f>
        <v>R</v>
      </c>
      <c r="I224" s="54" t="str">
        <f>IF($C224="B",INDEX(Batters[[#All],[T]],MATCH(Table5[[#This Row],[PID]],Batters[[#All],[PID]],0)),INDEX(Table3[[#All],[T]],MATCH(Table5[[#This Row],[PID]],Table3[[#All],[PID]],0)))</f>
        <v>R</v>
      </c>
      <c r="J224" s="54" t="str">
        <f>IF($C224="B",INDEX(Batters[[#All],[WE]],MATCH(Table5[[#This Row],[PID]],Batters[[#All],[PID]],0)),INDEX(Table3[[#All],[WE]],MATCH(Table5[[#This Row],[PID]],Table3[[#All],[PID]],0)))</f>
        <v>High</v>
      </c>
      <c r="K224" s="54" t="str">
        <f>IF($C224="B",INDEX(Batters[[#All],[INT]],MATCH(Table5[[#This Row],[PID]],Batters[[#All],[PID]],0)),INDEX(Table3[[#All],[INT]],MATCH(Table5[[#This Row],[PID]],Table3[[#All],[PID]],0)))</f>
        <v>Normal</v>
      </c>
      <c r="L224" s="62">
        <f>IF($C224="B",INDEX(Batters[[#All],[CON P]],MATCH(Table5[[#This Row],[PID]],Batters[[#All],[PID]],0)),INDEX(Table3[[#All],[STU P]],MATCH(Table5[[#This Row],[PID]],Table3[[#All],[PID]],0)))</f>
        <v>5</v>
      </c>
      <c r="M224" s="58">
        <f>IF($C224="B",INDEX(Batters[[#All],[GAP P]],MATCH(Table5[[#This Row],[PID]],Batters[[#All],[PID]],0)),INDEX(Table3[[#All],[MOV P]],MATCH(Table5[[#This Row],[PID]],Table3[[#All],[PID]],0)))</f>
        <v>2</v>
      </c>
      <c r="N224" s="58">
        <f>IF($C224="B",INDEX(Batters[[#All],[POW P]],MATCH(Table5[[#This Row],[PID]],Batters[[#All],[PID]],0)),INDEX(Table3[[#All],[CON P]],MATCH(Table5[[#This Row],[PID]],Table3[[#All],[PID]],0)))</f>
        <v>3</v>
      </c>
      <c r="O224" s="58" t="str">
        <f>IF($C224="B",INDEX(Batters[[#All],[EYE P]],MATCH(Table5[[#This Row],[PID]],Batters[[#All],[PID]],0)),INDEX(Table3[[#All],[VELO]],MATCH(Table5[[#This Row],[PID]],Table3[[#All],[PID]],0)))</f>
        <v>92-94 Mph</v>
      </c>
      <c r="P224" s="58">
        <f>IF($C224="B",INDEX(Batters[[#All],[K P]],MATCH(Table5[[#This Row],[PID]],Batters[[#All],[PID]],0)),INDEX(Table3[[#All],[STM]],MATCH(Table5[[#This Row],[PID]],Table3[[#All],[PID]],0)))</f>
        <v>6</v>
      </c>
      <c r="Q224" s="63">
        <f>IF($C224="B",INDEX(Batters[[#All],[Tot]],MATCH(Table5[[#This Row],[PID]],Batters[[#All],[PID]],0)),INDEX(Table3[[#All],[Tot]],MATCH(Table5[[#This Row],[PID]],Table3[[#All],[PID]],0)))</f>
        <v>41.385474239092261</v>
      </c>
      <c r="R224" s="54">
        <f>IF($C224="B",INDEX(Batters[[#All],[zScore]],MATCH(Table5[[#This Row],[PID]],Batters[[#All],[PID]],0)),INDEX(Table3[[#All],[zScore]],MATCH(Table5[[#This Row],[PID]],Table3[[#All],[PID]],0)))</f>
        <v>0.79445461180229426</v>
      </c>
      <c r="S224" s="60" t="str">
        <f>IF($C224="B",INDEX(Batters[[#All],[DEM]],MATCH(Table5[[#This Row],[PID]],Batters[[#All],[PID]],0)),INDEX(Table3[[#All],[DEM]],MATCH(Table5[[#This Row],[PID]],Table3[[#All],[PID]],0)))</f>
        <v>$200k</v>
      </c>
      <c r="T224" s="64">
        <f>IF($C224="B",VLOOKUP($A224,Bat!$A$4:$AU$1417,46,FALSE),VLOOKUP($A224,Pit!$A$4:$BD$570,55,FALSE))</f>
        <v>0</v>
      </c>
      <c r="U224" s="52">
        <f>IF($C224="B",VLOOKUP($A224,Bat!$A$4:$BA$1417,47,FALSE),VLOOKUP($A224,Pit!$A$4:$BF$570,56,FALSE))</f>
        <v>0</v>
      </c>
      <c r="V224" s="52">
        <f>IF($C224="B",VLOOKUP($A224,Bat!$A$4:$BA$1417,48,FALSE),VLOOKUP($A224,Pit!$A$4:$BF$570,57,FALSE))</f>
        <v>0</v>
      </c>
      <c r="W224" s="52">
        <f>Table5[[#This Row],[posRnk]]+Table5[[#This Row],[zRnk]]+IF($W$3&lt;&gt;Table5[[#This Row],[Type]],50,0)</f>
        <v>270</v>
      </c>
      <c r="X224" s="53">
        <f>RANK(Table5[[#This Row],[zScore]],Table5[[#All],[zScore]])</f>
        <v>220</v>
      </c>
      <c r="Y224" s="52" t="str">
        <f>IFERROR(INDEX(DraftResults[[#All],[OVR]],MATCH(Table5[[#This Row],[PID]],DraftResults[[#All],[Player ID]],0)),"")</f>
        <v/>
      </c>
      <c r="Z2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4" s="52" t="str">
        <f>IFERROR(INDEX(DraftResults[[#All],[Pick in Round]],MATCH(Table5[[#This Row],[PID]],DraftResults[[#All],[Player ID]],0)),"")</f>
        <v/>
      </c>
      <c r="AB224" s="52" t="str">
        <f>IFERROR(INDEX(DraftResults[[#All],[Team Name]],MATCH(Table5[[#This Row],[PID]],DraftResults[[#All],[Player ID]],0)),"")</f>
        <v/>
      </c>
      <c r="AC224" s="52" t="str">
        <f>IF(Table5[[#This Row],[Ovr]]="","",IF(Table5[[#This Row],[cmbList]]="","",Table5[[#This Row],[cmbList]]-Table5[[#This Row],[Ovr]]))</f>
        <v/>
      </c>
      <c r="AD224" s="56" t="str">
        <f>IF(ISERROR(VLOOKUP($AB224&amp;"-"&amp;$E224&amp;" "&amp;F224,Bonuses!$B$1:$G$1006,4,FALSE)),"",INT(VLOOKUP($AB224&amp;"-"&amp;$E224&amp;" "&amp;$F224,Bonuses!$B$1:$G$1006,4,FALSE)))</f>
        <v/>
      </c>
      <c r="AE2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5" spans="1:31" s="52" customFormat="1" x14ac:dyDescent="0.25">
      <c r="A225" s="52">
        <v>16004</v>
      </c>
      <c r="B225" s="52">
        <f>COUNTIF(Table5[PID],A225)</f>
        <v>1</v>
      </c>
      <c r="C225" s="52" t="str">
        <f>IF(COUNTIF(Table3[[#All],[PID]],A225)&gt;0,"P","B")</f>
        <v>B</v>
      </c>
      <c r="D225" s="61" t="str">
        <f>IF($C225="B",INDEX(Batters[[#All],[POS]],MATCH(Table5[[#This Row],[PID]],Batters[[#All],[PID]],0)),INDEX(Table3[[#All],[POS]],MATCH(Table5[[#This Row],[PID]],Table3[[#All],[PID]],0)))</f>
        <v>2B</v>
      </c>
      <c r="E225" s="54" t="str">
        <f>IF($C225="B",INDEX(Batters[[#All],[First]],MATCH(Table5[[#This Row],[PID]],Batters[[#All],[PID]],0)),INDEX(Table3[[#All],[First]],MATCH(Table5[[#This Row],[PID]],Table3[[#All],[PID]],0)))</f>
        <v>Pedro</v>
      </c>
      <c r="F225" s="52" t="str">
        <f>IF($C225="B",INDEX(Batters[[#All],[Last]],MATCH(A225,Batters[[#All],[PID]],0)),INDEX(Table3[[#All],[Last]],MATCH(A225,Table3[[#All],[PID]],0)))</f>
        <v>Venegas</v>
      </c>
      <c r="G225" s="58">
        <f>IF($C225="B",INDEX(Batters[[#All],[Age]],MATCH(Table5[[#This Row],[PID]],Batters[[#All],[PID]],0)),INDEX(Table3[[#All],[Age]],MATCH(Table5[[#This Row],[PID]],Table3[[#All],[PID]],0)))</f>
        <v>21</v>
      </c>
      <c r="H225" s="54" t="str">
        <f>IF($C225="B",INDEX(Batters[[#All],[B]],MATCH(Table5[[#This Row],[PID]],Batters[[#All],[PID]],0)),INDEX(Table3[[#All],[B]],MATCH(Table5[[#This Row],[PID]],Table3[[#All],[PID]],0)))</f>
        <v>R</v>
      </c>
      <c r="I225" s="54" t="str">
        <f>IF($C225="B",INDEX(Batters[[#All],[T]],MATCH(Table5[[#This Row],[PID]],Batters[[#All],[PID]],0)),INDEX(Table3[[#All],[T]],MATCH(Table5[[#This Row],[PID]],Table3[[#All],[PID]],0)))</f>
        <v>R</v>
      </c>
      <c r="J225" s="54" t="str">
        <f>IF($C225="B",INDEX(Batters[[#All],[WE]],MATCH(Table5[[#This Row],[PID]],Batters[[#All],[PID]],0)),INDEX(Table3[[#All],[WE]],MATCH(Table5[[#This Row],[PID]],Table3[[#All],[PID]],0)))</f>
        <v>Normal</v>
      </c>
      <c r="K225" s="54" t="str">
        <f>IF($C225="B",INDEX(Batters[[#All],[INT]],MATCH(Table5[[#This Row],[PID]],Batters[[#All],[PID]],0)),INDEX(Table3[[#All],[INT]],MATCH(Table5[[#This Row],[PID]],Table3[[#All],[PID]],0)))</f>
        <v>Normal</v>
      </c>
      <c r="L225" s="62">
        <f>IF($C225="B",INDEX(Batters[[#All],[CON P]],MATCH(Table5[[#This Row],[PID]],Batters[[#All],[PID]],0)),INDEX(Table3[[#All],[STU P]],MATCH(Table5[[#This Row],[PID]],Table3[[#All],[PID]],0)))</f>
        <v>2</v>
      </c>
      <c r="M225" s="58">
        <f>IF($C225="B",INDEX(Batters[[#All],[GAP P]],MATCH(Table5[[#This Row],[PID]],Batters[[#All],[PID]],0)),INDEX(Table3[[#All],[MOV P]],MATCH(Table5[[#This Row],[PID]],Table3[[#All],[PID]],0)))</f>
        <v>2</v>
      </c>
      <c r="N225" s="58">
        <f>IF($C225="B",INDEX(Batters[[#All],[POW P]],MATCH(Table5[[#This Row],[PID]],Batters[[#All],[PID]],0)),INDEX(Table3[[#All],[CON P]],MATCH(Table5[[#This Row],[PID]],Table3[[#All],[PID]],0)))</f>
        <v>2</v>
      </c>
      <c r="O225" s="58">
        <f>IF($C225="B",INDEX(Batters[[#All],[EYE P]],MATCH(Table5[[#This Row],[PID]],Batters[[#All],[PID]],0)),INDEX(Table3[[#All],[VELO]],MATCH(Table5[[#This Row],[PID]],Table3[[#All],[PID]],0)))</f>
        <v>3</v>
      </c>
      <c r="P225" s="58">
        <f>IF($C225="B",INDEX(Batters[[#All],[K P]],MATCH(Table5[[#This Row],[PID]],Batters[[#All],[PID]],0)),INDEX(Table3[[#All],[STM]],MATCH(Table5[[#This Row],[PID]],Table3[[#All],[PID]],0)))</f>
        <v>5</v>
      </c>
      <c r="Q225" s="63">
        <f>IF($C225="B",INDEX(Batters[[#All],[Tot]],MATCH(Table5[[#This Row],[PID]],Batters[[#All],[PID]],0)),INDEX(Table3[[#All],[Tot]],MATCH(Table5[[#This Row],[PID]],Table3[[#All],[PID]],0)))</f>
        <v>44.85</v>
      </c>
      <c r="R225" s="54">
        <f>IF($C225="B",INDEX(Batters[[#All],[zScore]],MATCH(Table5[[#This Row],[PID]],Batters[[#All],[PID]],0)),INDEX(Table3[[#All],[zScore]],MATCH(Table5[[#This Row],[PID]],Table3[[#All],[PID]],0)))</f>
        <v>0.7920534573171194</v>
      </c>
      <c r="S225" s="60" t="str">
        <f>IF($C225="B",INDEX(Batters[[#All],[DEM]],MATCH(Table5[[#This Row],[PID]],Batters[[#All],[PID]],0)),INDEX(Table3[[#All],[DEM]],MATCH(Table5[[#This Row],[PID]],Table3[[#All],[PID]],0)))</f>
        <v>-</v>
      </c>
      <c r="T225" s="64">
        <f>IF($C225="B",VLOOKUP($A225,Bat!$A$4:$AU$1417,46,FALSE),VLOOKUP($A225,Pit!$A$4:$BD$570,55,FALSE))</f>
        <v>0</v>
      </c>
      <c r="U225" s="52">
        <f>IF($C225="B",VLOOKUP($A225,Bat!$A$4:$BA$1417,47,FALSE),VLOOKUP($A225,Pit!$A$4:$BF$570,56,FALSE))</f>
        <v>0</v>
      </c>
      <c r="V225" s="52">
        <f>IF($C225="B",VLOOKUP($A225,Bat!$A$4:$BA$1417,48,FALSE),VLOOKUP($A225,Pit!$A$4:$BF$570,57,FALSE))</f>
        <v>0</v>
      </c>
      <c r="W225" s="52">
        <f>Table5[[#This Row],[posRnk]]+Table5[[#This Row],[zRnk]]+IF($W$3&lt;&gt;Table5[[#This Row],[Type]],50,0)</f>
        <v>271</v>
      </c>
      <c r="X225" s="53">
        <f>RANK(Table5[[#This Row],[zScore]],Table5[[#All],[zScore]])</f>
        <v>221</v>
      </c>
      <c r="Y225" s="52" t="str">
        <f>IFERROR(INDEX(DraftResults[[#All],[OVR]],MATCH(Table5[[#This Row],[PID]],DraftResults[[#All],[Player ID]],0)),"")</f>
        <v/>
      </c>
      <c r="Z2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5" s="52" t="str">
        <f>IFERROR(INDEX(DraftResults[[#All],[Pick in Round]],MATCH(Table5[[#This Row],[PID]],DraftResults[[#All],[Player ID]],0)),"")</f>
        <v/>
      </c>
      <c r="AB225" s="52" t="str">
        <f>IFERROR(INDEX(DraftResults[[#All],[Team Name]],MATCH(Table5[[#This Row],[PID]],DraftResults[[#All],[Player ID]],0)),"")</f>
        <v/>
      </c>
      <c r="AC225" s="52" t="str">
        <f>IF(Table5[[#This Row],[Ovr]]="","",IF(Table5[[#This Row],[cmbList]]="","",Table5[[#This Row],[cmbList]]-Table5[[#This Row],[Ovr]]))</f>
        <v/>
      </c>
      <c r="AD225" s="56" t="str">
        <f>IF(ISERROR(VLOOKUP($AB225&amp;"-"&amp;$E225&amp;" "&amp;F225,Bonuses!$B$1:$G$1006,4,FALSE)),"",INT(VLOOKUP($AB225&amp;"-"&amp;$E225&amp;" "&amp;$F225,Bonuses!$B$1:$G$1006,4,FALSE)))</f>
        <v/>
      </c>
      <c r="AE2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6" spans="1:31" s="52" customFormat="1" x14ac:dyDescent="0.25">
      <c r="A226" s="52">
        <v>6254</v>
      </c>
      <c r="B226" s="52">
        <f>COUNTIF(Table5[PID],A226)</f>
        <v>1</v>
      </c>
      <c r="C226" s="52" t="str">
        <f>IF(COUNTIF(Table3[[#All],[PID]],A226)&gt;0,"P","B")</f>
        <v>B</v>
      </c>
      <c r="D226" s="61" t="str">
        <f>IF($C226="B",INDEX(Batters[[#All],[POS]],MATCH(Table5[[#This Row],[PID]],Batters[[#All],[PID]],0)),INDEX(Table3[[#All],[POS]],MATCH(Table5[[#This Row],[PID]],Table3[[#All],[PID]],0)))</f>
        <v>C</v>
      </c>
      <c r="E226" s="54" t="str">
        <f>IF($C226="B",INDEX(Batters[[#All],[First]],MATCH(Table5[[#This Row],[PID]],Batters[[#All],[PID]],0)),INDEX(Table3[[#All],[First]],MATCH(Table5[[#This Row],[PID]],Table3[[#All],[PID]],0)))</f>
        <v>Ralph</v>
      </c>
      <c r="F226" s="52" t="str">
        <f>IF($C226="B",INDEX(Batters[[#All],[Last]],MATCH(A226,Batters[[#All],[PID]],0)),INDEX(Table3[[#All],[Last]],MATCH(A226,Table3[[#All],[PID]],0)))</f>
        <v>Rice</v>
      </c>
      <c r="G226" s="58">
        <f>IF($C226="B",INDEX(Batters[[#All],[Age]],MATCH(Table5[[#This Row],[PID]],Batters[[#All],[PID]],0)),INDEX(Table3[[#All],[Age]],MATCH(Table5[[#This Row],[PID]],Table3[[#All],[PID]],0)))</f>
        <v>20</v>
      </c>
      <c r="H226" s="54" t="str">
        <f>IF($C226="B",INDEX(Batters[[#All],[B]],MATCH(Table5[[#This Row],[PID]],Batters[[#All],[PID]],0)),INDEX(Table3[[#All],[B]],MATCH(Table5[[#This Row],[PID]],Table3[[#All],[PID]],0)))</f>
        <v>R</v>
      </c>
      <c r="I226" s="54" t="str">
        <f>IF($C226="B",INDEX(Batters[[#All],[T]],MATCH(Table5[[#This Row],[PID]],Batters[[#All],[PID]],0)),INDEX(Table3[[#All],[T]],MATCH(Table5[[#This Row],[PID]],Table3[[#All],[PID]],0)))</f>
        <v>R</v>
      </c>
      <c r="J226" s="54" t="str">
        <f>IF($C226="B",INDEX(Batters[[#All],[WE]],MATCH(Table5[[#This Row],[PID]],Batters[[#All],[PID]],0)),INDEX(Table3[[#All],[WE]],MATCH(Table5[[#This Row],[PID]],Table3[[#All],[PID]],0)))</f>
        <v>Normal</v>
      </c>
      <c r="K226" s="54" t="str">
        <f>IF($C226="B",INDEX(Batters[[#All],[INT]],MATCH(Table5[[#This Row],[PID]],Batters[[#All],[PID]],0)),INDEX(Table3[[#All],[INT]],MATCH(Table5[[#This Row],[PID]],Table3[[#All],[PID]],0)))</f>
        <v>Normal</v>
      </c>
      <c r="L226" s="62">
        <f>IF($C226="B",INDEX(Batters[[#All],[CON P]],MATCH(Table5[[#This Row],[PID]],Batters[[#All],[PID]],0)),INDEX(Table3[[#All],[STU P]],MATCH(Table5[[#This Row],[PID]],Table3[[#All],[PID]],0)))</f>
        <v>2</v>
      </c>
      <c r="M226" s="58">
        <f>IF($C226="B",INDEX(Batters[[#All],[GAP P]],MATCH(Table5[[#This Row],[PID]],Batters[[#All],[PID]],0)),INDEX(Table3[[#All],[MOV P]],MATCH(Table5[[#This Row],[PID]],Table3[[#All],[PID]],0)))</f>
        <v>2</v>
      </c>
      <c r="N226" s="58">
        <f>IF($C226="B",INDEX(Batters[[#All],[POW P]],MATCH(Table5[[#This Row],[PID]],Batters[[#All],[PID]],0)),INDEX(Table3[[#All],[CON P]],MATCH(Table5[[#This Row],[PID]],Table3[[#All],[PID]],0)))</f>
        <v>3</v>
      </c>
      <c r="O226" s="58">
        <f>IF($C226="B",INDEX(Batters[[#All],[EYE P]],MATCH(Table5[[#This Row],[PID]],Batters[[#All],[PID]],0)),INDEX(Table3[[#All],[VELO]],MATCH(Table5[[#This Row],[PID]],Table3[[#All],[PID]],0)))</f>
        <v>6</v>
      </c>
      <c r="P226" s="58">
        <f>IF($C226="B",INDEX(Batters[[#All],[K P]],MATCH(Table5[[#This Row],[PID]],Batters[[#All],[PID]],0)),INDEX(Table3[[#All],[STM]],MATCH(Table5[[#This Row],[PID]],Table3[[#All],[PID]],0)))</f>
        <v>1</v>
      </c>
      <c r="Q226" s="63">
        <f>IF($C226="B",INDEX(Batters[[#All],[Tot]],MATCH(Table5[[#This Row],[PID]],Batters[[#All],[PID]],0)),INDEX(Table3[[#All],[Tot]],MATCH(Table5[[#This Row],[PID]],Table3[[#All],[PID]],0)))</f>
        <v>44.85</v>
      </c>
      <c r="R226" s="54">
        <f>IF($C226="B",INDEX(Batters[[#All],[zScore]],MATCH(Table5[[#This Row],[PID]],Batters[[#All],[PID]],0)),INDEX(Table3[[#All],[zScore]],MATCH(Table5[[#This Row],[PID]],Table3[[#All],[PID]],0)))</f>
        <v>0.7920534573171194</v>
      </c>
      <c r="S226" s="60" t="str">
        <f>IF($C226="B",INDEX(Batters[[#All],[DEM]],MATCH(Table5[[#This Row],[PID]],Batters[[#All],[PID]],0)),INDEX(Table3[[#All],[DEM]],MATCH(Table5[[#This Row],[PID]],Table3[[#All],[PID]],0)))</f>
        <v>-</v>
      </c>
      <c r="T226" s="64">
        <f>IF($C226="B",VLOOKUP($A226,Bat!$A$4:$AU$1417,46,FALSE),VLOOKUP($A226,Pit!$A$4:$BD$570,55,FALSE))</f>
        <v>0</v>
      </c>
      <c r="U226" s="52">
        <f>IF($C226="B",VLOOKUP($A226,Bat!$A$4:$BA$1417,47,FALSE),VLOOKUP($A226,Pit!$A$4:$BF$570,56,FALSE))</f>
        <v>0</v>
      </c>
      <c r="V226" s="52">
        <f>IF($C226="B",VLOOKUP($A226,Bat!$A$4:$BA$1417,48,FALSE),VLOOKUP($A226,Pit!$A$4:$BF$570,57,FALSE))</f>
        <v>0</v>
      </c>
      <c r="W226" s="52">
        <f>Table5[[#This Row],[posRnk]]+Table5[[#This Row],[zRnk]]+IF($W$3&lt;&gt;Table5[[#This Row],[Type]],50,0)</f>
        <v>271</v>
      </c>
      <c r="X226" s="53">
        <f>RANK(Table5[[#This Row],[zScore]],Table5[[#All],[zScore]])</f>
        <v>221</v>
      </c>
      <c r="Y226" s="52" t="str">
        <f>IFERROR(INDEX(DraftResults[[#All],[OVR]],MATCH(Table5[[#This Row],[PID]],DraftResults[[#All],[Player ID]],0)),"")</f>
        <v/>
      </c>
      <c r="Z2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6" s="52" t="str">
        <f>IFERROR(INDEX(DraftResults[[#All],[Pick in Round]],MATCH(Table5[[#This Row],[PID]],DraftResults[[#All],[Player ID]],0)),"")</f>
        <v/>
      </c>
      <c r="AB226" s="52" t="str">
        <f>IFERROR(INDEX(DraftResults[[#All],[Team Name]],MATCH(Table5[[#This Row],[PID]],DraftResults[[#All],[Player ID]],0)),"")</f>
        <v/>
      </c>
      <c r="AC226" s="52" t="str">
        <f>IF(Table5[[#This Row],[Ovr]]="","",IF(Table5[[#This Row],[cmbList]]="","",Table5[[#This Row],[cmbList]]-Table5[[#This Row],[Ovr]]))</f>
        <v/>
      </c>
      <c r="AD226" s="56" t="str">
        <f>IF(ISERROR(VLOOKUP($AB226&amp;"-"&amp;$E226&amp;" "&amp;F226,Bonuses!$B$1:$G$1006,4,FALSE)),"",INT(VLOOKUP($AB226&amp;"-"&amp;$E226&amp;" "&amp;$F226,Bonuses!$B$1:$G$1006,4,FALSE)))</f>
        <v/>
      </c>
      <c r="AE2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7" spans="1:31" s="52" customFormat="1" x14ac:dyDescent="0.25">
      <c r="A227" s="52">
        <v>12970</v>
      </c>
      <c r="B227" s="52">
        <f>COUNTIF(Table5[PID],A227)</f>
        <v>1</v>
      </c>
      <c r="C227" s="52" t="str">
        <f>IF(COUNTIF(Table3[[#All],[PID]],A227)&gt;0,"P","B")</f>
        <v>P</v>
      </c>
      <c r="D227" s="61" t="str">
        <f>IF($C227="B",INDEX(Batters[[#All],[POS]],MATCH(Table5[[#This Row],[PID]],Batters[[#All],[PID]],0)),INDEX(Table3[[#All],[POS]],MATCH(Table5[[#This Row],[PID]],Table3[[#All],[PID]],0)))</f>
        <v>RP</v>
      </c>
      <c r="E227" s="54" t="str">
        <f>IF($C227="B",INDEX(Batters[[#All],[First]],MATCH(Table5[[#This Row],[PID]],Batters[[#All],[PID]],0)),INDEX(Table3[[#All],[First]],MATCH(Table5[[#This Row],[PID]],Table3[[#All],[PID]],0)))</f>
        <v>Alex</v>
      </c>
      <c r="F227" s="52" t="str">
        <f>IF($C227="B",INDEX(Batters[[#All],[Last]],MATCH(A227,Batters[[#All],[PID]],0)),INDEX(Table3[[#All],[Last]],MATCH(A227,Table3[[#All],[PID]],0)))</f>
        <v>Morris</v>
      </c>
      <c r="G227" s="58">
        <f>IF($C227="B",INDEX(Batters[[#All],[Age]],MATCH(Table5[[#This Row],[PID]],Batters[[#All],[PID]],0)),INDEX(Table3[[#All],[Age]],MATCH(Table5[[#This Row],[PID]],Table3[[#All],[PID]],0)))</f>
        <v>18</v>
      </c>
      <c r="H227" s="54" t="str">
        <f>IF($C227="B",INDEX(Batters[[#All],[B]],MATCH(Table5[[#This Row],[PID]],Batters[[#All],[PID]],0)),INDEX(Table3[[#All],[B]],MATCH(Table5[[#This Row],[PID]],Table3[[#All],[PID]],0)))</f>
        <v>S</v>
      </c>
      <c r="I227" s="54" t="str">
        <f>IF($C227="B",INDEX(Batters[[#All],[T]],MATCH(Table5[[#This Row],[PID]],Batters[[#All],[PID]],0)),INDEX(Table3[[#All],[T]],MATCH(Table5[[#This Row],[PID]],Table3[[#All],[PID]],0)))</f>
        <v>R</v>
      </c>
      <c r="J227" s="54" t="str">
        <f>IF($C227="B",INDEX(Batters[[#All],[WE]],MATCH(Table5[[#This Row],[PID]],Batters[[#All],[PID]],0)),INDEX(Table3[[#All],[WE]],MATCH(Table5[[#This Row],[PID]],Table3[[#All],[PID]],0)))</f>
        <v>High</v>
      </c>
      <c r="K227" s="54" t="str">
        <f>IF($C227="B",INDEX(Batters[[#All],[INT]],MATCH(Table5[[#This Row],[PID]],Batters[[#All],[PID]],0)),INDEX(Table3[[#All],[INT]],MATCH(Table5[[#This Row],[PID]],Table3[[#All],[PID]],0)))</f>
        <v>Low</v>
      </c>
      <c r="L227" s="62">
        <f>IF($C227="B",INDEX(Batters[[#All],[CON P]],MATCH(Table5[[#This Row],[PID]],Batters[[#All],[PID]],0)),INDEX(Table3[[#All],[STU P]],MATCH(Table5[[#This Row],[PID]],Table3[[#All],[PID]],0)))</f>
        <v>3</v>
      </c>
      <c r="M227" s="58">
        <f>IF($C227="B",INDEX(Batters[[#All],[GAP P]],MATCH(Table5[[#This Row],[PID]],Batters[[#All],[PID]],0)),INDEX(Table3[[#All],[MOV P]],MATCH(Table5[[#This Row],[PID]],Table3[[#All],[PID]],0)))</f>
        <v>5</v>
      </c>
      <c r="N227" s="58">
        <f>IF($C227="B",INDEX(Batters[[#All],[POW P]],MATCH(Table5[[#This Row],[PID]],Batters[[#All],[PID]],0)),INDEX(Table3[[#All],[CON P]],MATCH(Table5[[#This Row],[PID]],Table3[[#All],[PID]],0)))</f>
        <v>4</v>
      </c>
      <c r="O227" s="58" t="str">
        <f>IF($C227="B",INDEX(Batters[[#All],[EYE P]],MATCH(Table5[[#This Row],[PID]],Batters[[#All],[PID]],0)),INDEX(Table3[[#All],[VELO]],MATCH(Table5[[#This Row],[PID]],Table3[[#All],[PID]],0)))</f>
        <v>84-86 Mph</v>
      </c>
      <c r="P227" s="58">
        <f>IF($C227="B",INDEX(Batters[[#All],[K P]],MATCH(Table5[[#This Row],[PID]],Batters[[#All],[PID]],0)),INDEX(Table3[[#All],[STM]],MATCH(Table5[[#This Row],[PID]],Table3[[#All],[PID]],0)))</f>
        <v>1</v>
      </c>
      <c r="Q227" s="63">
        <f>IF($C227="B",INDEX(Batters[[#All],[Tot]],MATCH(Table5[[#This Row],[PID]],Batters[[#All],[PID]],0)),INDEX(Table3[[#All],[Tot]],MATCH(Table5[[#This Row],[PID]],Table3[[#All],[PID]],0)))</f>
        <v>39.306062527780469</v>
      </c>
      <c r="R227" s="54">
        <f>IF($C227="B",INDEX(Batters[[#All],[zScore]],MATCH(Table5[[#This Row],[PID]],Batters[[#All],[PID]],0)),INDEX(Table3[[#All],[zScore]],MATCH(Table5[[#This Row],[PID]],Table3[[#All],[PID]],0)))</f>
        <v>0.78096725114644183</v>
      </c>
      <c r="S227" s="60" t="str">
        <f>IF($C227="B",INDEX(Batters[[#All],[DEM]],MATCH(Table5[[#This Row],[PID]],Batters[[#All],[PID]],0)),INDEX(Table3[[#All],[DEM]],MATCH(Table5[[#This Row],[PID]],Table3[[#All],[PID]],0)))</f>
        <v>$85k</v>
      </c>
      <c r="T227" s="64">
        <f>IF($C227="B",VLOOKUP($A227,Bat!$A$4:$AU$1417,46,FALSE),VLOOKUP($A227,Pit!$A$4:$BD$570,55,FALSE))</f>
        <v>0</v>
      </c>
      <c r="U227" s="52">
        <f>IF($C227="B",VLOOKUP($A227,Bat!$A$4:$BA$1417,47,FALSE),VLOOKUP($A227,Pit!$A$4:$BF$570,56,FALSE))</f>
        <v>0</v>
      </c>
      <c r="V227" s="52">
        <f>IF($C227="B",VLOOKUP($A227,Bat!$A$4:$BA$1417,48,FALSE),VLOOKUP($A227,Pit!$A$4:$BF$570,57,FALSE))</f>
        <v>0</v>
      </c>
      <c r="W227" s="52">
        <f>Table5[[#This Row],[posRnk]]+Table5[[#This Row],[zRnk]]+IF($W$3&lt;&gt;Table5[[#This Row],[Type]],50,0)</f>
        <v>273</v>
      </c>
      <c r="X227" s="53">
        <f>RANK(Table5[[#This Row],[zScore]],Table5[[#All],[zScore]])</f>
        <v>223</v>
      </c>
      <c r="Y227" s="52" t="str">
        <f>IFERROR(INDEX(DraftResults[[#All],[OVR]],MATCH(Table5[[#This Row],[PID]],DraftResults[[#All],[Player ID]],0)),"")</f>
        <v/>
      </c>
      <c r="Z2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7" s="52" t="str">
        <f>IFERROR(INDEX(DraftResults[[#All],[Pick in Round]],MATCH(Table5[[#This Row],[PID]],DraftResults[[#All],[Player ID]],0)),"")</f>
        <v/>
      </c>
      <c r="AB227" s="52" t="str">
        <f>IFERROR(INDEX(DraftResults[[#All],[Team Name]],MATCH(Table5[[#This Row],[PID]],DraftResults[[#All],[Player ID]],0)),"")</f>
        <v/>
      </c>
      <c r="AC227" s="52" t="str">
        <f>IF(Table5[[#This Row],[Ovr]]="","",IF(Table5[[#This Row],[cmbList]]="","",Table5[[#This Row],[cmbList]]-Table5[[#This Row],[Ovr]]))</f>
        <v/>
      </c>
      <c r="AD227" s="56" t="str">
        <f>IF(ISERROR(VLOOKUP($AB227&amp;"-"&amp;$E227&amp;" "&amp;F227,Bonuses!$B$1:$G$1006,4,FALSE)),"",INT(VLOOKUP($AB227&amp;"-"&amp;$E227&amp;" "&amp;$F227,Bonuses!$B$1:$G$1006,4,FALSE)))</f>
        <v/>
      </c>
      <c r="AE2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8" spans="1:31" s="52" customFormat="1" x14ac:dyDescent="0.25">
      <c r="A228" s="52">
        <v>9301</v>
      </c>
      <c r="B228" s="52">
        <f>COUNTIF(Table5[PID],A228)</f>
        <v>1</v>
      </c>
      <c r="C228" s="52" t="str">
        <f>IF(COUNTIF(Table3[[#All],[PID]],A228)&gt;0,"P","B")</f>
        <v>P</v>
      </c>
      <c r="D228" s="61" t="str">
        <f>IF($C228="B",INDEX(Batters[[#All],[POS]],MATCH(Table5[[#This Row],[PID]],Batters[[#All],[PID]],0)),INDEX(Table3[[#All],[POS]],MATCH(Table5[[#This Row],[PID]],Table3[[#All],[PID]],0)))</f>
        <v>CL</v>
      </c>
      <c r="E228" s="54" t="str">
        <f>IF($C228="B",INDEX(Batters[[#All],[First]],MATCH(Table5[[#This Row],[PID]],Batters[[#All],[PID]],0)),INDEX(Table3[[#All],[First]],MATCH(Table5[[#This Row],[PID]],Table3[[#All],[PID]],0)))</f>
        <v>Doug</v>
      </c>
      <c r="F228" s="52" t="str">
        <f>IF($C228="B",INDEX(Batters[[#All],[Last]],MATCH(A228,Batters[[#All],[PID]],0)),INDEX(Table3[[#All],[Last]],MATCH(A228,Table3[[#All],[PID]],0)))</f>
        <v>Wilson</v>
      </c>
      <c r="G228" s="58">
        <f>IF($C228="B",INDEX(Batters[[#All],[Age]],MATCH(Table5[[#This Row],[PID]],Batters[[#All],[PID]],0)),INDEX(Table3[[#All],[Age]],MATCH(Table5[[#This Row],[PID]],Table3[[#All],[PID]],0)))</f>
        <v>21</v>
      </c>
      <c r="H228" s="54" t="str">
        <f>IF($C228="B",INDEX(Batters[[#All],[B]],MATCH(Table5[[#This Row],[PID]],Batters[[#All],[PID]],0)),INDEX(Table3[[#All],[B]],MATCH(Table5[[#This Row],[PID]],Table3[[#All],[PID]],0)))</f>
        <v>R</v>
      </c>
      <c r="I228" s="54" t="str">
        <f>IF($C228="B",INDEX(Batters[[#All],[T]],MATCH(Table5[[#This Row],[PID]],Batters[[#All],[PID]],0)),INDEX(Table3[[#All],[T]],MATCH(Table5[[#This Row],[PID]],Table3[[#All],[PID]],0)))</f>
        <v>R</v>
      </c>
      <c r="J228" s="54" t="str">
        <f>IF($C228="B",INDEX(Batters[[#All],[WE]],MATCH(Table5[[#This Row],[PID]],Batters[[#All],[PID]],0)),INDEX(Table3[[#All],[WE]],MATCH(Table5[[#This Row],[PID]],Table3[[#All],[PID]],0)))</f>
        <v>Normal</v>
      </c>
      <c r="K228" s="54" t="str">
        <f>IF($C228="B",INDEX(Batters[[#All],[INT]],MATCH(Table5[[#This Row],[PID]],Batters[[#All],[PID]],0)),INDEX(Table3[[#All],[INT]],MATCH(Table5[[#This Row],[PID]],Table3[[#All],[PID]],0)))</f>
        <v>Normal</v>
      </c>
      <c r="L228" s="62">
        <f>IF($C228="B",INDEX(Batters[[#All],[CON P]],MATCH(Table5[[#This Row],[PID]],Batters[[#All],[PID]],0)),INDEX(Table3[[#All],[STU P]],MATCH(Table5[[#This Row],[PID]],Table3[[#All],[PID]],0)))</f>
        <v>8</v>
      </c>
      <c r="M228" s="58">
        <f>IF($C228="B",INDEX(Batters[[#All],[GAP P]],MATCH(Table5[[#This Row],[PID]],Batters[[#All],[PID]],0)),INDEX(Table3[[#All],[MOV P]],MATCH(Table5[[#This Row],[PID]],Table3[[#All],[PID]],0)))</f>
        <v>2</v>
      </c>
      <c r="N228" s="58">
        <f>IF($C228="B",INDEX(Batters[[#All],[POW P]],MATCH(Table5[[#This Row],[PID]],Batters[[#All],[PID]],0)),INDEX(Table3[[#All],[CON P]],MATCH(Table5[[#This Row],[PID]],Table3[[#All],[PID]],0)))</f>
        <v>2</v>
      </c>
      <c r="O228" s="58" t="str">
        <f>IF($C228="B",INDEX(Batters[[#All],[EYE P]],MATCH(Table5[[#This Row],[PID]],Batters[[#All],[PID]],0)),INDEX(Table3[[#All],[VELO]],MATCH(Table5[[#This Row],[PID]],Table3[[#All],[PID]],0)))</f>
        <v>97-99 Mph</v>
      </c>
      <c r="P228" s="58">
        <f>IF($C228="B",INDEX(Batters[[#All],[K P]],MATCH(Table5[[#This Row],[PID]],Batters[[#All],[PID]],0)),INDEX(Table3[[#All],[STM]],MATCH(Table5[[#This Row],[PID]],Table3[[#All],[PID]],0)))</f>
        <v>8</v>
      </c>
      <c r="Q228" s="63">
        <f>IF($C228="B",INDEX(Batters[[#All],[Tot]],MATCH(Table5[[#This Row],[PID]],Batters[[#All],[PID]],0)),INDEX(Table3[[#All],[Tot]],MATCH(Table5[[#This Row],[PID]],Table3[[#All],[PID]],0)))</f>
        <v>41.191987247642516</v>
      </c>
      <c r="R228" s="54">
        <f>IF($C228="B",INDEX(Batters[[#All],[zScore]],MATCH(Table5[[#This Row],[PID]],Batters[[#All],[PID]],0)),INDEX(Table3[[#All],[zScore]],MATCH(Table5[[#This Row],[PID]],Table3[[#All],[PID]],0)))</f>
        <v>0.77671102770557043</v>
      </c>
      <c r="S228" s="60" t="str">
        <f>IF($C228="B",INDEX(Batters[[#All],[DEM]],MATCH(Table5[[#This Row],[PID]],Batters[[#All],[PID]],0)),INDEX(Table3[[#All],[DEM]],MATCH(Table5[[#This Row],[PID]],Table3[[#All],[PID]],0)))</f>
        <v>-</v>
      </c>
      <c r="T228" s="64">
        <f>IF($C228="B",VLOOKUP($A228,Bat!$A$4:$AU$1417,46,FALSE),VLOOKUP($A228,Pit!$A$4:$BD$570,55,FALSE))</f>
        <v>0</v>
      </c>
      <c r="U228" s="52">
        <f>IF($C228="B",VLOOKUP($A228,Bat!$A$4:$BA$1417,47,FALSE),VLOOKUP($A228,Pit!$A$4:$BF$570,56,FALSE))</f>
        <v>0</v>
      </c>
      <c r="V228" s="52">
        <f>IF($C228="B",VLOOKUP($A228,Bat!$A$4:$BA$1417,48,FALSE),VLOOKUP($A228,Pit!$A$4:$BF$570,57,FALSE))</f>
        <v>0</v>
      </c>
      <c r="W228" s="52">
        <f>Table5[[#This Row],[posRnk]]+Table5[[#This Row],[zRnk]]+IF($W$3&lt;&gt;Table5[[#This Row],[Type]],50,0)</f>
        <v>274</v>
      </c>
      <c r="X228" s="53">
        <f>RANK(Table5[[#This Row],[zScore]],Table5[[#All],[zScore]])</f>
        <v>224</v>
      </c>
      <c r="Y228" s="52" t="str">
        <f>IFERROR(INDEX(DraftResults[[#All],[OVR]],MATCH(Table5[[#This Row],[PID]],DraftResults[[#All],[Player ID]],0)),"")</f>
        <v/>
      </c>
      <c r="Z2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8" s="52" t="str">
        <f>IFERROR(INDEX(DraftResults[[#All],[Pick in Round]],MATCH(Table5[[#This Row],[PID]],DraftResults[[#All],[Player ID]],0)),"")</f>
        <v/>
      </c>
      <c r="AB228" s="52" t="str">
        <f>IFERROR(INDEX(DraftResults[[#All],[Team Name]],MATCH(Table5[[#This Row],[PID]],DraftResults[[#All],[Player ID]],0)),"")</f>
        <v/>
      </c>
      <c r="AC228" s="52" t="str">
        <f>IF(Table5[[#This Row],[Ovr]]="","",IF(Table5[[#This Row],[cmbList]]="","",Table5[[#This Row],[cmbList]]-Table5[[#This Row],[Ovr]]))</f>
        <v/>
      </c>
      <c r="AD228" s="56" t="str">
        <f>IF(ISERROR(VLOOKUP($AB228&amp;"-"&amp;$E228&amp;" "&amp;F228,Bonuses!$B$1:$G$1006,4,FALSE)),"",INT(VLOOKUP($AB228&amp;"-"&amp;$E228&amp;" "&amp;$F228,Bonuses!$B$1:$G$1006,4,FALSE)))</f>
        <v/>
      </c>
      <c r="AE2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9" spans="1:31" s="52" customFormat="1" x14ac:dyDescent="0.25">
      <c r="A229" s="52">
        <v>7276</v>
      </c>
      <c r="B229" s="57">
        <f>COUNTIF(Table5[PID],A229)</f>
        <v>1</v>
      </c>
      <c r="C229" s="57" t="str">
        <f>IF(COUNTIF(Table3[[#All],[PID]],A229)&gt;0,"P","B")</f>
        <v>B</v>
      </c>
      <c r="D229" s="61" t="str">
        <f>IF($C229="B",INDEX(Batters[[#All],[POS]],MATCH(Table5[[#This Row],[PID]],Batters[[#All],[PID]],0)),INDEX(Table3[[#All],[POS]],MATCH(Table5[[#This Row],[PID]],Table3[[#All],[PID]],0)))</f>
        <v>RF</v>
      </c>
      <c r="E229" s="54" t="str">
        <f>IF($C229="B",INDEX(Batters[[#All],[First]],MATCH(Table5[[#This Row],[PID]],Batters[[#All],[PID]],0)),INDEX(Table3[[#All],[First]],MATCH(Table5[[#This Row],[PID]],Table3[[#All],[PID]],0)))</f>
        <v>Kohei</v>
      </c>
      <c r="F229" s="52" t="str">
        <f>IF($C229="B",INDEX(Batters[[#All],[Last]],MATCH(A229,Batters[[#All],[PID]],0)),INDEX(Table3[[#All],[Last]],MATCH(A229,Table3[[#All],[PID]],0)))</f>
        <v>Yamauchi</v>
      </c>
      <c r="G229" s="58">
        <f>IF($C229="B",INDEX(Batters[[#All],[Age]],MATCH(Table5[[#This Row],[PID]],Batters[[#All],[PID]],0)),INDEX(Table3[[#All],[Age]],MATCH(Table5[[#This Row],[PID]],Table3[[#All],[PID]],0)))</f>
        <v>21</v>
      </c>
      <c r="H229" s="54" t="str">
        <f>IF($C229="B",INDEX(Batters[[#All],[B]],MATCH(Table5[[#This Row],[PID]],Batters[[#All],[PID]],0)),INDEX(Table3[[#All],[B]],MATCH(Table5[[#This Row],[PID]],Table3[[#All],[PID]],0)))</f>
        <v>R</v>
      </c>
      <c r="I229" s="54" t="str">
        <f>IF($C229="B",INDEX(Batters[[#All],[T]],MATCH(Table5[[#This Row],[PID]],Batters[[#All],[PID]],0)),INDEX(Table3[[#All],[T]],MATCH(Table5[[#This Row],[PID]],Table3[[#All],[PID]],0)))</f>
        <v>R</v>
      </c>
      <c r="J229" s="54" t="str">
        <f>IF($C229="B",INDEX(Batters[[#All],[WE]],MATCH(Table5[[#This Row],[PID]],Batters[[#All],[PID]],0)),INDEX(Table3[[#All],[WE]],MATCH(Table5[[#This Row],[PID]],Table3[[#All],[PID]],0)))</f>
        <v>Normal</v>
      </c>
      <c r="K229" s="54" t="str">
        <f>IF($C229="B",INDEX(Batters[[#All],[INT]],MATCH(Table5[[#This Row],[PID]],Batters[[#All],[PID]],0)),INDEX(Table3[[#All],[INT]],MATCH(Table5[[#This Row],[PID]],Table3[[#All],[PID]],0)))</f>
        <v>Normal</v>
      </c>
      <c r="L229" s="62">
        <f>IF($C229="B",INDEX(Batters[[#All],[CON P]],MATCH(Table5[[#This Row],[PID]],Batters[[#All],[PID]],0)),INDEX(Table3[[#All],[STU P]],MATCH(Table5[[#This Row],[PID]],Table3[[#All],[PID]],0)))</f>
        <v>4</v>
      </c>
      <c r="M229" s="58">
        <f>IF($C229="B",INDEX(Batters[[#All],[GAP P]],MATCH(Table5[[#This Row],[PID]],Batters[[#All],[PID]],0)),INDEX(Table3[[#All],[MOV P]],MATCH(Table5[[#This Row],[PID]],Table3[[#All],[PID]],0)))</f>
        <v>5</v>
      </c>
      <c r="N229" s="58">
        <f>IF($C229="B",INDEX(Batters[[#All],[POW P]],MATCH(Table5[[#This Row],[PID]],Batters[[#All],[PID]],0)),INDEX(Table3[[#All],[CON P]],MATCH(Table5[[#This Row],[PID]],Table3[[#All],[PID]],0)))</f>
        <v>5</v>
      </c>
      <c r="O229" s="58">
        <f>IF($C229="B",INDEX(Batters[[#All],[EYE P]],MATCH(Table5[[#This Row],[PID]],Batters[[#All],[PID]],0)),INDEX(Table3[[#All],[VELO]],MATCH(Table5[[#This Row],[PID]],Table3[[#All],[PID]],0)))</f>
        <v>6</v>
      </c>
      <c r="P229" s="58">
        <f>IF($C229="B",INDEX(Batters[[#All],[K P]],MATCH(Table5[[#This Row],[PID]],Batters[[#All],[PID]],0)),INDEX(Table3[[#All],[STM]],MATCH(Table5[[#This Row],[PID]],Table3[[#All],[PID]],0)))</f>
        <v>4</v>
      </c>
      <c r="Q229" s="63">
        <f>IF($C229="B",INDEX(Batters[[#All],[Tot]],MATCH(Table5[[#This Row],[PID]],Batters[[#All],[PID]],0)),INDEX(Table3[[#All],[Tot]],MATCH(Table5[[#This Row],[PID]],Table3[[#All],[PID]],0)))</f>
        <v>44.752649072474682</v>
      </c>
      <c r="R229" s="54">
        <f>IF($C229="B",INDEX(Batters[[#All],[zScore]],MATCH(Table5[[#This Row],[PID]],Batters[[#All],[PID]],0)),INDEX(Table3[[#All],[zScore]],MATCH(Table5[[#This Row],[PID]],Table3[[#All],[PID]],0)))</f>
        <v>0.77492520864283798</v>
      </c>
      <c r="S229" s="60" t="str">
        <f>IF($C229="B",INDEX(Batters[[#All],[DEM]],MATCH(Table5[[#This Row],[PID]],Batters[[#All],[PID]],0)),INDEX(Table3[[#All],[DEM]],MATCH(Table5[[#This Row],[PID]],Table3[[#All],[PID]],0)))</f>
        <v>$20k</v>
      </c>
      <c r="T229" s="64">
        <f>IF($C229="B",VLOOKUP($A229,Bat!$A$4:$AU$1417,46,FALSE),VLOOKUP($A229,Pit!$A$4:$BD$570,55,FALSE))</f>
        <v>0</v>
      </c>
      <c r="U229" s="52">
        <f>IF($C229="B",VLOOKUP($A229,Bat!$A$4:$BA$1417,47,FALSE),VLOOKUP($A229,Pit!$A$4:$BF$570,56,FALSE))</f>
        <v>0</v>
      </c>
      <c r="V229" s="52">
        <f>IF($C229="B",VLOOKUP($A229,Bat!$A$4:$BA$1417,48,FALSE),VLOOKUP($A229,Pit!$A$4:$BF$570,57,FALSE))</f>
        <v>0</v>
      </c>
      <c r="W229" s="52">
        <f>Table5[[#This Row],[posRnk]]+Table5[[#This Row],[zRnk]]+IF($W$3&lt;&gt;Table5[[#This Row],[Type]],50,0)</f>
        <v>275</v>
      </c>
      <c r="X229" s="53">
        <f>RANK(Table5[[#This Row],[zScore]],Table5[[#All],[zScore]])</f>
        <v>225</v>
      </c>
      <c r="Y229" s="52" t="str">
        <f>IFERROR(INDEX(DraftResults[[#All],[OVR]],MATCH(Table5[[#This Row],[PID]],DraftResults[[#All],[Player ID]],0)),"")</f>
        <v/>
      </c>
      <c r="Z2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9" s="52" t="str">
        <f>IFERROR(INDEX(DraftResults[[#All],[Pick in Round]],MATCH(Table5[[#This Row],[PID]],DraftResults[[#All],[Player ID]],0)),"")</f>
        <v/>
      </c>
      <c r="AB229" s="52" t="str">
        <f>IFERROR(INDEX(DraftResults[[#All],[Team Name]],MATCH(Table5[[#This Row],[PID]],DraftResults[[#All],[Player ID]],0)),"")</f>
        <v/>
      </c>
      <c r="AC229" s="52" t="str">
        <f>IF(Table5[[#This Row],[Ovr]]="","",IF(Table5[[#This Row],[cmbList]]="","",Table5[[#This Row],[cmbList]]-Table5[[#This Row],[Ovr]]))</f>
        <v/>
      </c>
      <c r="AD229" s="56" t="str">
        <f>IF(ISERROR(VLOOKUP($AB229&amp;"-"&amp;$E229&amp;" "&amp;F229,Bonuses!$B$1:$G$1006,4,FALSE)),"",INT(VLOOKUP($AB229&amp;"-"&amp;$E229&amp;" "&amp;$F229,Bonuses!$B$1:$G$1006,4,FALSE)))</f>
        <v/>
      </c>
      <c r="AE2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0" spans="1:31" s="52" customFormat="1" x14ac:dyDescent="0.25">
      <c r="A230" s="52">
        <v>10452</v>
      </c>
      <c r="B230" s="52">
        <f>COUNTIF(Table5[PID],A230)</f>
        <v>1</v>
      </c>
      <c r="C230" s="52" t="str">
        <f>IF(COUNTIF(Table3[[#All],[PID]],A230)&gt;0,"P","B")</f>
        <v>B</v>
      </c>
      <c r="D230" s="61" t="str">
        <f>IF($C230="B",INDEX(Batters[[#All],[POS]],MATCH(Table5[[#This Row],[PID]],Batters[[#All],[PID]],0)),INDEX(Table3[[#All],[POS]],MATCH(Table5[[#This Row],[PID]],Table3[[#All],[PID]],0)))</f>
        <v>1B</v>
      </c>
      <c r="E230" s="54" t="str">
        <f>IF($C230="B",INDEX(Batters[[#All],[First]],MATCH(Table5[[#This Row],[PID]],Batters[[#All],[PID]],0)),INDEX(Table3[[#All],[First]],MATCH(Table5[[#This Row],[PID]],Table3[[#All],[PID]],0)))</f>
        <v>Claudio</v>
      </c>
      <c r="F230" s="52" t="str">
        <f>IF($C230="B",INDEX(Batters[[#All],[Last]],MATCH(A230,Batters[[#All],[PID]],0)),INDEX(Table3[[#All],[Last]],MATCH(A230,Table3[[#All],[PID]],0)))</f>
        <v>Quiñonez</v>
      </c>
      <c r="G230" s="58">
        <f>IF($C230="B",INDEX(Batters[[#All],[Age]],MATCH(Table5[[#This Row],[PID]],Batters[[#All],[PID]],0)),INDEX(Table3[[#All],[Age]],MATCH(Table5[[#This Row],[PID]],Table3[[#All],[PID]],0)))</f>
        <v>18</v>
      </c>
      <c r="H230" s="54" t="str">
        <f>IF($C230="B",INDEX(Batters[[#All],[B]],MATCH(Table5[[#This Row],[PID]],Batters[[#All],[PID]],0)),INDEX(Table3[[#All],[B]],MATCH(Table5[[#This Row],[PID]],Table3[[#All],[PID]],0)))</f>
        <v>R</v>
      </c>
      <c r="I230" s="54" t="str">
        <f>IF($C230="B",INDEX(Batters[[#All],[T]],MATCH(Table5[[#This Row],[PID]],Batters[[#All],[PID]],0)),INDEX(Table3[[#All],[T]],MATCH(Table5[[#This Row],[PID]],Table3[[#All],[PID]],0)))</f>
        <v>L</v>
      </c>
      <c r="J230" s="54" t="str">
        <f>IF($C230="B",INDEX(Batters[[#All],[WE]],MATCH(Table5[[#This Row],[PID]],Batters[[#All],[PID]],0)),INDEX(Table3[[#All],[WE]],MATCH(Table5[[#This Row],[PID]],Table3[[#All],[PID]],0)))</f>
        <v>Normal</v>
      </c>
      <c r="K230" s="54" t="str">
        <f>IF($C230="B",INDEX(Batters[[#All],[INT]],MATCH(Table5[[#This Row],[PID]],Batters[[#All],[PID]],0)),INDEX(Table3[[#All],[INT]],MATCH(Table5[[#This Row],[PID]],Table3[[#All],[PID]],0)))</f>
        <v>Normal</v>
      </c>
      <c r="L230" s="62">
        <f>IF($C230="B",INDEX(Batters[[#All],[CON P]],MATCH(Table5[[#This Row],[PID]],Batters[[#All],[PID]],0)),INDEX(Table3[[#All],[STU P]],MATCH(Table5[[#This Row],[PID]],Table3[[#All],[PID]],0)))</f>
        <v>3</v>
      </c>
      <c r="M230" s="58">
        <f>IF($C230="B",INDEX(Batters[[#All],[GAP P]],MATCH(Table5[[#This Row],[PID]],Batters[[#All],[PID]],0)),INDEX(Table3[[#All],[MOV P]],MATCH(Table5[[#This Row],[PID]],Table3[[#All],[PID]],0)))</f>
        <v>3</v>
      </c>
      <c r="N230" s="58">
        <f>IF($C230="B",INDEX(Batters[[#All],[POW P]],MATCH(Table5[[#This Row],[PID]],Batters[[#All],[PID]],0)),INDEX(Table3[[#All],[CON P]],MATCH(Table5[[#This Row],[PID]],Table3[[#All],[PID]],0)))</f>
        <v>6</v>
      </c>
      <c r="O230" s="58">
        <f>IF($C230="B",INDEX(Batters[[#All],[EYE P]],MATCH(Table5[[#This Row],[PID]],Batters[[#All],[PID]],0)),INDEX(Table3[[#All],[VELO]],MATCH(Table5[[#This Row],[PID]],Table3[[#All],[PID]],0)))</f>
        <v>5</v>
      </c>
      <c r="P230" s="58">
        <f>IF($C230="B",INDEX(Batters[[#All],[K P]],MATCH(Table5[[#This Row],[PID]],Batters[[#All],[PID]],0)),INDEX(Table3[[#All],[STM]],MATCH(Table5[[#This Row],[PID]],Table3[[#All],[PID]],0)))</f>
        <v>3</v>
      </c>
      <c r="Q230" s="63">
        <f>IF($C230="B",INDEX(Batters[[#All],[Tot]],MATCH(Table5[[#This Row],[PID]],Batters[[#All],[PID]],0)),INDEX(Table3[[#All],[Tot]],MATCH(Table5[[#This Row],[PID]],Table3[[#All],[PID]],0)))</f>
        <v>44.752052086071046</v>
      </c>
      <c r="R230" s="54">
        <f>IF($C230="B",INDEX(Batters[[#All],[zScore]],MATCH(Table5[[#This Row],[PID]],Batters[[#All],[PID]],0)),INDEX(Table3[[#All],[zScore]],MATCH(Table5[[#This Row],[PID]],Table3[[#All],[PID]],0)))</f>
        <v>0.77482017285287097</v>
      </c>
      <c r="S230" s="60" t="str">
        <f>IF($C230="B",INDEX(Batters[[#All],[DEM]],MATCH(Table5[[#This Row],[PID]],Batters[[#All],[PID]],0)),INDEX(Table3[[#All],[DEM]],MATCH(Table5[[#This Row],[PID]],Table3[[#All],[PID]],0)))</f>
        <v>$400k</v>
      </c>
      <c r="T230" s="64">
        <f>IF($C230="B",VLOOKUP($A230,Bat!$A$4:$AU$1417,46,FALSE),VLOOKUP($A230,Pit!$A$4:$BD$570,55,FALSE))</f>
        <v>0</v>
      </c>
      <c r="U230" s="52">
        <f>IF($C230="B",VLOOKUP($A230,Bat!$A$4:$BA$1417,47,FALSE),VLOOKUP($A230,Pit!$A$4:$BF$570,56,FALSE))</f>
        <v>0</v>
      </c>
      <c r="V230" s="52">
        <f>IF($C230="B",VLOOKUP($A230,Bat!$A$4:$BA$1417,48,FALSE),VLOOKUP($A230,Pit!$A$4:$BF$570,57,FALSE))</f>
        <v>0</v>
      </c>
      <c r="W230" s="52">
        <f>Table5[[#This Row],[posRnk]]+Table5[[#This Row],[zRnk]]+IF($W$3&lt;&gt;Table5[[#This Row],[Type]],50,0)</f>
        <v>276</v>
      </c>
      <c r="X230" s="53">
        <f>RANK(Table5[[#This Row],[zScore]],Table5[[#All],[zScore]])</f>
        <v>226</v>
      </c>
      <c r="Y230" s="52" t="str">
        <f>IFERROR(INDEX(DraftResults[[#All],[OVR]],MATCH(Table5[[#This Row],[PID]],DraftResults[[#All],[Player ID]],0)),"")</f>
        <v/>
      </c>
      <c r="Z2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0" s="52" t="str">
        <f>IFERROR(INDEX(DraftResults[[#All],[Pick in Round]],MATCH(Table5[[#This Row],[PID]],DraftResults[[#All],[Player ID]],0)),"")</f>
        <v/>
      </c>
      <c r="AB230" s="52" t="str">
        <f>IFERROR(INDEX(DraftResults[[#All],[Team Name]],MATCH(Table5[[#This Row],[PID]],DraftResults[[#All],[Player ID]],0)),"")</f>
        <v/>
      </c>
      <c r="AC230" s="52" t="str">
        <f>IF(Table5[[#This Row],[Ovr]]="","",IF(Table5[[#This Row],[cmbList]]="","",Table5[[#This Row],[cmbList]]-Table5[[#This Row],[Ovr]]))</f>
        <v/>
      </c>
      <c r="AD230" s="56" t="str">
        <f>IF(ISERROR(VLOOKUP($AB230&amp;"-"&amp;$E230&amp;" "&amp;F230,Bonuses!$B$1:$G$1006,4,FALSE)),"",INT(VLOOKUP($AB230&amp;"-"&amp;$E230&amp;" "&amp;$F230,Bonuses!$B$1:$G$1006,4,FALSE)))</f>
        <v/>
      </c>
      <c r="AE2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1" spans="1:31" s="52" customFormat="1" x14ac:dyDescent="0.25">
      <c r="A231" s="52">
        <v>15944</v>
      </c>
      <c r="B231" s="52">
        <f>COUNTIF(Table5[PID],A231)</f>
        <v>1</v>
      </c>
      <c r="C231" s="52" t="str">
        <f>IF(COUNTIF(Table3[[#All],[PID]],A231)&gt;0,"P","B")</f>
        <v>B</v>
      </c>
      <c r="D231" s="61" t="str">
        <f>IF($C231="B",INDEX(Batters[[#All],[POS]],MATCH(Table5[[#This Row],[PID]],Batters[[#All],[PID]],0)),INDEX(Table3[[#All],[POS]],MATCH(Table5[[#This Row],[PID]],Table3[[#All],[PID]],0)))</f>
        <v>3B</v>
      </c>
      <c r="E231" s="54" t="str">
        <f>IF($C231="B",INDEX(Batters[[#All],[First]],MATCH(Table5[[#This Row],[PID]],Batters[[#All],[PID]],0)),INDEX(Table3[[#All],[First]],MATCH(Table5[[#This Row],[PID]],Table3[[#All],[PID]],0)))</f>
        <v>Irving</v>
      </c>
      <c r="F231" s="52" t="str">
        <f>IF($C231="B",INDEX(Batters[[#All],[Last]],MATCH(A231,Batters[[#All],[PID]],0)),INDEX(Table3[[#All],[Last]],MATCH(A231,Table3[[#All],[PID]],0)))</f>
        <v>Schut</v>
      </c>
      <c r="G231" s="58">
        <f>IF($C231="B",INDEX(Batters[[#All],[Age]],MATCH(Table5[[#This Row],[PID]],Batters[[#All],[PID]],0)),INDEX(Table3[[#All],[Age]],MATCH(Table5[[#This Row],[PID]],Table3[[#All],[PID]],0)))</f>
        <v>18</v>
      </c>
      <c r="H231" s="54" t="str">
        <f>IF($C231="B",INDEX(Batters[[#All],[B]],MATCH(Table5[[#This Row],[PID]],Batters[[#All],[PID]],0)),INDEX(Table3[[#All],[B]],MATCH(Table5[[#This Row],[PID]],Table3[[#All],[PID]],0)))</f>
        <v>R</v>
      </c>
      <c r="I231" s="54" t="str">
        <f>IF($C231="B",INDEX(Batters[[#All],[T]],MATCH(Table5[[#This Row],[PID]],Batters[[#All],[PID]],0)),INDEX(Table3[[#All],[T]],MATCH(Table5[[#This Row],[PID]],Table3[[#All],[PID]],0)))</f>
        <v>R</v>
      </c>
      <c r="J231" s="54" t="str">
        <f>IF($C231="B",INDEX(Batters[[#All],[WE]],MATCH(Table5[[#This Row],[PID]],Batters[[#All],[PID]],0)),INDEX(Table3[[#All],[WE]],MATCH(Table5[[#This Row],[PID]],Table3[[#All],[PID]],0)))</f>
        <v>Normal</v>
      </c>
      <c r="K231" s="54" t="str">
        <f>IF($C231="B",INDEX(Batters[[#All],[INT]],MATCH(Table5[[#This Row],[PID]],Batters[[#All],[PID]],0)),INDEX(Table3[[#All],[INT]],MATCH(Table5[[#This Row],[PID]],Table3[[#All],[PID]],0)))</f>
        <v>Normal</v>
      </c>
      <c r="L231" s="62">
        <f>IF($C231="B",INDEX(Batters[[#All],[CON P]],MATCH(Table5[[#This Row],[PID]],Batters[[#All],[PID]],0)),INDEX(Table3[[#All],[STU P]],MATCH(Table5[[#This Row],[PID]],Table3[[#All],[PID]],0)))</f>
        <v>3</v>
      </c>
      <c r="M231" s="58">
        <f>IF($C231="B",INDEX(Batters[[#All],[GAP P]],MATCH(Table5[[#This Row],[PID]],Batters[[#All],[PID]],0)),INDEX(Table3[[#All],[MOV P]],MATCH(Table5[[#This Row],[PID]],Table3[[#All],[PID]],0)))</f>
        <v>4</v>
      </c>
      <c r="N231" s="58">
        <f>IF($C231="B",INDEX(Batters[[#All],[POW P]],MATCH(Table5[[#This Row],[PID]],Batters[[#All],[PID]],0)),INDEX(Table3[[#All],[CON P]],MATCH(Table5[[#This Row],[PID]],Table3[[#All],[PID]],0)))</f>
        <v>5</v>
      </c>
      <c r="O231" s="58">
        <f>IF($C231="B",INDEX(Batters[[#All],[EYE P]],MATCH(Table5[[#This Row],[PID]],Batters[[#All],[PID]],0)),INDEX(Table3[[#All],[VELO]],MATCH(Table5[[#This Row],[PID]],Table3[[#All],[PID]],0)))</f>
        <v>6</v>
      </c>
      <c r="P231" s="58">
        <f>IF($C231="B",INDEX(Batters[[#All],[K P]],MATCH(Table5[[#This Row],[PID]],Batters[[#All],[PID]],0)),INDEX(Table3[[#All],[STM]],MATCH(Table5[[#This Row],[PID]],Table3[[#All],[PID]],0)))</f>
        <v>3</v>
      </c>
      <c r="Q231" s="63">
        <f>IF($C231="B",INDEX(Batters[[#All],[Tot]],MATCH(Table5[[#This Row],[PID]],Batters[[#All],[PID]],0)),INDEX(Table3[[#All],[Tot]],MATCH(Table5[[#This Row],[PID]],Table3[[#All],[PID]],0)))</f>
        <v>44.719547313323645</v>
      </c>
      <c r="R231" s="54">
        <f>IF($C231="B",INDEX(Batters[[#All],[zScore]],MATCH(Table5[[#This Row],[PID]],Batters[[#All],[PID]],0)),INDEX(Table3[[#All],[zScore]],MATCH(Table5[[#This Row],[PID]],Table3[[#All],[PID]],0)))</f>
        <v>0.76910117412454659</v>
      </c>
      <c r="S231" s="60" t="str">
        <f>IF($C231="B",INDEX(Batters[[#All],[DEM]],MATCH(Table5[[#This Row],[PID]],Batters[[#All],[PID]],0)),INDEX(Table3[[#All],[DEM]],MATCH(Table5[[#This Row],[PID]],Table3[[#All],[PID]],0)))</f>
        <v>$190k</v>
      </c>
      <c r="T231" s="64">
        <f>IF($C231="B",VLOOKUP($A231,Bat!$A$4:$AU$1417,46,FALSE),VLOOKUP($A231,Pit!$A$4:$BD$570,55,FALSE))</f>
        <v>0</v>
      </c>
      <c r="U231" s="52">
        <f>IF($C231="B",VLOOKUP($A231,Bat!$A$4:$BA$1417,47,FALSE),VLOOKUP($A231,Pit!$A$4:$BF$570,56,FALSE))</f>
        <v>0</v>
      </c>
      <c r="V231" s="52">
        <f>IF($C231="B",VLOOKUP($A231,Bat!$A$4:$BA$1417,48,FALSE),VLOOKUP($A231,Pit!$A$4:$BF$570,57,FALSE))</f>
        <v>0</v>
      </c>
      <c r="W231" s="52">
        <f>Table5[[#This Row],[posRnk]]+Table5[[#This Row],[zRnk]]+IF($W$3&lt;&gt;Table5[[#This Row],[Type]],50,0)</f>
        <v>277</v>
      </c>
      <c r="X231" s="53">
        <f>RANK(Table5[[#This Row],[zScore]],Table5[[#All],[zScore]])</f>
        <v>227</v>
      </c>
      <c r="Y231" s="52" t="str">
        <f>IFERROR(INDEX(DraftResults[[#All],[OVR]],MATCH(Table5[[#This Row],[PID]],DraftResults[[#All],[Player ID]],0)),"")</f>
        <v/>
      </c>
      <c r="Z2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1" s="52" t="str">
        <f>IFERROR(INDEX(DraftResults[[#All],[Pick in Round]],MATCH(Table5[[#This Row],[PID]],DraftResults[[#All],[Player ID]],0)),"")</f>
        <v/>
      </c>
      <c r="AB231" s="52" t="str">
        <f>IFERROR(INDEX(DraftResults[[#All],[Team Name]],MATCH(Table5[[#This Row],[PID]],DraftResults[[#All],[Player ID]],0)),"")</f>
        <v/>
      </c>
      <c r="AC231" s="52" t="str">
        <f>IF(Table5[[#This Row],[Ovr]]="","",IF(Table5[[#This Row],[cmbList]]="","",Table5[[#This Row],[cmbList]]-Table5[[#This Row],[Ovr]]))</f>
        <v/>
      </c>
      <c r="AD231" s="56" t="str">
        <f>IF(ISERROR(VLOOKUP($AB231&amp;"-"&amp;$E231&amp;" "&amp;F231,Bonuses!$B$1:$G$1006,4,FALSE)),"",INT(VLOOKUP($AB231&amp;"-"&amp;$E231&amp;" "&amp;$F231,Bonuses!$B$1:$G$1006,4,FALSE)))</f>
        <v/>
      </c>
      <c r="AE2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2" spans="1:31" s="52" customFormat="1" x14ac:dyDescent="0.25">
      <c r="A232" s="52">
        <v>11950</v>
      </c>
      <c r="B232" s="52">
        <f>COUNTIF(Table5[PID],A232)</f>
        <v>1</v>
      </c>
      <c r="C232" s="52" t="str">
        <f>IF(COUNTIF(Table3[[#All],[PID]],A232)&gt;0,"P","B")</f>
        <v>B</v>
      </c>
      <c r="D232" s="61" t="str">
        <f>IF($C232="B",INDEX(Batters[[#All],[POS]],MATCH(Table5[[#This Row],[PID]],Batters[[#All],[PID]],0)),INDEX(Table3[[#All],[POS]],MATCH(Table5[[#This Row],[PID]],Table3[[#All],[PID]],0)))</f>
        <v>1B</v>
      </c>
      <c r="E232" s="54" t="str">
        <f>IF($C232="B",INDEX(Batters[[#All],[First]],MATCH(Table5[[#This Row],[PID]],Batters[[#All],[PID]],0)),INDEX(Table3[[#All],[First]],MATCH(Table5[[#This Row],[PID]],Table3[[#All],[PID]],0)))</f>
        <v>Francisco</v>
      </c>
      <c r="F232" s="52" t="str">
        <f>IF($C232="B",INDEX(Batters[[#All],[Last]],MATCH(A232,Batters[[#All],[PID]],0)),INDEX(Table3[[#All],[Last]],MATCH(A232,Table3[[#All],[PID]],0)))</f>
        <v>Vega</v>
      </c>
      <c r="G232" s="58">
        <f>IF($C232="B",INDEX(Batters[[#All],[Age]],MATCH(Table5[[#This Row],[PID]],Batters[[#All],[PID]],0)),INDEX(Table3[[#All],[Age]],MATCH(Table5[[#This Row],[PID]],Table3[[#All],[PID]],0)))</f>
        <v>21</v>
      </c>
      <c r="H232" s="54" t="str">
        <f>IF($C232="B",INDEX(Batters[[#All],[B]],MATCH(Table5[[#This Row],[PID]],Batters[[#All],[PID]],0)),INDEX(Table3[[#All],[B]],MATCH(Table5[[#This Row],[PID]],Table3[[#All],[PID]],0)))</f>
        <v>R</v>
      </c>
      <c r="I232" s="54" t="str">
        <f>IF($C232="B",INDEX(Batters[[#All],[T]],MATCH(Table5[[#This Row],[PID]],Batters[[#All],[PID]],0)),INDEX(Table3[[#All],[T]],MATCH(Table5[[#This Row],[PID]],Table3[[#All],[PID]],0)))</f>
        <v>R</v>
      </c>
      <c r="J232" s="54" t="str">
        <f>IF($C232="B",INDEX(Batters[[#All],[WE]],MATCH(Table5[[#This Row],[PID]],Batters[[#All],[PID]],0)),INDEX(Table3[[#All],[WE]],MATCH(Table5[[#This Row],[PID]],Table3[[#All],[PID]],0)))</f>
        <v>Low</v>
      </c>
      <c r="K232" s="54" t="str">
        <f>IF($C232="B",INDEX(Batters[[#All],[INT]],MATCH(Table5[[#This Row],[PID]],Batters[[#All],[PID]],0)),INDEX(Table3[[#All],[INT]],MATCH(Table5[[#This Row],[PID]],Table3[[#All],[PID]],0)))</f>
        <v>Normal</v>
      </c>
      <c r="L232" s="62">
        <f>IF($C232="B",INDEX(Batters[[#All],[CON P]],MATCH(Table5[[#This Row],[PID]],Batters[[#All],[PID]],0)),INDEX(Table3[[#All],[STU P]],MATCH(Table5[[#This Row],[PID]],Table3[[#All],[PID]],0)))</f>
        <v>2</v>
      </c>
      <c r="M232" s="58">
        <f>IF($C232="B",INDEX(Batters[[#All],[GAP P]],MATCH(Table5[[#This Row],[PID]],Batters[[#All],[PID]],0)),INDEX(Table3[[#All],[MOV P]],MATCH(Table5[[#This Row],[PID]],Table3[[#All],[PID]],0)))</f>
        <v>3</v>
      </c>
      <c r="N232" s="58">
        <f>IF($C232="B",INDEX(Batters[[#All],[POW P]],MATCH(Table5[[#This Row],[PID]],Batters[[#All],[PID]],0)),INDEX(Table3[[#All],[CON P]],MATCH(Table5[[#This Row],[PID]],Table3[[#All],[PID]],0)))</f>
        <v>3</v>
      </c>
      <c r="O232" s="58">
        <f>IF($C232="B",INDEX(Batters[[#All],[EYE P]],MATCH(Table5[[#This Row],[PID]],Batters[[#All],[PID]],0)),INDEX(Table3[[#All],[VELO]],MATCH(Table5[[#This Row],[PID]],Table3[[#All],[PID]],0)))</f>
        <v>4</v>
      </c>
      <c r="P232" s="58">
        <f>IF($C232="B",INDEX(Batters[[#All],[K P]],MATCH(Table5[[#This Row],[PID]],Batters[[#All],[PID]],0)),INDEX(Table3[[#All],[STM]],MATCH(Table5[[#This Row],[PID]],Table3[[#All],[PID]],0)))</f>
        <v>2</v>
      </c>
      <c r="Q232" s="63">
        <f>IF($C232="B",INDEX(Batters[[#All],[Tot]],MATCH(Table5[[#This Row],[PID]],Batters[[#All],[PID]],0)),INDEX(Table3[[#All],[Tot]],MATCH(Table5[[#This Row],[PID]],Table3[[#All],[PID]],0)))</f>
        <v>44.7</v>
      </c>
      <c r="R232" s="54">
        <f>IF($C232="B",INDEX(Batters[[#All],[zScore]],MATCH(Table5[[#This Row],[PID]],Batters[[#All],[PID]],0)),INDEX(Table3[[#All],[zScore]],MATCH(Table5[[#This Row],[PID]],Table3[[#All],[PID]],0)))</f>
        <v>0.76566195426262629</v>
      </c>
      <c r="S232" s="60" t="str">
        <f>IF($C232="B",INDEX(Batters[[#All],[DEM]],MATCH(Table5[[#This Row],[PID]],Batters[[#All],[PID]],0)),INDEX(Table3[[#All],[DEM]],MATCH(Table5[[#This Row],[PID]],Table3[[#All],[PID]],0)))</f>
        <v>-</v>
      </c>
      <c r="T232" s="64">
        <f>IF($C232="B",VLOOKUP($A232,Bat!$A$4:$AU$1417,46,FALSE),VLOOKUP($A232,Pit!$A$4:$BD$570,55,FALSE))</f>
        <v>0</v>
      </c>
      <c r="U232" s="52">
        <f>IF($C232="B",VLOOKUP($A232,Bat!$A$4:$BA$1417,47,FALSE),VLOOKUP($A232,Pit!$A$4:$BF$570,56,FALSE))</f>
        <v>0</v>
      </c>
      <c r="V232" s="52">
        <f>IF($C232="B",VLOOKUP($A232,Bat!$A$4:$BA$1417,48,FALSE),VLOOKUP($A232,Pit!$A$4:$BF$570,57,FALSE))</f>
        <v>0</v>
      </c>
      <c r="W232" s="52">
        <f>Table5[[#This Row],[posRnk]]+Table5[[#This Row],[zRnk]]+IF($W$3&lt;&gt;Table5[[#This Row],[Type]],50,0)</f>
        <v>278</v>
      </c>
      <c r="X232" s="53">
        <f>RANK(Table5[[#This Row],[zScore]],Table5[[#All],[zScore]])</f>
        <v>228</v>
      </c>
      <c r="Y232" s="52" t="str">
        <f>IFERROR(INDEX(DraftResults[[#All],[OVR]],MATCH(Table5[[#This Row],[PID]],DraftResults[[#All],[Player ID]],0)),"")</f>
        <v/>
      </c>
      <c r="Z2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2" s="52" t="str">
        <f>IFERROR(INDEX(DraftResults[[#All],[Pick in Round]],MATCH(Table5[[#This Row],[PID]],DraftResults[[#All],[Player ID]],0)),"")</f>
        <v/>
      </c>
      <c r="AB232" s="52" t="str">
        <f>IFERROR(INDEX(DraftResults[[#All],[Team Name]],MATCH(Table5[[#This Row],[PID]],DraftResults[[#All],[Player ID]],0)),"")</f>
        <v/>
      </c>
      <c r="AC232" s="52" t="str">
        <f>IF(Table5[[#This Row],[Ovr]]="","",IF(Table5[[#This Row],[cmbList]]="","",Table5[[#This Row],[cmbList]]-Table5[[#This Row],[Ovr]]))</f>
        <v/>
      </c>
      <c r="AD232" s="56" t="str">
        <f>IF(ISERROR(VLOOKUP($AB232&amp;"-"&amp;$E232&amp;" "&amp;F232,Bonuses!$B$1:$G$1006,4,FALSE)),"",INT(VLOOKUP($AB232&amp;"-"&amp;$E232&amp;" "&amp;$F232,Bonuses!$B$1:$G$1006,4,FALSE)))</f>
        <v/>
      </c>
      <c r="AE2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3" spans="1:31" s="52" customFormat="1" x14ac:dyDescent="0.25">
      <c r="A233" s="52">
        <v>5147</v>
      </c>
      <c r="B233" s="52">
        <f>COUNTIF(Table5[PID],A233)</f>
        <v>1</v>
      </c>
      <c r="C233" s="52" t="str">
        <f>IF(COUNTIF(Table3[[#All],[PID]],A233)&gt;0,"P","B")</f>
        <v>B</v>
      </c>
      <c r="D233" s="61" t="str">
        <f>IF($C233="B",INDEX(Batters[[#All],[POS]],MATCH(Table5[[#This Row],[PID]],Batters[[#All],[PID]],0)),INDEX(Table3[[#All],[POS]],MATCH(Table5[[#This Row],[PID]],Table3[[#All],[PID]],0)))</f>
        <v>1B</v>
      </c>
      <c r="E233" s="54" t="str">
        <f>IF($C233="B",INDEX(Batters[[#All],[First]],MATCH(Table5[[#This Row],[PID]],Batters[[#All],[PID]],0)),INDEX(Table3[[#All],[First]],MATCH(Table5[[#This Row],[PID]],Table3[[#All],[PID]],0)))</f>
        <v>Jesse</v>
      </c>
      <c r="F233" s="52" t="str">
        <f>IF($C233="B",INDEX(Batters[[#All],[Last]],MATCH(A233,Batters[[#All],[PID]],0)),INDEX(Table3[[#All],[Last]],MATCH(A233,Table3[[#All],[PID]],0)))</f>
        <v>Williams</v>
      </c>
      <c r="G233" s="58">
        <f>IF($C233="B",INDEX(Batters[[#All],[Age]],MATCH(Table5[[#This Row],[PID]],Batters[[#All],[PID]],0)),INDEX(Table3[[#All],[Age]],MATCH(Table5[[#This Row],[PID]],Table3[[#All],[PID]],0)))</f>
        <v>22</v>
      </c>
      <c r="H233" s="54" t="str">
        <f>IF($C233="B",INDEX(Batters[[#All],[B]],MATCH(Table5[[#This Row],[PID]],Batters[[#All],[PID]],0)),INDEX(Table3[[#All],[B]],MATCH(Table5[[#This Row],[PID]],Table3[[#All],[PID]],0)))</f>
        <v>R</v>
      </c>
      <c r="I233" s="54" t="str">
        <f>IF($C233="B",INDEX(Batters[[#All],[T]],MATCH(Table5[[#This Row],[PID]],Batters[[#All],[PID]],0)),INDEX(Table3[[#All],[T]],MATCH(Table5[[#This Row],[PID]],Table3[[#All],[PID]],0)))</f>
        <v>R</v>
      </c>
      <c r="J233" s="54" t="str">
        <f>IF($C233="B",INDEX(Batters[[#All],[WE]],MATCH(Table5[[#This Row],[PID]],Batters[[#All],[PID]],0)),INDEX(Table3[[#All],[WE]],MATCH(Table5[[#This Row],[PID]],Table3[[#All],[PID]],0)))</f>
        <v>Low</v>
      </c>
      <c r="K233" s="54" t="str">
        <f>IF($C233="B",INDEX(Batters[[#All],[INT]],MATCH(Table5[[#This Row],[PID]],Batters[[#All],[PID]],0)),INDEX(Table3[[#All],[INT]],MATCH(Table5[[#This Row],[PID]],Table3[[#All],[PID]],0)))</f>
        <v>Normal</v>
      </c>
      <c r="L233" s="62">
        <f>IF($C233="B",INDEX(Batters[[#All],[CON P]],MATCH(Table5[[#This Row],[PID]],Batters[[#All],[PID]],0)),INDEX(Table3[[#All],[STU P]],MATCH(Table5[[#This Row],[PID]],Table3[[#All],[PID]],0)))</f>
        <v>2</v>
      </c>
      <c r="M233" s="58">
        <f>IF($C233="B",INDEX(Batters[[#All],[GAP P]],MATCH(Table5[[#This Row],[PID]],Batters[[#All],[PID]],0)),INDEX(Table3[[#All],[MOV P]],MATCH(Table5[[#This Row],[PID]],Table3[[#All],[PID]],0)))</f>
        <v>1</v>
      </c>
      <c r="N233" s="58">
        <f>IF($C233="B",INDEX(Batters[[#All],[POW P]],MATCH(Table5[[#This Row],[PID]],Batters[[#All],[PID]],0)),INDEX(Table3[[#All],[CON P]],MATCH(Table5[[#This Row],[PID]],Table3[[#All],[PID]],0)))</f>
        <v>2</v>
      </c>
      <c r="O233" s="58">
        <f>IF($C233="B",INDEX(Batters[[#All],[EYE P]],MATCH(Table5[[#This Row],[PID]],Batters[[#All],[PID]],0)),INDEX(Table3[[#All],[VELO]],MATCH(Table5[[#This Row],[PID]],Table3[[#All],[PID]],0)))</f>
        <v>2</v>
      </c>
      <c r="P233" s="58">
        <f>IF($C233="B",INDEX(Batters[[#All],[K P]],MATCH(Table5[[#This Row],[PID]],Batters[[#All],[PID]],0)),INDEX(Table3[[#All],[STM]],MATCH(Table5[[#This Row],[PID]],Table3[[#All],[PID]],0)))</f>
        <v>3</v>
      </c>
      <c r="Q233" s="63">
        <f>IF($C233="B",INDEX(Batters[[#All],[Tot]],MATCH(Table5[[#This Row],[PID]],Batters[[#All],[PID]],0)),INDEX(Table3[[#All],[Tot]],MATCH(Table5[[#This Row],[PID]],Table3[[#All],[PID]],0)))</f>
        <v>44.7</v>
      </c>
      <c r="R233" s="54">
        <f>IF($C233="B",INDEX(Batters[[#All],[zScore]],MATCH(Table5[[#This Row],[PID]],Batters[[#All],[PID]],0)),INDEX(Table3[[#All],[zScore]],MATCH(Table5[[#This Row],[PID]],Table3[[#All],[PID]],0)))</f>
        <v>0.76566195426262629</v>
      </c>
      <c r="S233" s="60" t="str">
        <f>IF($C233="B",INDEX(Batters[[#All],[DEM]],MATCH(Table5[[#This Row],[PID]],Batters[[#All],[PID]],0)),INDEX(Table3[[#All],[DEM]],MATCH(Table5[[#This Row],[PID]],Table3[[#All],[PID]],0)))</f>
        <v>-</v>
      </c>
      <c r="T233" s="64">
        <f>IF($C233="B",VLOOKUP($A233,Bat!$A$4:$AU$1417,46,FALSE),VLOOKUP($A233,Pit!$A$4:$BD$570,55,FALSE))</f>
        <v>0</v>
      </c>
      <c r="U233" s="52">
        <f>IF($C233="B",VLOOKUP($A233,Bat!$A$4:$BA$1417,47,FALSE),VLOOKUP($A233,Pit!$A$4:$BF$570,56,FALSE))</f>
        <v>0</v>
      </c>
      <c r="V233" s="52">
        <f>IF($C233="B",VLOOKUP($A233,Bat!$A$4:$BA$1417,48,FALSE),VLOOKUP($A233,Pit!$A$4:$BF$570,57,FALSE))</f>
        <v>0</v>
      </c>
      <c r="W233" s="52">
        <f>Table5[[#This Row],[posRnk]]+Table5[[#This Row],[zRnk]]+IF($W$3&lt;&gt;Table5[[#This Row],[Type]],50,0)</f>
        <v>278</v>
      </c>
      <c r="X233" s="53">
        <f>RANK(Table5[[#This Row],[zScore]],Table5[[#All],[zScore]])</f>
        <v>228</v>
      </c>
      <c r="Y233" s="52" t="str">
        <f>IFERROR(INDEX(DraftResults[[#All],[OVR]],MATCH(Table5[[#This Row],[PID]],DraftResults[[#All],[Player ID]],0)),"")</f>
        <v/>
      </c>
      <c r="Z2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3" s="52" t="str">
        <f>IFERROR(INDEX(DraftResults[[#All],[Pick in Round]],MATCH(Table5[[#This Row],[PID]],DraftResults[[#All],[Player ID]],0)),"")</f>
        <v/>
      </c>
      <c r="AB233" s="52" t="str">
        <f>IFERROR(INDEX(DraftResults[[#All],[Team Name]],MATCH(Table5[[#This Row],[PID]],DraftResults[[#All],[Player ID]],0)),"")</f>
        <v/>
      </c>
      <c r="AC233" s="52" t="str">
        <f>IF(Table5[[#This Row],[Ovr]]="","",IF(Table5[[#This Row],[cmbList]]="","",Table5[[#This Row],[cmbList]]-Table5[[#This Row],[Ovr]]))</f>
        <v/>
      </c>
      <c r="AD233" s="56" t="str">
        <f>IF(ISERROR(VLOOKUP($AB233&amp;"-"&amp;$E233&amp;" "&amp;F233,Bonuses!$B$1:$G$1006,4,FALSE)),"",INT(VLOOKUP($AB233&amp;"-"&amp;$E233&amp;" "&amp;$F233,Bonuses!$B$1:$G$1006,4,FALSE)))</f>
        <v/>
      </c>
      <c r="AE2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4" spans="1:31" s="52" customFormat="1" x14ac:dyDescent="0.25">
      <c r="A234" s="52">
        <v>7078</v>
      </c>
      <c r="B234" s="52">
        <f>COUNTIF(Table5[PID],A234)</f>
        <v>1</v>
      </c>
      <c r="C234" s="52" t="str">
        <f>IF(COUNTIF(Table3[[#All],[PID]],A234)&gt;0,"P","B")</f>
        <v>B</v>
      </c>
      <c r="D234" s="61" t="str">
        <f>IF($C234="B",INDEX(Batters[[#All],[POS]],MATCH(Table5[[#This Row],[PID]],Batters[[#All],[PID]],0)),INDEX(Table3[[#All],[POS]],MATCH(Table5[[#This Row],[PID]],Table3[[#All],[PID]],0)))</f>
        <v>C</v>
      </c>
      <c r="E234" s="54" t="str">
        <f>IF($C234="B",INDEX(Batters[[#All],[First]],MATCH(Table5[[#This Row],[PID]],Batters[[#All],[PID]],0)),INDEX(Table3[[#All],[First]],MATCH(Table5[[#This Row],[PID]],Table3[[#All],[PID]],0)))</f>
        <v>Marty</v>
      </c>
      <c r="F234" s="52" t="str">
        <f>IF($C234="B",INDEX(Batters[[#All],[Last]],MATCH(A234,Batters[[#All],[PID]],0)),INDEX(Table3[[#All],[Last]],MATCH(A234,Table3[[#All],[PID]],0)))</f>
        <v>Sims</v>
      </c>
      <c r="G234" s="58">
        <f>IF($C234="B",INDEX(Batters[[#All],[Age]],MATCH(Table5[[#This Row],[PID]],Batters[[#All],[PID]],0)),INDEX(Table3[[#All],[Age]],MATCH(Table5[[#This Row],[PID]],Table3[[#All],[PID]],0)))</f>
        <v>20</v>
      </c>
      <c r="H234" s="54" t="str">
        <f>IF($C234="B",INDEX(Batters[[#All],[B]],MATCH(Table5[[#This Row],[PID]],Batters[[#All],[PID]],0)),INDEX(Table3[[#All],[B]],MATCH(Table5[[#This Row],[PID]],Table3[[#All],[PID]],0)))</f>
        <v>S</v>
      </c>
      <c r="I234" s="54" t="str">
        <f>IF($C234="B",INDEX(Batters[[#All],[T]],MATCH(Table5[[#This Row],[PID]],Batters[[#All],[PID]],0)),INDEX(Table3[[#All],[T]],MATCH(Table5[[#This Row],[PID]],Table3[[#All],[PID]],0)))</f>
        <v>R</v>
      </c>
      <c r="J234" s="54" t="str">
        <f>IF($C234="B",INDEX(Batters[[#All],[WE]],MATCH(Table5[[#This Row],[PID]],Batters[[#All],[PID]],0)),INDEX(Table3[[#All],[WE]],MATCH(Table5[[#This Row],[PID]],Table3[[#All],[PID]],0)))</f>
        <v>Low</v>
      </c>
      <c r="K234" s="54" t="str">
        <f>IF($C234="B",INDEX(Batters[[#All],[INT]],MATCH(Table5[[#This Row],[PID]],Batters[[#All],[PID]],0)),INDEX(Table3[[#All],[INT]],MATCH(Table5[[#This Row],[PID]],Table3[[#All],[PID]],0)))</f>
        <v>Normal</v>
      </c>
      <c r="L234" s="62">
        <f>IF($C234="B",INDEX(Batters[[#All],[CON P]],MATCH(Table5[[#This Row],[PID]],Batters[[#All],[PID]],0)),INDEX(Table3[[#All],[STU P]],MATCH(Table5[[#This Row],[PID]],Table3[[#All],[PID]],0)))</f>
        <v>2</v>
      </c>
      <c r="M234" s="58">
        <f>IF($C234="B",INDEX(Batters[[#All],[GAP P]],MATCH(Table5[[#This Row],[PID]],Batters[[#All],[PID]],0)),INDEX(Table3[[#All],[MOV P]],MATCH(Table5[[#This Row],[PID]],Table3[[#All],[PID]],0)))</f>
        <v>4</v>
      </c>
      <c r="N234" s="58">
        <f>IF($C234="B",INDEX(Batters[[#All],[POW P]],MATCH(Table5[[#This Row],[PID]],Batters[[#All],[PID]],0)),INDEX(Table3[[#All],[CON P]],MATCH(Table5[[#This Row],[PID]],Table3[[#All],[PID]],0)))</f>
        <v>4</v>
      </c>
      <c r="O234" s="58">
        <f>IF($C234="B",INDEX(Batters[[#All],[EYE P]],MATCH(Table5[[#This Row],[PID]],Batters[[#All],[PID]],0)),INDEX(Table3[[#All],[VELO]],MATCH(Table5[[#This Row],[PID]],Table3[[#All],[PID]],0)))</f>
        <v>6</v>
      </c>
      <c r="P234" s="58">
        <f>IF($C234="B",INDEX(Batters[[#All],[K P]],MATCH(Table5[[#This Row],[PID]],Batters[[#All],[PID]],0)),INDEX(Table3[[#All],[STM]],MATCH(Table5[[#This Row],[PID]],Table3[[#All],[PID]],0)))</f>
        <v>3</v>
      </c>
      <c r="Q234" s="63">
        <f>IF($C234="B",INDEX(Batters[[#All],[Tot]],MATCH(Table5[[#This Row],[PID]],Batters[[#All],[PID]],0)),INDEX(Table3[[#All],[Tot]],MATCH(Table5[[#This Row],[PID]],Table3[[#All],[PID]],0)))</f>
        <v>44.7</v>
      </c>
      <c r="R234" s="54">
        <f>IF($C234="B",INDEX(Batters[[#All],[zScore]],MATCH(Table5[[#This Row],[PID]],Batters[[#All],[PID]],0)),INDEX(Table3[[#All],[zScore]],MATCH(Table5[[#This Row],[PID]],Table3[[#All],[PID]],0)))</f>
        <v>0.76566195426262629</v>
      </c>
      <c r="S234" s="60" t="str">
        <f>IF($C234="B",INDEX(Batters[[#All],[DEM]],MATCH(Table5[[#This Row],[PID]],Batters[[#All],[PID]],0)),INDEX(Table3[[#All],[DEM]],MATCH(Table5[[#This Row],[PID]],Table3[[#All],[PID]],0)))</f>
        <v>-</v>
      </c>
      <c r="T234" s="64">
        <f>IF($C234="B",VLOOKUP($A234,Bat!$A$4:$AU$1417,46,FALSE),VLOOKUP($A234,Pit!$A$4:$BD$570,55,FALSE))</f>
        <v>0</v>
      </c>
      <c r="U234" s="52">
        <f>IF($C234="B",VLOOKUP($A234,Bat!$A$4:$BA$1417,47,FALSE),VLOOKUP($A234,Pit!$A$4:$BF$570,56,FALSE))</f>
        <v>0</v>
      </c>
      <c r="V234" s="52">
        <f>IF($C234="B",VLOOKUP($A234,Bat!$A$4:$BA$1417,48,FALSE),VLOOKUP($A234,Pit!$A$4:$BF$570,57,FALSE))</f>
        <v>0</v>
      </c>
      <c r="W234" s="52">
        <f>Table5[[#This Row],[posRnk]]+Table5[[#This Row],[zRnk]]+IF($W$3&lt;&gt;Table5[[#This Row],[Type]],50,0)</f>
        <v>278</v>
      </c>
      <c r="X234" s="53">
        <f>RANK(Table5[[#This Row],[zScore]],Table5[[#All],[zScore]])</f>
        <v>228</v>
      </c>
      <c r="Y234" s="52" t="str">
        <f>IFERROR(INDEX(DraftResults[[#All],[OVR]],MATCH(Table5[[#This Row],[PID]],DraftResults[[#All],[Player ID]],0)),"")</f>
        <v/>
      </c>
      <c r="Z2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4" s="52" t="str">
        <f>IFERROR(INDEX(DraftResults[[#All],[Pick in Round]],MATCH(Table5[[#This Row],[PID]],DraftResults[[#All],[Player ID]],0)),"")</f>
        <v/>
      </c>
      <c r="AB234" s="52" t="str">
        <f>IFERROR(INDEX(DraftResults[[#All],[Team Name]],MATCH(Table5[[#This Row],[PID]],DraftResults[[#All],[Player ID]],0)),"")</f>
        <v/>
      </c>
      <c r="AC234" s="52" t="str">
        <f>IF(Table5[[#This Row],[Ovr]]="","",IF(Table5[[#This Row],[cmbList]]="","",Table5[[#This Row],[cmbList]]-Table5[[#This Row],[Ovr]]))</f>
        <v/>
      </c>
      <c r="AD234" s="56" t="str">
        <f>IF(ISERROR(VLOOKUP($AB234&amp;"-"&amp;$E234&amp;" "&amp;F234,Bonuses!$B$1:$G$1006,4,FALSE)),"",INT(VLOOKUP($AB234&amp;"-"&amp;$E234&amp;" "&amp;$F234,Bonuses!$B$1:$G$1006,4,FALSE)))</f>
        <v/>
      </c>
      <c r="AE2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5" spans="1:31" s="52" customFormat="1" x14ac:dyDescent="0.25">
      <c r="A235" s="52">
        <v>7337</v>
      </c>
      <c r="B235" s="52">
        <f>COUNTIF(Table5[PID],A235)</f>
        <v>1</v>
      </c>
      <c r="C235" s="52" t="str">
        <f>IF(COUNTIF(Table3[[#All],[PID]],A235)&gt;0,"P","B")</f>
        <v>B</v>
      </c>
      <c r="D235" s="61" t="str">
        <f>IF($C235="B",INDEX(Batters[[#All],[POS]],MATCH(Table5[[#This Row],[PID]],Batters[[#All],[PID]],0)),INDEX(Table3[[#All],[POS]],MATCH(Table5[[#This Row],[PID]],Table3[[#All],[PID]],0)))</f>
        <v>C</v>
      </c>
      <c r="E235" s="54" t="str">
        <f>IF($C235="B",INDEX(Batters[[#All],[First]],MATCH(Table5[[#This Row],[PID]],Batters[[#All],[PID]],0)),INDEX(Table3[[#All],[First]],MATCH(Table5[[#This Row],[PID]],Table3[[#All],[PID]],0)))</f>
        <v>José</v>
      </c>
      <c r="F235" s="52" t="str">
        <f>IF($C235="B",INDEX(Batters[[#All],[Last]],MATCH(A235,Batters[[#All],[PID]],0)),INDEX(Table3[[#All],[Last]],MATCH(A235,Table3[[#All],[PID]],0)))</f>
        <v>Torres</v>
      </c>
      <c r="G235" s="58">
        <f>IF($C235="B",INDEX(Batters[[#All],[Age]],MATCH(Table5[[#This Row],[PID]],Batters[[#All],[PID]],0)),INDEX(Table3[[#All],[Age]],MATCH(Table5[[#This Row],[PID]],Table3[[#All],[PID]],0)))</f>
        <v>21</v>
      </c>
      <c r="H235" s="54" t="str">
        <f>IF($C235="B",INDEX(Batters[[#All],[B]],MATCH(Table5[[#This Row],[PID]],Batters[[#All],[PID]],0)),INDEX(Table3[[#All],[B]],MATCH(Table5[[#This Row],[PID]],Table3[[#All],[PID]],0)))</f>
        <v>R</v>
      </c>
      <c r="I235" s="54" t="str">
        <f>IF($C235="B",INDEX(Batters[[#All],[T]],MATCH(Table5[[#This Row],[PID]],Batters[[#All],[PID]],0)),INDEX(Table3[[#All],[T]],MATCH(Table5[[#This Row],[PID]],Table3[[#All],[PID]],0)))</f>
        <v>R</v>
      </c>
      <c r="J235" s="54" t="str">
        <f>IF($C235="B",INDEX(Batters[[#All],[WE]],MATCH(Table5[[#This Row],[PID]],Batters[[#All],[PID]],0)),INDEX(Table3[[#All],[WE]],MATCH(Table5[[#This Row],[PID]],Table3[[#All],[PID]],0)))</f>
        <v>Low</v>
      </c>
      <c r="K235" s="54" t="str">
        <f>IF($C235="B",INDEX(Batters[[#All],[INT]],MATCH(Table5[[#This Row],[PID]],Batters[[#All],[PID]],0)),INDEX(Table3[[#All],[INT]],MATCH(Table5[[#This Row],[PID]],Table3[[#All],[PID]],0)))</f>
        <v>Normal</v>
      </c>
      <c r="L235" s="62">
        <f>IF($C235="B",INDEX(Batters[[#All],[CON P]],MATCH(Table5[[#This Row],[PID]],Batters[[#All],[PID]],0)),INDEX(Table3[[#All],[STU P]],MATCH(Table5[[#This Row],[PID]],Table3[[#All],[PID]],0)))</f>
        <v>2</v>
      </c>
      <c r="M235" s="58">
        <f>IF($C235="B",INDEX(Batters[[#All],[GAP P]],MATCH(Table5[[#This Row],[PID]],Batters[[#All],[PID]],0)),INDEX(Table3[[#All],[MOV P]],MATCH(Table5[[#This Row],[PID]],Table3[[#All],[PID]],0)))</f>
        <v>4</v>
      </c>
      <c r="N235" s="58">
        <f>IF($C235="B",INDEX(Batters[[#All],[POW P]],MATCH(Table5[[#This Row],[PID]],Batters[[#All],[PID]],0)),INDEX(Table3[[#All],[CON P]],MATCH(Table5[[#This Row],[PID]],Table3[[#All],[PID]],0)))</f>
        <v>3</v>
      </c>
      <c r="O235" s="58">
        <f>IF($C235="B",INDEX(Batters[[#All],[EYE P]],MATCH(Table5[[#This Row],[PID]],Batters[[#All],[PID]],0)),INDEX(Table3[[#All],[VELO]],MATCH(Table5[[#This Row],[PID]],Table3[[#All],[PID]],0)))</f>
        <v>6</v>
      </c>
      <c r="P235" s="58">
        <f>IF($C235="B",INDEX(Batters[[#All],[K P]],MATCH(Table5[[#This Row],[PID]],Batters[[#All],[PID]],0)),INDEX(Table3[[#All],[STM]],MATCH(Table5[[#This Row],[PID]],Table3[[#All],[PID]],0)))</f>
        <v>2</v>
      </c>
      <c r="Q235" s="63">
        <f>IF($C235="B",INDEX(Batters[[#All],[Tot]],MATCH(Table5[[#This Row],[PID]],Batters[[#All],[PID]],0)),INDEX(Table3[[#All],[Tot]],MATCH(Table5[[#This Row],[PID]],Table3[[#All],[PID]],0)))</f>
        <v>44.7</v>
      </c>
      <c r="R235" s="54">
        <f>IF($C235="B",INDEX(Batters[[#All],[zScore]],MATCH(Table5[[#This Row],[PID]],Batters[[#All],[PID]],0)),INDEX(Table3[[#All],[zScore]],MATCH(Table5[[#This Row],[PID]],Table3[[#All],[PID]],0)))</f>
        <v>0.76566195426262629</v>
      </c>
      <c r="S235" s="60" t="str">
        <f>IF($C235="B",INDEX(Batters[[#All],[DEM]],MATCH(Table5[[#This Row],[PID]],Batters[[#All],[PID]],0)),INDEX(Table3[[#All],[DEM]],MATCH(Table5[[#This Row],[PID]],Table3[[#All],[PID]],0)))</f>
        <v>-</v>
      </c>
      <c r="T235" s="64">
        <f>IF($C235="B",VLOOKUP($A235,Bat!$A$4:$AU$1417,46,FALSE),VLOOKUP($A235,Pit!$A$4:$BD$570,55,FALSE))</f>
        <v>0</v>
      </c>
      <c r="U235" s="52">
        <f>IF($C235="B",VLOOKUP($A235,Bat!$A$4:$BA$1417,47,FALSE),VLOOKUP($A235,Pit!$A$4:$BF$570,56,FALSE))</f>
        <v>0</v>
      </c>
      <c r="V235" s="52">
        <f>IF($C235="B",VLOOKUP($A235,Bat!$A$4:$BA$1417,48,FALSE),VLOOKUP($A235,Pit!$A$4:$BF$570,57,FALSE))</f>
        <v>0</v>
      </c>
      <c r="W235" s="52">
        <f>Table5[[#This Row],[posRnk]]+Table5[[#This Row],[zRnk]]+IF($W$3&lt;&gt;Table5[[#This Row],[Type]],50,0)</f>
        <v>278</v>
      </c>
      <c r="X235" s="53">
        <f>RANK(Table5[[#This Row],[zScore]],Table5[[#All],[zScore]])</f>
        <v>228</v>
      </c>
      <c r="Y235" s="52" t="str">
        <f>IFERROR(INDEX(DraftResults[[#All],[OVR]],MATCH(Table5[[#This Row],[PID]],DraftResults[[#All],[Player ID]],0)),"")</f>
        <v/>
      </c>
      <c r="Z2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5" s="52" t="str">
        <f>IFERROR(INDEX(DraftResults[[#All],[Pick in Round]],MATCH(Table5[[#This Row],[PID]],DraftResults[[#All],[Player ID]],0)),"")</f>
        <v/>
      </c>
      <c r="AB235" s="52" t="str">
        <f>IFERROR(INDEX(DraftResults[[#All],[Team Name]],MATCH(Table5[[#This Row],[PID]],DraftResults[[#All],[Player ID]],0)),"")</f>
        <v/>
      </c>
      <c r="AC235" s="52" t="str">
        <f>IF(Table5[[#This Row],[Ovr]]="","",IF(Table5[[#This Row],[cmbList]]="","",Table5[[#This Row],[cmbList]]-Table5[[#This Row],[Ovr]]))</f>
        <v/>
      </c>
      <c r="AD235" s="56" t="str">
        <f>IF(ISERROR(VLOOKUP($AB235&amp;"-"&amp;$E235&amp;" "&amp;F235,Bonuses!$B$1:$G$1006,4,FALSE)),"",INT(VLOOKUP($AB235&amp;"-"&amp;$E235&amp;" "&amp;$F235,Bonuses!$B$1:$G$1006,4,FALSE)))</f>
        <v/>
      </c>
      <c r="AE2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6" spans="1:31" s="52" customFormat="1" x14ac:dyDescent="0.25">
      <c r="A236" s="52">
        <v>12238</v>
      </c>
      <c r="B236" s="52">
        <f>COUNTIF(Table5[PID],A236)</f>
        <v>1</v>
      </c>
      <c r="C236" s="52" t="str">
        <f>IF(COUNTIF(Table3[[#All],[PID]],A236)&gt;0,"P","B")</f>
        <v>B</v>
      </c>
      <c r="D236" s="61" t="str">
        <f>IF($C236="B",INDEX(Batters[[#All],[POS]],MATCH(Table5[[#This Row],[PID]],Batters[[#All],[PID]],0)),INDEX(Table3[[#All],[POS]],MATCH(Table5[[#This Row],[PID]],Table3[[#All],[PID]],0)))</f>
        <v>C</v>
      </c>
      <c r="E236" s="54" t="str">
        <f>IF($C236="B",INDEX(Batters[[#All],[First]],MATCH(Table5[[#This Row],[PID]],Batters[[#All],[PID]],0)),INDEX(Table3[[#All],[First]],MATCH(Table5[[#This Row],[PID]],Table3[[#All],[PID]],0)))</f>
        <v>Eibe</v>
      </c>
      <c r="F236" s="52" t="str">
        <f>IF($C236="B",INDEX(Batters[[#All],[Last]],MATCH(A236,Batters[[#All],[PID]],0)),INDEX(Table3[[#All],[Last]],MATCH(A236,Table3[[#All],[PID]],0)))</f>
        <v>van Meggelen</v>
      </c>
      <c r="G236" s="58">
        <f>IF($C236="B",INDEX(Batters[[#All],[Age]],MATCH(Table5[[#This Row],[PID]],Batters[[#All],[PID]],0)),INDEX(Table3[[#All],[Age]],MATCH(Table5[[#This Row],[PID]],Table3[[#All],[PID]],0)))</f>
        <v>22</v>
      </c>
      <c r="H236" s="54" t="str">
        <f>IF($C236="B",INDEX(Batters[[#All],[B]],MATCH(Table5[[#This Row],[PID]],Batters[[#All],[PID]],0)),INDEX(Table3[[#All],[B]],MATCH(Table5[[#This Row],[PID]],Table3[[#All],[PID]],0)))</f>
        <v>R</v>
      </c>
      <c r="I236" s="54" t="str">
        <f>IF($C236="B",INDEX(Batters[[#All],[T]],MATCH(Table5[[#This Row],[PID]],Batters[[#All],[PID]],0)),INDEX(Table3[[#All],[T]],MATCH(Table5[[#This Row],[PID]],Table3[[#All],[PID]],0)))</f>
        <v>R</v>
      </c>
      <c r="J236" s="54" t="str">
        <f>IF($C236="B",INDEX(Batters[[#All],[WE]],MATCH(Table5[[#This Row],[PID]],Batters[[#All],[PID]],0)),INDEX(Table3[[#All],[WE]],MATCH(Table5[[#This Row],[PID]],Table3[[#All],[PID]],0)))</f>
        <v>Low</v>
      </c>
      <c r="K236" s="54" t="str">
        <f>IF($C236="B",INDEX(Batters[[#All],[INT]],MATCH(Table5[[#This Row],[PID]],Batters[[#All],[PID]],0)),INDEX(Table3[[#All],[INT]],MATCH(Table5[[#This Row],[PID]],Table3[[#All],[PID]],0)))</f>
        <v>Normal</v>
      </c>
      <c r="L236" s="62">
        <f>IF($C236="B",INDEX(Batters[[#All],[CON P]],MATCH(Table5[[#This Row],[PID]],Batters[[#All],[PID]],0)),INDEX(Table3[[#All],[STU P]],MATCH(Table5[[#This Row],[PID]],Table3[[#All],[PID]],0)))</f>
        <v>2</v>
      </c>
      <c r="M236" s="58">
        <f>IF($C236="B",INDEX(Batters[[#All],[GAP P]],MATCH(Table5[[#This Row],[PID]],Batters[[#All],[PID]],0)),INDEX(Table3[[#All],[MOV P]],MATCH(Table5[[#This Row],[PID]],Table3[[#All],[PID]],0)))</f>
        <v>3</v>
      </c>
      <c r="N236" s="58">
        <f>IF($C236="B",INDEX(Batters[[#All],[POW P]],MATCH(Table5[[#This Row],[PID]],Batters[[#All],[PID]],0)),INDEX(Table3[[#All],[CON P]],MATCH(Table5[[#This Row],[PID]],Table3[[#All],[PID]],0)))</f>
        <v>4</v>
      </c>
      <c r="O236" s="58">
        <f>IF($C236="B",INDEX(Batters[[#All],[EYE P]],MATCH(Table5[[#This Row],[PID]],Batters[[#All],[PID]],0)),INDEX(Table3[[#All],[VELO]],MATCH(Table5[[#This Row],[PID]],Table3[[#All],[PID]],0)))</f>
        <v>6</v>
      </c>
      <c r="P236" s="58">
        <f>IF($C236="B",INDEX(Batters[[#All],[K P]],MATCH(Table5[[#This Row],[PID]],Batters[[#All],[PID]],0)),INDEX(Table3[[#All],[STM]],MATCH(Table5[[#This Row],[PID]],Table3[[#All],[PID]],0)))</f>
        <v>2</v>
      </c>
      <c r="Q236" s="63">
        <f>IF($C236="B",INDEX(Batters[[#All],[Tot]],MATCH(Table5[[#This Row],[PID]],Batters[[#All],[PID]],0)),INDEX(Table3[[#All],[Tot]],MATCH(Table5[[#This Row],[PID]],Table3[[#All],[PID]],0)))</f>
        <v>44.7</v>
      </c>
      <c r="R236" s="54">
        <f>IF($C236="B",INDEX(Batters[[#All],[zScore]],MATCH(Table5[[#This Row],[PID]],Batters[[#All],[PID]],0)),INDEX(Table3[[#All],[zScore]],MATCH(Table5[[#This Row],[PID]],Table3[[#All],[PID]],0)))</f>
        <v>0.76566195426262629</v>
      </c>
      <c r="S236" s="60" t="str">
        <f>IF($C236="B",INDEX(Batters[[#All],[DEM]],MATCH(Table5[[#This Row],[PID]],Batters[[#All],[PID]],0)),INDEX(Table3[[#All],[DEM]],MATCH(Table5[[#This Row],[PID]],Table3[[#All],[PID]],0)))</f>
        <v>-</v>
      </c>
      <c r="T236" s="64">
        <f>IF($C236="B",VLOOKUP($A236,Bat!$A$4:$AU$1417,46,FALSE),VLOOKUP($A236,Pit!$A$4:$BD$570,55,FALSE))</f>
        <v>0</v>
      </c>
      <c r="U236" s="52">
        <f>IF($C236="B",VLOOKUP($A236,Bat!$A$4:$BA$1417,47,FALSE),VLOOKUP($A236,Pit!$A$4:$BF$570,56,FALSE))</f>
        <v>0</v>
      </c>
      <c r="V236" s="52">
        <f>IF($C236="B",VLOOKUP($A236,Bat!$A$4:$BA$1417,48,FALSE),VLOOKUP($A236,Pit!$A$4:$BF$570,57,FALSE))</f>
        <v>0</v>
      </c>
      <c r="W236" s="52">
        <f>Table5[[#This Row],[posRnk]]+Table5[[#This Row],[zRnk]]+IF($W$3&lt;&gt;Table5[[#This Row],[Type]],50,0)</f>
        <v>278</v>
      </c>
      <c r="X236" s="53">
        <f>RANK(Table5[[#This Row],[zScore]],Table5[[#All],[zScore]])</f>
        <v>228</v>
      </c>
      <c r="Y236" s="52" t="str">
        <f>IFERROR(INDEX(DraftResults[[#All],[OVR]],MATCH(Table5[[#This Row],[PID]],DraftResults[[#All],[Player ID]],0)),"")</f>
        <v/>
      </c>
      <c r="Z2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6" s="52" t="str">
        <f>IFERROR(INDEX(DraftResults[[#All],[Pick in Round]],MATCH(Table5[[#This Row],[PID]],DraftResults[[#All],[Player ID]],0)),"")</f>
        <v/>
      </c>
      <c r="AB236" s="52" t="str">
        <f>IFERROR(INDEX(DraftResults[[#All],[Team Name]],MATCH(Table5[[#This Row],[PID]],DraftResults[[#All],[Player ID]],0)),"")</f>
        <v/>
      </c>
      <c r="AC236" s="52" t="str">
        <f>IF(Table5[[#This Row],[Ovr]]="","",IF(Table5[[#This Row],[cmbList]]="","",Table5[[#This Row],[cmbList]]-Table5[[#This Row],[Ovr]]))</f>
        <v/>
      </c>
      <c r="AD236" s="56" t="str">
        <f>IF(ISERROR(VLOOKUP($AB236&amp;"-"&amp;$E236&amp;" "&amp;F236,Bonuses!$B$1:$G$1006,4,FALSE)),"",INT(VLOOKUP($AB236&amp;"-"&amp;$E236&amp;" "&amp;$F236,Bonuses!$B$1:$G$1006,4,FALSE)))</f>
        <v/>
      </c>
      <c r="AE2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7" spans="1:31" s="52" customFormat="1" x14ac:dyDescent="0.25">
      <c r="A237" s="52">
        <v>17819</v>
      </c>
      <c r="B237" s="52">
        <f>COUNTIF(Table5[PID],A237)</f>
        <v>1</v>
      </c>
      <c r="C237" s="52" t="str">
        <f>IF(COUNTIF(Table3[[#All],[PID]],A237)&gt;0,"P","B")</f>
        <v>B</v>
      </c>
      <c r="D237" s="61" t="str">
        <f>IF($C237="B",INDEX(Batters[[#All],[POS]],MATCH(Table5[[#This Row],[PID]],Batters[[#All],[PID]],0)),INDEX(Table3[[#All],[POS]],MATCH(Table5[[#This Row],[PID]],Table3[[#All],[PID]],0)))</f>
        <v>C</v>
      </c>
      <c r="E237" s="54" t="str">
        <f>IF($C237="B",INDEX(Batters[[#All],[First]],MATCH(Table5[[#This Row],[PID]],Batters[[#All],[PID]],0)),INDEX(Table3[[#All],[First]],MATCH(Table5[[#This Row],[PID]],Table3[[#All],[PID]],0)))</f>
        <v>Jerrel</v>
      </c>
      <c r="F237" s="52" t="str">
        <f>IF($C237="B",INDEX(Batters[[#All],[Last]],MATCH(A237,Batters[[#All],[PID]],0)),INDEX(Table3[[#All],[Last]],MATCH(A237,Table3[[#All],[PID]],0)))</f>
        <v>Waasdorp</v>
      </c>
      <c r="G237" s="58">
        <f>IF($C237="B",INDEX(Batters[[#All],[Age]],MATCH(Table5[[#This Row],[PID]],Batters[[#All],[PID]],0)),INDEX(Table3[[#All],[Age]],MATCH(Table5[[#This Row],[PID]],Table3[[#All],[PID]],0)))</f>
        <v>21</v>
      </c>
      <c r="H237" s="54" t="str">
        <f>IF($C237="B",INDEX(Batters[[#All],[B]],MATCH(Table5[[#This Row],[PID]],Batters[[#All],[PID]],0)),INDEX(Table3[[#All],[B]],MATCH(Table5[[#This Row],[PID]],Table3[[#All],[PID]],0)))</f>
        <v>S</v>
      </c>
      <c r="I237" s="54" t="str">
        <f>IF($C237="B",INDEX(Batters[[#All],[T]],MATCH(Table5[[#This Row],[PID]],Batters[[#All],[PID]],0)),INDEX(Table3[[#All],[T]],MATCH(Table5[[#This Row],[PID]],Table3[[#All],[PID]],0)))</f>
        <v>R</v>
      </c>
      <c r="J237" s="54" t="str">
        <f>IF($C237="B",INDEX(Batters[[#All],[WE]],MATCH(Table5[[#This Row],[PID]],Batters[[#All],[PID]],0)),INDEX(Table3[[#All],[WE]],MATCH(Table5[[#This Row],[PID]],Table3[[#All],[PID]],0)))</f>
        <v>Low</v>
      </c>
      <c r="K237" s="54" t="str">
        <f>IF($C237="B",INDEX(Batters[[#All],[INT]],MATCH(Table5[[#This Row],[PID]],Batters[[#All],[PID]],0)),INDEX(Table3[[#All],[INT]],MATCH(Table5[[#This Row],[PID]],Table3[[#All],[PID]],0)))</f>
        <v>Normal</v>
      </c>
      <c r="L237" s="62">
        <f>IF($C237="B",INDEX(Batters[[#All],[CON P]],MATCH(Table5[[#This Row],[PID]],Batters[[#All],[PID]],0)),INDEX(Table3[[#All],[STU P]],MATCH(Table5[[#This Row],[PID]],Table3[[#All],[PID]],0)))</f>
        <v>2</v>
      </c>
      <c r="M237" s="58">
        <f>IF($C237="B",INDEX(Batters[[#All],[GAP P]],MATCH(Table5[[#This Row],[PID]],Batters[[#All],[PID]],0)),INDEX(Table3[[#All],[MOV P]],MATCH(Table5[[#This Row],[PID]],Table3[[#All],[PID]],0)))</f>
        <v>4</v>
      </c>
      <c r="N237" s="58">
        <f>IF($C237="B",INDEX(Batters[[#All],[POW P]],MATCH(Table5[[#This Row],[PID]],Batters[[#All],[PID]],0)),INDEX(Table3[[#All],[CON P]],MATCH(Table5[[#This Row],[PID]],Table3[[#All],[PID]],0)))</f>
        <v>3</v>
      </c>
      <c r="O237" s="58">
        <f>IF($C237="B",INDEX(Batters[[#All],[EYE P]],MATCH(Table5[[#This Row],[PID]],Batters[[#All],[PID]],0)),INDEX(Table3[[#All],[VELO]],MATCH(Table5[[#This Row],[PID]],Table3[[#All],[PID]],0)))</f>
        <v>6</v>
      </c>
      <c r="P237" s="58">
        <f>IF($C237="B",INDEX(Batters[[#All],[K P]],MATCH(Table5[[#This Row],[PID]],Batters[[#All],[PID]],0)),INDEX(Table3[[#All],[STM]],MATCH(Table5[[#This Row],[PID]],Table3[[#All],[PID]],0)))</f>
        <v>2</v>
      </c>
      <c r="Q237" s="63">
        <f>IF($C237="B",INDEX(Batters[[#All],[Tot]],MATCH(Table5[[#This Row],[PID]],Batters[[#All],[PID]],0)),INDEX(Table3[[#All],[Tot]],MATCH(Table5[[#This Row],[PID]],Table3[[#All],[PID]],0)))</f>
        <v>44.7</v>
      </c>
      <c r="R237" s="54">
        <f>IF($C237="B",INDEX(Batters[[#All],[zScore]],MATCH(Table5[[#This Row],[PID]],Batters[[#All],[PID]],0)),INDEX(Table3[[#All],[zScore]],MATCH(Table5[[#This Row],[PID]],Table3[[#All],[PID]],0)))</f>
        <v>0.76566195426262629</v>
      </c>
      <c r="S237" s="60" t="str">
        <f>IF($C237="B",INDEX(Batters[[#All],[DEM]],MATCH(Table5[[#This Row],[PID]],Batters[[#All],[PID]],0)),INDEX(Table3[[#All],[DEM]],MATCH(Table5[[#This Row],[PID]],Table3[[#All],[PID]],0)))</f>
        <v>-</v>
      </c>
      <c r="T237" s="64">
        <f>IF($C237="B",VLOOKUP($A237,Bat!$A$4:$AU$1417,46,FALSE),VLOOKUP($A237,Pit!$A$4:$BD$570,55,FALSE))</f>
        <v>0</v>
      </c>
      <c r="U237" s="52">
        <f>IF($C237="B",VLOOKUP($A237,Bat!$A$4:$BA$1417,47,FALSE),VLOOKUP($A237,Pit!$A$4:$BF$570,56,FALSE))</f>
        <v>0</v>
      </c>
      <c r="V237" s="52">
        <f>IF($C237="B",VLOOKUP($A237,Bat!$A$4:$BA$1417,48,FALSE),VLOOKUP($A237,Pit!$A$4:$BF$570,57,FALSE))</f>
        <v>0</v>
      </c>
      <c r="W237" s="52">
        <f>Table5[[#This Row],[posRnk]]+Table5[[#This Row],[zRnk]]+IF($W$3&lt;&gt;Table5[[#This Row],[Type]],50,0)</f>
        <v>278</v>
      </c>
      <c r="X237" s="53">
        <f>RANK(Table5[[#This Row],[zScore]],Table5[[#All],[zScore]])</f>
        <v>228</v>
      </c>
      <c r="Y237" s="52" t="str">
        <f>IFERROR(INDEX(DraftResults[[#All],[OVR]],MATCH(Table5[[#This Row],[PID]],DraftResults[[#All],[Player ID]],0)),"")</f>
        <v/>
      </c>
      <c r="Z2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7" s="52" t="str">
        <f>IFERROR(INDEX(DraftResults[[#All],[Pick in Round]],MATCH(Table5[[#This Row],[PID]],DraftResults[[#All],[Player ID]],0)),"")</f>
        <v/>
      </c>
      <c r="AB237" s="52" t="str">
        <f>IFERROR(INDEX(DraftResults[[#All],[Team Name]],MATCH(Table5[[#This Row],[PID]],DraftResults[[#All],[Player ID]],0)),"")</f>
        <v/>
      </c>
      <c r="AC237" s="52" t="str">
        <f>IF(Table5[[#This Row],[Ovr]]="","",IF(Table5[[#This Row],[cmbList]]="","",Table5[[#This Row],[cmbList]]-Table5[[#This Row],[Ovr]]))</f>
        <v/>
      </c>
      <c r="AD237" s="56" t="str">
        <f>IF(ISERROR(VLOOKUP($AB237&amp;"-"&amp;$E237&amp;" "&amp;F237,Bonuses!$B$1:$G$1006,4,FALSE)),"",INT(VLOOKUP($AB237&amp;"-"&amp;$E237&amp;" "&amp;$F237,Bonuses!$B$1:$G$1006,4,FALSE)))</f>
        <v/>
      </c>
      <c r="AE2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8" spans="1:31" s="52" customFormat="1" x14ac:dyDescent="0.25">
      <c r="A238" s="52">
        <v>10111</v>
      </c>
      <c r="B238" s="52">
        <f>COUNTIF(Table5[PID],A238)</f>
        <v>1</v>
      </c>
      <c r="C238" s="52" t="str">
        <f>IF(COUNTIF(Table3[[#All],[PID]],A238)&gt;0,"P","B")</f>
        <v>B</v>
      </c>
      <c r="D238" s="61" t="str">
        <f>IF($C238="B",INDEX(Batters[[#All],[POS]],MATCH(Table5[[#This Row],[PID]],Batters[[#All],[PID]],0)),INDEX(Table3[[#All],[POS]],MATCH(Table5[[#This Row],[PID]],Table3[[#All],[PID]],0)))</f>
        <v>C</v>
      </c>
      <c r="E238" s="54" t="str">
        <f>IF($C238="B",INDEX(Batters[[#All],[First]],MATCH(Table5[[#This Row],[PID]],Batters[[#All],[PID]],0)),INDEX(Table3[[#All],[First]],MATCH(Table5[[#This Row],[PID]],Table3[[#All],[PID]],0)))</f>
        <v>Jeremy</v>
      </c>
      <c r="F238" s="52" t="str">
        <f>IF($C238="B",INDEX(Batters[[#All],[Last]],MATCH(A238,Batters[[#All],[PID]],0)),INDEX(Table3[[#All],[Last]],MATCH(A238,Table3[[#All],[PID]],0)))</f>
        <v>White</v>
      </c>
      <c r="G238" s="58">
        <f>IF($C238="B",INDEX(Batters[[#All],[Age]],MATCH(Table5[[#This Row],[PID]],Batters[[#All],[PID]],0)),INDEX(Table3[[#All],[Age]],MATCH(Table5[[#This Row],[PID]],Table3[[#All],[PID]],0)))</f>
        <v>22</v>
      </c>
      <c r="H238" s="54" t="str">
        <f>IF($C238="B",INDEX(Batters[[#All],[B]],MATCH(Table5[[#This Row],[PID]],Batters[[#All],[PID]],0)),INDEX(Table3[[#All],[B]],MATCH(Table5[[#This Row],[PID]],Table3[[#All],[PID]],0)))</f>
        <v>R</v>
      </c>
      <c r="I238" s="54" t="str">
        <f>IF($C238="B",INDEX(Batters[[#All],[T]],MATCH(Table5[[#This Row],[PID]],Batters[[#All],[PID]],0)),INDEX(Table3[[#All],[T]],MATCH(Table5[[#This Row],[PID]],Table3[[#All],[PID]],0)))</f>
        <v>R</v>
      </c>
      <c r="J238" s="54" t="str">
        <f>IF($C238="B",INDEX(Batters[[#All],[WE]],MATCH(Table5[[#This Row],[PID]],Batters[[#All],[PID]],0)),INDEX(Table3[[#All],[WE]],MATCH(Table5[[#This Row],[PID]],Table3[[#All],[PID]],0)))</f>
        <v>Low</v>
      </c>
      <c r="K238" s="54" t="str">
        <f>IF($C238="B",INDEX(Batters[[#All],[INT]],MATCH(Table5[[#This Row],[PID]],Batters[[#All],[PID]],0)),INDEX(Table3[[#All],[INT]],MATCH(Table5[[#This Row],[PID]],Table3[[#All],[PID]],0)))</f>
        <v>Normal</v>
      </c>
      <c r="L238" s="62">
        <f>IF($C238="B",INDEX(Batters[[#All],[CON P]],MATCH(Table5[[#This Row],[PID]],Batters[[#All],[PID]],0)),INDEX(Table3[[#All],[STU P]],MATCH(Table5[[#This Row],[PID]],Table3[[#All],[PID]],0)))</f>
        <v>2</v>
      </c>
      <c r="M238" s="58">
        <f>IF($C238="B",INDEX(Batters[[#All],[GAP P]],MATCH(Table5[[#This Row],[PID]],Batters[[#All],[PID]],0)),INDEX(Table3[[#All],[MOV P]],MATCH(Table5[[#This Row],[PID]],Table3[[#All],[PID]],0)))</f>
        <v>2</v>
      </c>
      <c r="N238" s="58">
        <f>IF($C238="B",INDEX(Batters[[#All],[POW P]],MATCH(Table5[[#This Row],[PID]],Batters[[#All],[PID]],0)),INDEX(Table3[[#All],[CON P]],MATCH(Table5[[#This Row],[PID]],Table3[[#All],[PID]],0)))</f>
        <v>3</v>
      </c>
      <c r="O238" s="58">
        <f>IF($C238="B",INDEX(Batters[[#All],[EYE P]],MATCH(Table5[[#This Row],[PID]],Batters[[#All],[PID]],0)),INDEX(Table3[[#All],[VELO]],MATCH(Table5[[#This Row],[PID]],Table3[[#All],[PID]],0)))</f>
        <v>5</v>
      </c>
      <c r="P238" s="58">
        <f>IF($C238="B",INDEX(Batters[[#All],[K P]],MATCH(Table5[[#This Row],[PID]],Batters[[#All],[PID]],0)),INDEX(Table3[[#All],[STM]],MATCH(Table5[[#This Row],[PID]],Table3[[#All],[PID]],0)))</f>
        <v>2</v>
      </c>
      <c r="Q238" s="63">
        <f>IF($C238="B",INDEX(Batters[[#All],[Tot]],MATCH(Table5[[#This Row],[PID]],Batters[[#All],[PID]],0)),INDEX(Table3[[#All],[Tot]],MATCH(Table5[[#This Row],[PID]],Table3[[#All],[PID]],0)))</f>
        <v>44.7</v>
      </c>
      <c r="R238" s="54">
        <f>IF($C238="B",INDEX(Batters[[#All],[zScore]],MATCH(Table5[[#This Row],[PID]],Batters[[#All],[PID]],0)),INDEX(Table3[[#All],[zScore]],MATCH(Table5[[#This Row],[PID]],Table3[[#All],[PID]],0)))</f>
        <v>0.76566195426262629</v>
      </c>
      <c r="S238" s="60" t="str">
        <f>IF($C238="B",INDEX(Batters[[#All],[DEM]],MATCH(Table5[[#This Row],[PID]],Batters[[#All],[PID]],0)),INDEX(Table3[[#All],[DEM]],MATCH(Table5[[#This Row],[PID]],Table3[[#All],[PID]],0)))</f>
        <v>-</v>
      </c>
      <c r="T238" s="64">
        <f>IF($C238="B",VLOOKUP($A238,Bat!$A$4:$AU$1417,46,FALSE),VLOOKUP($A238,Pit!$A$4:$BD$570,55,FALSE))</f>
        <v>0</v>
      </c>
      <c r="U238" s="52">
        <f>IF($C238="B",VLOOKUP($A238,Bat!$A$4:$BA$1417,47,FALSE),VLOOKUP($A238,Pit!$A$4:$BF$570,56,FALSE))</f>
        <v>0</v>
      </c>
      <c r="V238" s="52">
        <f>IF($C238="B",VLOOKUP($A238,Bat!$A$4:$BA$1417,48,FALSE),VLOOKUP($A238,Pit!$A$4:$BF$570,57,FALSE))</f>
        <v>0</v>
      </c>
      <c r="W238" s="52">
        <f>Table5[[#This Row],[posRnk]]+Table5[[#This Row],[zRnk]]+IF($W$3&lt;&gt;Table5[[#This Row],[Type]],50,0)</f>
        <v>278</v>
      </c>
      <c r="X238" s="53">
        <f>RANK(Table5[[#This Row],[zScore]],Table5[[#All],[zScore]])</f>
        <v>228</v>
      </c>
      <c r="Y238" s="52" t="str">
        <f>IFERROR(INDEX(DraftResults[[#All],[OVR]],MATCH(Table5[[#This Row],[PID]],DraftResults[[#All],[Player ID]],0)),"")</f>
        <v/>
      </c>
      <c r="Z2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8" s="52" t="str">
        <f>IFERROR(INDEX(DraftResults[[#All],[Pick in Round]],MATCH(Table5[[#This Row],[PID]],DraftResults[[#All],[Player ID]],0)),"")</f>
        <v/>
      </c>
      <c r="AB238" s="52" t="str">
        <f>IFERROR(INDEX(DraftResults[[#All],[Team Name]],MATCH(Table5[[#This Row],[PID]],DraftResults[[#All],[Player ID]],0)),"")</f>
        <v/>
      </c>
      <c r="AC238" s="52" t="str">
        <f>IF(Table5[[#This Row],[Ovr]]="","",IF(Table5[[#This Row],[cmbList]]="","",Table5[[#This Row],[cmbList]]-Table5[[#This Row],[Ovr]]))</f>
        <v/>
      </c>
      <c r="AD238" s="56" t="str">
        <f>IF(ISERROR(VLOOKUP($AB238&amp;"-"&amp;$E238&amp;" "&amp;F238,Bonuses!$B$1:$G$1006,4,FALSE)),"",INT(VLOOKUP($AB238&amp;"-"&amp;$E238&amp;" "&amp;$F238,Bonuses!$B$1:$G$1006,4,FALSE)))</f>
        <v/>
      </c>
      <c r="AE2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9" spans="1:31" s="52" customFormat="1" x14ac:dyDescent="0.25">
      <c r="A239" s="52">
        <v>7285</v>
      </c>
      <c r="B239" s="52">
        <f>COUNTIF(Table5[PID],A239)</f>
        <v>1</v>
      </c>
      <c r="C239" s="52" t="str">
        <f>IF(COUNTIF(Table3[[#All],[PID]],A239)&gt;0,"P","B")</f>
        <v>B</v>
      </c>
      <c r="D239" s="61" t="str">
        <f>IF($C239="B",INDEX(Batters[[#All],[POS]],MATCH(Table5[[#This Row],[PID]],Batters[[#All],[PID]],0)),INDEX(Table3[[#All],[POS]],MATCH(Table5[[#This Row],[PID]],Table3[[#All],[PID]],0)))</f>
        <v>C</v>
      </c>
      <c r="E239" s="54" t="str">
        <f>IF($C239="B",INDEX(Batters[[#All],[First]],MATCH(Table5[[#This Row],[PID]],Batters[[#All],[PID]],0)),INDEX(Table3[[#All],[First]],MATCH(Table5[[#This Row],[PID]],Table3[[#All],[PID]],0)))</f>
        <v>Yoshimatsu</v>
      </c>
      <c r="F239" s="52" t="str">
        <f>IF($C239="B",INDEX(Batters[[#All],[Last]],MATCH(A239,Batters[[#All],[PID]],0)),INDEX(Table3[[#All],[Last]],MATCH(A239,Table3[[#All],[PID]],0)))</f>
        <v>Yoshikawa</v>
      </c>
      <c r="G239" s="58">
        <f>IF($C239="B",INDEX(Batters[[#All],[Age]],MATCH(Table5[[#This Row],[PID]],Batters[[#All],[PID]],0)),INDEX(Table3[[#All],[Age]],MATCH(Table5[[#This Row],[PID]],Table3[[#All],[PID]],0)))</f>
        <v>21</v>
      </c>
      <c r="H239" s="54" t="str">
        <f>IF($C239="B",INDEX(Batters[[#All],[B]],MATCH(Table5[[#This Row],[PID]],Batters[[#All],[PID]],0)),INDEX(Table3[[#All],[B]],MATCH(Table5[[#This Row],[PID]],Table3[[#All],[PID]],0)))</f>
        <v>R</v>
      </c>
      <c r="I239" s="54" t="str">
        <f>IF($C239="B",INDEX(Batters[[#All],[T]],MATCH(Table5[[#This Row],[PID]],Batters[[#All],[PID]],0)),INDEX(Table3[[#All],[T]],MATCH(Table5[[#This Row],[PID]],Table3[[#All],[PID]],0)))</f>
        <v>R</v>
      </c>
      <c r="J239" s="54" t="str">
        <f>IF($C239="B",INDEX(Batters[[#All],[WE]],MATCH(Table5[[#This Row],[PID]],Batters[[#All],[PID]],0)),INDEX(Table3[[#All],[WE]],MATCH(Table5[[#This Row],[PID]],Table3[[#All],[PID]],0)))</f>
        <v>Low</v>
      </c>
      <c r="K239" s="54" t="str">
        <f>IF($C239="B",INDEX(Batters[[#All],[INT]],MATCH(Table5[[#This Row],[PID]],Batters[[#All],[PID]],0)),INDEX(Table3[[#All],[INT]],MATCH(Table5[[#This Row],[PID]],Table3[[#All],[PID]],0)))</f>
        <v>Normal</v>
      </c>
      <c r="L239" s="62">
        <f>IF($C239="B",INDEX(Batters[[#All],[CON P]],MATCH(Table5[[#This Row],[PID]],Batters[[#All],[PID]],0)),INDEX(Table3[[#All],[STU P]],MATCH(Table5[[#This Row],[PID]],Table3[[#All],[PID]],0)))</f>
        <v>2</v>
      </c>
      <c r="M239" s="58">
        <f>IF($C239="B",INDEX(Batters[[#All],[GAP P]],MATCH(Table5[[#This Row],[PID]],Batters[[#All],[PID]],0)),INDEX(Table3[[#All],[MOV P]],MATCH(Table5[[#This Row],[PID]],Table3[[#All],[PID]],0)))</f>
        <v>4</v>
      </c>
      <c r="N239" s="58">
        <f>IF($C239="B",INDEX(Batters[[#All],[POW P]],MATCH(Table5[[#This Row],[PID]],Batters[[#All],[PID]],0)),INDEX(Table3[[#All],[CON P]],MATCH(Table5[[#This Row],[PID]],Table3[[#All],[PID]],0)))</f>
        <v>5</v>
      </c>
      <c r="O239" s="58">
        <f>IF($C239="B",INDEX(Batters[[#All],[EYE P]],MATCH(Table5[[#This Row],[PID]],Batters[[#All],[PID]],0)),INDEX(Table3[[#All],[VELO]],MATCH(Table5[[#This Row],[PID]],Table3[[#All],[PID]],0)))</f>
        <v>6</v>
      </c>
      <c r="P239" s="58">
        <f>IF($C239="B",INDEX(Batters[[#All],[K P]],MATCH(Table5[[#This Row],[PID]],Batters[[#All],[PID]],0)),INDEX(Table3[[#All],[STM]],MATCH(Table5[[#This Row],[PID]],Table3[[#All],[PID]],0)))</f>
        <v>2</v>
      </c>
      <c r="Q239" s="63">
        <f>IF($C239="B",INDEX(Batters[[#All],[Tot]],MATCH(Table5[[#This Row],[PID]],Batters[[#All],[PID]],0)),INDEX(Table3[[#All],[Tot]],MATCH(Table5[[#This Row],[PID]],Table3[[#All],[PID]],0)))</f>
        <v>44.7</v>
      </c>
      <c r="R239" s="54">
        <f>IF($C239="B",INDEX(Batters[[#All],[zScore]],MATCH(Table5[[#This Row],[PID]],Batters[[#All],[PID]],0)),INDEX(Table3[[#All],[zScore]],MATCH(Table5[[#This Row],[PID]],Table3[[#All],[PID]],0)))</f>
        <v>0.76566195426262629</v>
      </c>
      <c r="S239" s="60" t="str">
        <f>IF($C239="B",INDEX(Batters[[#All],[DEM]],MATCH(Table5[[#This Row],[PID]],Batters[[#All],[PID]],0)),INDEX(Table3[[#All],[DEM]],MATCH(Table5[[#This Row],[PID]],Table3[[#All],[PID]],0)))</f>
        <v>$34k</v>
      </c>
      <c r="T239" s="64">
        <f>IF($C239="B",VLOOKUP($A239,Bat!$A$4:$AU$1417,46,FALSE),VLOOKUP($A239,Pit!$A$4:$BD$570,55,FALSE))</f>
        <v>0</v>
      </c>
      <c r="U239" s="52">
        <f>IF($C239="B",VLOOKUP($A239,Bat!$A$4:$BA$1417,47,FALSE),VLOOKUP($A239,Pit!$A$4:$BF$570,56,FALSE))</f>
        <v>0</v>
      </c>
      <c r="V239" s="52">
        <f>IF($C239="B",VLOOKUP($A239,Bat!$A$4:$BA$1417,48,FALSE),VLOOKUP($A239,Pit!$A$4:$BF$570,57,FALSE))</f>
        <v>0</v>
      </c>
      <c r="W239" s="52">
        <f>Table5[[#This Row],[posRnk]]+Table5[[#This Row],[zRnk]]+IF($W$3&lt;&gt;Table5[[#This Row],[Type]],50,0)</f>
        <v>278</v>
      </c>
      <c r="X239" s="53">
        <f>RANK(Table5[[#This Row],[zScore]],Table5[[#All],[zScore]])</f>
        <v>228</v>
      </c>
      <c r="Y239" s="52" t="str">
        <f>IFERROR(INDEX(DraftResults[[#All],[OVR]],MATCH(Table5[[#This Row],[PID]],DraftResults[[#All],[Player ID]],0)),"")</f>
        <v/>
      </c>
      <c r="Z2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9" s="52" t="str">
        <f>IFERROR(INDEX(DraftResults[[#All],[Pick in Round]],MATCH(Table5[[#This Row],[PID]],DraftResults[[#All],[Player ID]],0)),"")</f>
        <v/>
      </c>
      <c r="AB239" s="52" t="str">
        <f>IFERROR(INDEX(DraftResults[[#All],[Team Name]],MATCH(Table5[[#This Row],[PID]],DraftResults[[#All],[Player ID]],0)),"")</f>
        <v/>
      </c>
      <c r="AC239" s="52" t="str">
        <f>IF(Table5[[#This Row],[Ovr]]="","",IF(Table5[[#This Row],[cmbList]]="","",Table5[[#This Row],[cmbList]]-Table5[[#This Row],[Ovr]]))</f>
        <v/>
      </c>
      <c r="AD239" s="56" t="str">
        <f>IF(ISERROR(VLOOKUP($AB239&amp;"-"&amp;$E239&amp;" "&amp;F239,Bonuses!$B$1:$G$1006,4,FALSE)),"",INT(VLOOKUP($AB239&amp;"-"&amp;$E239&amp;" "&amp;$F239,Bonuses!$B$1:$G$1006,4,FALSE)))</f>
        <v/>
      </c>
      <c r="AE2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0" spans="1:31" s="52" customFormat="1" x14ac:dyDescent="0.25">
      <c r="A240" s="52">
        <v>11800</v>
      </c>
      <c r="B240" s="57">
        <f>COUNTIF(Table5[PID],A240)</f>
        <v>1</v>
      </c>
      <c r="C240" s="57" t="str">
        <f>IF(COUNTIF(Table3[[#All],[PID]],A240)&gt;0,"P","B")</f>
        <v>B</v>
      </c>
      <c r="D240" s="61" t="str">
        <f>IF($C240="B",INDEX(Batters[[#All],[POS]],MATCH(Table5[[#This Row],[PID]],Batters[[#All],[PID]],0)),INDEX(Table3[[#All],[POS]],MATCH(Table5[[#This Row],[PID]],Table3[[#All],[PID]],0)))</f>
        <v>LF</v>
      </c>
      <c r="E240" s="54" t="str">
        <f>IF($C240="B",INDEX(Batters[[#All],[First]],MATCH(Table5[[#This Row],[PID]],Batters[[#All],[PID]],0)),INDEX(Table3[[#All],[First]],MATCH(Table5[[#This Row],[PID]],Table3[[#All],[PID]],0)))</f>
        <v>Donnie</v>
      </c>
      <c r="F240" s="52" t="str">
        <f>IF($C240="B",INDEX(Batters[[#All],[Last]],MATCH(A240,Batters[[#All],[PID]],0)),INDEX(Table3[[#All],[Last]],MATCH(A240,Table3[[#All],[PID]],0)))</f>
        <v>Taylor</v>
      </c>
      <c r="G240" s="58">
        <f>IF($C240="B",INDEX(Batters[[#All],[Age]],MATCH(Table5[[#This Row],[PID]],Batters[[#All],[PID]],0)),INDEX(Table3[[#All],[Age]],MATCH(Table5[[#This Row],[PID]],Table3[[#All],[PID]],0)))</f>
        <v>22</v>
      </c>
      <c r="H240" s="54" t="str">
        <f>IF($C240="B",INDEX(Batters[[#All],[B]],MATCH(Table5[[#This Row],[PID]],Batters[[#All],[PID]],0)),INDEX(Table3[[#All],[B]],MATCH(Table5[[#This Row],[PID]],Table3[[#All],[PID]],0)))</f>
        <v>R</v>
      </c>
      <c r="I240" s="54" t="str">
        <f>IF($C240="B",INDEX(Batters[[#All],[T]],MATCH(Table5[[#This Row],[PID]],Batters[[#All],[PID]],0)),INDEX(Table3[[#All],[T]],MATCH(Table5[[#This Row],[PID]],Table3[[#All],[PID]],0)))</f>
        <v>R</v>
      </c>
      <c r="J240" s="54" t="str">
        <f>IF($C240="B",INDEX(Batters[[#All],[WE]],MATCH(Table5[[#This Row],[PID]],Batters[[#All],[PID]],0)),INDEX(Table3[[#All],[WE]],MATCH(Table5[[#This Row],[PID]],Table3[[#All],[PID]],0)))</f>
        <v>Low</v>
      </c>
      <c r="K240" s="54" t="str">
        <f>IF($C240="B",INDEX(Batters[[#All],[INT]],MATCH(Table5[[#This Row],[PID]],Batters[[#All],[PID]],0)),INDEX(Table3[[#All],[INT]],MATCH(Table5[[#This Row],[PID]],Table3[[#All],[PID]],0)))</f>
        <v>Normal</v>
      </c>
      <c r="L240" s="62">
        <f>IF($C240="B",INDEX(Batters[[#All],[CON P]],MATCH(Table5[[#This Row],[PID]],Batters[[#All],[PID]],0)),INDEX(Table3[[#All],[STU P]],MATCH(Table5[[#This Row],[PID]],Table3[[#All],[PID]],0)))</f>
        <v>2</v>
      </c>
      <c r="M240" s="58">
        <f>IF($C240="B",INDEX(Batters[[#All],[GAP P]],MATCH(Table5[[#This Row],[PID]],Batters[[#All],[PID]],0)),INDEX(Table3[[#All],[MOV P]],MATCH(Table5[[#This Row],[PID]],Table3[[#All],[PID]],0)))</f>
        <v>3</v>
      </c>
      <c r="N240" s="58">
        <f>IF($C240="B",INDEX(Batters[[#All],[POW P]],MATCH(Table5[[#This Row],[PID]],Batters[[#All],[PID]],0)),INDEX(Table3[[#All],[CON P]],MATCH(Table5[[#This Row],[PID]],Table3[[#All],[PID]],0)))</f>
        <v>3</v>
      </c>
      <c r="O240" s="58">
        <f>IF($C240="B",INDEX(Batters[[#All],[EYE P]],MATCH(Table5[[#This Row],[PID]],Batters[[#All],[PID]],0)),INDEX(Table3[[#All],[VELO]],MATCH(Table5[[#This Row],[PID]],Table3[[#All],[PID]],0)))</f>
        <v>3</v>
      </c>
      <c r="P240" s="58">
        <f>IF($C240="B",INDEX(Batters[[#All],[K P]],MATCH(Table5[[#This Row],[PID]],Batters[[#All],[PID]],0)),INDEX(Table3[[#All],[STM]],MATCH(Table5[[#This Row],[PID]],Table3[[#All],[PID]],0)))</f>
        <v>3</v>
      </c>
      <c r="Q240" s="63">
        <f>IF($C240="B",INDEX(Batters[[#All],[Tot]],MATCH(Table5[[#This Row],[PID]],Batters[[#All],[PID]],0)),INDEX(Table3[[#All],[Tot]],MATCH(Table5[[#This Row],[PID]],Table3[[#All],[PID]],0)))</f>
        <v>44.7</v>
      </c>
      <c r="R240" s="54">
        <f>IF($C240="B",INDEX(Batters[[#All],[zScore]],MATCH(Table5[[#This Row],[PID]],Batters[[#All],[PID]],0)),INDEX(Table3[[#All],[zScore]],MATCH(Table5[[#This Row],[PID]],Table3[[#All],[PID]],0)))</f>
        <v>0.76566195426262629</v>
      </c>
      <c r="S240" s="60" t="str">
        <f>IF($C240="B",INDEX(Batters[[#All],[DEM]],MATCH(Table5[[#This Row],[PID]],Batters[[#All],[PID]],0)),INDEX(Table3[[#All],[DEM]],MATCH(Table5[[#This Row],[PID]],Table3[[#All],[PID]],0)))</f>
        <v>-</v>
      </c>
      <c r="T240" s="64">
        <f>IF($C240="B",VLOOKUP($A240,Bat!$A$4:$AU$1417,46,FALSE),VLOOKUP($A240,Pit!$A$4:$BD$570,55,FALSE))</f>
        <v>0</v>
      </c>
      <c r="U240" s="52">
        <f>IF($C240="B",VLOOKUP($A240,Bat!$A$4:$BA$1417,47,FALSE),VLOOKUP($A240,Pit!$A$4:$BF$570,56,FALSE))</f>
        <v>0</v>
      </c>
      <c r="V240" s="52">
        <f>IF($C240="B",VLOOKUP($A240,Bat!$A$4:$BA$1417,48,FALSE),VLOOKUP($A240,Pit!$A$4:$BF$570,57,FALSE))</f>
        <v>0</v>
      </c>
      <c r="W240" s="52">
        <f>Table5[[#This Row],[posRnk]]+Table5[[#This Row],[zRnk]]+IF($W$3&lt;&gt;Table5[[#This Row],[Type]],50,0)</f>
        <v>278</v>
      </c>
      <c r="X240" s="53">
        <f>RANK(Table5[[#This Row],[zScore]],Table5[[#All],[zScore]])</f>
        <v>228</v>
      </c>
      <c r="Y240" s="52" t="str">
        <f>IFERROR(INDEX(DraftResults[[#All],[OVR]],MATCH(Table5[[#This Row],[PID]],DraftResults[[#All],[Player ID]],0)),"")</f>
        <v/>
      </c>
      <c r="Z2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0" s="52" t="str">
        <f>IFERROR(INDEX(DraftResults[[#All],[Pick in Round]],MATCH(Table5[[#This Row],[PID]],DraftResults[[#All],[Player ID]],0)),"")</f>
        <v/>
      </c>
      <c r="AB240" s="52" t="str">
        <f>IFERROR(INDEX(DraftResults[[#All],[Team Name]],MATCH(Table5[[#This Row],[PID]],DraftResults[[#All],[Player ID]],0)),"")</f>
        <v/>
      </c>
      <c r="AC240" s="52" t="str">
        <f>IF(Table5[[#This Row],[Ovr]]="","",IF(Table5[[#This Row],[cmbList]]="","",Table5[[#This Row],[cmbList]]-Table5[[#This Row],[Ovr]]))</f>
        <v/>
      </c>
      <c r="AD240" s="56" t="str">
        <f>IF(ISERROR(VLOOKUP($AB240&amp;"-"&amp;$E240&amp;" "&amp;F240,Bonuses!$B$1:$G$1006,4,FALSE)),"",INT(VLOOKUP($AB240&amp;"-"&amp;$E240&amp;" "&amp;$F240,Bonuses!$B$1:$G$1006,4,FALSE)))</f>
        <v/>
      </c>
      <c r="AE2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1" spans="1:31" s="52" customFormat="1" x14ac:dyDescent="0.25">
      <c r="A241" s="52">
        <v>9835</v>
      </c>
      <c r="B241" s="57">
        <f>COUNTIF(Table5[PID],A241)</f>
        <v>1</v>
      </c>
      <c r="C241" s="57" t="str">
        <f>IF(COUNTIF(Table3[[#All],[PID]],A241)&gt;0,"P","B")</f>
        <v>B</v>
      </c>
      <c r="D241" s="61" t="str">
        <f>IF($C241="B",INDEX(Batters[[#All],[POS]],MATCH(Table5[[#This Row],[PID]],Batters[[#All],[PID]],0)),INDEX(Table3[[#All],[POS]],MATCH(Table5[[#This Row],[PID]],Table3[[#All],[PID]],0)))</f>
        <v>SS</v>
      </c>
      <c r="E241" s="54" t="str">
        <f>IF($C241="B",INDEX(Batters[[#All],[First]],MATCH(Table5[[#This Row],[PID]],Batters[[#All],[PID]],0)),INDEX(Table3[[#All],[First]],MATCH(Table5[[#This Row],[PID]],Table3[[#All],[PID]],0)))</f>
        <v>Hayden</v>
      </c>
      <c r="F241" s="52" t="str">
        <f>IF($C241="B",INDEX(Batters[[#All],[Last]],MATCH(A241,Batters[[#All],[PID]],0)),INDEX(Table3[[#All],[Last]],MATCH(A241,Table3[[#All],[PID]],0)))</f>
        <v>Trick</v>
      </c>
      <c r="G241" s="58">
        <f>IF($C241="B",INDEX(Batters[[#All],[Age]],MATCH(Table5[[#This Row],[PID]],Batters[[#All],[PID]],0)),INDEX(Table3[[#All],[Age]],MATCH(Table5[[#This Row],[PID]],Table3[[#All],[PID]],0)))</f>
        <v>21</v>
      </c>
      <c r="H241" s="54" t="str">
        <f>IF($C241="B",INDEX(Batters[[#All],[B]],MATCH(Table5[[#This Row],[PID]],Batters[[#All],[PID]],0)),INDEX(Table3[[#All],[B]],MATCH(Table5[[#This Row],[PID]],Table3[[#All],[PID]],0)))</f>
        <v>R</v>
      </c>
      <c r="I241" s="54" t="str">
        <f>IF($C241="B",INDEX(Batters[[#All],[T]],MATCH(Table5[[#This Row],[PID]],Batters[[#All],[PID]],0)),INDEX(Table3[[#All],[T]],MATCH(Table5[[#This Row],[PID]],Table3[[#All],[PID]],0)))</f>
        <v>R</v>
      </c>
      <c r="J241" s="54" t="str">
        <f>IF($C241="B",INDEX(Batters[[#All],[WE]],MATCH(Table5[[#This Row],[PID]],Batters[[#All],[PID]],0)),INDEX(Table3[[#All],[WE]],MATCH(Table5[[#This Row],[PID]],Table3[[#All],[PID]],0)))</f>
        <v>Normal</v>
      </c>
      <c r="K241" s="54" t="str">
        <f>IF($C241="B",INDEX(Batters[[#All],[INT]],MATCH(Table5[[#This Row],[PID]],Batters[[#All],[PID]],0)),INDEX(Table3[[#All],[INT]],MATCH(Table5[[#This Row],[PID]],Table3[[#All],[PID]],0)))</f>
        <v>Low</v>
      </c>
      <c r="L241" s="62">
        <f>IF($C241="B",INDEX(Batters[[#All],[CON P]],MATCH(Table5[[#This Row],[PID]],Batters[[#All],[PID]],0)),INDEX(Table3[[#All],[STU P]],MATCH(Table5[[#This Row],[PID]],Table3[[#All],[PID]],0)))</f>
        <v>2</v>
      </c>
      <c r="M241" s="58">
        <f>IF($C241="B",INDEX(Batters[[#All],[GAP P]],MATCH(Table5[[#This Row],[PID]],Batters[[#All],[PID]],0)),INDEX(Table3[[#All],[MOV P]],MATCH(Table5[[#This Row],[PID]],Table3[[#All],[PID]],0)))</f>
        <v>3</v>
      </c>
      <c r="N241" s="58">
        <f>IF($C241="B",INDEX(Batters[[#All],[POW P]],MATCH(Table5[[#This Row],[PID]],Batters[[#All],[PID]],0)),INDEX(Table3[[#All],[CON P]],MATCH(Table5[[#This Row],[PID]],Table3[[#All],[PID]],0)))</f>
        <v>3</v>
      </c>
      <c r="O241" s="58">
        <f>IF($C241="B",INDEX(Batters[[#All],[EYE P]],MATCH(Table5[[#This Row],[PID]],Batters[[#All],[PID]],0)),INDEX(Table3[[#All],[VELO]],MATCH(Table5[[#This Row],[PID]],Table3[[#All],[PID]],0)))</f>
        <v>4</v>
      </c>
      <c r="P241" s="58">
        <f>IF($C241="B",INDEX(Batters[[#All],[K P]],MATCH(Table5[[#This Row],[PID]],Batters[[#All],[PID]],0)),INDEX(Table3[[#All],[STM]],MATCH(Table5[[#This Row],[PID]],Table3[[#All],[PID]],0)))</f>
        <v>2</v>
      </c>
      <c r="Q241" s="63">
        <f>IF($C241="B",INDEX(Batters[[#All],[Tot]],MATCH(Table5[[#This Row],[PID]],Batters[[#All],[PID]],0)),INDEX(Table3[[#All],[Tot]],MATCH(Table5[[#This Row],[PID]],Table3[[#All],[PID]],0)))</f>
        <v>44.7</v>
      </c>
      <c r="R241" s="54">
        <f>IF($C241="B",INDEX(Batters[[#All],[zScore]],MATCH(Table5[[#This Row],[PID]],Batters[[#All],[PID]],0)),INDEX(Table3[[#All],[zScore]],MATCH(Table5[[#This Row],[PID]],Table3[[#All],[PID]],0)))</f>
        <v>0.76566195426262629</v>
      </c>
      <c r="S241" s="60" t="str">
        <f>IF($C241="B",INDEX(Batters[[#All],[DEM]],MATCH(Table5[[#This Row],[PID]],Batters[[#All],[PID]],0)),INDEX(Table3[[#All],[DEM]],MATCH(Table5[[#This Row],[PID]],Table3[[#All],[PID]],0)))</f>
        <v>$75k</v>
      </c>
      <c r="T241" s="64">
        <f>IF($C241="B",VLOOKUP($A241,Bat!$A$4:$AU$1417,46,FALSE),VLOOKUP($A241,Pit!$A$4:$BD$570,55,FALSE))</f>
        <v>0</v>
      </c>
      <c r="U241" s="52">
        <f>IF($C241="B",VLOOKUP($A241,Bat!$A$4:$BA$1417,47,FALSE),VLOOKUP($A241,Pit!$A$4:$BF$570,56,FALSE))</f>
        <v>0</v>
      </c>
      <c r="V241" s="52">
        <f>IF($C241="B",VLOOKUP($A241,Bat!$A$4:$BA$1417,48,FALSE),VLOOKUP($A241,Pit!$A$4:$BF$570,57,FALSE))</f>
        <v>0</v>
      </c>
      <c r="W241" s="52">
        <f>Table5[[#This Row],[posRnk]]+Table5[[#This Row],[zRnk]]+IF($W$3&lt;&gt;Table5[[#This Row],[Type]],50,0)</f>
        <v>278</v>
      </c>
      <c r="X241" s="53">
        <f>RANK(Table5[[#This Row],[zScore]],Table5[[#All],[zScore]])</f>
        <v>228</v>
      </c>
      <c r="Y241" s="52" t="str">
        <f>IFERROR(INDEX(DraftResults[[#All],[OVR]],MATCH(Table5[[#This Row],[PID]],DraftResults[[#All],[Player ID]],0)),"")</f>
        <v/>
      </c>
      <c r="Z2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1" s="52" t="str">
        <f>IFERROR(INDEX(DraftResults[[#All],[Pick in Round]],MATCH(Table5[[#This Row],[PID]],DraftResults[[#All],[Player ID]],0)),"")</f>
        <v/>
      </c>
      <c r="AB241" s="52" t="str">
        <f>IFERROR(INDEX(DraftResults[[#All],[Team Name]],MATCH(Table5[[#This Row],[PID]],DraftResults[[#All],[Player ID]],0)),"")</f>
        <v/>
      </c>
      <c r="AC241" s="52" t="str">
        <f>IF(Table5[[#This Row],[Ovr]]="","",IF(Table5[[#This Row],[cmbList]]="","",Table5[[#This Row],[cmbList]]-Table5[[#This Row],[Ovr]]))</f>
        <v/>
      </c>
      <c r="AD241" s="56" t="str">
        <f>IF(ISERROR(VLOOKUP($AB241&amp;"-"&amp;$E241&amp;" "&amp;F241,Bonuses!$B$1:$G$1006,4,FALSE)),"",INT(VLOOKUP($AB241&amp;"-"&amp;$E241&amp;" "&amp;$F241,Bonuses!$B$1:$G$1006,4,FALSE)))</f>
        <v/>
      </c>
      <c r="AE2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2" spans="1:31" s="52" customFormat="1" x14ac:dyDescent="0.25">
      <c r="A242" s="52">
        <v>8484</v>
      </c>
      <c r="B242" s="52">
        <f>COUNTIF(Table5[PID],A242)</f>
        <v>1</v>
      </c>
      <c r="C242" s="52" t="str">
        <f>IF(COUNTIF(Table3[[#All],[PID]],A242)&gt;0,"P","B")</f>
        <v>B</v>
      </c>
      <c r="D242" s="61" t="str">
        <f>IF($C242="B",INDEX(Batters[[#All],[POS]],MATCH(Table5[[#This Row],[PID]],Batters[[#All],[PID]],0)),INDEX(Table3[[#All],[POS]],MATCH(Table5[[#This Row],[PID]],Table3[[#All],[PID]],0)))</f>
        <v>2B</v>
      </c>
      <c r="E242" s="54" t="str">
        <f>IF($C242="B",INDEX(Batters[[#All],[First]],MATCH(Table5[[#This Row],[PID]],Batters[[#All],[PID]],0)),INDEX(Table3[[#All],[First]],MATCH(Table5[[#This Row],[PID]],Table3[[#All],[PID]],0)))</f>
        <v>Freddy</v>
      </c>
      <c r="F242" s="52" t="str">
        <f>IF($C242="B",INDEX(Batters[[#All],[Last]],MATCH(A242,Batters[[#All],[PID]],0)),INDEX(Table3[[#All],[Last]],MATCH(A242,Table3[[#All],[PID]],0)))</f>
        <v>Liriano</v>
      </c>
      <c r="G242" s="58">
        <f>IF($C242="B",INDEX(Batters[[#All],[Age]],MATCH(Table5[[#This Row],[PID]],Batters[[#All],[PID]],0)),INDEX(Table3[[#All],[Age]],MATCH(Table5[[#This Row],[PID]],Table3[[#All],[PID]],0)))</f>
        <v>18</v>
      </c>
      <c r="H242" s="54" t="str">
        <f>IF($C242="B",INDEX(Batters[[#All],[B]],MATCH(Table5[[#This Row],[PID]],Batters[[#All],[PID]],0)),INDEX(Table3[[#All],[B]],MATCH(Table5[[#This Row],[PID]],Table3[[#All],[PID]],0)))</f>
        <v>S</v>
      </c>
      <c r="I242" s="54" t="str">
        <f>IF($C242="B",INDEX(Batters[[#All],[T]],MATCH(Table5[[#This Row],[PID]],Batters[[#All],[PID]],0)),INDEX(Table3[[#All],[T]],MATCH(Table5[[#This Row],[PID]],Table3[[#All],[PID]],0)))</f>
        <v>R</v>
      </c>
      <c r="J242" s="54" t="str">
        <f>IF($C242="B",INDEX(Batters[[#All],[WE]],MATCH(Table5[[#This Row],[PID]],Batters[[#All],[PID]],0)),INDEX(Table3[[#All],[WE]],MATCH(Table5[[#This Row],[PID]],Table3[[#All],[PID]],0)))</f>
        <v>High</v>
      </c>
      <c r="K242" s="54" t="str">
        <f>IF($C242="B",INDEX(Batters[[#All],[INT]],MATCH(Table5[[#This Row],[PID]],Batters[[#All],[PID]],0)),INDEX(Table3[[#All],[INT]],MATCH(Table5[[#This Row],[PID]],Table3[[#All],[PID]],0)))</f>
        <v>Normal</v>
      </c>
      <c r="L242" s="62">
        <f>IF($C242="B",INDEX(Batters[[#All],[CON P]],MATCH(Table5[[#This Row],[PID]],Batters[[#All],[PID]],0)),INDEX(Table3[[#All],[STU P]],MATCH(Table5[[#This Row],[PID]],Table3[[#All],[PID]],0)))</f>
        <v>4</v>
      </c>
      <c r="M242" s="58">
        <f>IF($C242="B",INDEX(Batters[[#All],[GAP P]],MATCH(Table5[[#This Row],[PID]],Batters[[#All],[PID]],0)),INDEX(Table3[[#All],[MOV P]],MATCH(Table5[[#This Row],[PID]],Table3[[#All],[PID]],0)))</f>
        <v>4</v>
      </c>
      <c r="N242" s="58">
        <f>IF($C242="B",INDEX(Batters[[#All],[POW P]],MATCH(Table5[[#This Row],[PID]],Batters[[#All],[PID]],0)),INDEX(Table3[[#All],[CON P]],MATCH(Table5[[#This Row],[PID]],Table3[[#All],[PID]],0)))</f>
        <v>3</v>
      </c>
      <c r="O242" s="58">
        <f>IF($C242="B",INDEX(Batters[[#All],[EYE P]],MATCH(Table5[[#This Row],[PID]],Batters[[#All],[PID]],0)),INDEX(Table3[[#All],[VELO]],MATCH(Table5[[#This Row],[PID]],Table3[[#All],[PID]],0)))</f>
        <v>3</v>
      </c>
      <c r="P242" s="58">
        <f>IF($C242="B",INDEX(Batters[[#All],[K P]],MATCH(Table5[[#This Row],[PID]],Batters[[#All],[PID]],0)),INDEX(Table3[[#All],[STM]],MATCH(Table5[[#This Row],[PID]],Table3[[#All],[PID]],0)))</f>
        <v>5</v>
      </c>
      <c r="Q242" s="63">
        <f>IF($C242="B",INDEX(Batters[[#All],[Tot]],MATCH(Table5[[#This Row],[PID]],Batters[[#All],[PID]],0)),INDEX(Table3[[#All],[Tot]],MATCH(Table5[[#This Row],[PID]],Table3[[#All],[PID]],0)))</f>
        <v>44.609208388063678</v>
      </c>
      <c r="R242" s="54">
        <f>IF($C242="B",INDEX(Batters[[#All],[zScore]],MATCH(Table5[[#This Row],[PID]],Batters[[#All],[PID]],0)),INDEX(Table3[[#All],[zScore]],MATCH(Table5[[#This Row],[PID]],Table3[[#All],[PID]],0)))</f>
        <v>0.74968777357102701</v>
      </c>
      <c r="S242" s="60" t="str">
        <f>IF($C242="B",INDEX(Batters[[#All],[DEM]],MATCH(Table5[[#This Row],[PID]],Batters[[#All],[PID]],0)),INDEX(Table3[[#All],[DEM]],MATCH(Table5[[#This Row],[PID]],Table3[[#All],[PID]],0)))</f>
        <v>$2.0m</v>
      </c>
      <c r="T242" s="64">
        <f>IF($C242="B",VLOOKUP($A242,Bat!$A$4:$AU$1417,46,FALSE),VLOOKUP($A242,Pit!$A$4:$BD$570,55,FALSE))</f>
        <v>0</v>
      </c>
      <c r="U242" s="52">
        <f>IF($C242="B",VLOOKUP($A242,Bat!$A$4:$BA$1417,47,FALSE),VLOOKUP($A242,Pit!$A$4:$BF$570,56,FALSE))</f>
        <v>0</v>
      </c>
      <c r="V242" s="52">
        <f>IF($C242="B",VLOOKUP($A242,Bat!$A$4:$BA$1417,48,FALSE),VLOOKUP($A242,Pit!$A$4:$BF$570,57,FALSE))</f>
        <v>0</v>
      </c>
      <c r="W242" s="52">
        <f>Table5[[#This Row],[posRnk]]+Table5[[#This Row],[zRnk]]+IF($W$3&lt;&gt;Table5[[#This Row],[Type]],50,0)</f>
        <v>288</v>
      </c>
      <c r="X242" s="53">
        <f>RANK(Table5[[#This Row],[zScore]],Table5[[#All],[zScore]])</f>
        <v>238</v>
      </c>
      <c r="Y242" s="52" t="str">
        <f>IFERROR(INDEX(DraftResults[[#All],[OVR]],MATCH(Table5[[#This Row],[PID]],DraftResults[[#All],[Player ID]],0)),"")</f>
        <v/>
      </c>
      <c r="Z2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2" s="52" t="str">
        <f>IFERROR(INDEX(DraftResults[[#All],[Pick in Round]],MATCH(Table5[[#This Row],[PID]],DraftResults[[#All],[Player ID]],0)),"")</f>
        <v/>
      </c>
      <c r="AB242" s="52" t="str">
        <f>IFERROR(INDEX(DraftResults[[#All],[Team Name]],MATCH(Table5[[#This Row],[PID]],DraftResults[[#All],[Player ID]],0)),"")</f>
        <v/>
      </c>
      <c r="AC242" s="52" t="str">
        <f>IF(Table5[[#This Row],[Ovr]]="","",IF(Table5[[#This Row],[cmbList]]="","",Table5[[#This Row],[cmbList]]-Table5[[#This Row],[Ovr]]))</f>
        <v/>
      </c>
      <c r="AD242" s="56" t="str">
        <f>IF(ISERROR(VLOOKUP($AB242&amp;"-"&amp;$E242&amp;" "&amp;F242,Bonuses!$B$1:$G$1006,4,FALSE)),"",INT(VLOOKUP($AB242&amp;"-"&amp;$E242&amp;" "&amp;$F242,Bonuses!$B$1:$G$1006,4,FALSE)))</f>
        <v/>
      </c>
      <c r="AE2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3" spans="1:31" s="52" customFormat="1" x14ac:dyDescent="0.25">
      <c r="A243" s="52">
        <v>10529</v>
      </c>
      <c r="B243" s="52">
        <f>COUNTIF(Table5[PID],A243)</f>
        <v>1</v>
      </c>
      <c r="C243" s="52" t="str">
        <f>IF(COUNTIF(Table3[[#All],[PID]],A243)&gt;0,"P","B")</f>
        <v>B</v>
      </c>
      <c r="D243" s="61" t="str">
        <f>IF($C243="B",INDEX(Batters[[#All],[POS]],MATCH(Table5[[#This Row],[PID]],Batters[[#All],[PID]],0)),INDEX(Table3[[#All],[POS]],MATCH(Table5[[#This Row],[PID]],Table3[[#All],[PID]],0)))</f>
        <v>C</v>
      </c>
      <c r="E243" s="54" t="str">
        <f>IF($C243="B",INDEX(Batters[[#All],[First]],MATCH(Table5[[#This Row],[PID]],Batters[[#All],[PID]],0)),INDEX(Table3[[#All],[First]],MATCH(Table5[[#This Row],[PID]],Table3[[#All],[PID]],0)))</f>
        <v>Luis</v>
      </c>
      <c r="F243" s="52" t="str">
        <f>IF($C243="B",INDEX(Batters[[#All],[Last]],MATCH(A243,Batters[[#All],[PID]],0)),INDEX(Table3[[#All],[Last]],MATCH(A243,Table3[[#All],[PID]],0)))</f>
        <v>Randín</v>
      </c>
      <c r="G243" s="58">
        <f>IF($C243="B",INDEX(Batters[[#All],[Age]],MATCH(Table5[[#This Row],[PID]],Batters[[#All],[PID]],0)),INDEX(Table3[[#All],[Age]],MATCH(Table5[[#This Row],[PID]],Table3[[#All],[PID]],0)))</f>
        <v>21</v>
      </c>
      <c r="H243" s="54" t="str">
        <f>IF($C243="B",INDEX(Batters[[#All],[B]],MATCH(Table5[[#This Row],[PID]],Batters[[#All],[PID]],0)),INDEX(Table3[[#All],[B]],MATCH(Table5[[#This Row],[PID]],Table3[[#All],[PID]],0)))</f>
        <v>R</v>
      </c>
      <c r="I243" s="54" t="str">
        <f>IF($C243="B",INDEX(Batters[[#All],[T]],MATCH(Table5[[#This Row],[PID]],Batters[[#All],[PID]],0)),INDEX(Table3[[#All],[T]],MATCH(Table5[[#This Row],[PID]],Table3[[#All],[PID]],0)))</f>
        <v>R</v>
      </c>
      <c r="J243" s="54" t="str">
        <f>IF($C243="B",INDEX(Batters[[#All],[WE]],MATCH(Table5[[#This Row],[PID]],Batters[[#All],[PID]],0)),INDEX(Table3[[#All],[WE]],MATCH(Table5[[#This Row],[PID]],Table3[[#All],[PID]],0)))</f>
        <v>Low</v>
      </c>
      <c r="K243" s="54" t="str">
        <f>IF($C243="B",INDEX(Batters[[#All],[INT]],MATCH(Table5[[#This Row],[PID]],Batters[[#All],[PID]],0)),INDEX(Table3[[#All],[INT]],MATCH(Table5[[#This Row],[PID]],Table3[[#All],[PID]],0)))</f>
        <v>Normal</v>
      </c>
      <c r="L243" s="62">
        <f>IF($C243="B",INDEX(Batters[[#All],[CON P]],MATCH(Table5[[#This Row],[PID]],Batters[[#All],[PID]],0)),INDEX(Table3[[#All],[STU P]],MATCH(Table5[[#This Row],[PID]],Table3[[#All],[PID]],0)))</f>
        <v>2</v>
      </c>
      <c r="M243" s="58">
        <f>IF($C243="B",INDEX(Batters[[#All],[GAP P]],MATCH(Table5[[#This Row],[PID]],Batters[[#All],[PID]],0)),INDEX(Table3[[#All],[MOV P]],MATCH(Table5[[#This Row],[PID]],Table3[[#All],[PID]],0)))</f>
        <v>2</v>
      </c>
      <c r="N243" s="58">
        <f>IF($C243="B",INDEX(Batters[[#All],[POW P]],MATCH(Table5[[#This Row],[PID]],Batters[[#All],[PID]],0)),INDEX(Table3[[#All],[CON P]],MATCH(Table5[[#This Row],[PID]],Table3[[#All],[PID]],0)))</f>
        <v>3</v>
      </c>
      <c r="O243" s="58">
        <f>IF($C243="B",INDEX(Batters[[#All],[EYE P]],MATCH(Table5[[#This Row],[PID]],Batters[[#All],[PID]],0)),INDEX(Table3[[#All],[VELO]],MATCH(Table5[[#This Row],[PID]],Table3[[#All],[PID]],0)))</f>
        <v>4</v>
      </c>
      <c r="P243" s="58">
        <f>IF($C243="B",INDEX(Batters[[#All],[K P]],MATCH(Table5[[#This Row],[PID]],Batters[[#All],[PID]],0)),INDEX(Table3[[#All],[STM]],MATCH(Table5[[#This Row],[PID]],Table3[[#All],[PID]],0)))</f>
        <v>3</v>
      </c>
      <c r="Q243" s="63">
        <f>IF($C243="B",INDEX(Batters[[#All],[Tot]],MATCH(Table5[[#This Row],[PID]],Batters[[#All],[PID]],0)),INDEX(Table3[[#All],[Tot]],MATCH(Table5[[#This Row],[PID]],Table3[[#All],[PID]],0)))</f>
        <v>44.55</v>
      </c>
      <c r="R243" s="54">
        <f>IF($C243="B",INDEX(Batters[[#All],[zScore]],MATCH(Table5[[#This Row],[PID]],Batters[[#All],[PID]],0)),INDEX(Table3[[#All],[zScore]],MATCH(Table5[[#This Row],[PID]],Table3[[#All],[PID]],0)))</f>
        <v>0.73927045120813195</v>
      </c>
      <c r="S243" s="60" t="str">
        <f>IF($C243="B",INDEX(Batters[[#All],[DEM]],MATCH(Table5[[#This Row],[PID]],Batters[[#All],[PID]],0)),INDEX(Table3[[#All],[DEM]],MATCH(Table5[[#This Row],[PID]],Table3[[#All],[PID]],0)))</f>
        <v>-</v>
      </c>
      <c r="T243" s="64">
        <f>IF($C243="B",VLOOKUP($A243,Bat!$A$4:$AU$1417,46,FALSE),VLOOKUP($A243,Pit!$A$4:$BD$570,55,FALSE))</f>
        <v>0</v>
      </c>
      <c r="U243" s="52">
        <f>IF($C243="B",VLOOKUP($A243,Bat!$A$4:$BA$1417,47,FALSE),VLOOKUP($A243,Pit!$A$4:$BF$570,56,FALSE))</f>
        <v>0</v>
      </c>
      <c r="V243" s="52">
        <f>IF($C243="B",VLOOKUP($A243,Bat!$A$4:$BA$1417,48,FALSE),VLOOKUP($A243,Pit!$A$4:$BF$570,57,FALSE))</f>
        <v>0</v>
      </c>
      <c r="W243" s="52">
        <f>Table5[[#This Row],[posRnk]]+Table5[[#This Row],[zRnk]]+IF($W$3&lt;&gt;Table5[[#This Row],[Type]],50,0)</f>
        <v>289</v>
      </c>
      <c r="X243" s="53">
        <f>RANK(Table5[[#This Row],[zScore]],Table5[[#All],[zScore]])</f>
        <v>239</v>
      </c>
      <c r="Y243" s="52" t="str">
        <f>IFERROR(INDEX(DraftResults[[#All],[OVR]],MATCH(Table5[[#This Row],[PID]],DraftResults[[#All],[Player ID]],0)),"")</f>
        <v/>
      </c>
      <c r="Z2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3" s="52" t="str">
        <f>IFERROR(INDEX(DraftResults[[#All],[Pick in Round]],MATCH(Table5[[#This Row],[PID]],DraftResults[[#All],[Player ID]],0)),"")</f>
        <v/>
      </c>
      <c r="AB243" s="52" t="str">
        <f>IFERROR(INDEX(DraftResults[[#All],[Team Name]],MATCH(Table5[[#This Row],[PID]],DraftResults[[#All],[Player ID]],0)),"")</f>
        <v/>
      </c>
      <c r="AC243" s="52" t="str">
        <f>IF(Table5[[#This Row],[Ovr]]="","",IF(Table5[[#This Row],[cmbList]]="","",Table5[[#This Row],[cmbList]]-Table5[[#This Row],[Ovr]]))</f>
        <v/>
      </c>
      <c r="AD243" s="56" t="str">
        <f>IF(ISERROR(VLOOKUP($AB243&amp;"-"&amp;$E243&amp;" "&amp;F243,Bonuses!$B$1:$G$1006,4,FALSE)),"",INT(VLOOKUP($AB243&amp;"-"&amp;$E243&amp;" "&amp;$F243,Bonuses!$B$1:$G$1006,4,FALSE)))</f>
        <v/>
      </c>
      <c r="AE2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4" spans="1:31" s="52" customFormat="1" x14ac:dyDescent="0.25">
      <c r="A244" s="52">
        <v>7280</v>
      </c>
      <c r="B244" s="52">
        <f>COUNTIF(Table5[PID],A244)</f>
        <v>1</v>
      </c>
      <c r="C244" s="52" t="str">
        <f>IF(COUNTIF(Table3[[#All],[PID]],A244)&gt;0,"P","B")</f>
        <v>B</v>
      </c>
      <c r="D244" s="61" t="str">
        <f>IF($C244="B",INDEX(Batters[[#All],[POS]],MATCH(Table5[[#This Row],[PID]],Batters[[#All],[PID]],0)),INDEX(Table3[[#All],[POS]],MATCH(Table5[[#This Row],[PID]],Table3[[#All],[PID]],0)))</f>
        <v>LF</v>
      </c>
      <c r="E244" s="54" t="str">
        <f>IF($C244="B",INDEX(Batters[[#All],[First]],MATCH(Table5[[#This Row],[PID]],Batters[[#All],[PID]],0)),INDEX(Table3[[#All],[First]],MATCH(Table5[[#This Row],[PID]],Table3[[#All],[PID]],0)))</f>
        <v>Elton</v>
      </c>
      <c r="F244" s="52" t="str">
        <f>IF($C244="B",INDEX(Batters[[#All],[Last]],MATCH(A244,Batters[[#All],[PID]],0)),INDEX(Table3[[#All],[Last]],MATCH(A244,Table3[[#All],[PID]],0)))</f>
        <v>Dwennon</v>
      </c>
      <c r="G244" s="58">
        <f>IF($C244="B",INDEX(Batters[[#All],[Age]],MATCH(Table5[[#This Row],[PID]],Batters[[#All],[PID]],0)),INDEX(Table3[[#All],[Age]],MATCH(Table5[[#This Row],[PID]],Table3[[#All],[PID]],0)))</f>
        <v>21</v>
      </c>
      <c r="H244" s="54" t="str">
        <f>IF($C244="B",INDEX(Batters[[#All],[B]],MATCH(Table5[[#This Row],[PID]],Batters[[#All],[PID]],0)),INDEX(Table3[[#All],[B]],MATCH(Table5[[#This Row],[PID]],Table3[[#All],[PID]],0)))</f>
        <v>L</v>
      </c>
      <c r="I244" s="54" t="str">
        <f>IF($C244="B",INDEX(Batters[[#All],[T]],MATCH(Table5[[#This Row],[PID]],Batters[[#All],[PID]],0)),INDEX(Table3[[#All],[T]],MATCH(Table5[[#This Row],[PID]],Table3[[#All],[PID]],0)))</f>
        <v>L</v>
      </c>
      <c r="J244" s="54" t="str">
        <f>IF($C244="B",INDEX(Batters[[#All],[WE]],MATCH(Table5[[#This Row],[PID]],Batters[[#All],[PID]],0)),INDEX(Table3[[#All],[WE]],MATCH(Table5[[#This Row],[PID]],Table3[[#All],[PID]],0)))</f>
        <v>Normal</v>
      </c>
      <c r="K244" s="54" t="str">
        <f>IF($C244="B",INDEX(Batters[[#All],[INT]],MATCH(Table5[[#This Row],[PID]],Batters[[#All],[PID]],0)),INDEX(Table3[[#All],[INT]],MATCH(Table5[[#This Row],[PID]],Table3[[#All],[PID]],0)))</f>
        <v>Low</v>
      </c>
      <c r="L244" s="62">
        <f>IF($C244="B",INDEX(Batters[[#All],[CON P]],MATCH(Table5[[#This Row],[PID]],Batters[[#All],[PID]],0)),INDEX(Table3[[#All],[STU P]],MATCH(Table5[[#This Row],[PID]],Table3[[#All],[PID]],0)))</f>
        <v>4</v>
      </c>
      <c r="M244" s="58">
        <f>IF($C244="B",INDEX(Batters[[#All],[GAP P]],MATCH(Table5[[#This Row],[PID]],Batters[[#All],[PID]],0)),INDEX(Table3[[#All],[MOV P]],MATCH(Table5[[#This Row],[PID]],Table3[[#All],[PID]],0)))</f>
        <v>7</v>
      </c>
      <c r="N244" s="58">
        <f>IF($C244="B",INDEX(Batters[[#All],[POW P]],MATCH(Table5[[#This Row],[PID]],Batters[[#All],[PID]],0)),INDEX(Table3[[#All],[CON P]],MATCH(Table5[[#This Row],[PID]],Table3[[#All],[PID]],0)))</f>
        <v>6</v>
      </c>
      <c r="O244" s="58">
        <f>IF($C244="B",INDEX(Batters[[#All],[EYE P]],MATCH(Table5[[#This Row],[PID]],Batters[[#All],[PID]],0)),INDEX(Table3[[#All],[VELO]],MATCH(Table5[[#This Row],[PID]],Table3[[#All],[PID]],0)))</f>
        <v>4</v>
      </c>
      <c r="P244" s="58">
        <f>IF($C244="B",INDEX(Batters[[#All],[K P]],MATCH(Table5[[#This Row],[PID]],Batters[[#All],[PID]],0)),INDEX(Table3[[#All],[STM]],MATCH(Table5[[#This Row],[PID]],Table3[[#All],[PID]],0)))</f>
        <v>4</v>
      </c>
      <c r="Q244" s="63">
        <f>IF($C244="B",INDEX(Batters[[#All],[Tot]],MATCH(Table5[[#This Row],[PID]],Batters[[#All],[PID]],0)),INDEX(Table3[[#All],[Tot]],MATCH(Table5[[#This Row],[PID]],Table3[[#All],[PID]],0)))</f>
        <v>44.548416368382888</v>
      </c>
      <c r="R244" s="54">
        <f>IF($C244="B",INDEX(Batters[[#All],[zScore]],MATCH(Table5[[#This Row],[PID]],Batters[[#All],[PID]],0)),INDEX(Table3[[#All],[zScore]],MATCH(Table5[[#This Row],[PID]],Table3[[#All],[PID]],0)))</f>
        <v>0.73899182175039779</v>
      </c>
      <c r="S244" s="60" t="str">
        <f>IF($C244="B",INDEX(Batters[[#All],[DEM]],MATCH(Table5[[#This Row],[PID]],Batters[[#All],[PID]],0)),INDEX(Table3[[#All],[DEM]],MATCH(Table5[[#This Row],[PID]],Table3[[#All],[PID]],0)))</f>
        <v>$180k</v>
      </c>
      <c r="T244" s="64">
        <f>IF($C244="B",VLOOKUP($A244,Bat!$A$4:$AU$1417,46,FALSE),VLOOKUP($A244,Pit!$A$4:$BD$570,55,FALSE))</f>
        <v>0</v>
      </c>
      <c r="U244" s="52">
        <f>IF($C244="B",VLOOKUP($A244,Bat!$A$4:$BA$1417,47,FALSE),VLOOKUP($A244,Pit!$A$4:$BF$570,56,FALSE))</f>
        <v>0</v>
      </c>
      <c r="V244" s="52">
        <f>IF($C244="B",VLOOKUP($A244,Bat!$A$4:$BA$1417,48,FALSE),VLOOKUP($A244,Pit!$A$4:$BF$570,57,FALSE))</f>
        <v>0</v>
      </c>
      <c r="W244" s="52">
        <f>Table5[[#This Row],[posRnk]]+Table5[[#This Row],[zRnk]]+IF($W$3&lt;&gt;Table5[[#This Row],[Type]],50,0)</f>
        <v>290</v>
      </c>
      <c r="X244" s="53">
        <f>RANK(Table5[[#This Row],[zScore]],Table5[[#All],[zScore]])</f>
        <v>240</v>
      </c>
      <c r="Y244" s="52" t="str">
        <f>IFERROR(INDEX(DraftResults[[#All],[OVR]],MATCH(Table5[[#This Row],[PID]],DraftResults[[#All],[Player ID]],0)),"")</f>
        <v/>
      </c>
      <c r="Z2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4" s="52" t="str">
        <f>IFERROR(INDEX(DraftResults[[#All],[Pick in Round]],MATCH(Table5[[#This Row],[PID]],DraftResults[[#All],[Player ID]],0)),"")</f>
        <v/>
      </c>
      <c r="AB244" s="52" t="str">
        <f>IFERROR(INDEX(DraftResults[[#All],[Team Name]],MATCH(Table5[[#This Row],[PID]],DraftResults[[#All],[Player ID]],0)),"")</f>
        <v/>
      </c>
      <c r="AC244" s="52" t="str">
        <f>IF(Table5[[#This Row],[Ovr]]="","",IF(Table5[[#This Row],[cmbList]]="","",Table5[[#This Row],[cmbList]]-Table5[[#This Row],[Ovr]]))</f>
        <v/>
      </c>
      <c r="AD244" s="56" t="str">
        <f>IF(ISERROR(VLOOKUP($AB244&amp;"-"&amp;$E244&amp;" "&amp;F244,Bonuses!$B$1:$G$1006,4,FALSE)),"",INT(VLOOKUP($AB244&amp;"-"&amp;$E244&amp;" "&amp;$F244,Bonuses!$B$1:$G$1006,4,FALSE)))</f>
        <v/>
      </c>
      <c r="AE2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5" spans="1:31" s="52" customFormat="1" x14ac:dyDescent="0.25">
      <c r="A245" s="52">
        <v>9891</v>
      </c>
      <c r="B245" s="57">
        <f>COUNTIF(Table5[PID],A245)</f>
        <v>1</v>
      </c>
      <c r="C245" s="57" t="str">
        <f>IF(COUNTIF(Table3[[#All],[PID]],A245)&gt;0,"P","B")</f>
        <v>B</v>
      </c>
      <c r="D245" s="61" t="str">
        <f>IF($C245="B",INDEX(Batters[[#All],[POS]],MATCH(Table5[[#This Row],[PID]],Batters[[#All],[PID]],0)),INDEX(Table3[[#All],[POS]],MATCH(Table5[[#This Row],[PID]],Table3[[#All],[PID]],0)))</f>
        <v>RF</v>
      </c>
      <c r="E245" s="54" t="str">
        <f>IF($C245="B",INDEX(Batters[[#All],[First]],MATCH(Table5[[#This Row],[PID]],Batters[[#All],[PID]],0)),INDEX(Table3[[#All],[First]],MATCH(Table5[[#This Row],[PID]],Table3[[#All],[PID]],0)))</f>
        <v>Jim</v>
      </c>
      <c r="F245" s="52" t="str">
        <f>IF($C245="B",INDEX(Batters[[#All],[Last]],MATCH(A245,Batters[[#All],[PID]],0)),INDEX(Table3[[#All],[Last]],MATCH(A245,Table3[[#All],[PID]],0)))</f>
        <v>Daly</v>
      </c>
      <c r="G245" s="58">
        <f>IF($C245="B",INDEX(Batters[[#All],[Age]],MATCH(Table5[[#This Row],[PID]],Batters[[#All],[PID]],0)),INDEX(Table3[[#All],[Age]],MATCH(Table5[[#This Row],[PID]],Table3[[#All],[PID]],0)))</f>
        <v>21</v>
      </c>
      <c r="H245" s="54" t="str">
        <f>IF($C245="B",INDEX(Batters[[#All],[B]],MATCH(Table5[[#This Row],[PID]],Batters[[#All],[PID]],0)),INDEX(Table3[[#All],[B]],MATCH(Table5[[#This Row],[PID]],Table3[[#All],[PID]],0)))</f>
        <v>L</v>
      </c>
      <c r="I245" s="54" t="str">
        <f>IF($C245="B",INDEX(Batters[[#All],[T]],MATCH(Table5[[#This Row],[PID]],Batters[[#All],[PID]],0)),INDEX(Table3[[#All],[T]],MATCH(Table5[[#This Row],[PID]],Table3[[#All],[PID]],0)))</f>
        <v>L</v>
      </c>
      <c r="J245" s="54" t="str">
        <f>IF($C245="B",INDEX(Batters[[#All],[WE]],MATCH(Table5[[#This Row],[PID]],Batters[[#All],[PID]],0)),INDEX(Table3[[#All],[WE]],MATCH(Table5[[#This Row],[PID]],Table3[[#All],[PID]],0)))</f>
        <v>Normal</v>
      </c>
      <c r="K245" s="54" t="str">
        <f>IF($C245="B",INDEX(Batters[[#All],[INT]],MATCH(Table5[[#This Row],[PID]],Batters[[#All],[PID]],0)),INDEX(Table3[[#All],[INT]],MATCH(Table5[[#This Row],[PID]],Table3[[#All],[PID]],0)))</f>
        <v>Normal</v>
      </c>
      <c r="L245" s="62">
        <f>IF($C245="B",INDEX(Batters[[#All],[CON P]],MATCH(Table5[[#This Row],[PID]],Batters[[#All],[PID]],0)),INDEX(Table3[[#All],[STU P]],MATCH(Table5[[#This Row],[PID]],Table3[[#All],[PID]],0)))</f>
        <v>4</v>
      </c>
      <c r="M245" s="58">
        <f>IF($C245="B",INDEX(Batters[[#All],[GAP P]],MATCH(Table5[[#This Row],[PID]],Batters[[#All],[PID]],0)),INDEX(Table3[[#All],[MOV P]],MATCH(Table5[[#This Row],[PID]],Table3[[#All],[PID]],0)))</f>
        <v>5</v>
      </c>
      <c r="N245" s="58">
        <f>IF($C245="B",INDEX(Batters[[#All],[POW P]],MATCH(Table5[[#This Row],[PID]],Batters[[#All],[PID]],0)),INDEX(Table3[[#All],[CON P]],MATCH(Table5[[#This Row],[PID]],Table3[[#All],[PID]],0)))</f>
        <v>6</v>
      </c>
      <c r="O245" s="58">
        <f>IF($C245="B",INDEX(Batters[[#All],[EYE P]],MATCH(Table5[[#This Row],[PID]],Batters[[#All],[PID]],0)),INDEX(Table3[[#All],[VELO]],MATCH(Table5[[#This Row],[PID]],Table3[[#All],[PID]],0)))</f>
        <v>5</v>
      </c>
      <c r="P245" s="58">
        <f>IF($C245="B",INDEX(Batters[[#All],[K P]],MATCH(Table5[[#This Row],[PID]],Batters[[#All],[PID]],0)),INDEX(Table3[[#All],[STM]],MATCH(Table5[[#This Row],[PID]],Table3[[#All],[PID]],0)))</f>
        <v>3</v>
      </c>
      <c r="Q245" s="63">
        <f>IF($C245="B",INDEX(Batters[[#All],[Tot]],MATCH(Table5[[#This Row],[PID]],Batters[[#All],[PID]],0)),INDEX(Table3[[#All],[Tot]],MATCH(Table5[[#This Row],[PID]],Table3[[#All],[PID]],0)))</f>
        <v>44.543386824291119</v>
      </c>
      <c r="R245" s="54">
        <f>IF($C245="B",INDEX(Batters[[#All],[zScore]],MATCH(Table5[[#This Row],[PID]],Batters[[#All],[PID]],0)),INDEX(Table3[[#All],[zScore]],MATCH(Table5[[#This Row],[PID]],Table3[[#All],[PID]],0)))</f>
        <v>0.73810690689532688</v>
      </c>
      <c r="S245" s="60" t="str">
        <f>IF($C245="B",INDEX(Batters[[#All],[DEM]],MATCH(Table5[[#This Row],[PID]],Batters[[#All],[PID]],0)),INDEX(Table3[[#All],[DEM]],MATCH(Table5[[#This Row],[PID]],Table3[[#All],[PID]],0)))</f>
        <v>$120k</v>
      </c>
      <c r="T245" s="64">
        <f>IF($C245="B",VLOOKUP($A245,Bat!$A$4:$AU$1417,46,FALSE),VLOOKUP($A245,Pit!$A$4:$BD$570,55,FALSE))</f>
        <v>0</v>
      </c>
      <c r="U245" s="52">
        <f>IF($C245="B",VLOOKUP($A245,Bat!$A$4:$BA$1417,47,FALSE),VLOOKUP($A245,Pit!$A$4:$BF$570,56,FALSE))</f>
        <v>0</v>
      </c>
      <c r="V245" s="52">
        <f>IF($C245="B",VLOOKUP($A245,Bat!$A$4:$BA$1417,48,FALSE),VLOOKUP($A245,Pit!$A$4:$BF$570,57,FALSE))</f>
        <v>0</v>
      </c>
      <c r="W245" s="52">
        <f>Table5[[#This Row],[posRnk]]+Table5[[#This Row],[zRnk]]+IF($W$3&lt;&gt;Table5[[#This Row],[Type]],50,0)</f>
        <v>291</v>
      </c>
      <c r="X245" s="53">
        <f>RANK(Table5[[#This Row],[zScore]],Table5[[#All],[zScore]])</f>
        <v>241</v>
      </c>
      <c r="Y245" s="52" t="str">
        <f>IFERROR(INDEX(DraftResults[[#All],[OVR]],MATCH(Table5[[#This Row],[PID]],DraftResults[[#All],[Player ID]],0)),"")</f>
        <v/>
      </c>
      <c r="Z2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5" s="52" t="str">
        <f>IFERROR(INDEX(DraftResults[[#All],[Pick in Round]],MATCH(Table5[[#This Row],[PID]],DraftResults[[#All],[Player ID]],0)),"")</f>
        <v/>
      </c>
      <c r="AB245" s="52" t="str">
        <f>IFERROR(INDEX(DraftResults[[#All],[Team Name]],MATCH(Table5[[#This Row],[PID]],DraftResults[[#All],[Player ID]],0)),"")</f>
        <v/>
      </c>
      <c r="AC245" s="52" t="str">
        <f>IF(Table5[[#This Row],[Ovr]]="","",IF(Table5[[#This Row],[cmbList]]="","",Table5[[#This Row],[cmbList]]-Table5[[#This Row],[Ovr]]))</f>
        <v/>
      </c>
      <c r="AD245" s="56" t="str">
        <f>IF(ISERROR(VLOOKUP($AB245&amp;"-"&amp;$E245&amp;" "&amp;F245,Bonuses!$B$1:$G$1006,4,FALSE)),"",INT(VLOOKUP($AB245&amp;"-"&amp;$E245&amp;" "&amp;$F245,Bonuses!$B$1:$G$1006,4,FALSE)))</f>
        <v/>
      </c>
      <c r="AE2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6" spans="1:31" s="52" customFormat="1" x14ac:dyDescent="0.25">
      <c r="A246" s="52">
        <v>10300</v>
      </c>
      <c r="B246" s="52">
        <f>COUNTIF(Table5[PID],A246)</f>
        <v>1</v>
      </c>
      <c r="C246" s="52" t="str">
        <f>IF(COUNTIF(Table3[[#All],[PID]],A246)&gt;0,"P","B")</f>
        <v>B</v>
      </c>
      <c r="D246" s="61" t="str">
        <f>IF($C246="B",INDEX(Batters[[#All],[POS]],MATCH(Table5[[#This Row],[PID]],Batters[[#All],[PID]],0)),INDEX(Table3[[#All],[POS]],MATCH(Table5[[#This Row],[PID]],Table3[[#All],[PID]],0)))</f>
        <v>C</v>
      </c>
      <c r="E246" s="54" t="str">
        <f>IF($C246="B",INDEX(Batters[[#All],[First]],MATCH(Table5[[#This Row],[PID]],Batters[[#All],[PID]],0)),INDEX(Table3[[#All],[First]],MATCH(Table5[[#This Row],[PID]],Table3[[#All],[PID]],0)))</f>
        <v>José</v>
      </c>
      <c r="F246" s="52" t="str">
        <f>IF($C246="B",INDEX(Batters[[#All],[Last]],MATCH(A246,Batters[[#All],[PID]],0)),INDEX(Table3[[#All],[Last]],MATCH(A246,Table3[[#All],[PID]],0)))</f>
        <v>Gonzáles</v>
      </c>
      <c r="G246" s="58">
        <f>IF($C246="B",INDEX(Batters[[#All],[Age]],MATCH(Table5[[#This Row],[PID]],Batters[[#All],[PID]],0)),INDEX(Table3[[#All],[Age]],MATCH(Table5[[#This Row],[PID]],Table3[[#All],[PID]],0)))</f>
        <v>21</v>
      </c>
      <c r="H246" s="54" t="str">
        <f>IF($C246="B",INDEX(Batters[[#All],[B]],MATCH(Table5[[#This Row],[PID]],Batters[[#All],[PID]],0)),INDEX(Table3[[#All],[B]],MATCH(Table5[[#This Row],[PID]],Table3[[#All],[PID]],0)))</f>
        <v>L</v>
      </c>
      <c r="I246" s="54" t="str">
        <f>IF($C246="B",INDEX(Batters[[#All],[T]],MATCH(Table5[[#This Row],[PID]],Batters[[#All],[PID]],0)),INDEX(Table3[[#All],[T]],MATCH(Table5[[#This Row],[PID]],Table3[[#All],[PID]],0)))</f>
        <v>R</v>
      </c>
      <c r="J246" s="54" t="str">
        <f>IF($C246="B",INDEX(Batters[[#All],[WE]],MATCH(Table5[[#This Row],[PID]],Batters[[#All],[PID]],0)),INDEX(Table3[[#All],[WE]],MATCH(Table5[[#This Row],[PID]],Table3[[#All],[PID]],0)))</f>
        <v>Normal</v>
      </c>
      <c r="K246" s="54" t="str">
        <f>IF($C246="B",INDEX(Batters[[#All],[INT]],MATCH(Table5[[#This Row],[PID]],Batters[[#All],[PID]],0)),INDEX(Table3[[#All],[INT]],MATCH(Table5[[#This Row],[PID]],Table3[[#All],[PID]],0)))</f>
        <v>Normal</v>
      </c>
      <c r="L246" s="62">
        <f>IF($C246="B",INDEX(Batters[[#All],[CON P]],MATCH(Table5[[#This Row],[PID]],Batters[[#All],[PID]],0)),INDEX(Table3[[#All],[STU P]],MATCH(Table5[[#This Row],[PID]],Table3[[#All],[PID]],0)))</f>
        <v>4</v>
      </c>
      <c r="M246" s="58">
        <f>IF($C246="B",INDEX(Batters[[#All],[GAP P]],MATCH(Table5[[#This Row],[PID]],Batters[[#All],[PID]],0)),INDEX(Table3[[#All],[MOV P]],MATCH(Table5[[#This Row],[PID]],Table3[[#All],[PID]],0)))</f>
        <v>5</v>
      </c>
      <c r="N246" s="58">
        <f>IF($C246="B",INDEX(Batters[[#All],[POW P]],MATCH(Table5[[#This Row],[PID]],Batters[[#All],[PID]],0)),INDEX(Table3[[#All],[CON P]],MATCH(Table5[[#This Row],[PID]],Table3[[#All],[PID]],0)))</f>
        <v>5</v>
      </c>
      <c r="O246" s="58">
        <f>IF($C246="B",INDEX(Batters[[#All],[EYE P]],MATCH(Table5[[#This Row],[PID]],Batters[[#All],[PID]],0)),INDEX(Table3[[#All],[VELO]],MATCH(Table5[[#This Row],[PID]],Table3[[#All],[PID]],0)))</f>
        <v>5</v>
      </c>
      <c r="P246" s="58">
        <f>IF($C246="B",INDEX(Batters[[#All],[K P]],MATCH(Table5[[#This Row],[PID]],Batters[[#All],[PID]],0)),INDEX(Table3[[#All],[STM]],MATCH(Table5[[#This Row],[PID]],Table3[[#All],[PID]],0)))</f>
        <v>3</v>
      </c>
      <c r="Q246" s="63">
        <f>IF($C246="B",INDEX(Batters[[#All],[Tot]],MATCH(Table5[[#This Row],[PID]],Batters[[#All],[PID]],0)),INDEX(Table3[[#All],[Tot]],MATCH(Table5[[#This Row],[PID]],Table3[[#All],[PID]],0)))</f>
        <v>44.540932470305748</v>
      </c>
      <c r="R246" s="54">
        <f>IF($C246="B",INDEX(Batters[[#All],[zScore]],MATCH(Table5[[#This Row],[PID]],Batters[[#All],[PID]],0)),INDEX(Table3[[#All],[zScore]],MATCH(Table5[[#This Row],[PID]],Table3[[#All],[PID]],0)))</f>
        <v>0.73767507962398204</v>
      </c>
      <c r="S246" s="60" t="str">
        <f>IF($C246="B",INDEX(Batters[[#All],[DEM]],MATCH(Table5[[#This Row],[PID]],Batters[[#All],[PID]],0)),INDEX(Table3[[#All],[DEM]],MATCH(Table5[[#This Row],[PID]],Table3[[#All],[PID]],0)))</f>
        <v>$360k</v>
      </c>
      <c r="T246" s="64">
        <f>IF($C246="B",VLOOKUP($A246,Bat!$A$4:$AU$1417,46,FALSE),VLOOKUP($A246,Pit!$A$4:$BD$570,55,FALSE))</f>
        <v>0</v>
      </c>
      <c r="U246" s="52">
        <f>IF($C246="B",VLOOKUP($A246,Bat!$A$4:$BA$1417,47,FALSE),VLOOKUP($A246,Pit!$A$4:$BF$570,56,FALSE))</f>
        <v>0</v>
      </c>
      <c r="V246" s="52">
        <f>IF($C246="B",VLOOKUP($A246,Bat!$A$4:$BA$1417,48,FALSE),VLOOKUP($A246,Pit!$A$4:$BF$570,57,FALSE))</f>
        <v>0</v>
      </c>
      <c r="W246" s="52">
        <f>Table5[[#This Row],[posRnk]]+Table5[[#This Row],[zRnk]]+IF($W$3&lt;&gt;Table5[[#This Row],[Type]],50,0)</f>
        <v>292</v>
      </c>
      <c r="X246" s="53">
        <f>RANK(Table5[[#This Row],[zScore]],Table5[[#All],[zScore]])</f>
        <v>242</v>
      </c>
      <c r="Y246" s="52" t="str">
        <f>IFERROR(INDEX(DraftResults[[#All],[OVR]],MATCH(Table5[[#This Row],[PID]],DraftResults[[#All],[Player ID]],0)),"")</f>
        <v/>
      </c>
      <c r="Z2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6" s="52" t="str">
        <f>IFERROR(INDEX(DraftResults[[#All],[Pick in Round]],MATCH(Table5[[#This Row],[PID]],DraftResults[[#All],[Player ID]],0)),"")</f>
        <v/>
      </c>
      <c r="AB246" s="52" t="str">
        <f>IFERROR(INDEX(DraftResults[[#All],[Team Name]],MATCH(Table5[[#This Row],[PID]],DraftResults[[#All],[Player ID]],0)),"")</f>
        <v/>
      </c>
      <c r="AC246" s="52" t="str">
        <f>IF(Table5[[#This Row],[Ovr]]="","",IF(Table5[[#This Row],[cmbList]]="","",Table5[[#This Row],[cmbList]]-Table5[[#This Row],[Ovr]]))</f>
        <v/>
      </c>
      <c r="AD246" s="56" t="str">
        <f>IF(ISERROR(VLOOKUP($AB246&amp;"-"&amp;$E246&amp;" "&amp;F246,Bonuses!$B$1:$G$1006,4,FALSE)),"",INT(VLOOKUP($AB246&amp;"-"&amp;$E246&amp;" "&amp;$F246,Bonuses!$B$1:$G$1006,4,FALSE)))</f>
        <v/>
      </c>
      <c r="AE2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7" spans="1:31" s="52" customFormat="1" x14ac:dyDescent="0.25">
      <c r="A247" s="52">
        <v>9940</v>
      </c>
      <c r="B247" s="52">
        <f>COUNTIF(Table5[PID],A247)</f>
        <v>1</v>
      </c>
      <c r="C247" s="52" t="str">
        <f>IF(COUNTIF(Table3[[#All],[PID]],A247)&gt;0,"P","B")</f>
        <v>B</v>
      </c>
      <c r="D247" s="61" t="str">
        <f>IF($C247="B",INDEX(Batters[[#All],[POS]],MATCH(Table5[[#This Row],[PID]],Batters[[#All],[PID]],0)),INDEX(Table3[[#All],[POS]],MATCH(Table5[[#This Row],[PID]],Table3[[#All],[PID]],0)))</f>
        <v>2B</v>
      </c>
      <c r="E247" s="54" t="str">
        <f>IF($C247="B",INDEX(Batters[[#All],[First]],MATCH(Table5[[#This Row],[PID]],Batters[[#All],[PID]],0)),INDEX(Table3[[#All],[First]],MATCH(Table5[[#This Row],[PID]],Table3[[#All],[PID]],0)))</f>
        <v>Don</v>
      </c>
      <c r="F247" s="52" t="str">
        <f>IF($C247="B",INDEX(Batters[[#All],[Last]],MATCH(A247,Batters[[#All],[PID]],0)),INDEX(Table3[[#All],[Last]],MATCH(A247,Table3[[#All],[PID]],0)))</f>
        <v>Orr</v>
      </c>
      <c r="G247" s="58">
        <f>IF($C247="B",INDEX(Batters[[#All],[Age]],MATCH(Table5[[#This Row],[PID]],Batters[[#All],[PID]],0)),INDEX(Table3[[#All],[Age]],MATCH(Table5[[#This Row],[PID]],Table3[[#All],[PID]],0)))</f>
        <v>21</v>
      </c>
      <c r="H247" s="54" t="str">
        <f>IF($C247="B",INDEX(Batters[[#All],[B]],MATCH(Table5[[#This Row],[PID]],Batters[[#All],[PID]],0)),INDEX(Table3[[#All],[B]],MATCH(Table5[[#This Row],[PID]],Table3[[#All],[PID]],0)))</f>
        <v>R</v>
      </c>
      <c r="I247" s="54" t="str">
        <f>IF($C247="B",INDEX(Batters[[#All],[T]],MATCH(Table5[[#This Row],[PID]],Batters[[#All],[PID]],0)),INDEX(Table3[[#All],[T]],MATCH(Table5[[#This Row],[PID]],Table3[[#All],[PID]],0)))</f>
        <v>R</v>
      </c>
      <c r="J247" s="54" t="str">
        <f>IF($C247="B",INDEX(Batters[[#All],[WE]],MATCH(Table5[[#This Row],[PID]],Batters[[#All],[PID]],0)),INDEX(Table3[[#All],[WE]],MATCH(Table5[[#This Row],[PID]],Table3[[#All],[PID]],0)))</f>
        <v>Normal</v>
      </c>
      <c r="K247" s="54" t="str">
        <f>IF($C247="B",INDEX(Batters[[#All],[INT]],MATCH(Table5[[#This Row],[PID]],Batters[[#All],[PID]],0)),INDEX(Table3[[#All],[INT]],MATCH(Table5[[#This Row],[PID]],Table3[[#All],[PID]],0)))</f>
        <v>Normal</v>
      </c>
      <c r="L247" s="62">
        <f>IF($C247="B",INDEX(Batters[[#All],[CON P]],MATCH(Table5[[#This Row],[PID]],Batters[[#All],[PID]],0)),INDEX(Table3[[#All],[STU P]],MATCH(Table5[[#This Row],[PID]],Table3[[#All],[PID]],0)))</f>
        <v>4</v>
      </c>
      <c r="M247" s="58">
        <f>IF($C247="B",INDEX(Batters[[#All],[GAP P]],MATCH(Table5[[#This Row],[PID]],Batters[[#All],[PID]],0)),INDEX(Table3[[#All],[MOV P]],MATCH(Table5[[#This Row],[PID]],Table3[[#All],[PID]],0)))</f>
        <v>7</v>
      </c>
      <c r="N247" s="58">
        <f>IF($C247="B",INDEX(Batters[[#All],[POW P]],MATCH(Table5[[#This Row],[PID]],Batters[[#All],[PID]],0)),INDEX(Table3[[#All],[CON P]],MATCH(Table5[[#This Row],[PID]],Table3[[#All],[PID]],0)))</f>
        <v>5</v>
      </c>
      <c r="O247" s="58">
        <f>IF($C247="B",INDEX(Batters[[#All],[EYE P]],MATCH(Table5[[#This Row],[PID]],Batters[[#All],[PID]],0)),INDEX(Table3[[#All],[VELO]],MATCH(Table5[[#This Row],[PID]],Table3[[#All],[PID]],0)))</f>
        <v>3</v>
      </c>
      <c r="P247" s="58">
        <f>IF($C247="B",INDEX(Batters[[#All],[K P]],MATCH(Table5[[#This Row],[PID]],Batters[[#All],[PID]],0)),INDEX(Table3[[#All],[STM]],MATCH(Table5[[#This Row],[PID]],Table3[[#All],[PID]],0)))</f>
        <v>5</v>
      </c>
      <c r="Q247" s="63">
        <f>IF($C247="B",INDEX(Batters[[#All],[Tot]],MATCH(Table5[[#This Row],[PID]],Batters[[#All],[PID]],0)),INDEX(Table3[[#All],[Tot]],MATCH(Table5[[#This Row],[PID]],Table3[[#All],[PID]],0)))</f>
        <v>44.504749480049426</v>
      </c>
      <c r="R247" s="54">
        <f>IF($C247="B",INDEX(Batters[[#All],[zScore]],MATCH(Table5[[#This Row],[PID]],Batters[[#All],[PID]],0)),INDEX(Table3[[#All],[zScore]],MATCH(Table5[[#This Row],[PID]],Table3[[#All],[PID]],0)))</f>
        <v>0.73130892297151262</v>
      </c>
      <c r="S247" s="60" t="str">
        <f>IF($C247="B",INDEX(Batters[[#All],[DEM]],MATCH(Table5[[#This Row],[PID]],Batters[[#All],[PID]],0)),INDEX(Table3[[#All],[DEM]],MATCH(Table5[[#This Row],[PID]],Table3[[#All],[PID]],0)))</f>
        <v>$330k</v>
      </c>
      <c r="T247" s="64">
        <f>IF($C247="B",VLOOKUP($A247,Bat!$A$4:$AU$1417,46,FALSE),VLOOKUP($A247,Pit!$A$4:$BD$570,55,FALSE))</f>
        <v>0</v>
      </c>
      <c r="U247" s="52">
        <f>IF($C247="B",VLOOKUP($A247,Bat!$A$4:$BA$1417,47,FALSE),VLOOKUP($A247,Pit!$A$4:$BF$570,56,FALSE))</f>
        <v>0</v>
      </c>
      <c r="V247" s="52">
        <f>IF($C247="B",VLOOKUP($A247,Bat!$A$4:$BA$1417,48,FALSE),VLOOKUP($A247,Pit!$A$4:$BF$570,57,FALSE))</f>
        <v>0</v>
      </c>
      <c r="W247" s="52">
        <f>Table5[[#This Row],[posRnk]]+Table5[[#This Row],[zRnk]]+IF($W$3&lt;&gt;Table5[[#This Row],[Type]],50,0)</f>
        <v>293</v>
      </c>
      <c r="X247" s="53">
        <f>RANK(Table5[[#This Row],[zScore]],Table5[[#All],[zScore]])</f>
        <v>243</v>
      </c>
      <c r="Y247" s="52" t="str">
        <f>IFERROR(INDEX(DraftResults[[#All],[OVR]],MATCH(Table5[[#This Row],[PID]],DraftResults[[#All],[Player ID]],0)),"")</f>
        <v/>
      </c>
      <c r="Z2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7" s="52" t="str">
        <f>IFERROR(INDEX(DraftResults[[#All],[Pick in Round]],MATCH(Table5[[#This Row],[PID]],DraftResults[[#All],[Player ID]],0)),"")</f>
        <v/>
      </c>
      <c r="AB247" s="52" t="str">
        <f>IFERROR(INDEX(DraftResults[[#All],[Team Name]],MATCH(Table5[[#This Row],[PID]],DraftResults[[#All],[Player ID]],0)),"")</f>
        <v/>
      </c>
      <c r="AC247" s="52" t="str">
        <f>IF(Table5[[#This Row],[Ovr]]="","",IF(Table5[[#This Row],[cmbList]]="","",Table5[[#This Row],[cmbList]]-Table5[[#This Row],[Ovr]]))</f>
        <v/>
      </c>
      <c r="AD247" s="56" t="str">
        <f>IF(ISERROR(VLOOKUP($AB247&amp;"-"&amp;$E247&amp;" "&amp;F247,Bonuses!$B$1:$G$1006,4,FALSE)),"",INT(VLOOKUP($AB247&amp;"-"&amp;$E247&amp;" "&amp;$F247,Bonuses!$B$1:$G$1006,4,FALSE)))</f>
        <v/>
      </c>
      <c r="AE2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8" spans="1:31" s="52" customFormat="1" x14ac:dyDescent="0.25">
      <c r="A248" s="52">
        <v>14538</v>
      </c>
      <c r="B248" s="52">
        <f>COUNTIF(Table5[PID],A248)</f>
        <v>1</v>
      </c>
      <c r="C248" s="52" t="str">
        <f>IF(COUNTIF(Table3[[#All],[PID]],A248)&gt;0,"P","B")</f>
        <v>P</v>
      </c>
      <c r="D248" s="61" t="str">
        <f>IF($C248="B",INDEX(Batters[[#All],[POS]],MATCH(Table5[[#This Row],[PID]],Batters[[#All],[PID]],0)),INDEX(Table3[[#All],[POS]],MATCH(Table5[[#This Row],[PID]],Table3[[#All],[PID]],0)))</f>
        <v>SP</v>
      </c>
      <c r="E248" s="54" t="str">
        <f>IF($C248="B",INDEX(Batters[[#All],[First]],MATCH(Table5[[#This Row],[PID]],Batters[[#All],[PID]],0)),INDEX(Table3[[#All],[First]],MATCH(Table5[[#This Row],[PID]],Table3[[#All],[PID]],0)))</f>
        <v>Shojiro</v>
      </c>
      <c r="F248" s="52" t="str">
        <f>IF($C248="B",INDEX(Batters[[#All],[Last]],MATCH(A248,Batters[[#All],[PID]],0)),INDEX(Table3[[#All],[Last]],MATCH(A248,Table3[[#All],[PID]],0)))</f>
        <v>Abukara</v>
      </c>
      <c r="G248" s="58">
        <f>IF($C248="B",INDEX(Batters[[#All],[Age]],MATCH(Table5[[#This Row],[PID]],Batters[[#All],[PID]],0)),INDEX(Table3[[#All],[Age]],MATCH(Table5[[#This Row],[PID]],Table3[[#All],[PID]],0)))</f>
        <v>18</v>
      </c>
      <c r="H248" s="54" t="str">
        <f>IF($C248="B",INDEX(Batters[[#All],[B]],MATCH(Table5[[#This Row],[PID]],Batters[[#All],[PID]],0)),INDEX(Table3[[#All],[B]],MATCH(Table5[[#This Row],[PID]],Table3[[#All],[PID]],0)))</f>
        <v>L</v>
      </c>
      <c r="I248" s="54" t="str">
        <f>IF($C248="B",INDEX(Batters[[#All],[T]],MATCH(Table5[[#This Row],[PID]],Batters[[#All],[PID]],0)),INDEX(Table3[[#All],[T]],MATCH(Table5[[#This Row],[PID]],Table3[[#All],[PID]],0)))</f>
        <v>L</v>
      </c>
      <c r="J248" s="54" t="str">
        <f>IF($C248="B",INDEX(Batters[[#All],[WE]],MATCH(Table5[[#This Row],[PID]],Batters[[#All],[PID]],0)),INDEX(Table3[[#All],[WE]],MATCH(Table5[[#This Row],[PID]],Table3[[#All],[PID]],0)))</f>
        <v>Low</v>
      </c>
      <c r="K248" s="54" t="str">
        <f>IF($C248="B",INDEX(Batters[[#All],[INT]],MATCH(Table5[[#This Row],[PID]],Batters[[#All],[PID]],0)),INDEX(Table3[[#All],[INT]],MATCH(Table5[[#This Row],[PID]],Table3[[#All],[PID]],0)))</f>
        <v>Normal</v>
      </c>
      <c r="L248" s="62">
        <f>IF($C248="B",INDEX(Batters[[#All],[CON P]],MATCH(Table5[[#This Row],[PID]],Batters[[#All],[PID]],0)),INDEX(Table3[[#All],[STU P]],MATCH(Table5[[#This Row],[PID]],Table3[[#All],[PID]],0)))</f>
        <v>4</v>
      </c>
      <c r="M248" s="58">
        <f>IF($C248="B",INDEX(Batters[[#All],[GAP P]],MATCH(Table5[[#This Row],[PID]],Batters[[#All],[PID]],0)),INDEX(Table3[[#All],[MOV P]],MATCH(Table5[[#This Row],[PID]],Table3[[#All],[PID]],0)))</f>
        <v>3</v>
      </c>
      <c r="N248" s="58">
        <f>IF($C248="B",INDEX(Batters[[#All],[POW P]],MATCH(Table5[[#This Row],[PID]],Batters[[#All],[PID]],0)),INDEX(Table3[[#All],[CON P]],MATCH(Table5[[#This Row],[PID]],Table3[[#All],[PID]],0)))</f>
        <v>4</v>
      </c>
      <c r="O248" s="58" t="str">
        <f>IF($C248="B",INDEX(Batters[[#All],[EYE P]],MATCH(Table5[[#This Row],[PID]],Batters[[#All],[PID]],0)),INDEX(Table3[[#All],[VELO]],MATCH(Table5[[#This Row],[PID]],Table3[[#All],[PID]],0)))</f>
        <v>86-88 Mph</v>
      </c>
      <c r="P248" s="58">
        <f>IF($C248="B",INDEX(Batters[[#All],[K P]],MATCH(Table5[[#This Row],[PID]],Batters[[#All],[PID]],0)),INDEX(Table3[[#All],[STM]],MATCH(Table5[[#This Row],[PID]],Table3[[#All],[PID]],0)))</f>
        <v>3</v>
      </c>
      <c r="Q248" s="63">
        <f>IF($C248="B",INDEX(Batters[[#All],[Tot]],MATCH(Table5[[#This Row],[PID]],Batters[[#All],[PID]],0)),INDEX(Table3[[#All],[Tot]],MATCH(Table5[[#This Row],[PID]],Table3[[#All],[PID]],0)))</f>
        <v>40.600076112478291</v>
      </c>
      <c r="R248" s="54">
        <f>IF($C248="B",INDEX(Batters[[#All],[zScore]],MATCH(Table5[[#This Row],[PID]],Batters[[#All],[PID]],0)),INDEX(Table3[[#All],[zScore]],MATCH(Table5[[#This Row],[PID]],Table3[[#All],[PID]],0)))</f>
        <v>0.72243024672964873</v>
      </c>
      <c r="S248" s="60" t="str">
        <f>IF($C248="B",INDEX(Batters[[#All],[DEM]],MATCH(Table5[[#This Row],[PID]],Batters[[#All],[PID]],0)),INDEX(Table3[[#All],[DEM]],MATCH(Table5[[#This Row],[PID]],Table3[[#All],[PID]],0)))</f>
        <v>$70k</v>
      </c>
      <c r="T248" s="64">
        <f>IF($C248="B",VLOOKUP($A248,Bat!$A$4:$AU$1417,46,FALSE),VLOOKUP($A248,Pit!$A$4:$BD$570,55,FALSE))</f>
        <v>0</v>
      </c>
      <c r="U248" s="52">
        <f>IF($C248="B",VLOOKUP($A248,Bat!$A$4:$BA$1417,47,FALSE),VLOOKUP($A248,Pit!$A$4:$BF$570,56,FALSE))</f>
        <v>0</v>
      </c>
      <c r="V248" s="52">
        <f>IF($C248="B",VLOOKUP($A248,Bat!$A$4:$BA$1417,48,FALSE),VLOOKUP($A248,Pit!$A$4:$BF$570,57,FALSE))</f>
        <v>0</v>
      </c>
      <c r="W248" s="52">
        <f>Table5[[#This Row],[posRnk]]+Table5[[#This Row],[zRnk]]+IF($W$3&lt;&gt;Table5[[#This Row],[Type]],50,0)</f>
        <v>294</v>
      </c>
      <c r="X248" s="53">
        <f>RANK(Table5[[#This Row],[zScore]],Table5[[#All],[zScore]])</f>
        <v>244</v>
      </c>
      <c r="Y248" s="52" t="str">
        <f>IFERROR(INDEX(DraftResults[[#All],[OVR]],MATCH(Table5[[#This Row],[PID]],DraftResults[[#All],[Player ID]],0)),"")</f>
        <v/>
      </c>
      <c r="Z2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8" s="52" t="str">
        <f>IFERROR(INDEX(DraftResults[[#All],[Pick in Round]],MATCH(Table5[[#This Row],[PID]],DraftResults[[#All],[Player ID]],0)),"")</f>
        <v/>
      </c>
      <c r="AB248" s="52" t="str">
        <f>IFERROR(INDEX(DraftResults[[#All],[Team Name]],MATCH(Table5[[#This Row],[PID]],DraftResults[[#All],[Player ID]],0)),"")</f>
        <v/>
      </c>
      <c r="AC248" s="52" t="str">
        <f>IF(Table5[[#This Row],[Ovr]]="","",IF(Table5[[#This Row],[cmbList]]="","",Table5[[#This Row],[cmbList]]-Table5[[#This Row],[Ovr]]))</f>
        <v/>
      </c>
      <c r="AD248" s="56" t="str">
        <f>IF(ISERROR(VLOOKUP($AB248&amp;"-"&amp;$E248&amp;" "&amp;F248,Bonuses!$B$1:$G$1006,4,FALSE)),"",INT(VLOOKUP($AB248&amp;"-"&amp;$E248&amp;" "&amp;$F248,Bonuses!$B$1:$G$1006,4,FALSE)))</f>
        <v/>
      </c>
      <c r="AE2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9" spans="1:31" s="52" customFormat="1" x14ac:dyDescent="0.25">
      <c r="A249" s="52">
        <v>9353</v>
      </c>
      <c r="B249" s="52">
        <f>COUNTIF(Table5[PID],A249)</f>
        <v>1</v>
      </c>
      <c r="C249" s="52" t="str">
        <f>IF(COUNTIF(Table3[[#All],[PID]],A249)&gt;0,"P","B")</f>
        <v>B</v>
      </c>
      <c r="D249" s="61" t="str">
        <f>IF($C249="B",INDEX(Batters[[#All],[POS]],MATCH(Table5[[#This Row],[PID]],Batters[[#All],[PID]],0)),INDEX(Table3[[#All],[POS]],MATCH(Table5[[#This Row],[PID]],Table3[[#All],[PID]],0)))</f>
        <v>C</v>
      </c>
      <c r="E249" s="54" t="str">
        <f>IF($C249="B",INDEX(Batters[[#All],[First]],MATCH(Table5[[#This Row],[PID]],Batters[[#All],[PID]],0)),INDEX(Table3[[#All],[First]],MATCH(Table5[[#This Row],[PID]],Table3[[#All],[PID]],0)))</f>
        <v>António</v>
      </c>
      <c r="F249" s="52" t="str">
        <f>IF($C249="B",INDEX(Batters[[#All],[Last]],MATCH(A249,Batters[[#All],[PID]],0)),INDEX(Table3[[#All],[Last]],MATCH(A249,Table3[[#All],[PID]],0)))</f>
        <v>Solís</v>
      </c>
      <c r="G249" s="58">
        <f>IF($C249="B",INDEX(Batters[[#All],[Age]],MATCH(Table5[[#This Row],[PID]],Batters[[#All],[PID]],0)),INDEX(Table3[[#All],[Age]],MATCH(Table5[[#This Row],[PID]],Table3[[#All],[PID]],0)))</f>
        <v>20</v>
      </c>
      <c r="H249" s="54" t="str">
        <f>IF($C249="B",INDEX(Batters[[#All],[B]],MATCH(Table5[[#This Row],[PID]],Batters[[#All],[PID]],0)),INDEX(Table3[[#All],[B]],MATCH(Table5[[#This Row],[PID]],Table3[[#All],[PID]],0)))</f>
        <v>R</v>
      </c>
      <c r="I249" s="54" t="str">
        <f>IF($C249="B",INDEX(Batters[[#All],[T]],MATCH(Table5[[#This Row],[PID]],Batters[[#All],[PID]],0)),INDEX(Table3[[#All],[T]],MATCH(Table5[[#This Row],[PID]],Table3[[#All],[PID]],0)))</f>
        <v>R</v>
      </c>
      <c r="J249" s="54" t="str">
        <f>IF($C249="B",INDEX(Batters[[#All],[WE]],MATCH(Table5[[#This Row],[PID]],Batters[[#All],[PID]],0)),INDEX(Table3[[#All],[WE]],MATCH(Table5[[#This Row],[PID]],Table3[[#All],[PID]],0)))</f>
        <v>Low</v>
      </c>
      <c r="K249" s="54" t="str">
        <f>IF($C249="B",INDEX(Batters[[#All],[INT]],MATCH(Table5[[#This Row],[PID]],Batters[[#All],[PID]],0)),INDEX(Table3[[#All],[INT]],MATCH(Table5[[#This Row],[PID]],Table3[[#All],[PID]],0)))</f>
        <v>Low</v>
      </c>
      <c r="L249" s="62">
        <f>IF($C249="B",INDEX(Batters[[#All],[CON P]],MATCH(Table5[[#This Row],[PID]],Batters[[#All],[PID]],0)),INDEX(Table3[[#All],[STU P]],MATCH(Table5[[#This Row],[PID]],Table3[[#All],[PID]],0)))</f>
        <v>2</v>
      </c>
      <c r="M249" s="58">
        <f>IF($C249="B",INDEX(Batters[[#All],[GAP P]],MATCH(Table5[[#This Row],[PID]],Batters[[#All],[PID]],0)),INDEX(Table3[[#All],[MOV P]],MATCH(Table5[[#This Row],[PID]],Table3[[#All],[PID]],0)))</f>
        <v>5</v>
      </c>
      <c r="N249" s="58">
        <f>IF($C249="B",INDEX(Batters[[#All],[POW P]],MATCH(Table5[[#This Row],[PID]],Batters[[#All],[PID]],0)),INDEX(Table3[[#All],[CON P]],MATCH(Table5[[#This Row],[PID]],Table3[[#All],[PID]],0)))</f>
        <v>4</v>
      </c>
      <c r="O249" s="58">
        <f>IF($C249="B",INDEX(Batters[[#All],[EYE P]],MATCH(Table5[[#This Row],[PID]],Batters[[#All],[PID]],0)),INDEX(Table3[[#All],[VELO]],MATCH(Table5[[#This Row],[PID]],Table3[[#All],[PID]],0)))</f>
        <v>6</v>
      </c>
      <c r="P249" s="58">
        <f>IF($C249="B",INDEX(Batters[[#All],[K P]],MATCH(Table5[[#This Row],[PID]],Batters[[#All],[PID]],0)),INDEX(Table3[[#All],[STM]],MATCH(Table5[[#This Row],[PID]],Table3[[#All],[PID]],0)))</f>
        <v>2</v>
      </c>
      <c r="Q249" s="63">
        <f>IF($C249="B",INDEX(Batters[[#All],[Tot]],MATCH(Table5[[#This Row],[PID]],Batters[[#All],[PID]],0)),INDEX(Table3[[#All],[Tot]],MATCH(Table5[[#This Row],[PID]],Table3[[#All],[PID]],0)))</f>
        <v>44.4</v>
      </c>
      <c r="R249" s="54">
        <f>IF($C249="B",INDEX(Batters[[#All],[zScore]],MATCH(Table5[[#This Row],[PID]],Batters[[#All],[PID]],0)),INDEX(Table3[[#All],[zScore]],MATCH(Table5[[#This Row],[PID]],Table3[[#All],[PID]],0)))</f>
        <v>0.71287894815363884</v>
      </c>
      <c r="S249" s="60" t="str">
        <f>IF($C249="B",INDEX(Batters[[#All],[DEM]],MATCH(Table5[[#This Row],[PID]],Batters[[#All],[PID]],0)),INDEX(Table3[[#All],[DEM]],MATCH(Table5[[#This Row],[PID]],Table3[[#All],[PID]],0)))</f>
        <v>$110k</v>
      </c>
      <c r="T249" s="64">
        <f>IF($C249="B",VLOOKUP($A249,Bat!$A$4:$AU$1417,46,FALSE),VLOOKUP($A249,Pit!$A$4:$BD$570,55,FALSE))</f>
        <v>0</v>
      </c>
      <c r="U249" s="52">
        <f>IF($C249="B",VLOOKUP($A249,Bat!$A$4:$BA$1417,47,FALSE),VLOOKUP($A249,Pit!$A$4:$BF$570,56,FALSE))</f>
        <v>0</v>
      </c>
      <c r="V249" s="52">
        <f>IF($C249="B",VLOOKUP($A249,Bat!$A$4:$BA$1417,48,FALSE),VLOOKUP($A249,Pit!$A$4:$BF$570,57,FALSE))</f>
        <v>0</v>
      </c>
      <c r="W249" s="52">
        <f>Table5[[#This Row],[posRnk]]+Table5[[#This Row],[zRnk]]+IF($W$3&lt;&gt;Table5[[#This Row],[Type]],50,0)</f>
        <v>295</v>
      </c>
      <c r="X249" s="53">
        <f>RANK(Table5[[#This Row],[zScore]],Table5[[#All],[zScore]])</f>
        <v>245</v>
      </c>
      <c r="Y249" s="52" t="str">
        <f>IFERROR(INDEX(DraftResults[[#All],[OVR]],MATCH(Table5[[#This Row],[PID]],DraftResults[[#All],[Player ID]],0)),"")</f>
        <v/>
      </c>
      <c r="Z2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9" s="52" t="str">
        <f>IFERROR(INDEX(DraftResults[[#All],[Pick in Round]],MATCH(Table5[[#This Row],[PID]],DraftResults[[#All],[Player ID]],0)),"")</f>
        <v/>
      </c>
      <c r="AB249" s="52" t="str">
        <f>IFERROR(INDEX(DraftResults[[#All],[Team Name]],MATCH(Table5[[#This Row],[PID]],DraftResults[[#All],[Player ID]],0)),"")</f>
        <v/>
      </c>
      <c r="AC249" s="52" t="str">
        <f>IF(Table5[[#This Row],[Ovr]]="","",IF(Table5[[#This Row],[cmbList]]="","",Table5[[#This Row],[cmbList]]-Table5[[#This Row],[Ovr]]))</f>
        <v/>
      </c>
      <c r="AD249" s="56" t="str">
        <f>IF(ISERROR(VLOOKUP($AB249&amp;"-"&amp;$E249&amp;" "&amp;F249,Bonuses!$B$1:$G$1006,4,FALSE)),"",INT(VLOOKUP($AB249&amp;"-"&amp;$E249&amp;" "&amp;$F249,Bonuses!$B$1:$G$1006,4,FALSE)))</f>
        <v/>
      </c>
      <c r="AE2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0" spans="1:31" s="52" customFormat="1" x14ac:dyDescent="0.25">
      <c r="A250" s="52">
        <v>7664</v>
      </c>
      <c r="B250" s="52">
        <f>COUNTIF(Table5[PID],A250)</f>
        <v>1</v>
      </c>
      <c r="C250" s="52" t="str">
        <f>IF(COUNTIF(Table3[[#All],[PID]],A250)&gt;0,"P","B")</f>
        <v>B</v>
      </c>
      <c r="D250" s="61" t="str">
        <f>IF($C250="B",INDEX(Batters[[#All],[POS]],MATCH(Table5[[#This Row],[PID]],Batters[[#All],[PID]],0)),INDEX(Table3[[#All],[POS]],MATCH(Table5[[#This Row],[PID]],Table3[[#All],[PID]],0)))</f>
        <v>C</v>
      </c>
      <c r="E250" s="54" t="str">
        <f>IF($C250="B",INDEX(Batters[[#All],[First]],MATCH(Table5[[#This Row],[PID]],Batters[[#All],[PID]],0)),INDEX(Table3[[#All],[First]],MATCH(Table5[[#This Row],[PID]],Table3[[#All],[PID]],0)))</f>
        <v>David</v>
      </c>
      <c r="F250" s="52" t="str">
        <f>IF($C250="B",INDEX(Batters[[#All],[Last]],MATCH(A250,Batters[[#All],[PID]],0)),INDEX(Table3[[#All],[Last]],MATCH(A250,Table3[[#All],[PID]],0)))</f>
        <v>Nieto</v>
      </c>
      <c r="G250" s="58">
        <f>IF($C250="B",INDEX(Batters[[#All],[Age]],MATCH(Table5[[#This Row],[PID]],Batters[[#All],[PID]],0)),INDEX(Table3[[#All],[Age]],MATCH(Table5[[#This Row],[PID]],Table3[[#All],[PID]],0)))</f>
        <v>18</v>
      </c>
      <c r="H250" s="54" t="str">
        <f>IF($C250="B",INDEX(Batters[[#All],[B]],MATCH(Table5[[#This Row],[PID]],Batters[[#All],[PID]],0)),INDEX(Table3[[#All],[B]],MATCH(Table5[[#This Row],[PID]],Table3[[#All],[PID]],0)))</f>
        <v>S</v>
      </c>
      <c r="I250" s="54" t="str">
        <f>IF($C250="B",INDEX(Batters[[#All],[T]],MATCH(Table5[[#This Row],[PID]],Batters[[#All],[PID]],0)),INDEX(Table3[[#All],[T]],MATCH(Table5[[#This Row],[PID]],Table3[[#All],[PID]],0)))</f>
        <v>R</v>
      </c>
      <c r="J250" s="54" t="str">
        <f>IF($C250="B",INDEX(Batters[[#All],[WE]],MATCH(Table5[[#This Row],[PID]],Batters[[#All],[PID]],0)),INDEX(Table3[[#All],[WE]],MATCH(Table5[[#This Row],[PID]],Table3[[#All],[PID]],0)))</f>
        <v>Normal</v>
      </c>
      <c r="K250" s="54" t="str">
        <f>IF($C250="B",INDEX(Batters[[#All],[INT]],MATCH(Table5[[#This Row],[PID]],Batters[[#All],[PID]],0)),INDEX(Table3[[#All],[INT]],MATCH(Table5[[#This Row],[PID]],Table3[[#All],[PID]],0)))</f>
        <v>Normal</v>
      </c>
      <c r="L250" s="62">
        <f>IF($C250="B",INDEX(Batters[[#All],[CON P]],MATCH(Table5[[#This Row],[PID]],Batters[[#All],[PID]],0)),INDEX(Table3[[#All],[STU P]],MATCH(Table5[[#This Row],[PID]],Table3[[#All],[PID]],0)))</f>
        <v>3</v>
      </c>
      <c r="M250" s="58">
        <f>IF($C250="B",INDEX(Batters[[#All],[GAP P]],MATCH(Table5[[#This Row],[PID]],Batters[[#All],[PID]],0)),INDEX(Table3[[#All],[MOV P]],MATCH(Table5[[#This Row],[PID]],Table3[[#All],[PID]],0)))</f>
        <v>4</v>
      </c>
      <c r="N250" s="58">
        <f>IF($C250="B",INDEX(Batters[[#All],[POW P]],MATCH(Table5[[#This Row],[PID]],Batters[[#All],[PID]],0)),INDEX(Table3[[#All],[CON P]],MATCH(Table5[[#This Row],[PID]],Table3[[#All],[PID]],0)))</f>
        <v>4</v>
      </c>
      <c r="O250" s="58">
        <f>IF($C250="B",INDEX(Batters[[#All],[EYE P]],MATCH(Table5[[#This Row],[PID]],Batters[[#All],[PID]],0)),INDEX(Table3[[#All],[VELO]],MATCH(Table5[[#This Row],[PID]],Table3[[#All],[PID]],0)))</f>
        <v>7</v>
      </c>
      <c r="P250" s="58">
        <f>IF($C250="B",INDEX(Batters[[#All],[K P]],MATCH(Table5[[#This Row],[PID]],Batters[[#All],[PID]],0)),INDEX(Table3[[#All],[STM]],MATCH(Table5[[#This Row],[PID]],Table3[[#All],[PID]],0)))</f>
        <v>2</v>
      </c>
      <c r="Q250" s="63">
        <f>IF($C250="B",INDEX(Batters[[#All],[Tot]],MATCH(Table5[[#This Row],[PID]],Batters[[#All],[PID]],0)),INDEX(Table3[[#All],[Tot]],MATCH(Table5[[#This Row],[PID]],Table3[[#All],[PID]],0)))</f>
        <v>44.305715769982534</v>
      </c>
      <c r="R250" s="54">
        <f>IF($C250="B",INDEX(Batters[[#All],[zScore]],MATCH(Table5[[#This Row],[PID]],Batters[[#All],[PID]],0)),INDEX(Table3[[#All],[zScore]],MATCH(Table5[[#This Row],[PID]],Table3[[#All],[PID]],0)))</f>
        <v>0.69629026452366238</v>
      </c>
      <c r="S250" s="60" t="str">
        <f>IF($C250="B",INDEX(Batters[[#All],[DEM]],MATCH(Table5[[#This Row],[PID]],Batters[[#All],[PID]],0)),INDEX(Table3[[#All],[DEM]],MATCH(Table5[[#This Row],[PID]],Table3[[#All],[PID]],0)))</f>
        <v>$190k</v>
      </c>
      <c r="T250" s="64">
        <f>IF($C250="B",VLOOKUP($A250,Bat!$A$4:$AU$1417,46,FALSE),VLOOKUP($A250,Pit!$A$4:$BD$570,55,FALSE))</f>
        <v>0</v>
      </c>
      <c r="U250" s="52">
        <f>IF($C250="B",VLOOKUP($A250,Bat!$A$4:$BA$1417,47,FALSE),VLOOKUP($A250,Pit!$A$4:$BF$570,56,FALSE))</f>
        <v>0</v>
      </c>
      <c r="V250" s="52">
        <f>IF($C250="B",VLOOKUP($A250,Bat!$A$4:$BA$1417,48,FALSE),VLOOKUP($A250,Pit!$A$4:$BF$570,57,FALSE))</f>
        <v>0</v>
      </c>
      <c r="W250" s="52">
        <f>Table5[[#This Row],[posRnk]]+Table5[[#This Row],[zRnk]]+IF($W$3&lt;&gt;Table5[[#This Row],[Type]],50,0)</f>
        <v>296</v>
      </c>
      <c r="X250" s="53">
        <f>RANK(Table5[[#This Row],[zScore]],Table5[[#All],[zScore]])</f>
        <v>246</v>
      </c>
      <c r="Y250" s="52" t="str">
        <f>IFERROR(INDEX(DraftResults[[#All],[OVR]],MATCH(Table5[[#This Row],[PID]],DraftResults[[#All],[Player ID]],0)),"")</f>
        <v/>
      </c>
      <c r="Z2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0" s="52" t="str">
        <f>IFERROR(INDEX(DraftResults[[#All],[Pick in Round]],MATCH(Table5[[#This Row],[PID]],DraftResults[[#All],[Player ID]],0)),"")</f>
        <v/>
      </c>
      <c r="AB250" s="52" t="str">
        <f>IFERROR(INDEX(DraftResults[[#All],[Team Name]],MATCH(Table5[[#This Row],[PID]],DraftResults[[#All],[Player ID]],0)),"")</f>
        <v/>
      </c>
      <c r="AC250" s="52" t="str">
        <f>IF(Table5[[#This Row],[Ovr]]="","",IF(Table5[[#This Row],[cmbList]]="","",Table5[[#This Row],[cmbList]]-Table5[[#This Row],[Ovr]]))</f>
        <v/>
      </c>
      <c r="AD250" s="56" t="str">
        <f>IF(ISERROR(VLOOKUP($AB250&amp;"-"&amp;$E250&amp;" "&amp;F250,Bonuses!$B$1:$G$1006,4,FALSE)),"",INT(VLOOKUP($AB250&amp;"-"&amp;$E250&amp;" "&amp;$F250,Bonuses!$B$1:$G$1006,4,FALSE)))</f>
        <v/>
      </c>
      <c r="AE2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1" spans="1:31" s="52" customFormat="1" x14ac:dyDescent="0.25">
      <c r="A251" s="52">
        <v>7406</v>
      </c>
      <c r="B251" s="52">
        <f>COUNTIF(Table5[PID],A251)</f>
        <v>1</v>
      </c>
      <c r="C251" s="52" t="str">
        <f>IF(COUNTIF(Table3[[#All],[PID]],A251)&gt;0,"P","B")</f>
        <v>B</v>
      </c>
      <c r="D251" s="61" t="str">
        <f>IF($C251="B",INDEX(Batters[[#All],[POS]],MATCH(Table5[[#This Row],[PID]],Batters[[#All],[PID]],0)),INDEX(Table3[[#All],[POS]],MATCH(Table5[[#This Row],[PID]],Table3[[#All],[PID]],0)))</f>
        <v>CF</v>
      </c>
      <c r="E251" s="54" t="str">
        <f>IF($C251="B",INDEX(Batters[[#All],[First]],MATCH(Table5[[#This Row],[PID]],Batters[[#All],[PID]],0)),INDEX(Table3[[#All],[First]],MATCH(Table5[[#This Row],[PID]],Table3[[#All],[PID]],0)))</f>
        <v>Shimpei</v>
      </c>
      <c r="F251" s="52" t="str">
        <f>IF($C251="B",INDEX(Batters[[#All],[Last]],MATCH(A251,Batters[[#All],[PID]],0)),INDEX(Table3[[#All],[Last]],MATCH(A251,Table3[[#All],[PID]],0)))</f>
        <v>Hatsutori</v>
      </c>
      <c r="G251" s="58">
        <f>IF($C251="B",INDEX(Batters[[#All],[Age]],MATCH(Table5[[#This Row],[PID]],Batters[[#All],[PID]],0)),INDEX(Table3[[#All],[Age]],MATCH(Table5[[#This Row],[PID]],Table3[[#All],[PID]],0)))</f>
        <v>21</v>
      </c>
      <c r="H251" s="54" t="str">
        <f>IF($C251="B",INDEX(Batters[[#All],[B]],MATCH(Table5[[#This Row],[PID]],Batters[[#All],[PID]],0)),INDEX(Table3[[#All],[B]],MATCH(Table5[[#This Row],[PID]],Table3[[#All],[PID]],0)))</f>
        <v>R</v>
      </c>
      <c r="I251" s="54" t="str">
        <f>IF($C251="B",INDEX(Batters[[#All],[T]],MATCH(Table5[[#This Row],[PID]],Batters[[#All],[PID]],0)),INDEX(Table3[[#All],[T]],MATCH(Table5[[#This Row],[PID]],Table3[[#All],[PID]],0)))</f>
        <v>R</v>
      </c>
      <c r="J251" s="54" t="str">
        <f>IF($C251="B",INDEX(Batters[[#All],[WE]],MATCH(Table5[[#This Row],[PID]],Batters[[#All],[PID]],0)),INDEX(Table3[[#All],[WE]],MATCH(Table5[[#This Row],[PID]],Table3[[#All],[PID]],0)))</f>
        <v>Normal</v>
      </c>
      <c r="K251" s="54" t="str">
        <f>IF($C251="B",INDEX(Batters[[#All],[INT]],MATCH(Table5[[#This Row],[PID]],Batters[[#All],[PID]],0)),INDEX(Table3[[#All],[INT]],MATCH(Table5[[#This Row],[PID]],Table3[[#All],[PID]],0)))</f>
        <v>Normal</v>
      </c>
      <c r="L251" s="62">
        <f>IF($C251="B",INDEX(Batters[[#All],[CON P]],MATCH(Table5[[#This Row],[PID]],Batters[[#All],[PID]],0)),INDEX(Table3[[#All],[STU P]],MATCH(Table5[[#This Row],[PID]],Table3[[#All],[PID]],0)))</f>
        <v>4</v>
      </c>
      <c r="M251" s="58">
        <f>IF($C251="B",INDEX(Batters[[#All],[GAP P]],MATCH(Table5[[#This Row],[PID]],Batters[[#All],[PID]],0)),INDEX(Table3[[#All],[MOV P]],MATCH(Table5[[#This Row],[PID]],Table3[[#All],[PID]],0)))</f>
        <v>4</v>
      </c>
      <c r="N251" s="58">
        <f>IF($C251="B",INDEX(Batters[[#All],[POW P]],MATCH(Table5[[#This Row],[PID]],Batters[[#All],[PID]],0)),INDEX(Table3[[#All],[CON P]],MATCH(Table5[[#This Row],[PID]],Table3[[#All],[PID]],0)))</f>
        <v>3</v>
      </c>
      <c r="O251" s="58">
        <f>IF($C251="B",INDEX(Batters[[#All],[EYE P]],MATCH(Table5[[#This Row],[PID]],Batters[[#All],[PID]],0)),INDEX(Table3[[#All],[VELO]],MATCH(Table5[[#This Row],[PID]],Table3[[#All],[PID]],0)))</f>
        <v>5</v>
      </c>
      <c r="P251" s="58">
        <f>IF($C251="B",INDEX(Batters[[#All],[K P]],MATCH(Table5[[#This Row],[PID]],Batters[[#All],[PID]],0)),INDEX(Table3[[#All],[STM]],MATCH(Table5[[#This Row],[PID]],Table3[[#All],[PID]],0)))</f>
        <v>6</v>
      </c>
      <c r="Q251" s="63">
        <f>IF($C251="B",INDEX(Batters[[#All],[Tot]],MATCH(Table5[[#This Row],[PID]],Batters[[#All],[PID]],0)),INDEX(Table3[[#All],[Tot]],MATCH(Table5[[#This Row],[PID]],Table3[[#All],[PID]],0)))</f>
        <v>44.298207975190103</v>
      </c>
      <c r="R251" s="54">
        <f>IF($C251="B",INDEX(Batters[[#All],[zScore]],MATCH(Table5[[#This Row],[PID]],Batters[[#All],[PID]],0)),INDEX(Table3[[#All],[zScore]],MATCH(Table5[[#This Row],[PID]],Table3[[#All],[PID]],0)))</f>
        <v>0.69496931792901595</v>
      </c>
      <c r="S251" s="60" t="str">
        <f>IF($C251="B",INDEX(Batters[[#All],[DEM]],MATCH(Table5[[#This Row],[PID]],Batters[[#All],[PID]],0)),INDEX(Table3[[#All],[DEM]],MATCH(Table5[[#This Row],[PID]],Table3[[#All],[PID]],0)))</f>
        <v>$140k</v>
      </c>
      <c r="T251" s="64">
        <f>IF($C251="B",VLOOKUP($A251,Bat!$A$4:$AU$1417,46,FALSE),VLOOKUP($A251,Pit!$A$4:$BD$570,55,FALSE))</f>
        <v>0</v>
      </c>
      <c r="U251" s="52">
        <f>IF($C251="B",VLOOKUP($A251,Bat!$A$4:$BA$1417,47,FALSE),VLOOKUP($A251,Pit!$A$4:$BF$570,56,FALSE))</f>
        <v>0</v>
      </c>
      <c r="V251" s="52">
        <f>IF($C251="B",VLOOKUP($A251,Bat!$A$4:$BA$1417,48,FALSE),VLOOKUP($A251,Pit!$A$4:$BF$570,57,FALSE))</f>
        <v>0</v>
      </c>
      <c r="W251" s="52">
        <f>Table5[[#This Row],[posRnk]]+Table5[[#This Row],[zRnk]]+IF($W$3&lt;&gt;Table5[[#This Row],[Type]],50,0)</f>
        <v>297</v>
      </c>
      <c r="X251" s="53">
        <f>RANK(Table5[[#This Row],[zScore]],Table5[[#All],[zScore]])</f>
        <v>247</v>
      </c>
      <c r="Y251" s="52" t="str">
        <f>IFERROR(INDEX(DraftResults[[#All],[OVR]],MATCH(Table5[[#This Row],[PID]],DraftResults[[#All],[Player ID]],0)),"")</f>
        <v/>
      </c>
      <c r="Z2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1" s="52" t="str">
        <f>IFERROR(INDEX(DraftResults[[#All],[Pick in Round]],MATCH(Table5[[#This Row],[PID]],DraftResults[[#All],[Player ID]],0)),"")</f>
        <v/>
      </c>
      <c r="AB251" s="52" t="str">
        <f>IFERROR(INDEX(DraftResults[[#All],[Team Name]],MATCH(Table5[[#This Row],[PID]],DraftResults[[#All],[Player ID]],0)),"")</f>
        <v/>
      </c>
      <c r="AC251" s="52" t="str">
        <f>IF(Table5[[#This Row],[Ovr]]="","",IF(Table5[[#This Row],[cmbList]]="","",Table5[[#This Row],[cmbList]]-Table5[[#This Row],[Ovr]]))</f>
        <v/>
      </c>
      <c r="AD251" s="56" t="str">
        <f>IF(ISERROR(VLOOKUP($AB251&amp;"-"&amp;$E251&amp;" "&amp;F251,Bonuses!$B$1:$G$1006,4,FALSE)),"",INT(VLOOKUP($AB251&amp;"-"&amp;$E251&amp;" "&amp;$F251,Bonuses!$B$1:$G$1006,4,FALSE)))</f>
        <v/>
      </c>
      <c r="AE2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2" spans="1:31" s="52" customFormat="1" x14ac:dyDescent="0.25">
      <c r="A252" s="52">
        <v>10327</v>
      </c>
      <c r="B252" s="57">
        <f>COUNTIF(Table5[PID],A252)</f>
        <v>1</v>
      </c>
      <c r="C252" s="57" t="str">
        <f>IF(COUNTIF(Table3[[#All],[PID]],A252)&gt;0,"P","B")</f>
        <v>B</v>
      </c>
      <c r="D252" s="61" t="str">
        <f>IF($C252="B",INDEX(Batters[[#All],[POS]],MATCH(Table5[[#This Row],[PID]],Batters[[#All],[PID]],0)),INDEX(Table3[[#All],[POS]],MATCH(Table5[[#This Row],[PID]],Table3[[#All],[PID]],0)))</f>
        <v>SS</v>
      </c>
      <c r="E252" s="54" t="str">
        <f>IF($C252="B",INDEX(Batters[[#All],[First]],MATCH(Table5[[#This Row],[PID]],Batters[[#All],[PID]],0)),INDEX(Table3[[#All],[First]],MATCH(Table5[[#This Row],[PID]],Table3[[#All],[PID]],0)))</f>
        <v>Thom</v>
      </c>
      <c r="F252" s="52" t="str">
        <f>IF($C252="B",INDEX(Batters[[#All],[Last]],MATCH(A252,Batters[[#All],[PID]],0)),INDEX(Table3[[#All],[Last]],MATCH(A252,Table3[[#All],[PID]],0)))</f>
        <v>Reed</v>
      </c>
      <c r="G252" s="58">
        <f>IF($C252="B",INDEX(Batters[[#All],[Age]],MATCH(Table5[[#This Row],[PID]],Batters[[#All],[PID]],0)),INDEX(Table3[[#All],[Age]],MATCH(Table5[[#This Row],[PID]],Table3[[#All],[PID]],0)))</f>
        <v>21</v>
      </c>
      <c r="H252" s="54" t="str">
        <f>IF($C252="B",INDEX(Batters[[#All],[B]],MATCH(Table5[[#This Row],[PID]],Batters[[#All],[PID]],0)),INDEX(Table3[[#All],[B]],MATCH(Table5[[#This Row],[PID]],Table3[[#All],[PID]],0)))</f>
        <v>R</v>
      </c>
      <c r="I252" s="54" t="str">
        <f>IF($C252="B",INDEX(Batters[[#All],[T]],MATCH(Table5[[#This Row],[PID]],Batters[[#All],[PID]],0)),INDEX(Table3[[#All],[T]],MATCH(Table5[[#This Row],[PID]],Table3[[#All],[PID]],0)))</f>
        <v>R</v>
      </c>
      <c r="J252" s="54" t="str">
        <f>IF($C252="B",INDEX(Batters[[#All],[WE]],MATCH(Table5[[#This Row],[PID]],Batters[[#All],[PID]],0)),INDEX(Table3[[#All],[WE]],MATCH(Table5[[#This Row],[PID]],Table3[[#All],[PID]],0)))</f>
        <v>Normal</v>
      </c>
      <c r="K252" s="54" t="str">
        <f>IF($C252="B",INDEX(Batters[[#All],[INT]],MATCH(Table5[[#This Row],[PID]],Batters[[#All],[PID]],0)),INDEX(Table3[[#All],[INT]],MATCH(Table5[[#This Row],[PID]],Table3[[#All],[PID]],0)))</f>
        <v>Normal</v>
      </c>
      <c r="L252" s="62">
        <f>IF($C252="B",INDEX(Batters[[#All],[CON P]],MATCH(Table5[[#This Row],[PID]],Batters[[#All],[PID]],0)),INDEX(Table3[[#All],[STU P]],MATCH(Table5[[#This Row],[PID]],Table3[[#All],[PID]],0)))</f>
        <v>4</v>
      </c>
      <c r="M252" s="58">
        <f>IF($C252="B",INDEX(Batters[[#All],[GAP P]],MATCH(Table5[[#This Row],[PID]],Batters[[#All],[PID]],0)),INDEX(Table3[[#All],[MOV P]],MATCH(Table5[[#This Row],[PID]],Table3[[#All],[PID]],0)))</f>
        <v>6</v>
      </c>
      <c r="N252" s="58">
        <f>IF($C252="B",INDEX(Batters[[#All],[POW P]],MATCH(Table5[[#This Row],[PID]],Batters[[#All],[PID]],0)),INDEX(Table3[[#All],[CON P]],MATCH(Table5[[#This Row],[PID]],Table3[[#All],[PID]],0)))</f>
        <v>5</v>
      </c>
      <c r="O252" s="58">
        <f>IF($C252="B",INDEX(Batters[[#All],[EYE P]],MATCH(Table5[[#This Row],[PID]],Batters[[#All],[PID]],0)),INDEX(Table3[[#All],[VELO]],MATCH(Table5[[#This Row],[PID]],Table3[[#All],[PID]],0)))</f>
        <v>5</v>
      </c>
      <c r="P252" s="58">
        <f>IF($C252="B",INDEX(Batters[[#All],[K P]],MATCH(Table5[[#This Row],[PID]],Batters[[#All],[PID]],0)),INDEX(Table3[[#All],[STM]],MATCH(Table5[[#This Row],[PID]],Table3[[#All],[PID]],0)))</f>
        <v>4</v>
      </c>
      <c r="Q252" s="63">
        <f>IF($C252="B",INDEX(Batters[[#All],[Tot]],MATCH(Table5[[#This Row],[PID]],Batters[[#All],[PID]],0)),INDEX(Table3[[#All],[Tot]],MATCH(Table5[[#This Row],[PID]],Table3[[#All],[PID]],0)))</f>
        <v>44.269670096859457</v>
      </c>
      <c r="R252" s="54">
        <f>IF($C252="B",INDEX(Batters[[#All],[zScore]],MATCH(Table5[[#This Row],[PID]],Batters[[#All],[PID]],0)),INDEX(Table3[[#All],[zScore]],MATCH(Table5[[#This Row],[PID]],Table3[[#All],[PID]],0)))</f>
        <v>0.68994826790813601</v>
      </c>
      <c r="S252" s="60" t="str">
        <f>IF($C252="B",INDEX(Batters[[#All],[DEM]],MATCH(Table5[[#This Row],[PID]],Batters[[#All],[PID]],0)),INDEX(Table3[[#All],[DEM]],MATCH(Table5[[#This Row],[PID]],Table3[[#All],[PID]],0)))</f>
        <v>$400k</v>
      </c>
      <c r="T252" s="64">
        <f>IF($C252="B",VLOOKUP($A252,Bat!$A$4:$AU$1417,46,FALSE),VLOOKUP($A252,Pit!$A$4:$BD$570,55,FALSE))</f>
        <v>0</v>
      </c>
      <c r="U252" s="52">
        <f>IF($C252="B",VLOOKUP($A252,Bat!$A$4:$BA$1417,47,FALSE),VLOOKUP($A252,Pit!$A$4:$BF$570,56,FALSE))</f>
        <v>0</v>
      </c>
      <c r="V252" s="52">
        <f>IF($C252="B",VLOOKUP($A252,Bat!$A$4:$BA$1417,48,FALSE),VLOOKUP($A252,Pit!$A$4:$BF$570,57,FALSE))</f>
        <v>0</v>
      </c>
      <c r="W252" s="52">
        <f>Table5[[#This Row],[posRnk]]+Table5[[#This Row],[zRnk]]+IF($W$3&lt;&gt;Table5[[#This Row],[Type]],50,0)</f>
        <v>298</v>
      </c>
      <c r="X252" s="53">
        <f>RANK(Table5[[#This Row],[zScore]],Table5[[#All],[zScore]])</f>
        <v>248</v>
      </c>
      <c r="Y252" s="52" t="str">
        <f>IFERROR(INDEX(DraftResults[[#All],[OVR]],MATCH(Table5[[#This Row],[PID]],DraftResults[[#All],[Player ID]],0)),"")</f>
        <v/>
      </c>
      <c r="Z2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2" s="52" t="str">
        <f>IFERROR(INDEX(DraftResults[[#All],[Pick in Round]],MATCH(Table5[[#This Row],[PID]],DraftResults[[#All],[Player ID]],0)),"")</f>
        <v/>
      </c>
      <c r="AB252" s="52" t="str">
        <f>IFERROR(INDEX(DraftResults[[#All],[Team Name]],MATCH(Table5[[#This Row],[PID]],DraftResults[[#All],[Player ID]],0)),"")</f>
        <v/>
      </c>
      <c r="AC252" s="52" t="str">
        <f>IF(Table5[[#This Row],[Ovr]]="","",IF(Table5[[#This Row],[cmbList]]="","",Table5[[#This Row],[cmbList]]-Table5[[#This Row],[Ovr]]))</f>
        <v/>
      </c>
      <c r="AD252" s="56" t="str">
        <f>IF(ISERROR(VLOOKUP($AB252&amp;"-"&amp;$E252&amp;" "&amp;F252,Bonuses!$B$1:$G$1006,4,FALSE)),"",INT(VLOOKUP($AB252&amp;"-"&amp;$E252&amp;" "&amp;$F252,Bonuses!$B$1:$G$1006,4,FALSE)))</f>
        <v/>
      </c>
      <c r="AE2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3" spans="1:31" s="52" customFormat="1" x14ac:dyDescent="0.25">
      <c r="A253" s="52">
        <v>6401</v>
      </c>
      <c r="B253" s="52">
        <f>COUNTIF(Table5[PID],A253)</f>
        <v>1</v>
      </c>
      <c r="C253" s="52" t="str">
        <f>IF(COUNTIF(Table3[[#All],[PID]],A253)&gt;0,"P","B")</f>
        <v>B</v>
      </c>
      <c r="D253" s="61" t="str">
        <f>IF($C253="B",INDEX(Batters[[#All],[POS]],MATCH(Table5[[#This Row],[PID]],Batters[[#All],[PID]],0)),INDEX(Table3[[#All],[POS]],MATCH(Table5[[#This Row],[PID]],Table3[[#All],[PID]],0)))</f>
        <v>3B</v>
      </c>
      <c r="E253" s="54" t="str">
        <f>IF($C253="B",INDEX(Batters[[#All],[First]],MATCH(Table5[[#This Row],[PID]],Batters[[#All],[PID]],0)),INDEX(Table3[[#All],[First]],MATCH(Table5[[#This Row],[PID]],Table3[[#All],[PID]],0)))</f>
        <v>Seishiro</v>
      </c>
      <c r="F253" s="52" t="str">
        <f>IF($C253="B",INDEX(Batters[[#All],[Last]],MATCH(A253,Batters[[#All],[PID]],0)),INDEX(Table3[[#All],[Last]],MATCH(A253,Table3[[#All],[PID]],0)))</f>
        <v>Ikarashi</v>
      </c>
      <c r="G253" s="58">
        <f>IF($C253="B",INDEX(Batters[[#All],[Age]],MATCH(Table5[[#This Row],[PID]],Batters[[#All],[PID]],0)),INDEX(Table3[[#All],[Age]],MATCH(Table5[[#This Row],[PID]],Table3[[#All],[PID]],0)))</f>
        <v>18</v>
      </c>
      <c r="H253" s="54" t="str">
        <f>IF($C253="B",INDEX(Batters[[#All],[B]],MATCH(Table5[[#This Row],[PID]],Batters[[#All],[PID]],0)),INDEX(Table3[[#All],[B]],MATCH(Table5[[#This Row],[PID]],Table3[[#All],[PID]],0)))</f>
        <v>R</v>
      </c>
      <c r="I253" s="54" t="str">
        <f>IF($C253="B",INDEX(Batters[[#All],[T]],MATCH(Table5[[#This Row],[PID]],Batters[[#All],[PID]],0)),INDEX(Table3[[#All],[T]],MATCH(Table5[[#This Row],[PID]],Table3[[#All],[PID]],0)))</f>
        <v>R</v>
      </c>
      <c r="J253" s="54" t="str">
        <f>IF($C253="B",INDEX(Batters[[#All],[WE]],MATCH(Table5[[#This Row],[PID]],Batters[[#All],[PID]],0)),INDEX(Table3[[#All],[WE]],MATCH(Table5[[#This Row],[PID]],Table3[[#All],[PID]],0)))</f>
        <v>Normal</v>
      </c>
      <c r="K253" s="54" t="str">
        <f>IF($C253="B",INDEX(Batters[[#All],[INT]],MATCH(Table5[[#This Row],[PID]],Batters[[#All],[PID]],0)),INDEX(Table3[[#All],[INT]],MATCH(Table5[[#This Row],[PID]],Table3[[#All],[PID]],0)))</f>
        <v>Normal</v>
      </c>
      <c r="L253" s="62">
        <f>IF($C253="B",INDEX(Batters[[#All],[CON P]],MATCH(Table5[[#This Row],[PID]],Batters[[#All],[PID]],0)),INDEX(Table3[[#All],[STU P]],MATCH(Table5[[#This Row],[PID]],Table3[[#All],[PID]],0)))</f>
        <v>3</v>
      </c>
      <c r="M253" s="58">
        <f>IF($C253="B",INDEX(Batters[[#All],[GAP P]],MATCH(Table5[[#This Row],[PID]],Batters[[#All],[PID]],0)),INDEX(Table3[[#All],[MOV P]],MATCH(Table5[[#This Row],[PID]],Table3[[#All],[PID]],0)))</f>
        <v>5</v>
      </c>
      <c r="N253" s="58">
        <f>IF($C253="B",INDEX(Batters[[#All],[POW P]],MATCH(Table5[[#This Row],[PID]],Batters[[#All],[PID]],0)),INDEX(Table3[[#All],[CON P]],MATCH(Table5[[#This Row],[PID]],Table3[[#All],[PID]],0)))</f>
        <v>5</v>
      </c>
      <c r="O253" s="58">
        <f>IF($C253="B",INDEX(Batters[[#All],[EYE P]],MATCH(Table5[[#This Row],[PID]],Batters[[#All],[PID]],0)),INDEX(Table3[[#All],[VELO]],MATCH(Table5[[#This Row],[PID]],Table3[[#All],[PID]],0)))</f>
        <v>5</v>
      </c>
      <c r="P253" s="58">
        <f>IF($C253="B",INDEX(Batters[[#All],[K P]],MATCH(Table5[[#This Row],[PID]],Batters[[#All],[PID]],0)),INDEX(Table3[[#All],[STM]],MATCH(Table5[[#This Row],[PID]],Table3[[#All],[PID]],0)))</f>
        <v>3</v>
      </c>
      <c r="Q253" s="63">
        <f>IF($C253="B",INDEX(Batters[[#All],[Tot]],MATCH(Table5[[#This Row],[PID]],Batters[[#All],[PID]],0)),INDEX(Table3[[#All],[Tot]],MATCH(Table5[[#This Row],[PID]],Table3[[#All],[PID]],0)))</f>
        <v>44.255751268633112</v>
      </c>
      <c r="R253" s="54">
        <f>IF($C253="B",INDEX(Batters[[#All],[zScore]],MATCH(Table5[[#This Row],[PID]],Batters[[#All],[PID]],0)),INDEX(Table3[[#All],[zScore]],MATCH(Table5[[#This Row],[PID]],Table3[[#All],[PID]],0)))</f>
        <v>0.68749934259046563</v>
      </c>
      <c r="S253" s="60" t="str">
        <f>IF($C253="B",INDEX(Batters[[#All],[DEM]],MATCH(Table5[[#This Row],[PID]],Batters[[#All],[PID]],0)),INDEX(Table3[[#All],[DEM]],MATCH(Table5[[#This Row],[PID]],Table3[[#All],[PID]],0)))</f>
        <v>$190k</v>
      </c>
      <c r="T253" s="64">
        <f>IF($C253="B",VLOOKUP($A253,Bat!$A$4:$AU$1417,46,FALSE),VLOOKUP($A253,Pit!$A$4:$BD$570,55,FALSE))</f>
        <v>0</v>
      </c>
      <c r="U253" s="52">
        <f>IF($C253="B",VLOOKUP($A253,Bat!$A$4:$BA$1417,47,FALSE),VLOOKUP($A253,Pit!$A$4:$BF$570,56,FALSE))</f>
        <v>0</v>
      </c>
      <c r="V253" s="52">
        <f>IF($C253="B",VLOOKUP($A253,Bat!$A$4:$BA$1417,48,FALSE),VLOOKUP($A253,Pit!$A$4:$BF$570,57,FALSE))</f>
        <v>0</v>
      </c>
      <c r="W253" s="52">
        <f>Table5[[#This Row],[posRnk]]+Table5[[#This Row],[zRnk]]+IF($W$3&lt;&gt;Table5[[#This Row],[Type]],50,0)</f>
        <v>299</v>
      </c>
      <c r="X253" s="53">
        <f>RANK(Table5[[#This Row],[zScore]],Table5[[#All],[zScore]])</f>
        <v>249</v>
      </c>
      <c r="Y253" s="52" t="str">
        <f>IFERROR(INDEX(DraftResults[[#All],[OVR]],MATCH(Table5[[#This Row],[PID]],DraftResults[[#All],[Player ID]],0)),"")</f>
        <v/>
      </c>
      <c r="Z2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3" s="52" t="str">
        <f>IFERROR(INDEX(DraftResults[[#All],[Pick in Round]],MATCH(Table5[[#This Row],[PID]],DraftResults[[#All],[Player ID]],0)),"")</f>
        <v/>
      </c>
      <c r="AB253" s="52" t="str">
        <f>IFERROR(INDEX(DraftResults[[#All],[Team Name]],MATCH(Table5[[#This Row],[PID]],DraftResults[[#All],[Player ID]],0)),"")</f>
        <v/>
      </c>
      <c r="AC253" s="52" t="str">
        <f>IF(Table5[[#This Row],[Ovr]]="","",IF(Table5[[#This Row],[cmbList]]="","",Table5[[#This Row],[cmbList]]-Table5[[#This Row],[Ovr]]))</f>
        <v/>
      </c>
      <c r="AD253" s="56" t="str">
        <f>IF(ISERROR(VLOOKUP($AB253&amp;"-"&amp;$E253&amp;" "&amp;F253,Bonuses!$B$1:$G$1006,4,FALSE)),"",INT(VLOOKUP($AB253&amp;"-"&amp;$E253&amp;" "&amp;$F253,Bonuses!$B$1:$G$1006,4,FALSE)))</f>
        <v/>
      </c>
      <c r="AE2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4" spans="1:31" s="52" customFormat="1" x14ac:dyDescent="0.25">
      <c r="A254" s="52">
        <v>11656</v>
      </c>
      <c r="B254" s="52">
        <f>COUNTIF(Table5[PID],A254)</f>
        <v>1</v>
      </c>
      <c r="C254" s="52" t="str">
        <f>IF(COUNTIF(Table3[[#All],[PID]],A254)&gt;0,"P","B")</f>
        <v>P</v>
      </c>
      <c r="D254" s="61" t="str">
        <f>IF($C254="B",INDEX(Batters[[#All],[POS]],MATCH(Table5[[#This Row],[PID]],Batters[[#All],[PID]],0)),INDEX(Table3[[#All],[POS]],MATCH(Table5[[#This Row],[PID]],Table3[[#All],[PID]],0)))</f>
        <v>SP</v>
      </c>
      <c r="E254" s="54" t="str">
        <f>IF($C254="B",INDEX(Batters[[#All],[First]],MATCH(Table5[[#This Row],[PID]],Batters[[#All],[PID]],0)),INDEX(Table3[[#All],[First]],MATCH(Table5[[#This Row],[PID]],Table3[[#All],[PID]],0)))</f>
        <v>Bill</v>
      </c>
      <c r="F254" s="52" t="str">
        <f>IF($C254="B",INDEX(Batters[[#All],[Last]],MATCH(A254,Batters[[#All],[PID]],0)),INDEX(Table3[[#All],[Last]],MATCH(A254,Table3[[#All],[PID]],0)))</f>
        <v>Nash</v>
      </c>
      <c r="G254" s="58">
        <f>IF($C254="B",INDEX(Batters[[#All],[Age]],MATCH(Table5[[#This Row],[PID]],Batters[[#All],[PID]],0)),INDEX(Table3[[#All],[Age]],MATCH(Table5[[#This Row],[PID]],Table3[[#All],[PID]],0)))</f>
        <v>21</v>
      </c>
      <c r="H254" s="54" t="str">
        <f>IF($C254="B",INDEX(Batters[[#All],[B]],MATCH(Table5[[#This Row],[PID]],Batters[[#All],[PID]],0)),INDEX(Table3[[#All],[B]],MATCH(Table5[[#This Row],[PID]],Table3[[#All],[PID]],0)))</f>
        <v>R</v>
      </c>
      <c r="I254" s="54" t="str">
        <f>IF($C254="B",INDEX(Batters[[#All],[T]],MATCH(Table5[[#This Row],[PID]],Batters[[#All],[PID]],0)),INDEX(Table3[[#All],[T]],MATCH(Table5[[#This Row],[PID]],Table3[[#All],[PID]],0)))</f>
        <v>R</v>
      </c>
      <c r="J254" s="54" t="str">
        <f>IF($C254="B",INDEX(Batters[[#All],[WE]],MATCH(Table5[[#This Row],[PID]],Batters[[#All],[PID]],0)),INDEX(Table3[[#All],[WE]],MATCH(Table5[[#This Row],[PID]],Table3[[#All],[PID]],0)))</f>
        <v>Normal</v>
      </c>
      <c r="K254" s="54" t="str">
        <f>IF($C254="B",INDEX(Batters[[#All],[INT]],MATCH(Table5[[#This Row],[PID]],Batters[[#All],[PID]],0)),INDEX(Table3[[#All],[INT]],MATCH(Table5[[#This Row],[PID]],Table3[[#All],[PID]],0)))</f>
        <v>Low</v>
      </c>
      <c r="L254" s="62">
        <f>IF($C254="B",INDEX(Batters[[#All],[CON P]],MATCH(Table5[[#This Row],[PID]],Batters[[#All],[PID]],0)),INDEX(Table3[[#All],[STU P]],MATCH(Table5[[#This Row],[PID]],Table3[[#All],[PID]],0)))</f>
        <v>5</v>
      </c>
      <c r="M254" s="58">
        <f>IF($C254="B",INDEX(Batters[[#All],[GAP P]],MATCH(Table5[[#This Row],[PID]],Batters[[#All],[PID]],0)),INDEX(Table3[[#All],[MOV P]],MATCH(Table5[[#This Row],[PID]],Table3[[#All],[PID]],0)))</f>
        <v>2</v>
      </c>
      <c r="N254" s="58">
        <f>IF($C254="B",INDEX(Batters[[#All],[POW P]],MATCH(Table5[[#This Row],[PID]],Batters[[#All],[PID]],0)),INDEX(Table3[[#All],[CON P]],MATCH(Table5[[#This Row],[PID]],Table3[[#All],[PID]],0)))</f>
        <v>4</v>
      </c>
      <c r="O254" s="58" t="str">
        <f>IF($C254="B",INDEX(Batters[[#All],[EYE P]],MATCH(Table5[[#This Row],[PID]],Batters[[#All],[PID]],0)),INDEX(Table3[[#All],[VELO]],MATCH(Table5[[#This Row],[PID]],Table3[[#All],[PID]],0)))</f>
        <v>92-94 Mph</v>
      </c>
      <c r="P254" s="58">
        <f>IF($C254="B",INDEX(Batters[[#All],[K P]],MATCH(Table5[[#This Row],[PID]],Batters[[#All],[PID]],0)),INDEX(Table3[[#All],[STM]],MATCH(Table5[[#This Row],[PID]],Table3[[#All],[PID]],0)))</f>
        <v>7</v>
      </c>
      <c r="Q254" s="63">
        <f>IF($C254="B",INDEX(Batters[[#All],[Tot]],MATCH(Table5[[#This Row],[PID]],Batters[[#All],[PID]],0)),INDEX(Table3[[#All],[Tot]],MATCH(Table5[[#This Row],[PID]],Table3[[#All],[PID]],0)))</f>
        <v>40.189428303392049</v>
      </c>
      <c r="R254" s="54">
        <f>IF($C254="B",INDEX(Batters[[#All],[zScore]],MATCH(Table5[[#This Row],[PID]],Batters[[#All],[PID]],0)),INDEX(Table3[[#All],[zScore]],MATCH(Table5[[#This Row],[PID]],Table3[[#All],[PID]],0)))</f>
        <v>0.68477208749081619</v>
      </c>
      <c r="S254" s="60" t="str">
        <f>IF($C254="B",INDEX(Batters[[#All],[DEM]],MATCH(Table5[[#This Row],[PID]],Batters[[#All],[PID]],0)),INDEX(Table3[[#All],[DEM]],MATCH(Table5[[#This Row],[PID]],Table3[[#All],[PID]],0)))</f>
        <v>-</v>
      </c>
      <c r="T254" s="64">
        <f>IF($C254="B",VLOOKUP($A254,Bat!$A$4:$AU$1417,46,FALSE),VLOOKUP($A254,Pit!$A$4:$BD$570,55,FALSE))</f>
        <v>0</v>
      </c>
      <c r="U254" s="52">
        <f>IF($C254="B",VLOOKUP($A254,Bat!$A$4:$BA$1417,47,FALSE),VLOOKUP($A254,Pit!$A$4:$BF$570,56,FALSE))</f>
        <v>0</v>
      </c>
      <c r="V254" s="52">
        <f>IF($C254="B",VLOOKUP($A254,Bat!$A$4:$BA$1417,48,FALSE),VLOOKUP($A254,Pit!$A$4:$BF$570,57,FALSE))</f>
        <v>0</v>
      </c>
      <c r="W254" s="52">
        <f>Table5[[#This Row],[posRnk]]+Table5[[#This Row],[zRnk]]+IF($W$3&lt;&gt;Table5[[#This Row],[Type]],50,0)</f>
        <v>300</v>
      </c>
      <c r="X254" s="53">
        <f>RANK(Table5[[#This Row],[zScore]],Table5[[#All],[zScore]])</f>
        <v>250</v>
      </c>
      <c r="Y254" s="52" t="str">
        <f>IFERROR(INDEX(DraftResults[[#All],[OVR]],MATCH(Table5[[#This Row],[PID]],DraftResults[[#All],[Player ID]],0)),"")</f>
        <v/>
      </c>
      <c r="Z2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4" s="52" t="str">
        <f>IFERROR(INDEX(DraftResults[[#All],[Pick in Round]],MATCH(Table5[[#This Row],[PID]],DraftResults[[#All],[Player ID]],0)),"")</f>
        <v/>
      </c>
      <c r="AB254" s="52" t="str">
        <f>IFERROR(INDEX(DraftResults[[#All],[Team Name]],MATCH(Table5[[#This Row],[PID]],DraftResults[[#All],[Player ID]],0)),"")</f>
        <v/>
      </c>
      <c r="AC254" s="52" t="str">
        <f>IF(Table5[[#This Row],[Ovr]]="","",IF(Table5[[#This Row],[cmbList]]="","",Table5[[#This Row],[cmbList]]-Table5[[#This Row],[Ovr]]))</f>
        <v/>
      </c>
      <c r="AD254" s="56" t="str">
        <f>IF(ISERROR(VLOOKUP($AB254&amp;"-"&amp;$E254&amp;" "&amp;F254,Bonuses!$B$1:$G$1006,4,FALSE)),"",INT(VLOOKUP($AB254&amp;"-"&amp;$E254&amp;" "&amp;$F254,Bonuses!$B$1:$G$1006,4,FALSE)))</f>
        <v/>
      </c>
      <c r="AE2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5" spans="1:31" s="52" customFormat="1" x14ac:dyDescent="0.25">
      <c r="A255" s="52">
        <v>8308</v>
      </c>
      <c r="B255" s="52">
        <f>COUNTIF(Table5[PID],A255)</f>
        <v>1</v>
      </c>
      <c r="C255" s="52" t="str">
        <f>IF(COUNTIF(Table3[[#All],[PID]],A255)&gt;0,"P","B")</f>
        <v>B</v>
      </c>
      <c r="D255" s="61" t="str">
        <f>IF($C255="B",INDEX(Batters[[#All],[POS]],MATCH(Table5[[#This Row],[PID]],Batters[[#All],[PID]],0)),INDEX(Table3[[#All],[POS]],MATCH(Table5[[#This Row],[PID]],Table3[[#All],[PID]],0)))</f>
        <v>3B</v>
      </c>
      <c r="E255" s="54" t="str">
        <f>IF($C255="B",INDEX(Batters[[#All],[First]],MATCH(Table5[[#This Row],[PID]],Batters[[#All],[PID]],0)),INDEX(Table3[[#All],[First]],MATCH(Table5[[#This Row],[PID]],Table3[[#All],[PID]],0)))</f>
        <v>Michael</v>
      </c>
      <c r="F255" s="52" t="str">
        <f>IF($C255="B",INDEX(Batters[[#All],[Last]],MATCH(A255,Batters[[#All],[PID]],0)),INDEX(Table3[[#All],[Last]],MATCH(A255,Table3[[#All],[PID]],0)))</f>
        <v>Whittingham</v>
      </c>
      <c r="G255" s="58">
        <f>IF($C255="B",INDEX(Batters[[#All],[Age]],MATCH(Table5[[#This Row],[PID]],Batters[[#All],[PID]],0)),INDEX(Table3[[#All],[Age]],MATCH(Table5[[#This Row],[PID]],Table3[[#All],[PID]],0)))</f>
        <v>18</v>
      </c>
      <c r="H255" s="54" t="str">
        <f>IF($C255="B",INDEX(Batters[[#All],[B]],MATCH(Table5[[#This Row],[PID]],Batters[[#All],[PID]],0)),INDEX(Table3[[#All],[B]],MATCH(Table5[[#This Row],[PID]],Table3[[#All],[PID]],0)))</f>
        <v>L</v>
      </c>
      <c r="I255" s="54" t="str">
        <f>IF($C255="B",INDEX(Batters[[#All],[T]],MATCH(Table5[[#This Row],[PID]],Batters[[#All],[PID]],0)),INDEX(Table3[[#All],[T]],MATCH(Table5[[#This Row],[PID]],Table3[[#All],[PID]],0)))</f>
        <v>R</v>
      </c>
      <c r="J255" s="54" t="str">
        <f>IF($C255="B",INDEX(Batters[[#All],[WE]],MATCH(Table5[[#This Row],[PID]],Batters[[#All],[PID]],0)),INDEX(Table3[[#All],[WE]],MATCH(Table5[[#This Row],[PID]],Table3[[#All],[PID]],0)))</f>
        <v>High</v>
      </c>
      <c r="K255" s="54" t="str">
        <f>IF($C255="B",INDEX(Batters[[#All],[INT]],MATCH(Table5[[#This Row],[PID]],Batters[[#All],[PID]],0)),INDEX(Table3[[#All],[INT]],MATCH(Table5[[#This Row],[PID]],Table3[[#All],[PID]],0)))</f>
        <v>High</v>
      </c>
      <c r="L255" s="62">
        <f>IF($C255="B",INDEX(Batters[[#All],[CON P]],MATCH(Table5[[#This Row],[PID]],Batters[[#All],[PID]],0)),INDEX(Table3[[#All],[STU P]],MATCH(Table5[[#This Row],[PID]],Table3[[#All],[PID]],0)))</f>
        <v>3</v>
      </c>
      <c r="M255" s="58">
        <f>IF($C255="B",INDEX(Batters[[#All],[GAP P]],MATCH(Table5[[#This Row],[PID]],Batters[[#All],[PID]],0)),INDEX(Table3[[#All],[MOV P]],MATCH(Table5[[#This Row],[PID]],Table3[[#All],[PID]],0)))</f>
        <v>3</v>
      </c>
      <c r="N255" s="58">
        <f>IF($C255="B",INDEX(Batters[[#All],[POW P]],MATCH(Table5[[#This Row],[PID]],Batters[[#All],[PID]],0)),INDEX(Table3[[#All],[CON P]],MATCH(Table5[[#This Row],[PID]],Table3[[#All],[PID]],0)))</f>
        <v>4</v>
      </c>
      <c r="O255" s="58">
        <f>IF($C255="B",INDEX(Batters[[#All],[EYE P]],MATCH(Table5[[#This Row],[PID]],Batters[[#All],[PID]],0)),INDEX(Table3[[#All],[VELO]],MATCH(Table5[[#This Row],[PID]],Table3[[#All],[PID]],0)))</f>
        <v>5</v>
      </c>
      <c r="P255" s="58">
        <f>IF($C255="B",INDEX(Batters[[#All],[K P]],MATCH(Table5[[#This Row],[PID]],Batters[[#All],[PID]],0)),INDEX(Table3[[#All],[STM]],MATCH(Table5[[#This Row],[PID]],Table3[[#All],[PID]],0)))</f>
        <v>3</v>
      </c>
      <c r="Q255" s="63">
        <f>IF($C255="B",INDEX(Batters[[#All],[Tot]],MATCH(Table5[[#This Row],[PID]],Batters[[#All],[PID]],0)),INDEX(Table3[[#All],[Tot]],MATCH(Table5[[#This Row],[PID]],Table3[[#All],[PID]],0)))</f>
        <v>44.20349742546648</v>
      </c>
      <c r="R255" s="54">
        <f>IF($C255="B",INDEX(Batters[[#All],[zScore]],MATCH(Table5[[#This Row],[PID]],Batters[[#All],[PID]],0)),INDEX(Table3[[#All],[zScore]],MATCH(Table5[[#This Row],[PID]],Table3[[#All],[PID]],0)))</f>
        <v>0.67830562618019108</v>
      </c>
      <c r="S255" s="60" t="str">
        <f>IF($C255="B",INDEX(Batters[[#All],[DEM]],MATCH(Table5[[#This Row],[PID]],Batters[[#All],[PID]],0)),INDEX(Table3[[#All],[DEM]],MATCH(Table5[[#This Row],[PID]],Table3[[#All],[PID]],0)))</f>
        <v>$200k</v>
      </c>
      <c r="T255" s="64">
        <f>IF($C255="B",VLOOKUP($A255,Bat!$A$4:$AU$1417,46,FALSE),VLOOKUP($A255,Pit!$A$4:$BD$570,55,FALSE))</f>
        <v>0</v>
      </c>
      <c r="U255" s="52">
        <f>IF($C255="B",VLOOKUP($A255,Bat!$A$4:$BA$1417,47,FALSE),VLOOKUP($A255,Pit!$A$4:$BF$570,56,FALSE))</f>
        <v>0</v>
      </c>
      <c r="V255" s="52">
        <f>IF($C255="B",VLOOKUP($A255,Bat!$A$4:$BA$1417,48,FALSE),VLOOKUP($A255,Pit!$A$4:$BF$570,57,FALSE))</f>
        <v>0</v>
      </c>
      <c r="W255" s="52">
        <f>Table5[[#This Row],[posRnk]]+Table5[[#This Row],[zRnk]]+IF($W$3&lt;&gt;Table5[[#This Row],[Type]],50,0)</f>
        <v>301</v>
      </c>
      <c r="X255" s="53">
        <f>RANK(Table5[[#This Row],[zScore]],Table5[[#All],[zScore]])</f>
        <v>251</v>
      </c>
      <c r="Y255" s="52" t="str">
        <f>IFERROR(INDEX(DraftResults[[#All],[OVR]],MATCH(Table5[[#This Row],[PID]],DraftResults[[#All],[Player ID]],0)),"")</f>
        <v/>
      </c>
      <c r="Z2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5" s="52" t="str">
        <f>IFERROR(INDEX(DraftResults[[#All],[Pick in Round]],MATCH(Table5[[#This Row],[PID]],DraftResults[[#All],[Player ID]],0)),"")</f>
        <v/>
      </c>
      <c r="AB255" s="52" t="str">
        <f>IFERROR(INDEX(DraftResults[[#All],[Team Name]],MATCH(Table5[[#This Row],[PID]],DraftResults[[#All],[Player ID]],0)),"")</f>
        <v/>
      </c>
      <c r="AC255" s="52" t="str">
        <f>IF(Table5[[#This Row],[Ovr]]="","",IF(Table5[[#This Row],[cmbList]]="","",Table5[[#This Row],[cmbList]]-Table5[[#This Row],[Ovr]]))</f>
        <v/>
      </c>
      <c r="AD255" s="56" t="str">
        <f>IF(ISERROR(VLOOKUP($AB255&amp;"-"&amp;$E255&amp;" "&amp;F255,Bonuses!$B$1:$G$1006,4,FALSE)),"",INT(VLOOKUP($AB255&amp;"-"&amp;$E255&amp;" "&amp;$F255,Bonuses!$B$1:$G$1006,4,FALSE)))</f>
        <v/>
      </c>
      <c r="AE2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6" spans="1:31" s="52" customFormat="1" x14ac:dyDescent="0.25">
      <c r="A256" s="52">
        <v>12766</v>
      </c>
      <c r="B256" s="52">
        <f>COUNTIF(Table5[PID],A256)</f>
        <v>1</v>
      </c>
      <c r="C256" s="52" t="str">
        <f>IF(COUNTIF(Table3[[#All],[PID]],A256)&gt;0,"P","B")</f>
        <v>P</v>
      </c>
      <c r="D256" s="61" t="str">
        <f>IF($C256="B",INDEX(Batters[[#All],[POS]],MATCH(Table5[[#This Row],[PID]],Batters[[#All],[PID]],0)),INDEX(Table3[[#All],[POS]],MATCH(Table5[[#This Row],[PID]],Table3[[#All],[PID]],0)))</f>
        <v>SP</v>
      </c>
      <c r="E256" s="54" t="str">
        <f>IF($C256="B",INDEX(Batters[[#All],[First]],MATCH(Table5[[#This Row],[PID]],Batters[[#All],[PID]],0)),INDEX(Table3[[#All],[First]],MATCH(Table5[[#This Row],[PID]],Table3[[#All],[PID]],0)))</f>
        <v>Ken</v>
      </c>
      <c r="F256" s="52" t="str">
        <f>IF($C256="B",INDEX(Batters[[#All],[Last]],MATCH(A256,Batters[[#All],[PID]],0)),INDEX(Table3[[#All],[Last]],MATCH(A256,Table3[[#All],[PID]],0)))</f>
        <v>Sánchez</v>
      </c>
      <c r="G256" s="58">
        <f>IF($C256="B",INDEX(Batters[[#All],[Age]],MATCH(Table5[[#This Row],[PID]],Batters[[#All],[PID]],0)),INDEX(Table3[[#All],[Age]],MATCH(Table5[[#This Row],[PID]],Table3[[#All],[PID]],0)))</f>
        <v>18</v>
      </c>
      <c r="H256" s="54" t="str">
        <f>IF($C256="B",INDEX(Batters[[#All],[B]],MATCH(Table5[[#This Row],[PID]],Batters[[#All],[PID]],0)),INDEX(Table3[[#All],[B]],MATCH(Table5[[#This Row],[PID]],Table3[[#All],[PID]],0)))</f>
        <v>R</v>
      </c>
      <c r="I256" s="54" t="str">
        <f>IF($C256="B",INDEX(Batters[[#All],[T]],MATCH(Table5[[#This Row],[PID]],Batters[[#All],[PID]],0)),INDEX(Table3[[#All],[T]],MATCH(Table5[[#This Row],[PID]],Table3[[#All],[PID]],0)))</f>
        <v>R</v>
      </c>
      <c r="J256" s="54" t="str">
        <f>IF($C256="B",INDEX(Batters[[#All],[WE]],MATCH(Table5[[#This Row],[PID]],Batters[[#All],[PID]],0)),INDEX(Table3[[#All],[WE]],MATCH(Table5[[#This Row],[PID]],Table3[[#All],[PID]],0)))</f>
        <v>Normal</v>
      </c>
      <c r="K256" s="54" t="str">
        <f>IF($C256="B",INDEX(Batters[[#All],[INT]],MATCH(Table5[[#This Row],[PID]],Batters[[#All],[PID]],0)),INDEX(Table3[[#All],[INT]],MATCH(Table5[[#This Row],[PID]],Table3[[#All],[PID]],0)))</f>
        <v>Normal</v>
      </c>
      <c r="L256" s="62">
        <f>IF($C256="B",INDEX(Batters[[#All],[CON P]],MATCH(Table5[[#This Row],[PID]],Batters[[#All],[PID]],0)),INDEX(Table3[[#All],[STU P]],MATCH(Table5[[#This Row],[PID]],Table3[[#All],[PID]],0)))</f>
        <v>4</v>
      </c>
      <c r="M256" s="58">
        <f>IF($C256="B",INDEX(Batters[[#All],[GAP P]],MATCH(Table5[[#This Row],[PID]],Batters[[#All],[PID]],0)),INDEX(Table3[[#All],[MOV P]],MATCH(Table5[[#This Row],[PID]],Table3[[#All],[PID]],0)))</f>
        <v>2</v>
      </c>
      <c r="N256" s="58">
        <f>IF($C256="B",INDEX(Batters[[#All],[POW P]],MATCH(Table5[[#This Row],[PID]],Batters[[#All],[PID]],0)),INDEX(Table3[[#All],[CON P]],MATCH(Table5[[#This Row],[PID]],Table3[[#All],[PID]],0)))</f>
        <v>4</v>
      </c>
      <c r="O256" s="58" t="str">
        <f>IF($C256="B",INDEX(Batters[[#All],[EYE P]],MATCH(Table5[[#This Row],[PID]],Batters[[#All],[PID]],0)),INDEX(Table3[[#All],[VELO]],MATCH(Table5[[#This Row],[PID]],Table3[[#All],[PID]],0)))</f>
        <v>92-94 Mph</v>
      </c>
      <c r="P256" s="58">
        <f>IF($C256="B",INDEX(Batters[[#All],[K P]],MATCH(Table5[[#This Row],[PID]],Batters[[#All],[PID]],0)),INDEX(Table3[[#All],[STM]],MATCH(Table5[[#This Row],[PID]],Table3[[#All],[PID]],0)))</f>
        <v>6</v>
      </c>
      <c r="Q256" s="63">
        <f>IF($C256="B",INDEX(Batters[[#All],[Tot]],MATCH(Table5[[#This Row],[PID]],Batters[[#All],[PID]],0)),INDEX(Table3[[#All],[Tot]],MATCH(Table5[[#This Row],[PID]],Table3[[#All],[PID]],0)))</f>
        <v>40.102353633922391</v>
      </c>
      <c r="R256" s="54">
        <f>IF($C256="B",INDEX(Batters[[#All],[zScore]],MATCH(Table5[[#This Row],[PID]],Batters[[#All],[PID]],0)),INDEX(Table3[[#All],[zScore]],MATCH(Table5[[#This Row],[PID]],Table3[[#All],[PID]],0)))</f>
        <v>0.67678696813548944</v>
      </c>
      <c r="S256" s="60" t="str">
        <f>IF($C256="B",INDEX(Batters[[#All],[DEM]],MATCH(Table5[[#This Row],[PID]],Batters[[#All],[PID]],0)),INDEX(Table3[[#All],[DEM]],MATCH(Table5[[#This Row],[PID]],Table3[[#All],[PID]],0)))</f>
        <v>$240k</v>
      </c>
      <c r="T256" s="64">
        <f>IF($C256="B",VLOOKUP($A256,Bat!$A$4:$AU$1417,46,FALSE),VLOOKUP($A256,Pit!$A$4:$BD$570,55,FALSE))</f>
        <v>0</v>
      </c>
      <c r="U256" s="52">
        <f>IF($C256="B",VLOOKUP($A256,Bat!$A$4:$BA$1417,47,FALSE),VLOOKUP($A256,Pit!$A$4:$BF$570,56,FALSE))</f>
        <v>0</v>
      </c>
      <c r="V256" s="52">
        <f>IF($C256="B",VLOOKUP($A256,Bat!$A$4:$BA$1417,48,FALSE),VLOOKUP($A256,Pit!$A$4:$BF$570,57,FALSE))</f>
        <v>0</v>
      </c>
      <c r="W256" s="52">
        <f>Table5[[#This Row],[posRnk]]+Table5[[#This Row],[zRnk]]+IF($W$3&lt;&gt;Table5[[#This Row],[Type]],50,0)</f>
        <v>302</v>
      </c>
      <c r="X256" s="53">
        <f>RANK(Table5[[#This Row],[zScore]],Table5[[#All],[zScore]])</f>
        <v>252</v>
      </c>
      <c r="Y256" s="52" t="str">
        <f>IFERROR(INDEX(DraftResults[[#All],[OVR]],MATCH(Table5[[#This Row],[PID]],DraftResults[[#All],[Player ID]],0)),"")</f>
        <v/>
      </c>
      <c r="Z2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6" s="52" t="str">
        <f>IFERROR(INDEX(DraftResults[[#All],[Pick in Round]],MATCH(Table5[[#This Row],[PID]],DraftResults[[#All],[Player ID]],0)),"")</f>
        <v/>
      </c>
      <c r="AB256" s="52" t="str">
        <f>IFERROR(INDEX(DraftResults[[#All],[Team Name]],MATCH(Table5[[#This Row],[PID]],DraftResults[[#All],[Player ID]],0)),"")</f>
        <v/>
      </c>
      <c r="AC256" s="52" t="str">
        <f>IF(Table5[[#This Row],[Ovr]]="","",IF(Table5[[#This Row],[cmbList]]="","",Table5[[#This Row],[cmbList]]-Table5[[#This Row],[Ovr]]))</f>
        <v/>
      </c>
      <c r="AD256" s="56" t="str">
        <f>IF(ISERROR(VLOOKUP($AB256&amp;"-"&amp;$E256&amp;" "&amp;F256,Bonuses!$B$1:$G$1006,4,FALSE)),"",INT(VLOOKUP($AB256&amp;"-"&amp;$E256&amp;" "&amp;$F256,Bonuses!$B$1:$G$1006,4,FALSE)))</f>
        <v/>
      </c>
      <c r="AE2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7" spans="1:31" s="52" customFormat="1" x14ac:dyDescent="0.25">
      <c r="A257" s="52">
        <v>14001</v>
      </c>
      <c r="B257" s="52">
        <f>COUNTIF(Table5[PID],A257)</f>
        <v>1</v>
      </c>
      <c r="C257" s="52" t="str">
        <f>IF(COUNTIF(Table3[[#All],[PID]],A257)&gt;0,"P","B")</f>
        <v>B</v>
      </c>
      <c r="D257" s="61" t="str">
        <f>IF($C257="B",INDEX(Batters[[#All],[POS]],MATCH(Table5[[#This Row],[PID]],Batters[[#All],[PID]],0)),INDEX(Table3[[#All],[POS]],MATCH(Table5[[#This Row],[PID]],Table3[[#All],[PID]],0)))</f>
        <v>2B</v>
      </c>
      <c r="E257" s="54" t="str">
        <f>IF($C257="B",INDEX(Batters[[#All],[First]],MATCH(Table5[[#This Row],[PID]],Batters[[#All],[PID]],0)),INDEX(Table3[[#All],[First]],MATCH(Table5[[#This Row],[PID]],Table3[[#All],[PID]],0)))</f>
        <v>Alan</v>
      </c>
      <c r="F257" s="52" t="str">
        <f>IF($C257="B",INDEX(Batters[[#All],[Last]],MATCH(A257,Batters[[#All],[PID]],0)),INDEX(Table3[[#All],[Last]],MATCH(A257,Table3[[#All],[PID]],0)))</f>
        <v>Chiesman</v>
      </c>
      <c r="G257" s="58">
        <f>IF($C257="B",INDEX(Batters[[#All],[Age]],MATCH(Table5[[#This Row],[PID]],Batters[[#All],[PID]],0)),INDEX(Table3[[#All],[Age]],MATCH(Table5[[#This Row],[PID]],Table3[[#All],[PID]],0)))</f>
        <v>18</v>
      </c>
      <c r="H257" s="54" t="str">
        <f>IF($C257="B",INDEX(Batters[[#All],[B]],MATCH(Table5[[#This Row],[PID]],Batters[[#All],[PID]],0)),INDEX(Table3[[#All],[B]],MATCH(Table5[[#This Row],[PID]],Table3[[#All],[PID]],0)))</f>
        <v>R</v>
      </c>
      <c r="I257" s="54" t="str">
        <f>IF($C257="B",INDEX(Batters[[#All],[T]],MATCH(Table5[[#This Row],[PID]],Batters[[#All],[PID]],0)),INDEX(Table3[[#All],[T]],MATCH(Table5[[#This Row],[PID]],Table3[[#All],[PID]],0)))</f>
        <v>R</v>
      </c>
      <c r="J257" s="54" t="str">
        <f>IF($C257="B",INDEX(Batters[[#All],[WE]],MATCH(Table5[[#This Row],[PID]],Batters[[#All],[PID]],0)),INDEX(Table3[[#All],[WE]],MATCH(Table5[[#This Row],[PID]],Table3[[#All],[PID]],0)))</f>
        <v>Normal</v>
      </c>
      <c r="K257" s="54" t="str">
        <f>IF($C257="B",INDEX(Batters[[#All],[INT]],MATCH(Table5[[#This Row],[PID]],Batters[[#All],[PID]],0)),INDEX(Table3[[#All],[INT]],MATCH(Table5[[#This Row],[PID]],Table3[[#All],[PID]],0)))</f>
        <v>Normal</v>
      </c>
      <c r="L257" s="62">
        <f>IF($C257="B",INDEX(Batters[[#All],[CON P]],MATCH(Table5[[#This Row],[PID]],Batters[[#All],[PID]],0)),INDEX(Table3[[#All],[STU P]],MATCH(Table5[[#This Row],[PID]],Table3[[#All],[PID]],0)))</f>
        <v>3</v>
      </c>
      <c r="M257" s="58">
        <f>IF($C257="B",INDEX(Batters[[#All],[GAP P]],MATCH(Table5[[#This Row],[PID]],Batters[[#All],[PID]],0)),INDEX(Table3[[#All],[MOV P]],MATCH(Table5[[#This Row],[PID]],Table3[[#All],[PID]],0)))</f>
        <v>5</v>
      </c>
      <c r="N257" s="58">
        <f>IF($C257="B",INDEX(Batters[[#All],[POW P]],MATCH(Table5[[#This Row],[PID]],Batters[[#All],[PID]],0)),INDEX(Table3[[#All],[CON P]],MATCH(Table5[[#This Row],[PID]],Table3[[#All],[PID]],0)))</f>
        <v>5</v>
      </c>
      <c r="O257" s="58">
        <f>IF($C257="B",INDEX(Batters[[#All],[EYE P]],MATCH(Table5[[#This Row],[PID]],Batters[[#All],[PID]],0)),INDEX(Table3[[#All],[VELO]],MATCH(Table5[[#This Row],[PID]],Table3[[#All],[PID]],0)))</f>
        <v>4</v>
      </c>
      <c r="P257" s="58">
        <f>IF($C257="B",INDEX(Batters[[#All],[K P]],MATCH(Table5[[#This Row],[PID]],Batters[[#All],[PID]],0)),INDEX(Table3[[#All],[STM]],MATCH(Table5[[#This Row],[PID]],Table3[[#All],[PID]],0)))</f>
        <v>5</v>
      </c>
      <c r="Q257" s="63">
        <f>IF($C257="B",INDEX(Batters[[#All],[Tot]],MATCH(Table5[[#This Row],[PID]],Batters[[#All],[PID]],0)),INDEX(Table3[[#All],[Tot]],MATCH(Table5[[#This Row],[PID]],Table3[[#All],[PID]],0)))</f>
        <v>44.164298758758228</v>
      </c>
      <c r="R257" s="54">
        <f>IF($C257="B",INDEX(Batters[[#All],[zScore]],MATCH(Table5[[#This Row],[PID]],Batters[[#All],[PID]],0)),INDEX(Table3[[#All],[zScore]],MATCH(Table5[[#This Row],[PID]],Table3[[#All],[PID]],0)))</f>
        <v>0.67140888129910514</v>
      </c>
      <c r="S257" s="60" t="str">
        <f>IF($C257="B",INDEX(Batters[[#All],[DEM]],MATCH(Table5[[#This Row],[PID]],Batters[[#All],[PID]],0)),INDEX(Table3[[#All],[DEM]],MATCH(Table5[[#This Row],[PID]],Table3[[#All],[PID]],0)))</f>
        <v>$200k</v>
      </c>
      <c r="T257" s="64">
        <f>IF($C257="B",VLOOKUP($A257,Bat!$A$4:$AU$1417,46,FALSE),VLOOKUP($A257,Pit!$A$4:$BD$570,55,FALSE))</f>
        <v>0</v>
      </c>
      <c r="U257" s="52">
        <f>IF($C257="B",VLOOKUP($A257,Bat!$A$4:$BA$1417,47,FALSE),VLOOKUP($A257,Pit!$A$4:$BF$570,56,FALSE))</f>
        <v>0</v>
      </c>
      <c r="V257" s="52">
        <f>IF($C257="B",VLOOKUP($A257,Bat!$A$4:$BA$1417,48,FALSE),VLOOKUP($A257,Pit!$A$4:$BF$570,57,FALSE))</f>
        <v>0</v>
      </c>
      <c r="W257" s="52">
        <f>Table5[[#This Row],[posRnk]]+Table5[[#This Row],[zRnk]]+IF($W$3&lt;&gt;Table5[[#This Row],[Type]],50,0)</f>
        <v>303</v>
      </c>
      <c r="X257" s="53">
        <f>RANK(Table5[[#This Row],[zScore]],Table5[[#All],[zScore]])</f>
        <v>253</v>
      </c>
      <c r="Y257" s="52" t="str">
        <f>IFERROR(INDEX(DraftResults[[#All],[OVR]],MATCH(Table5[[#This Row],[PID]],DraftResults[[#All],[Player ID]],0)),"")</f>
        <v/>
      </c>
      <c r="Z2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7" s="52" t="str">
        <f>IFERROR(INDEX(DraftResults[[#All],[Pick in Round]],MATCH(Table5[[#This Row],[PID]],DraftResults[[#All],[Player ID]],0)),"")</f>
        <v/>
      </c>
      <c r="AB257" s="52" t="str">
        <f>IFERROR(INDEX(DraftResults[[#All],[Team Name]],MATCH(Table5[[#This Row],[PID]],DraftResults[[#All],[Player ID]],0)),"")</f>
        <v/>
      </c>
      <c r="AC257" s="52" t="str">
        <f>IF(Table5[[#This Row],[Ovr]]="","",IF(Table5[[#This Row],[cmbList]]="","",Table5[[#This Row],[cmbList]]-Table5[[#This Row],[Ovr]]))</f>
        <v/>
      </c>
      <c r="AD257" s="56" t="str">
        <f>IF(ISERROR(VLOOKUP($AB257&amp;"-"&amp;$E257&amp;" "&amp;F257,Bonuses!$B$1:$G$1006,4,FALSE)),"",INT(VLOOKUP($AB257&amp;"-"&amp;$E257&amp;" "&amp;$F257,Bonuses!$B$1:$G$1006,4,FALSE)))</f>
        <v/>
      </c>
      <c r="AE2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8" spans="1:31" s="52" customFormat="1" x14ac:dyDescent="0.25">
      <c r="A258" s="52">
        <v>8214</v>
      </c>
      <c r="B258" s="52">
        <f>COUNTIF(Table5[PID],A258)</f>
        <v>1</v>
      </c>
      <c r="C258" s="52" t="str">
        <f>IF(COUNTIF(Table3[[#All],[PID]],A258)&gt;0,"P","B")</f>
        <v>P</v>
      </c>
      <c r="D258" s="61" t="str">
        <f>IF($C258="B",INDEX(Batters[[#All],[POS]],MATCH(Table5[[#This Row],[PID]],Batters[[#All],[PID]],0)),INDEX(Table3[[#All],[POS]],MATCH(Table5[[#This Row],[PID]],Table3[[#All],[PID]],0)))</f>
        <v>RP</v>
      </c>
      <c r="E258" s="54" t="str">
        <f>IF($C258="B",INDEX(Batters[[#All],[First]],MATCH(Table5[[#This Row],[PID]],Batters[[#All],[PID]],0)),INDEX(Table3[[#All],[First]],MATCH(Table5[[#This Row],[PID]],Table3[[#All],[PID]],0)))</f>
        <v>Mike</v>
      </c>
      <c r="F258" s="52" t="str">
        <f>IF($C258="B",INDEX(Batters[[#All],[Last]],MATCH(A258,Batters[[#All],[PID]],0)),INDEX(Table3[[#All],[Last]],MATCH(A258,Table3[[#All],[PID]],0)))</f>
        <v>Greenhaw</v>
      </c>
      <c r="G258" s="58">
        <f>IF($C258="B",INDEX(Batters[[#All],[Age]],MATCH(Table5[[#This Row],[PID]],Batters[[#All],[PID]],0)),INDEX(Table3[[#All],[Age]],MATCH(Table5[[#This Row],[PID]],Table3[[#All],[PID]],0)))</f>
        <v>18</v>
      </c>
      <c r="H258" s="54" t="str">
        <f>IF($C258="B",INDEX(Batters[[#All],[B]],MATCH(Table5[[#This Row],[PID]],Batters[[#All],[PID]],0)),INDEX(Table3[[#All],[B]],MATCH(Table5[[#This Row],[PID]],Table3[[#All],[PID]],0)))</f>
        <v>R</v>
      </c>
      <c r="I258" s="54" t="str">
        <f>IF($C258="B",INDEX(Batters[[#All],[T]],MATCH(Table5[[#This Row],[PID]],Batters[[#All],[PID]],0)),INDEX(Table3[[#All],[T]],MATCH(Table5[[#This Row],[PID]],Table3[[#All],[PID]],0)))</f>
        <v>R</v>
      </c>
      <c r="J258" s="54" t="str">
        <f>IF($C258="B",INDEX(Batters[[#All],[WE]],MATCH(Table5[[#This Row],[PID]],Batters[[#All],[PID]],0)),INDEX(Table3[[#All],[WE]],MATCH(Table5[[#This Row],[PID]],Table3[[#All],[PID]],0)))</f>
        <v>Normal</v>
      </c>
      <c r="K258" s="54" t="str">
        <f>IF($C258="B",INDEX(Batters[[#All],[INT]],MATCH(Table5[[#This Row],[PID]],Batters[[#All],[PID]],0)),INDEX(Table3[[#All],[INT]],MATCH(Table5[[#This Row],[PID]],Table3[[#All],[PID]],0)))</f>
        <v>Normal</v>
      </c>
      <c r="L258" s="62">
        <f>IF($C258="B",INDEX(Batters[[#All],[CON P]],MATCH(Table5[[#This Row],[PID]],Batters[[#All],[PID]],0)),INDEX(Table3[[#All],[STU P]],MATCH(Table5[[#This Row],[PID]],Table3[[#All],[PID]],0)))</f>
        <v>5</v>
      </c>
      <c r="M258" s="58">
        <f>IF($C258="B",INDEX(Batters[[#All],[GAP P]],MATCH(Table5[[#This Row],[PID]],Batters[[#All],[PID]],0)),INDEX(Table3[[#All],[MOV P]],MATCH(Table5[[#This Row],[PID]],Table3[[#All],[PID]],0)))</f>
        <v>2</v>
      </c>
      <c r="N258" s="58">
        <f>IF($C258="B",INDEX(Batters[[#All],[POW P]],MATCH(Table5[[#This Row],[PID]],Batters[[#All],[PID]],0)),INDEX(Table3[[#All],[CON P]],MATCH(Table5[[#This Row],[PID]],Table3[[#All],[PID]],0)))</f>
        <v>3</v>
      </c>
      <c r="O258" s="58" t="str">
        <f>IF($C258="B",INDEX(Batters[[#All],[EYE P]],MATCH(Table5[[#This Row],[PID]],Batters[[#All],[PID]],0)),INDEX(Table3[[#All],[VELO]],MATCH(Table5[[#This Row],[PID]],Table3[[#All],[PID]],0)))</f>
        <v>89-91 Mph</v>
      </c>
      <c r="P258" s="58">
        <f>IF($C258="B",INDEX(Batters[[#All],[K P]],MATCH(Table5[[#This Row],[PID]],Batters[[#All],[PID]],0)),INDEX(Table3[[#All],[STM]],MATCH(Table5[[#This Row],[PID]],Table3[[#All],[PID]],0)))</f>
        <v>6</v>
      </c>
      <c r="Q258" s="63">
        <f>IF($C258="B",INDEX(Batters[[#All],[Tot]],MATCH(Table5[[#This Row],[PID]],Batters[[#All],[PID]],0)),INDEX(Table3[[#All],[Tot]],MATCH(Table5[[#This Row],[PID]],Table3[[#All],[PID]],0)))</f>
        <v>39.904833423796127</v>
      </c>
      <c r="R258" s="54">
        <f>IF($C258="B",INDEX(Batters[[#All],[zScore]],MATCH(Table5[[#This Row],[PID]],Batters[[#All],[PID]],0)),INDEX(Table3[[#All],[zScore]],MATCH(Table5[[#This Row],[PID]],Table3[[#All],[PID]],0)))</f>
        <v>0.65867352064778995</v>
      </c>
      <c r="S258" s="60" t="str">
        <f>IF($C258="B",INDEX(Batters[[#All],[DEM]],MATCH(Table5[[#This Row],[PID]],Batters[[#All],[PID]],0)),INDEX(Table3[[#All],[DEM]],MATCH(Table5[[#This Row],[PID]],Table3[[#All],[PID]],0)))</f>
        <v>$65k</v>
      </c>
      <c r="T258" s="64">
        <f>IF($C258="B",VLOOKUP($A258,Bat!$A$4:$AU$1417,46,FALSE),VLOOKUP($A258,Pit!$A$4:$BD$570,55,FALSE))</f>
        <v>0</v>
      </c>
      <c r="U258" s="52">
        <f>IF($C258="B",VLOOKUP($A258,Bat!$A$4:$BA$1417,47,FALSE),VLOOKUP($A258,Pit!$A$4:$BF$570,56,FALSE))</f>
        <v>0</v>
      </c>
      <c r="V258" s="52">
        <f>IF($C258="B",VLOOKUP($A258,Bat!$A$4:$BA$1417,48,FALSE),VLOOKUP($A258,Pit!$A$4:$BF$570,57,FALSE))</f>
        <v>0</v>
      </c>
      <c r="W258" s="52">
        <f>Table5[[#This Row],[posRnk]]+Table5[[#This Row],[zRnk]]+IF($W$3&lt;&gt;Table5[[#This Row],[Type]],50,0)</f>
        <v>304</v>
      </c>
      <c r="X258" s="53">
        <f>RANK(Table5[[#This Row],[zScore]],Table5[[#All],[zScore]])</f>
        <v>254</v>
      </c>
      <c r="Y258" s="52" t="str">
        <f>IFERROR(INDEX(DraftResults[[#All],[OVR]],MATCH(Table5[[#This Row],[PID]],DraftResults[[#All],[Player ID]],0)),"")</f>
        <v/>
      </c>
      <c r="Z2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8" s="52" t="str">
        <f>IFERROR(INDEX(DraftResults[[#All],[Pick in Round]],MATCH(Table5[[#This Row],[PID]],DraftResults[[#All],[Player ID]],0)),"")</f>
        <v/>
      </c>
      <c r="AB258" s="52" t="str">
        <f>IFERROR(INDEX(DraftResults[[#All],[Team Name]],MATCH(Table5[[#This Row],[PID]],DraftResults[[#All],[Player ID]],0)),"")</f>
        <v/>
      </c>
      <c r="AC258" s="52" t="str">
        <f>IF(Table5[[#This Row],[Ovr]]="","",IF(Table5[[#This Row],[cmbList]]="","",Table5[[#This Row],[cmbList]]-Table5[[#This Row],[Ovr]]))</f>
        <v/>
      </c>
      <c r="AD258" s="56" t="str">
        <f>IF(ISERROR(VLOOKUP($AB258&amp;"-"&amp;$E258&amp;" "&amp;F258,Bonuses!$B$1:$G$1006,4,FALSE)),"",INT(VLOOKUP($AB258&amp;"-"&amp;$E258&amp;" "&amp;$F258,Bonuses!$B$1:$G$1006,4,FALSE)))</f>
        <v/>
      </c>
      <c r="AE2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9" spans="1:31" s="52" customFormat="1" x14ac:dyDescent="0.25">
      <c r="A259" s="52">
        <v>5978</v>
      </c>
      <c r="B259" s="52">
        <f>COUNTIF(Table5[PID],A259)</f>
        <v>1</v>
      </c>
      <c r="C259" s="52" t="str">
        <f>IF(COUNTIF(Table3[[#All],[PID]],A259)&gt;0,"P","B")</f>
        <v>P</v>
      </c>
      <c r="D259" s="61" t="str">
        <f>IF($C259="B",INDEX(Batters[[#All],[POS]],MATCH(Table5[[#This Row],[PID]],Batters[[#All],[PID]],0)),INDEX(Table3[[#All],[POS]],MATCH(Table5[[#This Row],[PID]],Table3[[#All],[PID]],0)))</f>
        <v>SP</v>
      </c>
      <c r="E259" s="54" t="str">
        <f>IF($C259="B",INDEX(Batters[[#All],[First]],MATCH(Table5[[#This Row],[PID]],Batters[[#All],[PID]],0)),INDEX(Table3[[#All],[First]],MATCH(Table5[[#This Row],[PID]],Table3[[#All],[PID]],0)))</f>
        <v>Raúl</v>
      </c>
      <c r="F259" s="52" t="str">
        <f>IF($C259="B",INDEX(Batters[[#All],[Last]],MATCH(A259,Batters[[#All],[PID]],0)),INDEX(Table3[[#All],[Last]],MATCH(A259,Table3[[#All],[PID]],0)))</f>
        <v>Martínez</v>
      </c>
      <c r="G259" s="58">
        <f>IF($C259="B",INDEX(Batters[[#All],[Age]],MATCH(Table5[[#This Row],[PID]],Batters[[#All],[PID]],0)),INDEX(Table3[[#All],[Age]],MATCH(Table5[[#This Row],[PID]],Table3[[#All],[PID]],0)))</f>
        <v>21</v>
      </c>
      <c r="H259" s="54" t="str">
        <f>IF($C259="B",INDEX(Batters[[#All],[B]],MATCH(Table5[[#This Row],[PID]],Batters[[#All],[PID]],0)),INDEX(Table3[[#All],[B]],MATCH(Table5[[#This Row],[PID]],Table3[[#All],[PID]],0)))</f>
        <v>R</v>
      </c>
      <c r="I259" s="54" t="str">
        <f>IF($C259="B",INDEX(Batters[[#All],[T]],MATCH(Table5[[#This Row],[PID]],Batters[[#All],[PID]],0)),INDEX(Table3[[#All],[T]],MATCH(Table5[[#This Row],[PID]],Table3[[#All],[PID]],0)))</f>
        <v>R</v>
      </c>
      <c r="J259" s="54" t="str">
        <f>IF($C259="B",INDEX(Batters[[#All],[WE]],MATCH(Table5[[#This Row],[PID]],Batters[[#All],[PID]],0)),INDEX(Table3[[#All],[WE]],MATCH(Table5[[#This Row],[PID]],Table3[[#All],[PID]],0)))</f>
        <v>Normal</v>
      </c>
      <c r="K259" s="54" t="str">
        <f>IF($C259="B",INDEX(Batters[[#All],[INT]],MATCH(Table5[[#This Row],[PID]],Batters[[#All],[PID]],0)),INDEX(Table3[[#All],[INT]],MATCH(Table5[[#This Row],[PID]],Table3[[#All],[PID]],0)))</f>
        <v>Normal</v>
      </c>
      <c r="L259" s="62">
        <f>IF($C259="B",INDEX(Batters[[#All],[CON P]],MATCH(Table5[[#This Row],[PID]],Batters[[#All],[PID]],0)),INDEX(Table3[[#All],[STU P]],MATCH(Table5[[#This Row],[PID]],Table3[[#All],[PID]],0)))</f>
        <v>5</v>
      </c>
      <c r="M259" s="58">
        <f>IF($C259="B",INDEX(Batters[[#All],[GAP P]],MATCH(Table5[[#This Row],[PID]],Batters[[#All],[PID]],0)),INDEX(Table3[[#All],[MOV P]],MATCH(Table5[[#This Row],[PID]],Table3[[#All],[PID]],0)))</f>
        <v>2</v>
      </c>
      <c r="N259" s="58">
        <f>IF($C259="B",INDEX(Batters[[#All],[POW P]],MATCH(Table5[[#This Row],[PID]],Batters[[#All],[PID]],0)),INDEX(Table3[[#All],[CON P]],MATCH(Table5[[#This Row],[PID]],Table3[[#All],[PID]],0)))</f>
        <v>4</v>
      </c>
      <c r="O259" s="58" t="str">
        <f>IF($C259="B",INDEX(Batters[[#All],[EYE P]],MATCH(Table5[[#This Row],[PID]],Batters[[#All],[PID]],0)),INDEX(Table3[[#All],[VELO]],MATCH(Table5[[#This Row],[PID]],Table3[[#All],[PID]],0)))</f>
        <v>94-96 Mph</v>
      </c>
      <c r="P259" s="58">
        <f>IF($C259="B",INDEX(Batters[[#All],[K P]],MATCH(Table5[[#This Row],[PID]],Batters[[#All],[PID]],0)),INDEX(Table3[[#All],[STM]],MATCH(Table5[[#This Row],[PID]],Table3[[#All],[PID]],0)))</f>
        <v>10</v>
      </c>
      <c r="Q259" s="63">
        <f>IF($C259="B",INDEX(Batters[[#All],[Tot]],MATCH(Table5[[#This Row],[PID]],Batters[[#All],[PID]],0)),INDEX(Table3[[#All],[Tot]],MATCH(Table5[[#This Row],[PID]],Table3[[#All],[PID]],0)))</f>
        <v>39.814315791320638</v>
      </c>
      <c r="R259" s="54">
        <f>IF($C259="B",INDEX(Batters[[#All],[zScore]],MATCH(Table5[[#This Row],[PID]],Batters[[#All],[PID]],0)),INDEX(Table3[[#All],[zScore]],MATCH(Table5[[#This Row],[PID]],Table3[[#All],[PID]],0)))</f>
        <v>0.65037266686929529</v>
      </c>
      <c r="S259" s="60" t="str">
        <f>IF($C259="B",INDEX(Batters[[#All],[DEM]],MATCH(Table5[[#This Row],[PID]],Batters[[#All],[PID]],0)),INDEX(Table3[[#All],[DEM]],MATCH(Table5[[#This Row],[PID]],Table3[[#All],[PID]],0)))</f>
        <v>$240k</v>
      </c>
      <c r="T259" s="64">
        <f>IF($C259="B",VLOOKUP($A259,Bat!$A$4:$AU$1417,46,FALSE),VLOOKUP($A259,Pit!$A$4:$BD$570,55,FALSE))</f>
        <v>0</v>
      </c>
      <c r="U259" s="52">
        <f>IF($C259="B",VLOOKUP($A259,Bat!$A$4:$BA$1417,47,FALSE),VLOOKUP($A259,Pit!$A$4:$BF$570,56,FALSE))</f>
        <v>0</v>
      </c>
      <c r="V259" s="52">
        <f>IF($C259="B",VLOOKUP($A259,Bat!$A$4:$BA$1417,48,FALSE),VLOOKUP($A259,Pit!$A$4:$BF$570,57,FALSE))</f>
        <v>0</v>
      </c>
      <c r="W259" s="52">
        <f>Table5[[#This Row],[posRnk]]+Table5[[#This Row],[zRnk]]+IF($W$3&lt;&gt;Table5[[#This Row],[Type]],50,0)</f>
        <v>305</v>
      </c>
      <c r="X259" s="53">
        <f>RANK(Table5[[#This Row],[zScore]],Table5[[#All],[zScore]])</f>
        <v>255</v>
      </c>
      <c r="Y259" s="52" t="str">
        <f>IFERROR(INDEX(DraftResults[[#All],[OVR]],MATCH(Table5[[#This Row],[PID]],DraftResults[[#All],[Player ID]],0)),"")</f>
        <v/>
      </c>
      <c r="Z2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9" s="52" t="str">
        <f>IFERROR(INDEX(DraftResults[[#All],[Pick in Round]],MATCH(Table5[[#This Row],[PID]],DraftResults[[#All],[Player ID]],0)),"")</f>
        <v/>
      </c>
      <c r="AB259" s="52" t="str">
        <f>IFERROR(INDEX(DraftResults[[#All],[Team Name]],MATCH(Table5[[#This Row],[PID]],DraftResults[[#All],[Player ID]],0)),"")</f>
        <v/>
      </c>
      <c r="AC259" s="52" t="str">
        <f>IF(Table5[[#This Row],[Ovr]]="","",IF(Table5[[#This Row],[cmbList]]="","",Table5[[#This Row],[cmbList]]-Table5[[#This Row],[Ovr]]))</f>
        <v/>
      </c>
      <c r="AD259" s="56" t="str">
        <f>IF(ISERROR(VLOOKUP($AB259&amp;"-"&amp;$E259&amp;" "&amp;F259,Bonuses!$B$1:$G$1006,4,FALSE)),"",INT(VLOOKUP($AB259&amp;"-"&amp;$E259&amp;" "&amp;$F259,Bonuses!$B$1:$G$1006,4,FALSE)))</f>
        <v/>
      </c>
      <c r="AE2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0" spans="1:31" s="52" customFormat="1" x14ac:dyDescent="0.25">
      <c r="A260" s="52">
        <v>12192</v>
      </c>
      <c r="B260" s="52">
        <f>COUNTIF(Table5[PID],A260)</f>
        <v>1</v>
      </c>
      <c r="C260" s="52" t="str">
        <f>IF(COUNTIF(Table3[[#All],[PID]],A260)&gt;0,"P","B")</f>
        <v>P</v>
      </c>
      <c r="D260" s="61" t="str">
        <f>IF($C260="B",INDEX(Batters[[#All],[POS]],MATCH(Table5[[#This Row],[PID]],Batters[[#All],[PID]],0)),INDEX(Table3[[#All],[POS]],MATCH(Table5[[#This Row],[PID]],Table3[[#All],[PID]],0)))</f>
        <v>SP</v>
      </c>
      <c r="E260" s="54" t="str">
        <f>IF($C260="B",INDEX(Batters[[#All],[First]],MATCH(Table5[[#This Row],[PID]],Batters[[#All],[PID]],0)),INDEX(Table3[[#All],[First]],MATCH(Table5[[#This Row],[PID]],Table3[[#All],[PID]],0)))</f>
        <v>Tommy</v>
      </c>
      <c r="F260" s="52" t="str">
        <f>IF($C260="B",INDEX(Batters[[#All],[Last]],MATCH(A260,Batters[[#All],[PID]],0)),INDEX(Table3[[#All],[Last]],MATCH(A260,Table3[[#All],[PID]],0)))</f>
        <v>Martínez</v>
      </c>
      <c r="G260" s="58">
        <f>IF($C260="B",INDEX(Batters[[#All],[Age]],MATCH(Table5[[#This Row],[PID]],Batters[[#All],[PID]],0)),INDEX(Table3[[#All],[Age]],MATCH(Table5[[#This Row],[PID]],Table3[[#All],[PID]],0)))</f>
        <v>21</v>
      </c>
      <c r="H260" s="54" t="str">
        <f>IF($C260="B",INDEX(Batters[[#All],[B]],MATCH(Table5[[#This Row],[PID]],Batters[[#All],[PID]],0)),INDEX(Table3[[#All],[B]],MATCH(Table5[[#This Row],[PID]],Table3[[#All],[PID]],0)))</f>
        <v>S</v>
      </c>
      <c r="I260" s="54" t="str">
        <f>IF($C260="B",INDEX(Batters[[#All],[T]],MATCH(Table5[[#This Row],[PID]],Batters[[#All],[PID]],0)),INDEX(Table3[[#All],[T]],MATCH(Table5[[#This Row],[PID]],Table3[[#All],[PID]],0)))</f>
        <v>R</v>
      </c>
      <c r="J260" s="54" t="str">
        <f>IF($C260="B",INDEX(Batters[[#All],[WE]],MATCH(Table5[[#This Row],[PID]],Batters[[#All],[PID]],0)),INDEX(Table3[[#All],[WE]],MATCH(Table5[[#This Row],[PID]],Table3[[#All],[PID]],0)))</f>
        <v>Normal</v>
      </c>
      <c r="K260" s="54" t="str">
        <f>IF($C260="B",INDEX(Batters[[#All],[INT]],MATCH(Table5[[#This Row],[PID]],Batters[[#All],[PID]],0)),INDEX(Table3[[#All],[INT]],MATCH(Table5[[#This Row],[PID]],Table3[[#All],[PID]],0)))</f>
        <v>Normal</v>
      </c>
      <c r="L260" s="62">
        <f>IF($C260="B",INDEX(Batters[[#All],[CON P]],MATCH(Table5[[#This Row],[PID]],Batters[[#All],[PID]],0)),INDEX(Table3[[#All],[STU P]],MATCH(Table5[[#This Row],[PID]],Table3[[#All],[PID]],0)))</f>
        <v>5</v>
      </c>
      <c r="M260" s="58">
        <f>IF($C260="B",INDEX(Batters[[#All],[GAP P]],MATCH(Table5[[#This Row],[PID]],Batters[[#All],[PID]],0)),INDEX(Table3[[#All],[MOV P]],MATCH(Table5[[#This Row],[PID]],Table3[[#All],[PID]],0)))</f>
        <v>3</v>
      </c>
      <c r="N260" s="58">
        <f>IF($C260="B",INDEX(Batters[[#All],[POW P]],MATCH(Table5[[#This Row],[PID]],Batters[[#All],[PID]],0)),INDEX(Table3[[#All],[CON P]],MATCH(Table5[[#This Row],[PID]],Table3[[#All],[PID]],0)))</f>
        <v>3</v>
      </c>
      <c r="O260" s="58" t="str">
        <f>IF($C260="B",INDEX(Batters[[#All],[EYE P]],MATCH(Table5[[#This Row],[PID]],Batters[[#All],[PID]],0)),INDEX(Table3[[#All],[VELO]],MATCH(Table5[[#This Row],[PID]],Table3[[#All],[PID]],0)))</f>
        <v>91-93 Mph</v>
      </c>
      <c r="P260" s="58">
        <f>IF($C260="B",INDEX(Batters[[#All],[K P]],MATCH(Table5[[#This Row],[PID]],Batters[[#All],[PID]],0)),INDEX(Table3[[#All],[STM]],MATCH(Table5[[#This Row],[PID]],Table3[[#All],[PID]],0)))</f>
        <v>10</v>
      </c>
      <c r="Q260" s="63">
        <f>IF($C260="B",INDEX(Batters[[#All],[Tot]],MATCH(Table5[[#This Row],[PID]],Batters[[#All],[PID]],0)),INDEX(Table3[[#All],[Tot]],MATCH(Table5[[#This Row],[PID]],Table3[[#All],[PID]],0)))</f>
        <v>39.792421619370323</v>
      </c>
      <c r="R260" s="54">
        <f>IF($C260="B",INDEX(Batters[[#All],[zScore]],MATCH(Table5[[#This Row],[PID]],Batters[[#All],[PID]],0)),INDEX(Table3[[#All],[zScore]],MATCH(Table5[[#This Row],[PID]],Table3[[#All],[PID]],0)))</f>
        <v>0.64836487772379381</v>
      </c>
      <c r="S260" s="60" t="str">
        <f>IF($C260="B",INDEX(Batters[[#All],[DEM]],MATCH(Table5[[#This Row],[PID]],Batters[[#All],[PID]],0)),INDEX(Table3[[#All],[DEM]],MATCH(Table5[[#This Row],[PID]],Table3[[#All],[PID]],0)))</f>
        <v>-</v>
      </c>
      <c r="T260" s="64">
        <f>IF($C260="B",VLOOKUP($A260,Bat!$A$4:$AU$1417,46,FALSE),VLOOKUP($A260,Pit!$A$4:$BD$570,55,FALSE))</f>
        <v>0</v>
      </c>
      <c r="U260" s="52">
        <f>IF($C260="B",VLOOKUP($A260,Bat!$A$4:$BA$1417,47,FALSE),VLOOKUP($A260,Pit!$A$4:$BF$570,56,FALSE))</f>
        <v>0</v>
      </c>
      <c r="V260" s="52">
        <f>IF($C260="B",VLOOKUP($A260,Bat!$A$4:$BA$1417,48,FALSE),VLOOKUP($A260,Pit!$A$4:$BF$570,57,FALSE))</f>
        <v>0</v>
      </c>
      <c r="W260" s="52">
        <f>Table5[[#This Row],[posRnk]]+Table5[[#This Row],[zRnk]]+IF($W$3&lt;&gt;Table5[[#This Row],[Type]],50,0)</f>
        <v>306</v>
      </c>
      <c r="X260" s="53">
        <f>RANK(Table5[[#This Row],[zScore]],Table5[[#All],[zScore]])</f>
        <v>256</v>
      </c>
      <c r="Y260" s="52" t="str">
        <f>IFERROR(INDEX(DraftResults[[#All],[OVR]],MATCH(Table5[[#This Row],[PID]],DraftResults[[#All],[Player ID]],0)),"")</f>
        <v/>
      </c>
      <c r="Z2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0" s="52" t="str">
        <f>IFERROR(INDEX(DraftResults[[#All],[Pick in Round]],MATCH(Table5[[#This Row],[PID]],DraftResults[[#All],[Player ID]],0)),"")</f>
        <v/>
      </c>
      <c r="AB260" s="52" t="str">
        <f>IFERROR(INDEX(DraftResults[[#All],[Team Name]],MATCH(Table5[[#This Row],[PID]],DraftResults[[#All],[Player ID]],0)),"")</f>
        <v/>
      </c>
      <c r="AC260" s="52" t="str">
        <f>IF(Table5[[#This Row],[Ovr]]="","",IF(Table5[[#This Row],[cmbList]]="","",Table5[[#This Row],[cmbList]]-Table5[[#This Row],[Ovr]]))</f>
        <v/>
      </c>
      <c r="AD260" s="56" t="str">
        <f>IF(ISERROR(VLOOKUP($AB260&amp;"-"&amp;$E260&amp;" "&amp;F260,Bonuses!$B$1:$G$1006,4,FALSE)),"",INT(VLOOKUP($AB260&amp;"-"&amp;$E260&amp;" "&amp;$F260,Bonuses!$B$1:$G$1006,4,FALSE)))</f>
        <v/>
      </c>
      <c r="AE2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1" spans="1:31" s="52" customFormat="1" x14ac:dyDescent="0.25">
      <c r="A261" s="52">
        <v>14747</v>
      </c>
      <c r="B261" s="52">
        <f>COUNTIF(Table5[PID],A261)</f>
        <v>1</v>
      </c>
      <c r="C261" s="52" t="str">
        <f>IF(COUNTIF(Table3[[#All],[PID]],A261)&gt;0,"P","B")</f>
        <v>B</v>
      </c>
      <c r="D261" s="61" t="str">
        <f>IF($C261="B",INDEX(Batters[[#All],[POS]],MATCH(Table5[[#This Row],[PID]],Batters[[#All],[PID]],0)),INDEX(Table3[[#All],[POS]],MATCH(Table5[[#This Row],[PID]],Table3[[#All],[PID]],0)))</f>
        <v>1B</v>
      </c>
      <c r="E261" s="54" t="str">
        <f>IF($C261="B",INDEX(Batters[[#All],[First]],MATCH(Table5[[#This Row],[PID]],Batters[[#All],[PID]],0)),INDEX(Table3[[#All],[First]],MATCH(Table5[[#This Row],[PID]],Table3[[#All],[PID]],0)))</f>
        <v>Jamy</v>
      </c>
      <c r="F261" s="52" t="str">
        <f>IF($C261="B",INDEX(Batters[[#All],[Last]],MATCH(A261,Batters[[#All],[PID]],0)),INDEX(Table3[[#All],[Last]],MATCH(A261,Table3[[#All],[PID]],0)))</f>
        <v>Aalbers</v>
      </c>
      <c r="G261" s="58">
        <f>IF($C261="B",INDEX(Batters[[#All],[Age]],MATCH(Table5[[#This Row],[PID]],Batters[[#All],[PID]],0)),INDEX(Table3[[#All],[Age]],MATCH(Table5[[#This Row],[PID]],Table3[[#All],[PID]],0)))</f>
        <v>18</v>
      </c>
      <c r="H261" s="54" t="str">
        <f>IF($C261="B",INDEX(Batters[[#All],[B]],MATCH(Table5[[#This Row],[PID]],Batters[[#All],[PID]],0)),INDEX(Table3[[#All],[B]],MATCH(Table5[[#This Row],[PID]],Table3[[#All],[PID]],0)))</f>
        <v>S</v>
      </c>
      <c r="I261" s="54" t="str">
        <f>IF($C261="B",INDEX(Batters[[#All],[T]],MATCH(Table5[[#This Row],[PID]],Batters[[#All],[PID]],0)),INDEX(Table3[[#All],[T]],MATCH(Table5[[#This Row],[PID]],Table3[[#All],[PID]],0)))</f>
        <v>R</v>
      </c>
      <c r="J261" s="54" t="str">
        <f>IF($C261="B",INDEX(Batters[[#All],[WE]],MATCH(Table5[[#This Row],[PID]],Batters[[#All],[PID]],0)),INDEX(Table3[[#All],[WE]],MATCH(Table5[[#This Row],[PID]],Table3[[#All],[PID]],0)))</f>
        <v>Low</v>
      </c>
      <c r="K261" s="54" t="str">
        <f>IF($C261="B",INDEX(Batters[[#All],[INT]],MATCH(Table5[[#This Row],[PID]],Batters[[#All],[PID]],0)),INDEX(Table3[[#All],[INT]],MATCH(Table5[[#This Row],[PID]],Table3[[#All],[PID]],0)))</f>
        <v>Low</v>
      </c>
      <c r="L261" s="62">
        <f>IF($C261="B",INDEX(Batters[[#All],[CON P]],MATCH(Table5[[#This Row],[PID]],Batters[[#All],[PID]],0)),INDEX(Table3[[#All],[STU P]],MATCH(Table5[[#This Row],[PID]],Table3[[#All],[PID]],0)))</f>
        <v>3</v>
      </c>
      <c r="M261" s="58">
        <f>IF($C261="B",INDEX(Batters[[#All],[GAP P]],MATCH(Table5[[#This Row],[PID]],Batters[[#All],[PID]],0)),INDEX(Table3[[#All],[MOV P]],MATCH(Table5[[#This Row],[PID]],Table3[[#All],[PID]],0)))</f>
        <v>5</v>
      </c>
      <c r="N261" s="58">
        <f>IF($C261="B",INDEX(Batters[[#All],[POW P]],MATCH(Table5[[#This Row],[PID]],Batters[[#All],[PID]],0)),INDEX(Table3[[#All],[CON P]],MATCH(Table5[[#This Row],[PID]],Table3[[#All],[PID]],0)))</f>
        <v>6</v>
      </c>
      <c r="O261" s="58">
        <f>IF($C261="B",INDEX(Batters[[#All],[EYE P]],MATCH(Table5[[#This Row],[PID]],Batters[[#All],[PID]],0)),INDEX(Table3[[#All],[VELO]],MATCH(Table5[[#This Row],[PID]],Table3[[#All],[PID]],0)))</f>
        <v>5</v>
      </c>
      <c r="P261" s="58">
        <f>IF($C261="B",INDEX(Batters[[#All],[K P]],MATCH(Table5[[#This Row],[PID]],Batters[[#All],[PID]],0)),INDEX(Table3[[#All],[STM]],MATCH(Table5[[#This Row],[PID]],Table3[[#All],[PID]],0)))</f>
        <v>2</v>
      </c>
      <c r="Q261" s="63">
        <f>IF($C261="B",INDEX(Batters[[#All],[Tot]],MATCH(Table5[[#This Row],[PID]],Batters[[#All],[PID]],0)),INDEX(Table3[[#All],[Tot]],MATCH(Table5[[#This Row],[PID]],Table3[[#All],[PID]],0)))</f>
        <v>44.022293119114934</v>
      </c>
      <c r="R261" s="54">
        <f>IF($C261="B",INDEX(Batters[[#All],[zScore]],MATCH(Table5[[#This Row],[PID]],Batters[[#All],[PID]],0)),INDEX(Table3[[#All],[zScore]],MATCH(Table5[[#This Row],[PID]],Table3[[#All],[PID]],0)))</f>
        <v>0.64642393281642996</v>
      </c>
      <c r="S261" s="60" t="str">
        <f>IF($C261="B",INDEX(Batters[[#All],[DEM]],MATCH(Table5[[#This Row],[PID]],Batters[[#All],[PID]],0)),INDEX(Table3[[#All],[DEM]],MATCH(Table5[[#This Row],[PID]],Table3[[#All],[PID]],0)))</f>
        <v>$190k</v>
      </c>
      <c r="T261" s="64">
        <f>IF($C261="B",VLOOKUP($A261,Bat!$A$4:$AU$1417,46,FALSE),VLOOKUP($A261,Pit!$A$4:$BD$570,55,FALSE))</f>
        <v>0</v>
      </c>
      <c r="U261" s="52">
        <f>IF($C261="B",VLOOKUP($A261,Bat!$A$4:$BA$1417,47,FALSE),VLOOKUP($A261,Pit!$A$4:$BF$570,56,FALSE))</f>
        <v>0</v>
      </c>
      <c r="V261" s="52">
        <f>IF($C261="B",VLOOKUP($A261,Bat!$A$4:$BA$1417,48,FALSE),VLOOKUP($A261,Pit!$A$4:$BF$570,57,FALSE))</f>
        <v>0</v>
      </c>
      <c r="W261" s="52">
        <f>Table5[[#This Row],[posRnk]]+Table5[[#This Row],[zRnk]]+IF($W$3&lt;&gt;Table5[[#This Row],[Type]],50,0)</f>
        <v>307</v>
      </c>
      <c r="X261" s="53">
        <f>RANK(Table5[[#This Row],[zScore]],Table5[[#All],[zScore]])</f>
        <v>257</v>
      </c>
      <c r="Y261" s="52" t="str">
        <f>IFERROR(INDEX(DraftResults[[#All],[OVR]],MATCH(Table5[[#This Row],[PID]],DraftResults[[#All],[Player ID]],0)),"")</f>
        <v/>
      </c>
      <c r="Z2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1" s="52" t="str">
        <f>IFERROR(INDEX(DraftResults[[#All],[Pick in Round]],MATCH(Table5[[#This Row],[PID]],DraftResults[[#All],[Player ID]],0)),"")</f>
        <v/>
      </c>
      <c r="AB261" s="52" t="str">
        <f>IFERROR(INDEX(DraftResults[[#All],[Team Name]],MATCH(Table5[[#This Row],[PID]],DraftResults[[#All],[Player ID]],0)),"")</f>
        <v/>
      </c>
      <c r="AC261" s="52" t="str">
        <f>IF(Table5[[#This Row],[Ovr]]="","",IF(Table5[[#This Row],[cmbList]]="","",Table5[[#This Row],[cmbList]]-Table5[[#This Row],[Ovr]]))</f>
        <v/>
      </c>
      <c r="AD261" s="56" t="str">
        <f>IF(ISERROR(VLOOKUP($AB261&amp;"-"&amp;$E261&amp;" "&amp;F261,Bonuses!$B$1:$G$1006,4,FALSE)),"",INT(VLOOKUP($AB261&amp;"-"&amp;$E261&amp;" "&amp;$F261,Bonuses!$B$1:$G$1006,4,FALSE)))</f>
        <v/>
      </c>
      <c r="AE2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2" spans="1:31" s="52" customFormat="1" x14ac:dyDescent="0.25">
      <c r="A262" s="52">
        <v>7543</v>
      </c>
      <c r="B262" s="52">
        <f>COUNTIF(Table5[PID],A262)</f>
        <v>1</v>
      </c>
      <c r="C262" s="52" t="str">
        <f>IF(COUNTIF(Table3[[#All],[PID]],A262)&gt;0,"P","B")</f>
        <v>P</v>
      </c>
      <c r="D262" s="61" t="str">
        <f>IF($C262="B",INDEX(Batters[[#All],[POS]],MATCH(Table5[[#This Row],[PID]],Batters[[#All],[PID]],0)),INDEX(Table3[[#All],[POS]],MATCH(Table5[[#This Row],[PID]],Table3[[#All],[PID]],0)))</f>
        <v>SP</v>
      </c>
      <c r="E262" s="54" t="str">
        <f>IF($C262="B",INDEX(Batters[[#All],[First]],MATCH(Table5[[#This Row],[PID]],Batters[[#All],[PID]],0)),INDEX(Table3[[#All],[First]],MATCH(Table5[[#This Row],[PID]],Table3[[#All],[PID]],0)))</f>
        <v>Albert</v>
      </c>
      <c r="F262" s="52" t="str">
        <f>IF($C262="B",INDEX(Batters[[#All],[Last]],MATCH(A262,Batters[[#All],[PID]],0)),INDEX(Table3[[#All],[Last]],MATCH(A262,Table3[[#All],[PID]],0)))</f>
        <v>Salgado</v>
      </c>
      <c r="G262" s="58">
        <f>IF($C262="B",INDEX(Batters[[#All],[Age]],MATCH(Table5[[#This Row],[PID]],Batters[[#All],[PID]],0)),INDEX(Table3[[#All],[Age]],MATCH(Table5[[#This Row],[PID]],Table3[[#All],[PID]],0)))</f>
        <v>18</v>
      </c>
      <c r="H262" s="54" t="str">
        <f>IF($C262="B",INDEX(Batters[[#All],[B]],MATCH(Table5[[#This Row],[PID]],Batters[[#All],[PID]],0)),INDEX(Table3[[#All],[B]],MATCH(Table5[[#This Row],[PID]],Table3[[#All],[PID]],0)))</f>
        <v>R</v>
      </c>
      <c r="I262" s="54" t="str">
        <f>IF($C262="B",INDEX(Batters[[#All],[T]],MATCH(Table5[[#This Row],[PID]],Batters[[#All],[PID]],0)),INDEX(Table3[[#All],[T]],MATCH(Table5[[#This Row],[PID]],Table3[[#All],[PID]],0)))</f>
        <v>R</v>
      </c>
      <c r="J262" s="54" t="str">
        <f>IF($C262="B",INDEX(Batters[[#All],[WE]],MATCH(Table5[[#This Row],[PID]],Batters[[#All],[PID]],0)),INDEX(Table3[[#All],[WE]],MATCH(Table5[[#This Row],[PID]],Table3[[#All],[PID]],0)))</f>
        <v>Normal</v>
      </c>
      <c r="K262" s="54" t="str">
        <f>IF($C262="B",INDEX(Batters[[#All],[INT]],MATCH(Table5[[#This Row],[PID]],Batters[[#All],[PID]],0)),INDEX(Table3[[#All],[INT]],MATCH(Table5[[#This Row],[PID]],Table3[[#All],[PID]],0)))</f>
        <v>High</v>
      </c>
      <c r="L262" s="62">
        <f>IF($C262="B",INDEX(Batters[[#All],[CON P]],MATCH(Table5[[#This Row],[PID]],Batters[[#All],[PID]],0)),INDEX(Table3[[#All],[STU P]],MATCH(Table5[[#This Row],[PID]],Table3[[#All],[PID]],0)))</f>
        <v>4</v>
      </c>
      <c r="M262" s="58">
        <f>IF($C262="B",INDEX(Batters[[#All],[GAP P]],MATCH(Table5[[#This Row],[PID]],Batters[[#All],[PID]],0)),INDEX(Table3[[#All],[MOV P]],MATCH(Table5[[#This Row],[PID]],Table3[[#All],[PID]],0)))</f>
        <v>3</v>
      </c>
      <c r="N262" s="58">
        <f>IF($C262="B",INDEX(Batters[[#All],[POW P]],MATCH(Table5[[#This Row],[PID]],Batters[[#All],[PID]],0)),INDEX(Table3[[#All],[CON P]],MATCH(Table5[[#This Row],[PID]],Table3[[#All],[PID]],0)))</f>
        <v>3</v>
      </c>
      <c r="O262" s="58" t="str">
        <f>IF($C262="B",INDEX(Batters[[#All],[EYE P]],MATCH(Table5[[#This Row],[PID]],Batters[[#All],[PID]],0)),INDEX(Table3[[#All],[VELO]],MATCH(Table5[[#This Row],[PID]],Table3[[#All],[PID]],0)))</f>
        <v>88-90 Mph</v>
      </c>
      <c r="P262" s="58">
        <f>IF($C262="B",INDEX(Batters[[#All],[K P]],MATCH(Table5[[#This Row],[PID]],Batters[[#All],[PID]],0)),INDEX(Table3[[#All],[STM]],MATCH(Table5[[#This Row],[PID]],Table3[[#All],[PID]],0)))</f>
        <v>8</v>
      </c>
      <c r="Q262" s="63">
        <f>IF($C262="B",INDEX(Batters[[#All],[Tot]],MATCH(Table5[[#This Row],[PID]],Batters[[#All],[PID]],0)),INDEX(Table3[[#All],[Tot]],MATCH(Table5[[#This Row],[PID]],Table3[[#All],[PID]],0)))</f>
        <v>39.720570520999004</v>
      </c>
      <c r="R262" s="54">
        <f>IF($C262="B",INDEX(Batters[[#All],[zScore]],MATCH(Table5[[#This Row],[PID]],Batters[[#All],[PID]],0)),INDEX(Table3[[#All],[zScore]],MATCH(Table5[[#This Row],[PID]],Table3[[#All],[PID]],0)))</f>
        <v>0.6417758249050951</v>
      </c>
      <c r="S262" s="60" t="str">
        <f>IF($C262="B",INDEX(Batters[[#All],[DEM]],MATCH(Table5[[#This Row],[PID]],Batters[[#All],[PID]],0)),INDEX(Table3[[#All],[DEM]],MATCH(Table5[[#This Row],[PID]],Table3[[#All],[PID]],0)))</f>
        <v>$80k</v>
      </c>
      <c r="T262" s="64">
        <f>IF($C262="B",VLOOKUP($A262,Bat!$A$4:$AU$1417,46,FALSE),VLOOKUP($A262,Pit!$A$4:$BD$570,55,FALSE))</f>
        <v>0</v>
      </c>
      <c r="U262" s="52">
        <f>IF($C262="B",VLOOKUP($A262,Bat!$A$4:$BA$1417,47,FALSE),VLOOKUP($A262,Pit!$A$4:$BF$570,56,FALSE))</f>
        <v>0</v>
      </c>
      <c r="V262" s="52">
        <f>IF($C262="B",VLOOKUP($A262,Bat!$A$4:$BA$1417,48,FALSE),VLOOKUP($A262,Pit!$A$4:$BF$570,57,FALSE))</f>
        <v>0</v>
      </c>
      <c r="W262" s="52">
        <f>Table5[[#This Row],[posRnk]]+Table5[[#This Row],[zRnk]]+IF($W$3&lt;&gt;Table5[[#This Row],[Type]],50,0)</f>
        <v>308</v>
      </c>
      <c r="X262" s="53">
        <f>RANK(Table5[[#This Row],[zScore]],Table5[[#All],[zScore]])</f>
        <v>258</v>
      </c>
      <c r="Y262" s="52" t="str">
        <f>IFERROR(INDEX(DraftResults[[#All],[OVR]],MATCH(Table5[[#This Row],[PID]],DraftResults[[#All],[Player ID]],0)),"")</f>
        <v/>
      </c>
      <c r="Z2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2" s="52" t="str">
        <f>IFERROR(INDEX(DraftResults[[#All],[Pick in Round]],MATCH(Table5[[#This Row],[PID]],DraftResults[[#All],[Player ID]],0)),"")</f>
        <v/>
      </c>
      <c r="AB262" s="52" t="str">
        <f>IFERROR(INDEX(DraftResults[[#All],[Team Name]],MATCH(Table5[[#This Row],[PID]],DraftResults[[#All],[Player ID]],0)),"")</f>
        <v/>
      </c>
      <c r="AC262" s="52" t="str">
        <f>IF(Table5[[#This Row],[Ovr]]="","",IF(Table5[[#This Row],[cmbList]]="","",Table5[[#This Row],[cmbList]]-Table5[[#This Row],[Ovr]]))</f>
        <v/>
      </c>
      <c r="AD262" s="56" t="str">
        <f>IF(ISERROR(VLOOKUP($AB262&amp;"-"&amp;$E262&amp;" "&amp;F262,Bonuses!$B$1:$G$1006,4,FALSE)),"",INT(VLOOKUP($AB262&amp;"-"&amp;$E262&amp;" "&amp;$F262,Bonuses!$B$1:$G$1006,4,FALSE)))</f>
        <v/>
      </c>
      <c r="AE2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3" spans="1:31" s="52" customFormat="1" x14ac:dyDescent="0.25">
      <c r="A263" s="52">
        <v>13426</v>
      </c>
      <c r="B263" s="52">
        <f>COUNTIF(Table5[PID],A263)</f>
        <v>1</v>
      </c>
      <c r="C263" s="52" t="str">
        <f>IF(COUNTIF(Table3[[#All],[PID]],A263)&gt;0,"P","B")</f>
        <v>P</v>
      </c>
      <c r="D263" s="61" t="str">
        <f>IF($C263="B",INDEX(Batters[[#All],[POS]],MATCH(Table5[[#This Row],[PID]],Batters[[#All],[PID]],0)),INDEX(Table3[[#All],[POS]],MATCH(Table5[[#This Row],[PID]],Table3[[#All],[PID]],0)))</f>
        <v>RP</v>
      </c>
      <c r="E263" s="54" t="str">
        <f>IF($C263="B",INDEX(Batters[[#All],[First]],MATCH(Table5[[#This Row],[PID]],Batters[[#All],[PID]],0)),INDEX(Table3[[#All],[First]],MATCH(Table5[[#This Row],[PID]],Table3[[#All],[PID]],0)))</f>
        <v>Ramiro</v>
      </c>
      <c r="F263" s="52" t="str">
        <f>IF($C263="B",INDEX(Batters[[#All],[Last]],MATCH(A263,Batters[[#All],[PID]],0)),INDEX(Table3[[#All],[Last]],MATCH(A263,Table3[[#All],[PID]],0)))</f>
        <v>Colón</v>
      </c>
      <c r="G263" s="58">
        <f>IF($C263="B",INDEX(Batters[[#All],[Age]],MATCH(Table5[[#This Row],[PID]],Batters[[#All],[PID]],0)),INDEX(Table3[[#All],[Age]],MATCH(Table5[[#This Row],[PID]],Table3[[#All],[PID]],0)))</f>
        <v>18</v>
      </c>
      <c r="H263" s="54" t="str">
        <f>IF($C263="B",INDEX(Batters[[#All],[B]],MATCH(Table5[[#This Row],[PID]],Batters[[#All],[PID]],0)),INDEX(Table3[[#All],[B]],MATCH(Table5[[#This Row],[PID]],Table3[[#All],[PID]],0)))</f>
        <v>S</v>
      </c>
      <c r="I263" s="54" t="str">
        <f>IF($C263="B",INDEX(Batters[[#All],[T]],MATCH(Table5[[#This Row],[PID]],Batters[[#All],[PID]],0)),INDEX(Table3[[#All],[T]],MATCH(Table5[[#This Row],[PID]],Table3[[#All],[PID]],0)))</f>
        <v>L</v>
      </c>
      <c r="J263" s="54" t="str">
        <f>IF($C263="B",INDEX(Batters[[#All],[WE]],MATCH(Table5[[#This Row],[PID]],Batters[[#All],[PID]],0)),INDEX(Table3[[#All],[WE]],MATCH(Table5[[#This Row],[PID]],Table3[[#All],[PID]],0)))</f>
        <v>Low</v>
      </c>
      <c r="K263" s="54" t="str">
        <f>IF($C263="B",INDEX(Batters[[#All],[INT]],MATCH(Table5[[#This Row],[PID]],Batters[[#All],[PID]],0)),INDEX(Table3[[#All],[INT]],MATCH(Table5[[#This Row],[PID]],Table3[[#All],[PID]],0)))</f>
        <v>Normal</v>
      </c>
      <c r="L263" s="62">
        <f>IF($C263="B",INDEX(Batters[[#All],[CON P]],MATCH(Table5[[#This Row],[PID]],Batters[[#All],[PID]],0)),INDEX(Table3[[#All],[STU P]],MATCH(Table5[[#This Row],[PID]],Table3[[#All],[PID]],0)))</f>
        <v>2</v>
      </c>
      <c r="M263" s="58">
        <f>IF($C263="B",INDEX(Batters[[#All],[GAP P]],MATCH(Table5[[#This Row],[PID]],Batters[[#All],[PID]],0)),INDEX(Table3[[#All],[MOV P]],MATCH(Table5[[#This Row],[PID]],Table3[[#All],[PID]],0)))</f>
        <v>1</v>
      </c>
      <c r="N263" s="58">
        <f>IF($C263="B",INDEX(Batters[[#All],[POW P]],MATCH(Table5[[#This Row],[PID]],Batters[[#All],[PID]],0)),INDEX(Table3[[#All],[CON P]],MATCH(Table5[[#This Row],[PID]],Table3[[#All],[PID]],0)))</f>
        <v>6</v>
      </c>
      <c r="O263" s="58" t="str">
        <f>IF($C263="B",INDEX(Batters[[#All],[EYE P]],MATCH(Table5[[#This Row],[PID]],Batters[[#All],[PID]],0)),INDEX(Table3[[#All],[VELO]],MATCH(Table5[[#This Row],[PID]],Table3[[#All],[PID]],0)))</f>
        <v>84-86 Mph</v>
      </c>
      <c r="P263" s="58">
        <f>IF($C263="B",INDEX(Batters[[#All],[K P]],MATCH(Table5[[#This Row],[PID]],Batters[[#All],[PID]],0)),INDEX(Table3[[#All],[STM]],MATCH(Table5[[#This Row],[PID]],Table3[[#All],[PID]],0)))</f>
        <v>6</v>
      </c>
      <c r="Q263" s="63">
        <f>IF($C263="B",INDEX(Batters[[#All],[Tot]],MATCH(Table5[[#This Row],[PID]],Batters[[#All],[PID]],0)),INDEX(Table3[[#All],[Tot]],MATCH(Table5[[#This Row],[PID]],Table3[[#All],[PID]],0)))</f>
        <v>37.629986431725122</v>
      </c>
      <c r="R263" s="54">
        <f>IF($C263="B",INDEX(Batters[[#All],[zScore]],MATCH(Table5[[#This Row],[PID]],Batters[[#All],[PID]],0)),INDEX(Table3[[#All],[zScore]],MATCH(Table5[[#This Row],[PID]],Table3[[#All],[PID]],0)))</f>
        <v>0.63407158147942688</v>
      </c>
      <c r="S263" s="60" t="str">
        <f>IF($C263="B",INDEX(Batters[[#All],[DEM]],MATCH(Table5[[#This Row],[PID]],Batters[[#All],[PID]],0)),INDEX(Table3[[#All],[DEM]],MATCH(Table5[[#This Row],[PID]],Table3[[#All],[PID]],0)))</f>
        <v>$85k</v>
      </c>
      <c r="T263" s="64">
        <f>IF($C263="B",VLOOKUP($A263,Bat!$A$4:$AU$1417,46,FALSE),VLOOKUP($A263,Pit!$A$4:$BD$570,55,FALSE))</f>
        <v>0</v>
      </c>
      <c r="U263" s="52">
        <f>IF($C263="B",VLOOKUP($A263,Bat!$A$4:$BA$1417,47,FALSE),VLOOKUP($A263,Pit!$A$4:$BF$570,56,FALSE))</f>
        <v>0</v>
      </c>
      <c r="V263" s="52">
        <f>IF($C263="B",VLOOKUP($A263,Bat!$A$4:$BA$1417,48,FALSE),VLOOKUP($A263,Pit!$A$4:$BF$570,57,FALSE))</f>
        <v>0</v>
      </c>
      <c r="W263" s="52">
        <f>Table5[[#This Row],[posRnk]]+Table5[[#This Row],[zRnk]]+IF($W$3&lt;&gt;Table5[[#This Row],[Type]],50,0)</f>
        <v>309</v>
      </c>
      <c r="X263" s="53">
        <f>RANK(Table5[[#This Row],[zScore]],Table5[[#All],[zScore]])</f>
        <v>259</v>
      </c>
      <c r="Y263" s="52" t="str">
        <f>IFERROR(INDEX(DraftResults[[#All],[OVR]],MATCH(Table5[[#This Row],[PID]],DraftResults[[#All],[Player ID]],0)),"")</f>
        <v/>
      </c>
      <c r="Z2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3" s="52" t="str">
        <f>IFERROR(INDEX(DraftResults[[#All],[Pick in Round]],MATCH(Table5[[#This Row],[PID]],DraftResults[[#All],[Player ID]],0)),"")</f>
        <v/>
      </c>
      <c r="AB263" s="52" t="str">
        <f>IFERROR(INDEX(DraftResults[[#All],[Team Name]],MATCH(Table5[[#This Row],[PID]],DraftResults[[#All],[Player ID]],0)),"")</f>
        <v/>
      </c>
      <c r="AC263" s="52" t="str">
        <f>IF(Table5[[#This Row],[Ovr]]="","",IF(Table5[[#This Row],[cmbList]]="","",Table5[[#This Row],[cmbList]]-Table5[[#This Row],[Ovr]]))</f>
        <v/>
      </c>
      <c r="AD263" s="56" t="str">
        <f>IF(ISERROR(VLOOKUP($AB263&amp;"-"&amp;$E263&amp;" "&amp;F263,Bonuses!$B$1:$G$1006,4,FALSE)),"",INT(VLOOKUP($AB263&amp;"-"&amp;$E263&amp;" "&amp;$F263,Bonuses!$B$1:$G$1006,4,FALSE)))</f>
        <v/>
      </c>
      <c r="AE2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4" spans="1:31" s="52" customFormat="1" x14ac:dyDescent="0.25">
      <c r="A264" s="52">
        <v>11821</v>
      </c>
      <c r="B264" s="52">
        <f>COUNTIF(Table5[PID],A264)</f>
        <v>1</v>
      </c>
      <c r="C264" s="52" t="str">
        <f>IF(COUNTIF(Table3[[#All],[PID]],A264)&gt;0,"P","B")</f>
        <v>P</v>
      </c>
      <c r="D264" s="61" t="str">
        <f>IF($C264="B",INDEX(Batters[[#All],[POS]],MATCH(Table5[[#This Row],[PID]],Batters[[#All],[PID]],0)),INDEX(Table3[[#All],[POS]],MATCH(Table5[[#This Row],[PID]],Table3[[#All],[PID]],0)))</f>
        <v>SP</v>
      </c>
      <c r="E264" s="54" t="str">
        <f>IF($C264="B",INDEX(Batters[[#All],[First]],MATCH(Table5[[#This Row],[PID]],Batters[[#All],[PID]],0)),INDEX(Table3[[#All],[First]],MATCH(Table5[[#This Row],[PID]],Table3[[#All],[PID]],0)))</f>
        <v>Gonzalo</v>
      </c>
      <c r="F264" s="52" t="str">
        <f>IF($C264="B",INDEX(Batters[[#All],[Last]],MATCH(A264,Batters[[#All],[PID]],0)),INDEX(Table3[[#All],[Last]],MATCH(A264,Table3[[#All],[PID]],0)))</f>
        <v>Bueno</v>
      </c>
      <c r="G264" s="58">
        <f>IF($C264="B",INDEX(Batters[[#All],[Age]],MATCH(Table5[[#This Row],[PID]],Batters[[#All],[PID]],0)),INDEX(Table3[[#All],[Age]],MATCH(Table5[[#This Row],[PID]],Table3[[#All],[PID]],0)))</f>
        <v>20</v>
      </c>
      <c r="H264" s="54" t="str">
        <f>IF($C264="B",INDEX(Batters[[#All],[B]],MATCH(Table5[[#This Row],[PID]],Batters[[#All],[PID]],0)),INDEX(Table3[[#All],[B]],MATCH(Table5[[#This Row],[PID]],Table3[[#All],[PID]],0)))</f>
        <v>R</v>
      </c>
      <c r="I264" s="54" t="str">
        <f>IF($C264="B",INDEX(Batters[[#All],[T]],MATCH(Table5[[#This Row],[PID]],Batters[[#All],[PID]],0)),INDEX(Table3[[#All],[T]],MATCH(Table5[[#This Row],[PID]],Table3[[#All],[PID]],0)))</f>
        <v>R</v>
      </c>
      <c r="J264" s="54" t="str">
        <f>IF($C264="B",INDEX(Batters[[#All],[WE]],MATCH(Table5[[#This Row],[PID]],Batters[[#All],[PID]],0)),INDEX(Table3[[#All],[WE]],MATCH(Table5[[#This Row],[PID]],Table3[[#All],[PID]],0)))</f>
        <v>Normal</v>
      </c>
      <c r="K264" s="54" t="str">
        <f>IF($C264="B",INDEX(Batters[[#All],[INT]],MATCH(Table5[[#This Row],[PID]],Batters[[#All],[PID]],0)),INDEX(Table3[[#All],[INT]],MATCH(Table5[[#This Row],[PID]],Table3[[#All],[PID]],0)))</f>
        <v>Low</v>
      </c>
      <c r="L264" s="62">
        <f>IF($C264="B",INDEX(Batters[[#All],[CON P]],MATCH(Table5[[#This Row],[PID]],Batters[[#All],[PID]],0)),INDEX(Table3[[#All],[STU P]],MATCH(Table5[[#This Row],[PID]],Table3[[#All],[PID]],0)))</f>
        <v>6</v>
      </c>
      <c r="M264" s="58">
        <f>IF($C264="B",INDEX(Batters[[#All],[GAP P]],MATCH(Table5[[#This Row],[PID]],Batters[[#All],[PID]],0)),INDEX(Table3[[#All],[MOV P]],MATCH(Table5[[#This Row],[PID]],Table3[[#All],[PID]],0)))</f>
        <v>2</v>
      </c>
      <c r="N264" s="58">
        <f>IF($C264="B",INDEX(Batters[[#All],[POW P]],MATCH(Table5[[#This Row],[PID]],Batters[[#All],[PID]],0)),INDEX(Table3[[#All],[CON P]],MATCH(Table5[[#This Row],[PID]],Table3[[#All],[PID]],0)))</f>
        <v>3</v>
      </c>
      <c r="O264" s="58" t="str">
        <f>IF($C264="B",INDEX(Batters[[#All],[EYE P]],MATCH(Table5[[#This Row],[PID]],Batters[[#All],[PID]],0)),INDEX(Table3[[#All],[VELO]],MATCH(Table5[[#This Row],[PID]],Table3[[#All],[PID]],0)))</f>
        <v>97-99 Mph</v>
      </c>
      <c r="P264" s="58">
        <f>IF($C264="B",INDEX(Batters[[#All],[K P]],MATCH(Table5[[#This Row],[PID]],Batters[[#All],[PID]],0)),INDEX(Table3[[#All],[STM]],MATCH(Table5[[#This Row],[PID]],Table3[[#All],[PID]],0)))</f>
        <v>7</v>
      </c>
      <c r="Q264" s="63">
        <f>IF($C264="B",INDEX(Batters[[#All],[Tot]],MATCH(Table5[[#This Row],[PID]],Batters[[#All],[PID]],0)),INDEX(Table3[[#All],[Tot]],MATCH(Table5[[#This Row],[PID]],Table3[[#All],[PID]],0)))</f>
        <v>39.583111484715218</v>
      </c>
      <c r="R264" s="54">
        <f>IF($C264="B",INDEX(Batters[[#All],[zScore]],MATCH(Table5[[#This Row],[PID]],Batters[[#All],[PID]],0)),INDEX(Table3[[#All],[zScore]],MATCH(Table5[[#This Row],[PID]],Table3[[#All],[PID]],0)))</f>
        <v>0.62917024376560304</v>
      </c>
      <c r="S264" s="60" t="str">
        <f>IF($C264="B",INDEX(Batters[[#All],[DEM]],MATCH(Table5[[#This Row],[PID]],Batters[[#All],[PID]],0)),INDEX(Table3[[#All],[DEM]],MATCH(Table5[[#This Row],[PID]],Table3[[#All],[PID]],0)))</f>
        <v>-</v>
      </c>
      <c r="T264" s="64">
        <f>IF($C264="B",VLOOKUP($A264,Bat!$A$4:$AU$1417,46,FALSE),VLOOKUP($A264,Pit!$A$4:$BD$570,55,FALSE))</f>
        <v>0</v>
      </c>
      <c r="U264" s="52">
        <f>IF($C264="B",VLOOKUP($A264,Bat!$A$4:$BA$1417,47,FALSE),VLOOKUP($A264,Pit!$A$4:$BF$570,56,FALSE))</f>
        <v>0</v>
      </c>
      <c r="V264" s="52">
        <f>IF($C264="B",VLOOKUP($A264,Bat!$A$4:$BA$1417,48,FALSE),VLOOKUP($A264,Pit!$A$4:$BF$570,57,FALSE))</f>
        <v>0</v>
      </c>
      <c r="W264" s="52">
        <f>Table5[[#This Row],[posRnk]]+Table5[[#This Row],[zRnk]]+IF($W$3&lt;&gt;Table5[[#This Row],[Type]],50,0)</f>
        <v>310</v>
      </c>
      <c r="X264" s="53">
        <f>RANK(Table5[[#This Row],[zScore]],Table5[[#All],[zScore]])</f>
        <v>260</v>
      </c>
      <c r="Y264" s="52" t="str">
        <f>IFERROR(INDEX(DraftResults[[#All],[OVR]],MATCH(Table5[[#This Row],[PID]],DraftResults[[#All],[Player ID]],0)),"")</f>
        <v/>
      </c>
      <c r="Z2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4" s="52" t="str">
        <f>IFERROR(INDEX(DraftResults[[#All],[Pick in Round]],MATCH(Table5[[#This Row],[PID]],DraftResults[[#All],[Player ID]],0)),"")</f>
        <v/>
      </c>
      <c r="AB264" s="52" t="str">
        <f>IFERROR(INDEX(DraftResults[[#All],[Team Name]],MATCH(Table5[[#This Row],[PID]],DraftResults[[#All],[Player ID]],0)),"")</f>
        <v/>
      </c>
      <c r="AC264" s="52" t="str">
        <f>IF(Table5[[#This Row],[Ovr]]="","",IF(Table5[[#This Row],[cmbList]]="","",Table5[[#This Row],[cmbList]]-Table5[[#This Row],[Ovr]]))</f>
        <v/>
      </c>
      <c r="AD264" s="56" t="str">
        <f>IF(ISERROR(VLOOKUP($AB264&amp;"-"&amp;$E264&amp;" "&amp;F264,Bonuses!$B$1:$G$1006,4,FALSE)),"",INT(VLOOKUP($AB264&amp;"-"&amp;$E264&amp;" "&amp;$F264,Bonuses!$B$1:$G$1006,4,FALSE)))</f>
        <v/>
      </c>
      <c r="AE2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5" spans="1:31" s="52" customFormat="1" x14ac:dyDescent="0.25">
      <c r="A265" s="52">
        <v>17933</v>
      </c>
      <c r="B265" s="52">
        <f>COUNTIF(Table5[PID],A265)</f>
        <v>1</v>
      </c>
      <c r="C265" s="52" t="str">
        <f>IF(COUNTIF(Table3[[#All],[PID]],A265)&gt;0,"P","B")</f>
        <v>P</v>
      </c>
      <c r="D265" s="61" t="str">
        <f>IF($C265="B",INDEX(Batters[[#All],[POS]],MATCH(Table5[[#This Row],[PID]],Batters[[#All],[PID]],0)),INDEX(Table3[[#All],[POS]],MATCH(Table5[[#This Row],[PID]],Table3[[#All],[PID]],0)))</f>
        <v>SP</v>
      </c>
      <c r="E265" s="54" t="str">
        <f>IF($C265="B",INDEX(Batters[[#All],[First]],MATCH(Table5[[#This Row],[PID]],Batters[[#All],[PID]],0)),INDEX(Table3[[#All],[First]],MATCH(Table5[[#This Row],[PID]],Table3[[#All],[PID]],0)))</f>
        <v>Owen</v>
      </c>
      <c r="F265" s="52" t="str">
        <f>IF($C265="B",INDEX(Batters[[#All],[Last]],MATCH(A265,Batters[[#All],[PID]],0)),INDEX(Table3[[#All],[Last]],MATCH(A265,Table3[[#All],[PID]],0)))</f>
        <v>Goater</v>
      </c>
      <c r="G265" s="58">
        <f>IF($C265="B",INDEX(Batters[[#All],[Age]],MATCH(Table5[[#This Row],[PID]],Batters[[#All],[PID]],0)),INDEX(Table3[[#All],[Age]],MATCH(Table5[[#This Row],[PID]],Table3[[#All],[PID]],0)))</f>
        <v>18</v>
      </c>
      <c r="H265" s="54" t="str">
        <f>IF($C265="B",INDEX(Batters[[#All],[B]],MATCH(Table5[[#This Row],[PID]],Batters[[#All],[PID]],0)),INDEX(Table3[[#All],[B]],MATCH(Table5[[#This Row],[PID]],Table3[[#All],[PID]],0)))</f>
        <v>R</v>
      </c>
      <c r="I265" s="54" t="str">
        <f>IF($C265="B",INDEX(Batters[[#All],[T]],MATCH(Table5[[#This Row],[PID]],Batters[[#All],[PID]],0)),INDEX(Table3[[#All],[T]],MATCH(Table5[[#This Row],[PID]],Table3[[#All],[PID]],0)))</f>
        <v>R</v>
      </c>
      <c r="J265" s="54" t="str">
        <f>IF($C265="B",INDEX(Batters[[#All],[WE]],MATCH(Table5[[#This Row],[PID]],Batters[[#All],[PID]],0)),INDEX(Table3[[#All],[WE]],MATCH(Table5[[#This Row],[PID]],Table3[[#All],[PID]],0)))</f>
        <v>High</v>
      </c>
      <c r="K265" s="54" t="str">
        <f>IF($C265="B",INDEX(Batters[[#All],[INT]],MATCH(Table5[[#This Row],[PID]],Batters[[#All],[PID]],0)),INDEX(Table3[[#All],[INT]],MATCH(Table5[[#This Row],[PID]],Table3[[#All],[PID]],0)))</f>
        <v>Normal</v>
      </c>
      <c r="L265" s="62">
        <f>IF($C265="B",INDEX(Batters[[#All],[CON P]],MATCH(Table5[[#This Row],[PID]],Batters[[#All],[PID]],0)),INDEX(Table3[[#All],[STU P]],MATCH(Table5[[#This Row],[PID]],Table3[[#All],[PID]],0)))</f>
        <v>4</v>
      </c>
      <c r="M265" s="58">
        <f>IF($C265="B",INDEX(Batters[[#All],[GAP P]],MATCH(Table5[[#This Row],[PID]],Batters[[#All],[PID]],0)),INDEX(Table3[[#All],[MOV P]],MATCH(Table5[[#This Row],[PID]],Table3[[#All],[PID]],0)))</f>
        <v>4</v>
      </c>
      <c r="N265" s="58">
        <f>IF($C265="B",INDEX(Batters[[#All],[POW P]],MATCH(Table5[[#This Row],[PID]],Batters[[#All],[PID]],0)),INDEX(Table3[[#All],[CON P]],MATCH(Table5[[#This Row],[PID]],Table3[[#All],[PID]],0)))</f>
        <v>2</v>
      </c>
      <c r="O265" s="58" t="str">
        <f>IF($C265="B",INDEX(Batters[[#All],[EYE P]],MATCH(Table5[[#This Row],[PID]],Batters[[#All],[PID]],0)),INDEX(Table3[[#All],[VELO]],MATCH(Table5[[#This Row],[PID]],Table3[[#All],[PID]],0)))</f>
        <v>89-91 Mph</v>
      </c>
      <c r="P265" s="58">
        <f>IF($C265="B",INDEX(Batters[[#All],[K P]],MATCH(Table5[[#This Row],[PID]],Batters[[#All],[PID]],0)),INDEX(Table3[[#All],[STM]],MATCH(Table5[[#This Row],[PID]],Table3[[#All],[PID]],0)))</f>
        <v>6</v>
      </c>
      <c r="Q265" s="63">
        <f>IF($C265="B",INDEX(Batters[[#All],[Tot]],MATCH(Table5[[#This Row],[PID]],Batters[[#All],[PID]],0)),INDEX(Table3[[#All],[Tot]],MATCH(Table5[[#This Row],[PID]],Table3[[#All],[PID]],0)))</f>
        <v>39.529938498584244</v>
      </c>
      <c r="R265" s="54">
        <f>IF($C265="B",INDEX(Batters[[#All],[zScore]],MATCH(Table5[[#This Row],[PID]],Batters[[#All],[PID]],0)),INDEX(Table3[[#All],[zScore]],MATCH(Table5[[#This Row],[PID]],Table3[[#All],[PID]],0)))</f>
        <v>0.62429405367127355</v>
      </c>
      <c r="S265" s="60" t="str">
        <f>IF($C265="B",INDEX(Batters[[#All],[DEM]],MATCH(Table5[[#This Row],[PID]],Batters[[#All],[PID]],0)),INDEX(Table3[[#All],[DEM]],MATCH(Table5[[#This Row],[PID]],Table3[[#All],[PID]],0)))</f>
        <v>$75k</v>
      </c>
      <c r="T265" s="64">
        <f>IF($C265="B",VLOOKUP($A265,Bat!$A$4:$AU$1417,46,FALSE),VLOOKUP($A265,Pit!$A$4:$BD$570,55,FALSE))</f>
        <v>0</v>
      </c>
      <c r="U265" s="52">
        <f>IF($C265="B",VLOOKUP($A265,Bat!$A$4:$BA$1417,47,FALSE),VLOOKUP($A265,Pit!$A$4:$BF$570,56,FALSE))</f>
        <v>0</v>
      </c>
      <c r="V265" s="52">
        <f>IF($C265="B",VLOOKUP($A265,Bat!$A$4:$BA$1417,48,FALSE),VLOOKUP($A265,Pit!$A$4:$BF$570,57,FALSE))</f>
        <v>0</v>
      </c>
      <c r="W265" s="52">
        <f>Table5[[#This Row],[posRnk]]+Table5[[#This Row],[zRnk]]+IF($W$3&lt;&gt;Table5[[#This Row],[Type]],50,0)</f>
        <v>311</v>
      </c>
      <c r="X265" s="53">
        <f>RANK(Table5[[#This Row],[zScore]],Table5[[#All],[zScore]])</f>
        <v>261</v>
      </c>
      <c r="Y265" s="52" t="str">
        <f>IFERROR(INDEX(DraftResults[[#All],[OVR]],MATCH(Table5[[#This Row],[PID]],DraftResults[[#All],[Player ID]],0)),"")</f>
        <v/>
      </c>
      <c r="Z2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5" s="52" t="str">
        <f>IFERROR(INDEX(DraftResults[[#All],[Pick in Round]],MATCH(Table5[[#This Row],[PID]],DraftResults[[#All],[Player ID]],0)),"")</f>
        <v/>
      </c>
      <c r="AB265" s="52" t="str">
        <f>IFERROR(INDEX(DraftResults[[#All],[Team Name]],MATCH(Table5[[#This Row],[PID]],DraftResults[[#All],[Player ID]],0)),"")</f>
        <v/>
      </c>
      <c r="AC265" s="52" t="str">
        <f>IF(Table5[[#This Row],[Ovr]]="","",IF(Table5[[#This Row],[cmbList]]="","",Table5[[#This Row],[cmbList]]-Table5[[#This Row],[Ovr]]))</f>
        <v/>
      </c>
      <c r="AD265" s="56" t="str">
        <f>IF(ISERROR(VLOOKUP($AB265&amp;"-"&amp;$E265&amp;" "&amp;F265,Bonuses!$B$1:$G$1006,4,FALSE)),"",INT(VLOOKUP($AB265&amp;"-"&amp;$E265&amp;" "&amp;$F265,Bonuses!$B$1:$G$1006,4,FALSE)))</f>
        <v/>
      </c>
      <c r="AE2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6" spans="1:31" s="52" customFormat="1" x14ac:dyDescent="0.25">
      <c r="A266" s="52">
        <v>13899</v>
      </c>
      <c r="B266" s="52">
        <f>COUNTIF(Table5[PID],A266)</f>
        <v>1</v>
      </c>
      <c r="C266" s="52" t="str">
        <f>IF(COUNTIF(Table3[[#All],[PID]],A266)&gt;0,"P","B")</f>
        <v>P</v>
      </c>
      <c r="D266" s="61" t="str">
        <f>IF($C266="B",INDEX(Batters[[#All],[POS]],MATCH(Table5[[#This Row],[PID]],Batters[[#All],[PID]],0)),INDEX(Table3[[#All],[POS]],MATCH(Table5[[#This Row],[PID]],Table3[[#All],[PID]],0)))</f>
        <v>RP</v>
      </c>
      <c r="E266" s="54" t="str">
        <f>IF($C266="B",INDEX(Batters[[#All],[First]],MATCH(Table5[[#This Row],[PID]],Batters[[#All],[PID]],0)),INDEX(Table3[[#All],[First]],MATCH(Table5[[#This Row],[PID]],Table3[[#All],[PID]],0)))</f>
        <v>Clancy</v>
      </c>
      <c r="F266" s="52" t="str">
        <f>IF($C266="B",INDEX(Batters[[#All],[Last]],MATCH(A266,Batters[[#All],[PID]],0)),INDEX(Table3[[#All],[Last]],MATCH(A266,Table3[[#All],[PID]],0)))</f>
        <v>Hawkins</v>
      </c>
      <c r="G266" s="58">
        <f>IF($C266="B",INDEX(Batters[[#All],[Age]],MATCH(Table5[[#This Row],[PID]],Batters[[#All],[PID]],0)),INDEX(Table3[[#All],[Age]],MATCH(Table5[[#This Row],[PID]],Table3[[#All],[PID]],0)))</f>
        <v>18</v>
      </c>
      <c r="H266" s="54" t="str">
        <f>IF($C266="B",INDEX(Batters[[#All],[B]],MATCH(Table5[[#This Row],[PID]],Batters[[#All],[PID]],0)),INDEX(Table3[[#All],[B]],MATCH(Table5[[#This Row],[PID]],Table3[[#All],[PID]],0)))</f>
        <v>S</v>
      </c>
      <c r="I266" s="54" t="str">
        <f>IF($C266="B",INDEX(Batters[[#All],[T]],MATCH(Table5[[#This Row],[PID]],Batters[[#All],[PID]],0)),INDEX(Table3[[#All],[T]],MATCH(Table5[[#This Row],[PID]],Table3[[#All],[PID]],0)))</f>
        <v>R</v>
      </c>
      <c r="J266" s="54" t="str">
        <f>IF($C266="B",INDEX(Batters[[#All],[WE]],MATCH(Table5[[#This Row],[PID]],Batters[[#All],[PID]],0)),INDEX(Table3[[#All],[WE]],MATCH(Table5[[#This Row],[PID]],Table3[[#All],[PID]],0)))</f>
        <v>Low</v>
      </c>
      <c r="K266" s="54" t="str">
        <f>IF($C266="B",INDEX(Batters[[#All],[INT]],MATCH(Table5[[#This Row],[PID]],Batters[[#All],[PID]],0)),INDEX(Table3[[#All],[INT]],MATCH(Table5[[#This Row],[PID]],Table3[[#All],[PID]],0)))</f>
        <v>Normal</v>
      </c>
      <c r="L266" s="62">
        <f>IF($C266="B",INDEX(Batters[[#All],[CON P]],MATCH(Table5[[#This Row],[PID]],Batters[[#All],[PID]],0)),INDEX(Table3[[#All],[STU P]],MATCH(Table5[[#This Row],[PID]],Table3[[#All],[PID]],0)))</f>
        <v>5</v>
      </c>
      <c r="M266" s="58">
        <f>IF($C266="B",INDEX(Batters[[#All],[GAP P]],MATCH(Table5[[#This Row],[PID]],Batters[[#All],[PID]],0)),INDEX(Table3[[#All],[MOV P]],MATCH(Table5[[#This Row],[PID]],Table3[[#All],[PID]],0)))</f>
        <v>2</v>
      </c>
      <c r="N266" s="58">
        <f>IF($C266="B",INDEX(Batters[[#All],[POW P]],MATCH(Table5[[#This Row],[PID]],Batters[[#All],[PID]],0)),INDEX(Table3[[#All],[CON P]],MATCH(Table5[[#This Row],[PID]],Table3[[#All],[PID]],0)))</f>
        <v>3</v>
      </c>
      <c r="O266" s="58" t="str">
        <f>IF($C266="B",INDEX(Batters[[#All],[EYE P]],MATCH(Table5[[#This Row],[PID]],Batters[[#All],[PID]],0)),INDEX(Table3[[#All],[VELO]],MATCH(Table5[[#This Row],[PID]],Table3[[#All],[PID]],0)))</f>
        <v>90-92 Mph</v>
      </c>
      <c r="P266" s="58">
        <f>IF($C266="B",INDEX(Batters[[#All],[K P]],MATCH(Table5[[#This Row],[PID]],Batters[[#All],[PID]],0)),INDEX(Table3[[#All],[STM]],MATCH(Table5[[#This Row],[PID]],Table3[[#All],[PID]],0)))</f>
        <v>6</v>
      </c>
      <c r="Q266" s="63">
        <f>IF($C266="B",INDEX(Batters[[#All],[Tot]],MATCH(Table5[[#This Row],[PID]],Batters[[#All],[PID]],0)),INDEX(Table3[[#All],[Tot]],MATCH(Table5[[#This Row],[PID]],Table3[[#All],[PID]],0)))</f>
        <v>39.454833423796124</v>
      </c>
      <c r="R266" s="54">
        <f>IF($C266="B",INDEX(Batters[[#All],[zScore]],MATCH(Table5[[#This Row],[PID]],Batters[[#All],[PID]],0)),INDEX(Table3[[#All],[zScore]],MATCH(Table5[[#This Row],[PID]],Table3[[#All],[PID]],0)))</f>
        <v>0.61740659730736669</v>
      </c>
      <c r="S266" s="60" t="str">
        <f>IF($C266="B",INDEX(Batters[[#All],[DEM]],MATCH(Table5[[#This Row],[PID]],Batters[[#All],[PID]],0)),INDEX(Table3[[#All],[DEM]],MATCH(Table5[[#This Row],[PID]],Table3[[#All],[PID]],0)))</f>
        <v>$65k</v>
      </c>
      <c r="T266" s="64">
        <f>IF($C266="B",VLOOKUP($A266,Bat!$A$4:$AU$1417,46,FALSE),VLOOKUP($A266,Pit!$A$4:$BD$570,55,FALSE))</f>
        <v>0</v>
      </c>
      <c r="U266" s="52">
        <f>IF($C266="B",VLOOKUP($A266,Bat!$A$4:$BA$1417,47,FALSE),VLOOKUP($A266,Pit!$A$4:$BF$570,56,FALSE))</f>
        <v>0</v>
      </c>
      <c r="V266" s="52">
        <f>IF($C266="B",VLOOKUP($A266,Bat!$A$4:$BA$1417,48,FALSE),VLOOKUP($A266,Pit!$A$4:$BF$570,57,FALSE))</f>
        <v>0</v>
      </c>
      <c r="W266" s="52">
        <f>Table5[[#This Row],[posRnk]]+Table5[[#This Row],[zRnk]]+IF($W$3&lt;&gt;Table5[[#This Row],[Type]],50,0)</f>
        <v>312</v>
      </c>
      <c r="X266" s="53">
        <f>RANK(Table5[[#This Row],[zScore]],Table5[[#All],[zScore]])</f>
        <v>262</v>
      </c>
      <c r="Y266" s="52" t="str">
        <f>IFERROR(INDEX(DraftResults[[#All],[OVR]],MATCH(Table5[[#This Row],[PID]],DraftResults[[#All],[Player ID]],0)),"")</f>
        <v/>
      </c>
      <c r="Z2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6" s="52" t="str">
        <f>IFERROR(INDEX(DraftResults[[#All],[Pick in Round]],MATCH(Table5[[#This Row],[PID]],DraftResults[[#All],[Player ID]],0)),"")</f>
        <v/>
      </c>
      <c r="AB266" s="52" t="str">
        <f>IFERROR(INDEX(DraftResults[[#All],[Team Name]],MATCH(Table5[[#This Row],[PID]],DraftResults[[#All],[Player ID]],0)),"")</f>
        <v/>
      </c>
      <c r="AC266" s="52" t="str">
        <f>IF(Table5[[#This Row],[Ovr]]="","",IF(Table5[[#This Row],[cmbList]]="","",Table5[[#This Row],[cmbList]]-Table5[[#This Row],[Ovr]]))</f>
        <v/>
      </c>
      <c r="AD266" s="56" t="str">
        <f>IF(ISERROR(VLOOKUP($AB266&amp;"-"&amp;$E266&amp;" "&amp;F266,Bonuses!$B$1:$G$1006,4,FALSE)),"",INT(VLOOKUP($AB266&amp;"-"&amp;$E266&amp;" "&amp;$F266,Bonuses!$B$1:$G$1006,4,FALSE)))</f>
        <v/>
      </c>
      <c r="AE2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7" spans="1:31" s="52" customFormat="1" x14ac:dyDescent="0.25">
      <c r="A267" s="52">
        <v>12642</v>
      </c>
      <c r="B267" s="52">
        <f>COUNTIF(Table5[PID],A267)</f>
        <v>1</v>
      </c>
      <c r="C267" s="52" t="str">
        <f>IF(COUNTIF(Table3[[#All],[PID]],A267)&gt;0,"P","B")</f>
        <v>P</v>
      </c>
      <c r="D267" s="61" t="str">
        <f>IF($C267="B",INDEX(Batters[[#All],[POS]],MATCH(Table5[[#This Row],[PID]],Batters[[#All],[PID]],0)),INDEX(Table3[[#All],[POS]],MATCH(Table5[[#This Row],[PID]],Table3[[#All],[PID]],0)))</f>
        <v>RP</v>
      </c>
      <c r="E267" s="54" t="str">
        <f>IF($C267="B",INDEX(Batters[[#All],[First]],MATCH(Table5[[#This Row],[PID]],Batters[[#All],[PID]],0)),INDEX(Table3[[#All],[First]],MATCH(Table5[[#This Row],[PID]],Table3[[#All],[PID]],0)))</f>
        <v>Melvin</v>
      </c>
      <c r="F267" s="52" t="str">
        <f>IF($C267="B",INDEX(Batters[[#All],[Last]],MATCH(A267,Batters[[#All],[PID]],0)),INDEX(Table3[[#All],[Last]],MATCH(A267,Table3[[#All],[PID]],0)))</f>
        <v>Dixon</v>
      </c>
      <c r="G267" s="58">
        <f>IF($C267="B",INDEX(Batters[[#All],[Age]],MATCH(Table5[[#This Row],[PID]],Batters[[#All],[PID]],0)),INDEX(Table3[[#All],[Age]],MATCH(Table5[[#This Row],[PID]],Table3[[#All],[PID]],0)))</f>
        <v>18</v>
      </c>
      <c r="H267" s="54" t="str">
        <f>IF($C267="B",INDEX(Batters[[#All],[B]],MATCH(Table5[[#This Row],[PID]],Batters[[#All],[PID]],0)),INDEX(Table3[[#All],[B]],MATCH(Table5[[#This Row],[PID]],Table3[[#All],[PID]],0)))</f>
        <v>L</v>
      </c>
      <c r="I267" s="54" t="str">
        <f>IF($C267="B",INDEX(Batters[[#All],[T]],MATCH(Table5[[#This Row],[PID]],Batters[[#All],[PID]],0)),INDEX(Table3[[#All],[T]],MATCH(Table5[[#This Row],[PID]],Table3[[#All],[PID]],0)))</f>
        <v>R</v>
      </c>
      <c r="J267" s="54" t="str">
        <f>IF($C267="B",INDEX(Batters[[#All],[WE]],MATCH(Table5[[#This Row],[PID]],Batters[[#All],[PID]],0)),INDEX(Table3[[#All],[WE]],MATCH(Table5[[#This Row],[PID]],Table3[[#All],[PID]],0)))</f>
        <v>Normal</v>
      </c>
      <c r="K267" s="54" t="str">
        <f>IF($C267="B",INDEX(Batters[[#All],[INT]],MATCH(Table5[[#This Row],[PID]],Batters[[#All],[PID]],0)),INDEX(Table3[[#All],[INT]],MATCH(Table5[[#This Row],[PID]],Table3[[#All],[PID]],0)))</f>
        <v>Normal</v>
      </c>
      <c r="L267" s="62">
        <f>IF($C267="B",INDEX(Batters[[#All],[CON P]],MATCH(Table5[[#This Row],[PID]],Batters[[#All],[PID]],0)),INDEX(Table3[[#All],[STU P]],MATCH(Table5[[#This Row],[PID]],Table3[[#All],[PID]],0)))</f>
        <v>3</v>
      </c>
      <c r="M267" s="58">
        <f>IF($C267="B",INDEX(Batters[[#All],[GAP P]],MATCH(Table5[[#This Row],[PID]],Batters[[#All],[PID]],0)),INDEX(Table3[[#All],[MOV P]],MATCH(Table5[[#This Row],[PID]],Table3[[#All],[PID]],0)))</f>
        <v>3</v>
      </c>
      <c r="N267" s="58">
        <f>IF($C267="B",INDEX(Batters[[#All],[POW P]],MATCH(Table5[[#This Row],[PID]],Batters[[#All],[PID]],0)),INDEX(Table3[[#All],[CON P]],MATCH(Table5[[#This Row],[PID]],Table3[[#All],[PID]],0)))</f>
        <v>4</v>
      </c>
      <c r="O267" s="58" t="str">
        <f>IF($C267="B",INDEX(Batters[[#All],[EYE P]],MATCH(Table5[[#This Row],[PID]],Batters[[#All],[PID]],0)),INDEX(Table3[[#All],[VELO]],MATCH(Table5[[#This Row],[PID]],Table3[[#All],[PID]],0)))</f>
        <v>84-86 Mph</v>
      </c>
      <c r="P267" s="58">
        <f>IF($C267="B",INDEX(Batters[[#All],[K P]],MATCH(Table5[[#This Row],[PID]],Batters[[#All],[PID]],0)),INDEX(Table3[[#All],[STM]],MATCH(Table5[[#This Row],[PID]],Table3[[#All],[PID]],0)))</f>
        <v>9</v>
      </c>
      <c r="Q267" s="63">
        <f>IF($C267="B",INDEX(Batters[[#All],[Tot]],MATCH(Table5[[#This Row],[PID]],Batters[[#All],[PID]],0)),INDEX(Table3[[#All],[Tot]],MATCH(Table5[[#This Row],[PID]],Table3[[#All],[PID]],0)))</f>
        <v>39.420839816707975</v>
      </c>
      <c r="R267" s="54">
        <f>IF($C267="B",INDEX(Batters[[#All],[zScore]],MATCH(Table5[[#This Row],[PID]],Batters[[#All],[PID]],0)),INDEX(Table3[[#All],[zScore]],MATCH(Table5[[#This Row],[PID]],Table3[[#All],[PID]],0)))</f>
        <v>0.61428923824565307</v>
      </c>
      <c r="S267" s="60" t="str">
        <f>IF($C267="B",INDEX(Batters[[#All],[DEM]],MATCH(Table5[[#This Row],[PID]],Batters[[#All],[PID]],0)),INDEX(Table3[[#All],[DEM]],MATCH(Table5[[#This Row],[PID]],Table3[[#All],[PID]],0)))</f>
        <v>$70k</v>
      </c>
      <c r="T267" s="64">
        <f>IF($C267="B",VLOOKUP($A267,Bat!$A$4:$AU$1417,46,FALSE),VLOOKUP($A267,Pit!$A$4:$BD$570,55,FALSE))</f>
        <v>0</v>
      </c>
      <c r="U267" s="52">
        <f>IF($C267="B",VLOOKUP($A267,Bat!$A$4:$BA$1417,47,FALSE),VLOOKUP($A267,Pit!$A$4:$BF$570,56,FALSE))</f>
        <v>0</v>
      </c>
      <c r="V267" s="52">
        <f>IF($C267="B",VLOOKUP($A267,Bat!$A$4:$BA$1417,48,FALSE),VLOOKUP($A267,Pit!$A$4:$BF$570,57,FALSE))</f>
        <v>0</v>
      </c>
      <c r="W267" s="52">
        <f>Table5[[#This Row],[posRnk]]+Table5[[#This Row],[zRnk]]+IF($W$3&lt;&gt;Table5[[#This Row],[Type]],50,0)</f>
        <v>313</v>
      </c>
      <c r="X267" s="53">
        <f>RANK(Table5[[#This Row],[zScore]],Table5[[#All],[zScore]])</f>
        <v>263</v>
      </c>
      <c r="Y267" s="52" t="str">
        <f>IFERROR(INDEX(DraftResults[[#All],[OVR]],MATCH(Table5[[#This Row],[PID]],DraftResults[[#All],[Player ID]],0)),"")</f>
        <v/>
      </c>
      <c r="Z2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7" s="52" t="str">
        <f>IFERROR(INDEX(DraftResults[[#All],[Pick in Round]],MATCH(Table5[[#This Row],[PID]],DraftResults[[#All],[Player ID]],0)),"")</f>
        <v/>
      </c>
      <c r="AB267" s="52" t="str">
        <f>IFERROR(INDEX(DraftResults[[#All],[Team Name]],MATCH(Table5[[#This Row],[PID]],DraftResults[[#All],[Player ID]],0)),"")</f>
        <v/>
      </c>
      <c r="AC267" s="52" t="str">
        <f>IF(Table5[[#This Row],[Ovr]]="","",IF(Table5[[#This Row],[cmbList]]="","",Table5[[#This Row],[cmbList]]-Table5[[#This Row],[Ovr]]))</f>
        <v/>
      </c>
      <c r="AD267" s="56" t="str">
        <f>IF(ISERROR(VLOOKUP($AB267&amp;"-"&amp;$E267&amp;" "&amp;F267,Bonuses!$B$1:$G$1006,4,FALSE)),"",INT(VLOOKUP($AB267&amp;"-"&amp;$E267&amp;" "&amp;$F267,Bonuses!$B$1:$G$1006,4,FALSE)))</f>
        <v/>
      </c>
      <c r="AE2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8" spans="1:31" s="52" customFormat="1" x14ac:dyDescent="0.25">
      <c r="A268" s="52">
        <v>17889</v>
      </c>
      <c r="B268" s="52">
        <f>COUNTIF(Table5[PID],A268)</f>
        <v>1</v>
      </c>
      <c r="C268" s="52" t="str">
        <f>IF(COUNTIF(Table3[[#All],[PID]],A268)&gt;0,"P","B")</f>
        <v>B</v>
      </c>
      <c r="D268" s="61" t="str">
        <f>IF($C268="B",INDEX(Batters[[#All],[POS]],MATCH(Table5[[#This Row],[PID]],Batters[[#All],[PID]],0)),INDEX(Table3[[#All],[POS]],MATCH(Table5[[#This Row],[PID]],Table3[[#All],[PID]],0)))</f>
        <v>1B</v>
      </c>
      <c r="E268" s="54" t="str">
        <f>IF($C268="B",INDEX(Batters[[#All],[First]],MATCH(Table5[[#This Row],[PID]],Batters[[#All],[PID]],0)),INDEX(Table3[[#All],[First]],MATCH(Table5[[#This Row],[PID]],Table3[[#All],[PID]],0)))</f>
        <v>Daniel</v>
      </c>
      <c r="F268" s="52" t="str">
        <f>IF($C268="B",INDEX(Batters[[#All],[Last]],MATCH(A268,Batters[[#All],[PID]],0)),INDEX(Table3[[#All],[Last]],MATCH(A268,Table3[[#All],[PID]],0)))</f>
        <v>Holton</v>
      </c>
      <c r="G268" s="58">
        <f>IF($C268="B",INDEX(Batters[[#All],[Age]],MATCH(Table5[[#This Row],[PID]],Batters[[#All],[PID]],0)),INDEX(Table3[[#All],[Age]],MATCH(Table5[[#This Row],[PID]],Table3[[#All],[PID]],0)))</f>
        <v>18</v>
      </c>
      <c r="H268" s="54" t="str">
        <f>IF($C268="B",INDEX(Batters[[#All],[B]],MATCH(Table5[[#This Row],[PID]],Batters[[#All],[PID]],0)),INDEX(Table3[[#All],[B]],MATCH(Table5[[#This Row],[PID]],Table3[[#All],[PID]],0)))</f>
        <v>R</v>
      </c>
      <c r="I268" s="54" t="str">
        <f>IF($C268="B",INDEX(Batters[[#All],[T]],MATCH(Table5[[#This Row],[PID]],Batters[[#All],[PID]],0)),INDEX(Table3[[#All],[T]],MATCH(Table5[[#This Row],[PID]],Table3[[#All],[PID]],0)))</f>
        <v>R</v>
      </c>
      <c r="J268" s="54" t="str">
        <f>IF($C268="B",INDEX(Batters[[#All],[WE]],MATCH(Table5[[#This Row],[PID]],Batters[[#All],[PID]],0)),INDEX(Table3[[#All],[WE]],MATCH(Table5[[#This Row],[PID]],Table3[[#All],[PID]],0)))</f>
        <v>High</v>
      </c>
      <c r="K268" s="54" t="str">
        <f>IF($C268="B",INDEX(Batters[[#All],[INT]],MATCH(Table5[[#This Row],[PID]],Batters[[#All],[PID]],0)),INDEX(Table3[[#All],[INT]],MATCH(Table5[[#This Row],[PID]],Table3[[#All],[PID]],0)))</f>
        <v>Normal</v>
      </c>
      <c r="L268" s="62">
        <f>IF($C268="B",INDEX(Batters[[#All],[CON P]],MATCH(Table5[[#This Row],[PID]],Batters[[#All],[PID]],0)),INDEX(Table3[[#All],[STU P]],MATCH(Table5[[#This Row],[PID]],Table3[[#All],[PID]],0)))</f>
        <v>3</v>
      </c>
      <c r="M268" s="58">
        <f>IF($C268="B",INDEX(Batters[[#All],[GAP P]],MATCH(Table5[[#This Row],[PID]],Batters[[#All],[PID]],0)),INDEX(Table3[[#All],[MOV P]],MATCH(Table5[[#This Row],[PID]],Table3[[#All],[PID]],0)))</f>
        <v>4</v>
      </c>
      <c r="N268" s="58">
        <f>IF($C268="B",INDEX(Batters[[#All],[POW P]],MATCH(Table5[[#This Row],[PID]],Batters[[#All],[PID]],0)),INDEX(Table3[[#All],[CON P]],MATCH(Table5[[#This Row],[PID]],Table3[[#All],[PID]],0)))</f>
        <v>5</v>
      </c>
      <c r="O268" s="58">
        <f>IF($C268="B",INDEX(Batters[[#All],[EYE P]],MATCH(Table5[[#This Row],[PID]],Batters[[#All],[PID]],0)),INDEX(Table3[[#All],[VELO]],MATCH(Table5[[#This Row],[PID]],Table3[[#All],[PID]],0)))</f>
        <v>4</v>
      </c>
      <c r="P268" s="58">
        <f>IF($C268="B",INDEX(Batters[[#All],[K P]],MATCH(Table5[[#This Row],[PID]],Batters[[#All],[PID]],0)),INDEX(Table3[[#All],[STM]],MATCH(Table5[[#This Row],[PID]],Table3[[#All],[PID]],0)))</f>
        <v>5</v>
      </c>
      <c r="Q268" s="63">
        <f>IF($C268="B",INDEX(Batters[[#All],[Tot]],MATCH(Table5[[#This Row],[PID]],Batters[[#All],[PID]],0)),INDEX(Table3[[#All],[Tot]],MATCH(Table5[[#This Row],[PID]],Table3[[#All],[PID]],0)))</f>
        <v>43.825942581666162</v>
      </c>
      <c r="R268" s="54">
        <f>IF($C268="B",INDEX(Batters[[#All],[zScore]],MATCH(Table5[[#This Row],[PID]],Batters[[#All],[PID]],0)),INDEX(Table3[[#All],[zScore]],MATCH(Table5[[#This Row],[PID]],Table3[[#All],[PID]],0)))</f>
        <v>0.61187736075755861</v>
      </c>
      <c r="S268" s="60" t="str">
        <f>IF($C268="B",INDEX(Batters[[#All],[DEM]],MATCH(Table5[[#This Row],[PID]],Batters[[#All],[PID]],0)),INDEX(Table3[[#All],[DEM]],MATCH(Table5[[#This Row],[PID]],Table3[[#All],[PID]],0)))</f>
        <v>$200k</v>
      </c>
      <c r="T268" s="64">
        <f>IF($C268="B",VLOOKUP($A268,Bat!$A$4:$AU$1417,46,FALSE),VLOOKUP($A268,Pit!$A$4:$BD$570,55,FALSE))</f>
        <v>0</v>
      </c>
      <c r="U268" s="52">
        <f>IF($C268="B",VLOOKUP($A268,Bat!$A$4:$BA$1417,47,FALSE),VLOOKUP($A268,Pit!$A$4:$BF$570,56,FALSE))</f>
        <v>0</v>
      </c>
      <c r="V268" s="52">
        <f>IF($C268="B",VLOOKUP($A268,Bat!$A$4:$BA$1417,48,FALSE),VLOOKUP($A268,Pit!$A$4:$BF$570,57,FALSE))</f>
        <v>0</v>
      </c>
      <c r="W268" s="52">
        <f>Table5[[#This Row],[posRnk]]+Table5[[#This Row],[zRnk]]+IF($W$3&lt;&gt;Table5[[#This Row],[Type]],50,0)</f>
        <v>314</v>
      </c>
      <c r="X268" s="53">
        <f>RANK(Table5[[#This Row],[zScore]],Table5[[#All],[zScore]])</f>
        <v>264</v>
      </c>
      <c r="Y268" s="52" t="str">
        <f>IFERROR(INDEX(DraftResults[[#All],[OVR]],MATCH(Table5[[#This Row],[PID]],DraftResults[[#All],[Player ID]],0)),"")</f>
        <v/>
      </c>
      <c r="Z2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8" s="52" t="str">
        <f>IFERROR(INDEX(DraftResults[[#All],[Pick in Round]],MATCH(Table5[[#This Row],[PID]],DraftResults[[#All],[Player ID]],0)),"")</f>
        <v/>
      </c>
      <c r="AB268" s="52" t="str">
        <f>IFERROR(INDEX(DraftResults[[#All],[Team Name]],MATCH(Table5[[#This Row],[PID]],DraftResults[[#All],[Player ID]],0)),"")</f>
        <v/>
      </c>
      <c r="AC268" s="52" t="str">
        <f>IF(Table5[[#This Row],[Ovr]]="","",IF(Table5[[#This Row],[cmbList]]="","",Table5[[#This Row],[cmbList]]-Table5[[#This Row],[Ovr]]))</f>
        <v/>
      </c>
      <c r="AD268" s="56" t="str">
        <f>IF(ISERROR(VLOOKUP($AB268&amp;"-"&amp;$E268&amp;" "&amp;F268,Bonuses!$B$1:$G$1006,4,FALSE)),"",INT(VLOOKUP($AB268&amp;"-"&amp;$E268&amp;" "&amp;$F268,Bonuses!$B$1:$G$1006,4,FALSE)))</f>
        <v/>
      </c>
      <c r="AE2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9" spans="1:31" s="52" customFormat="1" x14ac:dyDescent="0.25">
      <c r="A269" s="52">
        <v>14964</v>
      </c>
      <c r="B269" s="52">
        <f>COUNTIF(Table5[PID],A269)</f>
        <v>1</v>
      </c>
      <c r="C269" s="52" t="str">
        <f>IF(COUNTIF(Table3[[#All],[PID]],A269)&gt;0,"P","B")</f>
        <v>P</v>
      </c>
      <c r="D269" s="61" t="str">
        <f>IF($C269="B",INDEX(Batters[[#All],[POS]],MATCH(Table5[[#This Row],[PID]],Batters[[#All],[PID]],0)),INDEX(Table3[[#All],[POS]],MATCH(Table5[[#This Row],[PID]],Table3[[#All],[PID]],0)))</f>
        <v>RP</v>
      </c>
      <c r="E269" s="54" t="str">
        <f>IF($C269="B",INDEX(Batters[[#All],[First]],MATCH(Table5[[#This Row],[PID]],Batters[[#All],[PID]],0)),INDEX(Table3[[#All],[First]],MATCH(Table5[[#This Row],[PID]],Table3[[#All],[PID]],0)))</f>
        <v>Takanobu</v>
      </c>
      <c r="F269" s="52" t="str">
        <f>IF($C269="B",INDEX(Batters[[#All],[Last]],MATCH(A269,Batters[[#All],[PID]],0)),INDEX(Table3[[#All],[Last]],MATCH(A269,Table3[[#All],[PID]],0)))</f>
        <v>Tanaka</v>
      </c>
      <c r="G269" s="58">
        <f>IF($C269="B",INDEX(Batters[[#All],[Age]],MATCH(Table5[[#This Row],[PID]],Batters[[#All],[PID]],0)),INDEX(Table3[[#All],[Age]],MATCH(Table5[[#This Row],[PID]],Table3[[#All],[PID]],0)))</f>
        <v>18</v>
      </c>
      <c r="H269" s="54" t="str">
        <f>IF($C269="B",INDEX(Batters[[#All],[B]],MATCH(Table5[[#This Row],[PID]],Batters[[#All],[PID]],0)),INDEX(Table3[[#All],[B]],MATCH(Table5[[#This Row],[PID]],Table3[[#All],[PID]],0)))</f>
        <v>S</v>
      </c>
      <c r="I269" s="54" t="str">
        <f>IF($C269="B",INDEX(Batters[[#All],[T]],MATCH(Table5[[#This Row],[PID]],Batters[[#All],[PID]],0)),INDEX(Table3[[#All],[T]],MATCH(Table5[[#This Row],[PID]],Table3[[#All],[PID]],0)))</f>
        <v>R</v>
      </c>
      <c r="J269" s="54" t="str">
        <f>IF($C269="B",INDEX(Batters[[#All],[WE]],MATCH(Table5[[#This Row],[PID]],Batters[[#All],[PID]],0)),INDEX(Table3[[#All],[WE]],MATCH(Table5[[#This Row],[PID]],Table3[[#All],[PID]],0)))</f>
        <v>High</v>
      </c>
      <c r="K269" s="54" t="str">
        <f>IF($C269="B",INDEX(Batters[[#All],[INT]],MATCH(Table5[[#This Row],[PID]],Batters[[#All],[PID]],0)),INDEX(Table3[[#All],[INT]],MATCH(Table5[[#This Row],[PID]],Table3[[#All],[PID]],0)))</f>
        <v>Normal</v>
      </c>
      <c r="L269" s="62">
        <f>IF($C269="B",INDEX(Batters[[#All],[CON P]],MATCH(Table5[[#This Row],[PID]],Batters[[#All],[PID]],0)),INDEX(Table3[[#All],[STU P]],MATCH(Table5[[#This Row],[PID]],Table3[[#All],[PID]],0)))</f>
        <v>3</v>
      </c>
      <c r="M269" s="58">
        <f>IF($C269="B",INDEX(Batters[[#All],[GAP P]],MATCH(Table5[[#This Row],[PID]],Batters[[#All],[PID]],0)),INDEX(Table3[[#All],[MOV P]],MATCH(Table5[[#This Row],[PID]],Table3[[#All],[PID]],0)))</f>
        <v>4</v>
      </c>
      <c r="N269" s="58">
        <f>IF($C269="B",INDEX(Batters[[#All],[POW P]],MATCH(Table5[[#This Row],[PID]],Batters[[#All],[PID]],0)),INDEX(Table3[[#All],[CON P]],MATCH(Table5[[#This Row],[PID]],Table3[[#All],[PID]],0)))</f>
        <v>3</v>
      </c>
      <c r="O269" s="58" t="str">
        <f>IF($C269="B",INDEX(Batters[[#All],[EYE P]],MATCH(Table5[[#This Row],[PID]],Batters[[#All],[PID]],0)),INDEX(Table3[[#All],[VELO]],MATCH(Table5[[#This Row],[PID]],Table3[[#All],[PID]],0)))</f>
        <v>86-88 Mph</v>
      </c>
      <c r="P269" s="58">
        <f>IF($C269="B",INDEX(Batters[[#All],[K P]],MATCH(Table5[[#This Row],[PID]],Batters[[#All],[PID]],0)),INDEX(Table3[[#All],[STM]],MATCH(Table5[[#This Row],[PID]],Table3[[#All],[PID]],0)))</f>
        <v>2</v>
      </c>
      <c r="Q269" s="63">
        <f>IF($C269="B",INDEX(Batters[[#All],[Tot]],MATCH(Table5[[#This Row],[PID]],Batters[[#All],[PID]],0)),INDEX(Table3[[#All],[Tot]],MATCH(Table5[[#This Row],[PID]],Table3[[#All],[PID]],0)))</f>
        <v>37.143568256361917</v>
      </c>
      <c r="R269" s="54">
        <f>IF($C269="B",INDEX(Batters[[#All],[zScore]],MATCH(Table5[[#This Row],[PID]],Batters[[#All],[PID]],0)),INDEX(Table3[[#All],[zScore]],MATCH(Table5[[#This Row],[PID]],Table3[[#All],[PID]],0)))</f>
        <v>0.59144062708758882</v>
      </c>
      <c r="S269" s="60" t="str">
        <f>IF($C269="B",INDEX(Batters[[#All],[DEM]],MATCH(Table5[[#This Row],[PID]],Batters[[#All],[PID]],0)),INDEX(Table3[[#All],[DEM]],MATCH(Table5[[#This Row],[PID]],Table3[[#All],[PID]],0)))</f>
        <v>$65k</v>
      </c>
      <c r="T269" s="64">
        <f>IF($C269="B",VLOOKUP($A269,Bat!$A$4:$AU$1417,46,FALSE),VLOOKUP($A269,Pit!$A$4:$BD$570,55,FALSE))</f>
        <v>0</v>
      </c>
      <c r="U269" s="52">
        <f>IF($C269="B",VLOOKUP($A269,Bat!$A$4:$BA$1417,47,FALSE),VLOOKUP($A269,Pit!$A$4:$BF$570,56,FALSE))</f>
        <v>0</v>
      </c>
      <c r="V269" s="52">
        <f>IF($C269="B",VLOOKUP($A269,Bat!$A$4:$BA$1417,48,FALSE),VLOOKUP($A269,Pit!$A$4:$BF$570,57,FALSE))</f>
        <v>0</v>
      </c>
      <c r="W269" s="52">
        <f>Table5[[#This Row],[posRnk]]+Table5[[#This Row],[zRnk]]+IF($W$3&lt;&gt;Table5[[#This Row],[Type]],50,0)</f>
        <v>315</v>
      </c>
      <c r="X269" s="53">
        <f>RANK(Table5[[#This Row],[zScore]],Table5[[#All],[zScore]])</f>
        <v>265</v>
      </c>
      <c r="Y269" s="52" t="str">
        <f>IFERROR(INDEX(DraftResults[[#All],[OVR]],MATCH(Table5[[#This Row],[PID]],DraftResults[[#All],[Player ID]],0)),"")</f>
        <v/>
      </c>
      <c r="Z2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9" s="52" t="str">
        <f>IFERROR(INDEX(DraftResults[[#All],[Pick in Round]],MATCH(Table5[[#This Row],[PID]],DraftResults[[#All],[Player ID]],0)),"")</f>
        <v/>
      </c>
      <c r="AB269" s="52" t="str">
        <f>IFERROR(INDEX(DraftResults[[#All],[Team Name]],MATCH(Table5[[#This Row],[PID]],DraftResults[[#All],[Player ID]],0)),"")</f>
        <v/>
      </c>
      <c r="AC269" s="52" t="str">
        <f>IF(Table5[[#This Row],[Ovr]]="","",IF(Table5[[#This Row],[cmbList]]="","",Table5[[#This Row],[cmbList]]-Table5[[#This Row],[Ovr]]))</f>
        <v/>
      </c>
      <c r="AD269" s="56" t="str">
        <f>IF(ISERROR(VLOOKUP($AB269&amp;"-"&amp;$E269&amp;" "&amp;F269,Bonuses!$B$1:$G$1006,4,FALSE)),"",INT(VLOOKUP($AB269&amp;"-"&amp;$E269&amp;" "&amp;$F269,Bonuses!$B$1:$G$1006,4,FALSE)))</f>
        <v/>
      </c>
      <c r="AE2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0" spans="1:31" s="52" customFormat="1" x14ac:dyDescent="0.25">
      <c r="A270" s="52">
        <v>756</v>
      </c>
      <c r="B270" s="52">
        <f>COUNTIF(Table5[PID],A270)</f>
        <v>1</v>
      </c>
      <c r="C270" s="52" t="str">
        <f>IF(COUNTIF(Table3[[#All],[PID]],A270)&gt;0,"P","B")</f>
        <v>B</v>
      </c>
      <c r="D270" s="61" t="str">
        <f>IF($C270="B",INDEX(Batters[[#All],[POS]],MATCH(Table5[[#This Row],[PID]],Batters[[#All],[PID]],0)),INDEX(Table3[[#All],[POS]],MATCH(Table5[[#This Row],[PID]],Table3[[#All],[PID]],0)))</f>
        <v>CF</v>
      </c>
      <c r="E270" s="54" t="str">
        <f>IF($C270="B",INDEX(Batters[[#All],[First]],MATCH(Table5[[#This Row],[PID]],Batters[[#All],[PID]],0)),INDEX(Table3[[#All],[First]],MATCH(Table5[[#This Row],[PID]],Table3[[#All],[PID]],0)))</f>
        <v>Millard</v>
      </c>
      <c r="F270" s="52" t="str">
        <f>IF($C270="B",INDEX(Batters[[#All],[Last]],MATCH(A270,Batters[[#All],[PID]],0)),INDEX(Table3[[#All],[Last]],MATCH(A270,Table3[[#All],[PID]],0)))</f>
        <v>Petty</v>
      </c>
      <c r="G270" s="58">
        <f>IF($C270="B",INDEX(Batters[[#All],[Age]],MATCH(Table5[[#This Row],[PID]],Batters[[#All],[PID]],0)),INDEX(Table3[[#All],[Age]],MATCH(Table5[[#This Row],[PID]],Table3[[#All],[PID]],0)))</f>
        <v>18</v>
      </c>
      <c r="H270" s="54" t="str">
        <f>IF($C270="B",INDEX(Batters[[#All],[B]],MATCH(Table5[[#This Row],[PID]],Batters[[#All],[PID]],0)),INDEX(Table3[[#All],[B]],MATCH(Table5[[#This Row],[PID]],Table3[[#All],[PID]],0)))</f>
        <v>L</v>
      </c>
      <c r="I270" s="54" t="str">
        <f>IF($C270="B",INDEX(Batters[[#All],[T]],MATCH(Table5[[#This Row],[PID]],Batters[[#All],[PID]],0)),INDEX(Table3[[#All],[T]],MATCH(Table5[[#This Row],[PID]],Table3[[#All],[PID]],0)))</f>
        <v>L</v>
      </c>
      <c r="J270" s="54" t="str">
        <f>IF($C270="B",INDEX(Batters[[#All],[WE]],MATCH(Table5[[#This Row],[PID]],Batters[[#All],[PID]],0)),INDEX(Table3[[#All],[WE]],MATCH(Table5[[#This Row],[PID]],Table3[[#All],[PID]],0)))</f>
        <v>Normal</v>
      </c>
      <c r="K270" s="54" t="str">
        <f>IF($C270="B",INDEX(Batters[[#All],[INT]],MATCH(Table5[[#This Row],[PID]],Batters[[#All],[PID]],0)),INDEX(Table3[[#All],[INT]],MATCH(Table5[[#This Row],[PID]],Table3[[#All],[PID]],0)))</f>
        <v>Normal</v>
      </c>
      <c r="L270" s="62">
        <f>IF($C270="B",INDEX(Batters[[#All],[CON P]],MATCH(Table5[[#This Row],[PID]],Batters[[#All],[PID]],0)),INDEX(Table3[[#All],[STU P]],MATCH(Table5[[#This Row],[PID]],Table3[[#All],[PID]],0)))</f>
        <v>3</v>
      </c>
      <c r="M270" s="58">
        <f>IF($C270="B",INDEX(Batters[[#All],[GAP P]],MATCH(Table5[[#This Row],[PID]],Batters[[#All],[PID]],0)),INDEX(Table3[[#All],[MOV P]],MATCH(Table5[[#This Row],[PID]],Table3[[#All],[PID]],0)))</f>
        <v>4</v>
      </c>
      <c r="N270" s="58">
        <f>IF($C270="B",INDEX(Batters[[#All],[POW P]],MATCH(Table5[[#This Row],[PID]],Batters[[#All],[PID]],0)),INDEX(Table3[[#All],[CON P]],MATCH(Table5[[#This Row],[PID]],Table3[[#All],[PID]],0)))</f>
        <v>4</v>
      </c>
      <c r="O270" s="58">
        <f>IF($C270="B",INDEX(Batters[[#All],[EYE P]],MATCH(Table5[[#This Row],[PID]],Batters[[#All],[PID]],0)),INDEX(Table3[[#All],[VELO]],MATCH(Table5[[#This Row],[PID]],Table3[[#All],[PID]],0)))</f>
        <v>5</v>
      </c>
      <c r="P270" s="58">
        <f>IF($C270="B",INDEX(Batters[[#All],[K P]],MATCH(Table5[[#This Row],[PID]],Batters[[#All],[PID]],0)),INDEX(Table3[[#All],[STM]],MATCH(Table5[[#This Row],[PID]],Table3[[#All],[PID]],0)))</f>
        <v>3</v>
      </c>
      <c r="Q270" s="63">
        <f>IF($C270="B",INDEX(Batters[[#All],[Tot]],MATCH(Table5[[#This Row],[PID]],Batters[[#All],[PID]],0)),INDEX(Table3[[#All],[Tot]],MATCH(Table5[[#This Row],[PID]],Table3[[#All],[PID]],0)))</f>
        <v>43.707245025889968</v>
      </c>
      <c r="R270" s="54">
        <f>IF($C270="B",INDEX(Batters[[#All],[zScore]],MATCH(Table5[[#This Row],[PID]],Batters[[#All],[PID]],0)),INDEX(Table3[[#All],[zScore]],MATCH(Table5[[#This Row],[PID]],Table3[[#All],[PID]],0)))</f>
        <v>0.5909933147187032</v>
      </c>
      <c r="S270" s="60" t="str">
        <f>IF($C270="B",INDEX(Batters[[#All],[DEM]],MATCH(Table5[[#This Row],[PID]],Batters[[#All],[PID]],0)),INDEX(Table3[[#All],[DEM]],MATCH(Table5[[#This Row],[PID]],Table3[[#All],[PID]],0)))</f>
        <v>$370k</v>
      </c>
      <c r="T270" s="64">
        <f>IF($C270="B",VLOOKUP($A270,Bat!$A$4:$AU$1417,46,FALSE),VLOOKUP($A270,Pit!$A$4:$BD$570,55,FALSE))</f>
        <v>0</v>
      </c>
      <c r="U270" s="52">
        <f>IF($C270="B",VLOOKUP($A270,Bat!$A$4:$BA$1417,47,FALSE),VLOOKUP($A270,Pit!$A$4:$BF$570,56,FALSE))</f>
        <v>0</v>
      </c>
      <c r="V270" s="52">
        <f>IF($C270="B",VLOOKUP($A270,Bat!$A$4:$BA$1417,48,FALSE),VLOOKUP($A270,Pit!$A$4:$BF$570,57,FALSE))</f>
        <v>0</v>
      </c>
      <c r="W270" s="52">
        <f>Table5[[#This Row],[posRnk]]+Table5[[#This Row],[zRnk]]+IF($W$3&lt;&gt;Table5[[#This Row],[Type]],50,0)</f>
        <v>316</v>
      </c>
      <c r="X270" s="53">
        <f>RANK(Table5[[#This Row],[zScore]],Table5[[#All],[zScore]])</f>
        <v>266</v>
      </c>
      <c r="Y270" s="52" t="str">
        <f>IFERROR(INDEX(DraftResults[[#All],[OVR]],MATCH(Table5[[#This Row],[PID]],DraftResults[[#All],[Player ID]],0)),"")</f>
        <v/>
      </c>
      <c r="Z2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0" s="52" t="str">
        <f>IFERROR(INDEX(DraftResults[[#All],[Pick in Round]],MATCH(Table5[[#This Row],[PID]],DraftResults[[#All],[Player ID]],0)),"")</f>
        <v/>
      </c>
      <c r="AB270" s="52" t="str">
        <f>IFERROR(INDEX(DraftResults[[#All],[Team Name]],MATCH(Table5[[#This Row],[PID]],DraftResults[[#All],[Player ID]],0)),"")</f>
        <v/>
      </c>
      <c r="AC270" s="52" t="str">
        <f>IF(Table5[[#This Row],[Ovr]]="","",IF(Table5[[#This Row],[cmbList]]="","",Table5[[#This Row],[cmbList]]-Table5[[#This Row],[Ovr]]))</f>
        <v/>
      </c>
      <c r="AD270" s="56" t="str">
        <f>IF(ISERROR(VLOOKUP($AB270&amp;"-"&amp;$E270&amp;" "&amp;F270,Bonuses!$B$1:$G$1006,4,FALSE)),"",INT(VLOOKUP($AB270&amp;"-"&amp;$E270&amp;" "&amp;$F270,Bonuses!$B$1:$G$1006,4,FALSE)))</f>
        <v/>
      </c>
      <c r="AE2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1" spans="1:31" s="52" customFormat="1" x14ac:dyDescent="0.25">
      <c r="A271" s="52">
        <v>13345</v>
      </c>
      <c r="B271" s="52">
        <f>COUNTIF(Table5[PID],A271)</f>
        <v>1</v>
      </c>
      <c r="C271" s="52" t="str">
        <f>IF(COUNTIF(Table3[[#All],[PID]],A271)&gt;0,"P","B")</f>
        <v>B</v>
      </c>
      <c r="D271" s="61" t="str">
        <f>IF($C271="B",INDEX(Batters[[#All],[POS]],MATCH(Table5[[#This Row],[PID]],Batters[[#All],[PID]],0)),INDEX(Table3[[#All],[POS]],MATCH(Table5[[#This Row],[PID]],Table3[[#All],[PID]],0)))</f>
        <v>3B</v>
      </c>
      <c r="E271" s="54" t="str">
        <f>IF($C271="B",INDEX(Batters[[#All],[First]],MATCH(Table5[[#This Row],[PID]],Batters[[#All],[PID]],0)),INDEX(Table3[[#All],[First]],MATCH(Table5[[#This Row],[PID]],Table3[[#All],[PID]],0)))</f>
        <v>Harry</v>
      </c>
      <c r="F271" s="52" t="str">
        <f>IF($C271="B",INDEX(Batters[[#All],[Last]],MATCH(A271,Batters[[#All],[PID]],0)),INDEX(Table3[[#All],[Last]],MATCH(A271,Table3[[#All],[PID]],0)))</f>
        <v>Seitzinger</v>
      </c>
      <c r="G271" s="58">
        <f>IF($C271="B",INDEX(Batters[[#All],[Age]],MATCH(Table5[[#This Row],[PID]],Batters[[#All],[PID]],0)),INDEX(Table3[[#All],[Age]],MATCH(Table5[[#This Row],[PID]],Table3[[#All],[PID]],0)))</f>
        <v>18</v>
      </c>
      <c r="H271" s="54" t="str">
        <f>IF($C271="B",INDEX(Batters[[#All],[B]],MATCH(Table5[[#This Row],[PID]],Batters[[#All],[PID]],0)),INDEX(Table3[[#All],[B]],MATCH(Table5[[#This Row],[PID]],Table3[[#All],[PID]],0)))</f>
        <v>L</v>
      </c>
      <c r="I271" s="54" t="str">
        <f>IF($C271="B",INDEX(Batters[[#All],[T]],MATCH(Table5[[#This Row],[PID]],Batters[[#All],[PID]],0)),INDEX(Table3[[#All],[T]],MATCH(Table5[[#This Row],[PID]],Table3[[#All],[PID]],0)))</f>
        <v>R</v>
      </c>
      <c r="J271" s="54" t="str">
        <f>IF($C271="B",INDEX(Batters[[#All],[WE]],MATCH(Table5[[#This Row],[PID]],Batters[[#All],[PID]],0)),INDEX(Table3[[#All],[WE]],MATCH(Table5[[#This Row],[PID]],Table3[[#All],[PID]],0)))</f>
        <v>Normal</v>
      </c>
      <c r="K271" s="54" t="str">
        <f>IF($C271="B",INDEX(Batters[[#All],[INT]],MATCH(Table5[[#This Row],[PID]],Batters[[#All],[PID]],0)),INDEX(Table3[[#All],[INT]],MATCH(Table5[[#This Row],[PID]],Table3[[#All],[PID]],0)))</f>
        <v>Normal</v>
      </c>
      <c r="L271" s="62">
        <f>IF($C271="B",INDEX(Batters[[#All],[CON P]],MATCH(Table5[[#This Row],[PID]],Batters[[#All],[PID]],0)),INDEX(Table3[[#All],[STU P]],MATCH(Table5[[#This Row],[PID]],Table3[[#All],[PID]],0)))</f>
        <v>3</v>
      </c>
      <c r="M271" s="58">
        <f>IF($C271="B",INDEX(Batters[[#All],[GAP P]],MATCH(Table5[[#This Row],[PID]],Batters[[#All],[PID]],0)),INDEX(Table3[[#All],[MOV P]],MATCH(Table5[[#This Row],[PID]],Table3[[#All],[PID]],0)))</f>
        <v>5</v>
      </c>
      <c r="N271" s="58">
        <f>IF($C271="B",INDEX(Batters[[#All],[POW P]],MATCH(Table5[[#This Row],[PID]],Batters[[#All],[PID]],0)),INDEX(Table3[[#All],[CON P]],MATCH(Table5[[#This Row],[PID]],Table3[[#All],[PID]],0)))</f>
        <v>5</v>
      </c>
      <c r="O271" s="58">
        <f>IF($C271="B",INDEX(Batters[[#All],[EYE P]],MATCH(Table5[[#This Row],[PID]],Batters[[#All],[PID]],0)),INDEX(Table3[[#All],[VELO]],MATCH(Table5[[#This Row],[PID]],Table3[[#All],[PID]],0)))</f>
        <v>4</v>
      </c>
      <c r="P271" s="58">
        <f>IF($C271="B",INDEX(Batters[[#All],[K P]],MATCH(Table5[[#This Row],[PID]],Batters[[#All],[PID]],0)),INDEX(Table3[[#All],[STM]],MATCH(Table5[[#This Row],[PID]],Table3[[#All],[PID]],0)))</f>
        <v>4</v>
      </c>
      <c r="Q271" s="63">
        <f>IF($C271="B",INDEX(Batters[[#All],[Tot]],MATCH(Table5[[#This Row],[PID]],Batters[[#All],[PID]],0)),INDEX(Table3[[#All],[Tot]],MATCH(Table5[[#This Row],[PID]],Table3[[#All],[PID]],0)))</f>
        <v>43.651126596920754</v>
      </c>
      <c r="R271" s="54">
        <f>IF($C271="B",INDEX(Batters[[#All],[zScore]],MATCH(Table5[[#This Row],[PID]],Batters[[#All],[PID]],0)),INDEX(Table3[[#All],[zScore]],MATCH(Table5[[#This Row],[PID]],Table3[[#All],[PID]],0)))</f>
        <v>0.5811196501216741</v>
      </c>
      <c r="S271" s="60" t="str">
        <f>IF($C271="B",INDEX(Batters[[#All],[DEM]],MATCH(Table5[[#This Row],[PID]],Batters[[#All],[PID]],0)),INDEX(Table3[[#All],[DEM]],MATCH(Table5[[#This Row],[PID]],Table3[[#All],[PID]],0)))</f>
        <v>$200k</v>
      </c>
      <c r="T271" s="64">
        <f>IF($C271="B",VLOOKUP($A271,Bat!$A$4:$AU$1417,46,FALSE),VLOOKUP($A271,Pit!$A$4:$BD$570,55,FALSE))</f>
        <v>0</v>
      </c>
      <c r="U271" s="52">
        <f>IF($C271="B",VLOOKUP($A271,Bat!$A$4:$BA$1417,47,FALSE),VLOOKUP($A271,Pit!$A$4:$BF$570,56,FALSE))</f>
        <v>0</v>
      </c>
      <c r="V271" s="52">
        <f>IF($C271="B",VLOOKUP($A271,Bat!$A$4:$BA$1417,48,FALSE),VLOOKUP($A271,Pit!$A$4:$BF$570,57,FALSE))</f>
        <v>0</v>
      </c>
      <c r="W271" s="52">
        <f>Table5[[#This Row],[posRnk]]+Table5[[#This Row],[zRnk]]+IF($W$3&lt;&gt;Table5[[#This Row],[Type]],50,0)</f>
        <v>317</v>
      </c>
      <c r="X271" s="53">
        <f>RANK(Table5[[#This Row],[zScore]],Table5[[#All],[zScore]])</f>
        <v>267</v>
      </c>
      <c r="Y271" s="52" t="str">
        <f>IFERROR(INDEX(DraftResults[[#All],[OVR]],MATCH(Table5[[#This Row],[PID]],DraftResults[[#All],[Player ID]],0)),"")</f>
        <v/>
      </c>
      <c r="Z2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1" s="52" t="str">
        <f>IFERROR(INDEX(DraftResults[[#All],[Pick in Round]],MATCH(Table5[[#This Row],[PID]],DraftResults[[#All],[Player ID]],0)),"")</f>
        <v/>
      </c>
      <c r="AB271" s="52" t="str">
        <f>IFERROR(INDEX(DraftResults[[#All],[Team Name]],MATCH(Table5[[#This Row],[PID]],DraftResults[[#All],[Player ID]],0)),"")</f>
        <v/>
      </c>
      <c r="AC271" s="52" t="str">
        <f>IF(Table5[[#This Row],[Ovr]]="","",IF(Table5[[#This Row],[cmbList]]="","",Table5[[#This Row],[cmbList]]-Table5[[#This Row],[Ovr]]))</f>
        <v/>
      </c>
      <c r="AD271" s="56" t="str">
        <f>IF(ISERROR(VLOOKUP($AB271&amp;"-"&amp;$E271&amp;" "&amp;F271,Bonuses!$B$1:$G$1006,4,FALSE)),"",INT(VLOOKUP($AB271&amp;"-"&amp;$E271&amp;" "&amp;$F271,Bonuses!$B$1:$G$1006,4,FALSE)))</f>
        <v/>
      </c>
      <c r="AE2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2" spans="1:31" s="52" customFormat="1" x14ac:dyDescent="0.25">
      <c r="A272" s="52">
        <v>7022</v>
      </c>
      <c r="B272" s="57">
        <f>COUNTIF(Table5[PID],A272)</f>
        <v>1</v>
      </c>
      <c r="C272" s="57" t="str">
        <f>IF(COUNTIF(Table3[[#All],[PID]],A272)&gt;0,"P","B")</f>
        <v>B</v>
      </c>
      <c r="D272" s="61" t="str">
        <f>IF($C272="B",INDEX(Batters[[#All],[POS]],MATCH(Table5[[#This Row],[PID]],Batters[[#All],[PID]],0)),INDEX(Table3[[#All],[POS]],MATCH(Table5[[#This Row],[PID]],Table3[[#All],[PID]],0)))</f>
        <v>RF</v>
      </c>
      <c r="E272" s="54" t="str">
        <f>IF($C272="B",INDEX(Batters[[#All],[First]],MATCH(Table5[[#This Row],[PID]],Batters[[#All],[PID]],0)),INDEX(Table3[[#All],[First]],MATCH(Table5[[#This Row],[PID]],Table3[[#All],[PID]],0)))</f>
        <v>Kiyomori</v>
      </c>
      <c r="F272" s="52" t="str">
        <f>IF($C272="B",INDEX(Batters[[#All],[Last]],MATCH(A272,Batters[[#All],[PID]],0)),INDEX(Table3[[#All],[Last]],MATCH(A272,Table3[[#All],[PID]],0)))</f>
        <v>Mori</v>
      </c>
      <c r="G272" s="58">
        <f>IF($C272="B",INDEX(Batters[[#All],[Age]],MATCH(Table5[[#This Row],[PID]],Batters[[#All],[PID]],0)),INDEX(Table3[[#All],[Age]],MATCH(Table5[[#This Row],[PID]],Table3[[#All],[PID]],0)))</f>
        <v>21</v>
      </c>
      <c r="H272" s="54" t="str">
        <f>IF($C272="B",INDEX(Batters[[#All],[B]],MATCH(Table5[[#This Row],[PID]],Batters[[#All],[PID]],0)),INDEX(Table3[[#All],[B]],MATCH(Table5[[#This Row],[PID]],Table3[[#All],[PID]],0)))</f>
        <v>L</v>
      </c>
      <c r="I272" s="54" t="str">
        <f>IF($C272="B",INDEX(Batters[[#All],[T]],MATCH(Table5[[#This Row],[PID]],Batters[[#All],[PID]],0)),INDEX(Table3[[#All],[T]],MATCH(Table5[[#This Row],[PID]],Table3[[#All],[PID]],0)))</f>
        <v>L</v>
      </c>
      <c r="J272" s="54" t="str">
        <f>IF($C272="B",INDEX(Batters[[#All],[WE]],MATCH(Table5[[#This Row],[PID]],Batters[[#All],[PID]],0)),INDEX(Table3[[#All],[WE]],MATCH(Table5[[#This Row],[PID]],Table3[[#All],[PID]],0)))</f>
        <v>High</v>
      </c>
      <c r="K272" s="54" t="str">
        <f>IF($C272="B",INDEX(Batters[[#All],[INT]],MATCH(Table5[[#This Row],[PID]],Batters[[#All],[PID]],0)),INDEX(Table3[[#All],[INT]],MATCH(Table5[[#This Row],[PID]],Table3[[#All],[PID]],0)))</f>
        <v>High</v>
      </c>
      <c r="L272" s="62">
        <f>IF($C272="B",INDEX(Batters[[#All],[CON P]],MATCH(Table5[[#This Row],[PID]],Batters[[#All],[PID]],0)),INDEX(Table3[[#All],[STU P]],MATCH(Table5[[#This Row],[PID]],Table3[[#All],[PID]],0)))</f>
        <v>4</v>
      </c>
      <c r="M272" s="58">
        <f>IF($C272="B",INDEX(Batters[[#All],[GAP P]],MATCH(Table5[[#This Row],[PID]],Batters[[#All],[PID]],0)),INDEX(Table3[[#All],[MOV P]],MATCH(Table5[[#This Row],[PID]],Table3[[#All],[PID]],0)))</f>
        <v>5</v>
      </c>
      <c r="N272" s="58">
        <f>IF($C272="B",INDEX(Batters[[#All],[POW P]],MATCH(Table5[[#This Row],[PID]],Batters[[#All],[PID]],0)),INDEX(Table3[[#All],[CON P]],MATCH(Table5[[#This Row],[PID]],Table3[[#All],[PID]],0)))</f>
        <v>2</v>
      </c>
      <c r="O272" s="58">
        <f>IF($C272="B",INDEX(Batters[[#All],[EYE P]],MATCH(Table5[[#This Row],[PID]],Batters[[#All],[PID]],0)),INDEX(Table3[[#All],[VELO]],MATCH(Table5[[#This Row],[PID]],Table3[[#All],[PID]],0)))</f>
        <v>6</v>
      </c>
      <c r="P272" s="58">
        <f>IF($C272="B",INDEX(Batters[[#All],[K P]],MATCH(Table5[[#This Row],[PID]],Batters[[#All],[PID]],0)),INDEX(Table3[[#All],[STM]],MATCH(Table5[[#This Row],[PID]],Table3[[#All],[PID]],0)))</f>
        <v>5</v>
      </c>
      <c r="Q272" s="63">
        <f>IF($C272="B",INDEX(Batters[[#All],[Tot]],MATCH(Table5[[#This Row],[PID]],Batters[[#All],[PID]],0)),INDEX(Table3[[#All],[Tot]],MATCH(Table5[[#This Row],[PID]],Table3[[#All],[PID]],0)))</f>
        <v>43.6449182076841</v>
      </c>
      <c r="R272" s="54">
        <f>IF($C272="B",INDEX(Batters[[#All],[zScore]],MATCH(Table5[[#This Row],[PID]],Batters[[#All],[PID]],0)),INDEX(Table3[[#All],[zScore]],MATCH(Table5[[#This Row],[PID]],Table3[[#All],[PID]],0)))</f>
        <v>0.58002732529832302</v>
      </c>
      <c r="S272" s="60" t="str">
        <f>IF($C272="B",INDEX(Batters[[#All],[DEM]],MATCH(Table5[[#This Row],[PID]],Batters[[#All],[PID]],0)),INDEX(Table3[[#All],[DEM]],MATCH(Table5[[#This Row],[PID]],Table3[[#All],[PID]],0)))</f>
        <v>$20k</v>
      </c>
      <c r="T272" s="64">
        <f>IF($C272="B",VLOOKUP($A272,Bat!$A$4:$AU$1417,46,FALSE),VLOOKUP($A272,Pit!$A$4:$BD$570,55,FALSE))</f>
        <v>0</v>
      </c>
      <c r="U272" s="52">
        <f>IF($C272="B",VLOOKUP($A272,Bat!$A$4:$BA$1417,47,FALSE),VLOOKUP($A272,Pit!$A$4:$BF$570,56,FALSE))</f>
        <v>0</v>
      </c>
      <c r="V272" s="52">
        <f>IF($C272="B",VLOOKUP($A272,Bat!$A$4:$BA$1417,48,FALSE),VLOOKUP($A272,Pit!$A$4:$BF$570,57,FALSE))</f>
        <v>0</v>
      </c>
      <c r="W272" s="52">
        <f>Table5[[#This Row],[posRnk]]+Table5[[#This Row],[zRnk]]+IF($W$3&lt;&gt;Table5[[#This Row],[Type]],50,0)</f>
        <v>318</v>
      </c>
      <c r="X272" s="53">
        <f>RANK(Table5[[#This Row],[zScore]],Table5[[#All],[zScore]])</f>
        <v>268</v>
      </c>
      <c r="Y272" s="52" t="str">
        <f>IFERROR(INDEX(DraftResults[[#All],[OVR]],MATCH(Table5[[#This Row],[PID]],DraftResults[[#All],[Player ID]],0)),"")</f>
        <v/>
      </c>
      <c r="Z2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2" s="52" t="str">
        <f>IFERROR(INDEX(DraftResults[[#All],[Pick in Round]],MATCH(Table5[[#This Row],[PID]],DraftResults[[#All],[Player ID]],0)),"")</f>
        <v/>
      </c>
      <c r="AB272" s="52" t="str">
        <f>IFERROR(INDEX(DraftResults[[#All],[Team Name]],MATCH(Table5[[#This Row],[PID]],DraftResults[[#All],[Player ID]],0)),"")</f>
        <v/>
      </c>
      <c r="AC272" s="52" t="str">
        <f>IF(Table5[[#This Row],[Ovr]]="","",IF(Table5[[#This Row],[cmbList]]="","",Table5[[#This Row],[cmbList]]-Table5[[#This Row],[Ovr]]))</f>
        <v/>
      </c>
      <c r="AD272" s="56" t="str">
        <f>IF(ISERROR(VLOOKUP($AB272&amp;"-"&amp;$E272&amp;" "&amp;F272,Bonuses!$B$1:$G$1006,4,FALSE)),"",INT(VLOOKUP($AB272&amp;"-"&amp;$E272&amp;" "&amp;$F272,Bonuses!$B$1:$G$1006,4,FALSE)))</f>
        <v/>
      </c>
      <c r="AE2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3" spans="1:31" s="52" customFormat="1" x14ac:dyDescent="0.25">
      <c r="A273" s="52">
        <v>8954</v>
      </c>
      <c r="B273" s="52">
        <f>COUNTIF(Table5[PID],A273)</f>
        <v>1</v>
      </c>
      <c r="C273" s="52" t="str">
        <f>IF(COUNTIF(Table3[[#All],[PID]],A273)&gt;0,"P","B")</f>
        <v>B</v>
      </c>
      <c r="D273" s="61" t="str">
        <f>IF($C273="B",INDEX(Batters[[#All],[POS]],MATCH(Table5[[#This Row],[PID]],Batters[[#All],[PID]],0)),INDEX(Table3[[#All],[POS]],MATCH(Table5[[#This Row],[PID]],Table3[[#All],[PID]],0)))</f>
        <v>3B</v>
      </c>
      <c r="E273" s="54" t="str">
        <f>IF($C273="B",INDEX(Batters[[#All],[First]],MATCH(Table5[[#This Row],[PID]],Batters[[#All],[PID]],0)),INDEX(Table3[[#All],[First]],MATCH(Table5[[#This Row],[PID]],Table3[[#All],[PID]],0)))</f>
        <v>Derek</v>
      </c>
      <c r="F273" s="52" t="str">
        <f>IF($C273="B",INDEX(Batters[[#All],[Last]],MATCH(A273,Batters[[#All],[PID]],0)),INDEX(Table3[[#All],[Last]],MATCH(A273,Table3[[#All],[PID]],0)))</f>
        <v>Ladds</v>
      </c>
      <c r="G273" s="58">
        <f>IF($C273="B",INDEX(Batters[[#All],[Age]],MATCH(Table5[[#This Row],[PID]],Batters[[#All],[PID]],0)),INDEX(Table3[[#All],[Age]],MATCH(Table5[[#This Row],[PID]],Table3[[#All],[PID]],0)))</f>
        <v>18</v>
      </c>
      <c r="H273" s="54" t="str">
        <f>IF($C273="B",INDEX(Batters[[#All],[B]],MATCH(Table5[[#This Row],[PID]],Batters[[#All],[PID]],0)),INDEX(Table3[[#All],[B]],MATCH(Table5[[#This Row],[PID]],Table3[[#All],[PID]],0)))</f>
        <v>R</v>
      </c>
      <c r="I273" s="54" t="str">
        <f>IF($C273="B",INDEX(Batters[[#All],[T]],MATCH(Table5[[#This Row],[PID]],Batters[[#All],[PID]],0)),INDEX(Table3[[#All],[T]],MATCH(Table5[[#This Row],[PID]],Table3[[#All],[PID]],0)))</f>
        <v>R</v>
      </c>
      <c r="J273" s="54" t="str">
        <f>IF($C273="B",INDEX(Batters[[#All],[WE]],MATCH(Table5[[#This Row],[PID]],Batters[[#All],[PID]],0)),INDEX(Table3[[#All],[WE]],MATCH(Table5[[#This Row],[PID]],Table3[[#All],[PID]],0)))</f>
        <v>Normal</v>
      </c>
      <c r="K273" s="54" t="str">
        <f>IF($C273="B",INDEX(Batters[[#All],[INT]],MATCH(Table5[[#This Row],[PID]],Batters[[#All],[PID]],0)),INDEX(Table3[[#All],[INT]],MATCH(Table5[[#This Row],[PID]],Table3[[#All],[PID]],0)))</f>
        <v>Normal</v>
      </c>
      <c r="L273" s="62">
        <f>IF($C273="B",INDEX(Batters[[#All],[CON P]],MATCH(Table5[[#This Row],[PID]],Batters[[#All],[PID]],0)),INDEX(Table3[[#All],[STU P]],MATCH(Table5[[#This Row],[PID]],Table3[[#All],[PID]],0)))</f>
        <v>3</v>
      </c>
      <c r="M273" s="58">
        <f>IF($C273="B",INDEX(Batters[[#All],[GAP P]],MATCH(Table5[[#This Row],[PID]],Batters[[#All],[PID]],0)),INDEX(Table3[[#All],[MOV P]],MATCH(Table5[[#This Row],[PID]],Table3[[#All],[PID]],0)))</f>
        <v>4</v>
      </c>
      <c r="N273" s="58">
        <f>IF($C273="B",INDEX(Batters[[#All],[POW P]],MATCH(Table5[[#This Row],[PID]],Batters[[#All],[PID]],0)),INDEX(Table3[[#All],[CON P]],MATCH(Table5[[#This Row],[PID]],Table3[[#All],[PID]],0)))</f>
        <v>5</v>
      </c>
      <c r="O273" s="58">
        <f>IF($C273="B",INDEX(Batters[[#All],[EYE P]],MATCH(Table5[[#This Row],[PID]],Batters[[#All],[PID]],0)),INDEX(Table3[[#All],[VELO]],MATCH(Table5[[#This Row],[PID]],Table3[[#All],[PID]],0)))</f>
        <v>5</v>
      </c>
      <c r="P273" s="58">
        <f>IF($C273="B",INDEX(Batters[[#All],[K P]],MATCH(Table5[[#This Row],[PID]],Batters[[#All],[PID]],0)),INDEX(Table3[[#All],[STM]],MATCH(Table5[[#This Row],[PID]],Table3[[#All],[PID]],0)))</f>
        <v>3</v>
      </c>
      <c r="Q273" s="63">
        <f>IF($C273="B",INDEX(Batters[[#All],[Tot]],MATCH(Table5[[#This Row],[PID]],Batters[[#All],[PID]],0)),INDEX(Table3[[#All],[Tot]],MATCH(Table5[[#This Row],[PID]],Table3[[#All],[PID]],0)))</f>
        <v>43.634726563806282</v>
      </c>
      <c r="R273" s="54">
        <f>IF($C273="B",INDEX(Batters[[#All],[zScore]],MATCH(Table5[[#This Row],[PID]],Batters[[#All],[PID]],0)),INDEX(Table3[[#All],[zScore]],MATCH(Table5[[#This Row],[PID]],Table3[[#All],[PID]],0)))</f>
        <v>0.57823417329477822</v>
      </c>
      <c r="S273" s="60" t="str">
        <f>IF($C273="B",INDEX(Batters[[#All],[DEM]],MATCH(Table5[[#This Row],[PID]],Batters[[#All],[PID]],0)),INDEX(Table3[[#All],[DEM]],MATCH(Table5[[#This Row],[PID]],Table3[[#All],[PID]],0)))</f>
        <v>$200k</v>
      </c>
      <c r="T273" s="64">
        <f>IF($C273="B",VLOOKUP($A273,Bat!$A$4:$AU$1417,46,FALSE),VLOOKUP($A273,Pit!$A$4:$BD$570,55,FALSE))</f>
        <v>0</v>
      </c>
      <c r="U273" s="52">
        <f>IF($C273="B",VLOOKUP($A273,Bat!$A$4:$BA$1417,47,FALSE),VLOOKUP($A273,Pit!$A$4:$BF$570,56,FALSE))</f>
        <v>0</v>
      </c>
      <c r="V273" s="52">
        <f>IF($C273="B",VLOOKUP($A273,Bat!$A$4:$BA$1417,48,FALSE),VLOOKUP($A273,Pit!$A$4:$BF$570,57,FALSE))</f>
        <v>0</v>
      </c>
      <c r="W273" s="52">
        <f>Table5[[#This Row],[posRnk]]+Table5[[#This Row],[zRnk]]+IF($W$3&lt;&gt;Table5[[#This Row],[Type]],50,0)</f>
        <v>319</v>
      </c>
      <c r="X273" s="53">
        <f>RANK(Table5[[#This Row],[zScore]],Table5[[#All],[zScore]])</f>
        <v>269</v>
      </c>
      <c r="Y273" s="52" t="str">
        <f>IFERROR(INDEX(DraftResults[[#All],[OVR]],MATCH(Table5[[#This Row],[PID]],DraftResults[[#All],[Player ID]],0)),"")</f>
        <v/>
      </c>
      <c r="Z2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3" s="52" t="str">
        <f>IFERROR(INDEX(DraftResults[[#All],[Pick in Round]],MATCH(Table5[[#This Row],[PID]],DraftResults[[#All],[Player ID]],0)),"")</f>
        <v/>
      </c>
      <c r="AB273" s="52" t="str">
        <f>IFERROR(INDEX(DraftResults[[#All],[Team Name]],MATCH(Table5[[#This Row],[PID]],DraftResults[[#All],[Player ID]],0)),"")</f>
        <v/>
      </c>
      <c r="AC273" s="52" t="str">
        <f>IF(Table5[[#This Row],[Ovr]]="","",IF(Table5[[#This Row],[cmbList]]="","",Table5[[#This Row],[cmbList]]-Table5[[#This Row],[Ovr]]))</f>
        <v/>
      </c>
      <c r="AD273" s="56" t="str">
        <f>IF(ISERROR(VLOOKUP($AB273&amp;"-"&amp;$E273&amp;" "&amp;F273,Bonuses!$B$1:$G$1006,4,FALSE)),"",INT(VLOOKUP($AB273&amp;"-"&amp;$E273&amp;" "&amp;$F273,Bonuses!$B$1:$G$1006,4,FALSE)))</f>
        <v/>
      </c>
      <c r="AE2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4" spans="1:31" s="52" customFormat="1" x14ac:dyDescent="0.25">
      <c r="A274" s="52">
        <v>14633</v>
      </c>
      <c r="B274" s="52">
        <f>COUNTIF(Table5[PID],A274)</f>
        <v>1</v>
      </c>
      <c r="C274" s="52" t="str">
        <f>IF(COUNTIF(Table3[[#All],[PID]],A274)&gt;0,"P","B")</f>
        <v>P</v>
      </c>
      <c r="D274" s="61" t="str">
        <f>IF($C274="B",INDEX(Batters[[#All],[POS]],MATCH(Table5[[#This Row],[PID]],Batters[[#All],[PID]],0)),INDEX(Table3[[#All],[POS]],MATCH(Table5[[#This Row],[PID]],Table3[[#All],[PID]],0)))</f>
        <v>RP</v>
      </c>
      <c r="E274" s="54" t="str">
        <f>IF($C274="B",INDEX(Batters[[#All],[First]],MATCH(Table5[[#This Row],[PID]],Batters[[#All],[PID]],0)),INDEX(Table3[[#All],[First]],MATCH(Table5[[#This Row],[PID]],Table3[[#All],[PID]],0)))</f>
        <v>Tony</v>
      </c>
      <c r="F274" s="52" t="str">
        <f>IF($C274="B",INDEX(Batters[[#All],[Last]],MATCH(A274,Batters[[#All],[PID]],0)),INDEX(Table3[[#All],[Last]],MATCH(A274,Table3[[#All],[PID]],0)))</f>
        <v>Rodríguez</v>
      </c>
      <c r="G274" s="58">
        <f>IF($C274="B",INDEX(Batters[[#All],[Age]],MATCH(Table5[[#This Row],[PID]],Batters[[#All],[PID]],0)),INDEX(Table3[[#All],[Age]],MATCH(Table5[[#This Row],[PID]],Table3[[#All],[PID]],0)))</f>
        <v>18</v>
      </c>
      <c r="H274" s="54" t="str">
        <f>IF($C274="B",INDEX(Batters[[#All],[B]],MATCH(Table5[[#This Row],[PID]],Batters[[#All],[PID]],0)),INDEX(Table3[[#All],[B]],MATCH(Table5[[#This Row],[PID]],Table3[[#All],[PID]],0)))</f>
        <v>L</v>
      </c>
      <c r="I274" s="54" t="str">
        <f>IF($C274="B",INDEX(Batters[[#All],[T]],MATCH(Table5[[#This Row],[PID]],Batters[[#All],[PID]],0)),INDEX(Table3[[#All],[T]],MATCH(Table5[[#This Row],[PID]],Table3[[#All],[PID]],0)))</f>
        <v>L</v>
      </c>
      <c r="J274" s="54" t="str">
        <f>IF($C274="B",INDEX(Batters[[#All],[WE]],MATCH(Table5[[#This Row],[PID]],Batters[[#All],[PID]],0)),INDEX(Table3[[#All],[WE]],MATCH(Table5[[#This Row],[PID]],Table3[[#All],[PID]],0)))</f>
        <v>Normal</v>
      </c>
      <c r="K274" s="54" t="str">
        <f>IF($C274="B",INDEX(Batters[[#All],[INT]],MATCH(Table5[[#This Row],[PID]],Batters[[#All],[PID]],0)),INDEX(Table3[[#All],[INT]],MATCH(Table5[[#This Row],[PID]],Table3[[#All],[PID]],0)))</f>
        <v>Normal</v>
      </c>
      <c r="L274" s="62">
        <f>IF($C274="B",INDEX(Batters[[#All],[CON P]],MATCH(Table5[[#This Row],[PID]],Batters[[#All],[PID]],0)),INDEX(Table3[[#All],[STU P]],MATCH(Table5[[#This Row],[PID]],Table3[[#All],[PID]],0)))</f>
        <v>5</v>
      </c>
      <c r="M274" s="58">
        <f>IF($C274="B",INDEX(Batters[[#All],[GAP P]],MATCH(Table5[[#This Row],[PID]],Batters[[#All],[PID]],0)),INDEX(Table3[[#All],[MOV P]],MATCH(Table5[[#This Row],[PID]],Table3[[#All],[PID]],0)))</f>
        <v>5</v>
      </c>
      <c r="N274" s="58">
        <f>IF($C274="B",INDEX(Batters[[#All],[POW P]],MATCH(Table5[[#This Row],[PID]],Batters[[#All],[PID]],0)),INDEX(Table3[[#All],[CON P]],MATCH(Table5[[#This Row],[PID]],Table3[[#All],[PID]],0)))</f>
        <v>2</v>
      </c>
      <c r="O274" s="58" t="str">
        <f>IF($C274="B",INDEX(Batters[[#All],[EYE P]],MATCH(Table5[[#This Row],[PID]],Batters[[#All],[PID]],0)),INDEX(Table3[[#All],[VELO]],MATCH(Table5[[#This Row],[PID]],Table3[[#All],[PID]],0)))</f>
        <v>87-89 Mph</v>
      </c>
      <c r="P274" s="58">
        <f>IF($C274="B",INDEX(Batters[[#All],[K P]],MATCH(Table5[[#This Row],[PID]],Batters[[#All],[PID]],0)),INDEX(Table3[[#All],[STM]],MATCH(Table5[[#This Row],[PID]],Table3[[#All],[PID]],0)))</f>
        <v>5</v>
      </c>
      <c r="Q274" s="63">
        <f>IF($C274="B",INDEX(Batters[[#All],[Tot]],MATCH(Table5[[#This Row],[PID]],Batters[[#All],[PID]],0)),INDEX(Table3[[#All],[Tot]],MATCH(Table5[[#This Row],[PID]],Table3[[#All],[PID]],0)))</f>
        <v>38.974837796899209</v>
      </c>
      <c r="R274" s="54">
        <f>IF($C274="B",INDEX(Batters[[#All],[zScore]],MATCH(Table5[[#This Row],[PID]],Batters[[#All],[PID]],0)),INDEX(Table3[[#All],[zScore]],MATCH(Table5[[#This Row],[PID]],Table3[[#All],[PID]],0)))</f>
        <v>0.57338894677649277</v>
      </c>
      <c r="S274" s="60" t="str">
        <f>IF($C274="B",INDEX(Batters[[#All],[DEM]],MATCH(Table5[[#This Row],[PID]],Batters[[#All],[PID]],0)),INDEX(Table3[[#All],[DEM]],MATCH(Table5[[#This Row],[PID]],Table3[[#All],[PID]],0)))</f>
        <v>$110k</v>
      </c>
      <c r="T274" s="64">
        <f>IF($C274="B",VLOOKUP($A274,Bat!$A$4:$AU$1417,46,FALSE),VLOOKUP($A274,Pit!$A$4:$BD$570,55,FALSE))</f>
        <v>0</v>
      </c>
      <c r="U274" s="52">
        <f>IF($C274="B",VLOOKUP($A274,Bat!$A$4:$BA$1417,47,FALSE),VLOOKUP($A274,Pit!$A$4:$BF$570,56,FALSE))</f>
        <v>0</v>
      </c>
      <c r="V274" s="52">
        <f>IF($C274="B",VLOOKUP($A274,Bat!$A$4:$BA$1417,48,FALSE),VLOOKUP($A274,Pit!$A$4:$BF$570,57,FALSE))</f>
        <v>0</v>
      </c>
      <c r="W274" s="52">
        <f>Table5[[#This Row],[posRnk]]+Table5[[#This Row],[zRnk]]+IF($W$3&lt;&gt;Table5[[#This Row],[Type]],50,0)</f>
        <v>320</v>
      </c>
      <c r="X274" s="53">
        <f>RANK(Table5[[#This Row],[zScore]],Table5[[#All],[zScore]])</f>
        <v>270</v>
      </c>
      <c r="Y274" s="52" t="str">
        <f>IFERROR(INDEX(DraftResults[[#All],[OVR]],MATCH(Table5[[#This Row],[PID]],DraftResults[[#All],[Player ID]],0)),"")</f>
        <v/>
      </c>
      <c r="Z2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4" s="52" t="str">
        <f>IFERROR(INDEX(DraftResults[[#All],[Pick in Round]],MATCH(Table5[[#This Row],[PID]],DraftResults[[#All],[Player ID]],0)),"")</f>
        <v/>
      </c>
      <c r="AB274" s="52" t="str">
        <f>IFERROR(INDEX(DraftResults[[#All],[Team Name]],MATCH(Table5[[#This Row],[PID]],DraftResults[[#All],[Player ID]],0)),"")</f>
        <v/>
      </c>
      <c r="AC274" s="52" t="str">
        <f>IF(Table5[[#This Row],[Ovr]]="","",IF(Table5[[#This Row],[cmbList]]="","",Table5[[#This Row],[cmbList]]-Table5[[#This Row],[Ovr]]))</f>
        <v/>
      </c>
      <c r="AD274" s="56" t="str">
        <f>IF(ISERROR(VLOOKUP($AB274&amp;"-"&amp;$E274&amp;" "&amp;F274,Bonuses!$B$1:$G$1006,4,FALSE)),"",INT(VLOOKUP($AB274&amp;"-"&amp;$E274&amp;" "&amp;$F274,Bonuses!$B$1:$G$1006,4,FALSE)))</f>
        <v/>
      </c>
      <c r="AE2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5" spans="1:31" s="52" customFormat="1" x14ac:dyDescent="0.25">
      <c r="A275" s="52">
        <v>8075</v>
      </c>
      <c r="B275" s="52">
        <f>COUNTIF(Table5[PID],A275)</f>
        <v>1</v>
      </c>
      <c r="C275" s="52" t="str">
        <f>IF(COUNTIF(Table3[[#All],[PID]],A275)&gt;0,"P","B")</f>
        <v>B</v>
      </c>
      <c r="D275" s="61" t="str">
        <f>IF($C275="B",INDEX(Batters[[#All],[POS]],MATCH(Table5[[#This Row],[PID]],Batters[[#All],[PID]],0)),INDEX(Table3[[#All],[POS]],MATCH(Table5[[#This Row],[PID]],Table3[[#All],[PID]],0)))</f>
        <v>1B</v>
      </c>
      <c r="E275" s="54" t="str">
        <f>IF($C275="B",INDEX(Batters[[#All],[First]],MATCH(Table5[[#This Row],[PID]],Batters[[#All],[PID]],0)),INDEX(Table3[[#All],[First]],MATCH(Table5[[#This Row],[PID]],Table3[[#All],[PID]],0)))</f>
        <v>Tom</v>
      </c>
      <c r="F275" s="52" t="str">
        <f>IF($C275="B",INDEX(Batters[[#All],[Last]],MATCH(A275,Batters[[#All],[PID]],0)),INDEX(Table3[[#All],[Last]],MATCH(A275,Table3[[#All],[PID]],0)))</f>
        <v>Morales</v>
      </c>
      <c r="G275" s="58">
        <f>IF($C275="B",INDEX(Batters[[#All],[Age]],MATCH(Table5[[#This Row],[PID]],Batters[[#All],[PID]],0)),INDEX(Table3[[#All],[Age]],MATCH(Table5[[#This Row],[PID]],Table3[[#All],[PID]],0)))</f>
        <v>18</v>
      </c>
      <c r="H275" s="54" t="str">
        <f>IF($C275="B",INDEX(Batters[[#All],[B]],MATCH(Table5[[#This Row],[PID]],Batters[[#All],[PID]],0)),INDEX(Table3[[#All],[B]],MATCH(Table5[[#This Row],[PID]],Table3[[#All],[PID]],0)))</f>
        <v>L</v>
      </c>
      <c r="I275" s="54" t="str">
        <f>IF($C275="B",INDEX(Batters[[#All],[T]],MATCH(Table5[[#This Row],[PID]],Batters[[#All],[PID]],0)),INDEX(Table3[[#All],[T]],MATCH(Table5[[#This Row],[PID]],Table3[[#All],[PID]],0)))</f>
        <v>L</v>
      </c>
      <c r="J275" s="54" t="str">
        <f>IF($C275="B",INDEX(Batters[[#All],[WE]],MATCH(Table5[[#This Row],[PID]],Batters[[#All],[PID]],0)),INDEX(Table3[[#All],[WE]],MATCH(Table5[[#This Row],[PID]],Table3[[#All],[PID]],0)))</f>
        <v>Normal</v>
      </c>
      <c r="K275" s="54" t="str">
        <f>IF($C275="B",INDEX(Batters[[#All],[INT]],MATCH(Table5[[#This Row],[PID]],Batters[[#All],[PID]],0)),INDEX(Table3[[#All],[INT]],MATCH(Table5[[#This Row],[PID]],Table3[[#All],[PID]],0)))</f>
        <v>Normal</v>
      </c>
      <c r="L275" s="62">
        <f>IF($C275="B",INDEX(Batters[[#All],[CON P]],MATCH(Table5[[#This Row],[PID]],Batters[[#All],[PID]],0)),INDEX(Table3[[#All],[STU P]],MATCH(Table5[[#This Row],[PID]],Table3[[#All],[PID]],0)))</f>
        <v>3</v>
      </c>
      <c r="M275" s="58">
        <f>IF($C275="B",INDEX(Batters[[#All],[GAP P]],MATCH(Table5[[#This Row],[PID]],Batters[[#All],[PID]],0)),INDEX(Table3[[#All],[MOV P]],MATCH(Table5[[#This Row],[PID]],Table3[[#All],[PID]],0)))</f>
        <v>4</v>
      </c>
      <c r="N275" s="58">
        <f>IF($C275="B",INDEX(Batters[[#All],[POW P]],MATCH(Table5[[#This Row],[PID]],Batters[[#All],[PID]],0)),INDEX(Table3[[#All],[CON P]],MATCH(Table5[[#This Row],[PID]],Table3[[#All],[PID]],0)))</f>
        <v>4</v>
      </c>
      <c r="O275" s="58">
        <f>IF($C275="B",INDEX(Batters[[#All],[EYE P]],MATCH(Table5[[#This Row],[PID]],Batters[[#All],[PID]],0)),INDEX(Table3[[#All],[VELO]],MATCH(Table5[[#This Row],[PID]],Table3[[#All],[PID]],0)))</f>
        <v>5</v>
      </c>
      <c r="P275" s="58">
        <f>IF($C275="B",INDEX(Batters[[#All],[K P]],MATCH(Table5[[#This Row],[PID]],Batters[[#All],[PID]],0)),INDEX(Table3[[#All],[STM]],MATCH(Table5[[#This Row],[PID]],Table3[[#All],[PID]],0)))</f>
        <v>5</v>
      </c>
      <c r="Q275" s="63">
        <f>IF($C275="B",INDEX(Batters[[#All],[Tot]],MATCH(Table5[[#This Row],[PID]],Batters[[#All],[PID]],0)),INDEX(Table3[[#All],[Tot]],MATCH(Table5[[#This Row],[PID]],Table3[[#All],[PID]],0)))</f>
        <v>43.597276437149304</v>
      </c>
      <c r="R275" s="54">
        <f>IF($C275="B",INDEX(Batters[[#All],[zScore]],MATCH(Table5[[#This Row],[PID]],Batters[[#All],[PID]],0)),INDEX(Table3[[#All],[zScore]],MATCH(Table5[[#This Row],[PID]],Table3[[#All],[PID]],0)))</f>
        <v>0.57164507241438622</v>
      </c>
      <c r="S275" s="60" t="str">
        <f>IF($C275="B",INDEX(Batters[[#All],[DEM]],MATCH(Table5[[#This Row],[PID]],Batters[[#All],[PID]],0)),INDEX(Table3[[#All],[DEM]],MATCH(Table5[[#This Row],[PID]],Table3[[#All],[PID]],0)))</f>
        <v>$2.4m</v>
      </c>
      <c r="T275" s="64">
        <f>IF($C275="B",VLOOKUP($A275,Bat!$A$4:$AU$1417,46,FALSE),VLOOKUP($A275,Pit!$A$4:$BD$570,55,FALSE))</f>
        <v>0</v>
      </c>
      <c r="U275" s="52">
        <f>IF($C275="B",VLOOKUP($A275,Bat!$A$4:$BA$1417,47,FALSE),VLOOKUP($A275,Pit!$A$4:$BF$570,56,FALSE))</f>
        <v>0</v>
      </c>
      <c r="V275" s="52">
        <f>IF($C275="B",VLOOKUP($A275,Bat!$A$4:$BA$1417,48,FALSE),VLOOKUP($A275,Pit!$A$4:$BF$570,57,FALSE))</f>
        <v>0</v>
      </c>
      <c r="W275" s="52">
        <f>Table5[[#This Row],[posRnk]]+Table5[[#This Row],[zRnk]]+IF($W$3&lt;&gt;Table5[[#This Row],[Type]],50,0)</f>
        <v>321</v>
      </c>
      <c r="X275" s="53">
        <f>RANK(Table5[[#This Row],[zScore]],Table5[[#All],[zScore]])</f>
        <v>271</v>
      </c>
      <c r="Y275" s="52" t="str">
        <f>IFERROR(INDEX(DraftResults[[#All],[OVR]],MATCH(Table5[[#This Row],[PID]],DraftResults[[#All],[Player ID]],0)),"")</f>
        <v/>
      </c>
      <c r="Z2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5" s="52" t="str">
        <f>IFERROR(INDEX(DraftResults[[#All],[Pick in Round]],MATCH(Table5[[#This Row],[PID]],DraftResults[[#All],[Player ID]],0)),"")</f>
        <v/>
      </c>
      <c r="AB275" s="52" t="str">
        <f>IFERROR(INDEX(DraftResults[[#All],[Team Name]],MATCH(Table5[[#This Row],[PID]],DraftResults[[#All],[Player ID]],0)),"")</f>
        <v/>
      </c>
      <c r="AC275" s="52" t="str">
        <f>IF(Table5[[#This Row],[Ovr]]="","",IF(Table5[[#This Row],[cmbList]]="","",Table5[[#This Row],[cmbList]]-Table5[[#This Row],[Ovr]]))</f>
        <v/>
      </c>
      <c r="AD275" s="56" t="str">
        <f>IF(ISERROR(VLOOKUP($AB275&amp;"-"&amp;$E275&amp;" "&amp;F275,Bonuses!$B$1:$G$1006,4,FALSE)),"",INT(VLOOKUP($AB275&amp;"-"&amp;$E275&amp;" "&amp;$F275,Bonuses!$B$1:$G$1006,4,FALSE)))</f>
        <v/>
      </c>
      <c r="AE2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6" spans="1:31" s="52" customFormat="1" x14ac:dyDescent="0.25">
      <c r="A276" s="52">
        <v>16395</v>
      </c>
      <c r="B276" s="52">
        <f>COUNTIF(Table5[PID],A276)</f>
        <v>1</v>
      </c>
      <c r="C276" s="52" t="str">
        <f>IF(COUNTIF(Table3[[#All],[PID]],A276)&gt;0,"P","B")</f>
        <v>B</v>
      </c>
      <c r="D276" s="61" t="str">
        <f>IF($C276="B",INDEX(Batters[[#All],[POS]],MATCH(Table5[[#This Row],[PID]],Batters[[#All],[PID]],0)),INDEX(Table3[[#All],[POS]],MATCH(Table5[[#This Row],[PID]],Table3[[#All],[PID]],0)))</f>
        <v>CF</v>
      </c>
      <c r="E276" s="54" t="str">
        <f>IF($C276="B",INDEX(Batters[[#All],[First]],MATCH(Table5[[#This Row],[PID]],Batters[[#All],[PID]],0)),INDEX(Table3[[#All],[First]],MATCH(Table5[[#This Row],[PID]],Table3[[#All],[PID]],0)))</f>
        <v>Stuart</v>
      </c>
      <c r="F276" s="52" t="str">
        <f>IF($C276="B",INDEX(Batters[[#All],[Last]],MATCH(A276,Batters[[#All],[PID]],0)),INDEX(Table3[[#All],[Last]],MATCH(A276,Table3[[#All],[PID]],0)))</f>
        <v>Gribble</v>
      </c>
      <c r="G276" s="58">
        <f>IF($C276="B",INDEX(Batters[[#All],[Age]],MATCH(Table5[[#This Row],[PID]],Batters[[#All],[PID]],0)),INDEX(Table3[[#All],[Age]],MATCH(Table5[[#This Row],[PID]],Table3[[#All],[PID]],0)))</f>
        <v>18</v>
      </c>
      <c r="H276" s="54" t="str">
        <f>IF($C276="B",INDEX(Batters[[#All],[B]],MATCH(Table5[[#This Row],[PID]],Batters[[#All],[PID]],0)),INDEX(Table3[[#All],[B]],MATCH(Table5[[#This Row],[PID]],Table3[[#All],[PID]],0)))</f>
        <v>L</v>
      </c>
      <c r="I276" s="54" t="str">
        <f>IF($C276="B",INDEX(Batters[[#All],[T]],MATCH(Table5[[#This Row],[PID]],Batters[[#All],[PID]],0)),INDEX(Table3[[#All],[T]],MATCH(Table5[[#This Row],[PID]],Table3[[#All],[PID]],0)))</f>
        <v>L</v>
      </c>
      <c r="J276" s="54" t="str">
        <f>IF($C276="B",INDEX(Batters[[#All],[WE]],MATCH(Table5[[#This Row],[PID]],Batters[[#All],[PID]],0)),INDEX(Table3[[#All],[WE]],MATCH(Table5[[#This Row],[PID]],Table3[[#All],[PID]],0)))</f>
        <v>Normal</v>
      </c>
      <c r="K276" s="54" t="str">
        <f>IF($C276="B",INDEX(Batters[[#All],[INT]],MATCH(Table5[[#This Row],[PID]],Batters[[#All],[PID]],0)),INDEX(Table3[[#All],[INT]],MATCH(Table5[[#This Row],[PID]],Table3[[#All],[PID]],0)))</f>
        <v>Normal</v>
      </c>
      <c r="L276" s="62">
        <f>IF($C276="B",INDEX(Batters[[#All],[CON P]],MATCH(Table5[[#This Row],[PID]],Batters[[#All],[PID]],0)),INDEX(Table3[[#All],[STU P]],MATCH(Table5[[#This Row],[PID]],Table3[[#All],[PID]],0)))</f>
        <v>3</v>
      </c>
      <c r="M276" s="58">
        <f>IF($C276="B",INDEX(Batters[[#All],[GAP P]],MATCH(Table5[[#This Row],[PID]],Batters[[#All],[PID]],0)),INDEX(Table3[[#All],[MOV P]],MATCH(Table5[[#This Row],[PID]],Table3[[#All],[PID]],0)))</f>
        <v>3</v>
      </c>
      <c r="N276" s="58">
        <f>IF($C276="B",INDEX(Batters[[#All],[POW P]],MATCH(Table5[[#This Row],[PID]],Batters[[#All],[PID]],0)),INDEX(Table3[[#All],[CON P]],MATCH(Table5[[#This Row],[PID]],Table3[[#All],[PID]],0)))</f>
        <v>4</v>
      </c>
      <c r="O276" s="58">
        <f>IF($C276="B",INDEX(Batters[[#All],[EYE P]],MATCH(Table5[[#This Row],[PID]],Batters[[#All],[PID]],0)),INDEX(Table3[[#All],[VELO]],MATCH(Table5[[#This Row],[PID]],Table3[[#All],[PID]],0)))</f>
        <v>6</v>
      </c>
      <c r="P276" s="58">
        <f>IF($C276="B",INDEX(Batters[[#All],[K P]],MATCH(Table5[[#This Row],[PID]],Batters[[#All],[PID]],0)),INDEX(Table3[[#All],[STM]],MATCH(Table5[[#This Row],[PID]],Table3[[#All],[PID]],0)))</f>
        <v>4</v>
      </c>
      <c r="Q276" s="63">
        <f>IF($C276="B",INDEX(Batters[[#All],[Tot]],MATCH(Table5[[#This Row],[PID]],Batters[[#All],[PID]],0)),INDEX(Table3[[#All],[Tot]],MATCH(Table5[[#This Row],[PID]],Table3[[#All],[PID]],0)))</f>
        <v>43.590286907417386</v>
      </c>
      <c r="R276" s="54">
        <f>IF($C276="B",INDEX(Batters[[#All],[zScore]],MATCH(Table5[[#This Row],[PID]],Batters[[#All],[PID]],0)),INDEX(Table3[[#All],[zScore]],MATCH(Table5[[#This Row],[PID]],Table3[[#All],[PID]],0)))</f>
        <v>0.57041531111259036</v>
      </c>
      <c r="S276" s="60" t="str">
        <f>IF($C276="B",INDEX(Batters[[#All],[DEM]],MATCH(Table5[[#This Row],[PID]],Batters[[#All],[PID]],0)),INDEX(Table3[[#All],[DEM]],MATCH(Table5[[#This Row],[PID]],Table3[[#All],[PID]],0)))</f>
        <v>$38k</v>
      </c>
      <c r="T276" s="64">
        <f>IF($C276="B",VLOOKUP($A276,Bat!$A$4:$AU$1417,46,FALSE),VLOOKUP($A276,Pit!$A$4:$BD$570,55,FALSE))</f>
        <v>0</v>
      </c>
      <c r="U276" s="52">
        <f>IF($C276="B",VLOOKUP($A276,Bat!$A$4:$BA$1417,47,FALSE),VLOOKUP($A276,Pit!$A$4:$BF$570,56,FALSE))</f>
        <v>0</v>
      </c>
      <c r="V276" s="52">
        <f>IF($C276="B",VLOOKUP($A276,Bat!$A$4:$BA$1417,48,FALSE),VLOOKUP($A276,Pit!$A$4:$BF$570,57,FALSE))</f>
        <v>0</v>
      </c>
      <c r="W276" s="52">
        <f>Table5[[#This Row],[posRnk]]+Table5[[#This Row],[zRnk]]+IF($W$3&lt;&gt;Table5[[#This Row],[Type]],50,0)</f>
        <v>322</v>
      </c>
      <c r="X276" s="53">
        <f>RANK(Table5[[#This Row],[zScore]],Table5[[#All],[zScore]])</f>
        <v>272</v>
      </c>
      <c r="Y276" s="52" t="str">
        <f>IFERROR(INDEX(DraftResults[[#All],[OVR]],MATCH(Table5[[#This Row],[PID]],DraftResults[[#All],[Player ID]],0)),"")</f>
        <v/>
      </c>
      <c r="Z2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6" s="52" t="str">
        <f>IFERROR(INDEX(DraftResults[[#All],[Pick in Round]],MATCH(Table5[[#This Row],[PID]],DraftResults[[#All],[Player ID]],0)),"")</f>
        <v/>
      </c>
      <c r="AB276" s="52" t="str">
        <f>IFERROR(INDEX(DraftResults[[#All],[Team Name]],MATCH(Table5[[#This Row],[PID]],DraftResults[[#All],[Player ID]],0)),"")</f>
        <v/>
      </c>
      <c r="AC276" s="52" t="str">
        <f>IF(Table5[[#This Row],[Ovr]]="","",IF(Table5[[#This Row],[cmbList]]="","",Table5[[#This Row],[cmbList]]-Table5[[#This Row],[Ovr]]))</f>
        <v/>
      </c>
      <c r="AD276" s="56" t="str">
        <f>IF(ISERROR(VLOOKUP($AB276&amp;"-"&amp;$E276&amp;" "&amp;F276,Bonuses!$B$1:$G$1006,4,FALSE)),"",INT(VLOOKUP($AB276&amp;"-"&amp;$E276&amp;" "&amp;$F276,Bonuses!$B$1:$G$1006,4,FALSE)))</f>
        <v/>
      </c>
      <c r="AE2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7" spans="1:31" s="52" customFormat="1" x14ac:dyDescent="0.25">
      <c r="A277" s="52">
        <v>13714</v>
      </c>
      <c r="B277" s="52">
        <f>COUNTIF(Table5[PID],A277)</f>
        <v>1</v>
      </c>
      <c r="C277" s="52" t="str">
        <f>IF(COUNTIF(Table3[[#All],[PID]],A277)&gt;0,"P","B")</f>
        <v>P</v>
      </c>
      <c r="D277" s="61" t="str">
        <f>IF($C277="B",INDEX(Batters[[#All],[POS]],MATCH(Table5[[#This Row],[PID]],Batters[[#All],[PID]],0)),INDEX(Table3[[#All],[POS]],MATCH(Table5[[#This Row],[PID]],Table3[[#All],[PID]],0)))</f>
        <v>CL</v>
      </c>
      <c r="E277" s="54" t="str">
        <f>IF($C277="B",INDEX(Batters[[#All],[First]],MATCH(Table5[[#This Row],[PID]],Batters[[#All],[PID]],0)),INDEX(Table3[[#All],[First]],MATCH(Table5[[#This Row],[PID]],Table3[[#All],[PID]],0)))</f>
        <v>Carlos</v>
      </c>
      <c r="F277" s="52" t="str">
        <f>IF($C277="B",INDEX(Batters[[#All],[Last]],MATCH(A277,Batters[[#All],[PID]],0)),INDEX(Table3[[#All],[Last]],MATCH(A277,Table3[[#All],[PID]],0)))</f>
        <v>Dávila</v>
      </c>
      <c r="G277" s="58">
        <f>IF($C277="B",INDEX(Batters[[#All],[Age]],MATCH(Table5[[#This Row],[PID]],Batters[[#All],[PID]],0)),INDEX(Table3[[#All],[Age]],MATCH(Table5[[#This Row],[PID]],Table3[[#All],[PID]],0)))</f>
        <v>18</v>
      </c>
      <c r="H277" s="54" t="str">
        <f>IF($C277="B",INDEX(Batters[[#All],[B]],MATCH(Table5[[#This Row],[PID]],Batters[[#All],[PID]],0)),INDEX(Table3[[#All],[B]],MATCH(Table5[[#This Row],[PID]],Table3[[#All],[PID]],0)))</f>
        <v>S</v>
      </c>
      <c r="I277" s="54" t="str">
        <f>IF($C277="B",INDEX(Batters[[#All],[T]],MATCH(Table5[[#This Row],[PID]],Batters[[#All],[PID]],0)),INDEX(Table3[[#All],[T]],MATCH(Table5[[#This Row],[PID]],Table3[[#All],[PID]],0)))</f>
        <v>R</v>
      </c>
      <c r="J277" s="54" t="str">
        <f>IF($C277="B",INDEX(Batters[[#All],[WE]],MATCH(Table5[[#This Row],[PID]],Batters[[#All],[PID]],0)),INDEX(Table3[[#All],[WE]],MATCH(Table5[[#This Row],[PID]],Table3[[#All],[PID]],0)))</f>
        <v>Low</v>
      </c>
      <c r="K277" s="54" t="str">
        <f>IF($C277="B",INDEX(Batters[[#All],[INT]],MATCH(Table5[[#This Row],[PID]],Batters[[#All],[PID]],0)),INDEX(Table3[[#All],[INT]],MATCH(Table5[[#This Row],[PID]],Table3[[#All],[PID]],0)))</f>
        <v>Normal</v>
      </c>
      <c r="L277" s="62">
        <f>IF($C277="B",INDEX(Batters[[#All],[CON P]],MATCH(Table5[[#This Row],[PID]],Batters[[#All],[PID]],0)),INDEX(Table3[[#All],[STU P]],MATCH(Table5[[#This Row],[PID]],Table3[[#All],[PID]],0)))</f>
        <v>6</v>
      </c>
      <c r="M277" s="58">
        <f>IF($C277="B",INDEX(Batters[[#All],[GAP P]],MATCH(Table5[[#This Row],[PID]],Batters[[#All],[PID]],0)),INDEX(Table3[[#All],[MOV P]],MATCH(Table5[[#This Row],[PID]],Table3[[#All],[PID]],0)))</f>
        <v>4</v>
      </c>
      <c r="N277" s="58">
        <f>IF($C277="B",INDEX(Batters[[#All],[POW P]],MATCH(Table5[[#This Row],[PID]],Batters[[#All],[PID]],0)),INDEX(Table3[[#All],[CON P]],MATCH(Table5[[#This Row],[PID]],Table3[[#All],[PID]],0)))</f>
        <v>2</v>
      </c>
      <c r="O277" s="58" t="str">
        <f>IF($C277="B",INDEX(Batters[[#All],[EYE P]],MATCH(Table5[[#This Row],[PID]],Batters[[#All],[PID]],0)),INDEX(Table3[[#All],[VELO]],MATCH(Table5[[#This Row],[PID]],Table3[[#All],[PID]],0)))</f>
        <v>92-94 Mph</v>
      </c>
      <c r="P277" s="58">
        <f>IF($C277="B",INDEX(Batters[[#All],[K P]],MATCH(Table5[[#This Row],[PID]],Batters[[#All],[PID]],0)),INDEX(Table3[[#All],[STM]],MATCH(Table5[[#This Row],[PID]],Table3[[#All],[PID]],0)))</f>
        <v>3</v>
      </c>
      <c r="Q277" s="63">
        <f>IF($C277="B",INDEX(Batters[[#All],[Tot]],MATCH(Table5[[#This Row],[PID]],Batters[[#All],[PID]],0)),INDEX(Table3[[#All],[Tot]],MATCH(Table5[[#This Row],[PID]],Table3[[#All],[PID]],0)))</f>
        <v>38.924424183440607</v>
      </c>
      <c r="R277" s="54">
        <f>IF($C277="B",INDEX(Batters[[#All],[zScore]],MATCH(Table5[[#This Row],[PID]],Batters[[#All],[PID]],0)),INDEX(Table3[[#All],[zScore]],MATCH(Table5[[#This Row],[PID]],Table3[[#All],[PID]],0)))</f>
        <v>0.56876580295002643</v>
      </c>
      <c r="S277" s="60" t="str">
        <f>IF($C277="B",INDEX(Batters[[#All],[DEM]],MATCH(Table5[[#This Row],[PID]],Batters[[#All],[PID]],0)),INDEX(Table3[[#All],[DEM]],MATCH(Table5[[#This Row],[PID]],Table3[[#All],[PID]],0)))</f>
        <v>$65k</v>
      </c>
      <c r="T277" s="64">
        <f>IF($C277="B",VLOOKUP($A277,Bat!$A$4:$AU$1417,46,FALSE),VLOOKUP($A277,Pit!$A$4:$BD$570,55,FALSE))</f>
        <v>0</v>
      </c>
      <c r="U277" s="52">
        <f>IF($C277="B",VLOOKUP($A277,Bat!$A$4:$BA$1417,47,FALSE),VLOOKUP($A277,Pit!$A$4:$BF$570,56,FALSE))</f>
        <v>0</v>
      </c>
      <c r="V277" s="52">
        <f>IF($C277="B",VLOOKUP($A277,Bat!$A$4:$BA$1417,48,FALSE),VLOOKUP($A277,Pit!$A$4:$BF$570,57,FALSE))</f>
        <v>0</v>
      </c>
      <c r="W277" s="52">
        <f>Table5[[#This Row],[posRnk]]+Table5[[#This Row],[zRnk]]+IF($W$3&lt;&gt;Table5[[#This Row],[Type]],50,0)</f>
        <v>323</v>
      </c>
      <c r="X277" s="53">
        <f>RANK(Table5[[#This Row],[zScore]],Table5[[#All],[zScore]])</f>
        <v>273</v>
      </c>
      <c r="Y277" s="52" t="str">
        <f>IFERROR(INDEX(DraftResults[[#All],[OVR]],MATCH(Table5[[#This Row],[PID]],DraftResults[[#All],[Player ID]],0)),"")</f>
        <v/>
      </c>
      <c r="Z2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7" s="52" t="str">
        <f>IFERROR(INDEX(DraftResults[[#All],[Pick in Round]],MATCH(Table5[[#This Row],[PID]],DraftResults[[#All],[Player ID]],0)),"")</f>
        <v/>
      </c>
      <c r="AB277" s="52" t="str">
        <f>IFERROR(INDEX(DraftResults[[#All],[Team Name]],MATCH(Table5[[#This Row],[PID]],DraftResults[[#All],[Player ID]],0)),"")</f>
        <v/>
      </c>
      <c r="AC277" s="52" t="str">
        <f>IF(Table5[[#This Row],[Ovr]]="","",IF(Table5[[#This Row],[cmbList]]="","",Table5[[#This Row],[cmbList]]-Table5[[#This Row],[Ovr]]))</f>
        <v/>
      </c>
      <c r="AD277" s="56" t="str">
        <f>IF(ISERROR(VLOOKUP($AB277&amp;"-"&amp;$E277&amp;" "&amp;F277,Bonuses!$B$1:$G$1006,4,FALSE)),"",INT(VLOOKUP($AB277&amp;"-"&amp;$E277&amp;" "&amp;$F277,Bonuses!$B$1:$G$1006,4,FALSE)))</f>
        <v/>
      </c>
      <c r="AE2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8" spans="1:31" s="52" customFormat="1" x14ac:dyDescent="0.25">
      <c r="A278" s="52">
        <v>8800</v>
      </c>
      <c r="B278" s="52">
        <f>COUNTIF(Table5[PID],A278)</f>
        <v>1</v>
      </c>
      <c r="C278" s="52" t="str">
        <f>IF(COUNTIF(Table3[[#All],[PID]],A278)&gt;0,"P","B")</f>
        <v>B</v>
      </c>
      <c r="D278" s="61" t="str">
        <f>IF($C278="B",INDEX(Batters[[#All],[POS]],MATCH(Table5[[#This Row],[PID]],Batters[[#All],[PID]],0)),INDEX(Table3[[#All],[POS]],MATCH(Table5[[#This Row],[PID]],Table3[[#All],[PID]],0)))</f>
        <v>C</v>
      </c>
      <c r="E278" s="54" t="str">
        <f>IF($C278="B",INDEX(Batters[[#All],[First]],MATCH(Table5[[#This Row],[PID]],Batters[[#All],[PID]],0)),INDEX(Table3[[#All],[First]],MATCH(Table5[[#This Row],[PID]],Table3[[#All],[PID]],0)))</f>
        <v>Carmine</v>
      </c>
      <c r="F278" s="52" t="str">
        <f>IF($C278="B",INDEX(Batters[[#All],[Last]],MATCH(A278,Batters[[#All],[PID]],0)),INDEX(Table3[[#All],[Last]],MATCH(A278,Table3[[#All],[PID]],0)))</f>
        <v>Miller</v>
      </c>
      <c r="G278" s="58">
        <f>IF($C278="B",INDEX(Batters[[#All],[Age]],MATCH(Table5[[#This Row],[PID]],Batters[[#All],[PID]],0)),INDEX(Table3[[#All],[Age]],MATCH(Table5[[#This Row],[PID]],Table3[[#All],[PID]],0)))</f>
        <v>17</v>
      </c>
      <c r="H278" s="54" t="str">
        <f>IF($C278="B",INDEX(Batters[[#All],[B]],MATCH(Table5[[#This Row],[PID]],Batters[[#All],[PID]],0)),INDEX(Table3[[#All],[B]],MATCH(Table5[[#This Row],[PID]],Table3[[#All],[PID]],0)))</f>
        <v>R</v>
      </c>
      <c r="I278" s="54" t="str">
        <f>IF($C278="B",INDEX(Batters[[#All],[T]],MATCH(Table5[[#This Row],[PID]],Batters[[#All],[PID]],0)),INDEX(Table3[[#All],[T]],MATCH(Table5[[#This Row],[PID]],Table3[[#All],[PID]],0)))</f>
        <v>R</v>
      </c>
      <c r="J278" s="54" t="str">
        <f>IF($C278="B",INDEX(Batters[[#All],[WE]],MATCH(Table5[[#This Row],[PID]],Batters[[#All],[PID]],0)),INDEX(Table3[[#All],[WE]],MATCH(Table5[[#This Row],[PID]],Table3[[#All],[PID]],0)))</f>
        <v>Normal</v>
      </c>
      <c r="K278" s="54" t="str">
        <f>IF($C278="B",INDEX(Batters[[#All],[INT]],MATCH(Table5[[#This Row],[PID]],Batters[[#All],[PID]],0)),INDEX(Table3[[#All],[INT]],MATCH(Table5[[#This Row],[PID]],Table3[[#All],[PID]],0)))</f>
        <v>Normal</v>
      </c>
      <c r="L278" s="62">
        <f>IF($C278="B",INDEX(Batters[[#All],[CON P]],MATCH(Table5[[#This Row],[PID]],Batters[[#All],[PID]],0)),INDEX(Table3[[#All],[STU P]],MATCH(Table5[[#This Row],[PID]],Table3[[#All],[PID]],0)))</f>
        <v>3</v>
      </c>
      <c r="M278" s="58">
        <f>IF($C278="B",INDEX(Batters[[#All],[GAP P]],MATCH(Table5[[#This Row],[PID]],Batters[[#All],[PID]],0)),INDEX(Table3[[#All],[MOV P]],MATCH(Table5[[#This Row],[PID]],Table3[[#All],[PID]],0)))</f>
        <v>4</v>
      </c>
      <c r="N278" s="58">
        <f>IF($C278="B",INDEX(Batters[[#All],[POW P]],MATCH(Table5[[#This Row],[PID]],Batters[[#All],[PID]],0)),INDEX(Table3[[#All],[CON P]],MATCH(Table5[[#This Row],[PID]],Table3[[#All],[PID]],0)))</f>
        <v>4</v>
      </c>
      <c r="O278" s="58">
        <f>IF($C278="B",INDEX(Batters[[#All],[EYE P]],MATCH(Table5[[#This Row],[PID]],Batters[[#All],[PID]],0)),INDEX(Table3[[#All],[VELO]],MATCH(Table5[[#This Row],[PID]],Table3[[#All],[PID]],0)))</f>
        <v>5</v>
      </c>
      <c r="P278" s="58">
        <f>IF($C278="B",INDEX(Batters[[#All],[K P]],MATCH(Table5[[#This Row],[PID]],Batters[[#All],[PID]],0)),INDEX(Table3[[#All],[STM]],MATCH(Table5[[#This Row],[PID]],Table3[[#All],[PID]],0)))</f>
        <v>3</v>
      </c>
      <c r="Q278" s="63">
        <f>IF($C278="B",INDEX(Batters[[#All],[Tot]],MATCH(Table5[[#This Row],[PID]],Batters[[#All],[PID]],0)),INDEX(Table3[[#All],[Tot]],MATCH(Table5[[#This Row],[PID]],Table3[[#All],[PID]],0)))</f>
        <v>43.573911692556635</v>
      </c>
      <c r="R278" s="54">
        <f>IF($C278="B",INDEX(Batters[[#All],[zScore]],MATCH(Table5[[#This Row],[PID]],Batters[[#All],[PID]],0)),INDEX(Table3[[#All],[zScore]],MATCH(Table5[[#This Row],[PID]],Table3[[#All],[PID]],0)))</f>
        <v>0.56753420089248696</v>
      </c>
      <c r="S278" s="60" t="str">
        <f>IF($C278="B",INDEX(Batters[[#All],[DEM]],MATCH(Table5[[#This Row],[PID]],Batters[[#All],[PID]],0)),INDEX(Table3[[#All],[DEM]],MATCH(Table5[[#This Row],[PID]],Table3[[#All],[PID]],0)))</f>
        <v>$200k</v>
      </c>
      <c r="T278" s="64">
        <f>IF($C278="B",VLOOKUP($A278,Bat!$A$4:$AU$1417,46,FALSE),VLOOKUP($A278,Pit!$A$4:$BD$570,55,FALSE))</f>
        <v>0</v>
      </c>
      <c r="U278" s="52">
        <f>IF($C278="B",VLOOKUP($A278,Bat!$A$4:$BA$1417,47,FALSE),VLOOKUP($A278,Pit!$A$4:$BF$570,56,FALSE))</f>
        <v>0</v>
      </c>
      <c r="V278" s="52">
        <f>IF($C278="B",VLOOKUP($A278,Bat!$A$4:$BA$1417,48,FALSE),VLOOKUP($A278,Pit!$A$4:$BF$570,57,FALSE))</f>
        <v>0</v>
      </c>
      <c r="W278" s="52">
        <f>Table5[[#This Row],[posRnk]]+Table5[[#This Row],[zRnk]]+IF($W$3&lt;&gt;Table5[[#This Row],[Type]],50,0)</f>
        <v>324</v>
      </c>
      <c r="X278" s="53">
        <f>RANK(Table5[[#This Row],[zScore]],Table5[[#All],[zScore]])</f>
        <v>274</v>
      </c>
      <c r="Y278" s="52" t="str">
        <f>IFERROR(INDEX(DraftResults[[#All],[OVR]],MATCH(Table5[[#This Row],[PID]],DraftResults[[#All],[Player ID]],0)),"")</f>
        <v/>
      </c>
      <c r="Z2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8" s="52" t="str">
        <f>IFERROR(INDEX(DraftResults[[#All],[Pick in Round]],MATCH(Table5[[#This Row],[PID]],DraftResults[[#All],[Player ID]],0)),"")</f>
        <v/>
      </c>
      <c r="AB278" s="52" t="str">
        <f>IFERROR(INDEX(DraftResults[[#All],[Team Name]],MATCH(Table5[[#This Row],[PID]],DraftResults[[#All],[Player ID]],0)),"")</f>
        <v/>
      </c>
      <c r="AC278" s="52" t="str">
        <f>IF(Table5[[#This Row],[Ovr]]="","",IF(Table5[[#This Row],[cmbList]]="","",Table5[[#This Row],[cmbList]]-Table5[[#This Row],[Ovr]]))</f>
        <v/>
      </c>
      <c r="AD278" s="56" t="str">
        <f>IF(ISERROR(VLOOKUP($AB278&amp;"-"&amp;$E278&amp;" "&amp;F278,Bonuses!$B$1:$G$1006,4,FALSE)),"",INT(VLOOKUP($AB278&amp;"-"&amp;$E278&amp;" "&amp;$F278,Bonuses!$B$1:$G$1006,4,FALSE)))</f>
        <v/>
      </c>
      <c r="AE2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9" spans="1:31" s="52" customFormat="1" x14ac:dyDescent="0.25">
      <c r="A279" s="52">
        <v>14088</v>
      </c>
      <c r="B279" s="52">
        <f>COUNTIF(Table5[PID],A279)</f>
        <v>1</v>
      </c>
      <c r="C279" s="52" t="str">
        <f>IF(COUNTIF(Table3[[#All],[PID]],A279)&gt;0,"P","B")</f>
        <v>B</v>
      </c>
      <c r="D279" s="61" t="str">
        <f>IF($C279="B",INDEX(Batters[[#All],[POS]],MATCH(Table5[[#This Row],[PID]],Batters[[#All],[PID]],0)),INDEX(Table3[[#All],[POS]],MATCH(Table5[[#This Row],[PID]],Table3[[#All],[PID]],0)))</f>
        <v>1B</v>
      </c>
      <c r="E279" s="54" t="str">
        <f>IF($C279="B",INDEX(Batters[[#All],[First]],MATCH(Table5[[#This Row],[PID]],Batters[[#All],[PID]],0)),INDEX(Table3[[#All],[First]],MATCH(Table5[[#This Row],[PID]],Table3[[#All],[PID]],0)))</f>
        <v>Torazo</v>
      </c>
      <c r="F279" s="52" t="str">
        <f>IF($C279="B",INDEX(Batters[[#All],[Last]],MATCH(A279,Batters[[#All],[PID]],0)),INDEX(Table3[[#All],[Last]],MATCH(A279,Table3[[#All],[PID]],0)))</f>
        <v>Abe</v>
      </c>
      <c r="G279" s="58">
        <f>IF($C279="B",INDEX(Batters[[#All],[Age]],MATCH(Table5[[#This Row],[PID]],Batters[[#All],[PID]],0)),INDEX(Table3[[#All],[Age]],MATCH(Table5[[#This Row],[PID]],Table3[[#All],[PID]],0)))</f>
        <v>18</v>
      </c>
      <c r="H279" s="54" t="str">
        <f>IF($C279="B",INDEX(Batters[[#All],[B]],MATCH(Table5[[#This Row],[PID]],Batters[[#All],[PID]],0)),INDEX(Table3[[#All],[B]],MATCH(Table5[[#This Row],[PID]],Table3[[#All],[PID]],0)))</f>
        <v>L</v>
      </c>
      <c r="I279" s="54" t="str">
        <f>IF($C279="B",INDEX(Batters[[#All],[T]],MATCH(Table5[[#This Row],[PID]],Batters[[#All],[PID]],0)),INDEX(Table3[[#All],[T]],MATCH(Table5[[#This Row],[PID]],Table3[[#All],[PID]],0)))</f>
        <v>L</v>
      </c>
      <c r="J279" s="54" t="str">
        <f>IF($C279="B",INDEX(Batters[[#All],[WE]],MATCH(Table5[[#This Row],[PID]],Batters[[#All],[PID]],0)),INDEX(Table3[[#All],[WE]],MATCH(Table5[[#This Row],[PID]],Table3[[#All],[PID]],0)))</f>
        <v>Normal</v>
      </c>
      <c r="K279" s="54" t="str">
        <f>IF($C279="B",INDEX(Batters[[#All],[INT]],MATCH(Table5[[#This Row],[PID]],Batters[[#All],[PID]],0)),INDEX(Table3[[#All],[INT]],MATCH(Table5[[#This Row],[PID]],Table3[[#All],[PID]],0)))</f>
        <v>Normal</v>
      </c>
      <c r="L279" s="62">
        <f>IF($C279="B",INDEX(Batters[[#All],[CON P]],MATCH(Table5[[#This Row],[PID]],Batters[[#All],[PID]],0)),INDEX(Table3[[#All],[STU P]],MATCH(Table5[[#This Row],[PID]],Table3[[#All],[PID]],0)))</f>
        <v>3</v>
      </c>
      <c r="M279" s="58">
        <f>IF($C279="B",INDEX(Batters[[#All],[GAP P]],MATCH(Table5[[#This Row],[PID]],Batters[[#All],[PID]],0)),INDEX(Table3[[#All],[MOV P]],MATCH(Table5[[#This Row],[PID]],Table3[[#All],[PID]],0)))</f>
        <v>3</v>
      </c>
      <c r="N279" s="58">
        <f>IF($C279="B",INDEX(Batters[[#All],[POW P]],MATCH(Table5[[#This Row],[PID]],Batters[[#All],[PID]],0)),INDEX(Table3[[#All],[CON P]],MATCH(Table5[[#This Row],[PID]],Table3[[#All],[PID]],0)))</f>
        <v>6</v>
      </c>
      <c r="O279" s="58">
        <f>IF($C279="B",INDEX(Batters[[#All],[EYE P]],MATCH(Table5[[#This Row],[PID]],Batters[[#All],[PID]],0)),INDEX(Table3[[#All],[VELO]],MATCH(Table5[[#This Row],[PID]],Table3[[#All],[PID]],0)))</f>
        <v>5</v>
      </c>
      <c r="P279" s="58">
        <f>IF($C279="B",INDEX(Batters[[#All],[K P]],MATCH(Table5[[#This Row],[PID]],Batters[[#All],[PID]],0)),INDEX(Table3[[#All],[STM]],MATCH(Table5[[#This Row],[PID]],Table3[[#All],[PID]],0)))</f>
        <v>2</v>
      </c>
      <c r="Q279" s="63">
        <f>IF($C279="B",INDEX(Batters[[#All],[Tot]],MATCH(Table5[[#This Row],[PID]],Batters[[#All],[PID]],0)),INDEX(Table3[[#All],[Tot]],MATCH(Table5[[#This Row],[PID]],Table3[[#All],[PID]],0)))</f>
        <v>43.537885053265086</v>
      </c>
      <c r="R279" s="54">
        <f>IF($C279="B",INDEX(Batters[[#All],[zScore]],MATCH(Table5[[#This Row],[PID]],Batters[[#All],[PID]],0)),INDEX(Table3[[#All],[zScore]],MATCH(Table5[[#This Row],[PID]],Table3[[#All],[PID]],0)))</f>
        <v>0.56119555315311331</v>
      </c>
      <c r="S279" s="60" t="str">
        <f>IF($C279="B",INDEX(Batters[[#All],[DEM]],MATCH(Table5[[#This Row],[PID]],Batters[[#All],[PID]],0)),INDEX(Table3[[#All],[DEM]],MATCH(Table5[[#This Row],[PID]],Table3[[#All],[PID]],0)))</f>
        <v>$65k</v>
      </c>
      <c r="T279" s="64">
        <f>IF($C279="B",VLOOKUP($A279,Bat!$A$4:$AU$1417,46,FALSE),VLOOKUP($A279,Pit!$A$4:$BD$570,55,FALSE))</f>
        <v>0</v>
      </c>
      <c r="U279" s="52">
        <f>IF($C279="B",VLOOKUP($A279,Bat!$A$4:$BA$1417,47,FALSE),VLOOKUP($A279,Pit!$A$4:$BF$570,56,FALSE))</f>
        <v>0</v>
      </c>
      <c r="V279" s="52">
        <f>IF($C279="B",VLOOKUP($A279,Bat!$A$4:$BA$1417,48,FALSE),VLOOKUP($A279,Pit!$A$4:$BF$570,57,FALSE))</f>
        <v>0</v>
      </c>
      <c r="W279" s="52">
        <f>Table5[[#This Row],[posRnk]]+Table5[[#This Row],[zRnk]]+IF($W$3&lt;&gt;Table5[[#This Row],[Type]],50,0)</f>
        <v>325</v>
      </c>
      <c r="X279" s="53">
        <f>RANK(Table5[[#This Row],[zScore]],Table5[[#All],[zScore]])</f>
        <v>275</v>
      </c>
      <c r="Y279" s="52" t="str">
        <f>IFERROR(INDEX(DraftResults[[#All],[OVR]],MATCH(Table5[[#This Row],[PID]],DraftResults[[#All],[Player ID]],0)),"")</f>
        <v/>
      </c>
      <c r="Z2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9" s="52" t="str">
        <f>IFERROR(INDEX(DraftResults[[#All],[Pick in Round]],MATCH(Table5[[#This Row],[PID]],DraftResults[[#All],[Player ID]],0)),"")</f>
        <v/>
      </c>
      <c r="AB279" s="52" t="str">
        <f>IFERROR(INDEX(DraftResults[[#All],[Team Name]],MATCH(Table5[[#This Row],[PID]],DraftResults[[#All],[Player ID]],0)),"")</f>
        <v/>
      </c>
      <c r="AC279" s="52" t="str">
        <f>IF(Table5[[#This Row],[Ovr]]="","",IF(Table5[[#This Row],[cmbList]]="","",Table5[[#This Row],[cmbList]]-Table5[[#This Row],[Ovr]]))</f>
        <v/>
      </c>
      <c r="AD279" s="56" t="str">
        <f>IF(ISERROR(VLOOKUP($AB279&amp;"-"&amp;$E279&amp;" "&amp;F279,Bonuses!$B$1:$G$1006,4,FALSE)),"",INT(VLOOKUP($AB279&amp;"-"&amp;$E279&amp;" "&amp;$F279,Bonuses!$B$1:$G$1006,4,FALSE)))</f>
        <v/>
      </c>
      <c r="AE2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0" spans="1:31" s="52" customFormat="1" x14ac:dyDescent="0.25">
      <c r="A280" s="52">
        <v>7229</v>
      </c>
      <c r="B280" s="52">
        <f>COUNTIF(Table5[PID],A280)</f>
        <v>1</v>
      </c>
      <c r="C280" s="52" t="str">
        <f>IF(COUNTIF(Table3[[#All],[PID]],A280)&gt;0,"P","B")</f>
        <v>P</v>
      </c>
      <c r="D280" s="61" t="str">
        <f>IF($C280="B",INDEX(Batters[[#All],[POS]],MATCH(Table5[[#This Row],[PID]],Batters[[#All],[PID]],0)),INDEX(Table3[[#All],[POS]],MATCH(Table5[[#This Row],[PID]],Table3[[#All],[PID]],0)))</f>
        <v>SP</v>
      </c>
      <c r="E280" s="54" t="str">
        <f>IF($C280="B",INDEX(Batters[[#All],[First]],MATCH(Table5[[#This Row],[PID]],Batters[[#All],[PID]],0)),INDEX(Table3[[#All],[First]],MATCH(Table5[[#This Row],[PID]],Table3[[#All],[PID]],0)))</f>
        <v>Iemochi</v>
      </c>
      <c r="F280" s="52" t="str">
        <f>IF($C280="B",INDEX(Batters[[#All],[Last]],MATCH(A280,Batters[[#All],[PID]],0)),INDEX(Table3[[#All],[Last]],MATCH(A280,Table3[[#All],[PID]],0)))</f>
        <v>Matsuoka</v>
      </c>
      <c r="G280" s="58">
        <f>IF($C280="B",INDEX(Batters[[#All],[Age]],MATCH(Table5[[#This Row],[PID]],Batters[[#All],[PID]],0)),INDEX(Table3[[#All],[Age]],MATCH(Table5[[#This Row],[PID]],Table3[[#All],[PID]],0)))</f>
        <v>21</v>
      </c>
      <c r="H280" s="54" t="str">
        <f>IF($C280="B",INDEX(Batters[[#All],[B]],MATCH(Table5[[#This Row],[PID]],Batters[[#All],[PID]],0)),INDEX(Table3[[#All],[B]],MATCH(Table5[[#This Row],[PID]],Table3[[#All],[PID]],0)))</f>
        <v>L</v>
      </c>
      <c r="I280" s="54" t="str">
        <f>IF($C280="B",INDEX(Batters[[#All],[T]],MATCH(Table5[[#This Row],[PID]],Batters[[#All],[PID]],0)),INDEX(Table3[[#All],[T]],MATCH(Table5[[#This Row],[PID]],Table3[[#All],[PID]],0)))</f>
        <v>R</v>
      </c>
      <c r="J280" s="54" t="str">
        <f>IF($C280="B",INDEX(Batters[[#All],[WE]],MATCH(Table5[[#This Row],[PID]],Batters[[#All],[PID]],0)),INDEX(Table3[[#All],[WE]],MATCH(Table5[[#This Row],[PID]],Table3[[#All],[PID]],0)))</f>
        <v>Normal</v>
      </c>
      <c r="K280" s="54" t="str">
        <f>IF($C280="B",INDEX(Batters[[#All],[INT]],MATCH(Table5[[#This Row],[PID]],Batters[[#All],[PID]],0)),INDEX(Table3[[#All],[INT]],MATCH(Table5[[#This Row],[PID]],Table3[[#All],[PID]],0)))</f>
        <v>High</v>
      </c>
      <c r="L280" s="62">
        <f>IF($C280="B",INDEX(Batters[[#All],[CON P]],MATCH(Table5[[#This Row],[PID]],Batters[[#All],[PID]],0)),INDEX(Table3[[#All],[STU P]],MATCH(Table5[[#This Row],[PID]],Table3[[#All],[PID]],0)))</f>
        <v>5</v>
      </c>
      <c r="M280" s="58">
        <f>IF($C280="B",INDEX(Batters[[#All],[GAP P]],MATCH(Table5[[#This Row],[PID]],Batters[[#All],[PID]],0)),INDEX(Table3[[#All],[MOV P]],MATCH(Table5[[#This Row],[PID]],Table3[[#All],[PID]],0)))</f>
        <v>3</v>
      </c>
      <c r="N280" s="58">
        <f>IF($C280="B",INDEX(Batters[[#All],[POW P]],MATCH(Table5[[#This Row],[PID]],Batters[[#All],[PID]],0)),INDEX(Table3[[#All],[CON P]],MATCH(Table5[[#This Row],[PID]],Table3[[#All],[PID]],0)))</f>
        <v>3</v>
      </c>
      <c r="O280" s="58" t="str">
        <f>IF($C280="B",INDEX(Batters[[#All],[EYE P]],MATCH(Table5[[#This Row],[PID]],Batters[[#All],[PID]],0)),INDEX(Table3[[#All],[VELO]],MATCH(Table5[[#This Row],[PID]],Table3[[#All],[PID]],0)))</f>
        <v>96-98 Mph</v>
      </c>
      <c r="P280" s="58">
        <f>IF($C280="B",INDEX(Batters[[#All],[K P]],MATCH(Table5[[#This Row],[PID]],Batters[[#All],[PID]],0)),INDEX(Table3[[#All],[STM]],MATCH(Table5[[#This Row],[PID]],Table3[[#All],[PID]],0)))</f>
        <v>7</v>
      </c>
      <c r="Q280" s="63">
        <f>IF($C280="B",INDEX(Batters[[#All],[Tot]],MATCH(Table5[[#This Row],[PID]],Batters[[#All],[PID]],0)),INDEX(Table3[[#All],[Tot]],MATCH(Table5[[#This Row],[PID]],Table3[[#All],[PID]],0)))</f>
        <v>38.8245470339251</v>
      </c>
      <c r="R280" s="54">
        <f>IF($C280="B",INDEX(Batters[[#All],[zScore]],MATCH(Table5[[#This Row],[PID]],Batters[[#All],[PID]],0)),INDEX(Table3[[#All],[zScore]],MATCH(Table5[[#This Row],[PID]],Table3[[#All],[PID]],0)))</f>
        <v>0.55960664145554551</v>
      </c>
      <c r="S280" s="60" t="str">
        <f>IF($C280="B",INDEX(Batters[[#All],[DEM]],MATCH(Table5[[#This Row],[PID]],Batters[[#All],[PID]],0)),INDEX(Table3[[#All],[DEM]],MATCH(Table5[[#This Row],[PID]],Table3[[#All],[PID]],0)))</f>
        <v>-</v>
      </c>
      <c r="T280" s="64">
        <f>IF($C280="B",VLOOKUP($A280,Bat!$A$4:$AU$1417,46,FALSE),VLOOKUP($A280,Pit!$A$4:$BD$570,55,FALSE))</f>
        <v>0</v>
      </c>
      <c r="U280" s="52">
        <f>IF($C280="B",VLOOKUP($A280,Bat!$A$4:$BA$1417,47,FALSE),VLOOKUP($A280,Pit!$A$4:$BF$570,56,FALSE))</f>
        <v>0</v>
      </c>
      <c r="V280" s="52">
        <f>IF($C280="B",VLOOKUP($A280,Bat!$A$4:$BA$1417,48,FALSE),VLOOKUP($A280,Pit!$A$4:$BF$570,57,FALSE))</f>
        <v>0</v>
      </c>
      <c r="W280" s="52">
        <f>Table5[[#This Row],[posRnk]]+Table5[[#This Row],[zRnk]]+IF($W$3&lt;&gt;Table5[[#This Row],[Type]],50,0)</f>
        <v>326</v>
      </c>
      <c r="X280" s="53">
        <f>RANK(Table5[[#This Row],[zScore]],Table5[[#All],[zScore]])</f>
        <v>276</v>
      </c>
      <c r="Y280" s="52" t="str">
        <f>IFERROR(INDEX(DraftResults[[#All],[OVR]],MATCH(Table5[[#This Row],[PID]],DraftResults[[#All],[Player ID]],0)),"")</f>
        <v/>
      </c>
      <c r="Z2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0" s="52" t="str">
        <f>IFERROR(INDEX(DraftResults[[#All],[Pick in Round]],MATCH(Table5[[#This Row],[PID]],DraftResults[[#All],[Player ID]],0)),"")</f>
        <v/>
      </c>
      <c r="AB280" s="52" t="str">
        <f>IFERROR(INDEX(DraftResults[[#All],[Team Name]],MATCH(Table5[[#This Row],[PID]],DraftResults[[#All],[Player ID]],0)),"")</f>
        <v/>
      </c>
      <c r="AC280" s="52" t="str">
        <f>IF(Table5[[#This Row],[Ovr]]="","",IF(Table5[[#This Row],[cmbList]]="","",Table5[[#This Row],[cmbList]]-Table5[[#This Row],[Ovr]]))</f>
        <v/>
      </c>
      <c r="AD280" s="56" t="str">
        <f>IF(ISERROR(VLOOKUP($AB280&amp;"-"&amp;$E280&amp;" "&amp;F280,Bonuses!$B$1:$G$1006,4,FALSE)),"",INT(VLOOKUP($AB280&amp;"-"&amp;$E280&amp;" "&amp;$F280,Bonuses!$B$1:$G$1006,4,FALSE)))</f>
        <v/>
      </c>
      <c r="AE2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1" spans="1:31" s="52" customFormat="1" x14ac:dyDescent="0.25">
      <c r="A281" s="52">
        <v>7633</v>
      </c>
      <c r="B281" s="52">
        <f>COUNTIF(Table5[PID],A281)</f>
        <v>1</v>
      </c>
      <c r="C281" s="52" t="str">
        <f>IF(COUNTIF(Table3[[#All],[PID]],A281)&gt;0,"P","B")</f>
        <v>B</v>
      </c>
      <c r="D281" s="61" t="str">
        <f>IF($C281="B",INDEX(Batters[[#All],[POS]],MATCH(Table5[[#This Row],[PID]],Batters[[#All],[PID]],0)),INDEX(Table3[[#All],[POS]],MATCH(Table5[[#This Row],[PID]],Table3[[#All],[PID]],0)))</f>
        <v>LF</v>
      </c>
      <c r="E281" s="54" t="str">
        <f>IF($C281="B",INDEX(Batters[[#All],[First]],MATCH(Table5[[#This Row],[PID]],Batters[[#All],[PID]],0)),INDEX(Table3[[#All],[First]],MATCH(Table5[[#This Row],[PID]],Table3[[#All],[PID]],0)))</f>
        <v>Earl</v>
      </c>
      <c r="F281" s="52" t="str">
        <f>IF($C281="B",INDEX(Batters[[#All],[Last]],MATCH(A281,Batters[[#All],[PID]],0)),INDEX(Table3[[#All],[Last]],MATCH(A281,Table3[[#All],[PID]],0)))</f>
        <v>Bagnell</v>
      </c>
      <c r="G281" s="58">
        <f>IF($C281="B",INDEX(Batters[[#All],[Age]],MATCH(Table5[[#This Row],[PID]],Batters[[#All],[PID]],0)),INDEX(Table3[[#All],[Age]],MATCH(Table5[[#This Row],[PID]],Table3[[#All],[PID]],0)))</f>
        <v>18</v>
      </c>
      <c r="H281" s="54" t="str">
        <f>IF($C281="B",INDEX(Batters[[#All],[B]],MATCH(Table5[[#This Row],[PID]],Batters[[#All],[PID]],0)),INDEX(Table3[[#All],[B]],MATCH(Table5[[#This Row],[PID]],Table3[[#All],[PID]],0)))</f>
        <v>L</v>
      </c>
      <c r="I281" s="54" t="str">
        <f>IF($C281="B",INDEX(Batters[[#All],[T]],MATCH(Table5[[#This Row],[PID]],Batters[[#All],[PID]],0)),INDEX(Table3[[#All],[T]],MATCH(Table5[[#This Row],[PID]],Table3[[#All],[PID]],0)))</f>
        <v>L</v>
      </c>
      <c r="J281" s="54" t="str">
        <f>IF($C281="B",INDEX(Batters[[#All],[WE]],MATCH(Table5[[#This Row],[PID]],Batters[[#All],[PID]],0)),INDEX(Table3[[#All],[WE]],MATCH(Table5[[#This Row],[PID]],Table3[[#All],[PID]],0)))</f>
        <v>Normal</v>
      </c>
      <c r="K281" s="54" t="str">
        <f>IF($C281="B",INDEX(Batters[[#All],[INT]],MATCH(Table5[[#This Row],[PID]],Batters[[#All],[PID]],0)),INDEX(Table3[[#All],[INT]],MATCH(Table5[[#This Row],[PID]],Table3[[#All],[PID]],0)))</f>
        <v>Normal</v>
      </c>
      <c r="L281" s="62">
        <f>IF($C281="B",INDEX(Batters[[#All],[CON P]],MATCH(Table5[[#This Row],[PID]],Batters[[#All],[PID]],0)),INDEX(Table3[[#All],[STU P]],MATCH(Table5[[#This Row],[PID]],Table3[[#All],[PID]],0)))</f>
        <v>3</v>
      </c>
      <c r="M281" s="58">
        <f>IF($C281="B",INDEX(Batters[[#All],[GAP P]],MATCH(Table5[[#This Row],[PID]],Batters[[#All],[PID]],0)),INDEX(Table3[[#All],[MOV P]],MATCH(Table5[[#This Row],[PID]],Table3[[#All],[PID]],0)))</f>
        <v>5</v>
      </c>
      <c r="N281" s="58">
        <f>IF($C281="B",INDEX(Batters[[#All],[POW P]],MATCH(Table5[[#This Row],[PID]],Batters[[#All],[PID]],0)),INDEX(Table3[[#All],[CON P]],MATCH(Table5[[#This Row],[PID]],Table3[[#All],[PID]],0)))</f>
        <v>5</v>
      </c>
      <c r="O281" s="58">
        <f>IF($C281="B",INDEX(Batters[[#All],[EYE P]],MATCH(Table5[[#This Row],[PID]],Batters[[#All],[PID]],0)),INDEX(Table3[[#All],[VELO]],MATCH(Table5[[#This Row],[PID]],Table3[[#All],[PID]],0)))</f>
        <v>4</v>
      </c>
      <c r="P281" s="58">
        <f>IF($C281="B",INDEX(Batters[[#All],[K P]],MATCH(Table5[[#This Row],[PID]],Batters[[#All],[PID]],0)),INDEX(Table3[[#All],[STM]],MATCH(Table5[[#This Row],[PID]],Table3[[#All],[PID]],0)))</f>
        <v>4</v>
      </c>
      <c r="Q281" s="63">
        <f>IF($C281="B",INDEX(Batters[[#All],[Tot]],MATCH(Table5[[#This Row],[PID]],Batters[[#All],[PID]],0)),INDEX(Table3[[#All],[Tot]],MATCH(Table5[[#This Row],[PID]],Table3[[#All],[PID]],0)))</f>
        <v>43.487049653957925</v>
      </c>
      <c r="R281" s="54">
        <f>IF($C281="B",INDEX(Batters[[#All],[zScore]],MATCH(Table5[[#This Row],[PID]],Batters[[#All],[PID]],0)),INDEX(Table3[[#All],[zScore]],MATCH(Table5[[#This Row],[PID]],Table3[[#All],[PID]],0)))</f>
        <v>0.55225140251250449</v>
      </c>
      <c r="S281" s="60" t="str">
        <f>IF($C281="B",INDEX(Batters[[#All],[DEM]],MATCH(Table5[[#This Row],[PID]],Batters[[#All],[PID]],0)),INDEX(Table3[[#All],[DEM]],MATCH(Table5[[#This Row],[PID]],Table3[[#All],[PID]],0)))</f>
        <v>$200k</v>
      </c>
      <c r="T281" s="64">
        <f>IF($C281="B",VLOOKUP($A281,Bat!$A$4:$AU$1417,46,FALSE),VLOOKUP($A281,Pit!$A$4:$BD$570,55,FALSE))</f>
        <v>0</v>
      </c>
      <c r="U281" s="52">
        <f>IF($C281="B",VLOOKUP($A281,Bat!$A$4:$BA$1417,47,FALSE),VLOOKUP($A281,Pit!$A$4:$BF$570,56,FALSE))</f>
        <v>0</v>
      </c>
      <c r="V281" s="52">
        <f>IF($C281="B",VLOOKUP($A281,Bat!$A$4:$BA$1417,48,FALSE),VLOOKUP($A281,Pit!$A$4:$BF$570,57,FALSE))</f>
        <v>0</v>
      </c>
      <c r="W281" s="52">
        <f>Table5[[#This Row],[posRnk]]+Table5[[#This Row],[zRnk]]+IF($W$3&lt;&gt;Table5[[#This Row],[Type]],50,0)</f>
        <v>327</v>
      </c>
      <c r="X281" s="53">
        <f>RANK(Table5[[#This Row],[zScore]],Table5[[#All],[zScore]])</f>
        <v>277</v>
      </c>
      <c r="Y281" s="52" t="str">
        <f>IFERROR(INDEX(DraftResults[[#All],[OVR]],MATCH(Table5[[#This Row],[PID]],DraftResults[[#All],[Player ID]],0)),"")</f>
        <v/>
      </c>
      <c r="Z2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1" s="52" t="str">
        <f>IFERROR(INDEX(DraftResults[[#All],[Pick in Round]],MATCH(Table5[[#This Row],[PID]],DraftResults[[#All],[Player ID]],0)),"")</f>
        <v/>
      </c>
      <c r="AB281" s="52" t="str">
        <f>IFERROR(INDEX(DraftResults[[#All],[Team Name]],MATCH(Table5[[#This Row],[PID]],DraftResults[[#All],[Player ID]],0)),"")</f>
        <v/>
      </c>
      <c r="AC281" s="52" t="str">
        <f>IF(Table5[[#This Row],[Ovr]]="","",IF(Table5[[#This Row],[cmbList]]="","",Table5[[#This Row],[cmbList]]-Table5[[#This Row],[Ovr]]))</f>
        <v/>
      </c>
      <c r="AD281" s="56" t="str">
        <f>IF(ISERROR(VLOOKUP($AB281&amp;"-"&amp;$E281&amp;" "&amp;F281,Bonuses!$B$1:$G$1006,4,FALSE)),"",INT(VLOOKUP($AB281&amp;"-"&amp;$E281&amp;" "&amp;$F281,Bonuses!$B$1:$G$1006,4,FALSE)))</f>
        <v/>
      </c>
      <c r="AE2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2" spans="1:31" s="52" customFormat="1" x14ac:dyDescent="0.25">
      <c r="A282" s="52">
        <v>17914</v>
      </c>
      <c r="B282" s="52">
        <f>COUNTIF(Table5[PID],A282)</f>
        <v>1</v>
      </c>
      <c r="C282" s="52" t="str">
        <f>IF(COUNTIF(Table3[[#All],[PID]],A282)&gt;0,"P","B")</f>
        <v>P</v>
      </c>
      <c r="D282" s="61" t="str">
        <f>IF($C282="B",INDEX(Batters[[#All],[POS]],MATCH(Table5[[#This Row],[PID]],Batters[[#All],[PID]],0)),INDEX(Table3[[#All],[POS]],MATCH(Table5[[#This Row],[PID]],Table3[[#All],[PID]],0)))</f>
        <v>CL</v>
      </c>
      <c r="E282" s="54" t="str">
        <f>IF($C282="B",INDEX(Batters[[#All],[First]],MATCH(Table5[[#This Row],[PID]],Batters[[#All],[PID]],0)),INDEX(Table3[[#All],[First]],MATCH(Table5[[#This Row],[PID]],Table3[[#All],[PID]],0)))</f>
        <v>Naoya</v>
      </c>
      <c r="F282" s="52" t="str">
        <f>IF($C282="B",INDEX(Batters[[#All],[Last]],MATCH(A282,Batters[[#All],[PID]],0)),INDEX(Table3[[#All],[Last]],MATCH(A282,Table3[[#All],[PID]],0)))</f>
        <v>Suzuki</v>
      </c>
      <c r="G282" s="58">
        <f>IF($C282="B",INDEX(Batters[[#All],[Age]],MATCH(Table5[[#This Row],[PID]],Batters[[#All],[PID]],0)),INDEX(Table3[[#All],[Age]],MATCH(Table5[[#This Row],[PID]],Table3[[#All],[PID]],0)))</f>
        <v>18</v>
      </c>
      <c r="H282" s="54" t="str">
        <f>IF($C282="B",INDEX(Batters[[#All],[B]],MATCH(Table5[[#This Row],[PID]],Batters[[#All],[PID]],0)),INDEX(Table3[[#All],[B]],MATCH(Table5[[#This Row],[PID]],Table3[[#All],[PID]],0)))</f>
        <v>R</v>
      </c>
      <c r="I282" s="54" t="str">
        <f>IF($C282="B",INDEX(Batters[[#All],[T]],MATCH(Table5[[#This Row],[PID]],Batters[[#All],[PID]],0)),INDEX(Table3[[#All],[T]],MATCH(Table5[[#This Row],[PID]],Table3[[#All],[PID]],0)))</f>
        <v>R</v>
      </c>
      <c r="J282" s="54" t="str">
        <f>IF($C282="B",INDEX(Batters[[#All],[WE]],MATCH(Table5[[#This Row],[PID]],Batters[[#All],[PID]],0)),INDEX(Table3[[#All],[WE]],MATCH(Table5[[#This Row],[PID]],Table3[[#All],[PID]],0)))</f>
        <v>Low</v>
      </c>
      <c r="K282" s="54" t="str">
        <f>IF($C282="B",INDEX(Batters[[#All],[INT]],MATCH(Table5[[#This Row],[PID]],Batters[[#All],[PID]],0)),INDEX(Table3[[#All],[INT]],MATCH(Table5[[#This Row],[PID]],Table3[[#All],[PID]],0)))</f>
        <v>Normal</v>
      </c>
      <c r="L282" s="62">
        <f>IF($C282="B",INDEX(Batters[[#All],[CON P]],MATCH(Table5[[#This Row],[PID]],Batters[[#All],[PID]],0)),INDEX(Table3[[#All],[STU P]],MATCH(Table5[[#This Row],[PID]],Table3[[#All],[PID]],0)))</f>
        <v>5</v>
      </c>
      <c r="M282" s="58">
        <f>IF($C282="B",INDEX(Batters[[#All],[GAP P]],MATCH(Table5[[#This Row],[PID]],Batters[[#All],[PID]],0)),INDEX(Table3[[#All],[MOV P]],MATCH(Table5[[#This Row],[PID]],Table3[[#All],[PID]],0)))</f>
        <v>2</v>
      </c>
      <c r="N282" s="58">
        <f>IF($C282="B",INDEX(Batters[[#All],[POW P]],MATCH(Table5[[#This Row],[PID]],Batters[[#All],[PID]],0)),INDEX(Table3[[#All],[CON P]],MATCH(Table5[[#This Row],[PID]],Table3[[#All],[PID]],0)))</f>
        <v>3</v>
      </c>
      <c r="O282" s="58" t="str">
        <f>IF($C282="B",INDEX(Batters[[#All],[EYE P]],MATCH(Table5[[#This Row],[PID]],Batters[[#All],[PID]],0)),INDEX(Table3[[#All],[VELO]],MATCH(Table5[[#This Row],[PID]],Table3[[#All],[PID]],0)))</f>
        <v>86-88 Mph</v>
      </c>
      <c r="P282" s="58">
        <f>IF($C282="B",INDEX(Batters[[#All],[K P]],MATCH(Table5[[#This Row],[PID]],Batters[[#All],[PID]],0)),INDEX(Table3[[#All],[STM]],MATCH(Table5[[#This Row],[PID]],Table3[[#All],[PID]],0)))</f>
        <v>7</v>
      </c>
      <c r="Q282" s="63">
        <f>IF($C282="B",INDEX(Batters[[#All],[Tot]],MATCH(Table5[[#This Row],[PID]],Batters[[#All],[PID]],0)),INDEX(Table3[[#All],[Tot]],MATCH(Table5[[#This Row],[PID]],Table3[[#All],[PID]],0)))</f>
        <v>38.727465900109046</v>
      </c>
      <c r="R282" s="54">
        <f>IF($C282="B",INDEX(Batters[[#All],[zScore]],MATCH(Table5[[#This Row],[PID]],Batters[[#All],[PID]],0)),INDEX(Table3[[#All],[zScore]],MATCH(Table5[[#This Row],[PID]],Table3[[#All],[PID]],0)))</f>
        <v>0.55070388655112679</v>
      </c>
      <c r="S282" s="60" t="str">
        <f>IF($C282="B",INDEX(Batters[[#All],[DEM]],MATCH(Table5[[#This Row],[PID]],Batters[[#All],[PID]],0)),INDEX(Table3[[#All],[DEM]],MATCH(Table5[[#This Row],[PID]],Table3[[#All],[PID]],0)))</f>
        <v>$65k</v>
      </c>
      <c r="T282" s="64">
        <f>IF($C282="B",VLOOKUP($A282,Bat!$A$4:$AU$1417,46,FALSE),VLOOKUP($A282,Pit!$A$4:$BD$570,55,FALSE))</f>
        <v>0</v>
      </c>
      <c r="U282" s="52">
        <f>IF($C282="B",VLOOKUP($A282,Bat!$A$4:$BA$1417,47,FALSE),VLOOKUP($A282,Pit!$A$4:$BF$570,56,FALSE))</f>
        <v>0</v>
      </c>
      <c r="V282" s="52">
        <f>IF($C282="B",VLOOKUP($A282,Bat!$A$4:$BA$1417,48,FALSE),VLOOKUP($A282,Pit!$A$4:$BF$570,57,FALSE))</f>
        <v>0</v>
      </c>
      <c r="W282" s="52">
        <f>Table5[[#This Row],[posRnk]]+Table5[[#This Row],[zRnk]]+IF($W$3&lt;&gt;Table5[[#This Row],[Type]],50,0)</f>
        <v>328</v>
      </c>
      <c r="X282" s="53">
        <f>RANK(Table5[[#This Row],[zScore]],Table5[[#All],[zScore]])</f>
        <v>278</v>
      </c>
      <c r="Y282" s="52" t="str">
        <f>IFERROR(INDEX(DraftResults[[#All],[OVR]],MATCH(Table5[[#This Row],[PID]],DraftResults[[#All],[Player ID]],0)),"")</f>
        <v/>
      </c>
      <c r="Z2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2" s="52" t="str">
        <f>IFERROR(INDEX(DraftResults[[#All],[Pick in Round]],MATCH(Table5[[#This Row],[PID]],DraftResults[[#All],[Player ID]],0)),"")</f>
        <v/>
      </c>
      <c r="AB282" s="52" t="str">
        <f>IFERROR(INDEX(DraftResults[[#All],[Team Name]],MATCH(Table5[[#This Row],[PID]],DraftResults[[#All],[Player ID]],0)),"")</f>
        <v/>
      </c>
      <c r="AC282" s="52" t="str">
        <f>IF(Table5[[#This Row],[Ovr]]="","",IF(Table5[[#This Row],[cmbList]]="","",Table5[[#This Row],[cmbList]]-Table5[[#This Row],[Ovr]]))</f>
        <v/>
      </c>
      <c r="AD282" s="56" t="str">
        <f>IF(ISERROR(VLOOKUP($AB282&amp;"-"&amp;$E282&amp;" "&amp;F282,Bonuses!$B$1:$G$1006,4,FALSE)),"",INT(VLOOKUP($AB282&amp;"-"&amp;$E282&amp;" "&amp;$F282,Bonuses!$B$1:$G$1006,4,FALSE)))</f>
        <v/>
      </c>
      <c r="AE2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3" spans="1:31" s="52" customFormat="1" x14ac:dyDescent="0.25">
      <c r="A283" s="52">
        <v>10294</v>
      </c>
      <c r="B283" s="52">
        <f>COUNTIF(Table5[PID],A283)</f>
        <v>1</v>
      </c>
      <c r="C283" s="52" t="str">
        <f>IF(COUNTIF(Table3[[#All],[PID]],A283)&gt;0,"P","B")</f>
        <v>B</v>
      </c>
      <c r="D283" s="61" t="str">
        <f>IF($C283="B",INDEX(Batters[[#All],[POS]],MATCH(Table5[[#This Row],[PID]],Batters[[#All],[PID]],0)),INDEX(Table3[[#All],[POS]],MATCH(Table5[[#This Row],[PID]],Table3[[#All],[PID]],0)))</f>
        <v>CF</v>
      </c>
      <c r="E283" s="54" t="str">
        <f>IF($C283="B",INDEX(Batters[[#All],[First]],MATCH(Table5[[#This Row],[PID]],Batters[[#All],[PID]],0)),INDEX(Table3[[#All],[First]],MATCH(Table5[[#This Row],[PID]],Table3[[#All],[PID]],0)))</f>
        <v>Daryl</v>
      </c>
      <c r="F283" s="52" t="str">
        <f>IF($C283="B",INDEX(Batters[[#All],[Last]],MATCH(A283,Batters[[#All],[PID]],0)),INDEX(Table3[[#All],[Last]],MATCH(A283,Table3[[#All],[PID]],0)))</f>
        <v>Follitt</v>
      </c>
      <c r="G283" s="58">
        <f>IF($C283="B",INDEX(Batters[[#All],[Age]],MATCH(Table5[[#This Row],[PID]],Batters[[#All],[PID]],0)),INDEX(Table3[[#All],[Age]],MATCH(Table5[[#This Row],[PID]],Table3[[#All],[PID]],0)))</f>
        <v>18</v>
      </c>
      <c r="H283" s="54" t="str">
        <f>IF($C283="B",INDEX(Batters[[#All],[B]],MATCH(Table5[[#This Row],[PID]],Batters[[#All],[PID]],0)),INDEX(Table3[[#All],[B]],MATCH(Table5[[#This Row],[PID]],Table3[[#All],[PID]],0)))</f>
        <v>L</v>
      </c>
      <c r="I283" s="54" t="str">
        <f>IF($C283="B",INDEX(Batters[[#All],[T]],MATCH(Table5[[#This Row],[PID]],Batters[[#All],[PID]],0)),INDEX(Table3[[#All],[T]],MATCH(Table5[[#This Row],[PID]],Table3[[#All],[PID]],0)))</f>
        <v>R</v>
      </c>
      <c r="J283" s="54" t="str">
        <f>IF($C283="B",INDEX(Batters[[#All],[WE]],MATCH(Table5[[#This Row],[PID]],Batters[[#All],[PID]],0)),INDEX(Table3[[#All],[WE]],MATCH(Table5[[#This Row],[PID]],Table3[[#All],[PID]],0)))</f>
        <v>Low</v>
      </c>
      <c r="K283" s="54" t="str">
        <f>IF($C283="B",INDEX(Batters[[#All],[INT]],MATCH(Table5[[#This Row],[PID]],Batters[[#All],[PID]],0)),INDEX(Table3[[#All],[INT]],MATCH(Table5[[#This Row],[PID]],Table3[[#All],[PID]],0)))</f>
        <v>Normal</v>
      </c>
      <c r="L283" s="62">
        <f>IF($C283="B",INDEX(Batters[[#All],[CON P]],MATCH(Table5[[#This Row],[PID]],Batters[[#All],[PID]],0)),INDEX(Table3[[#All],[STU P]],MATCH(Table5[[#This Row],[PID]],Table3[[#All],[PID]],0)))</f>
        <v>4</v>
      </c>
      <c r="M283" s="58">
        <f>IF($C283="B",INDEX(Batters[[#All],[GAP P]],MATCH(Table5[[#This Row],[PID]],Batters[[#All],[PID]],0)),INDEX(Table3[[#All],[MOV P]],MATCH(Table5[[#This Row],[PID]],Table3[[#All],[PID]],0)))</f>
        <v>4</v>
      </c>
      <c r="N283" s="58">
        <f>IF($C283="B",INDEX(Batters[[#All],[POW P]],MATCH(Table5[[#This Row],[PID]],Batters[[#All],[PID]],0)),INDEX(Table3[[#All],[CON P]],MATCH(Table5[[#This Row],[PID]],Table3[[#All],[PID]],0)))</f>
        <v>2</v>
      </c>
      <c r="O283" s="58">
        <f>IF($C283="B",INDEX(Batters[[#All],[EYE P]],MATCH(Table5[[#This Row],[PID]],Batters[[#All],[PID]],0)),INDEX(Table3[[#All],[VELO]],MATCH(Table5[[#This Row],[PID]],Table3[[#All],[PID]],0)))</f>
        <v>4</v>
      </c>
      <c r="P283" s="58">
        <f>IF($C283="B",INDEX(Batters[[#All],[K P]],MATCH(Table5[[#This Row],[PID]],Batters[[#All],[PID]],0)),INDEX(Table3[[#All],[STM]],MATCH(Table5[[#This Row],[PID]],Table3[[#All],[PID]],0)))</f>
        <v>4</v>
      </c>
      <c r="Q283" s="63">
        <f>IF($C283="B",INDEX(Batters[[#All],[Tot]],MATCH(Table5[[#This Row],[PID]],Batters[[#All],[PID]],0)),INDEX(Table3[[#All],[Tot]],MATCH(Table5[[#This Row],[PID]],Table3[[#All],[PID]],0)))</f>
        <v>43.463894970048699</v>
      </c>
      <c r="R283" s="54">
        <f>IF($C283="B",INDEX(Batters[[#All],[zScore]],MATCH(Table5[[#This Row],[PID]],Batters[[#All],[PID]],0)),INDEX(Table3[[#All],[zScore]],MATCH(Table5[[#This Row],[PID]],Table3[[#All],[PID]],0)))</f>
        <v>0.54817748977172998</v>
      </c>
      <c r="S283" s="60" t="str">
        <f>IF($C283="B",INDEX(Batters[[#All],[DEM]],MATCH(Table5[[#This Row],[PID]],Batters[[#All],[PID]],0)),INDEX(Table3[[#All],[DEM]],MATCH(Table5[[#This Row],[PID]],Table3[[#All],[PID]],0)))</f>
        <v>$110k</v>
      </c>
      <c r="T283" s="64">
        <f>IF($C283="B",VLOOKUP($A283,Bat!$A$4:$AU$1417,46,FALSE),VLOOKUP($A283,Pit!$A$4:$BD$570,55,FALSE))</f>
        <v>0</v>
      </c>
      <c r="U283" s="52">
        <f>IF($C283="B",VLOOKUP($A283,Bat!$A$4:$BA$1417,47,FALSE),VLOOKUP($A283,Pit!$A$4:$BF$570,56,FALSE))</f>
        <v>0</v>
      </c>
      <c r="V283" s="52">
        <f>IF($C283="B",VLOOKUP($A283,Bat!$A$4:$BA$1417,48,FALSE),VLOOKUP($A283,Pit!$A$4:$BF$570,57,FALSE))</f>
        <v>0</v>
      </c>
      <c r="W283" s="52">
        <f>Table5[[#This Row],[posRnk]]+Table5[[#This Row],[zRnk]]+IF($W$3&lt;&gt;Table5[[#This Row],[Type]],50,0)</f>
        <v>329</v>
      </c>
      <c r="X283" s="53">
        <f>RANK(Table5[[#This Row],[zScore]],Table5[[#All],[zScore]])</f>
        <v>279</v>
      </c>
      <c r="Y283" s="52" t="str">
        <f>IFERROR(INDEX(DraftResults[[#All],[OVR]],MATCH(Table5[[#This Row],[PID]],DraftResults[[#All],[Player ID]],0)),"")</f>
        <v/>
      </c>
      <c r="Z2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3" s="52" t="str">
        <f>IFERROR(INDEX(DraftResults[[#All],[Pick in Round]],MATCH(Table5[[#This Row],[PID]],DraftResults[[#All],[Player ID]],0)),"")</f>
        <v/>
      </c>
      <c r="AB283" s="52" t="str">
        <f>IFERROR(INDEX(DraftResults[[#All],[Team Name]],MATCH(Table5[[#This Row],[PID]],DraftResults[[#All],[Player ID]],0)),"")</f>
        <v/>
      </c>
      <c r="AC283" s="52" t="str">
        <f>IF(Table5[[#This Row],[Ovr]]="","",IF(Table5[[#This Row],[cmbList]]="","",Table5[[#This Row],[cmbList]]-Table5[[#This Row],[Ovr]]))</f>
        <v/>
      </c>
      <c r="AD283" s="56" t="str">
        <f>IF(ISERROR(VLOOKUP($AB283&amp;"-"&amp;$E283&amp;" "&amp;F283,Bonuses!$B$1:$G$1006,4,FALSE)),"",INT(VLOOKUP($AB283&amp;"-"&amp;$E283&amp;" "&amp;$F283,Bonuses!$B$1:$G$1006,4,FALSE)))</f>
        <v/>
      </c>
      <c r="AE2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4" spans="1:31" s="52" customFormat="1" x14ac:dyDescent="0.25">
      <c r="A284" s="52">
        <v>8948</v>
      </c>
      <c r="B284" s="52">
        <f>COUNTIF(Table5[PID],A284)</f>
        <v>1</v>
      </c>
      <c r="C284" s="52" t="str">
        <f>IF(COUNTIF(Table3[[#All],[PID]],A284)&gt;0,"P","B")</f>
        <v>B</v>
      </c>
      <c r="D284" s="61" t="str">
        <f>IF($C284="B",INDEX(Batters[[#All],[POS]],MATCH(Table5[[#This Row],[PID]],Batters[[#All],[PID]],0)),INDEX(Table3[[#All],[POS]],MATCH(Table5[[#This Row],[PID]],Table3[[#All],[PID]],0)))</f>
        <v>1B</v>
      </c>
      <c r="E284" s="54" t="str">
        <f>IF($C284="B",INDEX(Batters[[#All],[First]],MATCH(Table5[[#This Row],[PID]],Batters[[#All],[PID]],0)),INDEX(Table3[[#All],[First]],MATCH(Table5[[#This Row],[PID]],Table3[[#All],[PID]],0)))</f>
        <v>Alfie</v>
      </c>
      <c r="F284" s="52" t="str">
        <f>IF($C284="B",INDEX(Batters[[#All],[Last]],MATCH(A284,Batters[[#All],[PID]],0)),INDEX(Table3[[#All],[Last]],MATCH(A284,Table3[[#All],[PID]],0)))</f>
        <v>Copeland</v>
      </c>
      <c r="G284" s="58">
        <f>IF($C284="B",INDEX(Batters[[#All],[Age]],MATCH(Table5[[#This Row],[PID]],Batters[[#All],[PID]],0)),INDEX(Table3[[#All],[Age]],MATCH(Table5[[#This Row],[PID]],Table3[[#All],[PID]],0)))</f>
        <v>18</v>
      </c>
      <c r="H284" s="54" t="str">
        <f>IF($C284="B",INDEX(Batters[[#All],[B]],MATCH(Table5[[#This Row],[PID]],Batters[[#All],[PID]],0)),INDEX(Table3[[#All],[B]],MATCH(Table5[[#This Row],[PID]],Table3[[#All],[PID]],0)))</f>
        <v>R</v>
      </c>
      <c r="I284" s="54" t="str">
        <f>IF($C284="B",INDEX(Batters[[#All],[T]],MATCH(Table5[[#This Row],[PID]],Batters[[#All],[PID]],0)),INDEX(Table3[[#All],[T]],MATCH(Table5[[#This Row],[PID]],Table3[[#All],[PID]],0)))</f>
        <v>R</v>
      </c>
      <c r="J284" s="54" t="str">
        <f>IF($C284="B",INDEX(Batters[[#All],[WE]],MATCH(Table5[[#This Row],[PID]],Batters[[#All],[PID]],0)),INDEX(Table3[[#All],[WE]],MATCH(Table5[[#This Row],[PID]],Table3[[#All],[PID]],0)))</f>
        <v>High</v>
      </c>
      <c r="K284" s="54" t="str">
        <f>IF($C284="B",INDEX(Batters[[#All],[INT]],MATCH(Table5[[#This Row],[PID]],Batters[[#All],[PID]],0)),INDEX(Table3[[#All],[INT]],MATCH(Table5[[#This Row],[PID]],Table3[[#All],[PID]],0)))</f>
        <v>Normal</v>
      </c>
      <c r="L284" s="62">
        <f>IF($C284="B",INDEX(Batters[[#All],[CON P]],MATCH(Table5[[#This Row],[PID]],Batters[[#All],[PID]],0)),INDEX(Table3[[#All],[STU P]],MATCH(Table5[[#This Row],[PID]],Table3[[#All],[PID]],0)))</f>
        <v>3</v>
      </c>
      <c r="M284" s="58">
        <f>IF($C284="B",INDEX(Batters[[#All],[GAP P]],MATCH(Table5[[#This Row],[PID]],Batters[[#All],[PID]],0)),INDEX(Table3[[#All],[MOV P]],MATCH(Table5[[#This Row],[PID]],Table3[[#All],[PID]],0)))</f>
        <v>3</v>
      </c>
      <c r="N284" s="58">
        <f>IF($C284="B",INDEX(Batters[[#All],[POW P]],MATCH(Table5[[#This Row],[PID]],Batters[[#All],[PID]],0)),INDEX(Table3[[#All],[CON P]],MATCH(Table5[[#This Row],[PID]],Table3[[#All],[PID]],0)))</f>
        <v>4</v>
      </c>
      <c r="O284" s="58">
        <f>IF($C284="B",INDEX(Batters[[#All],[EYE P]],MATCH(Table5[[#This Row],[PID]],Batters[[#All],[PID]],0)),INDEX(Table3[[#All],[VELO]],MATCH(Table5[[#This Row],[PID]],Table3[[#All],[PID]],0)))</f>
        <v>5</v>
      </c>
      <c r="P284" s="58">
        <f>IF($C284="B",INDEX(Batters[[#All],[K P]],MATCH(Table5[[#This Row],[PID]],Batters[[#All],[PID]],0)),INDEX(Table3[[#All],[STM]],MATCH(Table5[[#This Row],[PID]],Table3[[#All],[PID]],0)))</f>
        <v>4</v>
      </c>
      <c r="Q284" s="63">
        <f>IF($C284="B",INDEX(Batters[[#All],[Tot]],MATCH(Table5[[#This Row],[PID]],Batters[[#All],[PID]],0)),INDEX(Table3[[#All],[Tot]],MATCH(Table5[[#This Row],[PID]],Table3[[#All],[PID]],0)))</f>
        <v>43.458055881603862</v>
      </c>
      <c r="R284" s="54">
        <f>IF($C284="B",INDEX(Batters[[#All],[zScore]],MATCH(Table5[[#This Row],[PID]],Batters[[#All],[PID]],0)),INDEX(Table3[[#All],[zScore]],MATCH(Table5[[#This Row],[PID]],Table3[[#All],[PID]],0)))</f>
        <v>0.54715014096821413</v>
      </c>
      <c r="S284" s="60" t="str">
        <f>IF($C284="B",INDEX(Batters[[#All],[DEM]],MATCH(Table5[[#This Row],[PID]],Batters[[#All],[PID]],0)),INDEX(Table3[[#All],[DEM]],MATCH(Table5[[#This Row],[PID]],Table3[[#All],[PID]],0)))</f>
        <v>$1.1m</v>
      </c>
      <c r="T284" s="64">
        <f>IF($C284="B",VLOOKUP($A284,Bat!$A$4:$AU$1417,46,FALSE),VLOOKUP($A284,Pit!$A$4:$BD$570,55,FALSE))</f>
        <v>0</v>
      </c>
      <c r="U284" s="52">
        <f>IF($C284="B",VLOOKUP($A284,Bat!$A$4:$BA$1417,47,FALSE),VLOOKUP($A284,Pit!$A$4:$BF$570,56,FALSE))</f>
        <v>0</v>
      </c>
      <c r="V284" s="52">
        <f>IF($C284="B",VLOOKUP($A284,Bat!$A$4:$BA$1417,48,FALSE),VLOOKUP($A284,Pit!$A$4:$BF$570,57,FALSE))</f>
        <v>0</v>
      </c>
      <c r="W284" s="52">
        <f>Table5[[#This Row],[posRnk]]+Table5[[#This Row],[zRnk]]+IF($W$3&lt;&gt;Table5[[#This Row],[Type]],50,0)</f>
        <v>330</v>
      </c>
      <c r="X284" s="53">
        <f>RANK(Table5[[#This Row],[zScore]],Table5[[#All],[zScore]])</f>
        <v>280</v>
      </c>
      <c r="Y284" s="52" t="str">
        <f>IFERROR(INDEX(DraftResults[[#All],[OVR]],MATCH(Table5[[#This Row],[PID]],DraftResults[[#All],[Player ID]],0)),"")</f>
        <v/>
      </c>
      <c r="Z2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4" s="52" t="str">
        <f>IFERROR(INDEX(DraftResults[[#All],[Pick in Round]],MATCH(Table5[[#This Row],[PID]],DraftResults[[#All],[Player ID]],0)),"")</f>
        <v/>
      </c>
      <c r="AB284" s="52" t="str">
        <f>IFERROR(INDEX(DraftResults[[#All],[Team Name]],MATCH(Table5[[#This Row],[PID]],DraftResults[[#All],[Player ID]],0)),"")</f>
        <v/>
      </c>
      <c r="AC284" s="52" t="str">
        <f>IF(Table5[[#This Row],[Ovr]]="","",IF(Table5[[#This Row],[cmbList]]="","",Table5[[#This Row],[cmbList]]-Table5[[#This Row],[Ovr]]))</f>
        <v/>
      </c>
      <c r="AD284" s="56" t="str">
        <f>IF(ISERROR(VLOOKUP($AB284&amp;"-"&amp;$E284&amp;" "&amp;F284,Bonuses!$B$1:$G$1006,4,FALSE)),"",INT(VLOOKUP($AB284&amp;"-"&amp;$E284&amp;" "&amp;$F284,Bonuses!$B$1:$G$1006,4,FALSE)))</f>
        <v/>
      </c>
      <c r="AE2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5" spans="1:31" s="52" customFormat="1" x14ac:dyDescent="0.25">
      <c r="A285" s="52">
        <v>7060</v>
      </c>
      <c r="B285" s="52">
        <f>COUNTIF(Table5[PID],A285)</f>
        <v>1</v>
      </c>
      <c r="C285" s="52" t="str">
        <f>IF(COUNTIF(Table3[[#All],[PID]],A285)&gt;0,"P","B")</f>
        <v>P</v>
      </c>
      <c r="D285" s="61" t="str">
        <f>IF($C285="B",INDEX(Batters[[#All],[POS]],MATCH(Table5[[#This Row],[PID]],Batters[[#All],[PID]],0)),INDEX(Table3[[#All],[POS]],MATCH(Table5[[#This Row],[PID]],Table3[[#All],[PID]],0)))</f>
        <v>SP</v>
      </c>
      <c r="E285" s="54" t="str">
        <f>IF($C285="B",INDEX(Batters[[#All],[First]],MATCH(Table5[[#This Row],[PID]],Batters[[#All],[PID]],0)),INDEX(Table3[[#All],[First]],MATCH(Table5[[#This Row],[PID]],Table3[[#All],[PID]],0)))</f>
        <v>Marvin</v>
      </c>
      <c r="F285" s="52" t="str">
        <f>IF($C285="B",INDEX(Batters[[#All],[Last]],MATCH(A285,Batters[[#All],[PID]],0)),INDEX(Table3[[#All],[Last]],MATCH(A285,Table3[[#All],[PID]],0)))</f>
        <v>Ruddle</v>
      </c>
      <c r="G285" s="58">
        <f>IF($C285="B",INDEX(Batters[[#All],[Age]],MATCH(Table5[[#This Row],[PID]],Batters[[#All],[PID]],0)),INDEX(Table3[[#All],[Age]],MATCH(Table5[[#This Row],[PID]],Table3[[#All],[PID]],0)))</f>
        <v>20</v>
      </c>
      <c r="H285" s="54" t="str">
        <f>IF($C285="B",INDEX(Batters[[#All],[B]],MATCH(Table5[[#This Row],[PID]],Batters[[#All],[PID]],0)),INDEX(Table3[[#All],[B]],MATCH(Table5[[#This Row],[PID]],Table3[[#All],[PID]],0)))</f>
        <v>L</v>
      </c>
      <c r="I285" s="54" t="str">
        <f>IF($C285="B",INDEX(Batters[[#All],[T]],MATCH(Table5[[#This Row],[PID]],Batters[[#All],[PID]],0)),INDEX(Table3[[#All],[T]],MATCH(Table5[[#This Row],[PID]],Table3[[#All],[PID]],0)))</f>
        <v>L</v>
      </c>
      <c r="J285" s="54" t="str">
        <f>IF($C285="B",INDEX(Batters[[#All],[WE]],MATCH(Table5[[#This Row],[PID]],Batters[[#All],[PID]],0)),INDEX(Table3[[#All],[WE]],MATCH(Table5[[#This Row],[PID]],Table3[[#All],[PID]],0)))</f>
        <v>Normal</v>
      </c>
      <c r="K285" s="54" t="str">
        <f>IF($C285="B",INDEX(Batters[[#All],[INT]],MATCH(Table5[[#This Row],[PID]],Batters[[#All],[PID]],0)),INDEX(Table3[[#All],[INT]],MATCH(Table5[[#This Row],[PID]],Table3[[#All],[PID]],0)))</f>
        <v>High</v>
      </c>
      <c r="L285" s="62">
        <f>IF($C285="B",INDEX(Batters[[#All],[CON P]],MATCH(Table5[[#This Row],[PID]],Batters[[#All],[PID]],0)),INDEX(Table3[[#All],[STU P]],MATCH(Table5[[#This Row],[PID]],Table3[[#All],[PID]],0)))</f>
        <v>6</v>
      </c>
      <c r="M285" s="58">
        <f>IF($C285="B",INDEX(Batters[[#All],[GAP P]],MATCH(Table5[[#This Row],[PID]],Batters[[#All],[PID]],0)),INDEX(Table3[[#All],[MOV P]],MATCH(Table5[[#This Row],[PID]],Table3[[#All],[PID]],0)))</f>
        <v>2</v>
      </c>
      <c r="N285" s="58">
        <f>IF($C285="B",INDEX(Batters[[#All],[POW P]],MATCH(Table5[[#This Row],[PID]],Batters[[#All],[PID]],0)),INDEX(Table3[[#All],[CON P]],MATCH(Table5[[#This Row],[PID]],Table3[[#All],[PID]],0)))</f>
        <v>3</v>
      </c>
      <c r="O285" s="58" t="str">
        <f>IF($C285="B",INDEX(Batters[[#All],[EYE P]],MATCH(Table5[[#This Row],[PID]],Batters[[#All],[PID]],0)),INDEX(Table3[[#All],[VELO]],MATCH(Table5[[#This Row],[PID]],Table3[[#All],[PID]],0)))</f>
        <v>95-97 Mph</v>
      </c>
      <c r="P285" s="58">
        <f>IF($C285="B",INDEX(Batters[[#All],[K P]],MATCH(Table5[[#This Row],[PID]],Batters[[#All],[PID]],0)),INDEX(Table3[[#All],[STM]],MATCH(Table5[[#This Row],[PID]],Table3[[#All],[PID]],0)))</f>
        <v>3</v>
      </c>
      <c r="Q285" s="63">
        <f>IF($C285="B",INDEX(Batters[[#All],[Tot]],MATCH(Table5[[#This Row],[PID]],Batters[[#All],[PID]],0)),INDEX(Table3[[#All],[Tot]],MATCH(Table5[[#This Row],[PID]],Table3[[#All],[PID]],0)))</f>
        <v>38.642614991239881</v>
      </c>
      <c r="R285" s="54">
        <f>IF($C285="B",INDEX(Batters[[#All],[zScore]],MATCH(Table5[[#This Row],[PID]],Batters[[#All],[PID]],0)),INDEX(Table3[[#All],[zScore]],MATCH(Table5[[#This Row],[PID]],Table3[[#All],[PID]],0)))</f>
        <v>0.54292269554741779</v>
      </c>
      <c r="S285" s="60" t="str">
        <f>IF($C285="B",INDEX(Batters[[#All],[DEM]],MATCH(Table5[[#This Row],[PID]],Batters[[#All],[PID]],0)),INDEX(Table3[[#All],[DEM]],MATCH(Table5[[#This Row],[PID]],Table3[[#All],[PID]],0)))</f>
        <v>-</v>
      </c>
      <c r="T285" s="64">
        <f>IF($C285="B",VLOOKUP($A285,Bat!$A$4:$AU$1417,46,FALSE),VLOOKUP($A285,Pit!$A$4:$BD$570,55,FALSE))</f>
        <v>0</v>
      </c>
      <c r="U285" s="52">
        <f>IF($C285="B",VLOOKUP($A285,Bat!$A$4:$BA$1417,47,FALSE),VLOOKUP($A285,Pit!$A$4:$BF$570,56,FALSE))</f>
        <v>0</v>
      </c>
      <c r="V285" s="52">
        <f>IF($C285="B",VLOOKUP($A285,Bat!$A$4:$BA$1417,48,FALSE),VLOOKUP($A285,Pit!$A$4:$BF$570,57,FALSE))</f>
        <v>0</v>
      </c>
      <c r="W285" s="52">
        <f>Table5[[#This Row],[posRnk]]+Table5[[#This Row],[zRnk]]+IF($W$3&lt;&gt;Table5[[#This Row],[Type]],50,0)</f>
        <v>331</v>
      </c>
      <c r="X285" s="53">
        <f>RANK(Table5[[#This Row],[zScore]],Table5[[#All],[zScore]])</f>
        <v>281</v>
      </c>
      <c r="Y285" s="52" t="str">
        <f>IFERROR(INDEX(DraftResults[[#All],[OVR]],MATCH(Table5[[#This Row],[PID]],DraftResults[[#All],[Player ID]],0)),"")</f>
        <v/>
      </c>
      <c r="Z2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5" s="52" t="str">
        <f>IFERROR(INDEX(DraftResults[[#All],[Pick in Round]],MATCH(Table5[[#This Row],[PID]],DraftResults[[#All],[Player ID]],0)),"")</f>
        <v/>
      </c>
      <c r="AB285" s="52" t="str">
        <f>IFERROR(INDEX(DraftResults[[#All],[Team Name]],MATCH(Table5[[#This Row],[PID]],DraftResults[[#All],[Player ID]],0)),"")</f>
        <v/>
      </c>
      <c r="AC285" s="52" t="str">
        <f>IF(Table5[[#This Row],[Ovr]]="","",IF(Table5[[#This Row],[cmbList]]="","",Table5[[#This Row],[cmbList]]-Table5[[#This Row],[Ovr]]))</f>
        <v/>
      </c>
      <c r="AD285" s="56" t="str">
        <f>IF(ISERROR(VLOOKUP($AB285&amp;"-"&amp;$E285&amp;" "&amp;F285,Bonuses!$B$1:$G$1006,4,FALSE)),"",INT(VLOOKUP($AB285&amp;"-"&amp;$E285&amp;" "&amp;$F285,Bonuses!$B$1:$G$1006,4,FALSE)))</f>
        <v/>
      </c>
      <c r="AE2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6" spans="1:31" s="52" customFormat="1" x14ac:dyDescent="0.25">
      <c r="A286" s="52">
        <v>9677</v>
      </c>
      <c r="B286" s="57">
        <f>COUNTIF(Table5[PID],A286)</f>
        <v>1</v>
      </c>
      <c r="C286" s="57" t="str">
        <f>IF(COUNTIF(Table3[[#All],[PID]],A286)&gt;0,"P","B")</f>
        <v>B</v>
      </c>
      <c r="D286" s="61" t="str">
        <f>IF($C286="B",INDEX(Batters[[#All],[POS]],MATCH(Table5[[#This Row],[PID]],Batters[[#All],[PID]],0)),INDEX(Table3[[#All],[POS]],MATCH(Table5[[#This Row],[PID]],Table3[[#All],[PID]],0)))</f>
        <v>SS</v>
      </c>
      <c r="E286" s="54" t="str">
        <f>IF($C286="B",INDEX(Batters[[#All],[First]],MATCH(Table5[[#This Row],[PID]],Batters[[#All],[PID]],0)),INDEX(Table3[[#All],[First]],MATCH(Table5[[#This Row],[PID]],Table3[[#All],[PID]],0)))</f>
        <v>Adrián</v>
      </c>
      <c r="F286" s="52" t="str">
        <f>IF($C286="B",INDEX(Batters[[#All],[Last]],MATCH(A286,Batters[[#All],[PID]],0)),INDEX(Table3[[#All],[Last]],MATCH(A286,Table3[[#All],[PID]],0)))</f>
        <v>Gutiérrez</v>
      </c>
      <c r="G286" s="58">
        <f>IF($C286="B",INDEX(Batters[[#All],[Age]],MATCH(Table5[[#This Row],[PID]],Batters[[#All],[PID]],0)),INDEX(Table3[[#All],[Age]],MATCH(Table5[[#This Row],[PID]],Table3[[#All],[PID]],0)))</f>
        <v>21</v>
      </c>
      <c r="H286" s="54" t="str">
        <f>IF($C286="B",INDEX(Batters[[#All],[B]],MATCH(Table5[[#This Row],[PID]],Batters[[#All],[PID]],0)),INDEX(Table3[[#All],[B]],MATCH(Table5[[#This Row],[PID]],Table3[[#All],[PID]],0)))</f>
        <v>L</v>
      </c>
      <c r="I286" s="54" t="str">
        <f>IF($C286="B",INDEX(Batters[[#All],[T]],MATCH(Table5[[#This Row],[PID]],Batters[[#All],[PID]],0)),INDEX(Table3[[#All],[T]],MATCH(Table5[[#This Row],[PID]],Table3[[#All],[PID]],0)))</f>
        <v>R</v>
      </c>
      <c r="J286" s="54" t="str">
        <f>IF($C286="B",INDEX(Batters[[#All],[WE]],MATCH(Table5[[#This Row],[PID]],Batters[[#All],[PID]],0)),INDEX(Table3[[#All],[WE]],MATCH(Table5[[#This Row],[PID]],Table3[[#All],[PID]],0)))</f>
        <v>Normal</v>
      </c>
      <c r="K286" s="54" t="str">
        <f>IF($C286="B",INDEX(Batters[[#All],[INT]],MATCH(Table5[[#This Row],[PID]],Batters[[#All],[PID]],0)),INDEX(Table3[[#All],[INT]],MATCH(Table5[[#This Row],[PID]],Table3[[#All],[PID]],0)))</f>
        <v>Normal</v>
      </c>
      <c r="L286" s="62">
        <f>IF($C286="B",INDEX(Batters[[#All],[CON P]],MATCH(Table5[[#This Row],[PID]],Batters[[#All],[PID]],0)),INDEX(Table3[[#All],[STU P]],MATCH(Table5[[#This Row],[PID]],Table3[[#All],[PID]],0)))</f>
        <v>4</v>
      </c>
      <c r="M286" s="58">
        <f>IF($C286="B",INDEX(Batters[[#All],[GAP P]],MATCH(Table5[[#This Row],[PID]],Batters[[#All],[PID]],0)),INDEX(Table3[[#All],[MOV P]],MATCH(Table5[[#This Row],[PID]],Table3[[#All],[PID]],0)))</f>
        <v>5</v>
      </c>
      <c r="N286" s="58">
        <f>IF($C286="B",INDEX(Batters[[#All],[POW P]],MATCH(Table5[[#This Row],[PID]],Batters[[#All],[PID]],0)),INDEX(Table3[[#All],[CON P]],MATCH(Table5[[#This Row],[PID]],Table3[[#All],[PID]],0)))</f>
        <v>3</v>
      </c>
      <c r="O286" s="58">
        <f>IF($C286="B",INDEX(Batters[[#All],[EYE P]],MATCH(Table5[[#This Row],[PID]],Batters[[#All],[PID]],0)),INDEX(Table3[[#All],[VELO]],MATCH(Table5[[#This Row],[PID]],Table3[[#All],[PID]],0)))</f>
        <v>5</v>
      </c>
      <c r="P286" s="58">
        <f>IF($C286="B",INDEX(Batters[[#All],[K P]],MATCH(Table5[[#This Row],[PID]],Batters[[#All],[PID]],0)),INDEX(Table3[[#All],[STM]],MATCH(Table5[[#This Row],[PID]],Table3[[#All],[PID]],0)))</f>
        <v>4</v>
      </c>
      <c r="Q286" s="63">
        <f>IF($C286="B",INDEX(Batters[[#All],[Tot]],MATCH(Table5[[#This Row],[PID]],Batters[[#All],[PID]],0)),INDEX(Table3[[#All],[Tot]],MATCH(Table5[[#This Row],[PID]],Table3[[#All],[PID]],0)))</f>
        <v>43.425837836107362</v>
      </c>
      <c r="R286" s="54">
        <f>IF($C286="B",INDEX(Batters[[#All],[zScore]],MATCH(Table5[[#This Row],[PID]],Batters[[#All],[PID]],0)),INDEX(Table3[[#All],[zScore]],MATCH(Table5[[#This Row],[PID]],Table3[[#All],[PID]],0)))</f>
        <v>0.54148158999400964</v>
      </c>
      <c r="S286" s="60" t="str">
        <f>IF($C286="B",INDEX(Batters[[#All],[DEM]],MATCH(Table5[[#This Row],[PID]],Batters[[#All],[PID]],0)),INDEX(Table3[[#All],[DEM]],MATCH(Table5[[#This Row],[PID]],Table3[[#All],[PID]],0)))</f>
        <v>$160k</v>
      </c>
      <c r="T286" s="64">
        <f>IF($C286="B",VLOOKUP($A286,Bat!$A$4:$AU$1417,46,FALSE),VLOOKUP($A286,Pit!$A$4:$BD$570,55,FALSE))</f>
        <v>0</v>
      </c>
      <c r="U286" s="52">
        <f>IF($C286="B",VLOOKUP($A286,Bat!$A$4:$BA$1417,47,FALSE),VLOOKUP($A286,Pit!$A$4:$BF$570,56,FALSE))</f>
        <v>0</v>
      </c>
      <c r="V286" s="52">
        <f>IF($C286="B",VLOOKUP($A286,Bat!$A$4:$BA$1417,48,FALSE),VLOOKUP($A286,Pit!$A$4:$BF$570,57,FALSE))</f>
        <v>0</v>
      </c>
      <c r="W286" s="52">
        <f>Table5[[#This Row],[posRnk]]+Table5[[#This Row],[zRnk]]+IF($W$3&lt;&gt;Table5[[#This Row],[Type]],50,0)</f>
        <v>332</v>
      </c>
      <c r="X286" s="53">
        <f>RANK(Table5[[#This Row],[zScore]],Table5[[#All],[zScore]])</f>
        <v>282</v>
      </c>
      <c r="Y286" s="52" t="str">
        <f>IFERROR(INDEX(DraftResults[[#All],[OVR]],MATCH(Table5[[#This Row],[PID]],DraftResults[[#All],[Player ID]],0)),"")</f>
        <v/>
      </c>
      <c r="Z2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6" s="52" t="str">
        <f>IFERROR(INDEX(DraftResults[[#All],[Pick in Round]],MATCH(Table5[[#This Row],[PID]],DraftResults[[#All],[Player ID]],0)),"")</f>
        <v/>
      </c>
      <c r="AB286" s="52" t="str">
        <f>IFERROR(INDEX(DraftResults[[#All],[Team Name]],MATCH(Table5[[#This Row],[PID]],DraftResults[[#All],[Player ID]],0)),"")</f>
        <v/>
      </c>
      <c r="AC286" s="52" t="str">
        <f>IF(Table5[[#This Row],[Ovr]]="","",IF(Table5[[#This Row],[cmbList]]="","",Table5[[#This Row],[cmbList]]-Table5[[#This Row],[Ovr]]))</f>
        <v/>
      </c>
      <c r="AD286" s="56" t="str">
        <f>IF(ISERROR(VLOOKUP($AB286&amp;"-"&amp;$E286&amp;" "&amp;F286,Bonuses!$B$1:$G$1006,4,FALSE)),"",INT(VLOOKUP($AB286&amp;"-"&amp;$E286&amp;" "&amp;$F286,Bonuses!$B$1:$G$1006,4,FALSE)))</f>
        <v/>
      </c>
      <c r="AE2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7" spans="1:31" s="52" customFormat="1" x14ac:dyDescent="0.25">
      <c r="A287" s="52">
        <v>6044</v>
      </c>
      <c r="B287" s="52">
        <f>COUNTIF(Table5[PID],A287)</f>
        <v>1</v>
      </c>
      <c r="C287" s="52" t="str">
        <f>IF(COUNTIF(Table3[[#All],[PID]],A287)&gt;0,"P","B")</f>
        <v>P</v>
      </c>
      <c r="D287" s="61" t="str">
        <f>IF($C287="B",INDEX(Batters[[#All],[POS]],MATCH(Table5[[#This Row],[PID]],Batters[[#All],[PID]],0)),INDEX(Table3[[#All],[POS]],MATCH(Table5[[#This Row],[PID]],Table3[[#All],[PID]],0)))</f>
        <v>RP</v>
      </c>
      <c r="E287" s="54" t="str">
        <f>IF($C287="B",INDEX(Batters[[#All],[First]],MATCH(Table5[[#This Row],[PID]],Batters[[#All],[PID]],0)),INDEX(Table3[[#All],[First]],MATCH(Table5[[#This Row],[PID]],Table3[[#All],[PID]],0)))</f>
        <v>Ed</v>
      </c>
      <c r="F287" s="52" t="str">
        <f>IF($C287="B",INDEX(Batters[[#All],[Last]],MATCH(A287,Batters[[#All],[PID]],0)),INDEX(Table3[[#All],[Last]],MATCH(A287,Table3[[#All],[PID]],0)))</f>
        <v>Conley</v>
      </c>
      <c r="G287" s="58">
        <f>IF($C287="B",INDEX(Batters[[#All],[Age]],MATCH(Table5[[#This Row],[PID]],Batters[[#All],[PID]],0)),INDEX(Table3[[#All],[Age]],MATCH(Table5[[#This Row],[PID]],Table3[[#All],[PID]],0)))</f>
        <v>18</v>
      </c>
      <c r="H287" s="54" t="str">
        <f>IF($C287="B",INDEX(Batters[[#All],[B]],MATCH(Table5[[#This Row],[PID]],Batters[[#All],[PID]],0)),INDEX(Table3[[#All],[B]],MATCH(Table5[[#This Row],[PID]],Table3[[#All],[PID]],0)))</f>
        <v>R</v>
      </c>
      <c r="I287" s="54" t="str">
        <f>IF($C287="B",INDEX(Batters[[#All],[T]],MATCH(Table5[[#This Row],[PID]],Batters[[#All],[PID]],0)),INDEX(Table3[[#All],[T]],MATCH(Table5[[#This Row],[PID]],Table3[[#All],[PID]],0)))</f>
        <v>R</v>
      </c>
      <c r="J287" s="54" t="str">
        <f>IF($C287="B",INDEX(Batters[[#All],[WE]],MATCH(Table5[[#This Row],[PID]],Batters[[#All],[PID]],0)),INDEX(Table3[[#All],[WE]],MATCH(Table5[[#This Row],[PID]],Table3[[#All],[PID]],0)))</f>
        <v>High</v>
      </c>
      <c r="K287" s="54" t="str">
        <f>IF($C287="B",INDEX(Batters[[#All],[INT]],MATCH(Table5[[#This Row],[PID]],Batters[[#All],[PID]],0)),INDEX(Table3[[#All],[INT]],MATCH(Table5[[#This Row],[PID]],Table3[[#All],[PID]],0)))</f>
        <v>Normal</v>
      </c>
      <c r="L287" s="62">
        <f>IF($C287="B",INDEX(Batters[[#All],[CON P]],MATCH(Table5[[#This Row],[PID]],Batters[[#All],[PID]],0)),INDEX(Table3[[#All],[STU P]],MATCH(Table5[[#This Row],[PID]],Table3[[#All],[PID]],0)))</f>
        <v>5</v>
      </c>
      <c r="M287" s="58">
        <f>IF($C287="B",INDEX(Batters[[#All],[GAP P]],MATCH(Table5[[#This Row],[PID]],Batters[[#All],[PID]],0)),INDEX(Table3[[#All],[MOV P]],MATCH(Table5[[#This Row],[PID]],Table3[[#All],[PID]],0)))</f>
        <v>2</v>
      </c>
      <c r="N287" s="58">
        <f>IF($C287="B",INDEX(Batters[[#All],[POW P]],MATCH(Table5[[#This Row],[PID]],Batters[[#All],[PID]],0)),INDEX(Table3[[#All],[CON P]],MATCH(Table5[[#This Row],[PID]],Table3[[#All],[PID]],0)))</f>
        <v>3</v>
      </c>
      <c r="O287" s="58" t="str">
        <f>IF($C287="B",INDEX(Batters[[#All],[EYE P]],MATCH(Table5[[#This Row],[PID]],Batters[[#All],[PID]],0)),INDEX(Table3[[#All],[VELO]],MATCH(Table5[[#This Row],[PID]],Table3[[#All],[PID]],0)))</f>
        <v>88-90 Mph</v>
      </c>
      <c r="P287" s="58">
        <f>IF($C287="B",INDEX(Batters[[#All],[K P]],MATCH(Table5[[#This Row],[PID]],Batters[[#All],[PID]],0)),INDEX(Table3[[#All],[STM]],MATCH(Table5[[#This Row],[PID]],Table3[[#All],[PID]],0)))</f>
        <v>7</v>
      </c>
      <c r="Q287" s="63">
        <f>IF($C287="B",INDEX(Batters[[#All],[Tot]],MATCH(Table5[[#This Row],[PID]],Batters[[#All],[PID]],0)),INDEX(Table3[[#All],[Tot]],MATCH(Table5[[#This Row],[PID]],Table3[[#All],[PID]],0)))</f>
        <v>38.605762682581371</v>
      </c>
      <c r="R287" s="54">
        <f>IF($C287="B",INDEX(Batters[[#All],[zScore]],MATCH(Table5[[#This Row],[PID]],Batters[[#All],[PID]],0)),INDEX(Table3[[#All],[zScore]],MATCH(Table5[[#This Row],[PID]],Table3[[#All],[PID]],0)))</f>
        <v>0.53954318133335488</v>
      </c>
      <c r="S287" s="60" t="str">
        <f>IF($C287="B",INDEX(Batters[[#All],[DEM]],MATCH(Table5[[#This Row],[PID]],Batters[[#All],[PID]],0)),INDEX(Table3[[#All],[DEM]],MATCH(Table5[[#This Row],[PID]],Table3[[#All],[PID]],0)))</f>
        <v>$65k</v>
      </c>
      <c r="T287" s="64">
        <f>IF($C287="B",VLOOKUP($A287,Bat!$A$4:$AU$1417,46,FALSE),VLOOKUP($A287,Pit!$A$4:$BD$570,55,FALSE))</f>
        <v>0</v>
      </c>
      <c r="U287" s="52">
        <f>IF($C287="B",VLOOKUP($A287,Bat!$A$4:$BA$1417,47,FALSE),VLOOKUP($A287,Pit!$A$4:$BF$570,56,FALSE))</f>
        <v>0</v>
      </c>
      <c r="V287" s="52">
        <f>IF($C287="B",VLOOKUP($A287,Bat!$A$4:$BA$1417,48,FALSE),VLOOKUP($A287,Pit!$A$4:$BF$570,57,FALSE))</f>
        <v>0</v>
      </c>
      <c r="W287" s="52">
        <f>Table5[[#This Row],[posRnk]]+Table5[[#This Row],[zRnk]]+IF($W$3&lt;&gt;Table5[[#This Row],[Type]],50,0)</f>
        <v>333</v>
      </c>
      <c r="X287" s="53">
        <f>RANK(Table5[[#This Row],[zScore]],Table5[[#All],[zScore]])</f>
        <v>283</v>
      </c>
      <c r="Y287" s="52" t="str">
        <f>IFERROR(INDEX(DraftResults[[#All],[OVR]],MATCH(Table5[[#This Row],[PID]],DraftResults[[#All],[Player ID]],0)),"")</f>
        <v/>
      </c>
      <c r="Z2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7" s="52" t="str">
        <f>IFERROR(INDEX(DraftResults[[#All],[Pick in Round]],MATCH(Table5[[#This Row],[PID]],DraftResults[[#All],[Player ID]],0)),"")</f>
        <v/>
      </c>
      <c r="AB287" s="52" t="str">
        <f>IFERROR(INDEX(DraftResults[[#All],[Team Name]],MATCH(Table5[[#This Row],[PID]],DraftResults[[#All],[Player ID]],0)),"")</f>
        <v/>
      </c>
      <c r="AC287" s="52" t="str">
        <f>IF(Table5[[#This Row],[Ovr]]="","",IF(Table5[[#This Row],[cmbList]]="","",Table5[[#This Row],[cmbList]]-Table5[[#This Row],[Ovr]]))</f>
        <v/>
      </c>
      <c r="AD287" s="56" t="str">
        <f>IF(ISERROR(VLOOKUP($AB287&amp;"-"&amp;$E287&amp;" "&amp;F287,Bonuses!$B$1:$G$1006,4,FALSE)),"",INT(VLOOKUP($AB287&amp;"-"&amp;$E287&amp;" "&amp;$F287,Bonuses!$B$1:$G$1006,4,FALSE)))</f>
        <v/>
      </c>
      <c r="AE2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8" spans="1:31" s="52" customFormat="1" x14ac:dyDescent="0.25">
      <c r="A288" s="52">
        <v>7884</v>
      </c>
      <c r="B288" s="52">
        <f>COUNTIF(Table5[PID],A288)</f>
        <v>1</v>
      </c>
      <c r="C288" s="52" t="str">
        <f>IF(COUNTIF(Table3[[#All],[PID]],A288)&gt;0,"P","B")</f>
        <v>B</v>
      </c>
      <c r="D288" s="61" t="str">
        <f>IF($C288="B",INDEX(Batters[[#All],[POS]],MATCH(Table5[[#This Row],[PID]],Batters[[#All],[PID]],0)),INDEX(Table3[[#All],[POS]],MATCH(Table5[[#This Row],[PID]],Table3[[#All],[PID]],0)))</f>
        <v>LF</v>
      </c>
      <c r="E288" s="54" t="str">
        <f>IF($C288="B",INDEX(Batters[[#All],[First]],MATCH(Table5[[#This Row],[PID]],Batters[[#All],[PID]],0)),INDEX(Table3[[#All],[First]],MATCH(Table5[[#This Row],[PID]],Table3[[#All],[PID]],0)))</f>
        <v>Johnny</v>
      </c>
      <c r="F288" s="52" t="str">
        <f>IF($C288="B",INDEX(Batters[[#All],[Last]],MATCH(A288,Batters[[#All],[PID]],0)),INDEX(Table3[[#All],[Last]],MATCH(A288,Table3[[#All],[PID]],0)))</f>
        <v>Densmore</v>
      </c>
      <c r="G288" s="58">
        <f>IF($C288="B",INDEX(Batters[[#All],[Age]],MATCH(Table5[[#This Row],[PID]],Batters[[#All],[PID]],0)),INDEX(Table3[[#All],[Age]],MATCH(Table5[[#This Row],[PID]],Table3[[#All],[PID]],0)))</f>
        <v>18</v>
      </c>
      <c r="H288" s="54" t="str">
        <f>IF($C288="B",INDEX(Batters[[#All],[B]],MATCH(Table5[[#This Row],[PID]],Batters[[#All],[PID]],0)),INDEX(Table3[[#All],[B]],MATCH(Table5[[#This Row],[PID]],Table3[[#All],[PID]],0)))</f>
        <v>R</v>
      </c>
      <c r="I288" s="54" t="str">
        <f>IF($C288="B",INDEX(Batters[[#All],[T]],MATCH(Table5[[#This Row],[PID]],Batters[[#All],[PID]],0)),INDEX(Table3[[#All],[T]],MATCH(Table5[[#This Row],[PID]],Table3[[#All],[PID]],0)))</f>
        <v>R</v>
      </c>
      <c r="J288" s="54" t="str">
        <f>IF($C288="B",INDEX(Batters[[#All],[WE]],MATCH(Table5[[#This Row],[PID]],Batters[[#All],[PID]],0)),INDEX(Table3[[#All],[WE]],MATCH(Table5[[#This Row],[PID]],Table3[[#All],[PID]],0)))</f>
        <v>Normal</v>
      </c>
      <c r="K288" s="54" t="str">
        <f>IF($C288="B",INDEX(Batters[[#All],[INT]],MATCH(Table5[[#This Row],[PID]],Batters[[#All],[PID]],0)),INDEX(Table3[[#All],[INT]],MATCH(Table5[[#This Row],[PID]],Table3[[#All],[PID]],0)))</f>
        <v>High</v>
      </c>
      <c r="L288" s="62">
        <f>IF($C288="B",INDEX(Batters[[#All],[CON P]],MATCH(Table5[[#This Row],[PID]],Batters[[#All],[PID]],0)),INDEX(Table3[[#All],[STU P]],MATCH(Table5[[#This Row],[PID]],Table3[[#All],[PID]],0)))</f>
        <v>3</v>
      </c>
      <c r="M288" s="58">
        <f>IF($C288="B",INDEX(Batters[[#All],[GAP P]],MATCH(Table5[[#This Row],[PID]],Batters[[#All],[PID]],0)),INDEX(Table3[[#All],[MOV P]],MATCH(Table5[[#This Row],[PID]],Table3[[#All],[PID]],0)))</f>
        <v>6</v>
      </c>
      <c r="N288" s="58">
        <f>IF($C288="B",INDEX(Batters[[#All],[POW P]],MATCH(Table5[[#This Row],[PID]],Batters[[#All],[PID]],0)),INDEX(Table3[[#All],[CON P]],MATCH(Table5[[#This Row],[PID]],Table3[[#All],[PID]],0)))</f>
        <v>4</v>
      </c>
      <c r="O288" s="58">
        <f>IF($C288="B",INDEX(Batters[[#All],[EYE P]],MATCH(Table5[[#This Row],[PID]],Batters[[#All],[PID]],0)),INDEX(Table3[[#All],[VELO]],MATCH(Table5[[#This Row],[PID]],Table3[[#All],[PID]],0)))</f>
        <v>4</v>
      </c>
      <c r="P288" s="58">
        <f>IF($C288="B",INDEX(Batters[[#All],[K P]],MATCH(Table5[[#This Row],[PID]],Batters[[#All],[PID]],0)),INDEX(Table3[[#All],[STM]],MATCH(Table5[[#This Row],[PID]],Table3[[#All],[PID]],0)))</f>
        <v>3</v>
      </c>
      <c r="Q288" s="63">
        <f>IF($C288="B",INDEX(Batters[[#All],[Tot]],MATCH(Table5[[#This Row],[PID]],Batters[[#All],[PID]],0)),INDEX(Table3[[#All],[Tot]],MATCH(Table5[[#This Row],[PID]],Table3[[#All],[PID]],0)))</f>
        <v>43.411273524585752</v>
      </c>
      <c r="R288" s="54">
        <f>IF($C288="B",INDEX(Batters[[#All],[zScore]],MATCH(Table5[[#This Row],[PID]],Batters[[#All],[PID]],0)),INDEX(Table3[[#All],[zScore]],MATCH(Table5[[#This Row],[PID]],Table3[[#All],[PID]],0)))</f>
        <v>0.53891909618061518</v>
      </c>
      <c r="S288" s="60" t="str">
        <f>IF($C288="B",INDEX(Batters[[#All],[DEM]],MATCH(Table5[[#This Row],[PID]],Batters[[#All],[PID]],0)),INDEX(Table3[[#All],[DEM]],MATCH(Table5[[#This Row],[PID]],Table3[[#All],[PID]],0)))</f>
        <v>$370k</v>
      </c>
      <c r="T288" s="64">
        <f>IF($C288="B",VLOOKUP($A288,Bat!$A$4:$AU$1417,46,FALSE),VLOOKUP($A288,Pit!$A$4:$BD$570,55,FALSE))</f>
        <v>0</v>
      </c>
      <c r="U288" s="52">
        <f>IF($C288="B",VLOOKUP($A288,Bat!$A$4:$BA$1417,47,FALSE),VLOOKUP($A288,Pit!$A$4:$BF$570,56,FALSE))</f>
        <v>0</v>
      </c>
      <c r="V288" s="52">
        <f>IF($C288="B",VLOOKUP($A288,Bat!$A$4:$BA$1417,48,FALSE),VLOOKUP($A288,Pit!$A$4:$BF$570,57,FALSE))</f>
        <v>0</v>
      </c>
      <c r="W288" s="52">
        <f>Table5[[#This Row],[posRnk]]+Table5[[#This Row],[zRnk]]+IF($W$3&lt;&gt;Table5[[#This Row],[Type]],50,0)</f>
        <v>334</v>
      </c>
      <c r="X288" s="53">
        <f>RANK(Table5[[#This Row],[zScore]],Table5[[#All],[zScore]])</f>
        <v>284</v>
      </c>
      <c r="Y288" s="52" t="str">
        <f>IFERROR(INDEX(DraftResults[[#All],[OVR]],MATCH(Table5[[#This Row],[PID]],DraftResults[[#All],[Player ID]],0)),"")</f>
        <v/>
      </c>
      <c r="Z2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8" s="52" t="str">
        <f>IFERROR(INDEX(DraftResults[[#All],[Pick in Round]],MATCH(Table5[[#This Row],[PID]],DraftResults[[#All],[Player ID]],0)),"")</f>
        <v/>
      </c>
      <c r="AB288" s="52" t="str">
        <f>IFERROR(INDEX(DraftResults[[#All],[Team Name]],MATCH(Table5[[#This Row],[PID]],DraftResults[[#All],[Player ID]],0)),"")</f>
        <v/>
      </c>
      <c r="AC288" s="52" t="str">
        <f>IF(Table5[[#This Row],[Ovr]]="","",IF(Table5[[#This Row],[cmbList]]="","",Table5[[#This Row],[cmbList]]-Table5[[#This Row],[Ovr]]))</f>
        <v/>
      </c>
      <c r="AD288" s="56" t="str">
        <f>IF(ISERROR(VLOOKUP($AB288&amp;"-"&amp;$E288&amp;" "&amp;F288,Bonuses!$B$1:$G$1006,4,FALSE)),"",INT(VLOOKUP($AB288&amp;"-"&amp;$E288&amp;" "&amp;$F288,Bonuses!$B$1:$G$1006,4,FALSE)))</f>
        <v/>
      </c>
      <c r="AE2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9" spans="1:31" s="52" customFormat="1" x14ac:dyDescent="0.25">
      <c r="A289" s="52">
        <v>6448</v>
      </c>
      <c r="B289" s="52">
        <f>COUNTIF(Table5[PID],A289)</f>
        <v>1</v>
      </c>
      <c r="C289" s="52" t="str">
        <f>IF(COUNTIF(Table3[[#All],[PID]],A289)&gt;0,"P","B")</f>
        <v>B</v>
      </c>
      <c r="D289" s="61" t="str">
        <f>IF($C289="B",INDEX(Batters[[#All],[POS]],MATCH(Table5[[#This Row],[PID]],Batters[[#All],[PID]],0)),INDEX(Table3[[#All],[POS]],MATCH(Table5[[#This Row],[PID]],Table3[[#All],[PID]],0)))</f>
        <v>C</v>
      </c>
      <c r="E289" s="54" t="str">
        <f>IF($C289="B",INDEX(Batters[[#All],[First]],MATCH(Table5[[#This Row],[PID]],Batters[[#All],[PID]],0)),INDEX(Table3[[#All],[First]],MATCH(Table5[[#This Row],[PID]],Table3[[#All],[PID]],0)))</f>
        <v>Yeijiro</v>
      </c>
      <c r="F289" s="52" t="str">
        <f>IF($C289="B",INDEX(Batters[[#All],[Last]],MATCH(A289,Batters[[#All],[PID]],0)),INDEX(Table3[[#All],[Last]],MATCH(A289,Table3[[#All],[PID]],0)))</f>
        <v>Hara</v>
      </c>
      <c r="G289" s="58">
        <f>IF($C289="B",INDEX(Batters[[#All],[Age]],MATCH(Table5[[#This Row],[PID]],Batters[[#All],[PID]],0)),INDEX(Table3[[#All],[Age]],MATCH(Table5[[#This Row],[PID]],Table3[[#All],[PID]],0)))</f>
        <v>18</v>
      </c>
      <c r="H289" s="54" t="str">
        <f>IF($C289="B",INDEX(Batters[[#All],[B]],MATCH(Table5[[#This Row],[PID]],Batters[[#All],[PID]],0)),INDEX(Table3[[#All],[B]],MATCH(Table5[[#This Row],[PID]],Table3[[#All],[PID]],0)))</f>
        <v>R</v>
      </c>
      <c r="I289" s="54" t="str">
        <f>IF($C289="B",INDEX(Batters[[#All],[T]],MATCH(Table5[[#This Row],[PID]],Batters[[#All],[PID]],0)),INDEX(Table3[[#All],[T]],MATCH(Table5[[#This Row],[PID]],Table3[[#All],[PID]],0)))</f>
        <v>R</v>
      </c>
      <c r="J289" s="54" t="str">
        <f>IF($C289="B",INDEX(Batters[[#All],[WE]],MATCH(Table5[[#This Row],[PID]],Batters[[#All],[PID]],0)),INDEX(Table3[[#All],[WE]],MATCH(Table5[[#This Row],[PID]],Table3[[#All],[PID]],0)))</f>
        <v>Low</v>
      </c>
      <c r="K289" s="54" t="str">
        <f>IF($C289="B",INDEX(Batters[[#All],[INT]],MATCH(Table5[[#This Row],[PID]],Batters[[#All],[PID]],0)),INDEX(Table3[[#All],[INT]],MATCH(Table5[[#This Row],[PID]],Table3[[#All],[PID]],0)))</f>
        <v>Normal</v>
      </c>
      <c r="L289" s="62">
        <f>IF($C289="B",INDEX(Batters[[#All],[CON P]],MATCH(Table5[[#This Row],[PID]],Batters[[#All],[PID]],0)),INDEX(Table3[[#All],[STU P]],MATCH(Table5[[#This Row],[PID]],Table3[[#All],[PID]],0)))</f>
        <v>3</v>
      </c>
      <c r="M289" s="58">
        <f>IF($C289="B",INDEX(Batters[[#All],[GAP P]],MATCH(Table5[[#This Row],[PID]],Batters[[#All],[PID]],0)),INDEX(Table3[[#All],[MOV P]],MATCH(Table5[[#This Row],[PID]],Table3[[#All],[PID]],0)))</f>
        <v>4</v>
      </c>
      <c r="N289" s="58">
        <f>IF($C289="B",INDEX(Batters[[#All],[POW P]],MATCH(Table5[[#This Row],[PID]],Batters[[#All],[PID]],0)),INDEX(Table3[[#All],[CON P]],MATCH(Table5[[#This Row],[PID]],Table3[[#All],[PID]],0)))</f>
        <v>5</v>
      </c>
      <c r="O289" s="58">
        <f>IF($C289="B",INDEX(Batters[[#All],[EYE P]],MATCH(Table5[[#This Row],[PID]],Batters[[#All],[PID]],0)),INDEX(Table3[[#All],[VELO]],MATCH(Table5[[#This Row],[PID]],Table3[[#All],[PID]],0)))</f>
        <v>5</v>
      </c>
      <c r="P289" s="58">
        <f>IF($C289="B",INDEX(Batters[[#All],[K P]],MATCH(Table5[[#This Row],[PID]],Batters[[#All],[PID]],0)),INDEX(Table3[[#All],[STM]],MATCH(Table5[[#This Row],[PID]],Table3[[#All],[PID]],0)))</f>
        <v>3</v>
      </c>
      <c r="Q289" s="63">
        <f>IF($C289="B",INDEX(Batters[[#All],[Tot]],MATCH(Table5[[#This Row],[PID]],Batters[[#All],[PID]],0)),INDEX(Table3[[#All],[Tot]],MATCH(Table5[[#This Row],[PID]],Table3[[#All],[PID]],0)))</f>
        <v>43.337926725246803</v>
      </c>
      <c r="R289" s="54">
        <f>IF($C289="B",INDEX(Batters[[#All],[zScore]],MATCH(Table5[[#This Row],[PID]],Batters[[#All],[PID]],0)),INDEX(Table3[[#All],[zScore]],MATCH(Table5[[#This Row],[PID]],Table3[[#All],[PID]],0)))</f>
        <v>0.52601421432200723</v>
      </c>
      <c r="S289" s="60" t="str">
        <f>IF($C289="B",INDEX(Batters[[#All],[DEM]],MATCH(Table5[[#This Row],[PID]],Batters[[#All],[PID]],0)),INDEX(Table3[[#All],[DEM]],MATCH(Table5[[#This Row],[PID]],Table3[[#All],[PID]],0)))</f>
        <v>$65k</v>
      </c>
      <c r="T289" s="64">
        <f>IF($C289="B",VLOOKUP($A289,Bat!$A$4:$AU$1417,46,FALSE),VLOOKUP($A289,Pit!$A$4:$BD$570,55,FALSE))</f>
        <v>0</v>
      </c>
      <c r="U289" s="52">
        <f>IF($C289="B",VLOOKUP($A289,Bat!$A$4:$BA$1417,47,FALSE),VLOOKUP($A289,Pit!$A$4:$BF$570,56,FALSE))</f>
        <v>0</v>
      </c>
      <c r="V289" s="52">
        <f>IF($C289="B",VLOOKUP($A289,Bat!$A$4:$BA$1417,48,FALSE),VLOOKUP($A289,Pit!$A$4:$BF$570,57,FALSE))</f>
        <v>0</v>
      </c>
      <c r="W289" s="52">
        <f>Table5[[#This Row],[posRnk]]+Table5[[#This Row],[zRnk]]+IF($W$3&lt;&gt;Table5[[#This Row],[Type]],50,0)</f>
        <v>335</v>
      </c>
      <c r="X289" s="53">
        <f>RANK(Table5[[#This Row],[zScore]],Table5[[#All],[zScore]])</f>
        <v>285</v>
      </c>
      <c r="Y289" s="52" t="str">
        <f>IFERROR(INDEX(DraftResults[[#All],[OVR]],MATCH(Table5[[#This Row],[PID]],DraftResults[[#All],[Player ID]],0)),"")</f>
        <v/>
      </c>
      <c r="Z2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9" s="52" t="str">
        <f>IFERROR(INDEX(DraftResults[[#All],[Pick in Round]],MATCH(Table5[[#This Row],[PID]],DraftResults[[#All],[Player ID]],0)),"")</f>
        <v/>
      </c>
      <c r="AB289" s="52" t="str">
        <f>IFERROR(INDEX(DraftResults[[#All],[Team Name]],MATCH(Table5[[#This Row],[PID]],DraftResults[[#All],[Player ID]],0)),"")</f>
        <v/>
      </c>
      <c r="AC289" s="52" t="str">
        <f>IF(Table5[[#This Row],[Ovr]]="","",IF(Table5[[#This Row],[cmbList]]="","",Table5[[#This Row],[cmbList]]-Table5[[#This Row],[Ovr]]))</f>
        <v/>
      </c>
      <c r="AD289" s="56" t="str">
        <f>IF(ISERROR(VLOOKUP($AB289&amp;"-"&amp;$E289&amp;" "&amp;F289,Bonuses!$B$1:$G$1006,4,FALSE)),"",INT(VLOOKUP($AB289&amp;"-"&amp;$E289&amp;" "&amp;$F289,Bonuses!$B$1:$G$1006,4,FALSE)))</f>
        <v/>
      </c>
      <c r="AE2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0" spans="1:31" s="52" customFormat="1" x14ac:dyDescent="0.25">
      <c r="A290" s="52">
        <v>8232</v>
      </c>
      <c r="B290" s="52">
        <f>COUNTIF(Table5[PID],A290)</f>
        <v>1</v>
      </c>
      <c r="C290" s="52" t="str">
        <f>IF(COUNTIF(Table3[[#All],[PID]],A290)&gt;0,"P","B")</f>
        <v>P</v>
      </c>
      <c r="D290" s="61" t="str">
        <f>IF($C290="B",INDEX(Batters[[#All],[POS]],MATCH(Table5[[#This Row],[PID]],Batters[[#All],[PID]],0)),INDEX(Table3[[#All],[POS]],MATCH(Table5[[#This Row],[PID]],Table3[[#All],[PID]],0)))</f>
        <v>RP</v>
      </c>
      <c r="E290" s="54" t="str">
        <f>IF($C290="B",INDEX(Batters[[#All],[First]],MATCH(Table5[[#This Row],[PID]],Batters[[#All],[PID]],0)),INDEX(Table3[[#All],[First]],MATCH(Table5[[#This Row],[PID]],Table3[[#All],[PID]],0)))</f>
        <v>Dan</v>
      </c>
      <c r="F290" s="52" t="str">
        <f>IF($C290="B",INDEX(Batters[[#All],[Last]],MATCH(A290,Batters[[#All],[PID]],0)),INDEX(Table3[[#All],[Last]],MATCH(A290,Table3[[#All],[PID]],0)))</f>
        <v>Ortíz</v>
      </c>
      <c r="G290" s="58">
        <f>IF($C290="B",INDEX(Batters[[#All],[Age]],MATCH(Table5[[#This Row],[PID]],Batters[[#All],[PID]],0)),INDEX(Table3[[#All],[Age]],MATCH(Table5[[#This Row],[PID]],Table3[[#All],[PID]],0)))</f>
        <v>18</v>
      </c>
      <c r="H290" s="54" t="str">
        <f>IF($C290="B",INDEX(Batters[[#All],[B]],MATCH(Table5[[#This Row],[PID]],Batters[[#All],[PID]],0)),INDEX(Table3[[#All],[B]],MATCH(Table5[[#This Row],[PID]],Table3[[#All],[PID]],0)))</f>
        <v>L</v>
      </c>
      <c r="I290" s="54" t="str">
        <f>IF($C290="B",INDEX(Batters[[#All],[T]],MATCH(Table5[[#This Row],[PID]],Batters[[#All],[PID]],0)),INDEX(Table3[[#All],[T]],MATCH(Table5[[#This Row],[PID]],Table3[[#All],[PID]],0)))</f>
        <v>L</v>
      </c>
      <c r="J290" s="54" t="str">
        <f>IF($C290="B",INDEX(Batters[[#All],[WE]],MATCH(Table5[[#This Row],[PID]],Batters[[#All],[PID]],0)),INDEX(Table3[[#All],[WE]],MATCH(Table5[[#This Row],[PID]],Table3[[#All],[PID]],0)))</f>
        <v>Normal</v>
      </c>
      <c r="K290" s="54" t="str">
        <f>IF($C290="B",INDEX(Batters[[#All],[INT]],MATCH(Table5[[#This Row],[PID]],Batters[[#All],[PID]],0)),INDEX(Table3[[#All],[INT]],MATCH(Table5[[#This Row],[PID]],Table3[[#All],[PID]],0)))</f>
        <v>Normal</v>
      </c>
      <c r="L290" s="62">
        <f>IF($C290="B",INDEX(Batters[[#All],[CON P]],MATCH(Table5[[#This Row],[PID]],Batters[[#All],[PID]],0)),INDEX(Table3[[#All],[STU P]],MATCH(Table5[[#This Row],[PID]],Table3[[#All],[PID]],0)))</f>
        <v>5</v>
      </c>
      <c r="M290" s="58">
        <f>IF($C290="B",INDEX(Batters[[#All],[GAP P]],MATCH(Table5[[#This Row],[PID]],Batters[[#All],[PID]],0)),INDEX(Table3[[#All],[MOV P]],MATCH(Table5[[#This Row],[PID]],Table3[[#All],[PID]],0)))</f>
        <v>3</v>
      </c>
      <c r="N290" s="58">
        <f>IF($C290="B",INDEX(Batters[[#All],[POW P]],MATCH(Table5[[#This Row],[PID]],Batters[[#All],[PID]],0)),INDEX(Table3[[#All],[CON P]],MATCH(Table5[[#This Row],[PID]],Table3[[#All],[PID]],0)))</f>
        <v>2</v>
      </c>
      <c r="O290" s="58" t="str">
        <f>IF($C290="B",INDEX(Batters[[#All],[EYE P]],MATCH(Table5[[#This Row],[PID]],Batters[[#All],[PID]],0)),INDEX(Table3[[#All],[VELO]],MATCH(Table5[[#This Row],[PID]],Table3[[#All],[PID]],0)))</f>
        <v>93-95 Mph</v>
      </c>
      <c r="P290" s="58">
        <f>IF($C290="B",INDEX(Batters[[#All],[K P]],MATCH(Table5[[#This Row],[PID]],Batters[[#All],[PID]],0)),INDEX(Table3[[#All],[STM]],MATCH(Table5[[#This Row],[PID]],Table3[[#All],[PID]],0)))</f>
        <v>8</v>
      </c>
      <c r="Q290" s="63">
        <f>IF($C290="B",INDEX(Batters[[#All],[Tot]],MATCH(Table5[[#This Row],[PID]],Batters[[#All],[PID]],0)),INDEX(Table3[[#All],[Tot]],MATCH(Table5[[#This Row],[PID]],Table3[[#All],[PID]],0)))</f>
        <v>38.363258775401533</v>
      </c>
      <c r="R290" s="54">
        <f>IF($C290="B",INDEX(Batters[[#All],[zScore]],MATCH(Table5[[#This Row],[PID]],Batters[[#All],[PID]],0)),INDEX(Table3[[#All],[zScore]],MATCH(Table5[[#This Row],[PID]],Table3[[#All],[PID]],0)))</f>
        <v>0.51730453656148057</v>
      </c>
      <c r="S290" s="60" t="str">
        <f>IF($C290="B",INDEX(Batters[[#All],[DEM]],MATCH(Table5[[#This Row],[PID]],Batters[[#All],[PID]],0)),INDEX(Table3[[#All],[DEM]],MATCH(Table5[[#This Row],[PID]],Table3[[#All],[PID]],0)))</f>
        <v>$38k</v>
      </c>
      <c r="T290" s="64">
        <f>IF($C290="B",VLOOKUP($A290,Bat!$A$4:$AU$1417,46,FALSE),VLOOKUP($A290,Pit!$A$4:$BD$570,55,FALSE))</f>
        <v>0</v>
      </c>
      <c r="U290" s="52">
        <f>IF($C290="B",VLOOKUP($A290,Bat!$A$4:$BA$1417,47,FALSE),VLOOKUP($A290,Pit!$A$4:$BF$570,56,FALSE))</f>
        <v>0</v>
      </c>
      <c r="V290" s="52">
        <f>IF($C290="B",VLOOKUP($A290,Bat!$A$4:$BA$1417,48,FALSE),VLOOKUP($A290,Pit!$A$4:$BF$570,57,FALSE))</f>
        <v>0</v>
      </c>
      <c r="W290" s="52">
        <f>Table5[[#This Row],[posRnk]]+Table5[[#This Row],[zRnk]]+IF($W$3&lt;&gt;Table5[[#This Row],[Type]],50,0)</f>
        <v>336</v>
      </c>
      <c r="X290" s="53">
        <f>RANK(Table5[[#This Row],[zScore]],Table5[[#All],[zScore]])</f>
        <v>286</v>
      </c>
      <c r="Y290" s="52" t="str">
        <f>IFERROR(INDEX(DraftResults[[#All],[OVR]],MATCH(Table5[[#This Row],[PID]],DraftResults[[#All],[Player ID]],0)),"")</f>
        <v/>
      </c>
      <c r="Z2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0" s="52" t="str">
        <f>IFERROR(INDEX(DraftResults[[#All],[Pick in Round]],MATCH(Table5[[#This Row],[PID]],DraftResults[[#All],[Player ID]],0)),"")</f>
        <v/>
      </c>
      <c r="AB290" s="52" t="str">
        <f>IFERROR(INDEX(DraftResults[[#All],[Team Name]],MATCH(Table5[[#This Row],[PID]],DraftResults[[#All],[Player ID]],0)),"")</f>
        <v/>
      </c>
      <c r="AC290" s="52" t="str">
        <f>IF(Table5[[#This Row],[Ovr]]="","",IF(Table5[[#This Row],[cmbList]]="","",Table5[[#This Row],[cmbList]]-Table5[[#This Row],[Ovr]]))</f>
        <v/>
      </c>
      <c r="AD290" s="56" t="str">
        <f>IF(ISERROR(VLOOKUP($AB290&amp;"-"&amp;$E290&amp;" "&amp;F290,Bonuses!$B$1:$G$1006,4,FALSE)),"",INT(VLOOKUP($AB290&amp;"-"&amp;$E290&amp;" "&amp;$F290,Bonuses!$B$1:$G$1006,4,FALSE)))</f>
        <v/>
      </c>
      <c r="AE2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1" spans="1:31" s="52" customFormat="1" x14ac:dyDescent="0.25">
      <c r="A291" s="52">
        <v>9348</v>
      </c>
      <c r="B291" s="52">
        <f>COUNTIF(Table5[PID],A291)</f>
        <v>1</v>
      </c>
      <c r="C291" s="52" t="str">
        <f>IF(COUNTIF(Table3[[#All],[PID]],A291)&gt;0,"P","B")</f>
        <v>P</v>
      </c>
      <c r="D291" s="61" t="str">
        <f>IF($C291="B",INDEX(Batters[[#All],[POS]],MATCH(Table5[[#This Row],[PID]],Batters[[#All],[PID]],0)),INDEX(Table3[[#All],[POS]],MATCH(Table5[[#This Row],[PID]],Table3[[#All],[PID]],0)))</f>
        <v>RP</v>
      </c>
      <c r="E291" s="54" t="str">
        <f>IF($C291="B",INDEX(Batters[[#All],[First]],MATCH(Table5[[#This Row],[PID]],Batters[[#All],[PID]],0)),INDEX(Table3[[#All],[First]],MATCH(Table5[[#This Row],[PID]],Table3[[#All],[PID]],0)))</f>
        <v>Ramón</v>
      </c>
      <c r="F291" s="52" t="str">
        <f>IF($C291="B",INDEX(Batters[[#All],[Last]],MATCH(A291,Batters[[#All],[PID]],0)),INDEX(Table3[[#All],[Last]],MATCH(A291,Table3[[#All],[PID]],0)))</f>
        <v>Rafien</v>
      </c>
      <c r="G291" s="58">
        <f>IF($C291="B",INDEX(Batters[[#All],[Age]],MATCH(Table5[[#This Row],[PID]],Batters[[#All],[PID]],0)),INDEX(Table3[[#All],[Age]],MATCH(Table5[[#This Row],[PID]],Table3[[#All],[PID]],0)))</f>
        <v>21</v>
      </c>
      <c r="H291" s="54" t="str">
        <f>IF($C291="B",INDEX(Batters[[#All],[B]],MATCH(Table5[[#This Row],[PID]],Batters[[#All],[PID]],0)),INDEX(Table3[[#All],[B]],MATCH(Table5[[#This Row],[PID]],Table3[[#All],[PID]],0)))</f>
        <v>R</v>
      </c>
      <c r="I291" s="54" t="str">
        <f>IF($C291="B",INDEX(Batters[[#All],[T]],MATCH(Table5[[#This Row],[PID]],Batters[[#All],[PID]],0)),INDEX(Table3[[#All],[T]],MATCH(Table5[[#This Row],[PID]],Table3[[#All],[PID]],0)))</f>
        <v>R</v>
      </c>
      <c r="J291" s="54" t="str">
        <f>IF($C291="B",INDEX(Batters[[#All],[WE]],MATCH(Table5[[#This Row],[PID]],Batters[[#All],[PID]],0)),INDEX(Table3[[#All],[WE]],MATCH(Table5[[#This Row],[PID]],Table3[[#All],[PID]],0)))</f>
        <v>Normal</v>
      </c>
      <c r="K291" s="54" t="str">
        <f>IF($C291="B",INDEX(Batters[[#All],[INT]],MATCH(Table5[[#This Row],[PID]],Batters[[#All],[PID]],0)),INDEX(Table3[[#All],[INT]],MATCH(Table5[[#This Row],[PID]],Table3[[#All],[PID]],0)))</f>
        <v>Normal</v>
      </c>
      <c r="L291" s="62">
        <f>IF($C291="B",INDEX(Batters[[#All],[CON P]],MATCH(Table5[[#This Row],[PID]],Batters[[#All],[PID]],0)),INDEX(Table3[[#All],[STU P]],MATCH(Table5[[#This Row],[PID]],Table3[[#All],[PID]],0)))</f>
        <v>5</v>
      </c>
      <c r="M291" s="58">
        <f>IF($C291="B",INDEX(Batters[[#All],[GAP P]],MATCH(Table5[[#This Row],[PID]],Batters[[#All],[PID]],0)),INDEX(Table3[[#All],[MOV P]],MATCH(Table5[[#This Row],[PID]],Table3[[#All],[PID]],0)))</f>
        <v>2</v>
      </c>
      <c r="N291" s="58">
        <f>IF($C291="B",INDEX(Batters[[#All],[POW P]],MATCH(Table5[[#This Row],[PID]],Batters[[#All],[PID]],0)),INDEX(Table3[[#All],[CON P]],MATCH(Table5[[#This Row],[PID]],Table3[[#All],[PID]],0)))</f>
        <v>4</v>
      </c>
      <c r="O291" s="58" t="str">
        <f>IF($C291="B",INDEX(Batters[[#All],[EYE P]],MATCH(Table5[[#This Row],[PID]],Batters[[#All],[PID]],0)),INDEX(Table3[[#All],[VELO]],MATCH(Table5[[#This Row],[PID]],Table3[[#All],[PID]],0)))</f>
        <v>88-90 Mph</v>
      </c>
      <c r="P291" s="58">
        <f>IF($C291="B",INDEX(Batters[[#All],[K P]],MATCH(Table5[[#This Row],[PID]],Batters[[#All],[PID]],0)),INDEX(Table3[[#All],[STM]],MATCH(Table5[[#This Row],[PID]],Table3[[#All],[PID]],0)))</f>
        <v>8</v>
      </c>
      <c r="Q291" s="63">
        <f>IF($C291="B",INDEX(Batters[[#All],[Tot]],MATCH(Table5[[#This Row],[PID]],Batters[[#All],[PID]],0)),INDEX(Table3[[#All],[Tot]],MATCH(Table5[[#This Row],[PID]],Table3[[#All],[PID]],0)))</f>
        <v>38.288040494987051</v>
      </c>
      <c r="R291" s="54">
        <f>IF($C291="B",INDEX(Batters[[#All],[zScore]],MATCH(Table5[[#This Row],[PID]],Batters[[#All],[PID]],0)),INDEX(Table3[[#All],[zScore]],MATCH(Table5[[#This Row],[PID]],Table3[[#All],[PID]],0)))</f>
        <v>0.51040669875778522</v>
      </c>
      <c r="S291" s="60" t="str">
        <f>IF($C291="B",INDEX(Batters[[#All],[DEM]],MATCH(Table5[[#This Row],[PID]],Batters[[#All],[PID]],0)),INDEX(Table3[[#All],[DEM]],MATCH(Table5[[#This Row],[PID]],Table3[[#All],[PID]],0)))</f>
        <v>-</v>
      </c>
      <c r="T291" s="64">
        <f>IF($C291="B",VLOOKUP($A291,Bat!$A$4:$AU$1417,46,FALSE),VLOOKUP($A291,Pit!$A$4:$BD$570,55,FALSE))</f>
        <v>0</v>
      </c>
      <c r="U291" s="52">
        <f>IF($C291="B",VLOOKUP($A291,Bat!$A$4:$BA$1417,47,FALSE),VLOOKUP($A291,Pit!$A$4:$BF$570,56,FALSE))</f>
        <v>0</v>
      </c>
      <c r="V291" s="52">
        <f>IF($C291="B",VLOOKUP($A291,Bat!$A$4:$BA$1417,48,FALSE),VLOOKUP($A291,Pit!$A$4:$BF$570,57,FALSE))</f>
        <v>0</v>
      </c>
      <c r="W291" s="52">
        <f>Table5[[#This Row],[posRnk]]+Table5[[#This Row],[zRnk]]+IF($W$3&lt;&gt;Table5[[#This Row],[Type]],50,0)</f>
        <v>337</v>
      </c>
      <c r="X291" s="53">
        <f>RANK(Table5[[#This Row],[zScore]],Table5[[#All],[zScore]])</f>
        <v>287</v>
      </c>
      <c r="Y291" s="52" t="str">
        <f>IFERROR(INDEX(DraftResults[[#All],[OVR]],MATCH(Table5[[#This Row],[PID]],DraftResults[[#All],[Player ID]],0)),"")</f>
        <v/>
      </c>
      <c r="Z2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1" s="52" t="str">
        <f>IFERROR(INDEX(DraftResults[[#All],[Pick in Round]],MATCH(Table5[[#This Row],[PID]],DraftResults[[#All],[Player ID]],0)),"")</f>
        <v/>
      </c>
      <c r="AB291" s="52" t="str">
        <f>IFERROR(INDEX(DraftResults[[#All],[Team Name]],MATCH(Table5[[#This Row],[PID]],DraftResults[[#All],[Player ID]],0)),"")</f>
        <v/>
      </c>
      <c r="AC291" s="52" t="str">
        <f>IF(Table5[[#This Row],[Ovr]]="","",IF(Table5[[#This Row],[cmbList]]="","",Table5[[#This Row],[cmbList]]-Table5[[#This Row],[Ovr]]))</f>
        <v/>
      </c>
      <c r="AD291" s="56" t="str">
        <f>IF(ISERROR(VLOOKUP($AB291&amp;"-"&amp;$E291&amp;" "&amp;F291,Bonuses!$B$1:$G$1006,4,FALSE)),"",INT(VLOOKUP($AB291&amp;"-"&amp;$E291&amp;" "&amp;$F291,Bonuses!$B$1:$G$1006,4,FALSE)))</f>
        <v/>
      </c>
      <c r="AE2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2" spans="1:31" s="52" customFormat="1" x14ac:dyDescent="0.25">
      <c r="A292" s="52">
        <v>6799</v>
      </c>
      <c r="B292" s="52">
        <f>COUNTIF(Table5[PID],A292)</f>
        <v>1</v>
      </c>
      <c r="C292" s="52" t="str">
        <f>IF(COUNTIF(Table3[[#All],[PID]],A292)&gt;0,"P","B")</f>
        <v>B</v>
      </c>
      <c r="D292" s="61" t="str">
        <f>IF($C292="B",INDEX(Batters[[#All],[POS]],MATCH(Table5[[#This Row],[PID]],Batters[[#All],[PID]],0)),INDEX(Table3[[#All],[POS]],MATCH(Table5[[#This Row],[PID]],Table3[[#All],[PID]],0)))</f>
        <v>3B</v>
      </c>
      <c r="E292" s="54" t="str">
        <f>IF($C292="B",INDEX(Batters[[#All],[First]],MATCH(Table5[[#This Row],[PID]],Batters[[#All],[PID]],0)),INDEX(Table3[[#All],[First]],MATCH(Table5[[#This Row],[PID]],Table3[[#All],[PID]],0)))</f>
        <v>Alfredo</v>
      </c>
      <c r="F292" s="52" t="str">
        <f>IF($C292="B",INDEX(Batters[[#All],[Last]],MATCH(A292,Batters[[#All],[PID]],0)),INDEX(Table3[[#All],[Last]],MATCH(A292,Table3[[#All],[PID]],0)))</f>
        <v>Domínguez</v>
      </c>
      <c r="G292" s="58">
        <f>IF($C292="B",INDEX(Batters[[#All],[Age]],MATCH(Table5[[#This Row],[PID]],Batters[[#All],[PID]],0)),INDEX(Table3[[#All],[Age]],MATCH(Table5[[#This Row],[PID]],Table3[[#All],[PID]],0)))</f>
        <v>21</v>
      </c>
      <c r="H292" s="54" t="str">
        <f>IF($C292="B",INDEX(Batters[[#All],[B]],MATCH(Table5[[#This Row],[PID]],Batters[[#All],[PID]],0)),INDEX(Table3[[#All],[B]],MATCH(Table5[[#This Row],[PID]],Table3[[#All],[PID]],0)))</f>
        <v>R</v>
      </c>
      <c r="I292" s="54" t="str">
        <f>IF($C292="B",INDEX(Batters[[#All],[T]],MATCH(Table5[[#This Row],[PID]],Batters[[#All],[PID]],0)),INDEX(Table3[[#All],[T]],MATCH(Table5[[#This Row],[PID]],Table3[[#All],[PID]],0)))</f>
        <v>R</v>
      </c>
      <c r="J292" s="54" t="str">
        <f>IF($C292="B",INDEX(Batters[[#All],[WE]],MATCH(Table5[[#This Row],[PID]],Batters[[#All],[PID]],0)),INDEX(Table3[[#All],[WE]],MATCH(Table5[[#This Row],[PID]],Table3[[#All],[PID]],0)))</f>
        <v>Normal</v>
      </c>
      <c r="K292" s="54" t="str">
        <f>IF($C292="B",INDEX(Batters[[#All],[INT]],MATCH(Table5[[#This Row],[PID]],Batters[[#All],[PID]],0)),INDEX(Table3[[#All],[INT]],MATCH(Table5[[#This Row],[PID]],Table3[[#All],[PID]],0)))</f>
        <v>Normal</v>
      </c>
      <c r="L292" s="62">
        <f>IF($C292="B",INDEX(Batters[[#All],[CON P]],MATCH(Table5[[#This Row],[PID]],Batters[[#All],[PID]],0)),INDEX(Table3[[#All],[STU P]],MATCH(Table5[[#This Row],[PID]],Table3[[#All],[PID]],0)))</f>
        <v>4</v>
      </c>
      <c r="M292" s="58">
        <f>IF($C292="B",INDEX(Batters[[#All],[GAP P]],MATCH(Table5[[#This Row],[PID]],Batters[[#All],[PID]],0)),INDEX(Table3[[#All],[MOV P]],MATCH(Table5[[#This Row],[PID]],Table3[[#All],[PID]],0)))</f>
        <v>6</v>
      </c>
      <c r="N292" s="58">
        <f>IF($C292="B",INDEX(Batters[[#All],[POW P]],MATCH(Table5[[#This Row],[PID]],Batters[[#All],[PID]],0)),INDEX(Table3[[#All],[CON P]],MATCH(Table5[[#This Row],[PID]],Table3[[#All],[PID]],0)))</f>
        <v>5</v>
      </c>
      <c r="O292" s="58">
        <f>IF($C292="B",INDEX(Batters[[#All],[EYE P]],MATCH(Table5[[#This Row],[PID]],Batters[[#All],[PID]],0)),INDEX(Table3[[#All],[VELO]],MATCH(Table5[[#This Row],[PID]],Table3[[#All],[PID]],0)))</f>
        <v>4</v>
      </c>
      <c r="P292" s="58">
        <f>IF($C292="B",INDEX(Batters[[#All],[K P]],MATCH(Table5[[#This Row],[PID]],Batters[[#All],[PID]],0)),INDEX(Table3[[#All],[STM]],MATCH(Table5[[#This Row],[PID]],Table3[[#All],[PID]],0)))</f>
        <v>4</v>
      </c>
      <c r="Q292" s="63">
        <f>IF($C292="B",INDEX(Batters[[#All],[Tot]],MATCH(Table5[[#This Row],[PID]],Batters[[#All],[PID]],0)),INDEX(Table3[[#All],[Tot]],MATCH(Table5[[#This Row],[PID]],Table3[[#All],[PID]],0)))</f>
        <v>43.243929205690883</v>
      </c>
      <c r="R292" s="54">
        <f>IF($C292="B",INDEX(Batters[[#All],[zScore]],MATCH(Table5[[#This Row],[PID]],Batters[[#All],[PID]],0)),INDEX(Table3[[#All],[zScore]],MATCH(Table5[[#This Row],[PID]],Table3[[#All],[PID]],0)))</f>
        <v>0.50947597549217483</v>
      </c>
      <c r="S292" s="60" t="str">
        <f>IF($C292="B",INDEX(Batters[[#All],[DEM]],MATCH(Table5[[#This Row],[PID]],Batters[[#All],[PID]],0)),INDEX(Table3[[#All],[DEM]],MATCH(Table5[[#This Row],[PID]],Table3[[#All],[PID]],0)))</f>
        <v>-</v>
      </c>
      <c r="T292" s="64">
        <f>IF($C292="B",VLOOKUP($A292,Bat!$A$4:$AU$1417,46,FALSE),VLOOKUP($A292,Pit!$A$4:$BD$570,55,FALSE))</f>
        <v>0</v>
      </c>
      <c r="U292" s="52">
        <f>IF($C292="B",VLOOKUP($A292,Bat!$A$4:$BA$1417,47,FALSE),VLOOKUP($A292,Pit!$A$4:$BF$570,56,FALSE))</f>
        <v>0</v>
      </c>
      <c r="V292" s="52">
        <f>IF($C292="B",VLOOKUP($A292,Bat!$A$4:$BA$1417,48,FALSE),VLOOKUP($A292,Pit!$A$4:$BF$570,57,FALSE))</f>
        <v>0</v>
      </c>
      <c r="W292" s="52">
        <f>Table5[[#This Row],[posRnk]]+Table5[[#This Row],[zRnk]]+IF($W$3&lt;&gt;Table5[[#This Row],[Type]],50,0)</f>
        <v>338</v>
      </c>
      <c r="X292" s="53">
        <f>RANK(Table5[[#This Row],[zScore]],Table5[[#All],[zScore]])</f>
        <v>288</v>
      </c>
      <c r="Y292" s="52" t="str">
        <f>IFERROR(INDEX(DraftResults[[#All],[OVR]],MATCH(Table5[[#This Row],[PID]],DraftResults[[#All],[Player ID]],0)),"")</f>
        <v/>
      </c>
      <c r="Z2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2" s="52" t="str">
        <f>IFERROR(INDEX(DraftResults[[#All],[Pick in Round]],MATCH(Table5[[#This Row],[PID]],DraftResults[[#All],[Player ID]],0)),"")</f>
        <v/>
      </c>
      <c r="AB292" s="52" t="str">
        <f>IFERROR(INDEX(DraftResults[[#All],[Team Name]],MATCH(Table5[[#This Row],[PID]],DraftResults[[#All],[Player ID]],0)),"")</f>
        <v/>
      </c>
      <c r="AC292" s="52" t="str">
        <f>IF(Table5[[#This Row],[Ovr]]="","",IF(Table5[[#This Row],[cmbList]]="","",Table5[[#This Row],[cmbList]]-Table5[[#This Row],[Ovr]]))</f>
        <v/>
      </c>
      <c r="AD292" s="56" t="str">
        <f>IF(ISERROR(VLOOKUP($AB292&amp;"-"&amp;$E292&amp;" "&amp;F292,Bonuses!$B$1:$G$1006,4,FALSE)),"",INT(VLOOKUP($AB292&amp;"-"&amp;$E292&amp;" "&amp;$F292,Bonuses!$B$1:$G$1006,4,FALSE)))</f>
        <v/>
      </c>
      <c r="AE2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3" spans="1:31" s="52" customFormat="1" x14ac:dyDescent="0.25">
      <c r="A293" s="52">
        <v>7816</v>
      </c>
      <c r="B293" s="57">
        <f>COUNTIF(Table5[PID],A293)</f>
        <v>1</v>
      </c>
      <c r="C293" s="57" t="str">
        <f>IF(COUNTIF(Table3[[#All],[PID]],A293)&gt;0,"P","B")</f>
        <v>B</v>
      </c>
      <c r="D293" s="61" t="str">
        <f>IF($C293="B",INDEX(Batters[[#All],[POS]],MATCH(Table5[[#This Row],[PID]],Batters[[#All],[PID]],0)),INDEX(Table3[[#All],[POS]],MATCH(Table5[[#This Row],[PID]],Table3[[#All],[PID]],0)))</f>
        <v>RF</v>
      </c>
      <c r="E293" s="54" t="str">
        <f>IF($C293="B",INDEX(Batters[[#All],[First]],MATCH(Table5[[#This Row],[PID]],Batters[[#All],[PID]],0)),INDEX(Table3[[#All],[First]],MATCH(Table5[[#This Row],[PID]],Table3[[#All],[PID]],0)))</f>
        <v>Pete</v>
      </c>
      <c r="F293" s="52" t="str">
        <f>IF($C293="B",INDEX(Batters[[#All],[Last]],MATCH(A293,Batters[[#All],[PID]],0)),INDEX(Table3[[#All],[Last]],MATCH(A293,Table3[[#All],[PID]],0)))</f>
        <v>Saunders</v>
      </c>
      <c r="G293" s="58">
        <f>IF($C293="B",INDEX(Batters[[#All],[Age]],MATCH(Table5[[#This Row],[PID]],Batters[[#All],[PID]],0)),INDEX(Table3[[#All],[Age]],MATCH(Table5[[#This Row],[PID]],Table3[[#All],[PID]],0)))</f>
        <v>18</v>
      </c>
      <c r="H293" s="54" t="str">
        <f>IF($C293="B",INDEX(Batters[[#All],[B]],MATCH(Table5[[#This Row],[PID]],Batters[[#All],[PID]],0)),INDEX(Table3[[#All],[B]],MATCH(Table5[[#This Row],[PID]],Table3[[#All],[PID]],0)))</f>
        <v>L</v>
      </c>
      <c r="I293" s="54" t="str">
        <f>IF($C293="B",INDEX(Batters[[#All],[T]],MATCH(Table5[[#This Row],[PID]],Batters[[#All],[PID]],0)),INDEX(Table3[[#All],[T]],MATCH(Table5[[#This Row],[PID]],Table3[[#All],[PID]],0)))</f>
        <v>L</v>
      </c>
      <c r="J293" s="54" t="str">
        <f>IF($C293="B",INDEX(Batters[[#All],[WE]],MATCH(Table5[[#This Row],[PID]],Batters[[#All],[PID]],0)),INDEX(Table3[[#All],[WE]],MATCH(Table5[[#This Row],[PID]],Table3[[#All],[PID]],0)))</f>
        <v>Normal</v>
      </c>
      <c r="K293" s="54" t="str">
        <f>IF($C293="B",INDEX(Batters[[#All],[INT]],MATCH(Table5[[#This Row],[PID]],Batters[[#All],[PID]],0)),INDEX(Table3[[#All],[INT]],MATCH(Table5[[#This Row],[PID]],Table3[[#All],[PID]],0)))</f>
        <v>Normal</v>
      </c>
      <c r="L293" s="62">
        <f>IF($C293="B",INDEX(Batters[[#All],[CON P]],MATCH(Table5[[#This Row],[PID]],Batters[[#All],[PID]],0)),INDEX(Table3[[#All],[STU P]],MATCH(Table5[[#This Row],[PID]],Table3[[#All],[PID]],0)))</f>
        <v>3</v>
      </c>
      <c r="M293" s="58">
        <f>IF($C293="B",INDEX(Batters[[#All],[GAP P]],MATCH(Table5[[#This Row],[PID]],Batters[[#All],[PID]],0)),INDEX(Table3[[#All],[MOV P]],MATCH(Table5[[#This Row],[PID]],Table3[[#All],[PID]],0)))</f>
        <v>5</v>
      </c>
      <c r="N293" s="58">
        <f>IF($C293="B",INDEX(Batters[[#All],[POW P]],MATCH(Table5[[#This Row],[PID]],Batters[[#All],[PID]],0)),INDEX(Table3[[#All],[CON P]],MATCH(Table5[[#This Row],[PID]],Table3[[#All],[PID]],0)))</f>
        <v>4</v>
      </c>
      <c r="O293" s="58">
        <f>IF($C293="B",INDEX(Batters[[#All],[EYE P]],MATCH(Table5[[#This Row],[PID]],Batters[[#All],[PID]],0)),INDEX(Table3[[#All],[VELO]],MATCH(Table5[[#This Row],[PID]],Table3[[#All],[PID]],0)))</f>
        <v>5</v>
      </c>
      <c r="P293" s="58">
        <f>IF($C293="B",INDEX(Batters[[#All],[K P]],MATCH(Table5[[#This Row],[PID]],Batters[[#All],[PID]],0)),INDEX(Table3[[#All],[STM]],MATCH(Table5[[#This Row],[PID]],Table3[[#All],[PID]],0)))</f>
        <v>3</v>
      </c>
      <c r="Q293" s="63">
        <f>IF($C293="B",INDEX(Batters[[#All],[Tot]],MATCH(Table5[[#This Row],[PID]],Batters[[#All],[PID]],0)),INDEX(Table3[[#All],[Tot]],MATCH(Table5[[#This Row],[PID]],Table3[[#All],[PID]],0)))</f>
        <v>43.241736235942952</v>
      </c>
      <c r="R293" s="54">
        <f>IF($C293="B",INDEX(Batters[[#All],[zScore]],MATCH(Table5[[#This Row],[PID]],Batters[[#All],[PID]],0)),INDEX(Table3[[#All],[zScore]],MATCH(Table5[[#This Row],[PID]],Table3[[#All],[PID]],0)))</f>
        <v>0.50909013704016859</v>
      </c>
      <c r="S293" s="60" t="str">
        <f>IF($C293="B",INDEX(Batters[[#All],[DEM]],MATCH(Table5[[#This Row],[PID]],Batters[[#All],[PID]],0)),INDEX(Table3[[#All],[DEM]],MATCH(Table5[[#This Row],[PID]],Table3[[#All],[PID]],0)))</f>
        <v>$200k</v>
      </c>
      <c r="T293" s="64">
        <f>IF($C293="B",VLOOKUP($A293,Bat!$A$4:$AU$1417,46,FALSE),VLOOKUP($A293,Pit!$A$4:$BD$570,55,FALSE))</f>
        <v>0</v>
      </c>
      <c r="U293" s="52">
        <f>IF($C293="B",VLOOKUP($A293,Bat!$A$4:$BA$1417,47,FALSE),VLOOKUP($A293,Pit!$A$4:$BF$570,56,FALSE))</f>
        <v>0</v>
      </c>
      <c r="V293" s="52">
        <f>IF($C293="B",VLOOKUP($A293,Bat!$A$4:$BA$1417,48,FALSE),VLOOKUP($A293,Pit!$A$4:$BF$570,57,FALSE))</f>
        <v>0</v>
      </c>
      <c r="W293" s="52">
        <f>Table5[[#This Row],[posRnk]]+Table5[[#This Row],[zRnk]]+IF($W$3&lt;&gt;Table5[[#This Row],[Type]],50,0)</f>
        <v>339</v>
      </c>
      <c r="X293" s="53">
        <f>RANK(Table5[[#This Row],[zScore]],Table5[[#All],[zScore]])</f>
        <v>289</v>
      </c>
      <c r="Y293" s="52" t="str">
        <f>IFERROR(INDEX(DraftResults[[#All],[OVR]],MATCH(Table5[[#This Row],[PID]],DraftResults[[#All],[Player ID]],0)),"")</f>
        <v/>
      </c>
      <c r="Z2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3" s="52" t="str">
        <f>IFERROR(INDEX(DraftResults[[#All],[Pick in Round]],MATCH(Table5[[#This Row],[PID]],DraftResults[[#All],[Player ID]],0)),"")</f>
        <v/>
      </c>
      <c r="AB293" s="52" t="str">
        <f>IFERROR(INDEX(DraftResults[[#All],[Team Name]],MATCH(Table5[[#This Row],[PID]],DraftResults[[#All],[Player ID]],0)),"")</f>
        <v/>
      </c>
      <c r="AC293" s="52" t="str">
        <f>IF(Table5[[#This Row],[Ovr]]="","",IF(Table5[[#This Row],[cmbList]]="","",Table5[[#This Row],[cmbList]]-Table5[[#This Row],[Ovr]]))</f>
        <v/>
      </c>
      <c r="AD293" s="56" t="str">
        <f>IF(ISERROR(VLOOKUP($AB293&amp;"-"&amp;$E293&amp;" "&amp;F293,Bonuses!$B$1:$G$1006,4,FALSE)),"",INT(VLOOKUP($AB293&amp;"-"&amp;$E293&amp;" "&amp;$F293,Bonuses!$B$1:$G$1006,4,FALSE)))</f>
        <v/>
      </c>
      <c r="AE2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4" spans="1:31" s="52" customFormat="1" x14ac:dyDescent="0.25">
      <c r="A294" s="52">
        <v>12776</v>
      </c>
      <c r="B294" s="57">
        <f>COUNTIF(Table5[PID],A294)</f>
        <v>1</v>
      </c>
      <c r="C294" s="57" t="str">
        <f>IF(COUNTIF(Table3[[#All],[PID]],A294)&gt;0,"P","B")</f>
        <v>B</v>
      </c>
      <c r="D294" s="61" t="str">
        <f>IF($C294="B",INDEX(Batters[[#All],[POS]],MATCH(Table5[[#This Row],[PID]],Batters[[#All],[PID]],0)),INDEX(Table3[[#All],[POS]],MATCH(Table5[[#This Row],[PID]],Table3[[#All],[PID]],0)))</f>
        <v>RF</v>
      </c>
      <c r="E294" s="54" t="str">
        <f>IF($C294="B",INDEX(Batters[[#All],[First]],MATCH(Table5[[#This Row],[PID]],Batters[[#All],[PID]],0)),INDEX(Table3[[#All],[First]],MATCH(Table5[[#This Row],[PID]],Table3[[#All],[PID]],0)))</f>
        <v>Timmy</v>
      </c>
      <c r="F294" s="52" t="str">
        <f>IF($C294="B",INDEX(Batters[[#All],[Last]],MATCH(A294,Batters[[#All],[PID]],0)),INDEX(Table3[[#All],[Last]],MATCH(A294,Table3[[#All],[PID]],0)))</f>
        <v>Eenkhoorn</v>
      </c>
      <c r="G294" s="58">
        <f>IF($C294="B",INDEX(Batters[[#All],[Age]],MATCH(Table5[[#This Row],[PID]],Batters[[#All],[PID]],0)),INDEX(Table3[[#All],[Age]],MATCH(Table5[[#This Row],[PID]],Table3[[#All],[PID]],0)))</f>
        <v>21</v>
      </c>
      <c r="H294" s="54" t="str">
        <f>IF($C294="B",INDEX(Batters[[#All],[B]],MATCH(Table5[[#This Row],[PID]],Batters[[#All],[PID]],0)),INDEX(Table3[[#All],[B]],MATCH(Table5[[#This Row],[PID]],Table3[[#All],[PID]],0)))</f>
        <v>R</v>
      </c>
      <c r="I294" s="54" t="str">
        <f>IF($C294="B",INDEX(Batters[[#All],[T]],MATCH(Table5[[#This Row],[PID]],Batters[[#All],[PID]],0)),INDEX(Table3[[#All],[T]],MATCH(Table5[[#This Row],[PID]],Table3[[#All],[PID]],0)))</f>
        <v>R</v>
      </c>
      <c r="J294" s="54" t="str">
        <f>IF($C294="B",INDEX(Batters[[#All],[WE]],MATCH(Table5[[#This Row],[PID]],Batters[[#All],[PID]],0)),INDEX(Table3[[#All],[WE]],MATCH(Table5[[#This Row],[PID]],Table3[[#All],[PID]],0)))</f>
        <v>Normal</v>
      </c>
      <c r="K294" s="54" t="str">
        <f>IF($C294="B",INDEX(Batters[[#All],[INT]],MATCH(Table5[[#This Row],[PID]],Batters[[#All],[PID]],0)),INDEX(Table3[[#All],[INT]],MATCH(Table5[[#This Row],[PID]],Table3[[#All],[PID]],0)))</f>
        <v>Normal</v>
      </c>
      <c r="L294" s="62">
        <f>IF($C294="B",INDEX(Batters[[#All],[CON P]],MATCH(Table5[[#This Row],[PID]],Batters[[#All],[PID]],0)),INDEX(Table3[[#All],[STU P]],MATCH(Table5[[#This Row],[PID]],Table3[[#All],[PID]],0)))</f>
        <v>4</v>
      </c>
      <c r="M294" s="58">
        <f>IF($C294="B",INDEX(Batters[[#All],[GAP P]],MATCH(Table5[[#This Row],[PID]],Batters[[#All],[PID]],0)),INDEX(Table3[[#All],[MOV P]],MATCH(Table5[[#This Row],[PID]],Table3[[#All],[PID]],0)))</f>
        <v>4</v>
      </c>
      <c r="N294" s="58">
        <f>IF($C294="B",INDEX(Batters[[#All],[POW P]],MATCH(Table5[[#This Row],[PID]],Batters[[#All],[PID]],0)),INDEX(Table3[[#All],[CON P]],MATCH(Table5[[#This Row],[PID]],Table3[[#All],[PID]],0)))</f>
        <v>4</v>
      </c>
      <c r="O294" s="58">
        <f>IF($C294="B",INDEX(Batters[[#All],[EYE P]],MATCH(Table5[[#This Row],[PID]],Batters[[#All],[PID]],0)),INDEX(Table3[[#All],[VELO]],MATCH(Table5[[#This Row],[PID]],Table3[[#All],[PID]],0)))</f>
        <v>6</v>
      </c>
      <c r="P294" s="58">
        <f>IF($C294="B",INDEX(Batters[[#All],[K P]],MATCH(Table5[[#This Row],[PID]],Batters[[#All],[PID]],0)),INDEX(Table3[[#All],[STM]],MATCH(Table5[[#This Row],[PID]],Table3[[#All],[PID]],0)))</f>
        <v>3</v>
      </c>
      <c r="Q294" s="63">
        <f>IF($C294="B",INDEX(Batters[[#All],[Tot]],MATCH(Table5[[#This Row],[PID]],Batters[[#All],[PID]],0)),INDEX(Table3[[#All],[Tot]],MATCH(Table5[[#This Row],[PID]],Table3[[#All],[PID]],0)))</f>
        <v>43.152784535034684</v>
      </c>
      <c r="R294" s="54">
        <f>IF($C294="B",INDEX(Batters[[#All],[zScore]],MATCH(Table5[[#This Row],[PID]],Batters[[#All],[PID]],0)),INDEX(Table3[[#All],[zScore]],MATCH(Table5[[#This Row],[PID]],Table3[[#All],[PID]],0)))</f>
        <v>0.49343967646534903</v>
      </c>
      <c r="S294" s="60" t="str">
        <f>IF($C294="B",INDEX(Batters[[#All],[DEM]],MATCH(Table5[[#This Row],[PID]],Batters[[#All],[PID]],0)),INDEX(Table3[[#All],[DEM]],MATCH(Table5[[#This Row],[PID]],Table3[[#All],[PID]],0)))</f>
        <v>$180k</v>
      </c>
      <c r="T294" s="64">
        <f>IF($C294="B",VLOOKUP($A294,Bat!$A$4:$AU$1417,46,FALSE),VLOOKUP($A294,Pit!$A$4:$BD$570,55,FALSE))</f>
        <v>0</v>
      </c>
      <c r="U294" s="52">
        <f>IF($C294="B",VLOOKUP($A294,Bat!$A$4:$BA$1417,47,FALSE),VLOOKUP($A294,Pit!$A$4:$BF$570,56,FALSE))</f>
        <v>0</v>
      </c>
      <c r="V294" s="52">
        <f>IF($C294="B",VLOOKUP($A294,Bat!$A$4:$BA$1417,48,FALSE),VLOOKUP($A294,Pit!$A$4:$BF$570,57,FALSE))</f>
        <v>0</v>
      </c>
      <c r="W294" s="52">
        <f>Table5[[#This Row],[posRnk]]+Table5[[#This Row],[zRnk]]+IF($W$3&lt;&gt;Table5[[#This Row],[Type]],50,0)</f>
        <v>340</v>
      </c>
      <c r="X294" s="53">
        <f>RANK(Table5[[#This Row],[zScore]],Table5[[#All],[zScore]])</f>
        <v>290</v>
      </c>
      <c r="Y294" s="52" t="str">
        <f>IFERROR(INDEX(DraftResults[[#All],[OVR]],MATCH(Table5[[#This Row],[PID]],DraftResults[[#All],[Player ID]],0)),"")</f>
        <v/>
      </c>
      <c r="Z2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4" s="52" t="str">
        <f>IFERROR(INDEX(DraftResults[[#All],[Pick in Round]],MATCH(Table5[[#This Row],[PID]],DraftResults[[#All],[Player ID]],0)),"")</f>
        <v/>
      </c>
      <c r="AB294" s="52" t="str">
        <f>IFERROR(INDEX(DraftResults[[#All],[Team Name]],MATCH(Table5[[#This Row],[PID]],DraftResults[[#All],[Player ID]],0)),"")</f>
        <v/>
      </c>
      <c r="AC294" s="52" t="str">
        <f>IF(Table5[[#This Row],[Ovr]]="","",IF(Table5[[#This Row],[cmbList]]="","",Table5[[#This Row],[cmbList]]-Table5[[#This Row],[Ovr]]))</f>
        <v/>
      </c>
      <c r="AD294" s="56" t="str">
        <f>IF(ISERROR(VLOOKUP($AB294&amp;"-"&amp;$E294&amp;" "&amp;F294,Bonuses!$B$1:$G$1006,4,FALSE)),"",INT(VLOOKUP($AB294&amp;"-"&amp;$E294&amp;" "&amp;$F294,Bonuses!$B$1:$G$1006,4,FALSE)))</f>
        <v/>
      </c>
      <c r="AE2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5" spans="1:31" s="52" customFormat="1" x14ac:dyDescent="0.25">
      <c r="A295" s="52">
        <v>7225</v>
      </c>
      <c r="B295" s="52">
        <f>COUNTIF(Table5[PID],A295)</f>
        <v>1</v>
      </c>
      <c r="C295" s="52" t="str">
        <f>IF(COUNTIF(Table3[[#All],[PID]],A295)&gt;0,"P","B")</f>
        <v>P</v>
      </c>
      <c r="D295" s="61" t="str">
        <f>IF($C295="B",INDEX(Batters[[#All],[POS]],MATCH(Table5[[#This Row],[PID]],Batters[[#All],[PID]],0)),INDEX(Table3[[#All],[POS]],MATCH(Table5[[#This Row],[PID]],Table3[[#All],[PID]],0)))</f>
        <v>SP</v>
      </c>
      <c r="E295" s="54" t="str">
        <f>IF($C295="B",INDEX(Batters[[#All],[First]],MATCH(Table5[[#This Row],[PID]],Batters[[#All],[PID]],0)),INDEX(Table3[[#All],[First]],MATCH(Table5[[#This Row],[PID]],Table3[[#All],[PID]],0)))</f>
        <v>Lúcio</v>
      </c>
      <c r="F295" s="52" t="str">
        <f>IF($C295="B",INDEX(Batters[[#All],[Last]],MATCH(A295,Batters[[#All],[PID]],0)),INDEX(Table3[[#All],[Last]],MATCH(A295,Table3[[#All],[PID]],0)))</f>
        <v>Domingo</v>
      </c>
      <c r="G295" s="58">
        <f>IF($C295="B",INDEX(Batters[[#All],[Age]],MATCH(Table5[[#This Row],[PID]],Batters[[#All],[PID]],0)),INDEX(Table3[[#All],[Age]],MATCH(Table5[[#This Row],[PID]],Table3[[#All],[PID]],0)))</f>
        <v>21</v>
      </c>
      <c r="H295" s="54" t="str">
        <f>IF($C295="B",INDEX(Batters[[#All],[B]],MATCH(Table5[[#This Row],[PID]],Batters[[#All],[PID]],0)),INDEX(Table3[[#All],[B]],MATCH(Table5[[#This Row],[PID]],Table3[[#All],[PID]],0)))</f>
        <v>R</v>
      </c>
      <c r="I295" s="54" t="str">
        <f>IF($C295="B",INDEX(Batters[[#All],[T]],MATCH(Table5[[#This Row],[PID]],Batters[[#All],[PID]],0)),INDEX(Table3[[#All],[T]],MATCH(Table5[[#This Row],[PID]],Table3[[#All],[PID]],0)))</f>
        <v>R</v>
      </c>
      <c r="J295" s="54" t="str">
        <f>IF($C295="B",INDEX(Batters[[#All],[WE]],MATCH(Table5[[#This Row],[PID]],Batters[[#All],[PID]],0)),INDEX(Table3[[#All],[WE]],MATCH(Table5[[#This Row],[PID]],Table3[[#All],[PID]],0)))</f>
        <v>Normal</v>
      </c>
      <c r="K295" s="54" t="str">
        <f>IF($C295="B",INDEX(Batters[[#All],[INT]],MATCH(Table5[[#This Row],[PID]],Batters[[#All],[PID]],0)),INDEX(Table3[[#All],[INT]],MATCH(Table5[[#This Row],[PID]],Table3[[#All],[PID]],0)))</f>
        <v>Normal</v>
      </c>
      <c r="L295" s="62">
        <f>IF($C295="B",INDEX(Batters[[#All],[CON P]],MATCH(Table5[[#This Row],[PID]],Batters[[#All],[PID]],0)),INDEX(Table3[[#All],[STU P]],MATCH(Table5[[#This Row],[PID]],Table3[[#All],[PID]],0)))</f>
        <v>5</v>
      </c>
      <c r="M295" s="58">
        <f>IF($C295="B",INDEX(Batters[[#All],[GAP P]],MATCH(Table5[[#This Row],[PID]],Batters[[#All],[PID]],0)),INDEX(Table3[[#All],[MOV P]],MATCH(Table5[[#This Row],[PID]],Table3[[#All],[PID]],0)))</f>
        <v>2</v>
      </c>
      <c r="N295" s="58">
        <f>IF($C295="B",INDEX(Batters[[#All],[POW P]],MATCH(Table5[[#This Row],[PID]],Batters[[#All],[PID]],0)),INDEX(Table3[[#All],[CON P]],MATCH(Table5[[#This Row],[PID]],Table3[[#All],[PID]],0)))</f>
        <v>3</v>
      </c>
      <c r="O295" s="58" t="str">
        <f>IF($C295="B",INDEX(Batters[[#All],[EYE P]],MATCH(Table5[[#This Row],[PID]],Batters[[#All],[PID]],0)),INDEX(Table3[[#All],[VELO]],MATCH(Table5[[#This Row],[PID]],Table3[[#All],[PID]],0)))</f>
        <v>94-96 Mph</v>
      </c>
      <c r="P295" s="58">
        <f>IF($C295="B",INDEX(Batters[[#All],[K P]],MATCH(Table5[[#This Row],[PID]],Batters[[#All],[PID]],0)),INDEX(Table3[[#All],[STM]],MATCH(Table5[[#This Row],[PID]],Table3[[#All],[PID]],0)))</f>
        <v>8</v>
      </c>
      <c r="Q295" s="63">
        <f>IF($C295="B",INDEX(Batters[[#All],[Tot]],MATCH(Table5[[#This Row],[PID]],Batters[[#All],[PID]],0)),INDEX(Table3[[#All],[Tot]],MATCH(Table5[[#This Row],[PID]],Table3[[#All],[PID]],0)))</f>
        <v>38.011331624776851</v>
      </c>
      <c r="R295" s="54">
        <f>IF($C295="B",INDEX(Batters[[#All],[zScore]],MATCH(Table5[[#This Row],[PID]],Batters[[#All],[PID]],0)),INDEX(Table3[[#All],[zScore]],MATCH(Table5[[#This Row],[PID]],Table3[[#All],[PID]],0)))</f>
        <v>0.48503131268094218</v>
      </c>
      <c r="S295" s="60" t="str">
        <f>IF($C295="B",INDEX(Batters[[#All],[DEM]],MATCH(Table5[[#This Row],[PID]],Batters[[#All],[PID]],0)),INDEX(Table3[[#All],[DEM]],MATCH(Table5[[#This Row],[PID]],Table3[[#All],[PID]],0)))</f>
        <v>-</v>
      </c>
      <c r="T295" s="64">
        <f>IF($C295="B",VLOOKUP($A295,Bat!$A$4:$AU$1417,46,FALSE),VLOOKUP($A295,Pit!$A$4:$BD$570,55,FALSE))</f>
        <v>0</v>
      </c>
      <c r="U295" s="52">
        <f>IF($C295="B",VLOOKUP($A295,Bat!$A$4:$BA$1417,47,FALSE),VLOOKUP($A295,Pit!$A$4:$BF$570,56,FALSE))</f>
        <v>0</v>
      </c>
      <c r="V295" s="52">
        <f>IF($C295="B",VLOOKUP($A295,Bat!$A$4:$BA$1417,48,FALSE),VLOOKUP($A295,Pit!$A$4:$BF$570,57,FALSE))</f>
        <v>0</v>
      </c>
      <c r="W295" s="52">
        <f>Table5[[#This Row],[posRnk]]+Table5[[#This Row],[zRnk]]+IF($W$3&lt;&gt;Table5[[#This Row],[Type]],50,0)</f>
        <v>341</v>
      </c>
      <c r="X295" s="53">
        <f>RANK(Table5[[#This Row],[zScore]],Table5[[#All],[zScore]])</f>
        <v>291</v>
      </c>
      <c r="Y295" s="52" t="str">
        <f>IFERROR(INDEX(DraftResults[[#All],[OVR]],MATCH(Table5[[#This Row],[PID]],DraftResults[[#All],[Player ID]],0)),"")</f>
        <v/>
      </c>
      <c r="Z2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5" s="52" t="str">
        <f>IFERROR(INDEX(DraftResults[[#All],[Pick in Round]],MATCH(Table5[[#This Row],[PID]],DraftResults[[#All],[Player ID]],0)),"")</f>
        <v/>
      </c>
      <c r="AB295" s="52" t="str">
        <f>IFERROR(INDEX(DraftResults[[#All],[Team Name]],MATCH(Table5[[#This Row],[PID]],DraftResults[[#All],[Player ID]],0)),"")</f>
        <v/>
      </c>
      <c r="AC295" s="52" t="str">
        <f>IF(Table5[[#This Row],[Ovr]]="","",IF(Table5[[#This Row],[cmbList]]="","",Table5[[#This Row],[cmbList]]-Table5[[#This Row],[Ovr]]))</f>
        <v/>
      </c>
      <c r="AD295" s="56" t="str">
        <f>IF(ISERROR(VLOOKUP($AB295&amp;"-"&amp;$E295&amp;" "&amp;F295,Bonuses!$B$1:$G$1006,4,FALSE)),"",INT(VLOOKUP($AB295&amp;"-"&amp;$E295&amp;" "&amp;$F295,Bonuses!$B$1:$G$1006,4,FALSE)))</f>
        <v/>
      </c>
      <c r="AE2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6" spans="1:31" s="52" customFormat="1" x14ac:dyDescent="0.25">
      <c r="A296" s="52">
        <v>9288</v>
      </c>
      <c r="B296" s="52">
        <f>COUNTIF(Table5[PID],A296)</f>
        <v>1</v>
      </c>
      <c r="C296" s="52" t="str">
        <f>IF(COUNTIF(Table3[[#All],[PID]],A296)&gt;0,"P","B")</f>
        <v>B</v>
      </c>
      <c r="D296" s="61" t="str">
        <f>IF($C296="B",INDEX(Batters[[#All],[POS]],MATCH(Table5[[#This Row],[PID]],Batters[[#All],[PID]],0)),INDEX(Table3[[#All],[POS]],MATCH(Table5[[#This Row],[PID]],Table3[[#All],[PID]],0)))</f>
        <v>C</v>
      </c>
      <c r="E296" s="54" t="str">
        <f>IF($C296="B",INDEX(Batters[[#All],[First]],MATCH(Table5[[#This Row],[PID]],Batters[[#All],[PID]],0)),INDEX(Table3[[#All],[First]],MATCH(Table5[[#This Row],[PID]],Table3[[#All],[PID]],0)))</f>
        <v>Héctor</v>
      </c>
      <c r="F296" s="52" t="str">
        <f>IF($C296="B",INDEX(Batters[[#All],[Last]],MATCH(A296,Batters[[#All],[PID]],0)),INDEX(Table3[[#All],[Last]],MATCH(A296,Table3[[#All],[PID]],0)))</f>
        <v>Hernández</v>
      </c>
      <c r="G296" s="58">
        <f>IF($C296="B",INDEX(Batters[[#All],[Age]],MATCH(Table5[[#This Row],[PID]],Batters[[#All],[PID]],0)),INDEX(Table3[[#All],[Age]],MATCH(Table5[[#This Row],[PID]],Table3[[#All],[PID]],0)))</f>
        <v>21</v>
      </c>
      <c r="H296" s="54" t="str">
        <f>IF($C296="B",INDEX(Batters[[#All],[B]],MATCH(Table5[[#This Row],[PID]],Batters[[#All],[PID]],0)),INDEX(Table3[[#All],[B]],MATCH(Table5[[#This Row],[PID]],Table3[[#All],[PID]],0)))</f>
        <v>S</v>
      </c>
      <c r="I296" s="54" t="str">
        <f>IF($C296="B",INDEX(Batters[[#All],[T]],MATCH(Table5[[#This Row],[PID]],Batters[[#All],[PID]],0)),INDEX(Table3[[#All],[T]],MATCH(Table5[[#This Row],[PID]],Table3[[#All],[PID]],0)))</f>
        <v>R</v>
      </c>
      <c r="J296" s="54" t="str">
        <f>IF($C296="B",INDEX(Batters[[#All],[WE]],MATCH(Table5[[#This Row],[PID]],Batters[[#All],[PID]],0)),INDEX(Table3[[#All],[WE]],MATCH(Table5[[#This Row],[PID]],Table3[[#All],[PID]],0)))</f>
        <v>Normal</v>
      </c>
      <c r="K296" s="54" t="str">
        <f>IF($C296="B",INDEX(Batters[[#All],[INT]],MATCH(Table5[[#This Row],[PID]],Batters[[#All],[PID]],0)),INDEX(Table3[[#All],[INT]],MATCH(Table5[[#This Row],[PID]],Table3[[#All],[PID]],0)))</f>
        <v>Low</v>
      </c>
      <c r="L296" s="62">
        <f>IF($C296="B",INDEX(Batters[[#All],[CON P]],MATCH(Table5[[#This Row],[PID]],Batters[[#All],[PID]],0)),INDEX(Table3[[#All],[STU P]],MATCH(Table5[[#This Row],[PID]],Table3[[#All],[PID]],0)))</f>
        <v>4</v>
      </c>
      <c r="M296" s="58">
        <f>IF($C296="B",INDEX(Batters[[#All],[GAP P]],MATCH(Table5[[#This Row],[PID]],Batters[[#All],[PID]],0)),INDEX(Table3[[#All],[MOV P]],MATCH(Table5[[#This Row],[PID]],Table3[[#All],[PID]],0)))</f>
        <v>5</v>
      </c>
      <c r="N296" s="58">
        <f>IF($C296="B",INDEX(Batters[[#All],[POW P]],MATCH(Table5[[#This Row],[PID]],Batters[[#All],[PID]],0)),INDEX(Table3[[#All],[CON P]],MATCH(Table5[[#This Row],[PID]],Table3[[#All],[PID]],0)))</f>
        <v>4</v>
      </c>
      <c r="O296" s="58">
        <f>IF($C296="B",INDEX(Batters[[#All],[EYE P]],MATCH(Table5[[#This Row],[PID]],Batters[[#All],[PID]],0)),INDEX(Table3[[#All],[VELO]],MATCH(Table5[[#This Row],[PID]],Table3[[#All],[PID]],0)))</f>
        <v>5</v>
      </c>
      <c r="P296" s="58">
        <f>IF($C296="B",INDEX(Batters[[#All],[K P]],MATCH(Table5[[#This Row],[PID]],Batters[[#All],[PID]],0)),INDEX(Table3[[#All],[STM]],MATCH(Table5[[#This Row],[PID]],Table3[[#All],[PID]],0)))</f>
        <v>3</v>
      </c>
      <c r="Q296" s="63">
        <f>IF($C296="B",INDEX(Batters[[#All],[Tot]],MATCH(Table5[[#This Row],[PID]],Batters[[#All],[PID]],0)),INDEX(Table3[[#All],[Tot]],MATCH(Table5[[#This Row],[PID]],Table3[[#All],[PID]],0)))</f>
        <v>43.103165497019887</v>
      </c>
      <c r="R296" s="54">
        <f>IF($C296="B",INDEX(Batters[[#All],[zScore]],MATCH(Table5[[#This Row],[PID]],Batters[[#All],[PID]],0)),INDEX(Table3[[#All],[zScore]],MATCH(Table5[[#This Row],[PID]],Table3[[#All],[PID]],0)))</f>
        <v>0.48470953650982551</v>
      </c>
      <c r="S296" s="60" t="str">
        <f>IF($C296="B",INDEX(Batters[[#All],[DEM]],MATCH(Table5[[#This Row],[PID]],Batters[[#All],[PID]],0)),INDEX(Table3[[#All],[DEM]],MATCH(Table5[[#This Row],[PID]],Table3[[#All],[PID]],0)))</f>
        <v>$80k</v>
      </c>
      <c r="T296" s="64">
        <f>IF($C296="B",VLOOKUP($A296,Bat!$A$4:$AU$1417,46,FALSE),VLOOKUP($A296,Pit!$A$4:$BD$570,55,FALSE))</f>
        <v>0</v>
      </c>
      <c r="U296" s="52">
        <f>IF($C296="B",VLOOKUP($A296,Bat!$A$4:$BA$1417,47,FALSE),VLOOKUP($A296,Pit!$A$4:$BF$570,56,FALSE))</f>
        <v>0</v>
      </c>
      <c r="V296" s="52">
        <f>IF($C296="B",VLOOKUP($A296,Bat!$A$4:$BA$1417,48,FALSE),VLOOKUP($A296,Pit!$A$4:$BF$570,57,FALSE))</f>
        <v>0</v>
      </c>
      <c r="W296" s="52">
        <f>Table5[[#This Row],[posRnk]]+Table5[[#This Row],[zRnk]]+IF($W$3&lt;&gt;Table5[[#This Row],[Type]],50,0)</f>
        <v>342</v>
      </c>
      <c r="X296" s="53">
        <f>RANK(Table5[[#This Row],[zScore]],Table5[[#All],[zScore]])</f>
        <v>292</v>
      </c>
      <c r="Y296" s="52" t="str">
        <f>IFERROR(INDEX(DraftResults[[#All],[OVR]],MATCH(Table5[[#This Row],[PID]],DraftResults[[#All],[Player ID]],0)),"")</f>
        <v/>
      </c>
      <c r="Z2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6" s="52" t="str">
        <f>IFERROR(INDEX(DraftResults[[#All],[Pick in Round]],MATCH(Table5[[#This Row],[PID]],DraftResults[[#All],[Player ID]],0)),"")</f>
        <v/>
      </c>
      <c r="AB296" s="52" t="str">
        <f>IFERROR(INDEX(DraftResults[[#All],[Team Name]],MATCH(Table5[[#This Row],[PID]],DraftResults[[#All],[Player ID]],0)),"")</f>
        <v/>
      </c>
      <c r="AC296" s="52" t="str">
        <f>IF(Table5[[#This Row],[Ovr]]="","",IF(Table5[[#This Row],[cmbList]]="","",Table5[[#This Row],[cmbList]]-Table5[[#This Row],[Ovr]]))</f>
        <v/>
      </c>
      <c r="AD296" s="56" t="str">
        <f>IF(ISERROR(VLOOKUP($AB296&amp;"-"&amp;$E296&amp;" "&amp;F296,Bonuses!$B$1:$G$1006,4,FALSE)),"",INT(VLOOKUP($AB296&amp;"-"&amp;$E296&amp;" "&amp;$F296,Bonuses!$B$1:$G$1006,4,FALSE)))</f>
        <v/>
      </c>
      <c r="AE2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7" spans="1:31" s="52" customFormat="1" x14ac:dyDescent="0.25">
      <c r="A297" s="52">
        <v>6206</v>
      </c>
      <c r="B297" s="52">
        <f>COUNTIF(Table5[PID],A297)</f>
        <v>1</v>
      </c>
      <c r="C297" s="52" t="str">
        <f>IF(COUNTIF(Table3[[#All],[PID]],A297)&gt;0,"P","B")</f>
        <v>B</v>
      </c>
      <c r="D297" s="61" t="str">
        <f>IF($C297="B",INDEX(Batters[[#All],[POS]],MATCH(Table5[[#This Row],[PID]],Batters[[#All],[PID]],0)),INDEX(Table3[[#All],[POS]],MATCH(Table5[[#This Row],[PID]],Table3[[#All],[PID]],0)))</f>
        <v>1B</v>
      </c>
      <c r="E297" s="54" t="str">
        <f>IF($C297="B",INDEX(Batters[[#All],[First]],MATCH(Table5[[#This Row],[PID]],Batters[[#All],[PID]],0)),INDEX(Table3[[#All],[First]],MATCH(Table5[[#This Row],[PID]],Table3[[#All],[PID]],0)))</f>
        <v>Seinosuke</v>
      </c>
      <c r="F297" s="52" t="str">
        <f>IF($C297="B",INDEX(Batters[[#All],[Last]],MATCH(A297,Batters[[#All],[PID]],0)),INDEX(Table3[[#All],[Last]],MATCH(A297,Table3[[#All],[PID]],0)))</f>
        <v>Yamanaka</v>
      </c>
      <c r="G297" s="58">
        <f>IF($C297="B",INDEX(Batters[[#All],[Age]],MATCH(Table5[[#This Row],[PID]],Batters[[#All],[PID]],0)),INDEX(Table3[[#All],[Age]],MATCH(Table5[[#This Row],[PID]],Table3[[#All],[PID]],0)))</f>
        <v>18</v>
      </c>
      <c r="H297" s="54" t="str">
        <f>IF($C297="B",INDEX(Batters[[#All],[B]],MATCH(Table5[[#This Row],[PID]],Batters[[#All],[PID]],0)),INDEX(Table3[[#All],[B]],MATCH(Table5[[#This Row],[PID]],Table3[[#All],[PID]],0)))</f>
        <v>L</v>
      </c>
      <c r="I297" s="54" t="str">
        <f>IF($C297="B",INDEX(Batters[[#All],[T]],MATCH(Table5[[#This Row],[PID]],Batters[[#All],[PID]],0)),INDEX(Table3[[#All],[T]],MATCH(Table5[[#This Row],[PID]],Table3[[#All],[PID]],0)))</f>
        <v>L</v>
      </c>
      <c r="J297" s="54" t="str">
        <f>IF($C297="B",INDEX(Batters[[#All],[WE]],MATCH(Table5[[#This Row],[PID]],Batters[[#All],[PID]],0)),INDEX(Table3[[#All],[WE]],MATCH(Table5[[#This Row],[PID]],Table3[[#All],[PID]],0)))</f>
        <v>Normal</v>
      </c>
      <c r="K297" s="54" t="str">
        <f>IF($C297="B",INDEX(Batters[[#All],[INT]],MATCH(Table5[[#This Row],[PID]],Batters[[#All],[PID]],0)),INDEX(Table3[[#All],[INT]],MATCH(Table5[[#This Row],[PID]],Table3[[#All],[PID]],0)))</f>
        <v>Normal</v>
      </c>
      <c r="L297" s="62">
        <f>IF($C297="B",INDEX(Batters[[#All],[CON P]],MATCH(Table5[[#This Row],[PID]],Batters[[#All],[PID]],0)),INDEX(Table3[[#All],[STU P]],MATCH(Table5[[#This Row],[PID]],Table3[[#All],[PID]],0)))</f>
        <v>3</v>
      </c>
      <c r="M297" s="58">
        <f>IF($C297="B",INDEX(Batters[[#All],[GAP P]],MATCH(Table5[[#This Row],[PID]],Batters[[#All],[PID]],0)),INDEX(Table3[[#All],[MOV P]],MATCH(Table5[[#This Row],[PID]],Table3[[#All],[PID]],0)))</f>
        <v>3</v>
      </c>
      <c r="N297" s="58">
        <f>IF($C297="B",INDEX(Batters[[#All],[POW P]],MATCH(Table5[[#This Row],[PID]],Batters[[#All],[PID]],0)),INDEX(Table3[[#All],[CON P]],MATCH(Table5[[#This Row],[PID]],Table3[[#All],[PID]],0)))</f>
        <v>5</v>
      </c>
      <c r="O297" s="58">
        <f>IF($C297="B",INDEX(Batters[[#All],[EYE P]],MATCH(Table5[[#This Row],[PID]],Batters[[#All],[PID]],0)),INDEX(Table3[[#All],[VELO]],MATCH(Table5[[#This Row],[PID]],Table3[[#All],[PID]],0)))</f>
        <v>5</v>
      </c>
      <c r="P297" s="58">
        <f>IF($C297="B",INDEX(Batters[[#All],[K P]],MATCH(Table5[[#This Row],[PID]],Batters[[#All],[PID]],0)),INDEX(Table3[[#All],[STM]],MATCH(Table5[[#This Row],[PID]],Table3[[#All],[PID]],0)))</f>
        <v>3</v>
      </c>
      <c r="Q297" s="63">
        <f>IF($C297="B",INDEX(Batters[[#All],[Tot]],MATCH(Table5[[#This Row],[PID]],Batters[[#All],[PID]],0)),INDEX(Table3[[#All],[Tot]],MATCH(Table5[[#This Row],[PID]],Table3[[#All],[PID]],0)))</f>
        <v>43.030314157784233</v>
      </c>
      <c r="R297" s="54">
        <f>IF($C297="B",INDEX(Batters[[#All],[zScore]],MATCH(Table5[[#This Row],[PID]],Batters[[#All],[PID]],0)),INDEX(Table3[[#All],[zScore]],MATCH(Table5[[#This Row],[PID]],Table3[[#All],[PID]],0)))</f>
        <v>0.47189182756341413</v>
      </c>
      <c r="S297" s="60" t="str">
        <f>IF($C297="B",INDEX(Batters[[#All],[DEM]],MATCH(Table5[[#This Row],[PID]],Batters[[#All],[PID]],0)),INDEX(Table3[[#All],[DEM]],MATCH(Table5[[#This Row],[PID]],Table3[[#All],[PID]],0)))</f>
        <v>$70k</v>
      </c>
      <c r="T297" s="64">
        <f>IF($C297="B",VLOOKUP($A297,Bat!$A$4:$AU$1417,46,FALSE),VLOOKUP($A297,Pit!$A$4:$BD$570,55,FALSE))</f>
        <v>0</v>
      </c>
      <c r="U297" s="52">
        <f>IF($C297="B",VLOOKUP($A297,Bat!$A$4:$BA$1417,47,FALSE),VLOOKUP($A297,Pit!$A$4:$BF$570,56,FALSE))</f>
        <v>0</v>
      </c>
      <c r="V297" s="52">
        <f>IF($C297="B",VLOOKUP($A297,Bat!$A$4:$BA$1417,48,FALSE),VLOOKUP($A297,Pit!$A$4:$BF$570,57,FALSE))</f>
        <v>0</v>
      </c>
      <c r="W297" s="52">
        <f>Table5[[#This Row],[posRnk]]+Table5[[#This Row],[zRnk]]+IF($W$3&lt;&gt;Table5[[#This Row],[Type]],50,0)</f>
        <v>343</v>
      </c>
      <c r="X297" s="53">
        <f>RANK(Table5[[#This Row],[zScore]],Table5[[#All],[zScore]])</f>
        <v>293</v>
      </c>
      <c r="Y297" s="52" t="str">
        <f>IFERROR(INDEX(DraftResults[[#All],[OVR]],MATCH(Table5[[#This Row],[PID]],DraftResults[[#All],[Player ID]],0)),"")</f>
        <v/>
      </c>
      <c r="Z2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7" s="52" t="str">
        <f>IFERROR(INDEX(DraftResults[[#All],[Pick in Round]],MATCH(Table5[[#This Row],[PID]],DraftResults[[#All],[Player ID]],0)),"")</f>
        <v/>
      </c>
      <c r="AB297" s="52" t="str">
        <f>IFERROR(INDEX(DraftResults[[#All],[Team Name]],MATCH(Table5[[#This Row],[PID]],DraftResults[[#All],[Player ID]],0)),"")</f>
        <v/>
      </c>
      <c r="AC297" s="52" t="str">
        <f>IF(Table5[[#This Row],[Ovr]]="","",IF(Table5[[#This Row],[cmbList]]="","",Table5[[#This Row],[cmbList]]-Table5[[#This Row],[Ovr]]))</f>
        <v/>
      </c>
      <c r="AD297" s="56" t="str">
        <f>IF(ISERROR(VLOOKUP($AB297&amp;"-"&amp;$E297&amp;" "&amp;F297,Bonuses!$B$1:$G$1006,4,FALSE)),"",INT(VLOOKUP($AB297&amp;"-"&amp;$E297&amp;" "&amp;$F297,Bonuses!$B$1:$G$1006,4,FALSE)))</f>
        <v/>
      </c>
      <c r="AE2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8" spans="1:31" s="52" customFormat="1" x14ac:dyDescent="0.25">
      <c r="A298" s="52">
        <v>16020</v>
      </c>
      <c r="B298" s="52">
        <f>COUNTIF(Table5[PID],A298)</f>
        <v>1</v>
      </c>
      <c r="C298" s="52" t="str">
        <f>IF(COUNTIF(Table3[[#All],[PID]],A298)&gt;0,"P","B")</f>
        <v>P</v>
      </c>
      <c r="D298" s="61" t="str">
        <f>IF($C298="B",INDEX(Batters[[#All],[POS]],MATCH(Table5[[#This Row],[PID]],Batters[[#All],[PID]],0)),INDEX(Table3[[#All],[POS]],MATCH(Table5[[#This Row],[PID]],Table3[[#All],[PID]],0)))</f>
        <v>CL</v>
      </c>
      <c r="E298" s="54" t="str">
        <f>IF($C298="B",INDEX(Batters[[#All],[First]],MATCH(Table5[[#This Row],[PID]],Batters[[#All],[PID]],0)),INDEX(Table3[[#All],[First]],MATCH(Table5[[#This Row],[PID]],Table3[[#All],[PID]],0)))</f>
        <v>Tamotsu</v>
      </c>
      <c r="F298" s="52" t="str">
        <f>IF($C298="B",INDEX(Batters[[#All],[Last]],MATCH(A298,Batters[[#All],[PID]],0)),INDEX(Table3[[#All],[Last]],MATCH(A298,Table3[[#All],[PID]],0)))</f>
        <v>Nagata</v>
      </c>
      <c r="G298" s="58">
        <f>IF($C298="B",INDEX(Batters[[#All],[Age]],MATCH(Table5[[#This Row],[PID]],Batters[[#All],[PID]],0)),INDEX(Table3[[#All],[Age]],MATCH(Table5[[#This Row],[PID]],Table3[[#All],[PID]],0)))</f>
        <v>17</v>
      </c>
      <c r="H298" s="54" t="str">
        <f>IF($C298="B",INDEX(Batters[[#All],[B]],MATCH(Table5[[#This Row],[PID]],Batters[[#All],[PID]],0)),INDEX(Table3[[#All],[B]],MATCH(Table5[[#This Row],[PID]],Table3[[#All],[PID]],0)))</f>
        <v>R</v>
      </c>
      <c r="I298" s="54" t="str">
        <f>IF($C298="B",INDEX(Batters[[#All],[T]],MATCH(Table5[[#This Row],[PID]],Batters[[#All],[PID]],0)),INDEX(Table3[[#All],[T]],MATCH(Table5[[#This Row],[PID]],Table3[[#All],[PID]],0)))</f>
        <v>R</v>
      </c>
      <c r="J298" s="54" t="str">
        <f>IF($C298="B",INDEX(Batters[[#All],[WE]],MATCH(Table5[[#This Row],[PID]],Batters[[#All],[PID]],0)),INDEX(Table3[[#All],[WE]],MATCH(Table5[[#This Row],[PID]],Table3[[#All],[PID]],0)))</f>
        <v>Low</v>
      </c>
      <c r="K298" s="54" t="str">
        <f>IF($C298="B",INDEX(Batters[[#All],[INT]],MATCH(Table5[[#This Row],[PID]],Batters[[#All],[PID]],0)),INDEX(Table3[[#All],[INT]],MATCH(Table5[[#This Row],[PID]],Table3[[#All],[PID]],0)))</f>
        <v>Low</v>
      </c>
      <c r="L298" s="62">
        <f>IF($C298="B",INDEX(Batters[[#All],[CON P]],MATCH(Table5[[#This Row],[PID]],Batters[[#All],[PID]],0)),INDEX(Table3[[#All],[STU P]],MATCH(Table5[[#This Row],[PID]],Table3[[#All],[PID]],0)))</f>
        <v>4</v>
      </c>
      <c r="M298" s="58">
        <f>IF($C298="B",INDEX(Batters[[#All],[GAP P]],MATCH(Table5[[#This Row],[PID]],Batters[[#All],[PID]],0)),INDEX(Table3[[#All],[MOV P]],MATCH(Table5[[#This Row],[PID]],Table3[[#All],[PID]],0)))</f>
        <v>4</v>
      </c>
      <c r="N298" s="58">
        <f>IF($C298="B",INDEX(Batters[[#All],[POW P]],MATCH(Table5[[#This Row],[PID]],Batters[[#All],[PID]],0)),INDEX(Table3[[#All],[CON P]],MATCH(Table5[[#This Row],[PID]],Table3[[#All],[PID]],0)))</f>
        <v>2</v>
      </c>
      <c r="O298" s="58" t="str">
        <f>IF($C298="B",INDEX(Batters[[#All],[EYE P]],MATCH(Table5[[#This Row],[PID]],Batters[[#All],[PID]],0)),INDEX(Table3[[#All],[VELO]],MATCH(Table5[[#This Row],[PID]],Table3[[#All],[PID]],0)))</f>
        <v>86-88 Mph</v>
      </c>
      <c r="P298" s="58">
        <f>IF($C298="B",INDEX(Batters[[#All],[K P]],MATCH(Table5[[#This Row],[PID]],Batters[[#All],[PID]],0)),INDEX(Table3[[#All],[STM]],MATCH(Table5[[#This Row],[PID]],Table3[[#All],[PID]],0)))</f>
        <v>5</v>
      </c>
      <c r="Q298" s="63">
        <f>IF($C298="B",INDEX(Batters[[#All],[Tot]],MATCH(Table5[[#This Row],[PID]],Batters[[#All],[PID]],0)),INDEX(Table3[[#All],[Tot]],MATCH(Table5[[#This Row],[PID]],Table3[[#All],[PID]],0)))</f>
        <v>37.86081250578971</v>
      </c>
      <c r="R298" s="54">
        <f>IF($C298="B",INDEX(Batters[[#All],[zScore]],MATCH(Table5[[#This Row],[PID]],Batters[[#All],[PID]],0)),INDEX(Table3[[#All],[zScore]],MATCH(Table5[[#This Row],[PID]],Table3[[#All],[PID]],0)))</f>
        <v>0.47122806613758583</v>
      </c>
      <c r="S298" s="60" t="str">
        <f>IF($C298="B",INDEX(Batters[[#All],[DEM]],MATCH(Table5[[#This Row],[PID]],Batters[[#All],[PID]],0)),INDEX(Table3[[#All],[DEM]],MATCH(Table5[[#This Row],[PID]],Table3[[#All],[PID]],0)))</f>
        <v>$80k</v>
      </c>
      <c r="T298" s="64">
        <f>IF($C298="B",VLOOKUP($A298,Bat!$A$4:$AU$1417,46,FALSE),VLOOKUP($A298,Pit!$A$4:$BD$570,55,FALSE))</f>
        <v>0</v>
      </c>
      <c r="U298" s="52">
        <f>IF($C298="B",VLOOKUP($A298,Bat!$A$4:$BA$1417,47,FALSE),VLOOKUP($A298,Pit!$A$4:$BF$570,56,FALSE))</f>
        <v>0</v>
      </c>
      <c r="V298" s="52">
        <f>IF($C298="B",VLOOKUP($A298,Bat!$A$4:$BA$1417,48,FALSE),VLOOKUP($A298,Pit!$A$4:$BF$570,57,FALSE))</f>
        <v>0</v>
      </c>
      <c r="W298" s="52">
        <f>Table5[[#This Row],[posRnk]]+Table5[[#This Row],[zRnk]]+IF($W$3&lt;&gt;Table5[[#This Row],[Type]],50,0)</f>
        <v>344</v>
      </c>
      <c r="X298" s="53">
        <f>RANK(Table5[[#This Row],[zScore]],Table5[[#All],[zScore]])</f>
        <v>294</v>
      </c>
      <c r="Y298" s="52" t="str">
        <f>IFERROR(INDEX(DraftResults[[#All],[OVR]],MATCH(Table5[[#This Row],[PID]],DraftResults[[#All],[Player ID]],0)),"")</f>
        <v/>
      </c>
      <c r="Z2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8" s="52" t="str">
        <f>IFERROR(INDEX(DraftResults[[#All],[Pick in Round]],MATCH(Table5[[#This Row],[PID]],DraftResults[[#All],[Player ID]],0)),"")</f>
        <v/>
      </c>
      <c r="AB298" s="52" t="str">
        <f>IFERROR(INDEX(DraftResults[[#All],[Team Name]],MATCH(Table5[[#This Row],[PID]],DraftResults[[#All],[Player ID]],0)),"")</f>
        <v/>
      </c>
      <c r="AC298" s="52" t="str">
        <f>IF(Table5[[#This Row],[Ovr]]="","",IF(Table5[[#This Row],[cmbList]]="","",Table5[[#This Row],[cmbList]]-Table5[[#This Row],[Ovr]]))</f>
        <v/>
      </c>
      <c r="AD298" s="56" t="str">
        <f>IF(ISERROR(VLOOKUP($AB298&amp;"-"&amp;$E298&amp;" "&amp;F298,Bonuses!$B$1:$G$1006,4,FALSE)),"",INT(VLOOKUP($AB298&amp;"-"&amp;$E298&amp;" "&amp;$F298,Bonuses!$B$1:$G$1006,4,FALSE)))</f>
        <v/>
      </c>
      <c r="AE2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9" spans="1:31" s="52" customFormat="1" x14ac:dyDescent="0.25">
      <c r="A299" s="52">
        <v>13564</v>
      </c>
      <c r="B299" s="57">
        <f>COUNTIF(Table5[PID],A299)</f>
        <v>1</v>
      </c>
      <c r="C299" s="57" t="str">
        <f>IF(COUNTIF(Table3[[#All],[PID]],A299)&gt;0,"P","B")</f>
        <v>B</v>
      </c>
      <c r="D299" s="61" t="str">
        <f>IF($C299="B",INDEX(Batters[[#All],[POS]],MATCH(Table5[[#This Row],[PID]],Batters[[#All],[PID]],0)),INDEX(Table3[[#All],[POS]],MATCH(Table5[[#This Row],[PID]],Table3[[#All],[PID]],0)))</f>
        <v>RF</v>
      </c>
      <c r="E299" s="54" t="str">
        <f>IF($C299="B",INDEX(Batters[[#All],[First]],MATCH(Table5[[#This Row],[PID]],Batters[[#All],[PID]],0)),INDEX(Table3[[#All],[First]],MATCH(Table5[[#This Row],[PID]],Table3[[#All],[PID]],0)))</f>
        <v>Emílio</v>
      </c>
      <c r="F299" s="52" t="str">
        <f>IF($C299="B",INDEX(Batters[[#All],[Last]],MATCH(A299,Batters[[#All],[PID]],0)),INDEX(Table3[[#All],[Last]],MATCH(A299,Table3[[#All],[PID]],0)))</f>
        <v>Morán</v>
      </c>
      <c r="G299" s="58">
        <f>IF($C299="B",INDEX(Batters[[#All],[Age]],MATCH(Table5[[#This Row],[PID]],Batters[[#All],[PID]],0)),INDEX(Table3[[#All],[Age]],MATCH(Table5[[#This Row],[PID]],Table3[[#All],[PID]],0)))</f>
        <v>18</v>
      </c>
      <c r="H299" s="54" t="str">
        <f>IF($C299="B",INDEX(Batters[[#All],[B]],MATCH(Table5[[#This Row],[PID]],Batters[[#All],[PID]],0)),INDEX(Table3[[#All],[B]],MATCH(Table5[[#This Row],[PID]],Table3[[#All],[PID]],0)))</f>
        <v>L</v>
      </c>
      <c r="I299" s="54" t="str">
        <f>IF($C299="B",INDEX(Batters[[#All],[T]],MATCH(Table5[[#This Row],[PID]],Batters[[#All],[PID]],0)),INDEX(Table3[[#All],[T]],MATCH(Table5[[#This Row],[PID]],Table3[[#All],[PID]],0)))</f>
        <v>L</v>
      </c>
      <c r="J299" s="54" t="str">
        <f>IF($C299="B",INDEX(Batters[[#All],[WE]],MATCH(Table5[[#This Row],[PID]],Batters[[#All],[PID]],0)),INDEX(Table3[[#All],[WE]],MATCH(Table5[[#This Row],[PID]],Table3[[#All],[PID]],0)))</f>
        <v>Normal</v>
      </c>
      <c r="K299" s="54" t="str">
        <f>IF($C299="B",INDEX(Batters[[#All],[INT]],MATCH(Table5[[#This Row],[PID]],Batters[[#All],[PID]],0)),INDEX(Table3[[#All],[INT]],MATCH(Table5[[#This Row],[PID]],Table3[[#All],[PID]],0)))</f>
        <v>Normal</v>
      </c>
      <c r="L299" s="62">
        <f>IF($C299="B",INDEX(Batters[[#All],[CON P]],MATCH(Table5[[#This Row],[PID]],Batters[[#All],[PID]],0)),INDEX(Table3[[#All],[STU P]],MATCH(Table5[[#This Row],[PID]],Table3[[#All],[PID]],0)))</f>
        <v>3</v>
      </c>
      <c r="M299" s="58">
        <f>IF($C299="B",INDEX(Batters[[#All],[GAP P]],MATCH(Table5[[#This Row],[PID]],Batters[[#All],[PID]],0)),INDEX(Table3[[#All],[MOV P]],MATCH(Table5[[#This Row],[PID]],Table3[[#All],[PID]],0)))</f>
        <v>3</v>
      </c>
      <c r="N299" s="58">
        <f>IF($C299="B",INDEX(Batters[[#All],[POW P]],MATCH(Table5[[#This Row],[PID]],Batters[[#All],[PID]],0)),INDEX(Table3[[#All],[CON P]],MATCH(Table5[[#This Row],[PID]],Table3[[#All],[PID]],0)))</f>
        <v>5</v>
      </c>
      <c r="O299" s="58">
        <f>IF($C299="B",INDEX(Batters[[#All],[EYE P]],MATCH(Table5[[#This Row],[PID]],Batters[[#All],[PID]],0)),INDEX(Table3[[#All],[VELO]],MATCH(Table5[[#This Row],[PID]],Table3[[#All],[PID]],0)))</f>
        <v>5</v>
      </c>
      <c r="P299" s="58">
        <f>IF($C299="B",INDEX(Batters[[#All],[K P]],MATCH(Table5[[#This Row],[PID]],Batters[[#All],[PID]],0)),INDEX(Table3[[#All],[STM]],MATCH(Table5[[#This Row],[PID]],Table3[[#All],[PID]],0)))</f>
        <v>3</v>
      </c>
      <c r="Q299" s="63">
        <f>IF($C299="B",INDEX(Batters[[#All],[Tot]],MATCH(Table5[[#This Row],[PID]],Batters[[#All],[PID]],0)),INDEX(Table3[[#All],[Tot]],MATCH(Table5[[#This Row],[PID]],Table3[[#All],[PID]],0)))</f>
        <v>43.007931065419015</v>
      </c>
      <c r="R299" s="54">
        <f>IF($C299="B",INDEX(Batters[[#All],[zScore]],MATCH(Table5[[#This Row],[PID]],Batters[[#All],[PID]],0)),INDEX(Table3[[#All],[zScore]],MATCH(Table5[[#This Row],[PID]],Table3[[#All],[PID]],0)))</f>
        <v>0.4679536712265765</v>
      </c>
      <c r="S299" s="60" t="str">
        <f>IF($C299="B",INDEX(Batters[[#All],[DEM]],MATCH(Table5[[#This Row],[PID]],Batters[[#All],[PID]],0)),INDEX(Table3[[#All],[DEM]],MATCH(Table5[[#This Row],[PID]],Table3[[#All],[PID]],0)))</f>
        <v>$400k</v>
      </c>
      <c r="T299" s="64">
        <f>IF($C299="B",VLOOKUP($A299,Bat!$A$4:$AU$1417,46,FALSE),VLOOKUP($A299,Pit!$A$4:$BD$570,55,FALSE))</f>
        <v>0</v>
      </c>
      <c r="U299" s="52">
        <f>IF($C299="B",VLOOKUP($A299,Bat!$A$4:$BA$1417,47,FALSE),VLOOKUP($A299,Pit!$A$4:$BF$570,56,FALSE))</f>
        <v>0</v>
      </c>
      <c r="V299" s="52">
        <f>IF($C299="B",VLOOKUP($A299,Bat!$A$4:$BA$1417,48,FALSE),VLOOKUP($A299,Pit!$A$4:$BF$570,57,FALSE))</f>
        <v>0</v>
      </c>
      <c r="W299" s="52">
        <f>Table5[[#This Row],[posRnk]]+Table5[[#This Row],[zRnk]]+IF($W$3&lt;&gt;Table5[[#This Row],[Type]],50,0)</f>
        <v>345</v>
      </c>
      <c r="X299" s="53">
        <f>RANK(Table5[[#This Row],[zScore]],Table5[[#All],[zScore]])</f>
        <v>295</v>
      </c>
      <c r="Y299" s="52" t="str">
        <f>IFERROR(INDEX(DraftResults[[#All],[OVR]],MATCH(Table5[[#This Row],[PID]],DraftResults[[#All],[Player ID]],0)),"")</f>
        <v/>
      </c>
      <c r="Z2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9" s="52" t="str">
        <f>IFERROR(INDEX(DraftResults[[#All],[Pick in Round]],MATCH(Table5[[#This Row],[PID]],DraftResults[[#All],[Player ID]],0)),"")</f>
        <v/>
      </c>
      <c r="AB299" s="52" t="str">
        <f>IFERROR(INDEX(DraftResults[[#All],[Team Name]],MATCH(Table5[[#This Row],[PID]],DraftResults[[#All],[Player ID]],0)),"")</f>
        <v/>
      </c>
      <c r="AC299" s="52" t="str">
        <f>IF(Table5[[#This Row],[Ovr]]="","",IF(Table5[[#This Row],[cmbList]]="","",Table5[[#This Row],[cmbList]]-Table5[[#This Row],[Ovr]]))</f>
        <v/>
      </c>
      <c r="AD299" s="56" t="str">
        <f>IF(ISERROR(VLOOKUP($AB299&amp;"-"&amp;$E299&amp;" "&amp;F299,Bonuses!$B$1:$G$1006,4,FALSE)),"",INT(VLOOKUP($AB299&amp;"-"&amp;$E299&amp;" "&amp;$F299,Bonuses!$B$1:$G$1006,4,FALSE)))</f>
        <v/>
      </c>
      <c r="AE2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0" spans="1:31" s="52" customFormat="1" x14ac:dyDescent="0.25">
      <c r="A300" s="52">
        <v>15225</v>
      </c>
      <c r="B300" s="52">
        <f>COUNTIF(Table5[PID],A300)</f>
        <v>1</v>
      </c>
      <c r="C300" s="52" t="str">
        <f>IF(COUNTIF(Table3[[#All],[PID]],A300)&gt;0,"P","B")</f>
        <v>P</v>
      </c>
      <c r="D300" s="61" t="str">
        <f>IF($C300="B",INDEX(Batters[[#All],[POS]],MATCH(Table5[[#This Row],[PID]],Batters[[#All],[PID]],0)),INDEX(Table3[[#All],[POS]],MATCH(Table5[[#This Row],[PID]],Table3[[#All],[PID]],0)))</f>
        <v>SP</v>
      </c>
      <c r="E300" s="54" t="str">
        <f>IF($C300="B",INDEX(Batters[[#All],[First]],MATCH(Table5[[#This Row],[PID]],Batters[[#All],[PID]],0)),INDEX(Table3[[#All],[First]],MATCH(Table5[[#This Row],[PID]],Table3[[#All],[PID]],0)))</f>
        <v>Sugimoto</v>
      </c>
      <c r="F300" s="52" t="str">
        <f>IF($C300="B",INDEX(Batters[[#All],[Last]],MATCH(A300,Batters[[#All],[PID]],0)),INDEX(Table3[[#All],[Last]],MATCH(A300,Table3[[#All],[PID]],0)))</f>
        <v>Saito</v>
      </c>
      <c r="G300" s="58">
        <f>IF($C300="B",INDEX(Batters[[#All],[Age]],MATCH(Table5[[#This Row],[PID]],Batters[[#All],[PID]],0)),INDEX(Table3[[#All],[Age]],MATCH(Table5[[#This Row],[PID]],Table3[[#All],[PID]],0)))</f>
        <v>18</v>
      </c>
      <c r="H300" s="54" t="str">
        <f>IF($C300="B",INDEX(Batters[[#All],[B]],MATCH(Table5[[#This Row],[PID]],Batters[[#All],[PID]],0)),INDEX(Table3[[#All],[B]],MATCH(Table5[[#This Row],[PID]],Table3[[#All],[PID]],0)))</f>
        <v>R</v>
      </c>
      <c r="I300" s="54" t="str">
        <f>IF($C300="B",INDEX(Batters[[#All],[T]],MATCH(Table5[[#This Row],[PID]],Batters[[#All],[PID]],0)),INDEX(Table3[[#All],[T]],MATCH(Table5[[#This Row],[PID]],Table3[[#All],[PID]],0)))</f>
        <v>R</v>
      </c>
      <c r="J300" s="54" t="str">
        <f>IF($C300="B",INDEX(Batters[[#All],[WE]],MATCH(Table5[[#This Row],[PID]],Batters[[#All],[PID]],0)),INDEX(Table3[[#All],[WE]],MATCH(Table5[[#This Row],[PID]],Table3[[#All],[PID]],0)))</f>
        <v>Normal</v>
      </c>
      <c r="K300" s="54" t="str">
        <f>IF($C300="B",INDEX(Batters[[#All],[INT]],MATCH(Table5[[#This Row],[PID]],Batters[[#All],[PID]],0)),INDEX(Table3[[#All],[INT]],MATCH(Table5[[#This Row],[PID]],Table3[[#All],[PID]],0)))</f>
        <v>Normal</v>
      </c>
      <c r="L300" s="62">
        <f>IF($C300="B",INDEX(Batters[[#All],[CON P]],MATCH(Table5[[#This Row],[PID]],Batters[[#All],[PID]],0)),INDEX(Table3[[#All],[STU P]],MATCH(Table5[[#This Row],[PID]],Table3[[#All],[PID]],0)))</f>
        <v>4</v>
      </c>
      <c r="M300" s="58">
        <f>IF($C300="B",INDEX(Batters[[#All],[GAP P]],MATCH(Table5[[#This Row],[PID]],Batters[[#All],[PID]],0)),INDEX(Table3[[#All],[MOV P]],MATCH(Table5[[#This Row],[PID]],Table3[[#All],[PID]],0)))</f>
        <v>4</v>
      </c>
      <c r="N300" s="58">
        <f>IF($C300="B",INDEX(Batters[[#All],[POW P]],MATCH(Table5[[#This Row],[PID]],Batters[[#All],[PID]],0)),INDEX(Table3[[#All],[CON P]],MATCH(Table5[[#This Row],[PID]],Table3[[#All],[PID]],0)))</f>
        <v>2</v>
      </c>
      <c r="O300" s="58" t="str">
        <f>IF($C300="B",INDEX(Batters[[#All],[EYE P]],MATCH(Table5[[#This Row],[PID]],Batters[[#All],[PID]],0)),INDEX(Table3[[#All],[VELO]],MATCH(Table5[[#This Row],[PID]],Table3[[#All],[PID]],0)))</f>
        <v>88-90 Mph</v>
      </c>
      <c r="P300" s="58">
        <f>IF($C300="B",INDEX(Batters[[#All],[K P]],MATCH(Table5[[#This Row],[PID]],Batters[[#All],[PID]],0)),INDEX(Table3[[#All],[STM]],MATCH(Table5[[#This Row],[PID]],Table3[[#All],[PID]],0)))</f>
        <v>5</v>
      </c>
      <c r="Q300" s="63">
        <f>IF($C300="B",INDEX(Batters[[#All],[Tot]],MATCH(Table5[[#This Row],[PID]],Batters[[#All],[PID]],0)),INDEX(Table3[[#All],[Tot]],MATCH(Table5[[#This Row],[PID]],Table3[[#All],[PID]],0)))</f>
        <v>37.748223690304961</v>
      </c>
      <c r="R300" s="54">
        <f>IF($C300="B",INDEX(Batters[[#All],[zScore]],MATCH(Table5[[#This Row],[PID]],Batters[[#All],[PID]],0)),INDEX(Table3[[#All],[zScore]],MATCH(Table5[[#This Row],[PID]],Table3[[#All],[PID]],0)))</f>
        <v>0.46090319054292328</v>
      </c>
      <c r="S300" s="60" t="str">
        <f>IF($C300="B",INDEX(Batters[[#All],[DEM]],MATCH(Table5[[#This Row],[PID]],Batters[[#All],[PID]],0)),INDEX(Table3[[#All],[DEM]],MATCH(Table5[[#This Row],[PID]],Table3[[#All],[PID]],0)))</f>
        <v>$190k</v>
      </c>
      <c r="T300" s="64">
        <f>IF($C300="B",VLOOKUP($A300,Bat!$A$4:$AU$1417,46,FALSE),VLOOKUP($A300,Pit!$A$4:$BD$570,55,FALSE))</f>
        <v>0</v>
      </c>
      <c r="U300" s="52">
        <f>IF($C300="B",VLOOKUP($A300,Bat!$A$4:$BA$1417,47,FALSE),VLOOKUP($A300,Pit!$A$4:$BF$570,56,FALSE))</f>
        <v>0</v>
      </c>
      <c r="V300" s="52">
        <f>IF($C300="B",VLOOKUP($A300,Bat!$A$4:$BA$1417,48,FALSE),VLOOKUP($A300,Pit!$A$4:$BF$570,57,FALSE))</f>
        <v>0</v>
      </c>
      <c r="W300" s="52">
        <f>Table5[[#This Row],[posRnk]]+Table5[[#This Row],[zRnk]]+IF($W$3&lt;&gt;Table5[[#This Row],[Type]],50,0)</f>
        <v>346</v>
      </c>
      <c r="X300" s="53">
        <f>RANK(Table5[[#This Row],[zScore]],Table5[[#All],[zScore]])</f>
        <v>296</v>
      </c>
      <c r="Y300" s="52" t="str">
        <f>IFERROR(INDEX(DraftResults[[#All],[OVR]],MATCH(Table5[[#This Row],[PID]],DraftResults[[#All],[Player ID]],0)),"")</f>
        <v/>
      </c>
      <c r="Z3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0" s="52" t="str">
        <f>IFERROR(INDEX(DraftResults[[#All],[Pick in Round]],MATCH(Table5[[#This Row],[PID]],DraftResults[[#All],[Player ID]],0)),"")</f>
        <v/>
      </c>
      <c r="AB300" s="52" t="str">
        <f>IFERROR(INDEX(DraftResults[[#All],[Team Name]],MATCH(Table5[[#This Row],[PID]],DraftResults[[#All],[Player ID]],0)),"")</f>
        <v/>
      </c>
      <c r="AC300" s="52" t="str">
        <f>IF(Table5[[#This Row],[Ovr]]="","",IF(Table5[[#This Row],[cmbList]]="","",Table5[[#This Row],[cmbList]]-Table5[[#This Row],[Ovr]]))</f>
        <v/>
      </c>
      <c r="AD300" s="56" t="str">
        <f>IF(ISERROR(VLOOKUP($AB300&amp;"-"&amp;$E300&amp;" "&amp;F300,Bonuses!$B$1:$G$1006,4,FALSE)),"",INT(VLOOKUP($AB300&amp;"-"&amp;$E300&amp;" "&amp;$F300,Bonuses!$B$1:$G$1006,4,FALSE)))</f>
        <v/>
      </c>
      <c r="AE3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1" spans="1:31" s="52" customFormat="1" x14ac:dyDescent="0.25">
      <c r="A301" s="52">
        <v>15723</v>
      </c>
      <c r="B301" s="52">
        <f>COUNTIF(Table5[PID],A301)</f>
        <v>1</v>
      </c>
      <c r="C301" s="52" t="str">
        <f>IF(COUNTIF(Table3[[#All],[PID]],A301)&gt;0,"P","B")</f>
        <v>B</v>
      </c>
      <c r="D301" s="61" t="str">
        <f>IF($C301="B",INDEX(Batters[[#All],[POS]],MATCH(Table5[[#This Row],[PID]],Batters[[#All],[PID]],0)),INDEX(Table3[[#All],[POS]],MATCH(Table5[[#This Row],[PID]],Table3[[#All],[PID]],0)))</f>
        <v>LF</v>
      </c>
      <c r="E301" s="54" t="str">
        <f>IF($C301="B",INDEX(Batters[[#All],[First]],MATCH(Table5[[#This Row],[PID]],Batters[[#All],[PID]],0)),INDEX(Table3[[#All],[First]],MATCH(Table5[[#This Row],[PID]],Table3[[#All],[PID]],0)))</f>
        <v>Albert</v>
      </c>
      <c r="F301" s="52" t="str">
        <f>IF($C301="B",INDEX(Batters[[#All],[Last]],MATCH(A301,Batters[[#All],[PID]],0)),INDEX(Table3[[#All],[Last]],MATCH(A301,Table3[[#All],[PID]],0)))</f>
        <v>Collen</v>
      </c>
      <c r="G301" s="58">
        <f>IF($C301="B",INDEX(Batters[[#All],[Age]],MATCH(Table5[[#This Row],[PID]],Batters[[#All],[PID]],0)),INDEX(Table3[[#All],[Age]],MATCH(Table5[[#This Row],[PID]],Table3[[#All],[PID]],0)))</f>
        <v>18</v>
      </c>
      <c r="H301" s="54" t="str">
        <f>IF($C301="B",INDEX(Batters[[#All],[B]],MATCH(Table5[[#This Row],[PID]],Batters[[#All],[PID]],0)),INDEX(Table3[[#All],[B]],MATCH(Table5[[#This Row],[PID]],Table3[[#All],[PID]],0)))</f>
        <v>R</v>
      </c>
      <c r="I301" s="54" t="str">
        <f>IF($C301="B",INDEX(Batters[[#All],[T]],MATCH(Table5[[#This Row],[PID]],Batters[[#All],[PID]],0)),INDEX(Table3[[#All],[T]],MATCH(Table5[[#This Row],[PID]],Table3[[#All],[PID]],0)))</f>
        <v>R</v>
      </c>
      <c r="J301" s="54" t="str">
        <f>IF($C301="B",INDEX(Batters[[#All],[WE]],MATCH(Table5[[#This Row],[PID]],Batters[[#All],[PID]],0)),INDEX(Table3[[#All],[WE]],MATCH(Table5[[#This Row],[PID]],Table3[[#All],[PID]],0)))</f>
        <v>Low</v>
      </c>
      <c r="K301" s="54" t="str">
        <f>IF($C301="B",INDEX(Batters[[#All],[INT]],MATCH(Table5[[#This Row],[PID]],Batters[[#All],[PID]],0)),INDEX(Table3[[#All],[INT]],MATCH(Table5[[#This Row],[PID]],Table3[[#All],[PID]],0)))</f>
        <v>Low</v>
      </c>
      <c r="L301" s="62">
        <f>IF($C301="B",INDEX(Batters[[#All],[CON P]],MATCH(Table5[[#This Row],[PID]],Batters[[#All],[PID]],0)),INDEX(Table3[[#All],[STU P]],MATCH(Table5[[#This Row],[PID]],Table3[[#All],[PID]],0)))</f>
        <v>3</v>
      </c>
      <c r="M301" s="58">
        <f>IF($C301="B",INDEX(Batters[[#All],[GAP P]],MATCH(Table5[[#This Row],[PID]],Batters[[#All],[PID]],0)),INDEX(Table3[[#All],[MOV P]],MATCH(Table5[[#This Row],[PID]],Table3[[#All],[PID]],0)))</f>
        <v>4</v>
      </c>
      <c r="N301" s="58">
        <f>IF($C301="B",INDEX(Batters[[#All],[POW P]],MATCH(Table5[[#This Row],[PID]],Batters[[#All],[PID]],0)),INDEX(Table3[[#All],[CON P]],MATCH(Table5[[#This Row],[PID]],Table3[[#All],[PID]],0)))</f>
        <v>6</v>
      </c>
      <c r="O301" s="58">
        <f>IF($C301="B",INDEX(Batters[[#All],[EYE P]],MATCH(Table5[[#This Row],[PID]],Batters[[#All],[PID]],0)),INDEX(Table3[[#All],[VELO]],MATCH(Table5[[#This Row],[PID]],Table3[[#All],[PID]],0)))</f>
        <v>4</v>
      </c>
      <c r="P301" s="58">
        <f>IF($C301="B",INDEX(Batters[[#All],[K P]],MATCH(Table5[[#This Row],[PID]],Batters[[#All],[PID]],0)),INDEX(Table3[[#All],[STM]],MATCH(Table5[[#This Row],[PID]],Table3[[#All],[PID]],0)))</f>
        <v>3</v>
      </c>
      <c r="Q301" s="63">
        <f>IF($C301="B",INDEX(Batters[[#All],[Tot]],MATCH(Table5[[#This Row],[PID]],Batters[[#All],[PID]],0)),INDEX(Table3[[#All],[Tot]],MATCH(Table5[[#This Row],[PID]],Table3[[#All],[PID]],0)))</f>
        <v>42.949179098417687</v>
      </c>
      <c r="R301" s="54">
        <f>IF($C301="B",INDEX(Batters[[#All],[zScore]],MATCH(Table5[[#This Row],[PID]],Batters[[#All],[PID]],0)),INDEX(Table3[[#All],[zScore]],MATCH(Table5[[#This Row],[PID]],Table3[[#All],[PID]],0)))</f>
        <v>0.45761665311608957</v>
      </c>
      <c r="S301" s="60" t="str">
        <f>IF($C301="B",INDEX(Batters[[#All],[DEM]],MATCH(Table5[[#This Row],[PID]],Batters[[#All],[PID]],0)),INDEX(Table3[[#All],[DEM]],MATCH(Table5[[#This Row],[PID]],Table3[[#All],[PID]],0)))</f>
        <v>$240k</v>
      </c>
      <c r="T301" s="64">
        <f>IF($C301="B",VLOOKUP($A301,Bat!$A$4:$AU$1417,46,FALSE),VLOOKUP($A301,Pit!$A$4:$BD$570,55,FALSE))</f>
        <v>0</v>
      </c>
      <c r="U301" s="52">
        <f>IF($C301="B",VLOOKUP($A301,Bat!$A$4:$BA$1417,47,FALSE),VLOOKUP($A301,Pit!$A$4:$BF$570,56,FALSE))</f>
        <v>0</v>
      </c>
      <c r="V301" s="52">
        <f>IF($C301="B",VLOOKUP($A301,Bat!$A$4:$BA$1417,48,FALSE),VLOOKUP($A301,Pit!$A$4:$BF$570,57,FALSE))</f>
        <v>0</v>
      </c>
      <c r="W301" s="52">
        <f>Table5[[#This Row],[posRnk]]+Table5[[#This Row],[zRnk]]+IF($W$3&lt;&gt;Table5[[#This Row],[Type]],50,0)</f>
        <v>347</v>
      </c>
      <c r="X301" s="53">
        <f>RANK(Table5[[#This Row],[zScore]],Table5[[#All],[zScore]])</f>
        <v>297</v>
      </c>
      <c r="Y301" s="52" t="str">
        <f>IFERROR(INDEX(DraftResults[[#All],[OVR]],MATCH(Table5[[#This Row],[PID]],DraftResults[[#All],[Player ID]],0)),"")</f>
        <v/>
      </c>
      <c r="Z3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1" s="52" t="str">
        <f>IFERROR(INDEX(DraftResults[[#All],[Pick in Round]],MATCH(Table5[[#This Row],[PID]],DraftResults[[#All],[Player ID]],0)),"")</f>
        <v/>
      </c>
      <c r="AB301" s="52" t="str">
        <f>IFERROR(INDEX(DraftResults[[#All],[Team Name]],MATCH(Table5[[#This Row],[PID]],DraftResults[[#All],[Player ID]],0)),"")</f>
        <v/>
      </c>
      <c r="AC301" s="52" t="str">
        <f>IF(Table5[[#This Row],[Ovr]]="","",IF(Table5[[#This Row],[cmbList]]="","",Table5[[#This Row],[cmbList]]-Table5[[#This Row],[Ovr]]))</f>
        <v/>
      </c>
      <c r="AD301" s="56" t="str">
        <f>IF(ISERROR(VLOOKUP($AB301&amp;"-"&amp;$E301&amp;" "&amp;F301,Bonuses!$B$1:$G$1006,4,FALSE)),"",INT(VLOOKUP($AB301&amp;"-"&amp;$E301&amp;" "&amp;$F301,Bonuses!$B$1:$G$1006,4,FALSE)))</f>
        <v/>
      </c>
      <c r="AE3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2" spans="1:31" s="52" customFormat="1" x14ac:dyDescent="0.25">
      <c r="A302" s="52">
        <v>6253</v>
      </c>
      <c r="B302" s="52">
        <f>COUNTIF(Table5[PID],A302)</f>
        <v>1</v>
      </c>
      <c r="C302" s="52" t="str">
        <f>IF(COUNTIF(Table3[[#All],[PID]],A302)&gt;0,"P","B")</f>
        <v>B</v>
      </c>
      <c r="D302" s="61" t="str">
        <f>IF($C302="B",INDEX(Batters[[#All],[POS]],MATCH(Table5[[#This Row],[PID]],Batters[[#All],[PID]],0)),INDEX(Table3[[#All],[POS]],MATCH(Table5[[#This Row],[PID]],Table3[[#All],[PID]],0)))</f>
        <v>3B</v>
      </c>
      <c r="E302" s="54" t="str">
        <f>IF($C302="B",INDEX(Batters[[#All],[First]],MATCH(Table5[[#This Row],[PID]],Batters[[#All],[PID]],0)),INDEX(Table3[[#All],[First]],MATCH(Table5[[#This Row],[PID]],Table3[[#All],[PID]],0)))</f>
        <v>Bas</v>
      </c>
      <c r="F302" s="52" t="str">
        <f>IF($C302="B",INDEX(Batters[[#All],[Last]],MATCH(A302,Batters[[#All],[PID]],0)),INDEX(Table3[[#All],[Last]],MATCH(A302,Table3[[#All],[PID]],0)))</f>
        <v>Kooijman</v>
      </c>
      <c r="G302" s="58">
        <f>IF($C302="B",INDEX(Batters[[#All],[Age]],MATCH(Table5[[#This Row],[PID]],Batters[[#All],[PID]],0)),INDEX(Table3[[#All],[Age]],MATCH(Table5[[#This Row],[PID]],Table3[[#All],[PID]],0)))</f>
        <v>18</v>
      </c>
      <c r="H302" s="54" t="str">
        <f>IF($C302="B",INDEX(Batters[[#All],[B]],MATCH(Table5[[#This Row],[PID]],Batters[[#All],[PID]],0)),INDEX(Table3[[#All],[B]],MATCH(Table5[[#This Row],[PID]],Table3[[#All],[PID]],0)))</f>
        <v>R</v>
      </c>
      <c r="I302" s="54" t="str">
        <f>IF($C302="B",INDEX(Batters[[#All],[T]],MATCH(Table5[[#This Row],[PID]],Batters[[#All],[PID]],0)),INDEX(Table3[[#All],[T]],MATCH(Table5[[#This Row],[PID]],Table3[[#All],[PID]],0)))</f>
        <v>R</v>
      </c>
      <c r="J302" s="54" t="str">
        <f>IF($C302="B",INDEX(Batters[[#All],[WE]],MATCH(Table5[[#This Row],[PID]],Batters[[#All],[PID]],0)),INDEX(Table3[[#All],[WE]],MATCH(Table5[[#This Row],[PID]],Table3[[#All],[PID]],0)))</f>
        <v>Normal</v>
      </c>
      <c r="K302" s="54" t="str">
        <f>IF($C302="B",INDEX(Batters[[#All],[INT]],MATCH(Table5[[#This Row],[PID]],Batters[[#All],[PID]],0)),INDEX(Table3[[#All],[INT]],MATCH(Table5[[#This Row],[PID]],Table3[[#All],[PID]],0)))</f>
        <v>Normal</v>
      </c>
      <c r="L302" s="62">
        <f>IF($C302="B",INDEX(Batters[[#All],[CON P]],MATCH(Table5[[#This Row],[PID]],Batters[[#All],[PID]],0)),INDEX(Table3[[#All],[STU P]],MATCH(Table5[[#This Row],[PID]],Table3[[#All],[PID]],0)))</f>
        <v>3</v>
      </c>
      <c r="M302" s="58">
        <f>IF($C302="B",INDEX(Batters[[#All],[GAP P]],MATCH(Table5[[#This Row],[PID]],Batters[[#All],[PID]],0)),INDEX(Table3[[#All],[MOV P]],MATCH(Table5[[#This Row],[PID]],Table3[[#All],[PID]],0)))</f>
        <v>5</v>
      </c>
      <c r="N302" s="58">
        <f>IF($C302="B",INDEX(Batters[[#All],[POW P]],MATCH(Table5[[#This Row],[PID]],Batters[[#All],[PID]],0)),INDEX(Table3[[#All],[CON P]],MATCH(Table5[[#This Row],[PID]],Table3[[#All],[PID]],0)))</f>
        <v>3</v>
      </c>
      <c r="O302" s="58">
        <f>IF($C302="B",INDEX(Batters[[#All],[EYE P]],MATCH(Table5[[#This Row],[PID]],Batters[[#All],[PID]],0)),INDEX(Table3[[#All],[VELO]],MATCH(Table5[[#This Row],[PID]],Table3[[#All],[PID]],0)))</f>
        <v>5</v>
      </c>
      <c r="P302" s="58">
        <f>IF($C302="B",INDEX(Batters[[#All],[K P]],MATCH(Table5[[#This Row],[PID]],Batters[[#All],[PID]],0)),INDEX(Table3[[#All],[STM]],MATCH(Table5[[#This Row],[PID]],Table3[[#All],[PID]],0)))</f>
        <v>4</v>
      </c>
      <c r="Q302" s="63">
        <f>IF($C302="B",INDEX(Batters[[#All],[Tot]],MATCH(Table5[[#This Row],[PID]],Batters[[#All],[PID]],0)),INDEX(Table3[[#All],[Tot]],MATCH(Table5[[#This Row],[PID]],Table3[[#All],[PID]],0)))</f>
        <v>42.933087590749025</v>
      </c>
      <c r="R302" s="54">
        <f>IF($C302="B",INDEX(Batters[[#All],[zScore]],MATCH(Table5[[#This Row],[PID]],Batters[[#All],[PID]],0)),INDEX(Table3[[#All],[zScore]],MATCH(Table5[[#This Row],[PID]],Table3[[#All],[PID]],0)))</f>
        <v>0.45478545929083025</v>
      </c>
      <c r="S302" s="60" t="str">
        <f>IF($C302="B",INDEX(Batters[[#All],[DEM]],MATCH(Table5[[#This Row],[PID]],Batters[[#All],[PID]],0)),INDEX(Table3[[#All],[DEM]],MATCH(Table5[[#This Row],[PID]],Table3[[#All],[PID]],0)))</f>
        <v>$75k</v>
      </c>
      <c r="T302" s="64">
        <f>IF($C302="B",VLOOKUP($A302,Bat!$A$4:$AU$1417,46,FALSE),VLOOKUP($A302,Pit!$A$4:$BD$570,55,FALSE))</f>
        <v>0</v>
      </c>
      <c r="U302" s="52">
        <f>IF($C302="B",VLOOKUP($A302,Bat!$A$4:$BA$1417,47,FALSE),VLOOKUP($A302,Pit!$A$4:$BF$570,56,FALSE))</f>
        <v>0</v>
      </c>
      <c r="V302" s="52">
        <f>IF($C302="B",VLOOKUP($A302,Bat!$A$4:$BA$1417,48,FALSE),VLOOKUP($A302,Pit!$A$4:$BF$570,57,FALSE))</f>
        <v>0</v>
      </c>
      <c r="W302" s="52">
        <f>Table5[[#This Row],[posRnk]]+Table5[[#This Row],[zRnk]]+IF($W$3&lt;&gt;Table5[[#This Row],[Type]],50,0)</f>
        <v>348</v>
      </c>
      <c r="X302" s="53">
        <f>RANK(Table5[[#This Row],[zScore]],Table5[[#All],[zScore]])</f>
        <v>298</v>
      </c>
      <c r="Y302" s="52" t="str">
        <f>IFERROR(INDEX(DraftResults[[#All],[OVR]],MATCH(Table5[[#This Row],[PID]],DraftResults[[#All],[Player ID]],0)),"")</f>
        <v/>
      </c>
      <c r="Z3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2" s="52" t="str">
        <f>IFERROR(INDEX(DraftResults[[#All],[Pick in Round]],MATCH(Table5[[#This Row],[PID]],DraftResults[[#All],[Player ID]],0)),"")</f>
        <v/>
      </c>
      <c r="AB302" s="52" t="str">
        <f>IFERROR(INDEX(DraftResults[[#All],[Team Name]],MATCH(Table5[[#This Row],[PID]],DraftResults[[#All],[Player ID]],0)),"")</f>
        <v/>
      </c>
      <c r="AC302" s="52" t="str">
        <f>IF(Table5[[#This Row],[Ovr]]="","",IF(Table5[[#This Row],[cmbList]]="","",Table5[[#This Row],[cmbList]]-Table5[[#This Row],[Ovr]]))</f>
        <v/>
      </c>
      <c r="AD302" s="56" t="str">
        <f>IF(ISERROR(VLOOKUP($AB302&amp;"-"&amp;$E302&amp;" "&amp;F302,Bonuses!$B$1:$G$1006,4,FALSE)),"",INT(VLOOKUP($AB302&amp;"-"&amp;$E302&amp;" "&amp;$F302,Bonuses!$B$1:$G$1006,4,FALSE)))</f>
        <v/>
      </c>
      <c r="AE3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3" spans="1:31" s="52" customFormat="1" x14ac:dyDescent="0.25">
      <c r="A303" s="52">
        <v>7232</v>
      </c>
      <c r="B303" s="52">
        <f>COUNTIF(Table5[PID],A303)</f>
        <v>1</v>
      </c>
      <c r="C303" s="52" t="str">
        <f>IF(COUNTIF(Table3[[#All],[PID]],A303)&gt;0,"P","B")</f>
        <v>B</v>
      </c>
      <c r="D303" s="61" t="str">
        <f>IF($C303="B",INDEX(Batters[[#All],[POS]],MATCH(Table5[[#This Row],[PID]],Batters[[#All],[PID]],0)),INDEX(Table3[[#All],[POS]],MATCH(Table5[[#This Row],[PID]],Table3[[#All],[PID]],0)))</f>
        <v>C</v>
      </c>
      <c r="E303" s="54" t="str">
        <f>IF($C303="B",INDEX(Batters[[#All],[First]],MATCH(Table5[[#This Row],[PID]],Batters[[#All],[PID]],0)),INDEX(Table3[[#All],[First]],MATCH(Table5[[#This Row],[PID]],Table3[[#All],[PID]],0)))</f>
        <v>Kiyonobu</v>
      </c>
      <c r="F303" s="52" t="str">
        <f>IF($C303="B",INDEX(Batters[[#All],[Last]],MATCH(A303,Batters[[#All],[PID]],0)),INDEX(Table3[[#All],[Last]],MATCH(A303,Table3[[#All],[PID]],0)))</f>
        <v>Takahashi</v>
      </c>
      <c r="G303" s="58">
        <f>IF($C303="B",INDEX(Batters[[#All],[Age]],MATCH(Table5[[#This Row],[PID]],Batters[[#All],[PID]],0)),INDEX(Table3[[#All],[Age]],MATCH(Table5[[#This Row],[PID]],Table3[[#All],[PID]],0)))</f>
        <v>21</v>
      </c>
      <c r="H303" s="54" t="str">
        <f>IF($C303="B",INDEX(Batters[[#All],[B]],MATCH(Table5[[#This Row],[PID]],Batters[[#All],[PID]],0)),INDEX(Table3[[#All],[B]],MATCH(Table5[[#This Row],[PID]],Table3[[#All],[PID]],0)))</f>
        <v>L</v>
      </c>
      <c r="I303" s="54" t="str">
        <f>IF($C303="B",INDEX(Batters[[#All],[T]],MATCH(Table5[[#This Row],[PID]],Batters[[#All],[PID]],0)),INDEX(Table3[[#All],[T]],MATCH(Table5[[#This Row],[PID]],Table3[[#All],[PID]],0)))</f>
        <v>R</v>
      </c>
      <c r="J303" s="54" t="str">
        <f>IF($C303="B",INDEX(Batters[[#All],[WE]],MATCH(Table5[[#This Row],[PID]],Batters[[#All],[PID]],0)),INDEX(Table3[[#All],[WE]],MATCH(Table5[[#This Row],[PID]],Table3[[#All],[PID]],0)))</f>
        <v>Low</v>
      </c>
      <c r="K303" s="54" t="str">
        <f>IF($C303="B",INDEX(Batters[[#All],[INT]],MATCH(Table5[[#This Row],[PID]],Batters[[#All],[PID]],0)),INDEX(Table3[[#All],[INT]],MATCH(Table5[[#This Row],[PID]],Table3[[#All],[PID]],0)))</f>
        <v>Normal</v>
      </c>
      <c r="L303" s="62">
        <f>IF($C303="B",INDEX(Batters[[#All],[CON P]],MATCH(Table5[[#This Row],[PID]],Batters[[#All],[PID]],0)),INDEX(Table3[[#All],[STU P]],MATCH(Table5[[#This Row],[PID]],Table3[[#All],[PID]],0)))</f>
        <v>4</v>
      </c>
      <c r="M303" s="58">
        <f>IF($C303="B",INDEX(Batters[[#All],[GAP P]],MATCH(Table5[[#This Row],[PID]],Batters[[#All],[PID]],0)),INDEX(Table3[[#All],[MOV P]],MATCH(Table5[[#This Row],[PID]],Table3[[#All],[PID]],0)))</f>
        <v>4</v>
      </c>
      <c r="N303" s="58">
        <f>IF($C303="B",INDEX(Batters[[#All],[POW P]],MATCH(Table5[[#This Row],[PID]],Batters[[#All],[PID]],0)),INDEX(Table3[[#All],[CON P]],MATCH(Table5[[#This Row],[PID]],Table3[[#All],[PID]],0)))</f>
        <v>4</v>
      </c>
      <c r="O303" s="58">
        <f>IF($C303="B",INDEX(Batters[[#All],[EYE P]],MATCH(Table5[[#This Row],[PID]],Batters[[#All],[PID]],0)),INDEX(Table3[[#All],[VELO]],MATCH(Table5[[#This Row],[PID]],Table3[[#All],[PID]],0)))</f>
        <v>6</v>
      </c>
      <c r="P303" s="58">
        <f>IF($C303="B",INDEX(Batters[[#All],[K P]],MATCH(Table5[[#This Row],[PID]],Batters[[#All],[PID]],0)),INDEX(Table3[[#All],[STM]],MATCH(Table5[[#This Row],[PID]],Table3[[#All],[PID]],0)))</f>
        <v>4</v>
      </c>
      <c r="Q303" s="63">
        <f>IF($C303="B",INDEX(Batters[[#All],[Tot]],MATCH(Table5[[#This Row],[PID]],Batters[[#All],[PID]],0)),INDEX(Table3[[#All],[Tot]],MATCH(Table5[[#This Row],[PID]],Table3[[#All],[PID]],0)))</f>
        <v>42.869540711880632</v>
      </c>
      <c r="R303" s="54">
        <f>IF($C303="B",INDEX(Batters[[#All],[zScore]],MATCH(Table5[[#This Row],[PID]],Batters[[#All],[PID]],0)),INDEX(Table3[[#All],[zScore]],MATCH(Table5[[#This Row],[PID]],Table3[[#All],[PID]],0)))</f>
        <v>0.44360480830577204</v>
      </c>
      <c r="S303" s="60" t="str">
        <f>IF($C303="B",INDEX(Batters[[#All],[DEM]],MATCH(Table5[[#This Row],[PID]],Batters[[#All],[PID]],0)),INDEX(Table3[[#All],[DEM]],MATCH(Table5[[#This Row],[PID]],Table3[[#All],[PID]],0)))</f>
        <v>-</v>
      </c>
      <c r="T303" s="64">
        <f>IF($C303="B",VLOOKUP($A303,Bat!$A$4:$AU$1417,46,FALSE),VLOOKUP($A303,Pit!$A$4:$BD$570,55,FALSE))</f>
        <v>0</v>
      </c>
      <c r="U303" s="52">
        <f>IF($C303="B",VLOOKUP($A303,Bat!$A$4:$BA$1417,47,FALSE),VLOOKUP($A303,Pit!$A$4:$BF$570,56,FALSE))</f>
        <v>0</v>
      </c>
      <c r="V303" s="52">
        <f>IF($C303="B",VLOOKUP($A303,Bat!$A$4:$BA$1417,48,FALSE),VLOOKUP($A303,Pit!$A$4:$BF$570,57,FALSE))</f>
        <v>0</v>
      </c>
      <c r="W303" s="52">
        <f>Table5[[#This Row],[posRnk]]+Table5[[#This Row],[zRnk]]+IF($W$3&lt;&gt;Table5[[#This Row],[Type]],50,0)</f>
        <v>349</v>
      </c>
      <c r="X303" s="53">
        <f>RANK(Table5[[#This Row],[zScore]],Table5[[#All],[zScore]])</f>
        <v>299</v>
      </c>
      <c r="Y303" s="52" t="str">
        <f>IFERROR(INDEX(DraftResults[[#All],[OVR]],MATCH(Table5[[#This Row],[PID]],DraftResults[[#All],[Player ID]],0)),"")</f>
        <v/>
      </c>
      <c r="Z3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3" s="52" t="str">
        <f>IFERROR(INDEX(DraftResults[[#All],[Pick in Round]],MATCH(Table5[[#This Row],[PID]],DraftResults[[#All],[Player ID]],0)),"")</f>
        <v/>
      </c>
      <c r="AB303" s="52" t="str">
        <f>IFERROR(INDEX(DraftResults[[#All],[Team Name]],MATCH(Table5[[#This Row],[PID]],DraftResults[[#All],[Player ID]],0)),"")</f>
        <v/>
      </c>
      <c r="AC303" s="52" t="str">
        <f>IF(Table5[[#This Row],[Ovr]]="","",IF(Table5[[#This Row],[cmbList]]="","",Table5[[#This Row],[cmbList]]-Table5[[#This Row],[Ovr]]))</f>
        <v/>
      </c>
      <c r="AD303" s="56" t="str">
        <f>IF(ISERROR(VLOOKUP($AB303&amp;"-"&amp;$E303&amp;" "&amp;F303,Bonuses!$B$1:$G$1006,4,FALSE)),"",INT(VLOOKUP($AB303&amp;"-"&amp;$E303&amp;" "&amp;$F303,Bonuses!$B$1:$G$1006,4,FALSE)))</f>
        <v/>
      </c>
      <c r="AE3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4" spans="1:31" s="52" customFormat="1" x14ac:dyDescent="0.25">
      <c r="A304" s="52">
        <v>11186</v>
      </c>
      <c r="B304" s="52">
        <f>COUNTIF(Table5[PID],A304)</f>
        <v>1</v>
      </c>
      <c r="C304" s="52" t="str">
        <f>IF(COUNTIF(Table3[[#All],[PID]],A304)&gt;0,"P","B")</f>
        <v>P</v>
      </c>
      <c r="D304" s="61" t="str">
        <f>IF($C304="B",INDEX(Batters[[#All],[POS]],MATCH(Table5[[#This Row],[PID]],Batters[[#All],[PID]],0)),INDEX(Table3[[#All],[POS]],MATCH(Table5[[#This Row],[PID]],Table3[[#All],[PID]],0)))</f>
        <v>SP</v>
      </c>
      <c r="E304" s="54" t="str">
        <f>IF($C304="B",INDEX(Batters[[#All],[First]],MATCH(Table5[[#This Row],[PID]],Batters[[#All],[PID]],0)),INDEX(Table3[[#All],[First]],MATCH(Table5[[#This Row],[PID]],Table3[[#All],[PID]],0)))</f>
        <v>Rob</v>
      </c>
      <c r="F304" s="52" t="str">
        <f>IF($C304="B",INDEX(Batters[[#All],[Last]],MATCH(A304,Batters[[#All],[PID]],0)),INDEX(Table3[[#All],[Last]],MATCH(A304,Table3[[#All],[PID]],0)))</f>
        <v>Sinden</v>
      </c>
      <c r="G304" s="58">
        <f>IF($C304="B",INDEX(Batters[[#All],[Age]],MATCH(Table5[[#This Row],[PID]],Batters[[#All],[PID]],0)),INDEX(Table3[[#All],[Age]],MATCH(Table5[[#This Row],[PID]],Table3[[#All],[PID]],0)))</f>
        <v>18</v>
      </c>
      <c r="H304" s="54" t="str">
        <f>IF($C304="B",INDEX(Batters[[#All],[B]],MATCH(Table5[[#This Row],[PID]],Batters[[#All],[PID]],0)),INDEX(Table3[[#All],[B]],MATCH(Table5[[#This Row],[PID]],Table3[[#All],[PID]],0)))</f>
        <v>R</v>
      </c>
      <c r="I304" s="54" t="str">
        <f>IF($C304="B",INDEX(Batters[[#All],[T]],MATCH(Table5[[#This Row],[PID]],Batters[[#All],[PID]],0)),INDEX(Table3[[#All],[T]],MATCH(Table5[[#This Row],[PID]],Table3[[#All],[PID]],0)))</f>
        <v>R</v>
      </c>
      <c r="J304" s="54" t="str">
        <f>IF($C304="B",INDEX(Batters[[#All],[WE]],MATCH(Table5[[#This Row],[PID]],Batters[[#All],[PID]],0)),INDEX(Table3[[#All],[WE]],MATCH(Table5[[#This Row],[PID]],Table3[[#All],[PID]],0)))</f>
        <v>High</v>
      </c>
      <c r="K304" s="54" t="str">
        <f>IF($C304="B",INDEX(Batters[[#All],[INT]],MATCH(Table5[[#This Row],[PID]],Batters[[#All],[PID]],0)),INDEX(Table3[[#All],[INT]],MATCH(Table5[[#This Row],[PID]],Table3[[#All],[PID]],0)))</f>
        <v>Normal</v>
      </c>
      <c r="L304" s="62">
        <f>IF($C304="B",INDEX(Batters[[#All],[CON P]],MATCH(Table5[[#This Row],[PID]],Batters[[#All],[PID]],0)),INDEX(Table3[[#All],[STU P]],MATCH(Table5[[#This Row],[PID]],Table3[[#All],[PID]],0)))</f>
        <v>4</v>
      </c>
      <c r="M304" s="58">
        <f>IF($C304="B",INDEX(Batters[[#All],[GAP P]],MATCH(Table5[[#This Row],[PID]],Batters[[#All],[PID]],0)),INDEX(Table3[[#All],[MOV P]],MATCH(Table5[[#This Row],[PID]],Table3[[#All],[PID]],0)))</f>
        <v>2</v>
      </c>
      <c r="N304" s="58">
        <f>IF($C304="B",INDEX(Batters[[#All],[POW P]],MATCH(Table5[[#This Row],[PID]],Batters[[#All],[PID]],0)),INDEX(Table3[[#All],[CON P]],MATCH(Table5[[#This Row],[PID]],Table3[[#All],[PID]],0)))</f>
        <v>3</v>
      </c>
      <c r="O304" s="58" t="str">
        <f>IF($C304="B",INDEX(Batters[[#All],[EYE P]],MATCH(Table5[[#This Row],[PID]],Batters[[#All],[PID]],0)),INDEX(Table3[[#All],[VELO]],MATCH(Table5[[#This Row],[PID]],Table3[[#All],[PID]],0)))</f>
        <v>89-91 Mph</v>
      </c>
      <c r="P304" s="58">
        <f>IF($C304="B",INDEX(Batters[[#All],[K P]],MATCH(Table5[[#This Row],[PID]],Batters[[#All],[PID]],0)),INDEX(Table3[[#All],[STM]],MATCH(Table5[[#This Row],[PID]],Table3[[#All],[PID]],0)))</f>
        <v>5</v>
      </c>
      <c r="Q304" s="63">
        <f>IF($C304="B",INDEX(Batters[[#All],[Tot]],MATCH(Table5[[#This Row],[PID]],Batters[[#All],[PID]],0)),INDEX(Table3[[#All],[Tot]],MATCH(Table5[[#This Row],[PID]],Table3[[#All],[PID]],0)))</f>
        <v>37.551028602884088</v>
      </c>
      <c r="R304" s="54">
        <f>IF($C304="B",INDEX(Batters[[#All],[zScore]],MATCH(Table5[[#This Row],[PID]],Batters[[#All],[PID]],0)),INDEX(Table3[[#All],[zScore]],MATCH(Table5[[#This Row],[PID]],Table3[[#All],[PID]],0)))</f>
        <v>0.44281955819691177</v>
      </c>
      <c r="S304" s="60" t="str">
        <f>IF($C304="B",INDEX(Batters[[#All],[DEM]],MATCH(Table5[[#This Row],[PID]],Batters[[#All],[PID]],0)),INDEX(Table3[[#All],[DEM]],MATCH(Table5[[#This Row],[PID]],Table3[[#All],[PID]],0)))</f>
        <v>$65k</v>
      </c>
      <c r="T304" s="64">
        <f>IF($C304="B",VLOOKUP($A304,Bat!$A$4:$AU$1417,46,FALSE),VLOOKUP($A304,Pit!$A$4:$BD$570,55,FALSE))</f>
        <v>0</v>
      </c>
      <c r="U304" s="52">
        <f>IF($C304="B",VLOOKUP($A304,Bat!$A$4:$BA$1417,47,FALSE),VLOOKUP($A304,Pit!$A$4:$BF$570,56,FALSE))</f>
        <v>0</v>
      </c>
      <c r="V304" s="52">
        <f>IF($C304="B",VLOOKUP($A304,Bat!$A$4:$BA$1417,48,FALSE),VLOOKUP($A304,Pit!$A$4:$BF$570,57,FALSE))</f>
        <v>0</v>
      </c>
      <c r="W304" s="52">
        <f>Table5[[#This Row],[posRnk]]+Table5[[#This Row],[zRnk]]+IF($W$3&lt;&gt;Table5[[#This Row],[Type]],50,0)</f>
        <v>350</v>
      </c>
      <c r="X304" s="53">
        <f>RANK(Table5[[#This Row],[zScore]],Table5[[#All],[zScore]])</f>
        <v>300</v>
      </c>
      <c r="Y304" s="52" t="str">
        <f>IFERROR(INDEX(DraftResults[[#All],[OVR]],MATCH(Table5[[#This Row],[PID]],DraftResults[[#All],[Player ID]],0)),"")</f>
        <v/>
      </c>
      <c r="Z3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4" s="52" t="str">
        <f>IFERROR(INDEX(DraftResults[[#All],[Pick in Round]],MATCH(Table5[[#This Row],[PID]],DraftResults[[#All],[Player ID]],0)),"")</f>
        <v/>
      </c>
      <c r="AB304" s="52" t="str">
        <f>IFERROR(INDEX(DraftResults[[#All],[Team Name]],MATCH(Table5[[#This Row],[PID]],DraftResults[[#All],[Player ID]],0)),"")</f>
        <v/>
      </c>
      <c r="AC304" s="52" t="str">
        <f>IF(Table5[[#This Row],[Ovr]]="","",IF(Table5[[#This Row],[cmbList]]="","",Table5[[#This Row],[cmbList]]-Table5[[#This Row],[Ovr]]))</f>
        <v/>
      </c>
      <c r="AD304" s="56" t="str">
        <f>IF(ISERROR(VLOOKUP($AB304&amp;"-"&amp;$E304&amp;" "&amp;F304,Bonuses!$B$1:$G$1006,4,FALSE)),"",INT(VLOOKUP($AB304&amp;"-"&amp;$E304&amp;" "&amp;$F304,Bonuses!$B$1:$G$1006,4,FALSE)))</f>
        <v/>
      </c>
      <c r="AE3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5" spans="1:31" s="52" customFormat="1" x14ac:dyDescent="0.25">
      <c r="A305" s="52">
        <v>6119</v>
      </c>
      <c r="B305" s="52">
        <f>COUNTIF(Table5[PID],A305)</f>
        <v>1</v>
      </c>
      <c r="C305" s="52" t="str">
        <f>IF(COUNTIF(Table3[[#All],[PID]],A305)&gt;0,"P","B")</f>
        <v>P</v>
      </c>
      <c r="D305" s="61" t="str">
        <f>IF($C305="B",INDEX(Batters[[#All],[POS]],MATCH(Table5[[#This Row],[PID]],Batters[[#All],[PID]],0)),INDEX(Table3[[#All],[POS]],MATCH(Table5[[#This Row],[PID]],Table3[[#All],[PID]],0)))</f>
        <v>SP</v>
      </c>
      <c r="E305" s="54" t="str">
        <f>IF($C305="B",INDEX(Batters[[#All],[First]],MATCH(Table5[[#This Row],[PID]],Batters[[#All],[PID]],0)),INDEX(Table3[[#All],[First]],MATCH(Table5[[#This Row],[PID]],Table3[[#All],[PID]],0)))</f>
        <v>Powell</v>
      </c>
      <c r="F305" s="52" t="str">
        <f>IF($C305="B",INDEX(Batters[[#All],[Last]],MATCH(A305,Batters[[#All],[PID]],0)),INDEX(Table3[[#All],[Last]],MATCH(A305,Table3[[#All],[PID]],0)))</f>
        <v>Johnson</v>
      </c>
      <c r="G305" s="58">
        <f>IF($C305="B",INDEX(Batters[[#All],[Age]],MATCH(Table5[[#This Row],[PID]],Batters[[#All],[PID]],0)),INDEX(Table3[[#All],[Age]],MATCH(Table5[[#This Row],[PID]],Table3[[#All],[PID]],0)))</f>
        <v>18</v>
      </c>
      <c r="H305" s="54" t="str">
        <f>IF($C305="B",INDEX(Batters[[#All],[B]],MATCH(Table5[[#This Row],[PID]],Batters[[#All],[PID]],0)),INDEX(Table3[[#All],[B]],MATCH(Table5[[#This Row],[PID]],Table3[[#All],[PID]],0)))</f>
        <v>L</v>
      </c>
      <c r="I305" s="54" t="str">
        <f>IF($C305="B",INDEX(Batters[[#All],[T]],MATCH(Table5[[#This Row],[PID]],Batters[[#All],[PID]],0)),INDEX(Table3[[#All],[T]],MATCH(Table5[[#This Row],[PID]],Table3[[#All],[PID]],0)))</f>
        <v>L</v>
      </c>
      <c r="J305" s="54" t="str">
        <f>IF($C305="B",INDEX(Batters[[#All],[WE]],MATCH(Table5[[#This Row],[PID]],Batters[[#All],[PID]],0)),INDEX(Table3[[#All],[WE]],MATCH(Table5[[#This Row],[PID]],Table3[[#All],[PID]],0)))</f>
        <v>High</v>
      </c>
      <c r="K305" s="54" t="str">
        <f>IF($C305="B",INDEX(Batters[[#All],[INT]],MATCH(Table5[[#This Row],[PID]],Batters[[#All],[PID]],0)),INDEX(Table3[[#All],[INT]],MATCH(Table5[[#This Row],[PID]],Table3[[#All],[PID]],0)))</f>
        <v>Normal</v>
      </c>
      <c r="L305" s="62">
        <f>IF($C305="B",INDEX(Batters[[#All],[CON P]],MATCH(Table5[[#This Row],[PID]],Batters[[#All],[PID]],0)),INDEX(Table3[[#All],[STU P]],MATCH(Table5[[#This Row],[PID]],Table3[[#All],[PID]],0)))</f>
        <v>5</v>
      </c>
      <c r="M305" s="58">
        <f>IF($C305="B",INDEX(Batters[[#All],[GAP P]],MATCH(Table5[[#This Row],[PID]],Batters[[#All],[PID]],0)),INDEX(Table3[[#All],[MOV P]],MATCH(Table5[[#This Row],[PID]],Table3[[#All],[PID]],0)))</f>
        <v>2</v>
      </c>
      <c r="N305" s="58">
        <f>IF($C305="B",INDEX(Batters[[#All],[POW P]],MATCH(Table5[[#This Row],[PID]],Batters[[#All],[PID]],0)),INDEX(Table3[[#All],[CON P]],MATCH(Table5[[#This Row],[PID]],Table3[[#All],[PID]],0)))</f>
        <v>2</v>
      </c>
      <c r="O305" s="58" t="str">
        <f>IF($C305="B",INDEX(Batters[[#All],[EYE P]],MATCH(Table5[[#This Row],[PID]],Batters[[#All],[PID]],0)),INDEX(Table3[[#All],[VELO]],MATCH(Table5[[#This Row],[PID]],Table3[[#All],[PID]],0)))</f>
        <v>86-88 Mph</v>
      </c>
      <c r="P305" s="58">
        <f>IF($C305="B",INDEX(Batters[[#All],[K P]],MATCH(Table5[[#This Row],[PID]],Batters[[#All],[PID]],0)),INDEX(Table3[[#All],[STM]],MATCH(Table5[[#This Row],[PID]],Table3[[#All],[PID]],0)))</f>
        <v>6</v>
      </c>
      <c r="Q305" s="63">
        <f>IF($C305="B",INDEX(Batters[[#All],[Tot]],MATCH(Table5[[#This Row],[PID]],Batters[[#All],[PID]],0)),INDEX(Table3[[#All],[Tot]],MATCH(Table5[[#This Row],[PID]],Table3[[#All],[PID]],0)))</f>
        <v>37.442349198588602</v>
      </c>
      <c r="R305" s="54">
        <f>IF($C305="B",INDEX(Batters[[#All],[zScore]],MATCH(Table5[[#This Row],[PID]],Batters[[#All],[PID]],0)),INDEX(Table3[[#All],[zScore]],MATCH(Table5[[#This Row],[PID]],Table3[[#All],[PID]],0)))</f>
        <v>0.43285319231747915</v>
      </c>
      <c r="S305" s="60" t="str">
        <f>IF($C305="B",INDEX(Batters[[#All],[DEM]],MATCH(Table5[[#This Row],[PID]],Batters[[#All],[PID]],0)),INDEX(Table3[[#All],[DEM]],MATCH(Table5[[#This Row],[PID]],Table3[[#All],[PID]],0)))</f>
        <v>$65k</v>
      </c>
      <c r="T305" s="64">
        <f>IF($C305="B",VLOOKUP($A305,Bat!$A$4:$AU$1417,46,FALSE),VLOOKUP($A305,Pit!$A$4:$BD$570,55,FALSE))</f>
        <v>0</v>
      </c>
      <c r="U305" s="52">
        <f>IF($C305="B",VLOOKUP($A305,Bat!$A$4:$BA$1417,47,FALSE),VLOOKUP($A305,Pit!$A$4:$BF$570,56,FALSE))</f>
        <v>0</v>
      </c>
      <c r="V305" s="52">
        <f>IF($C305="B",VLOOKUP($A305,Bat!$A$4:$BA$1417,48,FALSE),VLOOKUP($A305,Pit!$A$4:$BF$570,57,FALSE))</f>
        <v>0</v>
      </c>
      <c r="W305" s="52">
        <f>Table5[[#This Row],[posRnk]]+Table5[[#This Row],[zRnk]]+IF($W$3&lt;&gt;Table5[[#This Row],[Type]],50,0)</f>
        <v>351</v>
      </c>
      <c r="X305" s="53">
        <f>RANK(Table5[[#This Row],[zScore]],Table5[[#All],[zScore]])</f>
        <v>301</v>
      </c>
      <c r="Y305" s="52" t="str">
        <f>IFERROR(INDEX(DraftResults[[#All],[OVR]],MATCH(Table5[[#This Row],[PID]],DraftResults[[#All],[Player ID]],0)),"")</f>
        <v/>
      </c>
      <c r="Z3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5" s="52" t="str">
        <f>IFERROR(INDEX(DraftResults[[#All],[Pick in Round]],MATCH(Table5[[#This Row],[PID]],DraftResults[[#All],[Player ID]],0)),"")</f>
        <v/>
      </c>
      <c r="AB305" s="52" t="str">
        <f>IFERROR(INDEX(DraftResults[[#All],[Team Name]],MATCH(Table5[[#This Row],[PID]],DraftResults[[#All],[Player ID]],0)),"")</f>
        <v/>
      </c>
      <c r="AC305" s="52" t="str">
        <f>IF(Table5[[#This Row],[Ovr]]="","",IF(Table5[[#This Row],[cmbList]]="","",Table5[[#This Row],[cmbList]]-Table5[[#This Row],[Ovr]]))</f>
        <v/>
      </c>
      <c r="AD305" s="56" t="str">
        <f>IF(ISERROR(VLOOKUP($AB305&amp;"-"&amp;$E305&amp;" "&amp;F305,Bonuses!$B$1:$G$1006,4,FALSE)),"",INT(VLOOKUP($AB305&amp;"-"&amp;$E305&amp;" "&amp;$F305,Bonuses!$B$1:$G$1006,4,FALSE)))</f>
        <v/>
      </c>
      <c r="AE3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6" spans="1:31" s="52" customFormat="1" x14ac:dyDescent="0.25">
      <c r="A306" s="52">
        <v>8336</v>
      </c>
      <c r="B306" s="57">
        <f>COUNTIF(Table5[PID],A306)</f>
        <v>1</v>
      </c>
      <c r="C306" s="57" t="str">
        <f>IF(COUNTIF(Table3[[#All],[PID]],A306)&gt;0,"P","B")</f>
        <v>B</v>
      </c>
      <c r="D306" s="61" t="str">
        <f>IF($C306="B",INDEX(Batters[[#All],[POS]],MATCH(Table5[[#This Row],[PID]],Batters[[#All],[PID]],0)),INDEX(Table3[[#All],[POS]],MATCH(Table5[[#This Row],[PID]],Table3[[#All],[PID]],0)))</f>
        <v>SS</v>
      </c>
      <c r="E306" s="54" t="str">
        <f>IF($C306="B",INDEX(Batters[[#All],[First]],MATCH(Table5[[#This Row],[PID]],Batters[[#All],[PID]],0)),INDEX(Table3[[#All],[First]],MATCH(Table5[[#This Row],[PID]],Table3[[#All],[PID]],0)))</f>
        <v>Cary</v>
      </c>
      <c r="F306" s="52" t="str">
        <f>IF($C306="B",INDEX(Batters[[#All],[Last]],MATCH(A306,Batters[[#All],[PID]],0)),INDEX(Table3[[#All],[Last]],MATCH(A306,Table3[[#All],[PID]],0)))</f>
        <v>Rainey</v>
      </c>
      <c r="G306" s="58">
        <f>IF($C306="B",INDEX(Batters[[#All],[Age]],MATCH(Table5[[#This Row],[PID]],Batters[[#All],[PID]],0)),INDEX(Table3[[#All],[Age]],MATCH(Table5[[#This Row],[PID]],Table3[[#All],[PID]],0)))</f>
        <v>18</v>
      </c>
      <c r="H306" s="54" t="str">
        <f>IF($C306="B",INDEX(Batters[[#All],[B]],MATCH(Table5[[#This Row],[PID]],Batters[[#All],[PID]],0)),INDEX(Table3[[#All],[B]],MATCH(Table5[[#This Row],[PID]],Table3[[#All],[PID]],0)))</f>
        <v>S</v>
      </c>
      <c r="I306" s="54" t="str">
        <f>IF($C306="B",INDEX(Batters[[#All],[T]],MATCH(Table5[[#This Row],[PID]],Batters[[#All],[PID]],0)),INDEX(Table3[[#All],[T]],MATCH(Table5[[#This Row],[PID]],Table3[[#All],[PID]],0)))</f>
        <v>R</v>
      </c>
      <c r="J306" s="54" t="str">
        <f>IF($C306="B",INDEX(Batters[[#All],[WE]],MATCH(Table5[[#This Row],[PID]],Batters[[#All],[PID]],0)),INDEX(Table3[[#All],[WE]],MATCH(Table5[[#This Row],[PID]],Table3[[#All],[PID]],0)))</f>
        <v>Normal</v>
      </c>
      <c r="K306" s="54" t="str">
        <f>IF($C306="B",INDEX(Batters[[#All],[INT]],MATCH(Table5[[#This Row],[PID]],Batters[[#All],[PID]],0)),INDEX(Table3[[#All],[INT]],MATCH(Table5[[#This Row],[PID]],Table3[[#All],[PID]],0)))</f>
        <v>High</v>
      </c>
      <c r="L306" s="62">
        <f>IF($C306="B",INDEX(Batters[[#All],[CON P]],MATCH(Table5[[#This Row],[PID]],Batters[[#All],[PID]],0)),INDEX(Table3[[#All],[STU P]],MATCH(Table5[[#This Row],[PID]],Table3[[#All],[PID]],0)))</f>
        <v>3</v>
      </c>
      <c r="M306" s="58">
        <f>IF($C306="B",INDEX(Batters[[#All],[GAP P]],MATCH(Table5[[#This Row],[PID]],Batters[[#All],[PID]],0)),INDEX(Table3[[#All],[MOV P]],MATCH(Table5[[#This Row],[PID]],Table3[[#All],[PID]],0)))</f>
        <v>3</v>
      </c>
      <c r="N306" s="58">
        <f>IF($C306="B",INDEX(Batters[[#All],[POW P]],MATCH(Table5[[#This Row],[PID]],Batters[[#All],[PID]],0)),INDEX(Table3[[#All],[CON P]],MATCH(Table5[[#This Row],[PID]],Table3[[#All],[PID]],0)))</f>
        <v>4</v>
      </c>
      <c r="O306" s="58">
        <f>IF($C306="B",INDEX(Batters[[#All],[EYE P]],MATCH(Table5[[#This Row],[PID]],Batters[[#All],[PID]],0)),INDEX(Table3[[#All],[VELO]],MATCH(Table5[[#This Row],[PID]],Table3[[#All],[PID]],0)))</f>
        <v>5</v>
      </c>
      <c r="P306" s="58">
        <f>IF($C306="B",INDEX(Batters[[#All],[K P]],MATCH(Table5[[#This Row],[PID]],Batters[[#All],[PID]],0)),INDEX(Table3[[#All],[STM]],MATCH(Table5[[#This Row],[PID]],Table3[[#All],[PID]],0)))</f>
        <v>4</v>
      </c>
      <c r="Q306" s="63">
        <f>IF($C306="B",INDEX(Batters[[#All],[Tot]],MATCH(Table5[[#This Row],[PID]],Batters[[#All],[PID]],0)),INDEX(Table3[[#All],[Tot]],MATCH(Table5[[#This Row],[PID]],Table3[[#All],[PID]],0)))</f>
        <v>42.808055881603863</v>
      </c>
      <c r="R306" s="54">
        <f>IF($C306="B",INDEX(Batters[[#All],[zScore]],MATCH(Table5[[#This Row],[PID]],Batters[[#All],[PID]],0)),INDEX(Table3[[#All],[zScore]],MATCH(Table5[[#This Row],[PID]],Table3[[#All],[PID]],0)))</f>
        <v>0.43278696106540981</v>
      </c>
      <c r="S306" s="60" t="str">
        <f>IF($C306="B",INDEX(Batters[[#All],[DEM]],MATCH(Table5[[#This Row],[PID]],Batters[[#All],[PID]],0)),INDEX(Table3[[#All],[DEM]],MATCH(Table5[[#This Row],[PID]],Table3[[#All],[PID]],0)))</f>
        <v>$70k</v>
      </c>
      <c r="T306" s="64">
        <f>IF($C306="B",VLOOKUP($A306,Bat!$A$4:$AU$1417,46,FALSE),VLOOKUP($A306,Pit!$A$4:$BD$570,55,FALSE))</f>
        <v>0</v>
      </c>
      <c r="U306" s="52">
        <f>IF($C306="B",VLOOKUP($A306,Bat!$A$4:$BA$1417,47,FALSE),VLOOKUP($A306,Pit!$A$4:$BF$570,56,FALSE))</f>
        <v>0</v>
      </c>
      <c r="V306" s="52">
        <f>IF($C306="B",VLOOKUP($A306,Bat!$A$4:$BA$1417,48,FALSE),VLOOKUP($A306,Pit!$A$4:$BF$570,57,FALSE))</f>
        <v>0</v>
      </c>
      <c r="W306" s="52">
        <f>Table5[[#This Row],[posRnk]]+Table5[[#This Row],[zRnk]]+IF($W$3&lt;&gt;Table5[[#This Row],[Type]],50,0)</f>
        <v>352</v>
      </c>
      <c r="X306" s="53">
        <f>RANK(Table5[[#This Row],[zScore]],Table5[[#All],[zScore]])</f>
        <v>302</v>
      </c>
      <c r="Y306" s="52" t="str">
        <f>IFERROR(INDEX(DraftResults[[#All],[OVR]],MATCH(Table5[[#This Row],[PID]],DraftResults[[#All],[Player ID]],0)),"")</f>
        <v/>
      </c>
      <c r="Z3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6" s="52" t="str">
        <f>IFERROR(INDEX(DraftResults[[#All],[Pick in Round]],MATCH(Table5[[#This Row],[PID]],DraftResults[[#All],[Player ID]],0)),"")</f>
        <v/>
      </c>
      <c r="AB306" s="52" t="str">
        <f>IFERROR(INDEX(DraftResults[[#All],[Team Name]],MATCH(Table5[[#This Row],[PID]],DraftResults[[#All],[Player ID]],0)),"")</f>
        <v/>
      </c>
      <c r="AC306" s="52" t="str">
        <f>IF(Table5[[#This Row],[Ovr]]="","",IF(Table5[[#This Row],[cmbList]]="","",Table5[[#This Row],[cmbList]]-Table5[[#This Row],[Ovr]]))</f>
        <v/>
      </c>
      <c r="AD306" s="56" t="str">
        <f>IF(ISERROR(VLOOKUP($AB306&amp;"-"&amp;$E306&amp;" "&amp;F306,Bonuses!$B$1:$G$1006,4,FALSE)),"",INT(VLOOKUP($AB306&amp;"-"&amp;$E306&amp;" "&amp;$F306,Bonuses!$B$1:$G$1006,4,FALSE)))</f>
        <v/>
      </c>
      <c r="AE3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7" spans="1:31" s="52" customFormat="1" x14ac:dyDescent="0.25">
      <c r="A307" s="52">
        <v>7191</v>
      </c>
      <c r="B307" s="52">
        <f>COUNTIF(Table5[PID],A307)</f>
        <v>1</v>
      </c>
      <c r="C307" s="52" t="str">
        <f>IF(COUNTIF(Table3[[#All],[PID]],A307)&gt;0,"P","B")</f>
        <v>B</v>
      </c>
      <c r="D307" s="61" t="str">
        <f>IF($C307="B",INDEX(Batters[[#All],[POS]],MATCH(Table5[[#This Row],[PID]],Batters[[#All],[PID]],0)),INDEX(Table3[[#All],[POS]],MATCH(Table5[[#This Row],[PID]],Table3[[#All],[PID]],0)))</f>
        <v>3B</v>
      </c>
      <c r="E307" s="54" t="str">
        <f>IF($C307="B",INDEX(Batters[[#All],[First]],MATCH(Table5[[#This Row],[PID]],Batters[[#All],[PID]],0)),INDEX(Table3[[#All],[First]],MATCH(Table5[[#This Row],[PID]],Table3[[#All],[PID]],0)))</f>
        <v>Shigetoki</v>
      </c>
      <c r="F307" s="52" t="str">
        <f>IF($C307="B",INDEX(Batters[[#All],[Last]],MATCH(A307,Batters[[#All],[PID]],0)),INDEX(Table3[[#All],[Last]],MATCH(A307,Table3[[#All],[PID]],0)))</f>
        <v>Fukuda</v>
      </c>
      <c r="G307" s="58">
        <f>IF($C307="B",INDEX(Batters[[#All],[Age]],MATCH(Table5[[#This Row],[PID]],Batters[[#All],[PID]],0)),INDEX(Table3[[#All],[Age]],MATCH(Table5[[#This Row],[PID]],Table3[[#All],[PID]],0)))</f>
        <v>21</v>
      </c>
      <c r="H307" s="54" t="str">
        <f>IF($C307="B",INDEX(Batters[[#All],[B]],MATCH(Table5[[#This Row],[PID]],Batters[[#All],[PID]],0)),INDEX(Table3[[#All],[B]],MATCH(Table5[[#This Row],[PID]],Table3[[#All],[PID]],0)))</f>
        <v>R</v>
      </c>
      <c r="I307" s="54" t="str">
        <f>IF($C307="B",INDEX(Batters[[#All],[T]],MATCH(Table5[[#This Row],[PID]],Batters[[#All],[PID]],0)),INDEX(Table3[[#All],[T]],MATCH(Table5[[#This Row],[PID]],Table3[[#All],[PID]],0)))</f>
        <v>R</v>
      </c>
      <c r="J307" s="54" t="str">
        <f>IF($C307="B",INDEX(Batters[[#All],[WE]],MATCH(Table5[[#This Row],[PID]],Batters[[#All],[PID]],0)),INDEX(Table3[[#All],[WE]],MATCH(Table5[[#This Row],[PID]],Table3[[#All],[PID]],0)))</f>
        <v>Low</v>
      </c>
      <c r="K307" s="54" t="str">
        <f>IF($C307="B",INDEX(Batters[[#All],[INT]],MATCH(Table5[[#This Row],[PID]],Batters[[#All],[PID]],0)),INDEX(Table3[[#All],[INT]],MATCH(Table5[[#This Row],[PID]],Table3[[#All],[PID]],0)))</f>
        <v>Normal</v>
      </c>
      <c r="L307" s="62">
        <f>IF($C307="B",INDEX(Batters[[#All],[CON P]],MATCH(Table5[[#This Row],[PID]],Batters[[#All],[PID]],0)),INDEX(Table3[[#All],[STU P]],MATCH(Table5[[#This Row],[PID]],Table3[[#All],[PID]],0)))</f>
        <v>4</v>
      </c>
      <c r="M307" s="58">
        <f>IF($C307="B",INDEX(Batters[[#All],[GAP P]],MATCH(Table5[[#This Row],[PID]],Batters[[#All],[PID]],0)),INDEX(Table3[[#All],[MOV P]],MATCH(Table5[[#This Row],[PID]],Table3[[#All],[PID]],0)))</f>
        <v>4</v>
      </c>
      <c r="N307" s="58">
        <f>IF($C307="B",INDEX(Batters[[#All],[POW P]],MATCH(Table5[[#This Row],[PID]],Batters[[#All],[PID]],0)),INDEX(Table3[[#All],[CON P]],MATCH(Table5[[#This Row],[PID]],Table3[[#All],[PID]],0)))</f>
        <v>5</v>
      </c>
      <c r="O307" s="58">
        <f>IF($C307="B",INDEX(Batters[[#All],[EYE P]],MATCH(Table5[[#This Row],[PID]],Batters[[#All],[PID]],0)),INDEX(Table3[[#All],[VELO]],MATCH(Table5[[#This Row],[PID]],Table3[[#All],[PID]],0)))</f>
        <v>4</v>
      </c>
      <c r="P307" s="58">
        <f>IF($C307="B",INDEX(Batters[[#All],[K P]],MATCH(Table5[[#This Row],[PID]],Batters[[#All],[PID]],0)),INDEX(Table3[[#All],[STM]],MATCH(Table5[[#This Row],[PID]],Table3[[#All],[PID]],0)))</f>
        <v>4</v>
      </c>
      <c r="Q307" s="63">
        <f>IF($C307="B",INDEX(Batters[[#All],[Tot]],MATCH(Table5[[#This Row],[PID]],Batters[[#All],[PID]],0)),INDEX(Table3[[#All],[Tot]],MATCH(Table5[[#This Row],[PID]],Table3[[#All],[PID]],0)))</f>
        <v>42.763359502613028</v>
      </c>
      <c r="R307" s="54">
        <f>IF($C307="B",INDEX(Batters[[#All],[zScore]],MATCH(Table5[[#This Row],[PID]],Batters[[#All],[PID]],0)),INDEX(Table3[[#All],[zScore]],MATCH(Table5[[#This Row],[PID]],Table3[[#All],[PID]],0)))</f>
        <v>0.42492293024766697</v>
      </c>
      <c r="S307" s="60" t="str">
        <f>IF($C307="B",INDEX(Batters[[#All],[DEM]],MATCH(Table5[[#This Row],[PID]],Batters[[#All],[PID]],0)),INDEX(Table3[[#All],[DEM]],MATCH(Table5[[#This Row],[PID]],Table3[[#All],[PID]],0)))</f>
        <v>$110k</v>
      </c>
      <c r="T307" s="64">
        <f>IF($C307="B",VLOOKUP($A307,Bat!$A$4:$AU$1417,46,FALSE),VLOOKUP($A307,Pit!$A$4:$BD$570,55,FALSE))</f>
        <v>0</v>
      </c>
      <c r="U307" s="52">
        <f>IF($C307="B",VLOOKUP($A307,Bat!$A$4:$BA$1417,47,FALSE),VLOOKUP($A307,Pit!$A$4:$BF$570,56,FALSE))</f>
        <v>0</v>
      </c>
      <c r="V307" s="52">
        <f>IF($C307="B",VLOOKUP($A307,Bat!$A$4:$BA$1417,48,FALSE),VLOOKUP($A307,Pit!$A$4:$BF$570,57,FALSE))</f>
        <v>0</v>
      </c>
      <c r="W307" s="52">
        <f>Table5[[#This Row],[posRnk]]+Table5[[#This Row],[zRnk]]+IF($W$3&lt;&gt;Table5[[#This Row],[Type]],50,0)</f>
        <v>353</v>
      </c>
      <c r="X307" s="53">
        <f>RANK(Table5[[#This Row],[zScore]],Table5[[#All],[zScore]])</f>
        <v>303</v>
      </c>
      <c r="Y307" s="52" t="str">
        <f>IFERROR(INDEX(DraftResults[[#All],[OVR]],MATCH(Table5[[#This Row],[PID]],DraftResults[[#All],[Player ID]],0)),"")</f>
        <v/>
      </c>
      <c r="Z3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7" s="52" t="str">
        <f>IFERROR(INDEX(DraftResults[[#All],[Pick in Round]],MATCH(Table5[[#This Row],[PID]],DraftResults[[#All],[Player ID]],0)),"")</f>
        <v/>
      </c>
      <c r="AB307" s="52" t="str">
        <f>IFERROR(INDEX(DraftResults[[#All],[Team Name]],MATCH(Table5[[#This Row],[PID]],DraftResults[[#All],[Player ID]],0)),"")</f>
        <v/>
      </c>
      <c r="AC307" s="52" t="str">
        <f>IF(Table5[[#This Row],[Ovr]]="","",IF(Table5[[#This Row],[cmbList]]="","",Table5[[#This Row],[cmbList]]-Table5[[#This Row],[Ovr]]))</f>
        <v/>
      </c>
      <c r="AD307" s="56" t="str">
        <f>IF(ISERROR(VLOOKUP($AB307&amp;"-"&amp;$E307&amp;" "&amp;F307,Bonuses!$B$1:$G$1006,4,FALSE)),"",INT(VLOOKUP($AB307&amp;"-"&amp;$E307&amp;" "&amp;$F307,Bonuses!$B$1:$G$1006,4,FALSE)))</f>
        <v/>
      </c>
      <c r="AE3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8" spans="1:31" s="52" customFormat="1" x14ac:dyDescent="0.25">
      <c r="A308" s="52">
        <v>6505</v>
      </c>
      <c r="B308" s="57">
        <f>COUNTIF(Table5[PID],A308)</f>
        <v>1</v>
      </c>
      <c r="C308" s="57" t="str">
        <f>IF(COUNTIF(Table3[[#All],[PID]],A308)&gt;0,"P","B")</f>
        <v>B</v>
      </c>
      <c r="D308" s="61" t="str">
        <f>IF($C308="B",INDEX(Batters[[#All],[POS]],MATCH(Table5[[#This Row],[PID]],Batters[[#All],[PID]],0)),INDEX(Table3[[#All],[POS]],MATCH(Table5[[#This Row],[PID]],Table3[[#All],[PID]],0)))</f>
        <v>RF</v>
      </c>
      <c r="E308" s="54" t="str">
        <f>IF($C308="B",INDEX(Batters[[#All],[First]],MATCH(Table5[[#This Row],[PID]],Batters[[#All],[PID]],0)),INDEX(Table3[[#All],[First]],MATCH(Table5[[#This Row],[PID]],Table3[[#All],[PID]],0)))</f>
        <v>Ubaldo</v>
      </c>
      <c r="F308" s="52" t="str">
        <f>IF($C308="B",INDEX(Batters[[#All],[Last]],MATCH(A308,Batters[[#All],[PID]],0)),INDEX(Table3[[#All],[Last]],MATCH(A308,Table3[[#All],[PID]],0)))</f>
        <v>Capasso</v>
      </c>
      <c r="G308" s="58">
        <f>IF($C308="B",INDEX(Batters[[#All],[Age]],MATCH(Table5[[#This Row],[PID]],Batters[[#All],[PID]],0)),INDEX(Table3[[#All],[Age]],MATCH(Table5[[#This Row],[PID]],Table3[[#All],[PID]],0)))</f>
        <v>18</v>
      </c>
      <c r="H308" s="54" t="str">
        <f>IF($C308="B",INDEX(Batters[[#All],[B]],MATCH(Table5[[#This Row],[PID]],Batters[[#All],[PID]],0)),INDEX(Table3[[#All],[B]],MATCH(Table5[[#This Row],[PID]],Table3[[#All],[PID]],0)))</f>
        <v>R</v>
      </c>
      <c r="I308" s="54" t="str">
        <f>IF($C308="B",INDEX(Batters[[#All],[T]],MATCH(Table5[[#This Row],[PID]],Batters[[#All],[PID]],0)),INDEX(Table3[[#All],[T]],MATCH(Table5[[#This Row],[PID]],Table3[[#All],[PID]],0)))</f>
        <v>L</v>
      </c>
      <c r="J308" s="54" t="str">
        <f>IF($C308="B",INDEX(Batters[[#All],[WE]],MATCH(Table5[[#This Row],[PID]],Batters[[#All],[PID]],0)),INDEX(Table3[[#All],[WE]],MATCH(Table5[[#This Row],[PID]],Table3[[#All],[PID]],0)))</f>
        <v>Low</v>
      </c>
      <c r="K308" s="54" t="str">
        <f>IF($C308="B",INDEX(Batters[[#All],[INT]],MATCH(Table5[[#This Row],[PID]],Batters[[#All],[PID]],0)),INDEX(Table3[[#All],[INT]],MATCH(Table5[[#This Row],[PID]],Table3[[#All],[PID]],0)))</f>
        <v>Normal</v>
      </c>
      <c r="L308" s="62">
        <f>IF($C308="B",INDEX(Batters[[#All],[CON P]],MATCH(Table5[[#This Row],[PID]],Batters[[#All],[PID]],0)),INDEX(Table3[[#All],[STU P]],MATCH(Table5[[#This Row],[PID]],Table3[[#All],[PID]],0)))</f>
        <v>3</v>
      </c>
      <c r="M308" s="58">
        <f>IF($C308="B",INDEX(Batters[[#All],[GAP P]],MATCH(Table5[[#This Row],[PID]],Batters[[#All],[PID]],0)),INDEX(Table3[[#All],[MOV P]],MATCH(Table5[[#This Row],[PID]],Table3[[#All],[PID]],0)))</f>
        <v>3</v>
      </c>
      <c r="N308" s="58">
        <f>IF($C308="B",INDEX(Batters[[#All],[POW P]],MATCH(Table5[[#This Row],[PID]],Batters[[#All],[PID]],0)),INDEX(Table3[[#All],[CON P]],MATCH(Table5[[#This Row],[PID]],Table3[[#All],[PID]],0)))</f>
        <v>5</v>
      </c>
      <c r="O308" s="58">
        <f>IF($C308="B",INDEX(Batters[[#All],[EYE P]],MATCH(Table5[[#This Row],[PID]],Batters[[#All],[PID]],0)),INDEX(Table3[[#All],[VELO]],MATCH(Table5[[#This Row],[PID]],Table3[[#All],[PID]],0)))</f>
        <v>5</v>
      </c>
      <c r="P308" s="58">
        <f>IF($C308="B",INDEX(Batters[[#All],[K P]],MATCH(Table5[[#This Row],[PID]],Batters[[#All],[PID]],0)),INDEX(Table3[[#All],[STM]],MATCH(Table5[[#This Row],[PID]],Table3[[#All],[PID]],0)))</f>
        <v>3</v>
      </c>
      <c r="Q308" s="63">
        <f>IF($C308="B",INDEX(Batters[[#All],[Tot]],MATCH(Table5[[#This Row],[PID]],Batters[[#All],[PID]],0)),INDEX(Table3[[#All],[Tot]],MATCH(Table5[[#This Row],[PID]],Table3[[#All],[PID]],0)))</f>
        <v>42.762569741404498</v>
      </c>
      <c r="R308" s="54">
        <f>IF($C308="B",INDEX(Batters[[#All],[zScore]],MATCH(Table5[[#This Row],[PID]],Batters[[#All],[PID]],0)),INDEX(Table3[[#All],[zScore]],MATCH(Table5[[#This Row],[PID]],Table3[[#All],[PID]],0)))</f>
        <v>0.4247839770120187</v>
      </c>
      <c r="S308" s="60" t="str">
        <f>IF($C308="B",INDEX(Batters[[#All],[DEM]],MATCH(Table5[[#This Row],[PID]],Batters[[#All],[PID]],0)),INDEX(Table3[[#All],[DEM]],MATCH(Table5[[#This Row],[PID]],Table3[[#All],[PID]],0)))</f>
        <v>$100k</v>
      </c>
      <c r="T308" s="64">
        <f>IF($C308="B",VLOOKUP($A308,Bat!$A$4:$AU$1417,46,FALSE),VLOOKUP($A308,Pit!$A$4:$BD$570,55,FALSE))</f>
        <v>0</v>
      </c>
      <c r="U308" s="52">
        <f>IF($C308="B",VLOOKUP($A308,Bat!$A$4:$BA$1417,47,FALSE),VLOOKUP($A308,Pit!$A$4:$BF$570,56,FALSE))</f>
        <v>0</v>
      </c>
      <c r="V308" s="52">
        <f>IF($C308="B",VLOOKUP($A308,Bat!$A$4:$BA$1417,48,FALSE),VLOOKUP($A308,Pit!$A$4:$BF$570,57,FALSE))</f>
        <v>0</v>
      </c>
      <c r="W308" s="52">
        <f>Table5[[#This Row],[posRnk]]+Table5[[#This Row],[zRnk]]+IF($W$3&lt;&gt;Table5[[#This Row],[Type]],50,0)</f>
        <v>354</v>
      </c>
      <c r="X308" s="53">
        <f>RANK(Table5[[#This Row],[zScore]],Table5[[#All],[zScore]])</f>
        <v>304</v>
      </c>
      <c r="Y308" s="52" t="str">
        <f>IFERROR(INDEX(DraftResults[[#All],[OVR]],MATCH(Table5[[#This Row],[PID]],DraftResults[[#All],[Player ID]],0)),"")</f>
        <v/>
      </c>
      <c r="Z3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8" s="52" t="str">
        <f>IFERROR(INDEX(DraftResults[[#All],[Pick in Round]],MATCH(Table5[[#This Row],[PID]],DraftResults[[#All],[Player ID]],0)),"")</f>
        <v/>
      </c>
      <c r="AB308" s="52" t="str">
        <f>IFERROR(INDEX(DraftResults[[#All],[Team Name]],MATCH(Table5[[#This Row],[PID]],DraftResults[[#All],[Player ID]],0)),"")</f>
        <v/>
      </c>
      <c r="AC308" s="52" t="str">
        <f>IF(Table5[[#This Row],[Ovr]]="","",IF(Table5[[#This Row],[cmbList]]="","",Table5[[#This Row],[cmbList]]-Table5[[#This Row],[Ovr]]))</f>
        <v/>
      </c>
      <c r="AD308" s="56" t="str">
        <f>IF(ISERROR(VLOOKUP($AB308&amp;"-"&amp;$E308&amp;" "&amp;F308,Bonuses!$B$1:$G$1006,4,FALSE)),"",INT(VLOOKUP($AB308&amp;"-"&amp;$E308&amp;" "&amp;$F308,Bonuses!$B$1:$G$1006,4,FALSE)))</f>
        <v/>
      </c>
      <c r="AE3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9" spans="1:31" s="52" customFormat="1" x14ac:dyDescent="0.25">
      <c r="A309" s="52">
        <v>6660</v>
      </c>
      <c r="B309" s="52">
        <f>COUNTIF(Table5[PID],A309)</f>
        <v>1</v>
      </c>
      <c r="C309" s="52" t="str">
        <f>IF(COUNTIF(Table3[[#All],[PID]],A309)&gt;0,"P","B")</f>
        <v>B</v>
      </c>
      <c r="D309" s="61" t="str">
        <f>IF($C309="B",INDEX(Batters[[#All],[POS]],MATCH(Table5[[#This Row],[PID]],Batters[[#All],[PID]],0)),INDEX(Table3[[#All],[POS]],MATCH(Table5[[#This Row],[PID]],Table3[[#All],[PID]],0)))</f>
        <v>CF</v>
      </c>
      <c r="E309" s="54" t="str">
        <f>IF($C309="B",INDEX(Batters[[#All],[First]],MATCH(Table5[[#This Row],[PID]],Batters[[#All],[PID]],0)),INDEX(Table3[[#All],[First]],MATCH(Table5[[#This Row],[PID]],Table3[[#All],[PID]],0)))</f>
        <v>Masaharu</v>
      </c>
      <c r="F309" s="52" t="str">
        <f>IF($C309="B",INDEX(Batters[[#All],[Last]],MATCH(A309,Batters[[#All],[PID]],0)),INDEX(Table3[[#All],[Last]],MATCH(A309,Table3[[#All],[PID]],0)))</f>
        <v>Nakagawa</v>
      </c>
      <c r="G309" s="58">
        <f>IF($C309="B",INDEX(Batters[[#All],[Age]],MATCH(Table5[[#This Row],[PID]],Batters[[#All],[PID]],0)),INDEX(Table3[[#All],[Age]],MATCH(Table5[[#This Row],[PID]],Table3[[#All],[PID]],0)))</f>
        <v>18</v>
      </c>
      <c r="H309" s="54" t="str">
        <f>IF($C309="B",INDEX(Batters[[#All],[B]],MATCH(Table5[[#This Row],[PID]],Batters[[#All],[PID]],0)),INDEX(Table3[[#All],[B]],MATCH(Table5[[#This Row],[PID]],Table3[[#All],[PID]],0)))</f>
        <v>R</v>
      </c>
      <c r="I309" s="54" t="str">
        <f>IF($C309="B",INDEX(Batters[[#All],[T]],MATCH(Table5[[#This Row],[PID]],Batters[[#All],[PID]],0)),INDEX(Table3[[#All],[T]],MATCH(Table5[[#This Row],[PID]],Table3[[#All],[PID]],0)))</f>
        <v>R</v>
      </c>
      <c r="J309" s="54" t="str">
        <f>IF($C309="B",INDEX(Batters[[#All],[WE]],MATCH(Table5[[#This Row],[PID]],Batters[[#All],[PID]],0)),INDEX(Table3[[#All],[WE]],MATCH(Table5[[#This Row],[PID]],Table3[[#All],[PID]],0)))</f>
        <v>High</v>
      </c>
      <c r="K309" s="54" t="str">
        <f>IF($C309="B",INDEX(Batters[[#All],[INT]],MATCH(Table5[[#This Row],[PID]],Batters[[#All],[PID]],0)),INDEX(Table3[[#All],[INT]],MATCH(Table5[[#This Row],[PID]],Table3[[#All],[PID]],0)))</f>
        <v>Normal</v>
      </c>
      <c r="L309" s="62">
        <f>IF($C309="B",INDEX(Batters[[#All],[CON P]],MATCH(Table5[[#This Row],[PID]],Batters[[#All],[PID]],0)),INDEX(Table3[[#All],[STU P]],MATCH(Table5[[#This Row],[PID]],Table3[[#All],[PID]],0)))</f>
        <v>3</v>
      </c>
      <c r="M309" s="58">
        <f>IF($C309="B",INDEX(Batters[[#All],[GAP P]],MATCH(Table5[[#This Row],[PID]],Batters[[#All],[PID]],0)),INDEX(Table3[[#All],[MOV P]],MATCH(Table5[[#This Row],[PID]],Table3[[#All],[PID]],0)))</f>
        <v>4</v>
      </c>
      <c r="N309" s="58">
        <f>IF($C309="B",INDEX(Batters[[#All],[POW P]],MATCH(Table5[[#This Row],[PID]],Batters[[#All],[PID]],0)),INDEX(Table3[[#All],[CON P]],MATCH(Table5[[#This Row],[PID]],Table3[[#All],[PID]],0)))</f>
        <v>3</v>
      </c>
      <c r="O309" s="58">
        <f>IF($C309="B",INDEX(Batters[[#All],[EYE P]],MATCH(Table5[[#This Row],[PID]],Batters[[#All],[PID]],0)),INDEX(Table3[[#All],[VELO]],MATCH(Table5[[#This Row],[PID]],Table3[[#All],[PID]],0)))</f>
        <v>5</v>
      </c>
      <c r="P309" s="58">
        <f>IF($C309="B",INDEX(Batters[[#All],[K P]],MATCH(Table5[[#This Row],[PID]],Batters[[#All],[PID]],0)),INDEX(Table3[[#All],[STM]],MATCH(Table5[[#This Row],[PID]],Table3[[#All],[PID]],0)))</f>
        <v>4</v>
      </c>
      <c r="Q309" s="63">
        <f>IF($C309="B",INDEX(Batters[[#All],[Tot]],MATCH(Table5[[#This Row],[PID]],Batters[[#All],[PID]],0)),INDEX(Table3[[#All],[Tot]],MATCH(Table5[[#This Row],[PID]],Table3[[#All],[PID]],0)))</f>
        <v>42.754780118370981</v>
      </c>
      <c r="R309" s="54">
        <f>IF($C309="B",INDEX(Batters[[#All],[zScore]],MATCH(Table5[[#This Row],[PID]],Batters[[#All],[PID]],0)),INDEX(Table3[[#All],[zScore]],MATCH(Table5[[#This Row],[PID]],Table3[[#All],[PID]],0)))</f>
        <v>0.42341344461146924</v>
      </c>
      <c r="S309" s="60" t="str">
        <f>IF($C309="B",INDEX(Batters[[#All],[DEM]],MATCH(Table5[[#This Row],[PID]],Batters[[#All],[PID]],0)),INDEX(Table3[[#All],[DEM]],MATCH(Table5[[#This Row],[PID]],Table3[[#All],[PID]],0)))</f>
        <v>$65k</v>
      </c>
      <c r="T309" s="64">
        <f>IF($C309="B",VLOOKUP($A309,Bat!$A$4:$AU$1417,46,FALSE),VLOOKUP($A309,Pit!$A$4:$BD$570,55,FALSE))</f>
        <v>0</v>
      </c>
      <c r="U309" s="52">
        <f>IF($C309="B",VLOOKUP($A309,Bat!$A$4:$BA$1417,47,FALSE),VLOOKUP($A309,Pit!$A$4:$BF$570,56,FALSE))</f>
        <v>0</v>
      </c>
      <c r="V309" s="52">
        <f>IF($C309="B",VLOOKUP($A309,Bat!$A$4:$BA$1417,48,FALSE),VLOOKUP($A309,Pit!$A$4:$BF$570,57,FALSE))</f>
        <v>0</v>
      </c>
      <c r="W309" s="52">
        <f>Table5[[#This Row],[posRnk]]+Table5[[#This Row],[zRnk]]+IF($W$3&lt;&gt;Table5[[#This Row],[Type]],50,0)</f>
        <v>355</v>
      </c>
      <c r="X309" s="53">
        <f>RANK(Table5[[#This Row],[zScore]],Table5[[#All],[zScore]])</f>
        <v>305</v>
      </c>
      <c r="Y309" s="52" t="str">
        <f>IFERROR(INDEX(DraftResults[[#All],[OVR]],MATCH(Table5[[#This Row],[PID]],DraftResults[[#All],[Player ID]],0)),"")</f>
        <v/>
      </c>
      <c r="Z3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9" s="52" t="str">
        <f>IFERROR(INDEX(DraftResults[[#All],[Pick in Round]],MATCH(Table5[[#This Row],[PID]],DraftResults[[#All],[Player ID]],0)),"")</f>
        <v/>
      </c>
      <c r="AB309" s="52" t="str">
        <f>IFERROR(INDEX(DraftResults[[#All],[Team Name]],MATCH(Table5[[#This Row],[PID]],DraftResults[[#All],[Player ID]],0)),"")</f>
        <v/>
      </c>
      <c r="AC309" s="52" t="str">
        <f>IF(Table5[[#This Row],[Ovr]]="","",IF(Table5[[#This Row],[cmbList]]="","",Table5[[#This Row],[cmbList]]-Table5[[#This Row],[Ovr]]))</f>
        <v/>
      </c>
      <c r="AD309" s="56" t="str">
        <f>IF(ISERROR(VLOOKUP($AB309&amp;"-"&amp;$E309&amp;" "&amp;F309,Bonuses!$B$1:$G$1006,4,FALSE)),"",INT(VLOOKUP($AB309&amp;"-"&amp;$E309&amp;" "&amp;$F309,Bonuses!$B$1:$G$1006,4,FALSE)))</f>
        <v/>
      </c>
      <c r="AE3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0" spans="1:31" s="52" customFormat="1" x14ac:dyDescent="0.25">
      <c r="A310" s="52">
        <v>9630</v>
      </c>
      <c r="B310" s="52">
        <f>COUNTIF(Table5[PID],A310)</f>
        <v>1</v>
      </c>
      <c r="C310" s="52" t="str">
        <f>IF(COUNTIF(Table3[[#All],[PID]],A310)&gt;0,"P","B")</f>
        <v>B</v>
      </c>
      <c r="D310" s="61" t="str">
        <f>IF($C310="B",INDEX(Batters[[#All],[POS]],MATCH(Table5[[#This Row],[PID]],Batters[[#All],[PID]],0)),INDEX(Table3[[#All],[POS]],MATCH(Table5[[#This Row],[PID]],Table3[[#All],[PID]],0)))</f>
        <v>2B</v>
      </c>
      <c r="E310" s="54" t="str">
        <f>IF($C310="B",INDEX(Batters[[#All],[First]],MATCH(Table5[[#This Row],[PID]],Batters[[#All],[PID]],0)),INDEX(Table3[[#All],[First]],MATCH(Table5[[#This Row],[PID]],Table3[[#All],[PID]],0)))</f>
        <v>António</v>
      </c>
      <c r="F310" s="52" t="str">
        <f>IF($C310="B",INDEX(Batters[[#All],[Last]],MATCH(A310,Batters[[#All],[PID]],0)),INDEX(Table3[[#All],[Last]],MATCH(A310,Table3[[#All],[PID]],0)))</f>
        <v>Garza</v>
      </c>
      <c r="G310" s="58">
        <f>IF($C310="B",INDEX(Batters[[#All],[Age]],MATCH(Table5[[#This Row],[PID]],Batters[[#All],[PID]],0)),INDEX(Table3[[#All],[Age]],MATCH(Table5[[#This Row],[PID]],Table3[[#All],[PID]],0)))</f>
        <v>21</v>
      </c>
      <c r="H310" s="54" t="str">
        <f>IF($C310="B",INDEX(Batters[[#All],[B]],MATCH(Table5[[#This Row],[PID]],Batters[[#All],[PID]],0)),INDEX(Table3[[#All],[B]],MATCH(Table5[[#This Row],[PID]],Table3[[#All],[PID]],0)))</f>
        <v>R</v>
      </c>
      <c r="I310" s="54" t="str">
        <f>IF($C310="B",INDEX(Batters[[#All],[T]],MATCH(Table5[[#This Row],[PID]],Batters[[#All],[PID]],0)),INDEX(Table3[[#All],[T]],MATCH(Table5[[#This Row],[PID]],Table3[[#All],[PID]],0)))</f>
        <v>R</v>
      </c>
      <c r="J310" s="54" t="str">
        <f>IF($C310="B",INDEX(Batters[[#All],[WE]],MATCH(Table5[[#This Row],[PID]],Batters[[#All],[PID]],0)),INDEX(Table3[[#All],[WE]],MATCH(Table5[[#This Row],[PID]],Table3[[#All],[PID]],0)))</f>
        <v>Normal</v>
      </c>
      <c r="K310" s="54" t="str">
        <f>IF($C310="B",INDEX(Batters[[#All],[INT]],MATCH(Table5[[#This Row],[PID]],Batters[[#All],[PID]],0)),INDEX(Table3[[#All],[INT]],MATCH(Table5[[#This Row],[PID]],Table3[[#All],[PID]],0)))</f>
        <v>Normal</v>
      </c>
      <c r="L310" s="62">
        <f>IF($C310="B",INDEX(Batters[[#All],[CON P]],MATCH(Table5[[#This Row],[PID]],Batters[[#All],[PID]],0)),INDEX(Table3[[#All],[STU P]],MATCH(Table5[[#This Row],[PID]],Table3[[#All],[PID]],0)))</f>
        <v>4</v>
      </c>
      <c r="M310" s="58">
        <f>IF($C310="B",INDEX(Batters[[#All],[GAP P]],MATCH(Table5[[#This Row],[PID]],Batters[[#All],[PID]],0)),INDEX(Table3[[#All],[MOV P]],MATCH(Table5[[#This Row],[PID]],Table3[[#All],[PID]],0)))</f>
        <v>6</v>
      </c>
      <c r="N310" s="58">
        <f>IF($C310="B",INDEX(Batters[[#All],[POW P]],MATCH(Table5[[#This Row],[PID]],Batters[[#All],[PID]],0)),INDEX(Table3[[#All],[CON P]],MATCH(Table5[[#This Row],[PID]],Table3[[#All],[PID]],0)))</f>
        <v>3</v>
      </c>
      <c r="O310" s="58">
        <f>IF($C310="B",INDEX(Batters[[#All],[EYE P]],MATCH(Table5[[#This Row],[PID]],Batters[[#All],[PID]],0)),INDEX(Table3[[#All],[VELO]],MATCH(Table5[[#This Row],[PID]],Table3[[#All],[PID]],0)))</f>
        <v>5</v>
      </c>
      <c r="P310" s="58">
        <f>IF($C310="B",INDEX(Batters[[#All],[K P]],MATCH(Table5[[#This Row],[PID]],Batters[[#All],[PID]],0)),INDEX(Table3[[#All],[STM]],MATCH(Table5[[#This Row],[PID]],Table3[[#All],[PID]],0)))</f>
        <v>5</v>
      </c>
      <c r="Q310" s="63">
        <f>IF($C310="B",INDEX(Batters[[#All],[Tot]],MATCH(Table5[[#This Row],[PID]],Batters[[#All],[PID]],0)),INDEX(Table3[[#All],[Tot]],MATCH(Table5[[#This Row],[PID]],Table3[[#All],[PID]],0)))</f>
        <v>42.744219201649344</v>
      </c>
      <c r="R310" s="54">
        <f>IF($C310="B",INDEX(Batters[[#All],[zScore]],MATCH(Table5[[#This Row],[PID]],Batters[[#All],[PID]],0)),INDEX(Table3[[#All],[zScore]],MATCH(Table5[[#This Row],[PID]],Table3[[#All],[PID]],0)))</f>
        <v>0.42155532150535369</v>
      </c>
      <c r="S310" s="60" t="str">
        <f>IF($C310="B",INDEX(Batters[[#All],[DEM]],MATCH(Table5[[#This Row],[PID]],Batters[[#All],[PID]],0)),INDEX(Table3[[#All],[DEM]],MATCH(Table5[[#This Row],[PID]],Table3[[#All],[PID]],0)))</f>
        <v>$110k</v>
      </c>
      <c r="T310" s="64">
        <f>IF($C310="B",VLOOKUP($A310,Bat!$A$4:$AU$1417,46,FALSE),VLOOKUP($A310,Pit!$A$4:$BD$570,55,FALSE))</f>
        <v>0</v>
      </c>
      <c r="U310" s="52">
        <f>IF($C310="B",VLOOKUP($A310,Bat!$A$4:$BA$1417,47,FALSE),VLOOKUP($A310,Pit!$A$4:$BF$570,56,FALSE))</f>
        <v>0</v>
      </c>
      <c r="V310" s="52">
        <f>IF($C310="B",VLOOKUP($A310,Bat!$A$4:$BA$1417,48,FALSE),VLOOKUP($A310,Pit!$A$4:$BF$570,57,FALSE))</f>
        <v>0</v>
      </c>
      <c r="W310" s="52">
        <f>Table5[[#This Row],[posRnk]]+Table5[[#This Row],[zRnk]]+IF($W$3&lt;&gt;Table5[[#This Row],[Type]],50,0)</f>
        <v>356</v>
      </c>
      <c r="X310" s="53">
        <f>RANK(Table5[[#This Row],[zScore]],Table5[[#All],[zScore]])</f>
        <v>306</v>
      </c>
      <c r="Y310" s="52" t="str">
        <f>IFERROR(INDEX(DraftResults[[#All],[OVR]],MATCH(Table5[[#This Row],[PID]],DraftResults[[#All],[Player ID]],0)),"")</f>
        <v/>
      </c>
      <c r="Z3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0" s="52" t="str">
        <f>IFERROR(INDEX(DraftResults[[#All],[Pick in Round]],MATCH(Table5[[#This Row],[PID]],DraftResults[[#All],[Player ID]],0)),"")</f>
        <v/>
      </c>
      <c r="AB310" s="52" t="str">
        <f>IFERROR(INDEX(DraftResults[[#All],[Team Name]],MATCH(Table5[[#This Row],[PID]],DraftResults[[#All],[Player ID]],0)),"")</f>
        <v/>
      </c>
      <c r="AC310" s="52" t="str">
        <f>IF(Table5[[#This Row],[Ovr]]="","",IF(Table5[[#This Row],[cmbList]]="","",Table5[[#This Row],[cmbList]]-Table5[[#This Row],[Ovr]]))</f>
        <v/>
      </c>
      <c r="AD310" s="56" t="str">
        <f>IF(ISERROR(VLOOKUP($AB310&amp;"-"&amp;$E310&amp;" "&amp;F310,Bonuses!$B$1:$G$1006,4,FALSE)),"",INT(VLOOKUP($AB310&amp;"-"&amp;$E310&amp;" "&amp;$F310,Bonuses!$B$1:$G$1006,4,FALSE)))</f>
        <v/>
      </c>
      <c r="AE3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1" spans="1:31" s="52" customFormat="1" x14ac:dyDescent="0.25">
      <c r="A311" s="52">
        <v>7663</v>
      </c>
      <c r="B311" s="52">
        <f>COUNTIF(Table5[PID],A311)</f>
        <v>1</v>
      </c>
      <c r="C311" s="52" t="str">
        <f>IF(COUNTIF(Table3[[#All],[PID]],A311)&gt;0,"P","B")</f>
        <v>B</v>
      </c>
      <c r="D311" s="61" t="str">
        <f>IF($C311="B",INDEX(Batters[[#All],[POS]],MATCH(Table5[[#This Row],[PID]],Batters[[#All],[PID]],0)),INDEX(Table3[[#All],[POS]],MATCH(Table5[[#This Row],[PID]],Table3[[#All],[PID]],0)))</f>
        <v>1B</v>
      </c>
      <c r="E311" s="54" t="str">
        <f>IF($C311="B",INDEX(Batters[[#All],[First]],MATCH(Table5[[#This Row],[PID]],Batters[[#All],[PID]],0)),INDEX(Table3[[#All],[First]],MATCH(Table5[[#This Row],[PID]],Table3[[#All],[PID]],0)))</f>
        <v>Jeff</v>
      </c>
      <c r="F311" s="52" t="str">
        <f>IF($C311="B",INDEX(Batters[[#All],[Last]],MATCH(A311,Batters[[#All],[PID]],0)),INDEX(Table3[[#All],[Last]],MATCH(A311,Table3[[#All],[PID]],0)))</f>
        <v>Clark</v>
      </c>
      <c r="G311" s="58">
        <f>IF($C311="B",INDEX(Batters[[#All],[Age]],MATCH(Table5[[#This Row],[PID]],Batters[[#All],[PID]],0)),INDEX(Table3[[#All],[Age]],MATCH(Table5[[#This Row],[PID]],Table3[[#All],[PID]],0)))</f>
        <v>18</v>
      </c>
      <c r="H311" s="54" t="str">
        <f>IF($C311="B",INDEX(Batters[[#All],[B]],MATCH(Table5[[#This Row],[PID]],Batters[[#All],[PID]],0)),INDEX(Table3[[#All],[B]],MATCH(Table5[[#This Row],[PID]],Table3[[#All],[PID]],0)))</f>
        <v>L</v>
      </c>
      <c r="I311" s="54" t="str">
        <f>IF($C311="B",INDEX(Batters[[#All],[T]],MATCH(Table5[[#This Row],[PID]],Batters[[#All],[PID]],0)),INDEX(Table3[[#All],[T]],MATCH(Table5[[#This Row],[PID]],Table3[[#All],[PID]],0)))</f>
        <v>L</v>
      </c>
      <c r="J311" s="54" t="str">
        <f>IF($C311="B",INDEX(Batters[[#All],[WE]],MATCH(Table5[[#This Row],[PID]],Batters[[#All],[PID]],0)),INDEX(Table3[[#All],[WE]],MATCH(Table5[[#This Row],[PID]],Table3[[#All],[PID]],0)))</f>
        <v>Normal</v>
      </c>
      <c r="K311" s="54" t="str">
        <f>IF($C311="B",INDEX(Batters[[#All],[INT]],MATCH(Table5[[#This Row],[PID]],Batters[[#All],[PID]],0)),INDEX(Table3[[#All],[INT]],MATCH(Table5[[#This Row],[PID]],Table3[[#All],[PID]],0)))</f>
        <v>Normal</v>
      </c>
      <c r="L311" s="62">
        <f>IF($C311="B",INDEX(Batters[[#All],[CON P]],MATCH(Table5[[#This Row],[PID]],Batters[[#All],[PID]],0)),INDEX(Table3[[#All],[STU P]],MATCH(Table5[[#This Row],[PID]],Table3[[#All],[PID]],0)))</f>
        <v>3</v>
      </c>
      <c r="M311" s="58">
        <f>IF($C311="B",INDEX(Batters[[#All],[GAP P]],MATCH(Table5[[#This Row],[PID]],Batters[[#All],[PID]],0)),INDEX(Table3[[#All],[MOV P]],MATCH(Table5[[#This Row],[PID]],Table3[[#All],[PID]],0)))</f>
        <v>5</v>
      </c>
      <c r="N311" s="58">
        <f>IF($C311="B",INDEX(Batters[[#All],[POW P]],MATCH(Table5[[#This Row],[PID]],Batters[[#All],[PID]],0)),INDEX(Table3[[#All],[CON P]],MATCH(Table5[[#This Row],[PID]],Table3[[#All],[PID]],0)))</f>
        <v>5</v>
      </c>
      <c r="O311" s="58">
        <f>IF($C311="B",INDEX(Batters[[#All],[EYE P]],MATCH(Table5[[#This Row],[PID]],Batters[[#All],[PID]],0)),INDEX(Table3[[#All],[VELO]],MATCH(Table5[[#This Row],[PID]],Table3[[#All],[PID]],0)))</f>
        <v>4</v>
      </c>
      <c r="P311" s="58">
        <f>IF($C311="B",INDEX(Batters[[#All],[K P]],MATCH(Table5[[#This Row],[PID]],Batters[[#All],[PID]],0)),INDEX(Table3[[#All],[STM]],MATCH(Table5[[#This Row],[PID]],Table3[[#All],[PID]],0)))</f>
        <v>2</v>
      </c>
      <c r="Q311" s="63">
        <f>IF($C311="B",INDEX(Batters[[#All],[Tot]],MATCH(Table5[[#This Row],[PID]],Batters[[#All],[PID]],0)),INDEX(Table3[[#All],[Tot]],MATCH(Table5[[#This Row],[PID]],Table3[[#All],[PID]],0)))</f>
        <v>42.681763486309791</v>
      </c>
      <c r="R311" s="54">
        <f>IF($C311="B",INDEX(Batters[[#All],[zScore]],MATCH(Table5[[#This Row],[PID]],Batters[[#All],[PID]],0)),INDEX(Table3[[#All],[zScore]],MATCH(Table5[[#This Row],[PID]],Table3[[#All],[PID]],0)))</f>
        <v>0.41056665349099114</v>
      </c>
      <c r="S311" s="60" t="str">
        <f>IF($C311="B",INDEX(Batters[[#All],[DEM]],MATCH(Table5[[#This Row],[PID]],Batters[[#All],[PID]],0)),INDEX(Table3[[#All],[DEM]],MATCH(Table5[[#This Row],[PID]],Table3[[#All],[PID]],0)))</f>
        <v>$100k</v>
      </c>
      <c r="T311" s="64">
        <f>IF($C311="B",VLOOKUP($A311,Bat!$A$4:$AU$1417,46,FALSE),VLOOKUP($A311,Pit!$A$4:$BD$570,55,FALSE))</f>
        <v>0</v>
      </c>
      <c r="U311" s="52">
        <f>IF($C311="B",VLOOKUP($A311,Bat!$A$4:$BA$1417,47,FALSE),VLOOKUP($A311,Pit!$A$4:$BF$570,56,FALSE))</f>
        <v>0</v>
      </c>
      <c r="V311" s="52">
        <f>IF($C311="B",VLOOKUP($A311,Bat!$A$4:$BA$1417,48,FALSE),VLOOKUP($A311,Pit!$A$4:$BF$570,57,FALSE))</f>
        <v>0</v>
      </c>
      <c r="W311" s="52">
        <f>Table5[[#This Row],[posRnk]]+Table5[[#This Row],[zRnk]]+IF($W$3&lt;&gt;Table5[[#This Row],[Type]],50,0)</f>
        <v>357</v>
      </c>
      <c r="X311" s="53">
        <f>RANK(Table5[[#This Row],[zScore]],Table5[[#All],[zScore]])</f>
        <v>307</v>
      </c>
      <c r="Y311" s="52" t="str">
        <f>IFERROR(INDEX(DraftResults[[#All],[OVR]],MATCH(Table5[[#This Row],[PID]],DraftResults[[#All],[Player ID]],0)),"")</f>
        <v/>
      </c>
      <c r="Z3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1" s="52" t="str">
        <f>IFERROR(INDEX(DraftResults[[#All],[Pick in Round]],MATCH(Table5[[#This Row],[PID]],DraftResults[[#All],[Player ID]],0)),"")</f>
        <v/>
      </c>
      <c r="AB311" s="52" t="str">
        <f>IFERROR(INDEX(DraftResults[[#All],[Team Name]],MATCH(Table5[[#This Row],[PID]],DraftResults[[#All],[Player ID]],0)),"")</f>
        <v/>
      </c>
      <c r="AC311" s="52" t="str">
        <f>IF(Table5[[#This Row],[Ovr]]="","",IF(Table5[[#This Row],[cmbList]]="","",Table5[[#This Row],[cmbList]]-Table5[[#This Row],[Ovr]]))</f>
        <v/>
      </c>
      <c r="AD311" s="56" t="str">
        <f>IF(ISERROR(VLOOKUP($AB311&amp;"-"&amp;$E311&amp;" "&amp;F311,Bonuses!$B$1:$G$1006,4,FALSE)),"",INT(VLOOKUP($AB311&amp;"-"&amp;$E311&amp;" "&amp;$F311,Bonuses!$B$1:$G$1006,4,FALSE)))</f>
        <v/>
      </c>
      <c r="AE3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2" spans="1:31" s="52" customFormat="1" x14ac:dyDescent="0.25">
      <c r="A312" s="52">
        <v>5297</v>
      </c>
      <c r="B312" s="57">
        <f>COUNTIF(Table5[PID],A312)</f>
        <v>1</v>
      </c>
      <c r="C312" s="57" t="str">
        <f>IF(COUNTIF(Table3[[#All],[PID]],A312)&gt;0,"P","B")</f>
        <v>B</v>
      </c>
      <c r="D312" s="61" t="str">
        <f>IF($C312="B",INDEX(Batters[[#All],[POS]],MATCH(Table5[[#This Row],[PID]],Batters[[#All],[PID]],0)),INDEX(Table3[[#All],[POS]],MATCH(Table5[[#This Row],[PID]],Table3[[#All],[PID]],0)))</f>
        <v>SS</v>
      </c>
      <c r="E312" s="54" t="str">
        <f>IF($C312="B",INDEX(Batters[[#All],[First]],MATCH(Table5[[#This Row],[PID]],Batters[[#All],[PID]],0)),INDEX(Table3[[#All],[First]],MATCH(Table5[[#This Row],[PID]],Table3[[#All],[PID]],0)))</f>
        <v>John</v>
      </c>
      <c r="F312" s="52" t="str">
        <f>IF($C312="B",INDEX(Batters[[#All],[Last]],MATCH(A312,Batters[[#All],[PID]],0)),INDEX(Table3[[#All],[Last]],MATCH(A312,Table3[[#All],[PID]],0)))</f>
        <v>Caldwell</v>
      </c>
      <c r="G312" s="58">
        <f>IF($C312="B",INDEX(Batters[[#All],[Age]],MATCH(Table5[[#This Row],[PID]],Batters[[#All],[PID]],0)),INDEX(Table3[[#All],[Age]],MATCH(Table5[[#This Row],[PID]],Table3[[#All],[PID]],0)))</f>
        <v>18</v>
      </c>
      <c r="H312" s="54" t="str">
        <f>IF($C312="B",INDEX(Batters[[#All],[B]],MATCH(Table5[[#This Row],[PID]],Batters[[#All],[PID]],0)),INDEX(Table3[[#All],[B]],MATCH(Table5[[#This Row],[PID]],Table3[[#All],[PID]],0)))</f>
        <v>R</v>
      </c>
      <c r="I312" s="54" t="str">
        <f>IF($C312="B",INDEX(Batters[[#All],[T]],MATCH(Table5[[#This Row],[PID]],Batters[[#All],[PID]],0)),INDEX(Table3[[#All],[T]],MATCH(Table5[[#This Row],[PID]],Table3[[#All],[PID]],0)))</f>
        <v>R</v>
      </c>
      <c r="J312" s="54" t="str">
        <f>IF($C312="B",INDEX(Batters[[#All],[WE]],MATCH(Table5[[#This Row],[PID]],Batters[[#All],[PID]],0)),INDEX(Table3[[#All],[WE]],MATCH(Table5[[#This Row],[PID]],Table3[[#All],[PID]],0)))</f>
        <v>Normal</v>
      </c>
      <c r="K312" s="54" t="str">
        <f>IF($C312="B",INDEX(Batters[[#All],[INT]],MATCH(Table5[[#This Row],[PID]],Batters[[#All],[PID]],0)),INDEX(Table3[[#All],[INT]],MATCH(Table5[[#This Row],[PID]],Table3[[#All],[PID]],0)))</f>
        <v>Normal</v>
      </c>
      <c r="L312" s="62">
        <f>IF($C312="B",INDEX(Batters[[#All],[CON P]],MATCH(Table5[[#This Row],[PID]],Batters[[#All],[PID]],0)),INDEX(Table3[[#All],[STU P]],MATCH(Table5[[#This Row],[PID]],Table3[[#All],[PID]],0)))</f>
        <v>3</v>
      </c>
      <c r="M312" s="58">
        <f>IF($C312="B",INDEX(Batters[[#All],[GAP P]],MATCH(Table5[[#This Row],[PID]],Batters[[#All],[PID]],0)),INDEX(Table3[[#All],[MOV P]],MATCH(Table5[[#This Row],[PID]],Table3[[#All],[PID]],0)))</f>
        <v>5</v>
      </c>
      <c r="N312" s="58">
        <f>IF($C312="B",INDEX(Batters[[#All],[POW P]],MATCH(Table5[[#This Row],[PID]],Batters[[#All],[PID]],0)),INDEX(Table3[[#All],[CON P]],MATCH(Table5[[#This Row],[PID]],Table3[[#All],[PID]],0)))</f>
        <v>3</v>
      </c>
      <c r="O312" s="58">
        <f>IF($C312="B",INDEX(Batters[[#All],[EYE P]],MATCH(Table5[[#This Row],[PID]],Batters[[#All],[PID]],0)),INDEX(Table3[[#All],[VELO]],MATCH(Table5[[#This Row],[PID]],Table3[[#All],[PID]],0)))</f>
        <v>4</v>
      </c>
      <c r="P312" s="58">
        <f>IF($C312="B",INDEX(Batters[[#All],[K P]],MATCH(Table5[[#This Row],[PID]],Batters[[#All],[PID]],0)),INDEX(Table3[[#All],[STM]],MATCH(Table5[[#This Row],[PID]],Table3[[#All],[PID]],0)))</f>
        <v>3</v>
      </c>
      <c r="Q312" s="63">
        <f>IF($C312="B",INDEX(Batters[[#All],[Tot]],MATCH(Table5[[#This Row],[PID]],Batters[[#All],[PID]],0)),INDEX(Table3[[#All],[Tot]],MATCH(Table5[[#This Row],[PID]],Table3[[#All],[PID]],0)))</f>
        <v>42.668483707541156</v>
      </c>
      <c r="R312" s="54">
        <f>IF($C312="B",INDEX(Batters[[#All],[zScore]],MATCH(Table5[[#This Row],[PID]],Batters[[#All],[PID]],0)),INDEX(Table3[[#All],[zScore]],MATCH(Table5[[#This Row],[PID]],Table3[[#All],[PID]],0)))</f>
        <v>0.40823016467808843</v>
      </c>
      <c r="S312" s="60" t="str">
        <f>IF($C312="B",INDEX(Batters[[#All],[DEM]],MATCH(Table5[[#This Row],[PID]],Batters[[#All],[PID]],0)),INDEX(Table3[[#All],[DEM]],MATCH(Table5[[#This Row],[PID]],Table3[[#All],[PID]],0)))</f>
        <v>$140k</v>
      </c>
      <c r="T312" s="64">
        <f>IF($C312="B",VLOOKUP($A312,Bat!$A$4:$AU$1417,46,FALSE),VLOOKUP($A312,Pit!$A$4:$BD$570,55,FALSE))</f>
        <v>0</v>
      </c>
      <c r="U312" s="52">
        <f>IF($C312="B",VLOOKUP($A312,Bat!$A$4:$BA$1417,47,FALSE),VLOOKUP($A312,Pit!$A$4:$BF$570,56,FALSE))</f>
        <v>0</v>
      </c>
      <c r="V312" s="52">
        <f>IF($C312="B",VLOOKUP($A312,Bat!$A$4:$BA$1417,48,FALSE),VLOOKUP($A312,Pit!$A$4:$BF$570,57,FALSE))</f>
        <v>0</v>
      </c>
      <c r="W312" s="52">
        <f>Table5[[#This Row],[posRnk]]+Table5[[#This Row],[zRnk]]+IF($W$3&lt;&gt;Table5[[#This Row],[Type]],50,0)</f>
        <v>358</v>
      </c>
      <c r="X312" s="53">
        <f>RANK(Table5[[#This Row],[zScore]],Table5[[#All],[zScore]])</f>
        <v>308</v>
      </c>
      <c r="Y312" s="52" t="str">
        <f>IFERROR(INDEX(DraftResults[[#All],[OVR]],MATCH(Table5[[#This Row],[PID]],DraftResults[[#All],[Player ID]],0)),"")</f>
        <v/>
      </c>
      <c r="Z3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2" s="52" t="str">
        <f>IFERROR(INDEX(DraftResults[[#All],[Pick in Round]],MATCH(Table5[[#This Row],[PID]],DraftResults[[#All],[Player ID]],0)),"")</f>
        <v/>
      </c>
      <c r="AB312" s="52" t="str">
        <f>IFERROR(INDEX(DraftResults[[#All],[Team Name]],MATCH(Table5[[#This Row],[PID]],DraftResults[[#All],[Player ID]],0)),"")</f>
        <v/>
      </c>
      <c r="AC312" s="52" t="str">
        <f>IF(Table5[[#This Row],[Ovr]]="","",IF(Table5[[#This Row],[cmbList]]="","",Table5[[#This Row],[cmbList]]-Table5[[#This Row],[Ovr]]))</f>
        <v/>
      </c>
      <c r="AD312" s="56" t="str">
        <f>IF(ISERROR(VLOOKUP($AB312&amp;"-"&amp;$E312&amp;" "&amp;F312,Bonuses!$B$1:$G$1006,4,FALSE)),"",INT(VLOOKUP($AB312&amp;"-"&amp;$E312&amp;" "&amp;$F312,Bonuses!$B$1:$G$1006,4,FALSE)))</f>
        <v/>
      </c>
      <c r="AE3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3" spans="1:31" s="52" customFormat="1" x14ac:dyDescent="0.25">
      <c r="A313" s="52">
        <v>6790</v>
      </c>
      <c r="B313" s="52">
        <f>COUNTIF(Table5[PID],A313)</f>
        <v>1</v>
      </c>
      <c r="C313" s="52" t="str">
        <f>IF(COUNTIF(Table3[[#All],[PID]],A313)&gt;0,"P","B")</f>
        <v>B</v>
      </c>
      <c r="D313" s="61" t="str">
        <f>IF($C313="B",INDEX(Batters[[#All],[POS]],MATCH(Table5[[#This Row],[PID]],Batters[[#All],[PID]],0)),INDEX(Table3[[#All],[POS]],MATCH(Table5[[#This Row],[PID]],Table3[[#All],[PID]],0)))</f>
        <v>LF</v>
      </c>
      <c r="E313" s="54" t="str">
        <f>IF($C313="B",INDEX(Batters[[#All],[First]],MATCH(Table5[[#This Row],[PID]],Batters[[#All],[PID]],0)),INDEX(Table3[[#All],[First]],MATCH(Table5[[#This Row],[PID]],Table3[[#All],[PID]],0)))</f>
        <v>Ieyoshi</v>
      </c>
      <c r="F313" s="52" t="str">
        <f>IF($C313="B",INDEX(Batters[[#All],[Last]],MATCH(A313,Batters[[#All],[PID]],0)),INDEX(Table3[[#All],[Last]],MATCH(A313,Table3[[#All],[PID]],0)))</f>
        <v>Mori</v>
      </c>
      <c r="G313" s="58">
        <f>IF($C313="B",INDEX(Batters[[#All],[Age]],MATCH(Table5[[#This Row],[PID]],Batters[[#All],[PID]],0)),INDEX(Table3[[#All],[Age]],MATCH(Table5[[#This Row],[PID]],Table3[[#All],[PID]],0)))</f>
        <v>20</v>
      </c>
      <c r="H313" s="54" t="str">
        <f>IF($C313="B",INDEX(Batters[[#All],[B]],MATCH(Table5[[#This Row],[PID]],Batters[[#All],[PID]],0)),INDEX(Table3[[#All],[B]],MATCH(Table5[[#This Row],[PID]],Table3[[#All],[PID]],0)))</f>
        <v>R</v>
      </c>
      <c r="I313" s="54" t="str">
        <f>IF($C313="B",INDEX(Batters[[#All],[T]],MATCH(Table5[[#This Row],[PID]],Batters[[#All],[PID]],0)),INDEX(Table3[[#All],[T]],MATCH(Table5[[#This Row],[PID]],Table3[[#All],[PID]],0)))</f>
        <v>L</v>
      </c>
      <c r="J313" s="54" t="str">
        <f>IF($C313="B",INDEX(Batters[[#All],[WE]],MATCH(Table5[[#This Row],[PID]],Batters[[#All],[PID]],0)),INDEX(Table3[[#All],[WE]],MATCH(Table5[[#This Row],[PID]],Table3[[#All],[PID]],0)))</f>
        <v>Normal</v>
      </c>
      <c r="K313" s="54" t="str">
        <f>IF($C313="B",INDEX(Batters[[#All],[INT]],MATCH(Table5[[#This Row],[PID]],Batters[[#All],[PID]],0)),INDEX(Table3[[#All],[INT]],MATCH(Table5[[#This Row],[PID]],Table3[[#All],[PID]],0)))</f>
        <v>Low</v>
      </c>
      <c r="L313" s="62">
        <f>IF($C313="B",INDEX(Batters[[#All],[CON P]],MATCH(Table5[[#This Row],[PID]],Batters[[#All],[PID]],0)),INDEX(Table3[[#All],[STU P]],MATCH(Table5[[#This Row],[PID]],Table3[[#All],[PID]],0)))</f>
        <v>4</v>
      </c>
      <c r="M313" s="58">
        <f>IF($C313="B",INDEX(Batters[[#All],[GAP P]],MATCH(Table5[[#This Row],[PID]],Batters[[#All],[PID]],0)),INDEX(Table3[[#All],[MOV P]],MATCH(Table5[[#This Row],[PID]],Table3[[#All],[PID]],0)))</f>
        <v>4</v>
      </c>
      <c r="N313" s="58">
        <f>IF($C313="B",INDEX(Batters[[#All],[POW P]],MATCH(Table5[[#This Row],[PID]],Batters[[#All],[PID]],0)),INDEX(Table3[[#All],[CON P]],MATCH(Table5[[#This Row],[PID]],Table3[[#All],[PID]],0)))</f>
        <v>4</v>
      </c>
      <c r="O313" s="58">
        <f>IF($C313="B",INDEX(Batters[[#All],[EYE P]],MATCH(Table5[[#This Row],[PID]],Batters[[#All],[PID]],0)),INDEX(Table3[[#All],[VELO]],MATCH(Table5[[#This Row],[PID]],Table3[[#All],[PID]],0)))</f>
        <v>5</v>
      </c>
      <c r="P313" s="58">
        <f>IF($C313="B",INDEX(Batters[[#All],[K P]],MATCH(Table5[[#This Row],[PID]],Batters[[#All],[PID]],0)),INDEX(Table3[[#All],[STM]],MATCH(Table5[[#This Row],[PID]],Table3[[#All],[PID]],0)))</f>
        <v>6</v>
      </c>
      <c r="Q313" s="63">
        <f>IF($C313="B",INDEX(Batters[[#All],[Tot]],MATCH(Table5[[#This Row],[PID]],Batters[[#All],[PID]],0)),INDEX(Table3[[#All],[Tot]],MATCH(Table5[[#This Row],[PID]],Table3[[#All],[PID]],0)))</f>
        <v>42.607253686861014</v>
      </c>
      <c r="R313" s="54">
        <f>IF($C313="B",INDEX(Batters[[#All],[zScore]],MATCH(Table5[[#This Row],[PID]],Batters[[#All],[PID]],0)),INDEX(Table3[[#All],[zScore]],MATCH(Table5[[#This Row],[PID]],Table3[[#All],[PID]],0)))</f>
        <v>0.39745714949271066</v>
      </c>
      <c r="S313" s="60" t="str">
        <f>IF($C313="B",INDEX(Batters[[#All],[DEM]],MATCH(Table5[[#This Row],[PID]],Batters[[#All],[PID]],0)),INDEX(Table3[[#All],[DEM]],MATCH(Table5[[#This Row],[PID]],Table3[[#All],[PID]],0)))</f>
        <v>-</v>
      </c>
      <c r="T313" s="64">
        <f>IF($C313="B",VLOOKUP($A313,Bat!$A$4:$AU$1417,46,FALSE),VLOOKUP($A313,Pit!$A$4:$BD$570,55,FALSE))</f>
        <v>0</v>
      </c>
      <c r="U313" s="52">
        <f>IF($C313="B",VLOOKUP($A313,Bat!$A$4:$BA$1417,47,FALSE),VLOOKUP($A313,Pit!$A$4:$BF$570,56,FALSE))</f>
        <v>0</v>
      </c>
      <c r="V313" s="52">
        <f>IF($C313="B",VLOOKUP($A313,Bat!$A$4:$BA$1417,48,FALSE),VLOOKUP($A313,Pit!$A$4:$BF$570,57,FALSE))</f>
        <v>0</v>
      </c>
      <c r="W313" s="52">
        <f>Table5[[#This Row],[posRnk]]+Table5[[#This Row],[zRnk]]+IF($W$3&lt;&gt;Table5[[#This Row],[Type]],50,0)</f>
        <v>359</v>
      </c>
      <c r="X313" s="53">
        <f>RANK(Table5[[#This Row],[zScore]],Table5[[#All],[zScore]])</f>
        <v>309</v>
      </c>
      <c r="Y313" s="52" t="str">
        <f>IFERROR(INDEX(DraftResults[[#All],[OVR]],MATCH(Table5[[#This Row],[PID]],DraftResults[[#All],[Player ID]],0)),"")</f>
        <v/>
      </c>
      <c r="Z3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3" s="52" t="str">
        <f>IFERROR(INDEX(DraftResults[[#All],[Pick in Round]],MATCH(Table5[[#This Row],[PID]],DraftResults[[#All],[Player ID]],0)),"")</f>
        <v/>
      </c>
      <c r="AB313" s="52" t="str">
        <f>IFERROR(INDEX(DraftResults[[#All],[Team Name]],MATCH(Table5[[#This Row],[PID]],DraftResults[[#All],[Player ID]],0)),"")</f>
        <v/>
      </c>
      <c r="AC313" s="52" t="str">
        <f>IF(Table5[[#This Row],[Ovr]]="","",IF(Table5[[#This Row],[cmbList]]="","",Table5[[#This Row],[cmbList]]-Table5[[#This Row],[Ovr]]))</f>
        <v/>
      </c>
      <c r="AD313" s="56" t="str">
        <f>IF(ISERROR(VLOOKUP($AB313&amp;"-"&amp;$E313&amp;" "&amp;F313,Bonuses!$B$1:$G$1006,4,FALSE)),"",INT(VLOOKUP($AB313&amp;"-"&amp;$E313&amp;" "&amp;$F313,Bonuses!$B$1:$G$1006,4,FALSE)))</f>
        <v/>
      </c>
      <c r="AE3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4" spans="1:31" s="52" customFormat="1" x14ac:dyDescent="0.25">
      <c r="A314" s="52">
        <v>7982</v>
      </c>
      <c r="B314" s="52">
        <f>COUNTIF(Table5[PID],A314)</f>
        <v>1</v>
      </c>
      <c r="C314" s="52" t="str">
        <f>IF(COUNTIF(Table3[[#All],[PID]],A314)&gt;0,"P","B")</f>
        <v>B</v>
      </c>
      <c r="D314" s="61" t="str">
        <f>IF($C314="B",INDEX(Batters[[#All],[POS]],MATCH(Table5[[#This Row],[PID]],Batters[[#All],[PID]],0)),INDEX(Table3[[#All],[POS]],MATCH(Table5[[#This Row],[PID]],Table3[[#All],[PID]],0)))</f>
        <v>1B</v>
      </c>
      <c r="E314" s="54" t="str">
        <f>IF($C314="B",INDEX(Batters[[#All],[First]],MATCH(Table5[[#This Row],[PID]],Batters[[#All],[PID]],0)),INDEX(Table3[[#All],[First]],MATCH(Table5[[#This Row],[PID]],Table3[[#All],[PID]],0)))</f>
        <v>David</v>
      </c>
      <c r="F314" s="52" t="str">
        <f>IF($C314="B",INDEX(Batters[[#All],[Last]],MATCH(A314,Batters[[#All],[PID]],0)),INDEX(Table3[[#All],[Last]],MATCH(A314,Table3[[#All],[PID]],0)))</f>
        <v>Marte</v>
      </c>
      <c r="G314" s="58">
        <f>IF($C314="B",INDEX(Batters[[#All],[Age]],MATCH(Table5[[#This Row],[PID]],Batters[[#All],[PID]],0)),INDEX(Table3[[#All],[Age]],MATCH(Table5[[#This Row],[PID]],Table3[[#All],[PID]],0)))</f>
        <v>18</v>
      </c>
      <c r="H314" s="54" t="str">
        <f>IF($C314="B",INDEX(Batters[[#All],[B]],MATCH(Table5[[#This Row],[PID]],Batters[[#All],[PID]],0)),INDEX(Table3[[#All],[B]],MATCH(Table5[[#This Row],[PID]],Table3[[#All],[PID]],0)))</f>
        <v>L</v>
      </c>
      <c r="I314" s="54" t="str">
        <f>IF($C314="B",INDEX(Batters[[#All],[T]],MATCH(Table5[[#This Row],[PID]],Batters[[#All],[PID]],0)),INDEX(Table3[[#All],[T]],MATCH(Table5[[#This Row],[PID]],Table3[[#All],[PID]],0)))</f>
        <v>R</v>
      </c>
      <c r="J314" s="54" t="str">
        <f>IF($C314="B",INDEX(Batters[[#All],[WE]],MATCH(Table5[[#This Row],[PID]],Batters[[#All],[PID]],0)),INDEX(Table3[[#All],[WE]],MATCH(Table5[[#This Row],[PID]],Table3[[#All],[PID]],0)))</f>
        <v>Normal</v>
      </c>
      <c r="K314" s="54" t="str">
        <f>IF($C314="B",INDEX(Batters[[#All],[INT]],MATCH(Table5[[#This Row],[PID]],Batters[[#All],[PID]],0)),INDEX(Table3[[#All],[INT]],MATCH(Table5[[#This Row],[PID]],Table3[[#All],[PID]],0)))</f>
        <v>Normal</v>
      </c>
      <c r="L314" s="62">
        <f>IF($C314="B",INDEX(Batters[[#All],[CON P]],MATCH(Table5[[#This Row],[PID]],Batters[[#All],[PID]],0)),INDEX(Table3[[#All],[STU P]],MATCH(Table5[[#This Row],[PID]],Table3[[#All],[PID]],0)))</f>
        <v>3</v>
      </c>
      <c r="M314" s="58">
        <f>IF($C314="B",INDEX(Batters[[#All],[GAP P]],MATCH(Table5[[#This Row],[PID]],Batters[[#All],[PID]],0)),INDEX(Table3[[#All],[MOV P]],MATCH(Table5[[#This Row],[PID]],Table3[[#All],[PID]],0)))</f>
        <v>4</v>
      </c>
      <c r="N314" s="58">
        <f>IF($C314="B",INDEX(Batters[[#All],[POW P]],MATCH(Table5[[#This Row],[PID]],Batters[[#All],[PID]],0)),INDEX(Table3[[#All],[CON P]],MATCH(Table5[[#This Row],[PID]],Table3[[#All],[PID]],0)))</f>
        <v>3</v>
      </c>
      <c r="O314" s="58">
        <f>IF($C314="B",INDEX(Batters[[#All],[EYE P]],MATCH(Table5[[#This Row],[PID]],Batters[[#All],[PID]],0)),INDEX(Table3[[#All],[VELO]],MATCH(Table5[[#This Row],[PID]],Table3[[#All],[PID]],0)))</f>
        <v>5</v>
      </c>
      <c r="P314" s="58">
        <f>IF($C314="B",INDEX(Batters[[#All],[K P]],MATCH(Table5[[#This Row],[PID]],Batters[[#All],[PID]],0)),INDEX(Table3[[#All],[STM]],MATCH(Table5[[#This Row],[PID]],Table3[[#All],[PID]],0)))</f>
        <v>5</v>
      </c>
      <c r="Q314" s="63">
        <f>IF($C314="B",INDEX(Batters[[#All],[Tot]],MATCH(Table5[[#This Row],[PID]],Batters[[#All],[PID]],0)),INDEX(Table3[[#All],[Tot]],MATCH(Table5[[#This Row],[PID]],Table3[[#All],[PID]],0)))</f>
        <v>42.600538508862485</v>
      </c>
      <c r="R314" s="54">
        <f>IF($C314="B",INDEX(Batters[[#All],[zScore]],MATCH(Table5[[#This Row],[PID]],Batters[[#All],[PID]],0)),INDEX(Table3[[#All],[zScore]],MATCH(Table5[[#This Row],[PID]],Table3[[#All],[PID]],0)))</f>
        <v>0.39627565855497965</v>
      </c>
      <c r="S314" s="60" t="str">
        <f>IF($C314="B",INDEX(Batters[[#All],[DEM]],MATCH(Table5[[#This Row],[PID]],Batters[[#All],[PID]],0)),INDEX(Table3[[#All],[DEM]],MATCH(Table5[[#This Row],[PID]],Table3[[#All],[PID]],0)))</f>
        <v>$65k</v>
      </c>
      <c r="T314" s="64">
        <f>IF($C314="B",VLOOKUP($A314,Bat!$A$4:$AU$1417,46,FALSE),VLOOKUP($A314,Pit!$A$4:$BD$570,55,FALSE))</f>
        <v>0</v>
      </c>
      <c r="U314" s="52">
        <f>IF($C314="B",VLOOKUP($A314,Bat!$A$4:$BA$1417,47,FALSE),VLOOKUP($A314,Pit!$A$4:$BF$570,56,FALSE))</f>
        <v>0</v>
      </c>
      <c r="V314" s="52">
        <f>IF($C314="B",VLOOKUP($A314,Bat!$A$4:$BA$1417,48,FALSE),VLOOKUP($A314,Pit!$A$4:$BF$570,57,FALSE))</f>
        <v>0</v>
      </c>
      <c r="W314" s="52">
        <f>Table5[[#This Row],[posRnk]]+Table5[[#This Row],[zRnk]]+IF($W$3&lt;&gt;Table5[[#This Row],[Type]],50,0)</f>
        <v>360</v>
      </c>
      <c r="X314" s="53">
        <f>RANK(Table5[[#This Row],[zScore]],Table5[[#All],[zScore]])</f>
        <v>310</v>
      </c>
      <c r="Y314" s="52" t="str">
        <f>IFERROR(INDEX(DraftResults[[#All],[OVR]],MATCH(Table5[[#This Row],[PID]],DraftResults[[#All],[Player ID]],0)),"")</f>
        <v/>
      </c>
      <c r="Z3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4" s="52" t="str">
        <f>IFERROR(INDEX(DraftResults[[#All],[Pick in Round]],MATCH(Table5[[#This Row],[PID]],DraftResults[[#All],[Player ID]],0)),"")</f>
        <v/>
      </c>
      <c r="AB314" s="52" t="str">
        <f>IFERROR(INDEX(DraftResults[[#All],[Team Name]],MATCH(Table5[[#This Row],[PID]],DraftResults[[#All],[Player ID]],0)),"")</f>
        <v/>
      </c>
      <c r="AC314" s="52" t="str">
        <f>IF(Table5[[#This Row],[Ovr]]="","",IF(Table5[[#This Row],[cmbList]]="","",Table5[[#This Row],[cmbList]]-Table5[[#This Row],[Ovr]]))</f>
        <v/>
      </c>
      <c r="AD314" s="56" t="str">
        <f>IF(ISERROR(VLOOKUP($AB314&amp;"-"&amp;$E314&amp;" "&amp;F314,Bonuses!$B$1:$G$1006,4,FALSE)),"",INT(VLOOKUP($AB314&amp;"-"&amp;$E314&amp;" "&amp;$F314,Bonuses!$B$1:$G$1006,4,FALSE)))</f>
        <v/>
      </c>
      <c r="AE3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5" spans="1:31" s="52" customFormat="1" x14ac:dyDescent="0.25">
      <c r="A315" s="52">
        <v>11952</v>
      </c>
      <c r="B315" s="52">
        <f>COUNTIF(Table5[PID],A315)</f>
        <v>1</v>
      </c>
      <c r="C315" s="52" t="str">
        <f>IF(COUNTIF(Table3[[#All],[PID]],A315)&gt;0,"P","B")</f>
        <v>P</v>
      </c>
      <c r="D315" s="61" t="str">
        <f>IF($C315="B",INDEX(Batters[[#All],[POS]],MATCH(Table5[[#This Row],[PID]],Batters[[#All],[PID]],0)),INDEX(Table3[[#All],[POS]],MATCH(Table5[[#This Row],[PID]],Table3[[#All],[PID]],0)))</f>
        <v>SP</v>
      </c>
      <c r="E315" s="54" t="str">
        <f>IF($C315="B",INDEX(Batters[[#All],[First]],MATCH(Table5[[#This Row],[PID]],Batters[[#All],[PID]],0)),INDEX(Table3[[#All],[First]],MATCH(Table5[[#This Row],[PID]],Table3[[#All],[PID]],0)))</f>
        <v>Mike</v>
      </c>
      <c r="F315" s="52" t="str">
        <f>IF($C315="B",INDEX(Batters[[#All],[Last]],MATCH(A315,Batters[[#All],[PID]],0)),INDEX(Table3[[#All],[Last]],MATCH(A315,Table3[[#All],[PID]],0)))</f>
        <v>Reyes</v>
      </c>
      <c r="G315" s="58">
        <f>IF($C315="B",INDEX(Batters[[#All],[Age]],MATCH(Table5[[#This Row],[PID]],Batters[[#All],[PID]],0)),INDEX(Table3[[#All],[Age]],MATCH(Table5[[#This Row],[PID]],Table3[[#All],[PID]],0)))</f>
        <v>21</v>
      </c>
      <c r="H315" s="54" t="str">
        <f>IF($C315="B",INDEX(Batters[[#All],[B]],MATCH(Table5[[#This Row],[PID]],Batters[[#All],[PID]],0)),INDEX(Table3[[#All],[B]],MATCH(Table5[[#This Row],[PID]],Table3[[#All],[PID]],0)))</f>
        <v>R</v>
      </c>
      <c r="I315" s="54" t="str">
        <f>IF($C315="B",INDEX(Batters[[#All],[T]],MATCH(Table5[[#This Row],[PID]],Batters[[#All],[PID]],0)),INDEX(Table3[[#All],[T]],MATCH(Table5[[#This Row],[PID]],Table3[[#All],[PID]],0)))</f>
        <v>L</v>
      </c>
      <c r="J315" s="54" t="str">
        <f>IF($C315="B",INDEX(Batters[[#All],[WE]],MATCH(Table5[[#This Row],[PID]],Batters[[#All],[PID]],0)),INDEX(Table3[[#All],[WE]],MATCH(Table5[[#This Row],[PID]],Table3[[#All],[PID]],0)))</f>
        <v>High</v>
      </c>
      <c r="K315" s="54" t="str">
        <f>IF($C315="B",INDEX(Batters[[#All],[INT]],MATCH(Table5[[#This Row],[PID]],Batters[[#All],[PID]],0)),INDEX(Table3[[#All],[INT]],MATCH(Table5[[#This Row],[PID]],Table3[[#All],[PID]],0)))</f>
        <v>Normal</v>
      </c>
      <c r="L315" s="62">
        <f>IF($C315="B",INDEX(Batters[[#All],[CON P]],MATCH(Table5[[#This Row],[PID]],Batters[[#All],[PID]],0)),INDEX(Table3[[#All],[STU P]],MATCH(Table5[[#This Row],[PID]],Table3[[#All],[PID]],0)))</f>
        <v>5</v>
      </c>
      <c r="M315" s="58">
        <f>IF($C315="B",INDEX(Batters[[#All],[GAP P]],MATCH(Table5[[#This Row],[PID]],Batters[[#All],[PID]],0)),INDEX(Table3[[#All],[MOV P]],MATCH(Table5[[#This Row],[PID]],Table3[[#All],[PID]],0)))</f>
        <v>2</v>
      </c>
      <c r="N315" s="58">
        <f>IF($C315="B",INDEX(Batters[[#All],[POW P]],MATCH(Table5[[#This Row],[PID]],Batters[[#All],[PID]],0)),INDEX(Table3[[#All],[CON P]],MATCH(Table5[[#This Row],[PID]],Table3[[#All],[PID]],0)))</f>
        <v>3</v>
      </c>
      <c r="O315" s="58" t="str">
        <f>IF($C315="B",INDEX(Batters[[#All],[EYE P]],MATCH(Table5[[#This Row],[PID]],Batters[[#All],[PID]],0)),INDEX(Table3[[#All],[VELO]],MATCH(Table5[[#This Row],[PID]],Table3[[#All],[PID]],0)))</f>
        <v>90-92 Mph</v>
      </c>
      <c r="P315" s="58">
        <f>IF($C315="B",INDEX(Batters[[#All],[K P]],MATCH(Table5[[#This Row],[PID]],Batters[[#All],[PID]],0)),INDEX(Table3[[#All],[STM]],MATCH(Table5[[#This Row],[PID]],Table3[[#All],[PID]],0)))</f>
        <v>7</v>
      </c>
      <c r="Q315" s="63">
        <f>IF($C315="B",INDEX(Batters[[#All],[Tot]],MATCH(Table5[[#This Row],[PID]],Batters[[#All],[PID]],0)),INDEX(Table3[[#All],[Tot]],MATCH(Table5[[#This Row],[PID]],Table3[[#All],[PID]],0)))</f>
        <v>36.879078717408014</v>
      </c>
      <c r="R315" s="54">
        <f>IF($C315="B",INDEX(Batters[[#All],[zScore]],MATCH(Table5[[#This Row],[PID]],Batters[[#All],[PID]],0)),INDEX(Table3[[#All],[zScore]],MATCH(Table5[[#This Row],[PID]],Table3[[#All],[PID]],0)))</f>
        <v>0.38119888172458471</v>
      </c>
      <c r="S315" s="60" t="str">
        <f>IF($C315="B",INDEX(Batters[[#All],[DEM]],MATCH(Table5[[#This Row],[PID]],Batters[[#All],[PID]],0)),INDEX(Table3[[#All],[DEM]],MATCH(Table5[[#This Row],[PID]],Table3[[#All],[PID]],0)))</f>
        <v>-</v>
      </c>
      <c r="T315" s="64">
        <f>IF($C315="B",VLOOKUP($A315,Bat!$A$4:$AU$1417,46,FALSE),VLOOKUP($A315,Pit!$A$4:$BD$570,55,FALSE))</f>
        <v>0</v>
      </c>
      <c r="U315" s="52">
        <f>IF($C315="B",VLOOKUP($A315,Bat!$A$4:$BA$1417,47,FALSE),VLOOKUP($A315,Pit!$A$4:$BF$570,56,FALSE))</f>
        <v>0</v>
      </c>
      <c r="V315" s="52">
        <f>IF($C315="B",VLOOKUP($A315,Bat!$A$4:$BA$1417,48,FALSE),VLOOKUP($A315,Pit!$A$4:$BF$570,57,FALSE))</f>
        <v>0</v>
      </c>
      <c r="W315" s="52">
        <f>Table5[[#This Row],[posRnk]]+Table5[[#This Row],[zRnk]]+IF($W$3&lt;&gt;Table5[[#This Row],[Type]],50,0)</f>
        <v>361</v>
      </c>
      <c r="X315" s="53">
        <f>RANK(Table5[[#This Row],[zScore]],Table5[[#All],[zScore]])</f>
        <v>311</v>
      </c>
      <c r="Y315" s="52" t="str">
        <f>IFERROR(INDEX(DraftResults[[#All],[OVR]],MATCH(Table5[[#This Row],[PID]],DraftResults[[#All],[Player ID]],0)),"")</f>
        <v/>
      </c>
      <c r="Z3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5" s="52" t="str">
        <f>IFERROR(INDEX(DraftResults[[#All],[Pick in Round]],MATCH(Table5[[#This Row],[PID]],DraftResults[[#All],[Player ID]],0)),"")</f>
        <v/>
      </c>
      <c r="AB315" s="52" t="str">
        <f>IFERROR(INDEX(DraftResults[[#All],[Team Name]],MATCH(Table5[[#This Row],[PID]],DraftResults[[#All],[Player ID]],0)),"")</f>
        <v/>
      </c>
      <c r="AC315" s="52" t="str">
        <f>IF(Table5[[#This Row],[Ovr]]="","",IF(Table5[[#This Row],[cmbList]]="","",Table5[[#This Row],[cmbList]]-Table5[[#This Row],[Ovr]]))</f>
        <v/>
      </c>
      <c r="AD315" s="56" t="str">
        <f>IF(ISERROR(VLOOKUP($AB315&amp;"-"&amp;$E315&amp;" "&amp;F315,Bonuses!$B$1:$G$1006,4,FALSE)),"",INT(VLOOKUP($AB315&amp;"-"&amp;$E315&amp;" "&amp;$F315,Bonuses!$B$1:$G$1006,4,FALSE)))</f>
        <v/>
      </c>
      <c r="AE3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6" spans="1:31" s="52" customFormat="1" x14ac:dyDescent="0.25">
      <c r="A316" s="52">
        <v>17795</v>
      </c>
      <c r="B316" s="52">
        <f>COUNTIF(Table5[PID],A316)</f>
        <v>1</v>
      </c>
      <c r="C316" s="52" t="str">
        <f>IF(COUNTIF(Table3[[#All],[PID]],A316)&gt;0,"P","B")</f>
        <v>P</v>
      </c>
      <c r="D316" s="61" t="str">
        <f>IF($C316="B",INDEX(Batters[[#All],[POS]],MATCH(Table5[[#This Row],[PID]],Batters[[#All],[PID]],0)),INDEX(Table3[[#All],[POS]],MATCH(Table5[[#This Row],[PID]],Table3[[#All],[PID]],0)))</f>
        <v>CL</v>
      </c>
      <c r="E316" s="54" t="str">
        <f>IF($C316="B",INDEX(Batters[[#All],[First]],MATCH(Table5[[#This Row],[PID]],Batters[[#All],[PID]],0)),INDEX(Table3[[#All],[First]],MATCH(Table5[[#This Row],[PID]],Table3[[#All],[PID]],0)))</f>
        <v>Yasuhiro</v>
      </c>
      <c r="F316" s="52" t="str">
        <f>IF($C316="B",INDEX(Batters[[#All],[Last]],MATCH(A316,Batters[[#All],[PID]],0)),INDEX(Table3[[#All],[Last]],MATCH(A316,Table3[[#All],[PID]],0)))</f>
        <v>Kurota</v>
      </c>
      <c r="G316" s="58">
        <f>IF($C316="B",INDEX(Batters[[#All],[Age]],MATCH(Table5[[#This Row],[PID]],Batters[[#All],[PID]],0)),INDEX(Table3[[#All],[Age]],MATCH(Table5[[#This Row],[PID]],Table3[[#All],[PID]],0)))</f>
        <v>20</v>
      </c>
      <c r="H316" s="54" t="str">
        <f>IF($C316="B",INDEX(Batters[[#All],[B]],MATCH(Table5[[#This Row],[PID]],Batters[[#All],[PID]],0)),INDEX(Table3[[#All],[B]],MATCH(Table5[[#This Row],[PID]],Table3[[#All],[PID]],0)))</f>
        <v>R</v>
      </c>
      <c r="I316" s="54" t="str">
        <f>IF($C316="B",INDEX(Batters[[#All],[T]],MATCH(Table5[[#This Row],[PID]],Batters[[#All],[PID]],0)),INDEX(Table3[[#All],[T]],MATCH(Table5[[#This Row],[PID]],Table3[[#All],[PID]],0)))</f>
        <v>R</v>
      </c>
      <c r="J316" s="54" t="str">
        <f>IF($C316="B",INDEX(Batters[[#All],[WE]],MATCH(Table5[[#This Row],[PID]],Batters[[#All],[PID]],0)),INDEX(Table3[[#All],[WE]],MATCH(Table5[[#This Row],[PID]],Table3[[#All],[PID]],0)))</f>
        <v>Low</v>
      </c>
      <c r="K316" s="54" t="str">
        <f>IF($C316="B",INDEX(Batters[[#All],[INT]],MATCH(Table5[[#This Row],[PID]],Batters[[#All],[PID]],0)),INDEX(Table3[[#All],[INT]],MATCH(Table5[[#This Row],[PID]],Table3[[#All],[PID]],0)))</f>
        <v>Low</v>
      </c>
      <c r="L316" s="62">
        <f>IF($C316="B",INDEX(Batters[[#All],[CON P]],MATCH(Table5[[#This Row],[PID]],Batters[[#All],[PID]],0)),INDEX(Table3[[#All],[STU P]],MATCH(Table5[[#This Row],[PID]],Table3[[#All],[PID]],0)))</f>
        <v>6</v>
      </c>
      <c r="M316" s="58">
        <f>IF($C316="B",INDEX(Batters[[#All],[GAP P]],MATCH(Table5[[#This Row],[PID]],Batters[[#All],[PID]],0)),INDEX(Table3[[#All],[MOV P]],MATCH(Table5[[#This Row],[PID]],Table3[[#All],[PID]],0)))</f>
        <v>3</v>
      </c>
      <c r="N316" s="58">
        <f>IF($C316="B",INDEX(Batters[[#All],[POW P]],MATCH(Table5[[#This Row],[PID]],Batters[[#All],[PID]],0)),INDEX(Table3[[#All],[CON P]],MATCH(Table5[[#This Row],[PID]],Table3[[#All],[PID]],0)))</f>
        <v>2</v>
      </c>
      <c r="O316" s="58" t="str">
        <f>IF($C316="B",INDEX(Batters[[#All],[EYE P]],MATCH(Table5[[#This Row],[PID]],Batters[[#All],[PID]],0)),INDEX(Table3[[#All],[VELO]],MATCH(Table5[[#This Row],[PID]],Table3[[#All],[PID]],0)))</f>
        <v>91-93 Mph</v>
      </c>
      <c r="P316" s="58">
        <f>IF($C316="B",INDEX(Batters[[#All],[K P]],MATCH(Table5[[#This Row],[PID]],Batters[[#All],[PID]],0)),INDEX(Table3[[#All],[STM]],MATCH(Table5[[#This Row],[PID]],Table3[[#All],[PID]],0)))</f>
        <v>7</v>
      </c>
      <c r="Q316" s="63">
        <f>IF($C316="B",INDEX(Batters[[#All],[Tot]],MATCH(Table5[[#This Row],[PID]],Batters[[#All],[PID]],0)),INDEX(Table3[[#All],[Tot]],MATCH(Table5[[#This Row],[PID]],Table3[[#All],[PID]],0)))</f>
        <v>36.839688710087415</v>
      </c>
      <c r="R316" s="54">
        <f>IF($C316="B",INDEX(Batters[[#All],[zScore]],MATCH(Table5[[#This Row],[PID]],Batters[[#All],[PID]],0)),INDEX(Table3[[#All],[zScore]],MATCH(Table5[[#This Row],[PID]],Table3[[#All],[PID]],0)))</f>
        <v>0.37758664969685618</v>
      </c>
      <c r="S316" s="60" t="str">
        <f>IF($C316="B",INDEX(Batters[[#All],[DEM]],MATCH(Table5[[#This Row],[PID]],Batters[[#All],[PID]],0)),INDEX(Table3[[#All],[DEM]],MATCH(Table5[[#This Row],[PID]],Table3[[#All],[PID]],0)))</f>
        <v>$20k</v>
      </c>
      <c r="T316" s="64">
        <f>IF($C316="B",VLOOKUP($A316,Bat!$A$4:$AU$1417,46,FALSE),VLOOKUP($A316,Pit!$A$4:$BD$570,55,FALSE))</f>
        <v>0</v>
      </c>
      <c r="U316" s="52">
        <f>IF($C316="B",VLOOKUP($A316,Bat!$A$4:$BA$1417,47,FALSE),VLOOKUP($A316,Pit!$A$4:$BF$570,56,FALSE))</f>
        <v>0</v>
      </c>
      <c r="V316" s="52">
        <f>IF($C316="B",VLOOKUP($A316,Bat!$A$4:$BA$1417,48,FALSE),VLOOKUP($A316,Pit!$A$4:$BF$570,57,FALSE))</f>
        <v>0</v>
      </c>
      <c r="W316" s="52">
        <f>Table5[[#This Row],[posRnk]]+Table5[[#This Row],[zRnk]]+IF($W$3&lt;&gt;Table5[[#This Row],[Type]],50,0)</f>
        <v>362</v>
      </c>
      <c r="X316" s="53">
        <f>RANK(Table5[[#This Row],[zScore]],Table5[[#All],[zScore]])</f>
        <v>312</v>
      </c>
      <c r="Y316" s="52" t="str">
        <f>IFERROR(INDEX(DraftResults[[#All],[OVR]],MATCH(Table5[[#This Row],[PID]],DraftResults[[#All],[Player ID]],0)),"")</f>
        <v/>
      </c>
      <c r="Z3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6" s="52" t="str">
        <f>IFERROR(INDEX(DraftResults[[#All],[Pick in Round]],MATCH(Table5[[#This Row],[PID]],DraftResults[[#All],[Player ID]],0)),"")</f>
        <v/>
      </c>
      <c r="AB316" s="52" t="str">
        <f>IFERROR(INDEX(DraftResults[[#All],[Team Name]],MATCH(Table5[[#This Row],[PID]],DraftResults[[#All],[Player ID]],0)),"")</f>
        <v/>
      </c>
      <c r="AC316" s="52" t="str">
        <f>IF(Table5[[#This Row],[Ovr]]="","",IF(Table5[[#This Row],[cmbList]]="","",Table5[[#This Row],[cmbList]]-Table5[[#This Row],[Ovr]]))</f>
        <v/>
      </c>
      <c r="AD316" s="56" t="str">
        <f>IF(ISERROR(VLOOKUP($AB316&amp;"-"&amp;$E316&amp;" "&amp;F316,Bonuses!$B$1:$G$1006,4,FALSE)),"",INT(VLOOKUP($AB316&amp;"-"&amp;$E316&amp;" "&amp;$F316,Bonuses!$B$1:$G$1006,4,FALSE)))</f>
        <v/>
      </c>
      <c r="AE3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7" spans="1:31" s="52" customFormat="1" x14ac:dyDescent="0.25">
      <c r="A317" s="52">
        <v>17917</v>
      </c>
      <c r="B317" s="52">
        <f>COUNTIF(Table5[PID],A317)</f>
        <v>1</v>
      </c>
      <c r="C317" s="52" t="str">
        <f>IF(COUNTIF(Table3[[#All],[PID]],A317)&gt;0,"P","B")</f>
        <v>B</v>
      </c>
      <c r="D317" s="61" t="str">
        <f>IF($C317="B",INDEX(Batters[[#All],[POS]],MATCH(Table5[[#This Row],[PID]],Batters[[#All],[PID]],0)),INDEX(Table3[[#All],[POS]],MATCH(Table5[[#This Row],[PID]],Table3[[#All],[PID]],0)))</f>
        <v>CF</v>
      </c>
      <c r="E317" s="54" t="str">
        <f>IF($C317="B",INDEX(Batters[[#All],[First]],MATCH(Table5[[#This Row],[PID]],Batters[[#All],[PID]],0)),INDEX(Table3[[#All],[First]],MATCH(Table5[[#This Row],[PID]],Table3[[#All],[PID]],0)))</f>
        <v>Tatsukichi</v>
      </c>
      <c r="F317" s="52" t="str">
        <f>IF($C317="B",INDEX(Batters[[#All],[Last]],MATCH(A317,Batters[[#All],[PID]],0)),INDEX(Table3[[#All],[Last]],MATCH(A317,Table3[[#All],[PID]],0)))</f>
        <v>Shimizu</v>
      </c>
      <c r="G317" s="58">
        <f>IF($C317="B",INDEX(Batters[[#All],[Age]],MATCH(Table5[[#This Row],[PID]],Batters[[#All],[PID]],0)),INDEX(Table3[[#All],[Age]],MATCH(Table5[[#This Row],[PID]],Table3[[#All],[PID]],0)))</f>
        <v>18</v>
      </c>
      <c r="H317" s="54" t="str">
        <f>IF($C317="B",INDEX(Batters[[#All],[B]],MATCH(Table5[[#This Row],[PID]],Batters[[#All],[PID]],0)),INDEX(Table3[[#All],[B]],MATCH(Table5[[#This Row],[PID]],Table3[[#All],[PID]],0)))</f>
        <v>R</v>
      </c>
      <c r="I317" s="54" t="str">
        <f>IF($C317="B",INDEX(Batters[[#All],[T]],MATCH(Table5[[#This Row],[PID]],Batters[[#All],[PID]],0)),INDEX(Table3[[#All],[T]],MATCH(Table5[[#This Row],[PID]],Table3[[#All],[PID]],0)))</f>
        <v>R</v>
      </c>
      <c r="J317" s="54" t="str">
        <f>IF($C317="B",INDEX(Batters[[#All],[WE]],MATCH(Table5[[#This Row],[PID]],Batters[[#All],[PID]],0)),INDEX(Table3[[#All],[WE]],MATCH(Table5[[#This Row],[PID]],Table3[[#All],[PID]],0)))</f>
        <v>High</v>
      </c>
      <c r="K317" s="54" t="str">
        <f>IF($C317="B",INDEX(Batters[[#All],[INT]],MATCH(Table5[[#This Row],[PID]],Batters[[#All],[PID]],0)),INDEX(Table3[[#All],[INT]],MATCH(Table5[[#This Row],[PID]],Table3[[#All],[PID]],0)))</f>
        <v>Normal</v>
      </c>
      <c r="L317" s="62">
        <f>IF($C317="B",INDEX(Batters[[#All],[CON P]],MATCH(Table5[[#This Row],[PID]],Batters[[#All],[PID]],0)),INDEX(Table3[[#All],[STU P]],MATCH(Table5[[#This Row],[PID]],Table3[[#All],[PID]],0)))</f>
        <v>3</v>
      </c>
      <c r="M317" s="58">
        <f>IF($C317="B",INDEX(Batters[[#All],[GAP P]],MATCH(Table5[[#This Row],[PID]],Batters[[#All],[PID]],0)),INDEX(Table3[[#All],[MOV P]],MATCH(Table5[[#This Row],[PID]],Table3[[#All],[PID]],0)))</f>
        <v>3</v>
      </c>
      <c r="N317" s="58">
        <f>IF($C317="B",INDEX(Batters[[#All],[POW P]],MATCH(Table5[[#This Row],[PID]],Batters[[#All],[PID]],0)),INDEX(Table3[[#All],[CON P]],MATCH(Table5[[#This Row],[PID]],Table3[[#All],[PID]],0)))</f>
        <v>4</v>
      </c>
      <c r="O317" s="58">
        <f>IF($C317="B",INDEX(Batters[[#All],[EYE P]],MATCH(Table5[[#This Row],[PID]],Batters[[#All],[PID]],0)),INDEX(Table3[[#All],[VELO]],MATCH(Table5[[#This Row],[PID]],Table3[[#All],[PID]],0)))</f>
        <v>4</v>
      </c>
      <c r="P317" s="58">
        <f>IF($C317="B",INDEX(Batters[[#All],[K P]],MATCH(Table5[[#This Row],[PID]],Batters[[#All],[PID]],0)),INDEX(Table3[[#All],[STM]],MATCH(Table5[[#This Row],[PID]],Table3[[#All],[PID]],0)))</f>
        <v>3</v>
      </c>
      <c r="Q317" s="63">
        <f>IF($C317="B",INDEX(Batters[[#All],[Tot]],MATCH(Table5[[#This Row],[PID]],Batters[[#All],[PID]],0)),INDEX(Table3[[#All],[Tot]],MATCH(Table5[[#This Row],[PID]],Table3[[#All],[PID]],0)))</f>
        <v>42.493649492018179</v>
      </c>
      <c r="R317" s="54">
        <f>IF($C317="B",INDEX(Batters[[#All],[zScore]],MATCH(Table5[[#This Row],[PID]],Batters[[#All],[PID]],0)),INDEX(Table3[[#All],[zScore]],MATCH(Table5[[#This Row],[PID]],Table3[[#All],[PID]],0)))</f>
        <v>0.37746924645805763</v>
      </c>
      <c r="S317" s="60" t="str">
        <f>IF($C317="B",INDEX(Batters[[#All],[DEM]],MATCH(Table5[[#This Row],[PID]],Batters[[#All],[PID]],0)),INDEX(Table3[[#All],[DEM]],MATCH(Table5[[#This Row],[PID]],Table3[[#All],[PID]],0)))</f>
        <v>$65k</v>
      </c>
      <c r="T317" s="64">
        <f>IF($C317="B",VLOOKUP($A317,Bat!$A$4:$AU$1417,46,FALSE),VLOOKUP($A317,Pit!$A$4:$BD$570,55,FALSE))</f>
        <v>0</v>
      </c>
      <c r="U317" s="52">
        <f>IF($C317="B",VLOOKUP($A317,Bat!$A$4:$BA$1417,47,FALSE),VLOOKUP($A317,Pit!$A$4:$BF$570,56,FALSE))</f>
        <v>0</v>
      </c>
      <c r="V317" s="52">
        <f>IF($C317="B",VLOOKUP($A317,Bat!$A$4:$BA$1417,48,FALSE),VLOOKUP($A317,Pit!$A$4:$BF$570,57,FALSE))</f>
        <v>0</v>
      </c>
      <c r="W317" s="52">
        <f>Table5[[#This Row],[posRnk]]+Table5[[#This Row],[zRnk]]+IF($W$3&lt;&gt;Table5[[#This Row],[Type]],50,0)</f>
        <v>363</v>
      </c>
      <c r="X317" s="53">
        <f>RANK(Table5[[#This Row],[zScore]],Table5[[#All],[zScore]])</f>
        <v>313</v>
      </c>
      <c r="Y317" s="52" t="str">
        <f>IFERROR(INDEX(DraftResults[[#All],[OVR]],MATCH(Table5[[#This Row],[PID]],DraftResults[[#All],[Player ID]],0)),"")</f>
        <v/>
      </c>
      <c r="Z3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7" s="52" t="str">
        <f>IFERROR(INDEX(DraftResults[[#All],[Pick in Round]],MATCH(Table5[[#This Row],[PID]],DraftResults[[#All],[Player ID]],0)),"")</f>
        <v/>
      </c>
      <c r="AB317" s="52" t="str">
        <f>IFERROR(INDEX(DraftResults[[#All],[Team Name]],MATCH(Table5[[#This Row],[PID]],DraftResults[[#All],[Player ID]],0)),"")</f>
        <v/>
      </c>
      <c r="AC317" s="52" t="str">
        <f>IF(Table5[[#This Row],[Ovr]]="","",IF(Table5[[#This Row],[cmbList]]="","",Table5[[#This Row],[cmbList]]-Table5[[#This Row],[Ovr]]))</f>
        <v/>
      </c>
      <c r="AD317" s="56" t="str">
        <f>IF(ISERROR(VLOOKUP($AB317&amp;"-"&amp;$E317&amp;" "&amp;F317,Bonuses!$B$1:$G$1006,4,FALSE)),"",INT(VLOOKUP($AB317&amp;"-"&amp;$E317&amp;" "&amp;$F317,Bonuses!$B$1:$G$1006,4,FALSE)))</f>
        <v/>
      </c>
      <c r="AE3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8" spans="1:31" s="52" customFormat="1" x14ac:dyDescent="0.25">
      <c r="A318" s="52">
        <v>11210</v>
      </c>
      <c r="B318" s="57">
        <f>COUNTIF(Table5[PID],A318)</f>
        <v>1</v>
      </c>
      <c r="C318" s="57" t="str">
        <f>IF(COUNTIF(Table3[[#All],[PID]],A318)&gt;0,"P","B")</f>
        <v>B</v>
      </c>
      <c r="D318" s="61" t="str">
        <f>IF($C318="B",INDEX(Batters[[#All],[POS]],MATCH(Table5[[#This Row],[PID]],Batters[[#All],[PID]],0)),INDEX(Table3[[#All],[POS]],MATCH(Table5[[#This Row],[PID]],Table3[[#All],[PID]],0)))</f>
        <v>LF</v>
      </c>
      <c r="E318" s="54" t="str">
        <f>IF($C318="B",INDEX(Batters[[#All],[First]],MATCH(Table5[[#This Row],[PID]],Batters[[#All],[PID]],0)),INDEX(Table3[[#All],[First]],MATCH(Table5[[#This Row],[PID]],Table3[[#All],[PID]],0)))</f>
        <v>Yasushi</v>
      </c>
      <c r="F318" s="52" t="str">
        <f>IF($C318="B",INDEX(Batters[[#All],[Last]],MATCH(A318,Batters[[#All],[PID]],0)),INDEX(Table3[[#All],[Last]],MATCH(A318,Table3[[#All],[PID]],0)))</f>
        <v>Onishi</v>
      </c>
      <c r="G318" s="58">
        <f>IF($C318="B",INDEX(Batters[[#All],[Age]],MATCH(Table5[[#This Row],[PID]],Batters[[#All],[PID]],0)),INDEX(Table3[[#All],[Age]],MATCH(Table5[[#This Row],[PID]],Table3[[#All],[PID]],0)))</f>
        <v>21</v>
      </c>
      <c r="H318" s="54" t="str">
        <f>IF($C318="B",INDEX(Batters[[#All],[B]],MATCH(Table5[[#This Row],[PID]],Batters[[#All],[PID]],0)),INDEX(Table3[[#All],[B]],MATCH(Table5[[#This Row],[PID]],Table3[[#All],[PID]],0)))</f>
        <v>L</v>
      </c>
      <c r="I318" s="54" t="str">
        <f>IF($C318="B",INDEX(Batters[[#All],[T]],MATCH(Table5[[#This Row],[PID]],Batters[[#All],[PID]],0)),INDEX(Table3[[#All],[T]],MATCH(Table5[[#This Row],[PID]],Table3[[#All],[PID]],0)))</f>
        <v>L</v>
      </c>
      <c r="J318" s="54" t="str">
        <f>IF($C318="B",INDEX(Batters[[#All],[WE]],MATCH(Table5[[#This Row],[PID]],Batters[[#All],[PID]],0)),INDEX(Table3[[#All],[WE]],MATCH(Table5[[#This Row],[PID]],Table3[[#All],[PID]],0)))</f>
        <v>Normal</v>
      </c>
      <c r="K318" s="54" t="str">
        <f>IF($C318="B",INDEX(Batters[[#All],[INT]],MATCH(Table5[[#This Row],[PID]],Batters[[#All],[PID]],0)),INDEX(Table3[[#All],[INT]],MATCH(Table5[[#This Row],[PID]],Table3[[#All],[PID]],0)))</f>
        <v>Normal</v>
      </c>
      <c r="L318" s="62">
        <f>IF($C318="B",INDEX(Batters[[#All],[CON P]],MATCH(Table5[[#This Row],[PID]],Batters[[#All],[PID]],0)),INDEX(Table3[[#All],[STU P]],MATCH(Table5[[#This Row],[PID]],Table3[[#All],[PID]],0)))</f>
        <v>4</v>
      </c>
      <c r="M318" s="58">
        <f>IF($C318="B",INDEX(Batters[[#All],[GAP P]],MATCH(Table5[[#This Row],[PID]],Batters[[#All],[PID]],0)),INDEX(Table3[[#All],[MOV P]],MATCH(Table5[[#This Row],[PID]],Table3[[#All],[PID]],0)))</f>
        <v>4</v>
      </c>
      <c r="N318" s="58">
        <f>IF($C318="B",INDEX(Batters[[#All],[POW P]],MATCH(Table5[[#This Row],[PID]],Batters[[#All],[PID]],0)),INDEX(Table3[[#All],[CON P]],MATCH(Table5[[#This Row],[PID]],Table3[[#All],[PID]],0)))</f>
        <v>3</v>
      </c>
      <c r="O318" s="58">
        <f>IF($C318="B",INDEX(Batters[[#All],[EYE P]],MATCH(Table5[[#This Row],[PID]],Batters[[#All],[PID]],0)),INDEX(Table3[[#All],[VELO]],MATCH(Table5[[#This Row],[PID]],Table3[[#All],[PID]],0)))</f>
        <v>6</v>
      </c>
      <c r="P318" s="58">
        <f>IF($C318="B",INDEX(Batters[[#All],[K P]],MATCH(Table5[[#This Row],[PID]],Batters[[#All],[PID]],0)),INDEX(Table3[[#All],[STM]],MATCH(Table5[[#This Row],[PID]],Table3[[#All],[PID]],0)))</f>
        <v>4</v>
      </c>
      <c r="Q318" s="63">
        <f>IF($C318="B",INDEX(Batters[[#All],[Tot]],MATCH(Table5[[#This Row],[PID]],Batters[[#All],[PID]],0)),INDEX(Table3[[#All],[Tot]],MATCH(Table5[[#This Row],[PID]],Table3[[#All],[PID]],0)))</f>
        <v>42.443191291539279</v>
      </c>
      <c r="R318" s="54">
        <f>IF($C318="B",INDEX(Batters[[#All],[zScore]],MATCH(Table5[[#This Row],[PID]],Batters[[#All],[PID]],0)),INDEX(Table3[[#All],[zScore]],MATCH(Table5[[#This Row],[PID]],Table3[[#All],[PID]],0)))</f>
        <v>0.36859146144430344</v>
      </c>
      <c r="S318" s="60" t="str">
        <f>IF($C318="B",INDEX(Batters[[#All],[DEM]],MATCH(Table5[[#This Row],[PID]],Batters[[#All],[PID]],0)),INDEX(Table3[[#All],[DEM]],MATCH(Table5[[#This Row],[PID]],Table3[[#All],[PID]],0)))</f>
        <v>-</v>
      </c>
      <c r="T318" s="64">
        <f>IF($C318="B",VLOOKUP($A318,Bat!$A$4:$AU$1417,46,FALSE),VLOOKUP($A318,Pit!$A$4:$BD$570,55,FALSE))</f>
        <v>0</v>
      </c>
      <c r="U318" s="52">
        <f>IF($C318="B",VLOOKUP($A318,Bat!$A$4:$BA$1417,47,FALSE),VLOOKUP($A318,Pit!$A$4:$BF$570,56,FALSE))</f>
        <v>0</v>
      </c>
      <c r="V318" s="52">
        <f>IF($C318="B",VLOOKUP($A318,Bat!$A$4:$BA$1417,48,FALSE),VLOOKUP($A318,Pit!$A$4:$BF$570,57,FALSE))</f>
        <v>0</v>
      </c>
      <c r="W318" s="52">
        <f>Table5[[#This Row],[posRnk]]+Table5[[#This Row],[zRnk]]+IF($W$3&lt;&gt;Table5[[#This Row],[Type]],50,0)</f>
        <v>364</v>
      </c>
      <c r="X318" s="53">
        <f>RANK(Table5[[#This Row],[zScore]],Table5[[#All],[zScore]])</f>
        <v>314</v>
      </c>
      <c r="Y318" s="52" t="str">
        <f>IFERROR(INDEX(DraftResults[[#All],[OVR]],MATCH(Table5[[#This Row],[PID]],DraftResults[[#All],[Player ID]],0)),"")</f>
        <v/>
      </c>
      <c r="Z3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8" s="52" t="str">
        <f>IFERROR(INDEX(DraftResults[[#All],[Pick in Round]],MATCH(Table5[[#This Row],[PID]],DraftResults[[#All],[Player ID]],0)),"")</f>
        <v/>
      </c>
      <c r="AB318" s="52" t="str">
        <f>IFERROR(INDEX(DraftResults[[#All],[Team Name]],MATCH(Table5[[#This Row],[PID]],DraftResults[[#All],[Player ID]],0)),"")</f>
        <v/>
      </c>
      <c r="AC318" s="52" t="str">
        <f>IF(Table5[[#This Row],[Ovr]]="","",IF(Table5[[#This Row],[cmbList]]="","",Table5[[#This Row],[cmbList]]-Table5[[#This Row],[Ovr]]))</f>
        <v/>
      </c>
      <c r="AD318" s="56" t="str">
        <f>IF(ISERROR(VLOOKUP($AB318&amp;"-"&amp;$E318&amp;" "&amp;F318,Bonuses!$B$1:$G$1006,4,FALSE)),"",INT(VLOOKUP($AB318&amp;"-"&amp;$E318&amp;" "&amp;$F318,Bonuses!$B$1:$G$1006,4,FALSE)))</f>
        <v/>
      </c>
      <c r="AE3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9" spans="1:31" s="52" customFormat="1" x14ac:dyDescent="0.25">
      <c r="A319" s="52">
        <v>7359</v>
      </c>
      <c r="B319" s="52">
        <f>COUNTIF(Table5[PID],A319)</f>
        <v>1</v>
      </c>
      <c r="C319" s="52" t="str">
        <f>IF(COUNTIF(Table3[[#All],[PID]],A319)&gt;0,"P","B")</f>
        <v>P</v>
      </c>
      <c r="D319" s="61" t="str">
        <f>IF($C319="B",INDEX(Batters[[#All],[POS]],MATCH(Table5[[#This Row],[PID]],Batters[[#All],[PID]],0)),INDEX(Table3[[#All],[POS]],MATCH(Table5[[#This Row],[PID]],Table3[[#All],[PID]],0)))</f>
        <v>SP</v>
      </c>
      <c r="E319" s="54" t="str">
        <f>IF($C319="B",INDEX(Batters[[#All],[First]],MATCH(Table5[[#This Row],[PID]],Batters[[#All],[PID]],0)),INDEX(Table3[[#All],[First]],MATCH(Table5[[#This Row],[PID]],Table3[[#All],[PID]],0)))</f>
        <v>Ryan</v>
      </c>
      <c r="F319" s="52" t="str">
        <f>IF($C319="B",INDEX(Batters[[#All],[Last]],MATCH(A319,Batters[[#All],[PID]],0)),INDEX(Table3[[#All],[Last]],MATCH(A319,Table3[[#All],[PID]],0)))</f>
        <v>Anderson</v>
      </c>
      <c r="G319" s="58">
        <f>IF($C319="B",INDEX(Batters[[#All],[Age]],MATCH(Table5[[#This Row],[PID]],Batters[[#All],[PID]],0)),INDEX(Table3[[#All],[Age]],MATCH(Table5[[#This Row],[PID]],Table3[[#All],[PID]],0)))</f>
        <v>21</v>
      </c>
      <c r="H319" s="54" t="str">
        <f>IF($C319="B",INDEX(Batters[[#All],[B]],MATCH(Table5[[#This Row],[PID]],Batters[[#All],[PID]],0)),INDEX(Table3[[#All],[B]],MATCH(Table5[[#This Row],[PID]],Table3[[#All],[PID]],0)))</f>
        <v>R</v>
      </c>
      <c r="I319" s="54" t="str">
        <f>IF($C319="B",INDEX(Batters[[#All],[T]],MATCH(Table5[[#This Row],[PID]],Batters[[#All],[PID]],0)),INDEX(Table3[[#All],[T]],MATCH(Table5[[#This Row],[PID]],Table3[[#All],[PID]],0)))</f>
        <v>R</v>
      </c>
      <c r="J319" s="54" t="str">
        <f>IF($C319="B",INDEX(Batters[[#All],[WE]],MATCH(Table5[[#This Row],[PID]],Batters[[#All],[PID]],0)),INDEX(Table3[[#All],[WE]],MATCH(Table5[[#This Row],[PID]],Table3[[#All],[PID]],0)))</f>
        <v>Low</v>
      </c>
      <c r="K319" s="54" t="str">
        <f>IF($C319="B",INDEX(Batters[[#All],[INT]],MATCH(Table5[[#This Row],[PID]],Batters[[#All],[PID]],0)),INDEX(Table3[[#All],[INT]],MATCH(Table5[[#This Row],[PID]],Table3[[#All],[PID]],0)))</f>
        <v>High</v>
      </c>
      <c r="L319" s="62">
        <f>IF($C319="B",INDEX(Batters[[#All],[CON P]],MATCH(Table5[[#This Row],[PID]],Batters[[#All],[PID]],0)),INDEX(Table3[[#All],[STU P]],MATCH(Table5[[#This Row],[PID]],Table3[[#All],[PID]],0)))</f>
        <v>5</v>
      </c>
      <c r="M319" s="58">
        <f>IF($C319="B",INDEX(Batters[[#All],[GAP P]],MATCH(Table5[[#This Row],[PID]],Batters[[#All],[PID]],0)),INDEX(Table3[[#All],[MOV P]],MATCH(Table5[[#This Row],[PID]],Table3[[#All],[PID]],0)))</f>
        <v>1</v>
      </c>
      <c r="N319" s="58">
        <f>IF($C319="B",INDEX(Batters[[#All],[POW P]],MATCH(Table5[[#This Row],[PID]],Batters[[#All],[PID]],0)),INDEX(Table3[[#All],[CON P]],MATCH(Table5[[#This Row],[PID]],Table3[[#All],[PID]],0)))</f>
        <v>4</v>
      </c>
      <c r="O319" s="58" t="str">
        <f>IF($C319="B",INDEX(Batters[[#All],[EYE P]],MATCH(Table5[[#This Row],[PID]],Batters[[#All],[PID]],0)),INDEX(Table3[[#All],[VELO]],MATCH(Table5[[#This Row],[PID]],Table3[[#All],[PID]],0)))</f>
        <v>95-97 Mph</v>
      </c>
      <c r="P319" s="58">
        <f>IF($C319="B",INDEX(Batters[[#All],[K P]],MATCH(Table5[[#This Row],[PID]],Batters[[#All],[PID]],0)),INDEX(Table3[[#All],[STM]],MATCH(Table5[[#This Row],[PID]],Table3[[#All],[PID]],0)))</f>
        <v>6</v>
      </c>
      <c r="Q319" s="63">
        <f>IF($C319="B",INDEX(Batters[[#All],[Tot]],MATCH(Table5[[#This Row],[PID]],Batters[[#All],[PID]],0)),INDEX(Table3[[#All],[Tot]],MATCH(Table5[[#This Row],[PID]],Table3[[#All],[PID]],0)))</f>
        <v>36.67875351628507</v>
      </c>
      <c r="R319" s="54">
        <f>IF($C319="B",INDEX(Batters[[#All],[zScore]],MATCH(Table5[[#This Row],[PID]],Batters[[#All],[PID]],0)),INDEX(Table3[[#All],[zScore]],MATCH(Table5[[#This Row],[PID]],Table3[[#All],[PID]],0)))</f>
        <v>0.36282820457370618</v>
      </c>
      <c r="S319" s="60" t="str">
        <f>IF($C319="B",INDEX(Batters[[#All],[DEM]],MATCH(Table5[[#This Row],[PID]],Batters[[#All],[PID]],0)),INDEX(Table3[[#All],[DEM]],MATCH(Table5[[#This Row],[PID]],Table3[[#All],[PID]],0)))</f>
        <v>-</v>
      </c>
      <c r="T319" s="64">
        <f>IF($C319="B",VLOOKUP($A319,Bat!$A$4:$AU$1417,46,FALSE),VLOOKUP($A319,Pit!$A$4:$BD$570,55,FALSE))</f>
        <v>0</v>
      </c>
      <c r="U319" s="52">
        <f>IF($C319="B",VLOOKUP($A319,Bat!$A$4:$BA$1417,47,FALSE),VLOOKUP($A319,Pit!$A$4:$BF$570,56,FALSE))</f>
        <v>0</v>
      </c>
      <c r="V319" s="52">
        <f>IF($C319="B",VLOOKUP($A319,Bat!$A$4:$BA$1417,48,FALSE),VLOOKUP($A319,Pit!$A$4:$BF$570,57,FALSE))</f>
        <v>0</v>
      </c>
      <c r="W319" s="52">
        <f>Table5[[#This Row],[posRnk]]+Table5[[#This Row],[zRnk]]+IF($W$3&lt;&gt;Table5[[#This Row],[Type]],50,0)</f>
        <v>365</v>
      </c>
      <c r="X319" s="53">
        <f>RANK(Table5[[#This Row],[zScore]],Table5[[#All],[zScore]])</f>
        <v>315</v>
      </c>
      <c r="Y319" s="52" t="str">
        <f>IFERROR(INDEX(DraftResults[[#All],[OVR]],MATCH(Table5[[#This Row],[PID]],DraftResults[[#All],[Player ID]],0)),"")</f>
        <v/>
      </c>
      <c r="Z3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9" s="52" t="str">
        <f>IFERROR(INDEX(DraftResults[[#All],[Pick in Round]],MATCH(Table5[[#This Row],[PID]],DraftResults[[#All],[Player ID]],0)),"")</f>
        <v/>
      </c>
      <c r="AB319" s="52" t="str">
        <f>IFERROR(INDEX(DraftResults[[#All],[Team Name]],MATCH(Table5[[#This Row],[PID]],DraftResults[[#All],[Player ID]],0)),"")</f>
        <v/>
      </c>
      <c r="AC319" s="52" t="str">
        <f>IF(Table5[[#This Row],[Ovr]]="","",IF(Table5[[#This Row],[cmbList]]="","",Table5[[#This Row],[cmbList]]-Table5[[#This Row],[Ovr]]))</f>
        <v/>
      </c>
      <c r="AD319" s="56" t="str">
        <f>IF(ISERROR(VLOOKUP($AB319&amp;"-"&amp;$E319&amp;" "&amp;F319,Bonuses!$B$1:$G$1006,4,FALSE)),"",INT(VLOOKUP($AB319&amp;"-"&amp;$E319&amp;" "&amp;$F319,Bonuses!$B$1:$G$1006,4,FALSE)))</f>
        <v/>
      </c>
      <c r="AE3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0" spans="1:31" s="52" customFormat="1" x14ac:dyDescent="0.25">
      <c r="A320" s="52">
        <v>7327</v>
      </c>
      <c r="B320" s="57">
        <f>COUNTIF(Table5[PID],A320)</f>
        <v>1</v>
      </c>
      <c r="C320" s="57" t="str">
        <f>IF(COUNTIF(Table3[[#All],[PID]],A320)&gt;0,"P","B")</f>
        <v>B</v>
      </c>
      <c r="D320" s="61" t="str">
        <f>IF($C320="B",INDEX(Batters[[#All],[POS]],MATCH(Table5[[#This Row],[PID]],Batters[[#All],[PID]],0)),INDEX(Table3[[#All],[POS]],MATCH(Table5[[#This Row],[PID]],Table3[[#All],[PID]],0)))</f>
        <v>RF</v>
      </c>
      <c r="E320" s="54" t="str">
        <f>IF($C320="B",INDEX(Batters[[#All],[First]],MATCH(Table5[[#This Row],[PID]],Batters[[#All],[PID]],0)),INDEX(Table3[[#All],[First]],MATCH(Table5[[#This Row],[PID]],Table3[[#All],[PID]],0)))</f>
        <v>Marihito</v>
      </c>
      <c r="F320" s="52" t="str">
        <f>IF($C320="B",INDEX(Batters[[#All],[Last]],MATCH(A320,Batters[[#All],[PID]],0)),INDEX(Table3[[#All],[Last]],MATCH(A320,Table3[[#All],[PID]],0)))</f>
        <v>Nagai</v>
      </c>
      <c r="G320" s="58">
        <f>IF($C320="B",INDEX(Batters[[#All],[Age]],MATCH(Table5[[#This Row],[PID]],Batters[[#All],[PID]],0)),INDEX(Table3[[#All],[Age]],MATCH(Table5[[#This Row],[PID]],Table3[[#All],[PID]],0)))</f>
        <v>21</v>
      </c>
      <c r="H320" s="54" t="str">
        <f>IF($C320="B",INDEX(Batters[[#All],[B]],MATCH(Table5[[#This Row],[PID]],Batters[[#All],[PID]],0)),INDEX(Table3[[#All],[B]],MATCH(Table5[[#This Row],[PID]],Table3[[#All],[PID]],0)))</f>
        <v>L</v>
      </c>
      <c r="I320" s="54" t="str">
        <f>IF($C320="B",INDEX(Batters[[#All],[T]],MATCH(Table5[[#This Row],[PID]],Batters[[#All],[PID]],0)),INDEX(Table3[[#All],[T]],MATCH(Table5[[#This Row],[PID]],Table3[[#All],[PID]],0)))</f>
        <v>R</v>
      </c>
      <c r="J320" s="54" t="str">
        <f>IF($C320="B",INDEX(Batters[[#All],[WE]],MATCH(Table5[[#This Row],[PID]],Batters[[#All],[PID]],0)),INDEX(Table3[[#All],[WE]],MATCH(Table5[[#This Row],[PID]],Table3[[#All],[PID]],0)))</f>
        <v>Low</v>
      </c>
      <c r="K320" s="54" t="str">
        <f>IF($C320="B",INDEX(Batters[[#All],[INT]],MATCH(Table5[[#This Row],[PID]],Batters[[#All],[PID]],0)),INDEX(Table3[[#All],[INT]],MATCH(Table5[[#This Row],[PID]],Table3[[#All],[PID]],0)))</f>
        <v>Low</v>
      </c>
      <c r="L320" s="62">
        <f>IF($C320="B",INDEX(Batters[[#All],[CON P]],MATCH(Table5[[#This Row],[PID]],Batters[[#All],[PID]],0)),INDEX(Table3[[#All],[STU P]],MATCH(Table5[[#This Row],[PID]],Table3[[#All],[PID]],0)))</f>
        <v>4</v>
      </c>
      <c r="M320" s="58">
        <f>IF($C320="B",INDEX(Batters[[#All],[GAP P]],MATCH(Table5[[#This Row],[PID]],Batters[[#All],[PID]],0)),INDEX(Table3[[#All],[MOV P]],MATCH(Table5[[#This Row],[PID]],Table3[[#All],[PID]],0)))</f>
        <v>3</v>
      </c>
      <c r="N320" s="58">
        <f>IF($C320="B",INDEX(Batters[[#All],[POW P]],MATCH(Table5[[#This Row],[PID]],Batters[[#All],[PID]],0)),INDEX(Table3[[#All],[CON P]],MATCH(Table5[[#This Row],[PID]],Table3[[#All],[PID]],0)))</f>
        <v>4</v>
      </c>
      <c r="O320" s="58">
        <f>IF($C320="B",INDEX(Batters[[#All],[EYE P]],MATCH(Table5[[#This Row],[PID]],Batters[[#All],[PID]],0)),INDEX(Table3[[#All],[VELO]],MATCH(Table5[[#This Row],[PID]],Table3[[#All],[PID]],0)))</f>
        <v>6</v>
      </c>
      <c r="P320" s="58">
        <f>IF($C320="B",INDEX(Batters[[#All],[K P]],MATCH(Table5[[#This Row],[PID]],Batters[[#All],[PID]],0)),INDEX(Table3[[#All],[STM]],MATCH(Table5[[#This Row],[PID]],Table3[[#All],[PID]],0)))</f>
        <v>5</v>
      </c>
      <c r="Q320" s="63">
        <f>IF($C320="B",INDEX(Batters[[#All],[Tot]],MATCH(Table5[[#This Row],[PID]],Batters[[#All],[PID]],0)),INDEX(Table3[[#All],[Tot]],MATCH(Table5[[#This Row],[PID]],Table3[[#All],[PID]],0)))</f>
        <v>42.408461403183665</v>
      </c>
      <c r="R320" s="54">
        <f>IF($C320="B",INDEX(Batters[[#All],[zScore]],MATCH(Table5[[#This Row],[PID]],Batters[[#All],[PID]],0)),INDEX(Table3[[#All],[zScore]],MATCH(Table5[[#This Row],[PID]],Table3[[#All],[PID]],0)))</f>
        <v>0.36248096841350752</v>
      </c>
      <c r="S320" s="60" t="str">
        <f>IF($C320="B",INDEX(Batters[[#All],[DEM]],MATCH(Table5[[#This Row],[PID]],Batters[[#All],[PID]],0)),INDEX(Table3[[#All],[DEM]],MATCH(Table5[[#This Row],[PID]],Table3[[#All],[PID]],0)))</f>
        <v>$20k</v>
      </c>
      <c r="T320" s="64">
        <f>IF($C320="B",VLOOKUP($A320,Bat!$A$4:$AU$1417,46,FALSE),VLOOKUP($A320,Pit!$A$4:$BD$570,55,FALSE))</f>
        <v>0</v>
      </c>
      <c r="U320" s="52">
        <f>IF($C320="B",VLOOKUP($A320,Bat!$A$4:$BA$1417,47,FALSE),VLOOKUP($A320,Pit!$A$4:$BF$570,56,FALSE))</f>
        <v>0</v>
      </c>
      <c r="V320" s="52">
        <f>IF($C320="B",VLOOKUP($A320,Bat!$A$4:$BA$1417,48,FALSE),VLOOKUP($A320,Pit!$A$4:$BF$570,57,FALSE))</f>
        <v>0</v>
      </c>
      <c r="W320" s="52">
        <f>Table5[[#This Row],[posRnk]]+Table5[[#This Row],[zRnk]]+IF($W$3&lt;&gt;Table5[[#This Row],[Type]],50,0)</f>
        <v>366</v>
      </c>
      <c r="X320" s="53">
        <f>RANK(Table5[[#This Row],[zScore]],Table5[[#All],[zScore]])</f>
        <v>316</v>
      </c>
      <c r="Y320" s="52" t="str">
        <f>IFERROR(INDEX(DraftResults[[#All],[OVR]],MATCH(Table5[[#This Row],[PID]],DraftResults[[#All],[Player ID]],0)),"")</f>
        <v/>
      </c>
      <c r="Z3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0" s="52" t="str">
        <f>IFERROR(INDEX(DraftResults[[#All],[Pick in Round]],MATCH(Table5[[#This Row],[PID]],DraftResults[[#All],[Player ID]],0)),"")</f>
        <v/>
      </c>
      <c r="AB320" s="52" t="str">
        <f>IFERROR(INDEX(DraftResults[[#All],[Team Name]],MATCH(Table5[[#This Row],[PID]],DraftResults[[#All],[Player ID]],0)),"")</f>
        <v/>
      </c>
      <c r="AC320" s="52" t="str">
        <f>IF(Table5[[#This Row],[Ovr]]="","",IF(Table5[[#This Row],[cmbList]]="","",Table5[[#This Row],[cmbList]]-Table5[[#This Row],[Ovr]]))</f>
        <v/>
      </c>
      <c r="AD320" s="56" t="str">
        <f>IF(ISERROR(VLOOKUP($AB320&amp;"-"&amp;$E320&amp;" "&amp;F320,Bonuses!$B$1:$G$1006,4,FALSE)),"",INT(VLOOKUP($AB320&amp;"-"&amp;$E320&amp;" "&amp;$F320,Bonuses!$B$1:$G$1006,4,FALSE)))</f>
        <v/>
      </c>
      <c r="AE3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1" spans="1:31" s="52" customFormat="1" x14ac:dyDescent="0.25">
      <c r="A321" s="52">
        <v>7573</v>
      </c>
      <c r="B321" s="52">
        <f>COUNTIF(Table5[PID],A321)</f>
        <v>1</v>
      </c>
      <c r="C321" s="52" t="str">
        <f>IF(COUNTIF(Table3[[#All],[PID]],A321)&gt;0,"P","B")</f>
        <v>B</v>
      </c>
      <c r="D321" s="61" t="str">
        <f>IF($C321="B",INDEX(Batters[[#All],[POS]],MATCH(Table5[[#This Row],[PID]],Batters[[#All],[PID]],0)),INDEX(Table3[[#All],[POS]],MATCH(Table5[[#This Row],[PID]],Table3[[#All],[PID]],0)))</f>
        <v>C</v>
      </c>
      <c r="E321" s="54" t="str">
        <f>IF($C321="B",INDEX(Batters[[#All],[First]],MATCH(Table5[[#This Row],[PID]],Batters[[#All],[PID]],0)),INDEX(Table3[[#All],[First]],MATCH(Table5[[#This Row],[PID]],Table3[[#All],[PID]],0)))</f>
        <v>Javier</v>
      </c>
      <c r="F321" s="52" t="str">
        <f>IF($C321="B",INDEX(Batters[[#All],[Last]],MATCH(A321,Batters[[#All],[PID]],0)),INDEX(Table3[[#All],[Last]],MATCH(A321,Table3[[#All],[PID]],0)))</f>
        <v>Carvajal</v>
      </c>
      <c r="G321" s="58">
        <f>IF($C321="B",INDEX(Batters[[#All],[Age]],MATCH(Table5[[#This Row],[PID]],Batters[[#All],[PID]],0)),INDEX(Table3[[#All],[Age]],MATCH(Table5[[#This Row],[PID]],Table3[[#All],[PID]],0)))</f>
        <v>18</v>
      </c>
      <c r="H321" s="54" t="str">
        <f>IF($C321="B",INDEX(Batters[[#All],[B]],MATCH(Table5[[#This Row],[PID]],Batters[[#All],[PID]],0)),INDEX(Table3[[#All],[B]],MATCH(Table5[[#This Row],[PID]],Table3[[#All],[PID]],0)))</f>
        <v>R</v>
      </c>
      <c r="I321" s="54" t="str">
        <f>IF($C321="B",INDEX(Batters[[#All],[T]],MATCH(Table5[[#This Row],[PID]],Batters[[#All],[PID]],0)),INDEX(Table3[[#All],[T]],MATCH(Table5[[#This Row],[PID]],Table3[[#All],[PID]],0)))</f>
        <v>R</v>
      </c>
      <c r="J321" s="54" t="str">
        <f>IF($C321="B",INDEX(Batters[[#All],[WE]],MATCH(Table5[[#This Row],[PID]],Batters[[#All],[PID]],0)),INDEX(Table3[[#All],[WE]],MATCH(Table5[[#This Row],[PID]],Table3[[#All],[PID]],0)))</f>
        <v>Normal</v>
      </c>
      <c r="K321" s="54" t="str">
        <f>IF($C321="B",INDEX(Batters[[#All],[INT]],MATCH(Table5[[#This Row],[PID]],Batters[[#All],[PID]],0)),INDEX(Table3[[#All],[INT]],MATCH(Table5[[#This Row],[PID]],Table3[[#All],[PID]],0)))</f>
        <v>Normal</v>
      </c>
      <c r="L321" s="62">
        <f>IF($C321="B",INDEX(Batters[[#All],[CON P]],MATCH(Table5[[#This Row],[PID]],Batters[[#All],[PID]],0)),INDEX(Table3[[#All],[STU P]],MATCH(Table5[[#This Row],[PID]],Table3[[#All],[PID]],0)))</f>
        <v>3</v>
      </c>
      <c r="M321" s="58">
        <f>IF($C321="B",INDEX(Batters[[#All],[GAP P]],MATCH(Table5[[#This Row],[PID]],Batters[[#All],[PID]],0)),INDEX(Table3[[#All],[MOV P]],MATCH(Table5[[#This Row],[PID]],Table3[[#All],[PID]],0)))</f>
        <v>2</v>
      </c>
      <c r="N321" s="58">
        <f>IF($C321="B",INDEX(Batters[[#All],[POW P]],MATCH(Table5[[#This Row],[PID]],Batters[[#All],[PID]],0)),INDEX(Table3[[#All],[CON P]],MATCH(Table5[[#This Row],[PID]],Table3[[#All],[PID]],0)))</f>
        <v>4</v>
      </c>
      <c r="O321" s="58">
        <f>IF($C321="B",INDEX(Batters[[#All],[EYE P]],MATCH(Table5[[#This Row],[PID]],Batters[[#All],[PID]],0)),INDEX(Table3[[#All],[VELO]],MATCH(Table5[[#This Row],[PID]],Table3[[#All],[PID]],0)))</f>
        <v>5</v>
      </c>
      <c r="P321" s="58">
        <f>IF($C321="B",INDEX(Batters[[#All],[K P]],MATCH(Table5[[#This Row],[PID]],Batters[[#All],[PID]],0)),INDEX(Table3[[#All],[STM]],MATCH(Table5[[#This Row],[PID]],Table3[[#All],[PID]],0)))</f>
        <v>3</v>
      </c>
      <c r="Q321" s="63">
        <f>IF($C321="B",INDEX(Batters[[#All],[Tot]],MATCH(Table5[[#This Row],[PID]],Batters[[#All],[PID]],0)),INDEX(Table3[[#All],[Tot]],MATCH(Table5[[#This Row],[PID]],Table3[[#All],[PID]],0)))</f>
        <v>42.406780731110139</v>
      </c>
      <c r="R321" s="54">
        <f>IF($C321="B",INDEX(Batters[[#All],[zScore]],MATCH(Table5[[#This Row],[PID]],Batters[[#All],[PID]],0)),INDEX(Table3[[#All],[zScore]],MATCH(Table5[[#This Row],[PID]],Table3[[#All],[PID]],0)))</f>
        <v>0.36218526533242706</v>
      </c>
      <c r="S321" s="60" t="str">
        <f>IF($C321="B",INDEX(Batters[[#All],[DEM]],MATCH(Table5[[#This Row],[PID]],Batters[[#All],[PID]],0)),INDEX(Table3[[#All],[DEM]],MATCH(Table5[[#This Row],[PID]],Table3[[#All],[PID]],0)))</f>
        <v>$200k</v>
      </c>
      <c r="T321" s="64">
        <f>IF($C321="B",VLOOKUP($A321,Bat!$A$4:$AU$1417,46,FALSE),VLOOKUP($A321,Pit!$A$4:$BD$570,55,FALSE))</f>
        <v>0</v>
      </c>
      <c r="U321" s="52">
        <f>IF($C321="B",VLOOKUP($A321,Bat!$A$4:$BA$1417,47,FALSE),VLOOKUP($A321,Pit!$A$4:$BF$570,56,FALSE))</f>
        <v>0</v>
      </c>
      <c r="V321" s="52">
        <f>IF($C321="B",VLOOKUP($A321,Bat!$A$4:$BA$1417,48,FALSE),VLOOKUP($A321,Pit!$A$4:$BF$570,57,FALSE))</f>
        <v>0</v>
      </c>
      <c r="W321" s="52">
        <f>Table5[[#This Row],[posRnk]]+Table5[[#This Row],[zRnk]]+IF($W$3&lt;&gt;Table5[[#This Row],[Type]],50,0)</f>
        <v>367</v>
      </c>
      <c r="X321" s="53">
        <f>RANK(Table5[[#This Row],[zScore]],Table5[[#All],[zScore]])</f>
        <v>317</v>
      </c>
      <c r="Y321" s="52" t="str">
        <f>IFERROR(INDEX(DraftResults[[#All],[OVR]],MATCH(Table5[[#This Row],[PID]],DraftResults[[#All],[Player ID]],0)),"")</f>
        <v/>
      </c>
      <c r="Z3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1" s="52" t="str">
        <f>IFERROR(INDEX(DraftResults[[#All],[Pick in Round]],MATCH(Table5[[#This Row],[PID]],DraftResults[[#All],[Player ID]],0)),"")</f>
        <v/>
      </c>
      <c r="AB321" s="52" t="str">
        <f>IFERROR(INDEX(DraftResults[[#All],[Team Name]],MATCH(Table5[[#This Row],[PID]],DraftResults[[#All],[Player ID]],0)),"")</f>
        <v/>
      </c>
      <c r="AC321" s="52" t="str">
        <f>IF(Table5[[#This Row],[Ovr]]="","",IF(Table5[[#This Row],[cmbList]]="","",Table5[[#This Row],[cmbList]]-Table5[[#This Row],[Ovr]]))</f>
        <v/>
      </c>
      <c r="AD321" s="56" t="str">
        <f>IF(ISERROR(VLOOKUP($AB321&amp;"-"&amp;$E321&amp;" "&amp;F321,Bonuses!$B$1:$G$1006,4,FALSE)),"",INT(VLOOKUP($AB321&amp;"-"&amp;$E321&amp;" "&amp;$F321,Bonuses!$B$1:$G$1006,4,FALSE)))</f>
        <v/>
      </c>
      <c r="AE3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2" spans="1:31" s="52" customFormat="1" x14ac:dyDescent="0.25">
      <c r="A322" s="52">
        <v>6788</v>
      </c>
      <c r="B322" s="57">
        <f>COUNTIF(Table5[PID],A322)</f>
        <v>1</v>
      </c>
      <c r="C322" s="57" t="str">
        <f>IF(COUNTIF(Table3[[#All],[PID]],A322)&gt;0,"P","B")</f>
        <v>B</v>
      </c>
      <c r="D322" s="61" t="str">
        <f>IF($C322="B",INDEX(Batters[[#All],[POS]],MATCH(Table5[[#This Row],[PID]],Batters[[#All],[PID]],0)),INDEX(Table3[[#All],[POS]],MATCH(Table5[[#This Row],[PID]],Table3[[#All],[PID]],0)))</f>
        <v>RF</v>
      </c>
      <c r="E322" s="54" t="str">
        <f>IF($C322="B",INDEX(Batters[[#All],[First]],MATCH(Table5[[#This Row],[PID]],Batters[[#All],[PID]],0)),INDEX(Table3[[#All],[First]],MATCH(Table5[[#This Row],[PID]],Table3[[#All],[PID]],0)))</f>
        <v>Noboru</v>
      </c>
      <c r="F322" s="52" t="str">
        <f>IF($C322="B",INDEX(Batters[[#All],[Last]],MATCH(A322,Batters[[#All],[PID]],0)),INDEX(Table3[[#All],[Last]],MATCH(A322,Table3[[#All],[PID]],0)))</f>
        <v>Yamasaki</v>
      </c>
      <c r="G322" s="58">
        <f>IF($C322="B",INDEX(Batters[[#All],[Age]],MATCH(Table5[[#This Row],[PID]],Batters[[#All],[PID]],0)),INDEX(Table3[[#All],[Age]],MATCH(Table5[[#This Row],[PID]],Table3[[#All],[PID]],0)))</f>
        <v>21</v>
      </c>
      <c r="H322" s="54" t="str">
        <f>IF($C322="B",INDEX(Batters[[#All],[B]],MATCH(Table5[[#This Row],[PID]],Batters[[#All],[PID]],0)),INDEX(Table3[[#All],[B]],MATCH(Table5[[#This Row],[PID]],Table3[[#All],[PID]],0)))</f>
        <v>R</v>
      </c>
      <c r="I322" s="54" t="str">
        <f>IF($C322="B",INDEX(Batters[[#All],[T]],MATCH(Table5[[#This Row],[PID]],Batters[[#All],[PID]],0)),INDEX(Table3[[#All],[T]],MATCH(Table5[[#This Row],[PID]],Table3[[#All],[PID]],0)))</f>
        <v>R</v>
      </c>
      <c r="J322" s="54" t="str">
        <f>IF($C322="B",INDEX(Batters[[#All],[WE]],MATCH(Table5[[#This Row],[PID]],Batters[[#All],[PID]],0)),INDEX(Table3[[#All],[WE]],MATCH(Table5[[#This Row],[PID]],Table3[[#All],[PID]],0)))</f>
        <v>High</v>
      </c>
      <c r="K322" s="54" t="str">
        <f>IF($C322="B",INDEX(Batters[[#All],[INT]],MATCH(Table5[[#This Row],[PID]],Batters[[#All],[PID]],0)),INDEX(Table3[[#All],[INT]],MATCH(Table5[[#This Row],[PID]],Table3[[#All],[PID]],0)))</f>
        <v>Normal</v>
      </c>
      <c r="L322" s="62">
        <f>IF($C322="B",INDEX(Batters[[#All],[CON P]],MATCH(Table5[[#This Row],[PID]],Batters[[#All],[PID]],0)),INDEX(Table3[[#All],[STU P]],MATCH(Table5[[#This Row],[PID]],Table3[[#All],[PID]],0)))</f>
        <v>4</v>
      </c>
      <c r="M322" s="58">
        <f>IF($C322="B",INDEX(Batters[[#All],[GAP P]],MATCH(Table5[[#This Row],[PID]],Batters[[#All],[PID]],0)),INDEX(Table3[[#All],[MOV P]],MATCH(Table5[[#This Row],[PID]],Table3[[#All],[PID]],0)))</f>
        <v>3</v>
      </c>
      <c r="N322" s="58">
        <f>IF($C322="B",INDEX(Batters[[#All],[POW P]],MATCH(Table5[[#This Row],[PID]],Batters[[#All],[PID]],0)),INDEX(Table3[[#All],[CON P]],MATCH(Table5[[#This Row],[PID]],Table3[[#All],[PID]],0)))</f>
        <v>3</v>
      </c>
      <c r="O322" s="58">
        <f>IF($C322="B",INDEX(Batters[[#All],[EYE P]],MATCH(Table5[[#This Row],[PID]],Batters[[#All],[PID]],0)),INDEX(Table3[[#All],[VELO]],MATCH(Table5[[#This Row],[PID]],Table3[[#All],[PID]],0)))</f>
        <v>5</v>
      </c>
      <c r="P322" s="58">
        <f>IF($C322="B",INDEX(Batters[[#All],[K P]],MATCH(Table5[[#This Row],[PID]],Batters[[#All],[PID]],0)),INDEX(Table3[[#All],[STM]],MATCH(Table5[[#This Row],[PID]],Table3[[#All],[PID]],0)))</f>
        <v>5</v>
      </c>
      <c r="Q322" s="63">
        <f>IF($C322="B",INDEX(Batters[[#All],[Tot]],MATCH(Table5[[#This Row],[PID]],Batters[[#All],[PID]],0)),INDEX(Table3[[#All],[Tot]],MATCH(Table5[[#This Row],[PID]],Table3[[#All],[PID]],0)))</f>
        <v>42.400187353998795</v>
      </c>
      <c r="R322" s="54">
        <f>IF($C322="B",INDEX(Batters[[#All],[zScore]],MATCH(Table5[[#This Row],[PID]],Batters[[#All],[PID]],0)),INDEX(Table3[[#All],[zScore]],MATCH(Table5[[#This Row],[PID]],Table3[[#All],[PID]],0)))</f>
        <v>0.36102520445127073</v>
      </c>
      <c r="S322" s="60" t="str">
        <f>IF($C322="B",INDEX(Batters[[#All],[DEM]],MATCH(Table5[[#This Row],[PID]],Batters[[#All],[PID]],0)),INDEX(Table3[[#All],[DEM]],MATCH(Table5[[#This Row],[PID]],Table3[[#All],[PID]],0)))</f>
        <v>-</v>
      </c>
      <c r="T322" s="64">
        <f>IF($C322="B",VLOOKUP($A322,Bat!$A$4:$AU$1417,46,FALSE),VLOOKUP($A322,Pit!$A$4:$BD$570,55,FALSE))</f>
        <v>0</v>
      </c>
      <c r="U322" s="52">
        <f>IF($C322="B",VLOOKUP($A322,Bat!$A$4:$BA$1417,47,FALSE),VLOOKUP($A322,Pit!$A$4:$BF$570,56,FALSE))</f>
        <v>0</v>
      </c>
      <c r="V322" s="52">
        <f>IF($C322="B",VLOOKUP($A322,Bat!$A$4:$BA$1417,48,FALSE),VLOOKUP($A322,Pit!$A$4:$BF$570,57,FALSE))</f>
        <v>0</v>
      </c>
      <c r="W322" s="52">
        <f>Table5[[#This Row],[posRnk]]+Table5[[#This Row],[zRnk]]+IF($W$3&lt;&gt;Table5[[#This Row],[Type]],50,0)</f>
        <v>368</v>
      </c>
      <c r="X322" s="53">
        <f>RANK(Table5[[#This Row],[zScore]],Table5[[#All],[zScore]])</f>
        <v>318</v>
      </c>
      <c r="Y322" s="52" t="str">
        <f>IFERROR(INDEX(DraftResults[[#All],[OVR]],MATCH(Table5[[#This Row],[PID]],DraftResults[[#All],[Player ID]],0)),"")</f>
        <v/>
      </c>
      <c r="Z3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2" s="52" t="str">
        <f>IFERROR(INDEX(DraftResults[[#All],[Pick in Round]],MATCH(Table5[[#This Row],[PID]],DraftResults[[#All],[Player ID]],0)),"")</f>
        <v/>
      </c>
      <c r="AB322" s="52" t="str">
        <f>IFERROR(INDEX(DraftResults[[#All],[Team Name]],MATCH(Table5[[#This Row],[PID]],DraftResults[[#All],[Player ID]],0)),"")</f>
        <v/>
      </c>
      <c r="AC322" s="52" t="str">
        <f>IF(Table5[[#This Row],[Ovr]]="","",IF(Table5[[#This Row],[cmbList]]="","",Table5[[#This Row],[cmbList]]-Table5[[#This Row],[Ovr]]))</f>
        <v/>
      </c>
      <c r="AD322" s="56" t="str">
        <f>IF(ISERROR(VLOOKUP($AB322&amp;"-"&amp;$E322&amp;" "&amp;F322,Bonuses!$B$1:$G$1006,4,FALSE)),"",INT(VLOOKUP($AB322&amp;"-"&amp;$E322&amp;" "&amp;$F322,Bonuses!$B$1:$G$1006,4,FALSE)))</f>
        <v/>
      </c>
      <c r="AE3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3" spans="1:31" s="52" customFormat="1" x14ac:dyDescent="0.25">
      <c r="A323" s="52">
        <v>6176</v>
      </c>
      <c r="B323" s="52">
        <f>COUNTIF(Table5[PID],A323)</f>
        <v>1</v>
      </c>
      <c r="C323" s="52" t="str">
        <f>IF(COUNTIF(Table3[[#All],[PID]],A323)&gt;0,"P","B")</f>
        <v>B</v>
      </c>
      <c r="D323" s="61" t="str">
        <f>IF($C323="B",INDEX(Batters[[#All],[POS]],MATCH(Table5[[#This Row],[PID]],Batters[[#All],[PID]],0)),INDEX(Table3[[#All],[POS]],MATCH(Table5[[#This Row],[PID]],Table3[[#All],[PID]],0)))</f>
        <v>3B</v>
      </c>
      <c r="E323" s="54" t="str">
        <f>IF($C323="B",INDEX(Batters[[#All],[First]],MATCH(Table5[[#This Row],[PID]],Batters[[#All],[PID]],0)),INDEX(Table3[[#All],[First]],MATCH(Table5[[#This Row],[PID]],Table3[[#All],[PID]],0)))</f>
        <v>Jon</v>
      </c>
      <c r="F323" s="52" t="str">
        <f>IF($C323="B",INDEX(Batters[[#All],[Last]],MATCH(A323,Batters[[#All],[PID]],0)),INDEX(Table3[[#All],[Last]],MATCH(A323,Table3[[#All],[PID]],0)))</f>
        <v>Padgett</v>
      </c>
      <c r="G323" s="58">
        <f>IF($C323="B",INDEX(Batters[[#All],[Age]],MATCH(Table5[[#This Row],[PID]],Batters[[#All],[PID]],0)),INDEX(Table3[[#All],[Age]],MATCH(Table5[[#This Row],[PID]],Table3[[#All],[PID]],0)))</f>
        <v>18</v>
      </c>
      <c r="H323" s="54" t="str">
        <f>IF($C323="B",INDEX(Batters[[#All],[B]],MATCH(Table5[[#This Row],[PID]],Batters[[#All],[PID]],0)),INDEX(Table3[[#All],[B]],MATCH(Table5[[#This Row],[PID]],Table3[[#All],[PID]],0)))</f>
        <v>R</v>
      </c>
      <c r="I323" s="54" t="str">
        <f>IF($C323="B",INDEX(Batters[[#All],[T]],MATCH(Table5[[#This Row],[PID]],Batters[[#All],[PID]],0)),INDEX(Table3[[#All],[T]],MATCH(Table5[[#This Row],[PID]],Table3[[#All],[PID]],0)))</f>
        <v>R</v>
      </c>
      <c r="J323" s="54" t="str">
        <f>IF($C323="B",INDEX(Batters[[#All],[WE]],MATCH(Table5[[#This Row],[PID]],Batters[[#All],[PID]],0)),INDEX(Table3[[#All],[WE]],MATCH(Table5[[#This Row],[PID]],Table3[[#All],[PID]],0)))</f>
        <v>High</v>
      </c>
      <c r="K323" s="54" t="str">
        <f>IF($C323="B",INDEX(Batters[[#All],[INT]],MATCH(Table5[[#This Row],[PID]],Batters[[#All],[PID]],0)),INDEX(Table3[[#All],[INT]],MATCH(Table5[[#This Row],[PID]],Table3[[#All],[PID]],0)))</f>
        <v>Normal</v>
      </c>
      <c r="L323" s="62">
        <f>IF($C323="B",INDEX(Batters[[#All],[CON P]],MATCH(Table5[[#This Row],[PID]],Batters[[#All],[PID]],0)),INDEX(Table3[[#All],[STU P]],MATCH(Table5[[#This Row],[PID]],Table3[[#All],[PID]],0)))</f>
        <v>3</v>
      </c>
      <c r="M323" s="58">
        <f>IF($C323="B",INDEX(Batters[[#All],[GAP P]],MATCH(Table5[[#This Row],[PID]],Batters[[#All],[PID]],0)),INDEX(Table3[[#All],[MOV P]],MATCH(Table5[[#This Row],[PID]],Table3[[#All],[PID]],0)))</f>
        <v>3</v>
      </c>
      <c r="N323" s="58">
        <f>IF($C323="B",INDEX(Batters[[#All],[POW P]],MATCH(Table5[[#This Row],[PID]],Batters[[#All],[PID]],0)),INDEX(Table3[[#All],[CON P]],MATCH(Table5[[#This Row],[PID]],Table3[[#All],[PID]],0)))</f>
        <v>5</v>
      </c>
      <c r="O323" s="58">
        <f>IF($C323="B",INDEX(Batters[[#All],[EYE P]],MATCH(Table5[[#This Row],[PID]],Batters[[#All],[PID]],0)),INDEX(Table3[[#All],[VELO]],MATCH(Table5[[#This Row],[PID]],Table3[[#All],[PID]],0)))</f>
        <v>4</v>
      </c>
      <c r="P323" s="58">
        <f>IF($C323="B",INDEX(Batters[[#All],[K P]],MATCH(Table5[[#This Row],[PID]],Batters[[#All],[PID]],0)),INDEX(Table3[[#All],[STM]],MATCH(Table5[[#This Row],[PID]],Table3[[#All],[PID]],0)))</f>
        <v>3</v>
      </c>
      <c r="Q323" s="63">
        <f>IF($C323="B",INDEX(Batters[[#All],[Tot]],MATCH(Table5[[#This Row],[PID]],Batters[[#All],[PID]],0)),INDEX(Table3[[#All],[Tot]],MATCH(Table5[[#This Row],[PID]],Table3[[#All],[PID]],0)))</f>
        <v>42.398083131970708</v>
      </c>
      <c r="R323" s="54">
        <f>IF($C323="B",INDEX(Batters[[#All],[zScore]],MATCH(Table5[[#This Row],[PID]],Batters[[#All],[PID]],0)),INDEX(Table3[[#All],[zScore]],MATCH(Table5[[#This Row],[PID]],Table3[[#All],[PID]],0)))</f>
        <v>0.3606549805707267</v>
      </c>
      <c r="S323" s="60" t="str">
        <f>IF($C323="B",INDEX(Batters[[#All],[DEM]],MATCH(Table5[[#This Row],[PID]],Batters[[#All],[PID]],0)),INDEX(Table3[[#All],[DEM]],MATCH(Table5[[#This Row],[PID]],Table3[[#All],[PID]],0)))</f>
        <v>$38k</v>
      </c>
      <c r="T323" s="64">
        <f>IF($C323="B",VLOOKUP($A323,Bat!$A$4:$AU$1417,46,FALSE),VLOOKUP($A323,Pit!$A$4:$BD$570,55,FALSE))</f>
        <v>0</v>
      </c>
      <c r="U323" s="52">
        <f>IF($C323="B",VLOOKUP($A323,Bat!$A$4:$BA$1417,47,FALSE),VLOOKUP($A323,Pit!$A$4:$BF$570,56,FALSE))</f>
        <v>0</v>
      </c>
      <c r="V323" s="52">
        <f>IF($C323="B",VLOOKUP($A323,Bat!$A$4:$BA$1417,48,FALSE),VLOOKUP($A323,Pit!$A$4:$BF$570,57,FALSE))</f>
        <v>0</v>
      </c>
      <c r="W323" s="52">
        <f>Table5[[#This Row],[posRnk]]+Table5[[#This Row],[zRnk]]+IF($W$3&lt;&gt;Table5[[#This Row],[Type]],50,0)</f>
        <v>369</v>
      </c>
      <c r="X323" s="53">
        <f>RANK(Table5[[#This Row],[zScore]],Table5[[#All],[zScore]])</f>
        <v>319</v>
      </c>
      <c r="Y323" s="52" t="str">
        <f>IFERROR(INDEX(DraftResults[[#All],[OVR]],MATCH(Table5[[#This Row],[PID]],DraftResults[[#All],[Player ID]],0)),"")</f>
        <v/>
      </c>
      <c r="Z3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3" s="52" t="str">
        <f>IFERROR(INDEX(DraftResults[[#All],[Pick in Round]],MATCH(Table5[[#This Row],[PID]],DraftResults[[#All],[Player ID]],0)),"")</f>
        <v/>
      </c>
      <c r="AB323" s="52" t="str">
        <f>IFERROR(INDEX(DraftResults[[#All],[Team Name]],MATCH(Table5[[#This Row],[PID]],DraftResults[[#All],[Player ID]],0)),"")</f>
        <v/>
      </c>
      <c r="AC323" s="52" t="str">
        <f>IF(Table5[[#This Row],[Ovr]]="","",IF(Table5[[#This Row],[cmbList]]="","",Table5[[#This Row],[cmbList]]-Table5[[#This Row],[Ovr]]))</f>
        <v/>
      </c>
      <c r="AD323" s="56" t="str">
        <f>IF(ISERROR(VLOOKUP($AB323&amp;"-"&amp;$E323&amp;" "&amp;F323,Bonuses!$B$1:$G$1006,4,FALSE)),"",INT(VLOOKUP($AB323&amp;"-"&amp;$E323&amp;" "&amp;$F323,Bonuses!$B$1:$G$1006,4,FALSE)))</f>
        <v/>
      </c>
      <c r="AE3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4" spans="1:31" s="52" customFormat="1" x14ac:dyDescent="0.25">
      <c r="A324" s="52">
        <v>10292</v>
      </c>
      <c r="B324" s="57">
        <f>COUNTIF(Table5[PID],A324)</f>
        <v>1</v>
      </c>
      <c r="C324" s="57" t="str">
        <f>IF(COUNTIF(Table3[[#All],[PID]],A324)&gt;0,"P","B")</f>
        <v>B</v>
      </c>
      <c r="D324" s="61" t="str">
        <f>IF($C324="B",INDEX(Batters[[#All],[POS]],MATCH(Table5[[#This Row],[PID]],Batters[[#All],[PID]],0)),INDEX(Table3[[#All],[POS]],MATCH(Table5[[#This Row],[PID]],Table3[[#All],[PID]],0)))</f>
        <v>RF</v>
      </c>
      <c r="E324" s="54" t="str">
        <f>IF($C324="B",INDEX(Batters[[#All],[First]],MATCH(Table5[[#This Row],[PID]],Batters[[#All],[PID]],0)),INDEX(Table3[[#All],[First]],MATCH(Table5[[#This Row],[PID]],Table3[[#All],[PID]],0)))</f>
        <v>Cristóbal</v>
      </c>
      <c r="F324" s="52" t="str">
        <f>IF($C324="B",INDEX(Batters[[#All],[Last]],MATCH(A324,Batters[[#All],[PID]],0)),INDEX(Table3[[#All],[Last]],MATCH(A324,Table3[[#All],[PID]],0)))</f>
        <v>Meléndez</v>
      </c>
      <c r="G324" s="58">
        <f>IF($C324="B",INDEX(Batters[[#All],[Age]],MATCH(Table5[[#This Row],[PID]],Batters[[#All],[PID]],0)),INDEX(Table3[[#All],[Age]],MATCH(Table5[[#This Row],[PID]],Table3[[#All],[PID]],0)))</f>
        <v>21</v>
      </c>
      <c r="H324" s="54" t="str">
        <f>IF($C324="B",INDEX(Batters[[#All],[B]],MATCH(Table5[[#This Row],[PID]],Batters[[#All],[PID]],0)),INDEX(Table3[[#All],[B]],MATCH(Table5[[#This Row],[PID]],Table3[[#All],[PID]],0)))</f>
        <v>L</v>
      </c>
      <c r="I324" s="54" t="str">
        <f>IF($C324="B",INDEX(Batters[[#All],[T]],MATCH(Table5[[#This Row],[PID]],Batters[[#All],[PID]],0)),INDEX(Table3[[#All],[T]],MATCH(Table5[[#This Row],[PID]],Table3[[#All],[PID]],0)))</f>
        <v>L</v>
      </c>
      <c r="J324" s="54" t="str">
        <f>IF($C324="B",INDEX(Batters[[#All],[WE]],MATCH(Table5[[#This Row],[PID]],Batters[[#All],[PID]],0)),INDEX(Table3[[#All],[WE]],MATCH(Table5[[#This Row],[PID]],Table3[[#All],[PID]],0)))</f>
        <v>Low</v>
      </c>
      <c r="K324" s="54" t="str">
        <f>IF($C324="B",INDEX(Batters[[#All],[INT]],MATCH(Table5[[#This Row],[PID]],Batters[[#All],[PID]],0)),INDEX(Table3[[#All],[INT]],MATCH(Table5[[#This Row],[PID]],Table3[[#All],[PID]],0)))</f>
        <v>Normal</v>
      </c>
      <c r="L324" s="62">
        <f>IF($C324="B",INDEX(Batters[[#All],[CON P]],MATCH(Table5[[#This Row],[PID]],Batters[[#All],[PID]],0)),INDEX(Table3[[#All],[STU P]],MATCH(Table5[[#This Row],[PID]],Table3[[#All],[PID]],0)))</f>
        <v>4</v>
      </c>
      <c r="M324" s="58">
        <f>IF($C324="B",INDEX(Batters[[#All],[GAP P]],MATCH(Table5[[#This Row],[PID]],Batters[[#All],[PID]],0)),INDEX(Table3[[#All],[MOV P]],MATCH(Table5[[#This Row],[PID]],Table3[[#All],[PID]],0)))</f>
        <v>3</v>
      </c>
      <c r="N324" s="58">
        <f>IF($C324="B",INDEX(Batters[[#All],[POW P]],MATCH(Table5[[#This Row],[PID]],Batters[[#All],[PID]],0)),INDEX(Table3[[#All],[CON P]],MATCH(Table5[[#This Row],[PID]],Table3[[#All],[PID]],0)))</f>
        <v>4</v>
      </c>
      <c r="O324" s="58">
        <f>IF($C324="B",INDEX(Batters[[#All],[EYE P]],MATCH(Table5[[#This Row],[PID]],Batters[[#All],[PID]],0)),INDEX(Table3[[#All],[VELO]],MATCH(Table5[[#This Row],[PID]],Table3[[#All],[PID]],0)))</f>
        <v>6</v>
      </c>
      <c r="P324" s="58">
        <f>IF($C324="B",INDEX(Batters[[#All],[K P]],MATCH(Table5[[#This Row],[PID]],Batters[[#All],[PID]],0)),INDEX(Table3[[#All],[STM]],MATCH(Table5[[#This Row],[PID]],Table3[[#All],[PID]],0)))</f>
        <v>3</v>
      </c>
      <c r="Q324" s="63">
        <f>IF($C324="B",INDEX(Batters[[#All],[Tot]],MATCH(Table5[[#This Row],[PID]],Batters[[#All],[PID]],0)),INDEX(Table3[[#All],[Tot]],MATCH(Table5[[#This Row],[PID]],Table3[[#All],[PID]],0)))</f>
        <v>42.392655703314077</v>
      </c>
      <c r="R324" s="54">
        <f>IF($C324="B",INDEX(Batters[[#All],[zScore]],MATCH(Table5[[#This Row],[PID]],Batters[[#All],[PID]],0)),INDEX(Table3[[#All],[zScore]],MATCH(Table5[[#This Row],[PID]],Table3[[#All],[PID]],0)))</f>
        <v>0.35970006057092985</v>
      </c>
      <c r="S324" s="60" t="str">
        <f>IF($C324="B",INDEX(Batters[[#All],[DEM]],MATCH(Table5[[#This Row],[PID]],Batters[[#All],[PID]],0)),INDEX(Table3[[#All],[DEM]],MATCH(Table5[[#This Row],[PID]],Table3[[#All],[PID]],0)))</f>
        <v>-</v>
      </c>
      <c r="T324" s="64">
        <f>IF($C324="B",VLOOKUP($A324,Bat!$A$4:$AU$1417,46,FALSE),VLOOKUP($A324,Pit!$A$4:$BD$570,55,FALSE))</f>
        <v>0</v>
      </c>
      <c r="U324" s="52">
        <f>IF($C324="B",VLOOKUP($A324,Bat!$A$4:$BA$1417,47,FALSE),VLOOKUP($A324,Pit!$A$4:$BF$570,56,FALSE))</f>
        <v>0</v>
      </c>
      <c r="V324" s="52">
        <f>IF($C324="B",VLOOKUP($A324,Bat!$A$4:$BA$1417,48,FALSE),VLOOKUP($A324,Pit!$A$4:$BF$570,57,FALSE))</f>
        <v>0</v>
      </c>
      <c r="W324" s="52">
        <f>Table5[[#This Row],[posRnk]]+Table5[[#This Row],[zRnk]]+IF($W$3&lt;&gt;Table5[[#This Row],[Type]],50,0)</f>
        <v>370</v>
      </c>
      <c r="X324" s="53">
        <f>RANK(Table5[[#This Row],[zScore]],Table5[[#All],[zScore]])</f>
        <v>320</v>
      </c>
      <c r="Y324" s="52" t="str">
        <f>IFERROR(INDEX(DraftResults[[#All],[OVR]],MATCH(Table5[[#This Row],[PID]],DraftResults[[#All],[Player ID]],0)),"")</f>
        <v/>
      </c>
      <c r="Z3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4" s="52" t="str">
        <f>IFERROR(INDEX(DraftResults[[#All],[Pick in Round]],MATCH(Table5[[#This Row],[PID]],DraftResults[[#All],[Player ID]],0)),"")</f>
        <v/>
      </c>
      <c r="AB324" s="52" t="str">
        <f>IFERROR(INDEX(DraftResults[[#All],[Team Name]],MATCH(Table5[[#This Row],[PID]],DraftResults[[#All],[Player ID]],0)),"")</f>
        <v/>
      </c>
      <c r="AC324" s="52" t="str">
        <f>IF(Table5[[#This Row],[Ovr]]="","",IF(Table5[[#This Row],[cmbList]]="","",Table5[[#This Row],[cmbList]]-Table5[[#This Row],[Ovr]]))</f>
        <v/>
      </c>
      <c r="AD324" s="56" t="str">
        <f>IF(ISERROR(VLOOKUP($AB324&amp;"-"&amp;$E324&amp;" "&amp;F324,Bonuses!$B$1:$G$1006,4,FALSE)),"",INT(VLOOKUP($AB324&amp;"-"&amp;$E324&amp;" "&amp;$F324,Bonuses!$B$1:$G$1006,4,FALSE)))</f>
        <v/>
      </c>
      <c r="AE3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5" spans="1:31" s="52" customFormat="1" x14ac:dyDescent="0.25">
      <c r="A325" s="52">
        <v>13183</v>
      </c>
      <c r="B325" s="57">
        <f>COUNTIF(Table5[PID],A325)</f>
        <v>1</v>
      </c>
      <c r="C325" s="57" t="str">
        <f>IF(COUNTIF(Table3[[#All],[PID]],A325)&gt;0,"P","B")</f>
        <v>B</v>
      </c>
      <c r="D325" s="61" t="str">
        <f>IF($C325="B",INDEX(Batters[[#All],[POS]],MATCH(Table5[[#This Row],[PID]],Batters[[#All],[PID]],0)),INDEX(Table3[[#All],[POS]],MATCH(Table5[[#This Row],[PID]],Table3[[#All],[PID]],0)))</f>
        <v>RF</v>
      </c>
      <c r="E325" s="54" t="str">
        <f>IF($C325="B",INDEX(Batters[[#All],[First]],MATCH(Table5[[#This Row],[PID]],Batters[[#All],[PID]],0)),INDEX(Table3[[#All],[First]],MATCH(Table5[[#This Row],[PID]],Table3[[#All],[PID]],0)))</f>
        <v>Robbie</v>
      </c>
      <c r="F325" s="52" t="str">
        <f>IF($C325="B",INDEX(Batters[[#All],[Last]],MATCH(A325,Batters[[#All],[PID]],0)),INDEX(Table3[[#All],[Last]],MATCH(A325,Table3[[#All],[PID]],0)))</f>
        <v>Sullivan</v>
      </c>
      <c r="G325" s="58">
        <f>IF($C325="B",INDEX(Batters[[#All],[Age]],MATCH(Table5[[#This Row],[PID]],Batters[[#All],[PID]],0)),INDEX(Table3[[#All],[Age]],MATCH(Table5[[#This Row],[PID]],Table3[[#All],[PID]],0)))</f>
        <v>18</v>
      </c>
      <c r="H325" s="54" t="str">
        <f>IF($C325="B",INDEX(Batters[[#All],[B]],MATCH(Table5[[#This Row],[PID]],Batters[[#All],[PID]],0)),INDEX(Table3[[#All],[B]],MATCH(Table5[[#This Row],[PID]],Table3[[#All],[PID]],0)))</f>
        <v>R</v>
      </c>
      <c r="I325" s="54" t="str">
        <f>IF($C325="B",INDEX(Batters[[#All],[T]],MATCH(Table5[[#This Row],[PID]],Batters[[#All],[PID]],0)),INDEX(Table3[[#All],[T]],MATCH(Table5[[#This Row],[PID]],Table3[[#All],[PID]],0)))</f>
        <v>R</v>
      </c>
      <c r="J325" s="54" t="str">
        <f>IF($C325="B",INDEX(Batters[[#All],[WE]],MATCH(Table5[[#This Row],[PID]],Batters[[#All],[PID]],0)),INDEX(Table3[[#All],[WE]],MATCH(Table5[[#This Row],[PID]],Table3[[#All],[PID]],0)))</f>
        <v>Low</v>
      </c>
      <c r="K325" s="54" t="str">
        <f>IF($C325="B",INDEX(Batters[[#All],[INT]],MATCH(Table5[[#This Row],[PID]],Batters[[#All],[PID]],0)),INDEX(Table3[[#All],[INT]],MATCH(Table5[[#This Row],[PID]],Table3[[#All],[PID]],0)))</f>
        <v>Low</v>
      </c>
      <c r="L325" s="62">
        <f>IF($C325="B",INDEX(Batters[[#All],[CON P]],MATCH(Table5[[#This Row],[PID]],Batters[[#All],[PID]],0)),INDEX(Table3[[#All],[STU P]],MATCH(Table5[[#This Row],[PID]],Table3[[#All],[PID]],0)))</f>
        <v>3</v>
      </c>
      <c r="M325" s="58">
        <f>IF($C325="B",INDEX(Batters[[#All],[GAP P]],MATCH(Table5[[#This Row],[PID]],Batters[[#All],[PID]],0)),INDEX(Table3[[#All],[MOV P]],MATCH(Table5[[#This Row],[PID]],Table3[[#All],[PID]],0)))</f>
        <v>4</v>
      </c>
      <c r="N325" s="58">
        <f>IF($C325="B",INDEX(Batters[[#All],[POW P]],MATCH(Table5[[#This Row],[PID]],Batters[[#All],[PID]],0)),INDEX(Table3[[#All],[CON P]],MATCH(Table5[[#This Row],[PID]],Table3[[#All],[PID]],0)))</f>
        <v>4</v>
      </c>
      <c r="O325" s="58">
        <f>IF($C325="B",INDEX(Batters[[#All],[EYE P]],MATCH(Table5[[#This Row],[PID]],Batters[[#All],[PID]],0)),INDEX(Table3[[#All],[VELO]],MATCH(Table5[[#This Row],[PID]],Table3[[#All],[PID]],0)))</f>
        <v>5</v>
      </c>
      <c r="P325" s="58">
        <f>IF($C325="B",INDEX(Batters[[#All],[K P]],MATCH(Table5[[#This Row],[PID]],Batters[[#All],[PID]],0)),INDEX(Table3[[#All],[STM]],MATCH(Table5[[#This Row],[PID]],Table3[[#All],[PID]],0)))</f>
        <v>4</v>
      </c>
      <c r="Q325" s="63">
        <f>IF($C325="B",INDEX(Batters[[#All],[Tot]],MATCH(Table5[[#This Row],[PID]],Batters[[#All],[PID]],0)),INDEX(Table3[[#All],[Tot]],MATCH(Table5[[#This Row],[PID]],Table3[[#All],[PID]],0)))</f>
        <v>42.354107770361637</v>
      </c>
      <c r="R325" s="54">
        <f>IF($C325="B",INDEX(Batters[[#All],[zScore]],MATCH(Table5[[#This Row],[PID]],Batters[[#All],[PID]],0)),INDEX(Table3[[#All],[zScore]],MATCH(Table5[[#This Row],[PID]],Table3[[#All],[PID]],0)))</f>
        <v>0.35291780796920502</v>
      </c>
      <c r="S325" s="60" t="str">
        <f>IF($C325="B",INDEX(Batters[[#All],[DEM]],MATCH(Table5[[#This Row],[PID]],Batters[[#All],[PID]],0)),INDEX(Table3[[#All],[DEM]],MATCH(Table5[[#This Row],[PID]],Table3[[#All],[PID]],0)))</f>
        <v>$38k</v>
      </c>
      <c r="T325" s="64">
        <f>IF($C325="B",VLOOKUP($A325,Bat!$A$4:$AU$1417,46,FALSE),VLOOKUP($A325,Pit!$A$4:$BD$570,55,FALSE))</f>
        <v>0</v>
      </c>
      <c r="U325" s="52">
        <f>IF($C325="B",VLOOKUP($A325,Bat!$A$4:$BA$1417,47,FALSE),VLOOKUP($A325,Pit!$A$4:$BF$570,56,FALSE))</f>
        <v>0</v>
      </c>
      <c r="V325" s="52">
        <f>IF($C325="B",VLOOKUP($A325,Bat!$A$4:$BA$1417,48,FALSE),VLOOKUP($A325,Pit!$A$4:$BF$570,57,FALSE))</f>
        <v>0</v>
      </c>
      <c r="W325" s="52">
        <f>Table5[[#This Row],[posRnk]]+Table5[[#This Row],[zRnk]]+IF($W$3&lt;&gt;Table5[[#This Row],[Type]],50,0)</f>
        <v>371</v>
      </c>
      <c r="X325" s="53">
        <f>RANK(Table5[[#This Row],[zScore]],Table5[[#All],[zScore]])</f>
        <v>321</v>
      </c>
      <c r="Y325" s="52" t="str">
        <f>IFERROR(INDEX(DraftResults[[#All],[OVR]],MATCH(Table5[[#This Row],[PID]],DraftResults[[#All],[Player ID]],0)),"")</f>
        <v/>
      </c>
      <c r="Z3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5" s="52" t="str">
        <f>IFERROR(INDEX(DraftResults[[#All],[Pick in Round]],MATCH(Table5[[#This Row],[PID]],DraftResults[[#All],[Player ID]],0)),"")</f>
        <v/>
      </c>
      <c r="AB325" s="52" t="str">
        <f>IFERROR(INDEX(DraftResults[[#All],[Team Name]],MATCH(Table5[[#This Row],[PID]],DraftResults[[#All],[Player ID]],0)),"")</f>
        <v/>
      </c>
      <c r="AC325" s="52" t="str">
        <f>IF(Table5[[#This Row],[Ovr]]="","",IF(Table5[[#This Row],[cmbList]]="","",Table5[[#This Row],[cmbList]]-Table5[[#This Row],[Ovr]]))</f>
        <v/>
      </c>
      <c r="AD325" s="56" t="str">
        <f>IF(ISERROR(VLOOKUP($AB325&amp;"-"&amp;$E325&amp;" "&amp;F325,Bonuses!$B$1:$G$1006,4,FALSE)),"",INT(VLOOKUP($AB325&amp;"-"&amp;$E325&amp;" "&amp;$F325,Bonuses!$B$1:$G$1006,4,FALSE)))</f>
        <v/>
      </c>
      <c r="AE3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6" spans="1:31" s="52" customFormat="1" x14ac:dyDescent="0.25">
      <c r="A326" s="52">
        <v>9712</v>
      </c>
      <c r="B326" s="52">
        <f>COUNTIF(Table5[PID],A326)</f>
        <v>1</v>
      </c>
      <c r="C326" s="52" t="str">
        <f>IF(COUNTIF(Table3[[#All],[PID]],A326)&gt;0,"P","B")</f>
        <v>P</v>
      </c>
      <c r="D326" s="61" t="str">
        <f>IF($C326="B",INDEX(Batters[[#All],[POS]],MATCH(Table5[[#This Row],[PID]],Batters[[#All],[PID]],0)),INDEX(Table3[[#All],[POS]],MATCH(Table5[[#This Row],[PID]],Table3[[#All],[PID]],0)))</f>
        <v>RP</v>
      </c>
      <c r="E326" s="54" t="str">
        <f>IF($C326="B",INDEX(Batters[[#All],[First]],MATCH(Table5[[#This Row],[PID]],Batters[[#All],[PID]],0)),INDEX(Table3[[#All],[First]],MATCH(Table5[[#This Row],[PID]],Table3[[#All],[PID]],0)))</f>
        <v>Bob</v>
      </c>
      <c r="F326" s="52" t="str">
        <f>IF($C326="B",INDEX(Batters[[#All],[Last]],MATCH(A326,Batters[[#All],[PID]],0)),INDEX(Table3[[#All],[Last]],MATCH(A326,Table3[[#All],[PID]],0)))</f>
        <v>Schneider</v>
      </c>
      <c r="G326" s="58">
        <f>IF($C326="B",INDEX(Batters[[#All],[Age]],MATCH(Table5[[#This Row],[PID]],Batters[[#All],[PID]],0)),INDEX(Table3[[#All],[Age]],MATCH(Table5[[#This Row],[PID]],Table3[[#All],[PID]],0)))</f>
        <v>18</v>
      </c>
      <c r="H326" s="54" t="str">
        <f>IF($C326="B",INDEX(Batters[[#All],[B]],MATCH(Table5[[#This Row],[PID]],Batters[[#All],[PID]],0)),INDEX(Table3[[#All],[B]],MATCH(Table5[[#This Row],[PID]],Table3[[#All],[PID]],0)))</f>
        <v>S</v>
      </c>
      <c r="I326" s="54" t="str">
        <f>IF($C326="B",INDEX(Batters[[#All],[T]],MATCH(Table5[[#This Row],[PID]],Batters[[#All],[PID]],0)),INDEX(Table3[[#All],[T]],MATCH(Table5[[#This Row],[PID]],Table3[[#All],[PID]],0)))</f>
        <v>R</v>
      </c>
      <c r="J326" s="54" t="str">
        <f>IF($C326="B",INDEX(Batters[[#All],[WE]],MATCH(Table5[[#This Row],[PID]],Batters[[#All],[PID]],0)),INDEX(Table3[[#All],[WE]],MATCH(Table5[[#This Row],[PID]],Table3[[#All],[PID]],0)))</f>
        <v>Low</v>
      </c>
      <c r="K326" s="54" t="str">
        <f>IF($C326="B",INDEX(Batters[[#All],[INT]],MATCH(Table5[[#This Row],[PID]],Batters[[#All],[PID]],0)),INDEX(Table3[[#All],[INT]],MATCH(Table5[[#This Row],[PID]],Table3[[#All],[PID]],0)))</f>
        <v>Normal</v>
      </c>
      <c r="L326" s="62">
        <f>IF($C326="B",INDEX(Batters[[#All],[CON P]],MATCH(Table5[[#This Row],[PID]],Batters[[#All],[PID]],0)),INDEX(Table3[[#All],[STU P]],MATCH(Table5[[#This Row],[PID]],Table3[[#All],[PID]],0)))</f>
        <v>4</v>
      </c>
      <c r="M326" s="58">
        <f>IF($C326="B",INDEX(Batters[[#All],[GAP P]],MATCH(Table5[[#This Row],[PID]],Batters[[#All],[PID]],0)),INDEX(Table3[[#All],[MOV P]],MATCH(Table5[[#This Row],[PID]],Table3[[#All],[PID]],0)))</f>
        <v>2</v>
      </c>
      <c r="N326" s="58">
        <f>IF($C326="B",INDEX(Batters[[#All],[POW P]],MATCH(Table5[[#This Row],[PID]],Batters[[#All],[PID]],0)),INDEX(Table3[[#All],[CON P]],MATCH(Table5[[#This Row],[PID]],Table3[[#All],[PID]],0)))</f>
        <v>3</v>
      </c>
      <c r="O326" s="58" t="str">
        <f>IF($C326="B",INDEX(Batters[[#All],[EYE P]],MATCH(Table5[[#This Row],[PID]],Batters[[#All],[PID]],0)),INDEX(Table3[[#All],[VELO]],MATCH(Table5[[#This Row],[PID]],Table3[[#All],[PID]],0)))</f>
        <v>85-87 Mph</v>
      </c>
      <c r="P326" s="58">
        <f>IF($C326="B",INDEX(Batters[[#All],[K P]],MATCH(Table5[[#This Row],[PID]],Batters[[#All],[PID]],0)),INDEX(Table3[[#All],[STM]],MATCH(Table5[[#This Row],[PID]],Table3[[#All],[PID]],0)))</f>
        <v>6</v>
      </c>
      <c r="Q326" s="63">
        <f>IF($C326="B",INDEX(Batters[[#All],[Tot]],MATCH(Table5[[#This Row],[PID]],Batters[[#All],[PID]],0)),INDEX(Table3[[#All],[Tot]],MATCH(Table5[[#This Row],[PID]],Table3[[#All],[PID]],0)))</f>
        <v>36.566868398208555</v>
      </c>
      <c r="R326" s="54">
        <f>IF($C326="B",INDEX(Batters[[#All],[zScore]],MATCH(Table5[[#This Row],[PID]],Batters[[#All],[PID]],0)),INDEX(Table3[[#All],[zScore]],MATCH(Table5[[#This Row],[PID]],Table3[[#All],[PID]],0)))</f>
        <v>0.35256786103904464</v>
      </c>
      <c r="S326" s="60" t="str">
        <f>IF($C326="B",INDEX(Batters[[#All],[DEM]],MATCH(Table5[[#This Row],[PID]],Batters[[#All],[PID]],0)),INDEX(Table3[[#All],[DEM]],MATCH(Table5[[#This Row],[PID]],Table3[[#All],[PID]],0)))</f>
        <v>$65k</v>
      </c>
      <c r="T326" s="64">
        <f>IF($C326="B",VLOOKUP($A326,Bat!$A$4:$AU$1417,46,FALSE),VLOOKUP($A326,Pit!$A$4:$BD$570,55,FALSE))</f>
        <v>0</v>
      </c>
      <c r="U326" s="52">
        <f>IF($C326="B",VLOOKUP($A326,Bat!$A$4:$BA$1417,47,FALSE),VLOOKUP($A326,Pit!$A$4:$BF$570,56,FALSE))</f>
        <v>0</v>
      </c>
      <c r="V326" s="52">
        <f>IF($C326="B",VLOOKUP($A326,Bat!$A$4:$BA$1417,48,FALSE),VLOOKUP($A326,Pit!$A$4:$BF$570,57,FALSE))</f>
        <v>0</v>
      </c>
      <c r="W326" s="52">
        <f>Table5[[#This Row],[posRnk]]+Table5[[#This Row],[zRnk]]+IF($W$3&lt;&gt;Table5[[#This Row],[Type]],50,0)</f>
        <v>372</v>
      </c>
      <c r="X326" s="53">
        <f>RANK(Table5[[#This Row],[zScore]],Table5[[#All],[zScore]])</f>
        <v>322</v>
      </c>
      <c r="Y326" s="52" t="str">
        <f>IFERROR(INDEX(DraftResults[[#All],[OVR]],MATCH(Table5[[#This Row],[PID]],DraftResults[[#All],[Player ID]],0)),"")</f>
        <v/>
      </c>
      <c r="Z3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6" s="52" t="str">
        <f>IFERROR(INDEX(DraftResults[[#All],[Pick in Round]],MATCH(Table5[[#This Row],[PID]],DraftResults[[#All],[Player ID]],0)),"")</f>
        <v/>
      </c>
      <c r="AB326" s="52" t="str">
        <f>IFERROR(INDEX(DraftResults[[#All],[Team Name]],MATCH(Table5[[#This Row],[PID]],DraftResults[[#All],[Player ID]],0)),"")</f>
        <v/>
      </c>
      <c r="AC326" s="52" t="str">
        <f>IF(Table5[[#This Row],[Ovr]]="","",IF(Table5[[#This Row],[cmbList]]="","",Table5[[#This Row],[cmbList]]-Table5[[#This Row],[Ovr]]))</f>
        <v/>
      </c>
      <c r="AD326" s="56" t="str">
        <f>IF(ISERROR(VLOOKUP($AB326&amp;"-"&amp;$E326&amp;" "&amp;F326,Bonuses!$B$1:$G$1006,4,FALSE)),"",INT(VLOOKUP($AB326&amp;"-"&amp;$E326&amp;" "&amp;$F326,Bonuses!$B$1:$G$1006,4,FALSE)))</f>
        <v/>
      </c>
      <c r="AE3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7" spans="1:31" s="52" customFormat="1" x14ac:dyDescent="0.25">
      <c r="A327" s="52">
        <v>9732</v>
      </c>
      <c r="B327" s="52">
        <f>COUNTIF(Table5[PID],A327)</f>
        <v>1</v>
      </c>
      <c r="C327" s="52" t="str">
        <f>IF(COUNTIF(Table3[[#All],[PID]],A327)&gt;0,"P","B")</f>
        <v>B</v>
      </c>
      <c r="D327" s="61" t="str">
        <f>IF($C327="B",INDEX(Batters[[#All],[POS]],MATCH(Table5[[#This Row],[PID]],Batters[[#All],[PID]],0)),INDEX(Table3[[#All],[POS]],MATCH(Table5[[#This Row],[PID]],Table3[[#All],[PID]],0)))</f>
        <v>1B</v>
      </c>
      <c r="E327" s="54" t="str">
        <f>IF($C327="B",INDEX(Batters[[#All],[First]],MATCH(Table5[[#This Row],[PID]],Batters[[#All],[PID]],0)),INDEX(Table3[[#All],[First]],MATCH(Table5[[#This Row],[PID]],Table3[[#All],[PID]],0)))</f>
        <v>Nathan</v>
      </c>
      <c r="F327" s="52" t="str">
        <f>IF($C327="B",INDEX(Batters[[#All],[Last]],MATCH(A327,Batters[[#All],[PID]],0)),INDEX(Table3[[#All],[Last]],MATCH(A327,Table3[[#All],[PID]],0)))</f>
        <v>Sotelo</v>
      </c>
      <c r="G327" s="58">
        <f>IF($C327="B",INDEX(Batters[[#All],[Age]],MATCH(Table5[[#This Row],[PID]],Batters[[#All],[PID]],0)),INDEX(Table3[[#All],[Age]],MATCH(Table5[[#This Row],[PID]],Table3[[#All],[PID]],0)))</f>
        <v>21</v>
      </c>
      <c r="H327" s="54" t="str">
        <f>IF($C327="B",INDEX(Batters[[#All],[B]],MATCH(Table5[[#This Row],[PID]],Batters[[#All],[PID]],0)),INDEX(Table3[[#All],[B]],MATCH(Table5[[#This Row],[PID]],Table3[[#All],[PID]],0)))</f>
        <v>L</v>
      </c>
      <c r="I327" s="54" t="str">
        <f>IF($C327="B",INDEX(Batters[[#All],[T]],MATCH(Table5[[#This Row],[PID]],Batters[[#All],[PID]],0)),INDEX(Table3[[#All],[T]],MATCH(Table5[[#This Row],[PID]],Table3[[#All],[PID]],0)))</f>
        <v>L</v>
      </c>
      <c r="J327" s="54" t="str">
        <f>IF($C327="B",INDEX(Batters[[#All],[WE]],MATCH(Table5[[#This Row],[PID]],Batters[[#All],[PID]],0)),INDEX(Table3[[#All],[WE]],MATCH(Table5[[#This Row],[PID]],Table3[[#All],[PID]],0)))</f>
        <v>High</v>
      </c>
      <c r="K327" s="54" t="str">
        <f>IF($C327="B",INDEX(Batters[[#All],[INT]],MATCH(Table5[[#This Row],[PID]],Batters[[#All],[PID]],0)),INDEX(Table3[[#All],[INT]],MATCH(Table5[[#This Row],[PID]],Table3[[#All],[PID]],0)))</f>
        <v>Normal</v>
      </c>
      <c r="L327" s="62">
        <f>IF($C327="B",INDEX(Batters[[#All],[CON P]],MATCH(Table5[[#This Row],[PID]],Batters[[#All],[PID]],0)),INDEX(Table3[[#All],[STU P]],MATCH(Table5[[#This Row],[PID]],Table3[[#All],[PID]],0)))</f>
        <v>4</v>
      </c>
      <c r="M327" s="58">
        <f>IF($C327="B",INDEX(Batters[[#All],[GAP P]],MATCH(Table5[[#This Row],[PID]],Batters[[#All],[PID]],0)),INDEX(Table3[[#All],[MOV P]],MATCH(Table5[[#This Row],[PID]],Table3[[#All],[PID]],0)))</f>
        <v>4</v>
      </c>
      <c r="N327" s="58">
        <f>IF($C327="B",INDEX(Batters[[#All],[POW P]],MATCH(Table5[[#This Row],[PID]],Batters[[#All],[PID]],0)),INDEX(Table3[[#All],[CON P]],MATCH(Table5[[#This Row],[PID]],Table3[[#All],[PID]],0)))</f>
        <v>4</v>
      </c>
      <c r="O327" s="58">
        <f>IF($C327="B",INDEX(Batters[[#All],[EYE P]],MATCH(Table5[[#This Row],[PID]],Batters[[#All],[PID]],0)),INDEX(Table3[[#All],[VELO]],MATCH(Table5[[#This Row],[PID]],Table3[[#All],[PID]],0)))</f>
        <v>5</v>
      </c>
      <c r="P327" s="58">
        <f>IF($C327="B",INDEX(Batters[[#All],[K P]],MATCH(Table5[[#This Row],[PID]],Batters[[#All],[PID]],0)),INDEX(Table3[[#All],[STM]],MATCH(Table5[[#This Row],[PID]],Table3[[#All],[PID]],0)))</f>
        <v>4</v>
      </c>
      <c r="Q327" s="63">
        <f>IF($C327="B",INDEX(Batters[[#All],[Tot]],MATCH(Table5[[#This Row],[PID]],Batters[[#All],[PID]],0)),INDEX(Table3[[#All],[Tot]],MATCH(Table5[[#This Row],[PID]],Table3[[#All],[PID]],0)))</f>
        <v>42.351496691705464</v>
      </c>
      <c r="R327" s="54">
        <f>IF($C327="B",INDEX(Batters[[#All],[zScore]],MATCH(Table5[[#This Row],[PID]],Batters[[#All],[PID]],0)),INDEX(Table3[[#All],[zScore]],MATCH(Table5[[#This Row],[PID]],Table3[[#All],[PID]],0)))</f>
        <v>0.35245840603367229</v>
      </c>
      <c r="S327" s="60" t="str">
        <f>IF($C327="B",INDEX(Batters[[#All],[DEM]],MATCH(Table5[[#This Row],[PID]],Batters[[#All],[PID]],0)),INDEX(Table3[[#All],[DEM]],MATCH(Table5[[#This Row],[PID]],Table3[[#All],[PID]],0)))</f>
        <v>-</v>
      </c>
      <c r="T327" s="64">
        <f>IF($C327="B",VLOOKUP($A327,Bat!$A$4:$AU$1417,46,FALSE),VLOOKUP($A327,Pit!$A$4:$BD$570,55,FALSE))</f>
        <v>0</v>
      </c>
      <c r="U327" s="52">
        <f>IF($C327="B",VLOOKUP($A327,Bat!$A$4:$BA$1417,47,FALSE),VLOOKUP($A327,Pit!$A$4:$BF$570,56,FALSE))</f>
        <v>0</v>
      </c>
      <c r="V327" s="52">
        <f>IF($C327="B",VLOOKUP($A327,Bat!$A$4:$BA$1417,48,FALSE),VLOOKUP($A327,Pit!$A$4:$BF$570,57,FALSE))</f>
        <v>0</v>
      </c>
      <c r="W327" s="52">
        <f>Table5[[#This Row],[posRnk]]+Table5[[#This Row],[zRnk]]+IF($W$3&lt;&gt;Table5[[#This Row],[Type]],50,0)</f>
        <v>373</v>
      </c>
      <c r="X327" s="53">
        <f>RANK(Table5[[#This Row],[zScore]],Table5[[#All],[zScore]])</f>
        <v>323</v>
      </c>
      <c r="Y327" s="52" t="str">
        <f>IFERROR(INDEX(DraftResults[[#All],[OVR]],MATCH(Table5[[#This Row],[PID]],DraftResults[[#All],[Player ID]],0)),"")</f>
        <v/>
      </c>
      <c r="Z3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7" s="52" t="str">
        <f>IFERROR(INDEX(DraftResults[[#All],[Pick in Round]],MATCH(Table5[[#This Row],[PID]],DraftResults[[#All],[Player ID]],0)),"")</f>
        <v/>
      </c>
      <c r="AB327" s="52" t="str">
        <f>IFERROR(INDEX(DraftResults[[#All],[Team Name]],MATCH(Table5[[#This Row],[PID]],DraftResults[[#All],[Player ID]],0)),"")</f>
        <v/>
      </c>
      <c r="AC327" s="52" t="str">
        <f>IF(Table5[[#This Row],[Ovr]]="","",IF(Table5[[#This Row],[cmbList]]="","",Table5[[#This Row],[cmbList]]-Table5[[#This Row],[Ovr]]))</f>
        <v/>
      </c>
      <c r="AD327" s="56" t="str">
        <f>IF(ISERROR(VLOOKUP($AB327&amp;"-"&amp;$E327&amp;" "&amp;F327,Bonuses!$B$1:$G$1006,4,FALSE)),"",INT(VLOOKUP($AB327&amp;"-"&amp;$E327&amp;" "&amp;$F327,Bonuses!$B$1:$G$1006,4,FALSE)))</f>
        <v/>
      </c>
      <c r="AE3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8" spans="1:31" s="52" customFormat="1" x14ac:dyDescent="0.25">
      <c r="A328" s="52">
        <v>17934</v>
      </c>
      <c r="B328" s="52">
        <f>COUNTIF(Table5[PID],A328)</f>
        <v>1</v>
      </c>
      <c r="C328" s="52" t="str">
        <f>IF(COUNTIF(Table3[[#All],[PID]],A328)&gt;0,"P","B")</f>
        <v>B</v>
      </c>
      <c r="D328" s="61" t="str">
        <f>IF($C328="B",INDEX(Batters[[#All],[POS]],MATCH(Table5[[#This Row],[PID]],Batters[[#All],[PID]],0)),INDEX(Table3[[#All],[POS]],MATCH(Table5[[#This Row],[PID]],Table3[[#All],[PID]],0)))</f>
        <v>C</v>
      </c>
      <c r="E328" s="54" t="str">
        <f>IF($C328="B",INDEX(Batters[[#All],[First]],MATCH(Table5[[#This Row],[PID]],Batters[[#All],[PID]],0)),INDEX(Table3[[#All],[First]],MATCH(Table5[[#This Row],[PID]],Table3[[#All],[PID]],0)))</f>
        <v>Matthew</v>
      </c>
      <c r="F328" s="52" t="str">
        <f>IF($C328="B",INDEX(Batters[[#All],[Last]],MATCH(A328,Batters[[#All],[PID]],0)),INDEX(Table3[[#All],[Last]],MATCH(A328,Table3[[#All],[PID]],0)))</f>
        <v>MacGregor</v>
      </c>
      <c r="G328" s="58">
        <f>IF($C328="B",INDEX(Batters[[#All],[Age]],MATCH(Table5[[#This Row],[PID]],Batters[[#All],[PID]],0)),INDEX(Table3[[#All],[Age]],MATCH(Table5[[#This Row],[PID]],Table3[[#All],[PID]],0)))</f>
        <v>18</v>
      </c>
      <c r="H328" s="54" t="str">
        <f>IF($C328="B",INDEX(Batters[[#All],[B]],MATCH(Table5[[#This Row],[PID]],Batters[[#All],[PID]],0)),INDEX(Table3[[#All],[B]],MATCH(Table5[[#This Row],[PID]],Table3[[#All],[PID]],0)))</f>
        <v>R</v>
      </c>
      <c r="I328" s="54" t="str">
        <f>IF($C328="B",INDEX(Batters[[#All],[T]],MATCH(Table5[[#This Row],[PID]],Batters[[#All],[PID]],0)),INDEX(Table3[[#All],[T]],MATCH(Table5[[#This Row],[PID]],Table3[[#All],[PID]],0)))</f>
        <v>R</v>
      </c>
      <c r="J328" s="54" t="str">
        <f>IF($C328="B",INDEX(Batters[[#All],[WE]],MATCH(Table5[[#This Row],[PID]],Batters[[#All],[PID]],0)),INDEX(Table3[[#All],[WE]],MATCH(Table5[[#This Row],[PID]],Table3[[#All],[PID]],0)))</f>
        <v>Low</v>
      </c>
      <c r="K328" s="54" t="str">
        <f>IF($C328="B",INDEX(Batters[[#All],[INT]],MATCH(Table5[[#This Row],[PID]],Batters[[#All],[PID]],0)),INDEX(Table3[[#All],[INT]],MATCH(Table5[[#This Row],[PID]],Table3[[#All],[PID]],0)))</f>
        <v>Normal</v>
      </c>
      <c r="L328" s="62">
        <f>IF($C328="B",INDEX(Batters[[#All],[CON P]],MATCH(Table5[[#This Row],[PID]],Batters[[#All],[PID]],0)),INDEX(Table3[[#All],[STU P]],MATCH(Table5[[#This Row],[PID]],Table3[[#All],[PID]],0)))</f>
        <v>3</v>
      </c>
      <c r="M328" s="58">
        <f>IF($C328="B",INDEX(Batters[[#All],[GAP P]],MATCH(Table5[[#This Row],[PID]],Batters[[#All],[PID]],0)),INDEX(Table3[[#All],[MOV P]],MATCH(Table5[[#This Row],[PID]],Table3[[#All],[PID]],0)))</f>
        <v>4</v>
      </c>
      <c r="N328" s="58">
        <f>IF($C328="B",INDEX(Batters[[#All],[POW P]],MATCH(Table5[[#This Row],[PID]],Batters[[#All],[PID]],0)),INDEX(Table3[[#All],[CON P]],MATCH(Table5[[#This Row],[PID]],Table3[[#All],[PID]],0)))</f>
        <v>4</v>
      </c>
      <c r="O328" s="58">
        <f>IF($C328="B",INDEX(Batters[[#All],[EYE P]],MATCH(Table5[[#This Row],[PID]],Batters[[#All],[PID]],0)),INDEX(Table3[[#All],[VELO]],MATCH(Table5[[#This Row],[PID]],Table3[[#All],[PID]],0)))</f>
        <v>5</v>
      </c>
      <c r="P328" s="58">
        <f>IF($C328="B",INDEX(Batters[[#All],[K P]],MATCH(Table5[[#This Row],[PID]],Batters[[#All],[PID]],0)),INDEX(Table3[[#All],[STM]],MATCH(Table5[[#This Row],[PID]],Table3[[#All],[PID]],0)))</f>
        <v>3</v>
      </c>
      <c r="Q328" s="63">
        <f>IF($C328="B",INDEX(Batters[[#All],[Tot]],MATCH(Table5[[#This Row],[PID]],Batters[[#All],[PID]],0)),INDEX(Table3[[#All],[Tot]],MATCH(Table5[[#This Row],[PID]],Table3[[#All],[PID]],0)))</f>
        <v>42.346294784921852</v>
      </c>
      <c r="R328" s="54">
        <f>IF($C328="B",INDEX(Batters[[#All],[zScore]],MATCH(Table5[[#This Row],[PID]],Batters[[#All],[PID]],0)),INDEX(Table3[[#All],[zScore]],MATCH(Table5[[#This Row],[PID]],Table3[[#All],[PID]],0)))</f>
        <v>0.3515431651085465</v>
      </c>
      <c r="S328" s="60" t="str">
        <f>IF($C328="B",INDEX(Batters[[#All],[DEM]],MATCH(Table5[[#This Row],[PID]],Batters[[#All],[PID]],0)),INDEX(Table3[[#All],[DEM]],MATCH(Table5[[#This Row],[PID]],Table3[[#All],[PID]],0)))</f>
        <v>$65k</v>
      </c>
      <c r="T328" s="64">
        <f>IF($C328="B",VLOOKUP($A328,Bat!$A$4:$AU$1417,46,FALSE),VLOOKUP($A328,Pit!$A$4:$BD$570,55,FALSE))</f>
        <v>0</v>
      </c>
      <c r="U328" s="52">
        <f>IF($C328="B",VLOOKUP($A328,Bat!$A$4:$BA$1417,47,FALSE),VLOOKUP($A328,Pit!$A$4:$BF$570,56,FALSE))</f>
        <v>0</v>
      </c>
      <c r="V328" s="52">
        <f>IF($C328="B",VLOOKUP($A328,Bat!$A$4:$BA$1417,48,FALSE),VLOOKUP($A328,Pit!$A$4:$BF$570,57,FALSE))</f>
        <v>0</v>
      </c>
      <c r="W328" s="52">
        <f>Table5[[#This Row],[posRnk]]+Table5[[#This Row],[zRnk]]+IF($W$3&lt;&gt;Table5[[#This Row],[Type]],50,0)</f>
        <v>374</v>
      </c>
      <c r="X328" s="53">
        <f>RANK(Table5[[#This Row],[zScore]],Table5[[#All],[zScore]])</f>
        <v>324</v>
      </c>
      <c r="Y328" s="52" t="str">
        <f>IFERROR(INDEX(DraftResults[[#All],[OVR]],MATCH(Table5[[#This Row],[PID]],DraftResults[[#All],[Player ID]],0)),"")</f>
        <v/>
      </c>
      <c r="Z3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8" s="52" t="str">
        <f>IFERROR(INDEX(DraftResults[[#All],[Pick in Round]],MATCH(Table5[[#This Row],[PID]],DraftResults[[#All],[Player ID]],0)),"")</f>
        <v/>
      </c>
      <c r="AB328" s="52" t="str">
        <f>IFERROR(INDEX(DraftResults[[#All],[Team Name]],MATCH(Table5[[#This Row],[PID]],DraftResults[[#All],[Player ID]],0)),"")</f>
        <v/>
      </c>
      <c r="AC328" s="52" t="str">
        <f>IF(Table5[[#This Row],[Ovr]]="","",IF(Table5[[#This Row],[cmbList]]="","",Table5[[#This Row],[cmbList]]-Table5[[#This Row],[Ovr]]))</f>
        <v/>
      </c>
      <c r="AD328" s="56" t="str">
        <f>IF(ISERROR(VLOOKUP($AB328&amp;"-"&amp;$E328&amp;" "&amp;F328,Bonuses!$B$1:$G$1006,4,FALSE)),"",INT(VLOOKUP($AB328&amp;"-"&amp;$E328&amp;" "&amp;$F328,Bonuses!$B$1:$G$1006,4,FALSE)))</f>
        <v/>
      </c>
      <c r="AE3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9" spans="1:31" s="52" customFormat="1" x14ac:dyDescent="0.25">
      <c r="A329" s="52">
        <v>9615</v>
      </c>
      <c r="B329" s="52">
        <f>COUNTIF(Table5[PID],A329)</f>
        <v>1</v>
      </c>
      <c r="C329" s="52" t="str">
        <f>IF(COUNTIF(Table3[[#All],[PID]],A329)&gt;0,"P","B")</f>
        <v>B</v>
      </c>
      <c r="D329" s="61" t="str">
        <f>IF($C329="B",INDEX(Batters[[#All],[POS]],MATCH(Table5[[#This Row],[PID]],Batters[[#All],[PID]],0)),INDEX(Table3[[#All],[POS]],MATCH(Table5[[#This Row],[PID]],Table3[[#All],[PID]],0)))</f>
        <v>2B</v>
      </c>
      <c r="E329" s="54" t="str">
        <f>IF($C329="B",INDEX(Batters[[#All],[First]],MATCH(Table5[[#This Row],[PID]],Batters[[#All],[PID]],0)),INDEX(Table3[[#All],[First]],MATCH(Table5[[#This Row],[PID]],Table3[[#All],[PID]],0)))</f>
        <v>Alex</v>
      </c>
      <c r="F329" s="52" t="str">
        <f>IF($C329="B",INDEX(Batters[[#All],[Last]],MATCH(A329,Batters[[#All],[PID]],0)),INDEX(Table3[[#All],[Last]],MATCH(A329,Table3[[#All],[PID]],0)))</f>
        <v>Miller</v>
      </c>
      <c r="G329" s="58">
        <f>IF($C329="B",INDEX(Batters[[#All],[Age]],MATCH(Table5[[#This Row],[PID]],Batters[[#All],[PID]],0)),INDEX(Table3[[#All],[Age]],MATCH(Table5[[#This Row],[PID]],Table3[[#All],[PID]],0)))</f>
        <v>21</v>
      </c>
      <c r="H329" s="54" t="str">
        <f>IF($C329="B",INDEX(Batters[[#All],[B]],MATCH(Table5[[#This Row],[PID]],Batters[[#All],[PID]],0)),INDEX(Table3[[#All],[B]],MATCH(Table5[[#This Row],[PID]],Table3[[#All],[PID]],0)))</f>
        <v>R</v>
      </c>
      <c r="I329" s="54" t="str">
        <f>IF($C329="B",INDEX(Batters[[#All],[T]],MATCH(Table5[[#This Row],[PID]],Batters[[#All],[PID]],0)),INDEX(Table3[[#All],[T]],MATCH(Table5[[#This Row],[PID]],Table3[[#All],[PID]],0)))</f>
        <v>R</v>
      </c>
      <c r="J329" s="54" t="str">
        <f>IF($C329="B",INDEX(Batters[[#All],[WE]],MATCH(Table5[[#This Row],[PID]],Batters[[#All],[PID]],0)),INDEX(Table3[[#All],[WE]],MATCH(Table5[[#This Row],[PID]],Table3[[#All],[PID]],0)))</f>
        <v>Normal</v>
      </c>
      <c r="K329" s="54" t="str">
        <f>IF($C329="B",INDEX(Batters[[#All],[INT]],MATCH(Table5[[#This Row],[PID]],Batters[[#All],[PID]],0)),INDEX(Table3[[#All],[INT]],MATCH(Table5[[#This Row],[PID]],Table3[[#All],[PID]],0)))</f>
        <v>Normal</v>
      </c>
      <c r="L329" s="62">
        <f>IF($C329="B",INDEX(Batters[[#All],[CON P]],MATCH(Table5[[#This Row],[PID]],Batters[[#All],[PID]],0)),INDEX(Table3[[#All],[STU P]],MATCH(Table5[[#This Row],[PID]],Table3[[#All],[PID]],0)))</f>
        <v>4</v>
      </c>
      <c r="M329" s="58">
        <f>IF($C329="B",INDEX(Batters[[#All],[GAP P]],MATCH(Table5[[#This Row],[PID]],Batters[[#All],[PID]],0)),INDEX(Table3[[#All],[MOV P]],MATCH(Table5[[#This Row],[PID]],Table3[[#All],[PID]],0)))</f>
        <v>5</v>
      </c>
      <c r="N329" s="58">
        <f>IF($C329="B",INDEX(Batters[[#All],[POW P]],MATCH(Table5[[#This Row],[PID]],Batters[[#All],[PID]],0)),INDEX(Table3[[#All],[CON P]],MATCH(Table5[[#This Row],[PID]],Table3[[#All],[PID]],0)))</f>
        <v>3</v>
      </c>
      <c r="O329" s="58">
        <f>IF($C329="B",INDEX(Batters[[#All],[EYE P]],MATCH(Table5[[#This Row],[PID]],Batters[[#All],[PID]],0)),INDEX(Table3[[#All],[VELO]],MATCH(Table5[[#This Row],[PID]],Table3[[#All],[PID]],0)))</f>
        <v>5</v>
      </c>
      <c r="P329" s="58">
        <f>IF($C329="B",INDEX(Batters[[#All],[K P]],MATCH(Table5[[#This Row],[PID]],Batters[[#All],[PID]],0)),INDEX(Table3[[#All],[STM]],MATCH(Table5[[#This Row],[PID]],Table3[[#All],[PID]],0)))</f>
        <v>4</v>
      </c>
      <c r="Q329" s="63">
        <f>IF($C329="B",INDEX(Batters[[#All],[Tot]],MATCH(Table5[[#This Row],[PID]],Batters[[#All],[PID]],0)),INDEX(Table3[[#All],[Tot]],MATCH(Table5[[#This Row],[PID]],Table3[[#All],[PID]],0)))</f>
        <v>42.305806577462768</v>
      </c>
      <c r="R329" s="54">
        <f>IF($C329="B",INDEX(Batters[[#All],[zScore]],MATCH(Table5[[#This Row],[PID]],Batters[[#All],[PID]],0)),INDEX(Table3[[#All],[zScore]],MATCH(Table5[[#This Row],[PID]],Table3[[#All],[PID]],0)))</f>
        <v>0.34441953410303056</v>
      </c>
      <c r="S329" s="60" t="str">
        <f>IF($C329="B",INDEX(Batters[[#All],[DEM]],MATCH(Table5[[#This Row],[PID]],Batters[[#All],[PID]],0)),INDEX(Table3[[#All],[DEM]],MATCH(Table5[[#This Row],[PID]],Table3[[#All],[PID]],0)))</f>
        <v>$150k</v>
      </c>
      <c r="T329" s="64">
        <f>IF($C329="B",VLOOKUP($A329,Bat!$A$4:$AU$1417,46,FALSE),VLOOKUP($A329,Pit!$A$4:$BD$570,55,FALSE))</f>
        <v>0</v>
      </c>
      <c r="U329" s="52">
        <f>IF($C329="B",VLOOKUP($A329,Bat!$A$4:$BA$1417,47,FALSE),VLOOKUP($A329,Pit!$A$4:$BF$570,56,FALSE))</f>
        <v>0</v>
      </c>
      <c r="V329" s="52">
        <f>IF($C329="B",VLOOKUP($A329,Bat!$A$4:$BA$1417,48,FALSE),VLOOKUP($A329,Pit!$A$4:$BF$570,57,FALSE))</f>
        <v>0</v>
      </c>
      <c r="W329" s="52">
        <f>Table5[[#This Row],[posRnk]]+Table5[[#This Row],[zRnk]]+IF($W$3&lt;&gt;Table5[[#This Row],[Type]],50,0)</f>
        <v>375</v>
      </c>
      <c r="X329" s="53">
        <f>RANK(Table5[[#This Row],[zScore]],Table5[[#All],[zScore]])</f>
        <v>325</v>
      </c>
      <c r="Y329" s="52" t="str">
        <f>IFERROR(INDEX(DraftResults[[#All],[OVR]],MATCH(Table5[[#This Row],[PID]],DraftResults[[#All],[Player ID]],0)),"")</f>
        <v/>
      </c>
      <c r="Z3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9" s="52" t="str">
        <f>IFERROR(INDEX(DraftResults[[#All],[Pick in Round]],MATCH(Table5[[#This Row],[PID]],DraftResults[[#All],[Player ID]],0)),"")</f>
        <v/>
      </c>
      <c r="AB329" s="52" t="str">
        <f>IFERROR(INDEX(DraftResults[[#All],[Team Name]],MATCH(Table5[[#This Row],[PID]],DraftResults[[#All],[Player ID]],0)),"")</f>
        <v/>
      </c>
      <c r="AC329" s="52" t="str">
        <f>IF(Table5[[#This Row],[Ovr]]="","",IF(Table5[[#This Row],[cmbList]]="","",Table5[[#This Row],[cmbList]]-Table5[[#This Row],[Ovr]]))</f>
        <v/>
      </c>
      <c r="AD329" s="56" t="str">
        <f>IF(ISERROR(VLOOKUP($AB329&amp;"-"&amp;$E329&amp;" "&amp;F329,Bonuses!$B$1:$G$1006,4,FALSE)),"",INT(VLOOKUP($AB329&amp;"-"&amp;$E329&amp;" "&amp;$F329,Bonuses!$B$1:$G$1006,4,FALSE)))</f>
        <v/>
      </c>
      <c r="AE3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0" spans="1:31" s="52" customFormat="1" x14ac:dyDescent="0.25">
      <c r="A330" s="52">
        <v>7297</v>
      </c>
      <c r="B330" s="52">
        <f>COUNTIF(Table5[PID],A330)</f>
        <v>1</v>
      </c>
      <c r="C330" s="52" t="str">
        <f>IF(COUNTIF(Table3[[#All],[PID]],A330)&gt;0,"P","B")</f>
        <v>P</v>
      </c>
      <c r="D330" s="61" t="str">
        <f>IF($C330="B",INDEX(Batters[[#All],[POS]],MATCH(Table5[[#This Row],[PID]],Batters[[#All],[PID]],0)),INDEX(Table3[[#All],[POS]],MATCH(Table5[[#This Row],[PID]],Table3[[#All],[PID]],0)))</f>
        <v>SP</v>
      </c>
      <c r="E330" s="54" t="str">
        <f>IF($C330="B",INDEX(Batters[[#All],[First]],MATCH(Table5[[#This Row],[PID]],Batters[[#All],[PID]],0)),INDEX(Table3[[#All],[First]],MATCH(Table5[[#This Row],[PID]],Table3[[#All],[PID]],0)))</f>
        <v>Dean</v>
      </c>
      <c r="F330" s="52" t="str">
        <f>IF($C330="B",INDEX(Batters[[#All],[Last]],MATCH(A330,Batters[[#All],[PID]],0)),INDEX(Table3[[#All],[Last]],MATCH(A330,Table3[[#All],[PID]],0)))</f>
        <v>Willing</v>
      </c>
      <c r="G330" s="58">
        <f>IF($C330="B",INDEX(Batters[[#All],[Age]],MATCH(Table5[[#This Row],[PID]],Batters[[#All],[PID]],0)),INDEX(Table3[[#All],[Age]],MATCH(Table5[[#This Row],[PID]],Table3[[#All],[PID]],0)))</f>
        <v>21</v>
      </c>
      <c r="H330" s="54" t="str">
        <f>IF($C330="B",INDEX(Batters[[#All],[B]],MATCH(Table5[[#This Row],[PID]],Batters[[#All],[PID]],0)),INDEX(Table3[[#All],[B]],MATCH(Table5[[#This Row],[PID]],Table3[[#All],[PID]],0)))</f>
        <v>R</v>
      </c>
      <c r="I330" s="54" t="str">
        <f>IF($C330="B",INDEX(Batters[[#All],[T]],MATCH(Table5[[#This Row],[PID]],Batters[[#All],[PID]],0)),INDEX(Table3[[#All],[T]],MATCH(Table5[[#This Row],[PID]],Table3[[#All],[PID]],0)))</f>
        <v>R</v>
      </c>
      <c r="J330" s="54" t="str">
        <f>IF($C330="B",INDEX(Batters[[#All],[WE]],MATCH(Table5[[#This Row],[PID]],Batters[[#All],[PID]],0)),INDEX(Table3[[#All],[WE]],MATCH(Table5[[#This Row],[PID]],Table3[[#All],[PID]],0)))</f>
        <v>Normal</v>
      </c>
      <c r="K330" s="54" t="str">
        <f>IF($C330="B",INDEX(Batters[[#All],[INT]],MATCH(Table5[[#This Row],[PID]],Batters[[#All],[PID]],0)),INDEX(Table3[[#All],[INT]],MATCH(Table5[[#This Row],[PID]],Table3[[#All],[PID]],0)))</f>
        <v>Low</v>
      </c>
      <c r="L330" s="62">
        <f>IF($C330="B",INDEX(Batters[[#All],[CON P]],MATCH(Table5[[#This Row],[PID]],Batters[[#All],[PID]],0)),INDEX(Table3[[#All],[STU P]],MATCH(Table5[[#This Row],[PID]],Table3[[#All],[PID]],0)))</f>
        <v>5</v>
      </c>
      <c r="M330" s="58">
        <f>IF($C330="B",INDEX(Batters[[#All],[GAP P]],MATCH(Table5[[#This Row],[PID]],Batters[[#All],[PID]],0)),INDEX(Table3[[#All],[MOV P]],MATCH(Table5[[#This Row],[PID]],Table3[[#All],[PID]],0)))</f>
        <v>2</v>
      </c>
      <c r="N330" s="58">
        <f>IF($C330="B",INDEX(Batters[[#All],[POW P]],MATCH(Table5[[#This Row],[PID]],Batters[[#All],[PID]],0)),INDEX(Table3[[#All],[CON P]],MATCH(Table5[[#This Row],[PID]],Table3[[#All],[PID]],0)))</f>
        <v>3</v>
      </c>
      <c r="O330" s="58" t="str">
        <f>IF($C330="B",INDEX(Batters[[#All],[EYE P]],MATCH(Table5[[#This Row],[PID]],Batters[[#All],[PID]],0)),INDEX(Table3[[#All],[VELO]],MATCH(Table5[[#This Row],[PID]],Table3[[#All],[PID]],0)))</f>
        <v>93-95 Mph</v>
      </c>
      <c r="P330" s="58">
        <f>IF($C330="B",INDEX(Batters[[#All],[K P]],MATCH(Table5[[#This Row],[PID]],Batters[[#All],[PID]],0)),INDEX(Table3[[#All],[STM]],MATCH(Table5[[#This Row],[PID]],Table3[[#All],[PID]],0)))</f>
        <v>9</v>
      </c>
      <c r="Q330" s="63">
        <f>IF($C330="B",INDEX(Batters[[#All],[Tot]],MATCH(Table5[[#This Row],[PID]],Batters[[#All],[PID]],0)),INDEX(Table3[[#All],[Tot]],MATCH(Table5[[#This Row],[PID]],Table3[[#All],[PID]],0)))</f>
        <v>36.380405908735753</v>
      </c>
      <c r="R330" s="54">
        <f>IF($C330="B",INDEX(Batters[[#All],[zScore]],MATCH(Table5[[#This Row],[PID]],Batters[[#All],[PID]],0)),INDEX(Table3[[#All],[zScore]],MATCH(Table5[[#This Row],[PID]],Table3[[#All],[PID]],0)))</f>
        <v>0.33546845379695894</v>
      </c>
      <c r="S330" s="60" t="str">
        <f>IF($C330="B",INDEX(Batters[[#All],[DEM]],MATCH(Table5[[#This Row],[PID]],Batters[[#All],[PID]],0)),INDEX(Table3[[#All],[DEM]],MATCH(Table5[[#This Row],[PID]],Table3[[#All],[PID]],0)))</f>
        <v>-</v>
      </c>
      <c r="T330" s="64">
        <f>IF($C330="B",VLOOKUP($A330,Bat!$A$4:$AU$1417,46,FALSE),VLOOKUP($A330,Pit!$A$4:$BD$570,55,FALSE))</f>
        <v>0</v>
      </c>
      <c r="U330" s="52">
        <f>IF($C330="B",VLOOKUP($A330,Bat!$A$4:$BA$1417,47,FALSE),VLOOKUP($A330,Pit!$A$4:$BF$570,56,FALSE))</f>
        <v>0</v>
      </c>
      <c r="V330" s="52">
        <f>IF($C330="B",VLOOKUP($A330,Bat!$A$4:$BA$1417,48,FALSE),VLOOKUP($A330,Pit!$A$4:$BF$570,57,FALSE))</f>
        <v>0</v>
      </c>
      <c r="W330" s="52">
        <f>Table5[[#This Row],[posRnk]]+Table5[[#This Row],[zRnk]]+IF($W$3&lt;&gt;Table5[[#This Row],[Type]],50,0)</f>
        <v>376</v>
      </c>
      <c r="X330" s="53">
        <f>RANK(Table5[[#This Row],[zScore]],Table5[[#All],[zScore]])</f>
        <v>326</v>
      </c>
      <c r="Y330" s="52" t="str">
        <f>IFERROR(INDEX(DraftResults[[#All],[OVR]],MATCH(Table5[[#This Row],[PID]],DraftResults[[#All],[Player ID]],0)),"")</f>
        <v/>
      </c>
      <c r="Z3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0" s="52" t="str">
        <f>IFERROR(INDEX(DraftResults[[#All],[Pick in Round]],MATCH(Table5[[#This Row],[PID]],DraftResults[[#All],[Player ID]],0)),"")</f>
        <v/>
      </c>
      <c r="AB330" s="52" t="str">
        <f>IFERROR(INDEX(DraftResults[[#All],[Team Name]],MATCH(Table5[[#This Row],[PID]],DraftResults[[#All],[Player ID]],0)),"")</f>
        <v/>
      </c>
      <c r="AC330" s="52" t="str">
        <f>IF(Table5[[#This Row],[Ovr]]="","",IF(Table5[[#This Row],[cmbList]]="","",Table5[[#This Row],[cmbList]]-Table5[[#This Row],[Ovr]]))</f>
        <v/>
      </c>
      <c r="AD330" s="56" t="str">
        <f>IF(ISERROR(VLOOKUP($AB330&amp;"-"&amp;$E330&amp;" "&amp;F330,Bonuses!$B$1:$G$1006,4,FALSE)),"",INT(VLOOKUP($AB330&amp;"-"&amp;$E330&amp;" "&amp;$F330,Bonuses!$B$1:$G$1006,4,FALSE)))</f>
        <v/>
      </c>
      <c r="AE3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1" spans="1:31" s="52" customFormat="1" x14ac:dyDescent="0.25">
      <c r="A331" s="52">
        <v>17996</v>
      </c>
      <c r="B331" s="52">
        <f>COUNTIF(Table5[PID],A331)</f>
        <v>1</v>
      </c>
      <c r="C331" s="52" t="str">
        <f>IF(COUNTIF(Table3[[#All],[PID]],A331)&gt;0,"P","B")</f>
        <v>B</v>
      </c>
      <c r="D331" s="61" t="str">
        <f>IF($C331="B",INDEX(Batters[[#All],[POS]],MATCH(Table5[[#This Row],[PID]],Batters[[#All],[PID]],0)),INDEX(Table3[[#All],[POS]],MATCH(Table5[[#This Row],[PID]],Table3[[#All],[PID]],0)))</f>
        <v>2B</v>
      </c>
      <c r="E331" s="54" t="str">
        <f>IF($C331="B",INDEX(Batters[[#All],[First]],MATCH(Table5[[#This Row],[PID]],Batters[[#All],[PID]],0)),INDEX(Table3[[#All],[First]],MATCH(Table5[[#This Row],[PID]],Table3[[#All],[PID]],0)))</f>
        <v>Jesse</v>
      </c>
      <c r="F331" s="52" t="str">
        <f>IF($C331="B",INDEX(Batters[[#All],[Last]],MATCH(A331,Batters[[#All],[PID]],0)),INDEX(Table3[[#All],[Last]],MATCH(A331,Table3[[#All],[PID]],0)))</f>
        <v>Oglethorpe</v>
      </c>
      <c r="G331" s="58">
        <f>IF($C331="B",INDEX(Batters[[#All],[Age]],MATCH(Table5[[#This Row],[PID]],Batters[[#All],[PID]],0)),INDEX(Table3[[#All],[Age]],MATCH(Table5[[#This Row],[PID]],Table3[[#All],[PID]],0)))</f>
        <v>21</v>
      </c>
      <c r="H331" s="54" t="str">
        <f>IF($C331="B",INDEX(Batters[[#All],[B]],MATCH(Table5[[#This Row],[PID]],Batters[[#All],[PID]],0)),INDEX(Table3[[#All],[B]],MATCH(Table5[[#This Row],[PID]],Table3[[#All],[PID]],0)))</f>
        <v>R</v>
      </c>
      <c r="I331" s="54" t="str">
        <f>IF($C331="B",INDEX(Batters[[#All],[T]],MATCH(Table5[[#This Row],[PID]],Batters[[#All],[PID]],0)),INDEX(Table3[[#All],[T]],MATCH(Table5[[#This Row],[PID]],Table3[[#All],[PID]],0)))</f>
        <v>R</v>
      </c>
      <c r="J331" s="54" t="str">
        <f>IF($C331="B",INDEX(Batters[[#All],[WE]],MATCH(Table5[[#This Row],[PID]],Batters[[#All],[PID]],0)),INDEX(Table3[[#All],[WE]],MATCH(Table5[[#This Row],[PID]],Table3[[#All],[PID]],0)))</f>
        <v>High</v>
      </c>
      <c r="K331" s="54" t="str">
        <f>IF($C331="B",INDEX(Batters[[#All],[INT]],MATCH(Table5[[#This Row],[PID]],Batters[[#All],[PID]],0)),INDEX(Table3[[#All],[INT]],MATCH(Table5[[#This Row],[PID]],Table3[[#All],[PID]],0)))</f>
        <v>Normal</v>
      </c>
      <c r="L331" s="62">
        <f>IF($C331="B",INDEX(Batters[[#All],[CON P]],MATCH(Table5[[#This Row],[PID]],Batters[[#All],[PID]],0)),INDEX(Table3[[#All],[STU P]],MATCH(Table5[[#This Row],[PID]],Table3[[#All],[PID]],0)))</f>
        <v>4</v>
      </c>
      <c r="M331" s="58">
        <f>IF($C331="B",INDEX(Batters[[#All],[GAP P]],MATCH(Table5[[#This Row],[PID]],Batters[[#All],[PID]],0)),INDEX(Table3[[#All],[MOV P]],MATCH(Table5[[#This Row],[PID]],Table3[[#All],[PID]],0)))</f>
        <v>6</v>
      </c>
      <c r="N331" s="58">
        <f>IF($C331="B",INDEX(Batters[[#All],[POW P]],MATCH(Table5[[#This Row],[PID]],Batters[[#All],[PID]],0)),INDEX(Table3[[#All],[CON P]],MATCH(Table5[[#This Row],[PID]],Table3[[#All],[PID]],0)))</f>
        <v>3</v>
      </c>
      <c r="O331" s="58">
        <f>IF($C331="B",INDEX(Batters[[#All],[EYE P]],MATCH(Table5[[#This Row],[PID]],Batters[[#All],[PID]],0)),INDEX(Table3[[#All],[VELO]],MATCH(Table5[[#This Row],[PID]],Table3[[#All],[PID]],0)))</f>
        <v>4</v>
      </c>
      <c r="P331" s="58">
        <f>IF($C331="B",INDEX(Batters[[#All],[K P]],MATCH(Table5[[#This Row],[PID]],Batters[[#All],[PID]],0)),INDEX(Table3[[#All],[STM]],MATCH(Table5[[#This Row],[PID]],Table3[[#All],[PID]],0)))</f>
        <v>4</v>
      </c>
      <c r="Q331" s="63">
        <f>IF($C331="B",INDEX(Batters[[#All],[Tot]],MATCH(Table5[[#This Row],[PID]],Batters[[#All],[PID]],0)),INDEX(Table3[[#All],[Tot]],MATCH(Table5[[#This Row],[PID]],Table3[[#All],[PID]],0)))</f>
        <v>42.193325592804669</v>
      </c>
      <c r="R331" s="54">
        <f>IF($C331="B",INDEX(Batters[[#All],[zScore]],MATCH(Table5[[#This Row],[PID]],Batters[[#All],[PID]],0)),INDEX(Table3[[#All],[zScore]],MATCH(Table5[[#This Row],[PID]],Table3[[#All],[PID]],0)))</f>
        <v>0.32462925243518631</v>
      </c>
      <c r="S331" s="60" t="str">
        <f>IF($C331="B",INDEX(Batters[[#All],[DEM]],MATCH(Table5[[#This Row],[PID]],Batters[[#All],[PID]],0)),INDEX(Table3[[#All],[DEM]],MATCH(Table5[[#This Row],[PID]],Table3[[#All],[PID]],0)))</f>
        <v>$410k</v>
      </c>
      <c r="T331" s="64">
        <f>IF($C331="B",VLOOKUP($A331,Bat!$A$4:$AU$1417,46,FALSE),VLOOKUP($A331,Pit!$A$4:$BD$570,55,FALSE))</f>
        <v>0</v>
      </c>
      <c r="U331" s="52">
        <f>IF($C331="B",VLOOKUP($A331,Bat!$A$4:$BA$1417,47,FALSE),VLOOKUP($A331,Pit!$A$4:$BF$570,56,FALSE))</f>
        <v>0</v>
      </c>
      <c r="V331" s="52">
        <f>IF($C331="B",VLOOKUP($A331,Bat!$A$4:$BA$1417,48,FALSE),VLOOKUP($A331,Pit!$A$4:$BF$570,57,FALSE))</f>
        <v>0</v>
      </c>
      <c r="W331" s="52">
        <f>Table5[[#This Row],[posRnk]]+Table5[[#This Row],[zRnk]]+IF($W$3&lt;&gt;Table5[[#This Row],[Type]],50,0)</f>
        <v>377</v>
      </c>
      <c r="X331" s="53">
        <f>RANK(Table5[[#This Row],[zScore]],Table5[[#All],[zScore]])</f>
        <v>327</v>
      </c>
      <c r="Y331" s="52" t="str">
        <f>IFERROR(INDEX(DraftResults[[#All],[OVR]],MATCH(Table5[[#This Row],[PID]],DraftResults[[#All],[Player ID]],0)),"")</f>
        <v/>
      </c>
      <c r="Z3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1" s="52" t="str">
        <f>IFERROR(INDEX(DraftResults[[#All],[Pick in Round]],MATCH(Table5[[#This Row],[PID]],DraftResults[[#All],[Player ID]],0)),"")</f>
        <v/>
      </c>
      <c r="AB331" s="52" t="str">
        <f>IFERROR(INDEX(DraftResults[[#All],[Team Name]],MATCH(Table5[[#This Row],[PID]],DraftResults[[#All],[Player ID]],0)),"")</f>
        <v/>
      </c>
      <c r="AC331" s="52" t="str">
        <f>IF(Table5[[#This Row],[Ovr]]="","",IF(Table5[[#This Row],[cmbList]]="","",Table5[[#This Row],[cmbList]]-Table5[[#This Row],[Ovr]]))</f>
        <v/>
      </c>
      <c r="AD331" s="56" t="str">
        <f>IF(ISERROR(VLOOKUP($AB331&amp;"-"&amp;$E331&amp;" "&amp;F331,Bonuses!$B$1:$G$1006,4,FALSE)),"",INT(VLOOKUP($AB331&amp;"-"&amp;$E331&amp;" "&amp;$F331,Bonuses!$B$1:$G$1006,4,FALSE)))</f>
        <v/>
      </c>
      <c r="AE3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2" spans="1:31" s="52" customFormat="1" x14ac:dyDescent="0.25">
      <c r="A332" s="52">
        <v>13536</v>
      </c>
      <c r="B332" s="52">
        <f>COUNTIF(Table5[PID],A332)</f>
        <v>1</v>
      </c>
      <c r="C332" s="52" t="str">
        <f>IF(COUNTIF(Table3[[#All],[PID]],A332)&gt;0,"P","B")</f>
        <v>P</v>
      </c>
      <c r="D332" s="61" t="str">
        <f>IF($C332="B",INDEX(Batters[[#All],[POS]],MATCH(Table5[[#This Row],[PID]],Batters[[#All],[PID]],0)),INDEX(Table3[[#All],[POS]],MATCH(Table5[[#This Row],[PID]],Table3[[#All],[PID]],0)))</f>
        <v>RP</v>
      </c>
      <c r="E332" s="54" t="str">
        <f>IF($C332="B",INDEX(Batters[[#All],[First]],MATCH(Table5[[#This Row],[PID]],Batters[[#All],[PID]],0)),INDEX(Table3[[#All],[First]],MATCH(Table5[[#This Row],[PID]],Table3[[#All],[PID]],0)))</f>
        <v>Ash</v>
      </c>
      <c r="F332" s="52" t="str">
        <f>IF($C332="B",INDEX(Batters[[#All],[Last]],MATCH(A332,Batters[[#All],[PID]],0)),INDEX(Table3[[#All],[Last]],MATCH(A332,Table3[[#All],[PID]],0)))</f>
        <v>Knowles</v>
      </c>
      <c r="G332" s="58">
        <f>IF($C332="B",INDEX(Batters[[#All],[Age]],MATCH(Table5[[#This Row],[PID]],Batters[[#All],[PID]],0)),INDEX(Table3[[#All],[Age]],MATCH(Table5[[#This Row],[PID]],Table3[[#All],[PID]],0)))</f>
        <v>18</v>
      </c>
      <c r="H332" s="54" t="str">
        <f>IF($C332="B",INDEX(Batters[[#All],[B]],MATCH(Table5[[#This Row],[PID]],Batters[[#All],[PID]],0)),INDEX(Table3[[#All],[B]],MATCH(Table5[[#This Row],[PID]],Table3[[#All],[PID]],0)))</f>
        <v>S</v>
      </c>
      <c r="I332" s="54" t="str">
        <f>IF($C332="B",INDEX(Batters[[#All],[T]],MATCH(Table5[[#This Row],[PID]],Batters[[#All],[PID]],0)),INDEX(Table3[[#All],[T]],MATCH(Table5[[#This Row],[PID]],Table3[[#All],[PID]],0)))</f>
        <v>L</v>
      </c>
      <c r="J332" s="54" t="str">
        <f>IF($C332="B",INDEX(Batters[[#All],[WE]],MATCH(Table5[[#This Row],[PID]],Batters[[#All],[PID]],0)),INDEX(Table3[[#All],[WE]],MATCH(Table5[[#This Row],[PID]],Table3[[#All],[PID]],0)))</f>
        <v>Low</v>
      </c>
      <c r="K332" s="54" t="str">
        <f>IF($C332="B",INDEX(Batters[[#All],[INT]],MATCH(Table5[[#This Row],[PID]],Batters[[#All],[PID]],0)),INDEX(Table3[[#All],[INT]],MATCH(Table5[[#This Row],[PID]],Table3[[#All],[PID]],0)))</f>
        <v>Normal</v>
      </c>
      <c r="L332" s="62">
        <f>IF($C332="B",INDEX(Batters[[#All],[CON P]],MATCH(Table5[[#This Row],[PID]],Batters[[#All],[PID]],0)),INDEX(Table3[[#All],[STU P]],MATCH(Table5[[#This Row],[PID]],Table3[[#All],[PID]],0)))</f>
        <v>4</v>
      </c>
      <c r="M332" s="58">
        <f>IF($C332="B",INDEX(Batters[[#All],[GAP P]],MATCH(Table5[[#This Row],[PID]],Batters[[#All],[PID]],0)),INDEX(Table3[[#All],[MOV P]],MATCH(Table5[[#This Row],[PID]],Table3[[#All],[PID]],0)))</f>
        <v>2</v>
      </c>
      <c r="N332" s="58">
        <f>IF($C332="B",INDEX(Batters[[#All],[POW P]],MATCH(Table5[[#This Row],[PID]],Batters[[#All],[PID]],0)),INDEX(Table3[[#All],[CON P]],MATCH(Table5[[#This Row],[PID]],Table3[[#All],[PID]],0)))</f>
        <v>3</v>
      </c>
      <c r="O332" s="58" t="str">
        <f>IF($C332="B",INDEX(Batters[[#All],[EYE P]],MATCH(Table5[[#This Row],[PID]],Batters[[#All],[PID]],0)),INDEX(Table3[[#All],[VELO]],MATCH(Table5[[#This Row],[PID]],Table3[[#All],[PID]],0)))</f>
        <v>83-85 Mph</v>
      </c>
      <c r="P332" s="58">
        <f>IF($C332="B",INDEX(Batters[[#All],[K P]],MATCH(Table5[[#This Row],[PID]],Batters[[#All],[PID]],0)),INDEX(Table3[[#All],[STM]],MATCH(Table5[[#This Row],[PID]],Table3[[#All],[PID]],0)))</f>
        <v>6</v>
      </c>
      <c r="Q332" s="63">
        <f>IF($C332="B",INDEX(Batters[[#All],[Tot]],MATCH(Table5[[#This Row],[PID]],Batters[[#All],[PID]],0)),INDEX(Table3[[#All],[Tot]],MATCH(Table5[[#This Row],[PID]],Table3[[#All],[PID]],0)))</f>
        <v>36.232175742595679</v>
      </c>
      <c r="R332" s="54">
        <f>IF($C332="B",INDEX(Batters[[#All],[zScore]],MATCH(Table5[[#This Row],[PID]],Batters[[#All],[PID]],0)),INDEX(Table3[[#All],[zScore]],MATCH(Table5[[#This Row],[PID]],Table3[[#All],[PID]],0)))</f>
        <v>0.32187511401286872</v>
      </c>
      <c r="S332" s="60" t="str">
        <f>IF($C332="B",INDEX(Batters[[#All],[DEM]],MATCH(Table5[[#This Row],[PID]],Batters[[#All],[PID]],0)),INDEX(Table3[[#All],[DEM]],MATCH(Table5[[#This Row],[PID]],Table3[[#All],[PID]],0)))</f>
        <v>$65k</v>
      </c>
      <c r="T332" s="64">
        <f>IF($C332="B",VLOOKUP($A332,Bat!$A$4:$AU$1417,46,FALSE),VLOOKUP($A332,Pit!$A$4:$BD$570,55,FALSE))</f>
        <v>0</v>
      </c>
      <c r="U332" s="52">
        <f>IF($C332="B",VLOOKUP($A332,Bat!$A$4:$BA$1417,47,FALSE),VLOOKUP($A332,Pit!$A$4:$BF$570,56,FALSE))</f>
        <v>0</v>
      </c>
      <c r="V332" s="52">
        <f>IF($C332="B",VLOOKUP($A332,Bat!$A$4:$BA$1417,48,FALSE),VLOOKUP($A332,Pit!$A$4:$BF$570,57,FALSE))</f>
        <v>0</v>
      </c>
      <c r="W332" s="52">
        <f>Table5[[#This Row],[posRnk]]+Table5[[#This Row],[zRnk]]+IF($W$3&lt;&gt;Table5[[#This Row],[Type]],50,0)</f>
        <v>378</v>
      </c>
      <c r="X332" s="53">
        <f>RANK(Table5[[#This Row],[zScore]],Table5[[#All],[zScore]])</f>
        <v>328</v>
      </c>
      <c r="Y332" s="52" t="str">
        <f>IFERROR(INDEX(DraftResults[[#All],[OVR]],MATCH(Table5[[#This Row],[PID]],DraftResults[[#All],[Player ID]],0)),"")</f>
        <v/>
      </c>
      <c r="Z3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2" s="52" t="str">
        <f>IFERROR(INDEX(DraftResults[[#All],[Pick in Round]],MATCH(Table5[[#This Row],[PID]],DraftResults[[#All],[Player ID]],0)),"")</f>
        <v/>
      </c>
      <c r="AB332" s="52" t="str">
        <f>IFERROR(INDEX(DraftResults[[#All],[Team Name]],MATCH(Table5[[#This Row],[PID]],DraftResults[[#All],[Player ID]],0)),"")</f>
        <v/>
      </c>
      <c r="AC332" s="52" t="str">
        <f>IF(Table5[[#This Row],[Ovr]]="","",IF(Table5[[#This Row],[cmbList]]="","",Table5[[#This Row],[cmbList]]-Table5[[#This Row],[Ovr]]))</f>
        <v/>
      </c>
      <c r="AD332" s="56" t="str">
        <f>IF(ISERROR(VLOOKUP($AB332&amp;"-"&amp;$E332&amp;" "&amp;F332,Bonuses!$B$1:$G$1006,4,FALSE)),"",INT(VLOOKUP($AB332&amp;"-"&amp;$E332&amp;" "&amp;$F332,Bonuses!$B$1:$G$1006,4,FALSE)))</f>
        <v/>
      </c>
      <c r="AE3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3" spans="1:31" s="52" customFormat="1" x14ac:dyDescent="0.25">
      <c r="A333" s="52">
        <v>8439</v>
      </c>
      <c r="B333" s="52">
        <f>COUNTIF(Table5[PID],A333)</f>
        <v>1</v>
      </c>
      <c r="C333" s="52" t="str">
        <f>IF(COUNTIF(Table3[[#All],[PID]],A333)&gt;0,"P","B")</f>
        <v>B</v>
      </c>
      <c r="D333" s="61" t="str">
        <f>IF($C333="B",INDEX(Batters[[#All],[POS]],MATCH(Table5[[#This Row],[PID]],Batters[[#All],[PID]],0)),INDEX(Table3[[#All],[POS]],MATCH(Table5[[#This Row],[PID]],Table3[[#All],[PID]],0)))</f>
        <v>LF</v>
      </c>
      <c r="E333" s="54" t="str">
        <f>IF($C333="B",INDEX(Batters[[#All],[First]],MATCH(Table5[[#This Row],[PID]],Batters[[#All],[PID]],0)),INDEX(Table3[[#All],[First]],MATCH(Table5[[#This Row],[PID]],Table3[[#All],[PID]],0)))</f>
        <v>Jack</v>
      </c>
      <c r="F333" s="52" t="str">
        <f>IF($C333="B",INDEX(Batters[[#All],[Last]],MATCH(A333,Batters[[#All],[PID]],0)),INDEX(Table3[[#All],[Last]],MATCH(A333,Table3[[#All],[PID]],0)))</f>
        <v>Foley</v>
      </c>
      <c r="G333" s="58">
        <f>IF($C333="B",INDEX(Batters[[#All],[Age]],MATCH(Table5[[#This Row],[PID]],Batters[[#All],[PID]],0)),INDEX(Table3[[#All],[Age]],MATCH(Table5[[#This Row],[PID]],Table3[[#All],[PID]],0)))</f>
        <v>18</v>
      </c>
      <c r="H333" s="54" t="str">
        <f>IF($C333="B",INDEX(Batters[[#All],[B]],MATCH(Table5[[#This Row],[PID]],Batters[[#All],[PID]],0)),INDEX(Table3[[#All],[B]],MATCH(Table5[[#This Row],[PID]],Table3[[#All],[PID]],0)))</f>
        <v>R</v>
      </c>
      <c r="I333" s="54" t="str">
        <f>IF($C333="B",INDEX(Batters[[#All],[T]],MATCH(Table5[[#This Row],[PID]],Batters[[#All],[PID]],0)),INDEX(Table3[[#All],[T]],MATCH(Table5[[#This Row],[PID]],Table3[[#All],[PID]],0)))</f>
        <v>R</v>
      </c>
      <c r="J333" s="54" t="str">
        <f>IF($C333="B",INDEX(Batters[[#All],[WE]],MATCH(Table5[[#This Row],[PID]],Batters[[#All],[PID]],0)),INDEX(Table3[[#All],[WE]],MATCH(Table5[[#This Row],[PID]],Table3[[#All],[PID]],0)))</f>
        <v>Low</v>
      </c>
      <c r="K333" s="54" t="str">
        <f>IF($C333="B",INDEX(Batters[[#All],[INT]],MATCH(Table5[[#This Row],[PID]],Batters[[#All],[PID]],0)),INDEX(Table3[[#All],[INT]],MATCH(Table5[[#This Row],[PID]],Table3[[#All],[PID]],0)))</f>
        <v>Low</v>
      </c>
      <c r="L333" s="62">
        <f>IF($C333="B",INDEX(Batters[[#All],[CON P]],MATCH(Table5[[#This Row],[PID]],Batters[[#All],[PID]],0)),INDEX(Table3[[#All],[STU P]],MATCH(Table5[[#This Row],[PID]],Table3[[#All],[PID]],0)))</f>
        <v>3</v>
      </c>
      <c r="M333" s="58">
        <f>IF($C333="B",INDEX(Batters[[#All],[GAP P]],MATCH(Table5[[#This Row],[PID]],Batters[[#All],[PID]],0)),INDEX(Table3[[#All],[MOV P]],MATCH(Table5[[#This Row],[PID]],Table3[[#All],[PID]],0)))</f>
        <v>5</v>
      </c>
      <c r="N333" s="58">
        <f>IF($C333="B",INDEX(Batters[[#All],[POW P]],MATCH(Table5[[#This Row],[PID]],Batters[[#All],[PID]],0)),INDEX(Table3[[#All],[CON P]],MATCH(Table5[[#This Row],[PID]],Table3[[#All],[PID]],0)))</f>
        <v>4</v>
      </c>
      <c r="O333" s="58">
        <f>IF($C333="B",INDEX(Batters[[#All],[EYE P]],MATCH(Table5[[#This Row],[PID]],Batters[[#All],[PID]],0)),INDEX(Table3[[#All],[VELO]],MATCH(Table5[[#This Row],[PID]],Table3[[#All],[PID]],0)))</f>
        <v>5</v>
      </c>
      <c r="P333" s="58">
        <f>IF($C333="B",INDEX(Batters[[#All],[K P]],MATCH(Table5[[#This Row],[PID]],Batters[[#All],[PID]],0)),INDEX(Table3[[#All],[STM]],MATCH(Table5[[#This Row],[PID]],Table3[[#All],[PID]],0)))</f>
        <v>2</v>
      </c>
      <c r="Q333" s="63">
        <f>IF($C333="B",INDEX(Batters[[#All],[Tot]],MATCH(Table5[[#This Row],[PID]],Batters[[#All],[PID]],0)),INDEX(Table3[[#All],[Tot]],MATCH(Table5[[#This Row],[PID]],Table3[[#All],[PID]],0)))</f>
        <v>42.165405125177031</v>
      </c>
      <c r="R333" s="54">
        <f>IF($C333="B",INDEX(Batters[[#All],[zScore]],MATCH(Table5[[#This Row],[PID]],Batters[[#All],[PID]],0)),INDEX(Table3[[#All],[zScore]],MATCH(Table5[[#This Row],[PID]],Table3[[#All],[PID]],0)))</f>
        <v>0.31971683172400173</v>
      </c>
      <c r="S333" s="60" t="str">
        <f>IF($C333="B",INDEX(Batters[[#All],[DEM]],MATCH(Table5[[#This Row],[PID]],Batters[[#All],[PID]],0)),INDEX(Table3[[#All],[DEM]],MATCH(Table5[[#This Row],[PID]],Table3[[#All],[PID]],0)))</f>
        <v>$65k</v>
      </c>
      <c r="T333" s="64">
        <f>IF($C333="B",VLOOKUP($A333,Bat!$A$4:$AU$1417,46,FALSE),VLOOKUP($A333,Pit!$A$4:$BD$570,55,FALSE))</f>
        <v>0</v>
      </c>
      <c r="U333" s="52">
        <f>IF($C333="B",VLOOKUP($A333,Bat!$A$4:$BA$1417,47,FALSE),VLOOKUP($A333,Pit!$A$4:$BF$570,56,FALSE))</f>
        <v>0</v>
      </c>
      <c r="V333" s="52">
        <f>IF($C333="B",VLOOKUP($A333,Bat!$A$4:$BA$1417,48,FALSE),VLOOKUP($A333,Pit!$A$4:$BF$570,57,FALSE))</f>
        <v>0</v>
      </c>
      <c r="W333" s="52">
        <f>Table5[[#This Row],[posRnk]]+Table5[[#This Row],[zRnk]]+IF($W$3&lt;&gt;Table5[[#This Row],[Type]],50,0)</f>
        <v>379</v>
      </c>
      <c r="X333" s="53">
        <f>RANK(Table5[[#This Row],[zScore]],Table5[[#All],[zScore]])</f>
        <v>329</v>
      </c>
      <c r="Y333" s="52" t="str">
        <f>IFERROR(INDEX(DraftResults[[#All],[OVR]],MATCH(Table5[[#This Row],[PID]],DraftResults[[#All],[Player ID]],0)),"")</f>
        <v/>
      </c>
      <c r="Z3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3" s="52" t="str">
        <f>IFERROR(INDEX(DraftResults[[#All],[Pick in Round]],MATCH(Table5[[#This Row],[PID]],DraftResults[[#All],[Player ID]],0)),"")</f>
        <v/>
      </c>
      <c r="AB333" s="52" t="str">
        <f>IFERROR(INDEX(DraftResults[[#All],[Team Name]],MATCH(Table5[[#This Row],[PID]],DraftResults[[#All],[Player ID]],0)),"")</f>
        <v/>
      </c>
      <c r="AC333" s="52" t="str">
        <f>IF(Table5[[#This Row],[Ovr]]="","",IF(Table5[[#This Row],[cmbList]]="","",Table5[[#This Row],[cmbList]]-Table5[[#This Row],[Ovr]]))</f>
        <v/>
      </c>
      <c r="AD333" s="56" t="str">
        <f>IF(ISERROR(VLOOKUP($AB333&amp;"-"&amp;$E333&amp;" "&amp;F333,Bonuses!$B$1:$G$1006,4,FALSE)),"",INT(VLOOKUP($AB333&amp;"-"&amp;$E333&amp;" "&amp;$F333,Bonuses!$B$1:$G$1006,4,FALSE)))</f>
        <v/>
      </c>
      <c r="AE3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4" spans="1:31" s="52" customFormat="1" x14ac:dyDescent="0.25">
      <c r="A334" s="52">
        <v>12632</v>
      </c>
      <c r="B334" s="52">
        <f>COUNTIF(Table5[PID],A334)</f>
        <v>1</v>
      </c>
      <c r="C334" s="52" t="str">
        <f>IF(COUNTIF(Table3[[#All],[PID]],A334)&gt;0,"P","B")</f>
        <v>P</v>
      </c>
      <c r="D334" s="61" t="str">
        <f>IF($C334="B",INDEX(Batters[[#All],[POS]],MATCH(Table5[[#This Row],[PID]],Batters[[#All],[PID]],0)),INDEX(Table3[[#All],[POS]],MATCH(Table5[[#This Row],[PID]],Table3[[#All],[PID]],0)))</f>
        <v>RP</v>
      </c>
      <c r="E334" s="54" t="str">
        <f>IF($C334="B",INDEX(Batters[[#All],[First]],MATCH(Table5[[#This Row],[PID]],Batters[[#All],[PID]],0)),INDEX(Table3[[#All],[First]],MATCH(Table5[[#This Row],[PID]],Table3[[#All],[PID]],0)))</f>
        <v>Lee</v>
      </c>
      <c r="F334" s="52" t="str">
        <f>IF($C334="B",INDEX(Batters[[#All],[Last]],MATCH(A334,Batters[[#All],[PID]],0)),INDEX(Table3[[#All],[Last]],MATCH(A334,Table3[[#All],[PID]],0)))</f>
        <v>Pruitt</v>
      </c>
      <c r="G334" s="58">
        <f>IF($C334="B",INDEX(Batters[[#All],[Age]],MATCH(Table5[[#This Row],[PID]],Batters[[#All],[PID]],0)),INDEX(Table3[[#All],[Age]],MATCH(Table5[[#This Row],[PID]],Table3[[#All],[PID]],0)))</f>
        <v>18</v>
      </c>
      <c r="H334" s="54" t="str">
        <f>IF($C334="B",INDEX(Batters[[#All],[B]],MATCH(Table5[[#This Row],[PID]],Batters[[#All],[PID]],0)),INDEX(Table3[[#All],[B]],MATCH(Table5[[#This Row],[PID]],Table3[[#All],[PID]],0)))</f>
        <v>L</v>
      </c>
      <c r="I334" s="54" t="str">
        <f>IF($C334="B",INDEX(Batters[[#All],[T]],MATCH(Table5[[#This Row],[PID]],Batters[[#All],[PID]],0)),INDEX(Table3[[#All],[T]],MATCH(Table5[[#This Row],[PID]],Table3[[#All],[PID]],0)))</f>
        <v>L</v>
      </c>
      <c r="J334" s="54" t="str">
        <f>IF($C334="B",INDEX(Batters[[#All],[WE]],MATCH(Table5[[#This Row],[PID]],Batters[[#All],[PID]],0)),INDEX(Table3[[#All],[WE]],MATCH(Table5[[#This Row],[PID]],Table3[[#All],[PID]],0)))</f>
        <v>Normal</v>
      </c>
      <c r="K334" s="54" t="str">
        <f>IF($C334="B",INDEX(Batters[[#All],[INT]],MATCH(Table5[[#This Row],[PID]],Batters[[#All],[PID]],0)),INDEX(Table3[[#All],[INT]],MATCH(Table5[[#This Row],[PID]],Table3[[#All],[PID]],0)))</f>
        <v>Normal</v>
      </c>
      <c r="L334" s="62">
        <f>IF($C334="B",INDEX(Batters[[#All],[CON P]],MATCH(Table5[[#This Row],[PID]],Batters[[#All],[PID]],0)),INDEX(Table3[[#All],[STU P]],MATCH(Table5[[#This Row],[PID]],Table3[[#All],[PID]],0)))</f>
        <v>4</v>
      </c>
      <c r="M334" s="58">
        <f>IF($C334="B",INDEX(Batters[[#All],[GAP P]],MATCH(Table5[[#This Row],[PID]],Batters[[#All],[PID]],0)),INDEX(Table3[[#All],[MOV P]],MATCH(Table5[[#This Row],[PID]],Table3[[#All],[PID]],0)))</f>
        <v>1</v>
      </c>
      <c r="N334" s="58">
        <f>IF($C334="B",INDEX(Batters[[#All],[POW P]],MATCH(Table5[[#This Row],[PID]],Batters[[#All],[PID]],0)),INDEX(Table3[[#All],[CON P]],MATCH(Table5[[#This Row],[PID]],Table3[[#All],[PID]],0)))</f>
        <v>4</v>
      </c>
      <c r="O334" s="58" t="str">
        <f>IF($C334="B",INDEX(Batters[[#All],[EYE P]],MATCH(Table5[[#This Row],[PID]],Batters[[#All],[PID]],0)),INDEX(Table3[[#All],[VELO]],MATCH(Table5[[#This Row],[PID]],Table3[[#All],[PID]],0)))</f>
        <v>86-88 Mph</v>
      </c>
      <c r="P334" s="58">
        <f>IF($C334="B",INDEX(Batters[[#All],[K P]],MATCH(Table5[[#This Row],[PID]],Batters[[#All],[PID]],0)),INDEX(Table3[[#All],[STM]],MATCH(Table5[[#This Row],[PID]],Table3[[#All],[PID]],0)))</f>
        <v>7</v>
      </c>
      <c r="Q334" s="63">
        <f>IF($C334="B",INDEX(Batters[[#All],[Tot]],MATCH(Table5[[#This Row],[PID]],Batters[[#All],[PID]],0)),INDEX(Table3[[#All],[Tot]],MATCH(Table5[[#This Row],[PID]],Table3[[#All],[PID]],0)))</f>
        <v>36.145095499513339</v>
      </c>
      <c r="R334" s="54">
        <f>IF($C334="B",INDEX(Batters[[#All],[zScore]],MATCH(Table5[[#This Row],[PID]],Batters[[#All],[PID]],0)),INDEX(Table3[[#All],[zScore]],MATCH(Table5[[#This Row],[PID]],Table3[[#All],[PID]],0)))</f>
        <v>0.31388948353343682</v>
      </c>
      <c r="S334" s="60" t="str">
        <f>IF($C334="B",INDEX(Batters[[#All],[DEM]],MATCH(Table5[[#This Row],[PID]],Batters[[#All],[PID]],0)),INDEX(Table3[[#All],[DEM]],MATCH(Table5[[#This Row],[PID]],Table3[[#All],[PID]],0)))</f>
        <v>$65k</v>
      </c>
      <c r="T334" s="64">
        <f>IF($C334="B",VLOOKUP($A334,Bat!$A$4:$AU$1417,46,FALSE),VLOOKUP($A334,Pit!$A$4:$BD$570,55,FALSE))</f>
        <v>0</v>
      </c>
      <c r="U334" s="52">
        <f>IF($C334="B",VLOOKUP($A334,Bat!$A$4:$BA$1417,47,FALSE),VLOOKUP($A334,Pit!$A$4:$BF$570,56,FALSE))</f>
        <v>0</v>
      </c>
      <c r="V334" s="52">
        <f>IF($C334="B",VLOOKUP($A334,Bat!$A$4:$BA$1417,48,FALSE),VLOOKUP($A334,Pit!$A$4:$BF$570,57,FALSE))</f>
        <v>0</v>
      </c>
      <c r="W334" s="52">
        <f>Table5[[#This Row],[posRnk]]+Table5[[#This Row],[zRnk]]+IF($W$3&lt;&gt;Table5[[#This Row],[Type]],50,0)</f>
        <v>380</v>
      </c>
      <c r="X334" s="53">
        <f>RANK(Table5[[#This Row],[zScore]],Table5[[#All],[zScore]])</f>
        <v>330</v>
      </c>
      <c r="Y334" s="52" t="str">
        <f>IFERROR(INDEX(DraftResults[[#All],[OVR]],MATCH(Table5[[#This Row],[PID]],DraftResults[[#All],[Player ID]],0)),"")</f>
        <v/>
      </c>
      <c r="Z3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4" s="52" t="str">
        <f>IFERROR(INDEX(DraftResults[[#All],[Pick in Round]],MATCH(Table5[[#This Row],[PID]],DraftResults[[#All],[Player ID]],0)),"")</f>
        <v/>
      </c>
      <c r="AB334" s="52" t="str">
        <f>IFERROR(INDEX(DraftResults[[#All],[Team Name]],MATCH(Table5[[#This Row],[PID]],DraftResults[[#All],[Player ID]],0)),"")</f>
        <v/>
      </c>
      <c r="AC334" s="52" t="str">
        <f>IF(Table5[[#This Row],[Ovr]]="","",IF(Table5[[#This Row],[cmbList]]="","",Table5[[#This Row],[cmbList]]-Table5[[#This Row],[Ovr]]))</f>
        <v/>
      </c>
      <c r="AD334" s="56" t="str">
        <f>IF(ISERROR(VLOOKUP($AB334&amp;"-"&amp;$E334&amp;" "&amp;F334,Bonuses!$B$1:$G$1006,4,FALSE)),"",INT(VLOOKUP($AB334&amp;"-"&amp;$E334&amp;" "&amp;$F334,Bonuses!$B$1:$G$1006,4,FALSE)))</f>
        <v/>
      </c>
      <c r="AE3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5" spans="1:31" s="52" customFormat="1" x14ac:dyDescent="0.25">
      <c r="A335" s="52">
        <v>14105</v>
      </c>
      <c r="B335" s="52">
        <f>COUNTIF(Table5[PID],A335)</f>
        <v>1</v>
      </c>
      <c r="C335" s="52" t="str">
        <f>IF(COUNTIF(Table3[[#All],[PID]],A335)&gt;0,"P","B")</f>
        <v>B</v>
      </c>
      <c r="D335" s="61" t="str">
        <f>IF($C335="B",INDEX(Batters[[#All],[POS]],MATCH(Table5[[#This Row],[PID]],Batters[[#All],[PID]],0)),INDEX(Table3[[#All],[POS]],MATCH(Table5[[#This Row],[PID]],Table3[[#All],[PID]],0)))</f>
        <v>3B</v>
      </c>
      <c r="E335" s="54" t="str">
        <f>IF($C335="B",INDEX(Batters[[#All],[First]],MATCH(Table5[[#This Row],[PID]],Batters[[#All],[PID]],0)),INDEX(Table3[[#All],[First]],MATCH(Table5[[#This Row],[PID]],Table3[[#All],[PID]],0)))</f>
        <v>José</v>
      </c>
      <c r="F335" s="52" t="str">
        <f>IF($C335="B",INDEX(Batters[[#All],[Last]],MATCH(A335,Batters[[#All],[PID]],0)),INDEX(Table3[[#All],[Last]],MATCH(A335,Table3[[#All],[PID]],0)))</f>
        <v>González</v>
      </c>
      <c r="G335" s="58">
        <f>IF($C335="B",INDEX(Batters[[#All],[Age]],MATCH(Table5[[#This Row],[PID]],Batters[[#All],[PID]],0)),INDEX(Table3[[#All],[Age]],MATCH(Table5[[#This Row],[PID]],Table3[[#All],[PID]],0)))</f>
        <v>18</v>
      </c>
      <c r="H335" s="54" t="str">
        <f>IF($C335="B",INDEX(Batters[[#All],[B]],MATCH(Table5[[#This Row],[PID]],Batters[[#All],[PID]],0)),INDEX(Table3[[#All],[B]],MATCH(Table5[[#This Row],[PID]],Table3[[#All],[PID]],0)))</f>
        <v>R</v>
      </c>
      <c r="I335" s="54" t="str">
        <f>IF($C335="B",INDEX(Batters[[#All],[T]],MATCH(Table5[[#This Row],[PID]],Batters[[#All],[PID]],0)),INDEX(Table3[[#All],[T]],MATCH(Table5[[#This Row],[PID]],Table3[[#All],[PID]],0)))</f>
        <v>R</v>
      </c>
      <c r="J335" s="54" t="str">
        <f>IF($C335="B",INDEX(Batters[[#All],[WE]],MATCH(Table5[[#This Row],[PID]],Batters[[#All],[PID]],0)),INDEX(Table3[[#All],[WE]],MATCH(Table5[[#This Row],[PID]],Table3[[#All],[PID]],0)))</f>
        <v>Normal</v>
      </c>
      <c r="K335" s="54" t="str">
        <f>IF($C335="B",INDEX(Batters[[#All],[INT]],MATCH(Table5[[#This Row],[PID]],Batters[[#All],[PID]],0)),INDEX(Table3[[#All],[INT]],MATCH(Table5[[#This Row],[PID]],Table3[[#All],[PID]],0)))</f>
        <v>Normal</v>
      </c>
      <c r="L335" s="62">
        <f>IF($C335="B",INDEX(Batters[[#All],[CON P]],MATCH(Table5[[#This Row],[PID]],Batters[[#All],[PID]],0)),INDEX(Table3[[#All],[STU P]],MATCH(Table5[[#This Row],[PID]],Table3[[#All],[PID]],0)))</f>
        <v>3</v>
      </c>
      <c r="M335" s="58">
        <f>IF($C335="B",INDEX(Batters[[#All],[GAP P]],MATCH(Table5[[#This Row],[PID]],Batters[[#All],[PID]],0)),INDEX(Table3[[#All],[MOV P]],MATCH(Table5[[#This Row],[PID]],Table3[[#All],[PID]],0)))</f>
        <v>4</v>
      </c>
      <c r="N335" s="58">
        <f>IF($C335="B",INDEX(Batters[[#All],[POW P]],MATCH(Table5[[#This Row],[PID]],Batters[[#All],[PID]],0)),INDEX(Table3[[#All],[CON P]],MATCH(Table5[[#This Row],[PID]],Table3[[#All],[PID]],0)))</f>
        <v>3</v>
      </c>
      <c r="O335" s="58">
        <f>IF($C335="B",INDEX(Batters[[#All],[EYE P]],MATCH(Table5[[#This Row],[PID]],Batters[[#All],[PID]],0)),INDEX(Table3[[#All],[VELO]],MATCH(Table5[[#This Row],[PID]],Table3[[#All],[PID]],0)))</f>
        <v>5</v>
      </c>
      <c r="P335" s="58">
        <f>IF($C335="B",INDEX(Batters[[#All],[K P]],MATCH(Table5[[#This Row],[PID]],Batters[[#All],[PID]],0)),INDEX(Table3[[#All],[STM]],MATCH(Table5[[#This Row],[PID]],Table3[[#All],[PID]],0)))</f>
        <v>4</v>
      </c>
      <c r="Q335" s="63">
        <f>IF($C335="B",INDEX(Batters[[#All],[Tot]],MATCH(Table5[[#This Row],[PID]],Batters[[#All],[PID]],0)),INDEX(Table3[[#All],[Tot]],MATCH(Table5[[#This Row],[PID]],Table3[[#All],[PID]],0)))</f>
        <v>42.121446785037648</v>
      </c>
      <c r="R335" s="54">
        <f>IF($C335="B",INDEX(Batters[[#All],[zScore]],MATCH(Table5[[#This Row],[PID]],Batters[[#All],[PID]],0)),INDEX(Table3[[#All],[zScore]],MATCH(Table5[[#This Row],[PID]],Table3[[#All],[PID]],0)))</f>
        <v>0.3119826539369418</v>
      </c>
      <c r="S335" s="60" t="str">
        <f>IF($C335="B",INDEX(Batters[[#All],[DEM]],MATCH(Table5[[#This Row],[PID]],Batters[[#All],[PID]],0)),INDEX(Table3[[#All],[DEM]],MATCH(Table5[[#This Row],[PID]],Table3[[#All],[PID]],0)))</f>
        <v>$65k</v>
      </c>
      <c r="T335" s="64">
        <f>IF($C335="B",VLOOKUP($A335,Bat!$A$4:$AU$1417,46,FALSE),VLOOKUP($A335,Pit!$A$4:$BD$570,55,FALSE))</f>
        <v>0</v>
      </c>
      <c r="U335" s="52">
        <f>IF($C335="B",VLOOKUP($A335,Bat!$A$4:$BA$1417,47,FALSE),VLOOKUP($A335,Pit!$A$4:$BF$570,56,FALSE))</f>
        <v>0</v>
      </c>
      <c r="V335" s="52">
        <f>IF($C335="B",VLOOKUP($A335,Bat!$A$4:$BA$1417,48,FALSE),VLOOKUP($A335,Pit!$A$4:$BF$570,57,FALSE))</f>
        <v>0</v>
      </c>
      <c r="W335" s="52">
        <f>Table5[[#This Row],[posRnk]]+Table5[[#This Row],[zRnk]]+IF($W$3&lt;&gt;Table5[[#This Row],[Type]],50,0)</f>
        <v>381</v>
      </c>
      <c r="X335" s="53">
        <f>RANK(Table5[[#This Row],[zScore]],Table5[[#All],[zScore]])</f>
        <v>331</v>
      </c>
      <c r="Y335" s="52" t="str">
        <f>IFERROR(INDEX(DraftResults[[#All],[OVR]],MATCH(Table5[[#This Row],[PID]],DraftResults[[#All],[Player ID]],0)),"")</f>
        <v/>
      </c>
      <c r="Z3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5" s="52" t="str">
        <f>IFERROR(INDEX(DraftResults[[#All],[Pick in Round]],MATCH(Table5[[#This Row],[PID]],DraftResults[[#All],[Player ID]],0)),"")</f>
        <v/>
      </c>
      <c r="AB335" s="52" t="str">
        <f>IFERROR(INDEX(DraftResults[[#All],[Team Name]],MATCH(Table5[[#This Row],[PID]],DraftResults[[#All],[Player ID]],0)),"")</f>
        <v/>
      </c>
      <c r="AC335" s="52" t="str">
        <f>IF(Table5[[#This Row],[Ovr]]="","",IF(Table5[[#This Row],[cmbList]]="","",Table5[[#This Row],[cmbList]]-Table5[[#This Row],[Ovr]]))</f>
        <v/>
      </c>
      <c r="AD335" s="56" t="str">
        <f>IF(ISERROR(VLOOKUP($AB335&amp;"-"&amp;$E335&amp;" "&amp;F335,Bonuses!$B$1:$G$1006,4,FALSE)),"",INT(VLOOKUP($AB335&amp;"-"&amp;$E335&amp;" "&amp;$F335,Bonuses!$B$1:$G$1006,4,FALSE)))</f>
        <v/>
      </c>
      <c r="AE3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6" spans="1:31" s="52" customFormat="1" x14ac:dyDescent="0.25">
      <c r="A336" s="52">
        <v>9475</v>
      </c>
      <c r="B336" s="57">
        <f>COUNTIF(Table5[PID],A336)</f>
        <v>1</v>
      </c>
      <c r="C336" s="57" t="str">
        <f>IF(COUNTIF(Table3[[#All],[PID]],A336)&gt;0,"P","B")</f>
        <v>B</v>
      </c>
      <c r="D336" s="61" t="str">
        <f>IF($C336="B",INDEX(Batters[[#All],[POS]],MATCH(Table5[[#This Row],[PID]],Batters[[#All],[PID]],0)),INDEX(Table3[[#All],[POS]],MATCH(Table5[[#This Row],[PID]],Table3[[#All],[PID]],0)))</f>
        <v>SS</v>
      </c>
      <c r="E336" s="54" t="str">
        <f>IF($C336="B",INDEX(Batters[[#All],[First]],MATCH(Table5[[#This Row],[PID]],Batters[[#All],[PID]],0)),INDEX(Table3[[#All],[First]],MATCH(Table5[[#This Row],[PID]],Table3[[#All],[PID]],0)))</f>
        <v>Billy</v>
      </c>
      <c r="F336" s="52" t="str">
        <f>IF($C336="B",INDEX(Batters[[#All],[Last]],MATCH(A336,Batters[[#All],[PID]],0)),INDEX(Table3[[#All],[Last]],MATCH(A336,Table3[[#All],[PID]],0)))</f>
        <v>Steward</v>
      </c>
      <c r="G336" s="58">
        <f>IF($C336="B",INDEX(Batters[[#All],[Age]],MATCH(Table5[[#This Row],[PID]],Batters[[#All],[PID]],0)),INDEX(Table3[[#All],[Age]],MATCH(Table5[[#This Row],[PID]],Table3[[#All],[PID]],0)))</f>
        <v>21</v>
      </c>
      <c r="H336" s="54" t="str">
        <f>IF($C336="B",INDEX(Batters[[#All],[B]],MATCH(Table5[[#This Row],[PID]],Batters[[#All],[PID]],0)),INDEX(Table3[[#All],[B]],MATCH(Table5[[#This Row],[PID]],Table3[[#All],[PID]],0)))</f>
        <v>R</v>
      </c>
      <c r="I336" s="54" t="str">
        <f>IF($C336="B",INDEX(Batters[[#All],[T]],MATCH(Table5[[#This Row],[PID]],Batters[[#All],[PID]],0)),INDEX(Table3[[#All],[T]],MATCH(Table5[[#This Row],[PID]],Table3[[#All],[PID]],0)))</f>
        <v>R</v>
      </c>
      <c r="J336" s="54" t="str">
        <f>IF($C336="B",INDEX(Batters[[#All],[WE]],MATCH(Table5[[#This Row],[PID]],Batters[[#All],[PID]],0)),INDEX(Table3[[#All],[WE]],MATCH(Table5[[#This Row],[PID]],Table3[[#All],[PID]],0)))</f>
        <v>Normal</v>
      </c>
      <c r="K336" s="54" t="str">
        <f>IF($C336="B",INDEX(Batters[[#All],[INT]],MATCH(Table5[[#This Row],[PID]],Batters[[#All],[PID]],0)),INDEX(Table3[[#All],[INT]],MATCH(Table5[[#This Row],[PID]],Table3[[#All],[PID]],0)))</f>
        <v>Normal</v>
      </c>
      <c r="L336" s="62">
        <f>IF($C336="B",INDEX(Batters[[#All],[CON P]],MATCH(Table5[[#This Row],[PID]],Batters[[#All],[PID]],0)),INDEX(Table3[[#All],[STU P]],MATCH(Table5[[#This Row],[PID]],Table3[[#All],[PID]],0)))</f>
        <v>4</v>
      </c>
      <c r="M336" s="58">
        <f>IF($C336="B",INDEX(Batters[[#All],[GAP P]],MATCH(Table5[[#This Row],[PID]],Batters[[#All],[PID]],0)),INDEX(Table3[[#All],[MOV P]],MATCH(Table5[[#This Row],[PID]],Table3[[#All],[PID]],0)))</f>
        <v>4</v>
      </c>
      <c r="N336" s="58">
        <f>IF($C336="B",INDEX(Batters[[#All],[POW P]],MATCH(Table5[[#This Row],[PID]],Batters[[#All],[PID]],0)),INDEX(Table3[[#All],[CON P]],MATCH(Table5[[#This Row],[PID]],Table3[[#All],[PID]],0)))</f>
        <v>3</v>
      </c>
      <c r="O336" s="58">
        <f>IF($C336="B",INDEX(Batters[[#All],[EYE P]],MATCH(Table5[[#This Row],[PID]],Batters[[#All],[PID]],0)),INDEX(Table3[[#All],[VELO]],MATCH(Table5[[#This Row],[PID]],Table3[[#All],[PID]],0)))</f>
        <v>4</v>
      </c>
      <c r="P336" s="58">
        <f>IF($C336="B",INDEX(Batters[[#All],[K P]],MATCH(Table5[[#This Row],[PID]],Batters[[#All],[PID]],0)),INDEX(Table3[[#All],[STM]],MATCH(Table5[[#This Row],[PID]],Table3[[#All],[PID]],0)))</f>
        <v>5</v>
      </c>
      <c r="Q336" s="63">
        <f>IF($C336="B",INDEX(Batters[[#All],[Tot]],MATCH(Table5[[#This Row],[PID]],Batters[[#All],[PID]],0)),INDEX(Table3[[#All],[Tot]],MATCH(Table5[[#This Row],[PID]],Table3[[#All],[PID]],0)))</f>
        <v>42.120802392354662</v>
      </c>
      <c r="R336" s="54">
        <f>IF($C336="B",INDEX(Batters[[#All],[zScore]],MATCH(Table5[[#This Row],[PID]],Batters[[#All],[PID]],0)),INDEX(Table3[[#All],[zScore]],MATCH(Table5[[#This Row],[PID]],Table3[[#All],[PID]],0)))</f>
        <v>0.31186927732719966</v>
      </c>
      <c r="S336" s="60" t="str">
        <f>IF($C336="B",INDEX(Batters[[#All],[DEM]],MATCH(Table5[[#This Row],[PID]],Batters[[#All],[PID]],0)),INDEX(Table3[[#All],[DEM]],MATCH(Table5[[#This Row],[PID]],Table3[[#All],[PID]],0)))</f>
        <v>$85k</v>
      </c>
      <c r="T336" s="64">
        <f>IF($C336="B",VLOOKUP($A336,Bat!$A$4:$AU$1417,46,FALSE),VLOOKUP($A336,Pit!$A$4:$BD$570,55,FALSE))</f>
        <v>0</v>
      </c>
      <c r="U336" s="52">
        <f>IF($C336="B",VLOOKUP($A336,Bat!$A$4:$BA$1417,47,FALSE),VLOOKUP($A336,Pit!$A$4:$BF$570,56,FALSE))</f>
        <v>0</v>
      </c>
      <c r="V336" s="52">
        <f>IF($C336="B",VLOOKUP($A336,Bat!$A$4:$BA$1417,48,FALSE),VLOOKUP($A336,Pit!$A$4:$BF$570,57,FALSE))</f>
        <v>0</v>
      </c>
      <c r="W336" s="52">
        <f>Table5[[#This Row],[posRnk]]+Table5[[#This Row],[zRnk]]+IF($W$3&lt;&gt;Table5[[#This Row],[Type]],50,0)</f>
        <v>382</v>
      </c>
      <c r="X336" s="53">
        <f>RANK(Table5[[#This Row],[zScore]],Table5[[#All],[zScore]])</f>
        <v>332</v>
      </c>
      <c r="Y336" s="52" t="str">
        <f>IFERROR(INDEX(DraftResults[[#All],[OVR]],MATCH(Table5[[#This Row],[PID]],DraftResults[[#All],[Player ID]],0)),"")</f>
        <v/>
      </c>
      <c r="Z3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6" s="52" t="str">
        <f>IFERROR(INDEX(DraftResults[[#All],[Pick in Round]],MATCH(Table5[[#This Row],[PID]],DraftResults[[#All],[Player ID]],0)),"")</f>
        <v/>
      </c>
      <c r="AB336" s="52" t="str">
        <f>IFERROR(INDEX(DraftResults[[#All],[Team Name]],MATCH(Table5[[#This Row],[PID]],DraftResults[[#All],[Player ID]],0)),"")</f>
        <v/>
      </c>
      <c r="AC336" s="52" t="str">
        <f>IF(Table5[[#This Row],[Ovr]]="","",IF(Table5[[#This Row],[cmbList]]="","",Table5[[#This Row],[cmbList]]-Table5[[#This Row],[Ovr]]))</f>
        <v/>
      </c>
      <c r="AD336" s="56" t="str">
        <f>IF(ISERROR(VLOOKUP($AB336&amp;"-"&amp;$E336&amp;" "&amp;F336,Bonuses!$B$1:$G$1006,4,FALSE)),"",INT(VLOOKUP($AB336&amp;"-"&amp;$E336&amp;" "&amp;$F336,Bonuses!$B$1:$G$1006,4,FALSE)))</f>
        <v/>
      </c>
      <c r="AE3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7" spans="1:31" s="52" customFormat="1" x14ac:dyDescent="0.25">
      <c r="A337" s="52">
        <v>5701</v>
      </c>
      <c r="B337" s="52">
        <f>COUNTIF(Table5[PID],A337)</f>
        <v>1</v>
      </c>
      <c r="C337" s="52" t="str">
        <f>IF(COUNTIF(Table3[[#All],[PID]],A337)&gt;0,"P","B")</f>
        <v>P</v>
      </c>
      <c r="D337" s="61" t="str">
        <f>IF($C337="B",INDEX(Batters[[#All],[POS]],MATCH(Table5[[#This Row],[PID]],Batters[[#All],[PID]],0)),INDEX(Table3[[#All],[POS]],MATCH(Table5[[#This Row],[PID]],Table3[[#All],[PID]],0)))</f>
        <v>SP</v>
      </c>
      <c r="E337" s="54" t="str">
        <f>IF($C337="B",INDEX(Batters[[#All],[First]],MATCH(Table5[[#This Row],[PID]],Batters[[#All],[PID]],0)),INDEX(Table3[[#All],[First]],MATCH(Table5[[#This Row],[PID]],Table3[[#All],[PID]],0)))</f>
        <v>John</v>
      </c>
      <c r="F337" s="52" t="str">
        <f>IF($C337="B",INDEX(Batters[[#All],[Last]],MATCH(A337,Batters[[#All],[PID]],0)),INDEX(Table3[[#All],[Last]],MATCH(A337,Table3[[#All],[PID]],0)))</f>
        <v>McClure</v>
      </c>
      <c r="G337" s="58">
        <f>IF($C337="B",INDEX(Batters[[#All],[Age]],MATCH(Table5[[#This Row],[PID]],Batters[[#All],[PID]],0)),INDEX(Table3[[#All],[Age]],MATCH(Table5[[#This Row],[PID]],Table3[[#All],[PID]],0)))</f>
        <v>21</v>
      </c>
      <c r="H337" s="54" t="str">
        <f>IF($C337="B",INDEX(Batters[[#All],[B]],MATCH(Table5[[#This Row],[PID]],Batters[[#All],[PID]],0)),INDEX(Table3[[#All],[B]],MATCH(Table5[[#This Row],[PID]],Table3[[#All],[PID]],0)))</f>
        <v>R</v>
      </c>
      <c r="I337" s="54" t="str">
        <f>IF($C337="B",INDEX(Batters[[#All],[T]],MATCH(Table5[[#This Row],[PID]],Batters[[#All],[PID]],0)),INDEX(Table3[[#All],[T]],MATCH(Table5[[#This Row],[PID]],Table3[[#All],[PID]],0)))</f>
        <v>R</v>
      </c>
      <c r="J337" s="54" t="str">
        <f>IF($C337="B",INDEX(Batters[[#All],[WE]],MATCH(Table5[[#This Row],[PID]],Batters[[#All],[PID]],0)),INDEX(Table3[[#All],[WE]],MATCH(Table5[[#This Row],[PID]],Table3[[#All],[PID]],0)))</f>
        <v>Normal</v>
      </c>
      <c r="K337" s="54" t="str">
        <f>IF($C337="B",INDEX(Batters[[#All],[INT]],MATCH(Table5[[#This Row],[PID]],Batters[[#All],[PID]],0)),INDEX(Table3[[#All],[INT]],MATCH(Table5[[#This Row],[PID]],Table3[[#All],[PID]],0)))</f>
        <v>Normal</v>
      </c>
      <c r="L337" s="62">
        <f>IF($C337="B",INDEX(Batters[[#All],[CON P]],MATCH(Table5[[#This Row],[PID]],Batters[[#All],[PID]],0)),INDEX(Table3[[#All],[STU P]],MATCH(Table5[[#This Row],[PID]],Table3[[#All],[PID]],0)))</f>
        <v>5</v>
      </c>
      <c r="M337" s="58">
        <f>IF($C337="B",INDEX(Batters[[#All],[GAP P]],MATCH(Table5[[#This Row],[PID]],Batters[[#All],[PID]],0)),INDEX(Table3[[#All],[MOV P]],MATCH(Table5[[#This Row],[PID]],Table3[[#All],[PID]],0)))</f>
        <v>2</v>
      </c>
      <c r="N337" s="58">
        <f>IF($C337="B",INDEX(Batters[[#All],[POW P]],MATCH(Table5[[#This Row],[PID]],Batters[[#All],[PID]],0)),INDEX(Table3[[#All],[CON P]],MATCH(Table5[[#This Row],[PID]],Table3[[#All],[PID]],0)))</f>
        <v>3</v>
      </c>
      <c r="O337" s="58" t="str">
        <f>IF($C337="B",INDEX(Batters[[#All],[EYE P]],MATCH(Table5[[#This Row],[PID]],Batters[[#All],[PID]],0)),INDEX(Table3[[#All],[VELO]],MATCH(Table5[[#This Row],[PID]],Table3[[#All],[PID]],0)))</f>
        <v>92-94 Mph</v>
      </c>
      <c r="P337" s="58">
        <f>IF($C337="B",INDEX(Batters[[#All],[K P]],MATCH(Table5[[#This Row],[PID]],Batters[[#All],[PID]],0)),INDEX(Table3[[#All],[STM]],MATCH(Table5[[#This Row],[PID]],Table3[[#All],[PID]],0)))</f>
        <v>6</v>
      </c>
      <c r="Q337" s="63">
        <f>IF($C337="B",INDEX(Batters[[#All],[Tot]],MATCH(Table5[[#This Row],[PID]],Batters[[#All],[PID]],0)),INDEX(Table3[[#All],[Tot]],MATCH(Table5[[#This Row],[PID]],Table3[[#All],[PID]],0)))</f>
        <v>36.085618615516836</v>
      </c>
      <c r="R337" s="54">
        <f>IF($C337="B",INDEX(Batters[[#All],[zScore]],MATCH(Table5[[#This Row],[PID]],Batters[[#All],[PID]],0)),INDEX(Table3[[#All],[zScore]],MATCH(Table5[[#This Row],[PID]],Table3[[#All],[PID]],0)))</f>
        <v>0.30843519906141259</v>
      </c>
      <c r="S337" s="60" t="str">
        <f>IF($C337="B",INDEX(Batters[[#All],[DEM]],MATCH(Table5[[#This Row],[PID]],Batters[[#All],[PID]],0)),INDEX(Table3[[#All],[DEM]],MATCH(Table5[[#This Row],[PID]],Table3[[#All],[PID]],0)))</f>
        <v>-</v>
      </c>
      <c r="T337" s="64">
        <f>IF($C337="B",VLOOKUP($A337,Bat!$A$4:$AU$1417,46,FALSE),VLOOKUP($A337,Pit!$A$4:$BD$570,55,FALSE))</f>
        <v>0</v>
      </c>
      <c r="U337" s="52">
        <f>IF($C337="B",VLOOKUP($A337,Bat!$A$4:$BA$1417,47,FALSE),VLOOKUP($A337,Pit!$A$4:$BF$570,56,FALSE))</f>
        <v>0</v>
      </c>
      <c r="V337" s="52">
        <f>IF($C337="B",VLOOKUP($A337,Bat!$A$4:$BA$1417,48,FALSE),VLOOKUP($A337,Pit!$A$4:$BF$570,57,FALSE))</f>
        <v>0</v>
      </c>
      <c r="W337" s="52">
        <f>Table5[[#This Row],[posRnk]]+Table5[[#This Row],[zRnk]]+IF($W$3&lt;&gt;Table5[[#This Row],[Type]],50,0)</f>
        <v>383</v>
      </c>
      <c r="X337" s="53">
        <f>RANK(Table5[[#This Row],[zScore]],Table5[[#All],[zScore]])</f>
        <v>333</v>
      </c>
      <c r="Y337" s="52" t="str">
        <f>IFERROR(INDEX(DraftResults[[#All],[OVR]],MATCH(Table5[[#This Row],[PID]],DraftResults[[#All],[Player ID]],0)),"")</f>
        <v/>
      </c>
      <c r="Z3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7" s="52" t="str">
        <f>IFERROR(INDEX(DraftResults[[#All],[Pick in Round]],MATCH(Table5[[#This Row],[PID]],DraftResults[[#All],[Player ID]],0)),"")</f>
        <v/>
      </c>
      <c r="AB337" s="52" t="str">
        <f>IFERROR(INDEX(DraftResults[[#All],[Team Name]],MATCH(Table5[[#This Row],[PID]],DraftResults[[#All],[Player ID]],0)),"")</f>
        <v/>
      </c>
      <c r="AC337" s="52" t="str">
        <f>IF(Table5[[#This Row],[Ovr]]="","",IF(Table5[[#This Row],[cmbList]]="","",Table5[[#This Row],[cmbList]]-Table5[[#This Row],[Ovr]]))</f>
        <v/>
      </c>
      <c r="AD337" s="56" t="str">
        <f>IF(ISERROR(VLOOKUP($AB337&amp;"-"&amp;$E337&amp;" "&amp;F337,Bonuses!$B$1:$G$1006,4,FALSE)),"",INT(VLOOKUP($AB337&amp;"-"&amp;$E337&amp;" "&amp;$F337,Bonuses!$B$1:$G$1006,4,FALSE)))</f>
        <v/>
      </c>
      <c r="AE3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8" spans="1:31" s="52" customFormat="1" x14ac:dyDescent="0.25">
      <c r="A338" s="52">
        <v>6526</v>
      </c>
      <c r="B338" s="57">
        <f>COUNTIF(Table5[PID],A338)</f>
        <v>1</v>
      </c>
      <c r="C338" s="57" t="str">
        <f>IF(COUNTIF(Table3[[#All],[PID]],A338)&gt;0,"P","B")</f>
        <v>B</v>
      </c>
      <c r="D338" s="61" t="str">
        <f>IF($C338="B",INDEX(Batters[[#All],[POS]],MATCH(Table5[[#This Row],[PID]],Batters[[#All],[PID]],0)),INDEX(Table3[[#All],[POS]],MATCH(Table5[[#This Row],[PID]],Table3[[#All],[PID]],0)))</f>
        <v>SS</v>
      </c>
      <c r="E338" s="54" t="str">
        <f>IF($C338="B",INDEX(Batters[[#All],[First]],MATCH(Table5[[#This Row],[PID]],Batters[[#All],[PID]],0)),INDEX(Table3[[#All],[First]],MATCH(Table5[[#This Row],[PID]],Table3[[#All],[PID]],0)))</f>
        <v>Sugimoto</v>
      </c>
      <c r="F338" s="52" t="str">
        <f>IF($C338="B",INDEX(Batters[[#All],[Last]],MATCH(A338,Batters[[#All],[PID]],0)),INDEX(Table3[[#All],[Last]],MATCH(A338,Table3[[#All],[PID]],0)))</f>
        <v>Ohayashi</v>
      </c>
      <c r="G338" s="58">
        <f>IF($C338="B",INDEX(Batters[[#All],[Age]],MATCH(Table5[[#This Row],[PID]],Batters[[#All],[PID]],0)),INDEX(Table3[[#All],[Age]],MATCH(Table5[[#This Row],[PID]],Table3[[#All],[PID]],0)))</f>
        <v>18</v>
      </c>
      <c r="H338" s="54" t="str">
        <f>IF($C338="B",INDEX(Batters[[#All],[B]],MATCH(Table5[[#This Row],[PID]],Batters[[#All],[PID]],0)),INDEX(Table3[[#All],[B]],MATCH(Table5[[#This Row],[PID]],Table3[[#All],[PID]],0)))</f>
        <v>R</v>
      </c>
      <c r="I338" s="54" t="str">
        <f>IF($C338="B",INDEX(Batters[[#All],[T]],MATCH(Table5[[#This Row],[PID]],Batters[[#All],[PID]],0)),INDEX(Table3[[#All],[T]],MATCH(Table5[[#This Row],[PID]],Table3[[#All],[PID]],0)))</f>
        <v>R</v>
      </c>
      <c r="J338" s="54" t="str">
        <f>IF($C338="B",INDEX(Batters[[#All],[WE]],MATCH(Table5[[#This Row],[PID]],Batters[[#All],[PID]],0)),INDEX(Table3[[#All],[WE]],MATCH(Table5[[#This Row],[PID]],Table3[[#All],[PID]],0)))</f>
        <v>Normal</v>
      </c>
      <c r="K338" s="54" t="str">
        <f>IF($C338="B",INDEX(Batters[[#All],[INT]],MATCH(Table5[[#This Row],[PID]],Batters[[#All],[PID]],0)),INDEX(Table3[[#All],[INT]],MATCH(Table5[[#This Row],[PID]],Table3[[#All],[PID]],0)))</f>
        <v>Normal</v>
      </c>
      <c r="L338" s="62">
        <f>IF($C338="B",INDEX(Batters[[#All],[CON P]],MATCH(Table5[[#This Row],[PID]],Batters[[#All],[PID]],0)),INDEX(Table3[[#All],[STU P]],MATCH(Table5[[#This Row],[PID]],Table3[[#All],[PID]],0)))</f>
        <v>3</v>
      </c>
      <c r="M338" s="58">
        <f>IF($C338="B",INDEX(Batters[[#All],[GAP P]],MATCH(Table5[[#This Row],[PID]],Batters[[#All],[PID]],0)),INDEX(Table3[[#All],[MOV P]],MATCH(Table5[[#This Row],[PID]],Table3[[#All],[PID]],0)))</f>
        <v>3</v>
      </c>
      <c r="N338" s="58">
        <f>IF($C338="B",INDEX(Batters[[#All],[POW P]],MATCH(Table5[[#This Row],[PID]],Batters[[#All],[PID]],0)),INDEX(Table3[[#All],[CON P]],MATCH(Table5[[#This Row],[PID]],Table3[[#All],[PID]],0)))</f>
        <v>3</v>
      </c>
      <c r="O338" s="58">
        <f>IF($C338="B",INDEX(Batters[[#All],[EYE P]],MATCH(Table5[[#This Row],[PID]],Batters[[#All],[PID]],0)),INDEX(Table3[[#All],[VELO]],MATCH(Table5[[#This Row],[PID]],Table3[[#All],[PID]],0)))</f>
        <v>4</v>
      </c>
      <c r="P338" s="58">
        <f>IF($C338="B",INDEX(Batters[[#All],[K P]],MATCH(Table5[[#This Row],[PID]],Batters[[#All],[PID]],0)),INDEX(Table3[[#All],[STM]],MATCH(Table5[[#This Row],[PID]],Table3[[#All],[PID]],0)))</f>
        <v>5</v>
      </c>
      <c r="Q338" s="63">
        <f>IF($C338="B",INDEX(Batters[[#All],[Tot]],MATCH(Table5[[#This Row],[PID]],Batters[[#All],[PID]],0)),INDEX(Table3[[#All],[Tot]],MATCH(Table5[[#This Row],[PID]],Table3[[#All],[PID]],0)))</f>
        <v>42.087079641933315</v>
      </c>
      <c r="R338" s="54">
        <f>IF($C338="B",INDEX(Batters[[#All],[zScore]],MATCH(Table5[[#This Row],[PID]],Batters[[#All],[PID]],0)),INDEX(Table3[[#All],[zScore]],MATCH(Table5[[#This Row],[PID]],Table3[[#All],[PID]],0)))</f>
        <v>0.30593598352219364</v>
      </c>
      <c r="S338" s="60" t="str">
        <f>IF($C338="B",INDEX(Batters[[#All],[DEM]],MATCH(Table5[[#This Row],[PID]],Batters[[#All],[PID]],0)),INDEX(Table3[[#All],[DEM]],MATCH(Table5[[#This Row],[PID]],Table3[[#All],[PID]],0)))</f>
        <v>$240k</v>
      </c>
      <c r="T338" s="64">
        <f>IF($C338="B",VLOOKUP($A338,Bat!$A$4:$AU$1417,46,FALSE),VLOOKUP($A338,Pit!$A$4:$BD$570,55,FALSE))</f>
        <v>0</v>
      </c>
      <c r="U338" s="52">
        <f>IF($C338="B",VLOOKUP($A338,Bat!$A$4:$BA$1417,47,FALSE),VLOOKUP($A338,Pit!$A$4:$BF$570,56,FALSE))</f>
        <v>0</v>
      </c>
      <c r="V338" s="52">
        <f>IF($C338="B",VLOOKUP($A338,Bat!$A$4:$BA$1417,48,FALSE),VLOOKUP($A338,Pit!$A$4:$BF$570,57,FALSE))</f>
        <v>0</v>
      </c>
      <c r="W338" s="52">
        <f>Table5[[#This Row],[posRnk]]+Table5[[#This Row],[zRnk]]+IF($W$3&lt;&gt;Table5[[#This Row],[Type]],50,0)</f>
        <v>384</v>
      </c>
      <c r="X338" s="53">
        <f>RANK(Table5[[#This Row],[zScore]],Table5[[#All],[zScore]])</f>
        <v>334</v>
      </c>
      <c r="Y338" s="52" t="str">
        <f>IFERROR(INDEX(DraftResults[[#All],[OVR]],MATCH(Table5[[#This Row],[PID]],DraftResults[[#All],[Player ID]],0)),"")</f>
        <v/>
      </c>
      <c r="Z3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8" s="52" t="str">
        <f>IFERROR(INDEX(DraftResults[[#All],[Pick in Round]],MATCH(Table5[[#This Row],[PID]],DraftResults[[#All],[Player ID]],0)),"")</f>
        <v/>
      </c>
      <c r="AB338" s="52" t="str">
        <f>IFERROR(INDEX(DraftResults[[#All],[Team Name]],MATCH(Table5[[#This Row],[PID]],DraftResults[[#All],[Player ID]],0)),"")</f>
        <v/>
      </c>
      <c r="AC338" s="52" t="str">
        <f>IF(Table5[[#This Row],[Ovr]]="","",IF(Table5[[#This Row],[cmbList]]="","",Table5[[#This Row],[cmbList]]-Table5[[#This Row],[Ovr]]))</f>
        <v/>
      </c>
      <c r="AD338" s="56" t="str">
        <f>IF(ISERROR(VLOOKUP($AB338&amp;"-"&amp;$E338&amp;" "&amp;F338,Bonuses!$B$1:$G$1006,4,FALSE)),"",INT(VLOOKUP($AB338&amp;"-"&amp;$E338&amp;" "&amp;$F338,Bonuses!$B$1:$G$1006,4,FALSE)))</f>
        <v/>
      </c>
      <c r="AE3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9" spans="1:31" s="52" customFormat="1" x14ac:dyDescent="0.25">
      <c r="A339" s="52">
        <v>13117</v>
      </c>
      <c r="B339" s="57">
        <f>COUNTIF(Table5[PID],A339)</f>
        <v>1</v>
      </c>
      <c r="C339" s="57" t="str">
        <f>IF(COUNTIF(Table3[[#All],[PID]],A339)&gt;0,"P","B")</f>
        <v>B</v>
      </c>
      <c r="D339" s="61" t="str">
        <f>IF($C339="B",INDEX(Batters[[#All],[POS]],MATCH(Table5[[#This Row],[PID]],Batters[[#All],[PID]],0)),INDEX(Table3[[#All],[POS]],MATCH(Table5[[#This Row],[PID]],Table3[[#All],[PID]],0)))</f>
        <v>LF</v>
      </c>
      <c r="E339" s="54" t="str">
        <f>IF($C339="B",INDEX(Batters[[#All],[First]],MATCH(Table5[[#This Row],[PID]],Batters[[#All],[PID]],0)),INDEX(Table3[[#All],[First]],MATCH(Table5[[#This Row],[PID]],Table3[[#All],[PID]],0)))</f>
        <v>Corey</v>
      </c>
      <c r="F339" s="52" t="str">
        <f>IF($C339="B",INDEX(Batters[[#All],[Last]],MATCH(A339,Batters[[#All],[PID]],0)),INDEX(Table3[[#All],[Last]],MATCH(A339,Table3[[#All],[PID]],0)))</f>
        <v>Thompson</v>
      </c>
      <c r="G339" s="58">
        <f>IF($C339="B",INDEX(Batters[[#All],[Age]],MATCH(Table5[[#This Row],[PID]],Batters[[#All],[PID]],0)),INDEX(Table3[[#All],[Age]],MATCH(Table5[[#This Row],[PID]],Table3[[#All],[PID]],0)))</f>
        <v>18</v>
      </c>
      <c r="H339" s="54" t="str">
        <f>IF($C339="B",INDEX(Batters[[#All],[B]],MATCH(Table5[[#This Row],[PID]],Batters[[#All],[PID]],0)),INDEX(Table3[[#All],[B]],MATCH(Table5[[#This Row],[PID]],Table3[[#All],[PID]],0)))</f>
        <v>L</v>
      </c>
      <c r="I339" s="54" t="str">
        <f>IF($C339="B",INDEX(Batters[[#All],[T]],MATCH(Table5[[#This Row],[PID]],Batters[[#All],[PID]],0)),INDEX(Table3[[#All],[T]],MATCH(Table5[[#This Row],[PID]],Table3[[#All],[PID]],0)))</f>
        <v>L</v>
      </c>
      <c r="J339" s="54" t="str">
        <f>IF($C339="B",INDEX(Batters[[#All],[WE]],MATCH(Table5[[#This Row],[PID]],Batters[[#All],[PID]],0)),INDEX(Table3[[#All],[WE]],MATCH(Table5[[#This Row],[PID]],Table3[[#All],[PID]],0)))</f>
        <v>Normal</v>
      </c>
      <c r="K339" s="54" t="str">
        <f>IF($C339="B",INDEX(Batters[[#All],[INT]],MATCH(Table5[[#This Row],[PID]],Batters[[#All],[PID]],0)),INDEX(Table3[[#All],[INT]],MATCH(Table5[[#This Row],[PID]],Table3[[#All],[PID]],0)))</f>
        <v>Normal</v>
      </c>
      <c r="L339" s="62">
        <f>IF($C339="B",INDEX(Batters[[#All],[CON P]],MATCH(Table5[[#This Row],[PID]],Batters[[#All],[PID]],0)),INDEX(Table3[[#All],[STU P]],MATCH(Table5[[#This Row],[PID]],Table3[[#All],[PID]],0)))</f>
        <v>3</v>
      </c>
      <c r="M339" s="58">
        <f>IF($C339="B",INDEX(Batters[[#All],[GAP P]],MATCH(Table5[[#This Row],[PID]],Batters[[#All],[PID]],0)),INDEX(Table3[[#All],[MOV P]],MATCH(Table5[[#This Row],[PID]],Table3[[#All],[PID]],0)))</f>
        <v>5</v>
      </c>
      <c r="N339" s="58">
        <f>IF($C339="B",INDEX(Batters[[#All],[POW P]],MATCH(Table5[[#This Row],[PID]],Batters[[#All],[PID]],0)),INDEX(Table3[[#All],[CON P]],MATCH(Table5[[#This Row],[PID]],Table3[[#All],[PID]],0)))</f>
        <v>5</v>
      </c>
      <c r="O339" s="58">
        <f>IF($C339="B",INDEX(Batters[[#All],[EYE P]],MATCH(Table5[[#This Row],[PID]],Batters[[#All],[PID]],0)),INDEX(Table3[[#All],[VELO]],MATCH(Table5[[#This Row],[PID]],Table3[[#All],[PID]],0)))</f>
        <v>3</v>
      </c>
      <c r="P339" s="58">
        <f>IF($C339="B",INDEX(Batters[[#All],[K P]],MATCH(Table5[[#This Row],[PID]],Batters[[#All],[PID]],0)),INDEX(Table3[[#All],[STM]],MATCH(Table5[[#This Row],[PID]],Table3[[#All],[PID]],0)))</f>
        <v>3</v>
      </c>
      <c r="Q339" s="63">
        <f>IF($C339="B",INDEX(Batters[[#All],[Tot]],MATCH(Table5[[#This Row],[PID]],Batters[[#All],[PID]],0)),INDEX(Table3[[#All],[Tot]],MATCH(Table5[[#This Row],[PID]],Table3[[#All],[PID]],0)))</f>
        <v>42.085444963999819</v>
      </c>
      <c r="R339" s="54">
        <f>IF($C339="B",INDEX(Batters[[#All],[zScore]],MATCH(Table5[[#This Row],[PID]],Batters[[#All],[PID]],0)),INDEX(Table3[[#All],[zScore]],MATCH(Table5[[#This Row],[PID]],Table3[[#All],[PID]],0)))</f>
        <v>0.30564837280436064</v>
      </c>
      <c r="S339" s="60" t="str">
        <f>IF($C339="B",INDEX(Batters[[#All],[DEM]],MATCH(Table5[[#This Row],[PID]],Batters[[#All],[PID]],0)),INDEX(Table3[[#All],[DEM]],MATCH(Table5[[#This Row],[PID]],Table3[[#All],[PID]],0)))</f>
        <v>$250k</v>
      </c>
      <c r="T339" s="64">
        <f>IF($C339="B",VLOOKUP($A339,Bat!$A$4:$AU$1417,46,FALSE),VLOOKUP($A339,Pit!$A$4:$BD$570,55,FALSE))</f>
        <v>0</v>
      </c>
      <c r="U339" s="52">
        <f>IF($C339="B",VLOOKUP($A339,Bat!$A$4:$BA$1417,47,FALSE),VLOOKUP($A339,Pit!$A$4:$BF$570,56,FALSE))</f>
        <v>0</v>
      </c>
      <c r="V339" s="52">
        <f>IF($C339="B",VLOOKUP($A339,Bat!$A$4:$BA$1417,48,FALSE),VLOOKUP($A339,Pit!$A$4:$BF$570,57,FALSE))</f>
        <v>0</v>
      </c>
      <c r="W339" s="52">
        <f>Table5[[#This Row],[posRnk]]+Table5[[#This Row],[zRnk]]+IF($W$3&lt;&gt;Table5[[#This Row],[Type]],50,0)</f>
        <v>385</v>
      </c>
      <c r="X339" s="53">
        <f>RANK(Table5[[#This Row],[zScore]],Table5[[#All],[zScore]])</f>
        <v>335</v>
      </c>
      <c r="Y339" s="52" t="str">
        <f>IFERROR(INDEX(DraftResults[[#All],[OVR]],MATCH(Table5[[#This Row],[PID]],DraftResults[[#All],[Player ID]],0)),"")</f>
        <v/>
      </c>
      <c r="Z3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9" s="52" t="str">
        <f>IFERROR(INDEX(DraftResults[[#All],[Pick in Round]],MATCH(Table5[[#This Row],[PID]],DraftResults[[#All],[Player ID]],0)),"")</f>
        <v/>
      </c>
      <c r="AB339" s="52" t="str">
        <f>IFERROR(INDEX(DraftResults[[#All],[Team Name]],MATCH(Table5[[#This Row],[PID]],DraftResults[[#All],[Player ID]],0)),"")</f>
        <v/>
      </c>
      <c r="AC339" s="52" t="str">
        <f>IF(Table5[[#This Row],[Ovr]]="","",IF(Table5[[#This Row],[cmbList]]="","",Table5[[#This Row],[cmbList]]-Table5[[#This Row],[Ovr]]))</f>
        <v/>
      </c>
      <c r="AD339" s="56" t="str">
        <f>IF(ISERROR(VLOOKUP($AB339&amp;"-"&amp;$E339&amp;" "&amp;F339,Bonuses!$B$1:$G$1006,4,FALSE)),"",INT(VLOOKUP($AB339&amp;"-"&amp;$E339&amp;" "&amp;$F339,Bonuses!$B$1:$G$1006,4,FALSE)))</f>
        <v/>
      </c>
      <c r="AE3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0" spans="1:31" s="52" customFormat="1" x14ac:dyDescent="0.25">
      <c r="A340" s="52">
        <v>7593</v>
      </c>
      <c r="B340" s="52">
        <f>COUNTIF(Table5[PID],A340)</f>
        <v>1</v>
      </c>
      <c r="C340" s="52" t="str">
        <f>IF(COUNTIF(Table3[[#All],[PID]],A340)&gt;0,"P","B")</f>
        <v>B</v>
      </c>
      <c r="D340" s="61" t="str">
        <f>IF($C340="B",INDEX(Batters[[#All],[POS]],MATCH(Table5[[#This Row],[PID]],Batters[[#All],[PID]],0)),INDEX(Table3[[#All],[POS]],MATCH(Table5[[#This Row],[PID]],Table3[[#All],[PID]],0)))</f>
        <v>2B</v>
      </c>
      <c r="E340" s="54" t="str">
        <f>IF($C340="B",INDEX(Batters[[#All],[First]],MATCH(Table5[[#This Row],[PID]],Batters[[#All],[PID]],0)),INDEX(Table3[[#All],[First]],MATCH(Table5[[#This Row],[PID]],Table3[[#All],[PID]],0)))</f>
        <v>Paul</v>
      </c>
      <c r="F340" s="52" t="str">
        <f>IF($C340="B",INDEX(Batters[[#All],[Last]],MATCH(A340,Batters[[#All],[PID]],0)),INDEX(Table3[[#All],[Last]],MATCH(A340,Table3[[#All],[PID]],0)))</f>
        <v>Cunningham</v>
      </c>
      <c r="G340" s="58">
        <f>IF($C340="B",INDEX(Batters[[#All],[Age]],MATCH(Table5[[#This Row],[PID]],Batters[[#All],[PID]],0)),INDEX(Table3[[#All],[Age]],MATCH(Table5[[#This Row],[PID]],Table3[[#All],[PID]],0)))</f>
        <v>18</v>
      </c>
      <c r="H340" s="54" t="str">
        <f>IF($C340="B",INDEX(Batters[[#All],[B]],MATCH(Table5[[#This Row],[PID]],Batters[[#All],[PID]],0)),INDEX(Table3[[#All],[B]],MATCH(Table5[[#This Row],[PID]],Table3[[#All],[PID]],0)))</f>
        <v>R</v>
      </c>
      <c r="I340" s="54" t="str">
        <f>IF($C340="B",INDEX(Batters[[#All],[T]],MATCH(Table5[[#This Row],[PID]],Batters[[#All],[PID]],0)),INDEX(Table3[[#All],[T]],MATCH(Table5[[#This Row],[PID]],Table3[[#All],[PID]],0)))</f>
        <v>R</v>
      </c>
      <c r="J340" s="54" t="str">
        <f>IF($C340="B",INDEX(Batters[[#All],[WE]],MATCH(Table5[[#This Row],[PID]],Batters[[#All],[PID]],0)),INDEX(Table3[[#All],[WE]],MATCH(Table5[[#This Row],[PID]],Table3[[#All],[PID]],0)))</f>
        <v>Normal</v>
      </c>
      <c r="K340" s="54" t="str">
        <f>IF($C340="B",INDEX(Batters[[#All],[INT]],MATCH(Table5[[#This Row],[PID]],Batters[[#All],[PID]],0)),INDEX(Table3[[#All],[INT]],MATCH(Table5[[#This Row],[PID]],Table3[[#All],[PID]],0)))</f>
        <v>Normal</v>
      </c>
      <c r="L340" s="62">
        <f>IF($C340="B",INDEX(Batters[[#All],[CON P]],MATCH(Table5[[#This Row],[PID]],Batters[[#All],[PID]],0)),INDEX(Table3[[#All],[STU P]],MATCH(Table5[[#This Row],[PID]],Table3[[#All],[PID]],0)))</f>
        <v>3</v>
      </c>
      <c r="M340" s="58">
        <f>IF($C340="B",INDEX(Batters[[#All],[GAP P]],MATCH(Table5[[#This Row],[PID]],Batters[[#All],[PID]],0)),INDEX(Table3[[#All],[MOV P]],MATCH(Table5[[#This Row],[PID]],Table3[[#All],[PID]],0)))</f>
        <v>4</v>
      </c>
      <c r="N340" s="58">
        <f>IF($C340="B",INDEX(Batters[[#All],[POW P]],MATCH(Table5[[#This Row],[PID]],Batters[[#All],[PID]],0)),INDEX(Table3[[#All],[CON P]],MATCH(Table5[[#This Row],[PID]],Table3[[#All],[PID]],0)))</f>
        <v>4</v>
      </c>
      <c r="O340" s="58">
        <f>IF($C340="B",INDEX(Batters[[#All],[EYE P]],MATCH(Table5[[#This Row],[PID]],Batters[[#All],[PID]],0)),INDEX(Table3[[#All],[VELO]],MATCH(Table5[[#This Row],[PID]],Table3[[#All],[PID]],0)))</f>
        <v>4</v>
      </c>
      <c r="P340" s="58">
        <f>IF($C340="B",INDEX(Batters[[#All],[K P]],MATCH(Table5[[#This Row],[PID]],Batters[[#All],[PID]],0)),INDEX(Table3[[#All],[STM]],MATCH(Table5[[#This Row],[PID]],Table3[[#All],[PID]],0)))</f>
        <v>3</v>
      </c>
      <c r="Q340" s="63">
        <f>IF($C340="B",INDEX(Batters[[#All],[Tot]],MATCH(Table5[[#This Row],[PID]],Batters[[#All],[PID]],0)),INDEX(Table3[[#All],[Tot]],MATCH(Table5[[#This Row],[PID]],Table3[[#All],[PID]],0)))</f>
        <v>42.064063759108329</v>
      </c>
      <c r="R340" s="54">
        <f>IF($C340="B",INDEX(Batters[[#All],[zScore]],MATCH(Table5[[#This Row],[PID]],Batters[[#All],[PID]],0)),INDEX(Table3[[#All],[zScore]],MATCH(Table5[[#This Row],[PID]],Table3[[#All],[PID]],0)))</f>
        <v>0.3018864919096772</v>
      </c>
      <c r="S340" s="60" t="str">
        <f>IF($C340="B",INDEX(Batters[[#All],[DEM]],MATCH(Table5[[#This Row],[PID]],Batters[[#All],[PID]],0)),INDEX(Table3[[#All],[DEM]],MATCH(Table5[[#This Row],[PID]],Table3[[#All],[PID]],0)))</f>
        <v>$3.0m</v>
      </c>
      <c r="T340" s="64">
        <f>IF($C340="B",VLOOKUP($A340,Bat!$A$4:$AU$1417,46,FALSE),VLOOKUP($A340,Pit!$A$4:$BD$570,55,FALSE))</f>
        <v>0</v>
      </c>
      <c r="U340" s="52">
        <f>IF($C340="B",VLOOKUP($A340,Bat!$A$4:$BA$1417,47,FALSE),VLOOKUP($A340,Pit!$A$4:$BF$570,56,FALSE))</f>
        <v>0</v>
      </c>
      <c r="V340" s="52">
        <f>IF($C340="B",VLOOKUP($A340,Bat!$A$4:$BA$1417,48,FALSE),VLOOKUP($A340,Pit!$A$4:$BF$570,57,FALSE))</f>
        <v>0</v>
      </c>
      <c r="W340" s="52">
        <f>Table5[[#This Row],[posRnk]]+Table5[[#This Row],[zRnk]]+IF($W$3&lt;&gt;Table5[[#This Row],[Type]],50,0)</f>
        <v>386</v>
      </c>
      <c r="X340" s="53">
        <f>RANK(Table5[[#This Row],[zScore]],Table5[[#All],[zScore]])</f>
        <v>336</v>
      </c>
      <c r="Y340" s="52" t="str">
        <f>IFERROR(INDEX(DraftResults[[#All],[OVR]],MATCH(Table5[[#This Row],[PID]],DraftResults[[#All],[Player ID]],0)),"")</f>
        <v/>
      </c>
      <c r="Z3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0" s="52" t="str">
        <f>IFERROR(INDEX(DraftResults[[#All],[Pick in Round]],MATCH(Table5[[#This Row],[PID]],DraftResults[[#All],[Player ID]],0)),"")</f>
        <v/>
      </c>
      <c r="AB340" s="52" t="str">
        <f>IFERROR(INDEX(DraftResults[[#All],[Team Name]],MATCH(Table5[[#This Row],[PID]],DraftResults[[#All],[Player ID]],0)),"")</f>
        <v/>
      </c>
      <c r="AC340" s="52" t="str">
        <f>IF(Table5[[#This Row],[Ovr]]="","",IF(Table5[[#This Row],[cmbList]]="","",Table5[[#This Row],[cmbList]]-Table5[[#This Row],[Ovr]]))</f>
        <v/>
      </c>
      <c r="AD340" s="56" t="str">
        <f>IF(ISERROR(VLOOKUP($AB340&amp;"-"&amp;$E340&amp;" "&amp;F340,Bonuses!$B$1:$G$1006,4,FALSE)),"",INT(VLOOKUP($AB340&amp;"-"&amp;$E340&amp;" "&amp;$F340,Bonuses!$B$1:$G$1006,4,FALSE)))</f>
        <v/>
      </c>
      <c r="AE3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1" spans="1:31" s="52" customFormat="1" x14ac:dyDescent="0.25">
      <c r="A341" s="52">
        <v>9566</v>
      </c>
      <c r="B341" s="52">
        <f>COUNTIF(Table5[PID],A341)</f>
        <v>1</v>
      </c>
      <c r="C341" s="52" t="str">
        <f>IF(COUNTIF(Table3[[#All],[PID]],A341)&gt;0,"P","B")</f>
        <v>B</v>
      </c>
      <c r="D341" s="61" t="str">
        <f>IF($C341="B",INDEX(Batters[[#All],[POS]],MATCH(Table5[[#This Row],[PID]],Batters[[#All],[PID]],0)),INDEX(Table3[[#All],[POS]],MATCH(Table5[[#This Row],[PID]],Table3[[#All],[PID]],0)))</f>
        <v>2B</v>
      </c>
      <c r="E341" s="54" t="str">
        <f>IF($C341="B",INDEX(Batters[[#All],[First]],MATCH(Table5[[#This Row],[PID]],Batters[[#All],[PID]],0)),INDEX(Table3[[#All],[First]],MATCH(Table5[[#This Row],[PID]],Table3[[#All],[PID]],0)))</f>
        <v>Sergio</v>
      </c>
      <c r="F341" s="52" t="str">
        <f>IF($C341="B",INDEX(Batters[[#All],[Last]],MATCH(A341,Batters[[#All],[PID]],0)),INDEX(Table3[[#All],[Last]],MATCH(A341,Table3[[#All],[PID]],0)))</f>
        <v>González</v>
      </c>
      <c r="G341" s="58">
        <f>IF($C341="B",INDEX(Batters[[#All],[Age]],MATCH(Table5[[#This Row],[PID]],Batters[[#All],[PID]],0)),INDEX(Table3[[#All],[Age]],MATCH(Table5[[#This Row],[PID]],Table3[[#All],[PID]],0)))</f>
        <v>21</v>
      </c>
      <c r="H341" s="54" t="str">
        <f>IF($C341="B",INDEX(Batters[[#All],[B]],MATCH(Table5[[#This Row],[PID]],Batters[[#All],[PID]],0)),INDEX(Table3[[#All],[B]],MATCH(Table5[[#This Row],[PID]],Table3[[#All],[PID]],0)))</f>
        <v>R</v>
      </c>
      <c r="I341" s="54" t="str">
        <f>IF($C341="B",INDEX(Batters[[#All],[T]],MATCH(Table5[[#This Row],[PID]],Batters[[#All],[PID]],0)),INDEX(Table3[[#All],[T]],MATCH(Table5[[#This Row],[PID]],Table3[[#All],[PID]],0)))</f>
        <v>R</v>
      </c>
      <c r="J341" s="54" t="str">
        <f>IF($C341="B",INDEX(Batters[[#All],[WE]],MATCH(Table5[[#This Row],[PID]],Batters[[#All],[PID]],0)),INDEX(Table3[[#All],[WE]],MATCH(Table5[[#This Row],[PID]],Table3[[#All],[PID]],0)))</f>
        <v>Normal</v>
      </c>
      <c r="K341" s="54" t="str">
        <f>IF($C341="B",INDEX(Batters[[#All],[INT]],MATCH(Table5[[#This Row],[PID]],Batters[[#All],[PID]],0)),INDEX(Table3[[#All],[INT]],MATCH(Table5[[#This Row],[PID]],Table3[[#All],[PID]],0)))</f>
        <v>Normal</v>
      </c>
      <c r="L341" s="62">
        <f>IF($C341="B",INDEX(Batters[[#All],[CON P]],MATCH(Table5[[#This Row],[PID]],Batters[[#All],[PID]],0)),INDEX(Table3[[#All],[STU P]],MATCH(Table5[[#This Row],[PID]],Table3[[#All],[PID]],0)))</f>
        <v>4</v>
      </c>
      <c r="M341" s="58">
        <f>IF($C341="B",INDEX(Batters[[#All],[GAP P]],MATCH(Table5[[#This Row],[PID]],Batters[[#All],[PID]],0)),INDEX(Table3[[#All],[MOV P]],MATCH(Table5[[#This Row],[PID]],Table3[[#All],[PID]],0)))</f>
        <v>5</v>
      </c>
      <c r="N341" s="58">
        <f>IF($C341="B",INDEX(Batters[[#All],[POW P]],MATCH(Table5[[#This Row],[PID]],Batters[[#All],[PID]],0)),INDEX(Table3[[#All],[CON P]],MATCH(Table5[[#This Row],[PID]],Table3[[#All],[PID]],0)))</f>
        <v>3</v>
      </c>
      <c r="O341" s="58">
        <f>IF($C341="B",INDEX(Batters[[#All],[EYE P]],MATCH(Table5[[#This Row],[PID]],Batters[[#All],[PID]],0)),INDEX(Table3[[#All],[VELO]],MATCH(Table5[[#This Row],[PID]],Table3[[#All],[PID]],0)))</f>
        <v>4</v>
      </c>
      <c r="P341" s="58">
        <f>IF($C341="B",INDEX(Batters[[#All],[K P]],MATCH(Table5[[#This Row],[PID]],Batters[[#All],[PID]],0)),INDEX(Table3[[#All],[STM]],MATCH(Table5[[#This Row],[PID]],Table3[[#All],[PID]],0)))</f>
        <v>6</v>
      </c>
      <c r="Q341" s="63">
        <f>IF($C341="B",INDEX(Batters[[#All],[Tot]],MATCH(Table5[[#This Row],[PID]],Batters[[#All],[PID]],0)),INDEX(Table3[[#All],[Tot]],MATCH(Table5[[#This Row],[PID]],Table3[[#All],[PID]],0)))</f>
        <v>42.050250520357956</v>
      </c>
      <c r="R341" s="54">
        <f>IF($C341="B",INDEX(Batters[[#All],[zScore]],MATCH(Table5[[#This Row],[PID]],Batters[[#All],[PID]],0)),INDEX(Table3[[#All],[zScore]],MATCH(Table5[[#This Row],[PID]],Table3[[#All],[PID]],0)))</f>
        <v>0.29945614435852441</v>
      </c>
      <c r="S341" s="60" t="str">
        <f>IF($C341="B",INDEX(Batters[[#All],[DEM]],MATCH(Table5[[#This Row],[PID]],Batters[[#All],[PID]],0)),INDEX(Table3[[#All],[DEM]],MATCH(Table5[[#This Row],[PID]],Table3[[#All],[PID]],0)))</f>
        <v>$130k</v>
      </c>
      <c r="T341" s="64">
        <f>IF($C341="B",VLOOKUP($A341,Bat!$A$4:$AU$1417,46,FALSE),VLOOKUP($A341,Pit!$A$4:$BD$570,55,FALSE))</f>
        <v>0</v>
      </c>
      <c r="U341" s="52">
        <f>IF($C341="B",VLOOKUP($A341,Bat!$A$4:$BA$1417,47,FALSE),VLOOKUP($A341,Pit!$A$4:$BF$570,56,FALSE))</f>
        <v>0</v>
      </c>
      <c r="V341" s="52">
        <f>IF($C341="B",VLOOKUP($A341,Bat!$A$4:$BA$1417,48,FALSE),VLOOKUP($A341,Pit!$A$4:$BF$570,57,FALSE))</f>
        <v>0</v>
      </c>
      <c r="W341" s="52">
        <f>Table5[[#This Row],[posRnk]]+Table5[[#This Row],[zRnk]]+IF($W$3&lt;&gt;Table5[[#This Row],[Type]],50,0)</f>
        <v>387</v>
      </c>
      <c r="X341" s="53">
        <f>RANK(Table5[[#This Row],[zScore]],Table5[[#All],[zScore]])</f>
        <v>337</v>
      </c>
      <c r="Y341" s="52" t="str">
        <f>IFERROR(INDEX(DraftResults[[#All],[OVR]],MATCH(Table5[[#This Row],[PID]],DraftResults[[#All],[Player ID]],0)),"")</f>
        <v/>
      </c>
      <c r="Z3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1" s="52" t="str">
        <f>IFERROR(INDEX(DraftResults[[#All],[Pick in Round]],MATCH(Table5[[#This Row],[PID]],DraftResults[[#All],[Player ID]],0)),"")</f>
        <v/>
      </c>
      <c r="AB341" s="52" t="str">
        <f>IFERROR(INDEX(DraftResults[[#All],[Team Name]],MATCH(Table5[[#This Row],[PID]],DraftResults[[#All],[Player ID]],0)),"")</f>
        <v/>
      </c>
      <c r="AC341" s="52" t="str">
        <f>IF(Table5[[#This Row],[Ovr]]="","",IF(Table5[[#This Row],[cmbList]]="","",Table5[[#This Row],[cmbList]]-Table5[[#This Row],[Ovr]]))</f>
        <v/>
      </c>
      <c r="AD341" s="56" t="str">
        <f>IF(ISERROR(VLOOKUP($AB341&amp;"-"&amp;$E341&amp;" "&amp;F341,Bonuses!$B$1:$G$1006,4,FALSE)),"",INT(VLOOKUP($AB341&amp;"-"&amp;$E341&amp;" "&amp;$F341,Bonuses!$B$1:$G$1006,4,FALSE)))</f>
        <v/>
      </c>
      <c r="AE3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2" spans="1:31" s="52" customFormat="1" x14ac:dyDescent="0.25">
      <c r="A342" s="52">
        <v>16487</v>
      </c>
      <c r="B342" s="57">
        <f>COUNTIF(Table5[PID],A342)</f>
        <v>1</v>
      </c>
      <c r="C342" s="57" t="str">
        <f>IF(COUNTIF(Table3[[#All],[PID]],A342)&gt;0,"P","B")</f>
        <v>B</v>
      </c>
      <c r="D342" s="61" t="str">
        <f>IF($C342="B",INDEX(Batters[[#All],[POS]],MATCH(Table5[[#This Row],[PID]],Batters[[#All],[PID]],0)),INDEX(Table3[[#All],[POS]],MATCH(Table5[[#This Row],[PID]],Table3[[#All],[PID]],0)))</f>
        <v>LF</v>
      </c>
      <c r="E342" s="54" t="str">
        <f>IF($C342="B",INDEX(Batters[[#All],[First]],MATCH(Table5[[#This Row],[PID]],Batters[[#All],[PID]],0)),INDEX(Table3[[#All],[First]],MATCH(Table5[[#This Row],[PID]],Table3[[#All],[PID]],0)))</f>
        <v>Amenzu</v>
      </c>
      <c r="F342" s="52" t="str">
        <f>IF($C342="B",INDEX(Batters[[#All],[Last]],MATCH(A342,Batters[[#All],[PID]],0)),INDEX(Table3[[#All],[Last]],MATCH(A342,Table3[[#All],[PID]],0)))</f>
        <v>Tsoka</v>
      </c>
      <c r="G342" s="58">
        <f>IF($C342="B",INDEX(Batters[[#All],[Age]],MATCH(Table5[[#This Row],[PID]],Batters[[#All],[PID]],0)),INDEX(Table3[[#All],[Age]],MATCH(Table5[[#This Row],[PID]],Table3[[#All],[PID]],0)))</f>
        <v>18</v>
      </c>
      <c r="H342" s="54" t="str">
        <f>IF($C342="B",INDEX(Batters[[#All],[B]],MATCH(Table5[[#This Row],[PID]],Batters[[#All],[PID]],0)),INDEX(Table3[[#All],[B]],MATCH(Table5[[#This Row],[PID]],Table3[[#All],[PID]],0)))</f>
        <v>S</v>
      </c>
      <c r="I342" s="54" t="str">
        <f>IF($C342="B",INDEX(Batters[[#All],[T]],MATCH(Table5[[#This Row],[PID]],Batters[[#All],[PID]],0)),INDEX(Table3[[#All],[T]],MATCH(Table5[[#This Row],[PID]],Table3[[#All],[PID]],0)))</f>
        <v>R</v>
      </c>
      <c r="J342" s="54" t="str">
        <f>IF($C342="B",INDEX(Batters[[#All],[WE]],MATCH(Table5[[#This Row],[PID]],Batters[[#All],[PID]],0)),INDEX(Table3[[#All],[WE]],MATCH(Table5[[#This Row],[PID]],Table3[[#All],[PID]],0)))</f>
        <v>Low</v>
      </c>
      <c r="K342" s="54" t="str">
        <f>IF($C342="B",INDEX(Batters[[#All],[INT]],MATCH(Table5[[#This Row],[PID]],Batters[[#All],[PID]],0)),INDEX(Table3[[#All],[INT]],MATCH(Table5[[#This Row],[PID]],Table3[[#All],[PID]],0)))</f>
        <v>High</v>
      </c>
      <c r="L342" s="62">
        <f>IF($C342="B",INDEX(Batters[[#All],[CON P]],MATCH(Table5[[#This Row],[PID]],Batters[[#All],[PID]],0)),INDEX(Table3[[#All],[STU P]],MATCH(Table5[[#This Row],[PID]],Table3[[#All],[PID]],0)))</f>
        <v>3</v>
      </c>
      <c r="M342" s="58">
        <f>IF($C342="B",INDEX(Batters[[#All],[GAP P]],MATCH(Table5[[#This Row],[PID]],Batters[[#All],[PID]],0)),INDEX(Table3[[#All],[MOV P]],MATCH(Table5[[#This Row],[PID]],Table3[[#All],[PID]],0)))</f>
        <v>3</v>
      </c>
      <c r="N342" s="58">
        <f>IF($C342="B",INDEX(Batters[[#All],[POW P]],MATCH(Table5[[#This Row],[PID]],Batters[[#All],[PID]],0)),INDEX(Table3[[#All],[CON P]],MATCH(Table5[[#This Row],[PID]],Table3[[#All],[PID]],0)))</f>
        <v>4</v>
      </c>
      <c r="O342" s="58">
        <f>IF($C342="B",INDEX(Batters[[#All],[EYE P]],MATCH(Table5[[#This Row],[PID]],Batters[[#All],[PID]],0)),INDEX(Table3[[#All],[VELO]],MATCH(Table5[[#This Row],[PID]],Table3[[#All],[PID]],0)))</f>
        <v>5</v>
      </c>
      <c r="P342" s="58">
        <f>IF($C342="B",INDEX(Batters[[#All],[K P]],MATCH(Table5[[#This Row],[PID]],Batters[[#All],[PID]],0)),INDEX(Table3[[#All],[STM]],MATCH(Table5[[#This Row],[PID]],Table3[[#All],[PID]],0)))</f>
        <v>3</v>
      </c>
      <c r="Q342" s="63">
        <f>IF($C342="B",INDEX(Batters[[#All],[Tot]],MATCH(Table5[[#This Row],[PID]],Batters[[#All],[PID]],0)),INDEX(Table3[[#All],[Tot]],MATCH(Table5[[#This Row],[PID]],Table3[[#All],[PID]],0)))</f>
        <v>42.033576229497413</v>
      </c>
      <c r="R342" s="54">
        <f>IF($C342="B",INDEX(Batters[[#All],[zScore]],MATCH(Table5[[#This Row],[PID]],Batters[[#All],[PID]],0)),INDEX(Table3[[#All],[zScore]],MATCH(Table5[[#This Row],[PID]],Table3[[#All],[PID]],0)))</f>
        <v>0.29652241370400756</v>
      </c>
      <c r="S342" s="60" t="str">
        <f>IF($C342="B",INDEX(Batters[[#All],[DEM]],MATCH(Table5[[#This Row],[PID]],Batters[[#All],[PID]],0)),INDEX(Table3[[#All],[DEM]],MATCH(Table5[[#This Row],[PID]],Table3[[#All],[PID]],0)))</f>
        <v>$65k</v>
      </c>
      <c r="T342" s="64">
        <f>IF($C342="B",VLOOKUP($A342,Bat!$A$4:$AU$1417,46,FALSE),VLOOKUP($A342,Pit!$A$4:$BD$570,55,FALSE))</f>
        <v>0</v>
      </c>
      <c r="U342" s="52">
        <f>IF($C342="B",VLOOKUP($A342,Bat!$A$4:$BA$1417,47,FALSE),VLOOKUP($A342,Pit!$A$4:$BF$570,56,FALSE))</f>
        <v>0</v>
      </c>
      <c r="V342" s="52">
        <f>IF($C342="B",VLOOKUP($A342,Bat!$A$4:$BA$1417,48,FALSE),VLOOKUP($A342,Pit!$A$4:$BF$570,57,FALSE))</f>
        <v>0</v>
      </c>
      <c r="W342" s="52">
        <f>Table5[[#This Row],[posRnk]]+Table5[[#This Row],[zRnk]]+IF($W$3&lt;&gt;Table5[[#This Row],[Type]],50,0)</f>
        <v>388</v>
      </c>
      <c r="X342" s="53">
        <f>RANK(Table5[[#This Row],[zScore]],Table5[[#All],[zScore]])</f>
        <v>338</v>
      </c>
      <c r="Y342" s="52" t="str">
        <f>IFERROR(INDEX(DraftResults[[#All],[OVR]],MATCH(Table5[[#This Row],[PID]],DraftResults[[#All],[Player ID]],0)),"")</f>
        <v/>
      </c>
      <c r="Z3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2" s="52" t="str">
        <f>IFERROR(INDEX(DraftResults[[#All],[Pick in Round]],MATCH(Table5[[#This Row],[PID]],DraftResults[[#All],[Player ID]],0)),"")</f>
        <v/>
      </c>
      <c r="AB342" s="52" t="str">
        <f>IFERROR(INDEX(DraftResults[[#All],[Team Name]],MATCH(Table5[[#This Row],[PID]],DraftResults[[#All],[Player ID]],0)),"")</f>
        <v/>
      </c>
      <c r="AC342" s="52" t="str">
        <f>IF(Table5[[#This Row],[Ovr]]="","",IF(Table5[[#This Row],[cmbList]]="","",Table5[[#This Row],[cmbList]]-Table5[[#This Row],[Ovr]]))</f>
        <v/>
      </c>
      <c r="AD342" s="56" t="str">
        <f>IF(ISERROR(VLOOKUP($AB342&amp;"-"&amp;$E342&amp;" "&amp;F342,Bonuses!$B$1:$G$1006,4,FALSE)),"",INT(VLOOKUP($AB342&amp;"-"&amp;$E342&amp;" "&amp;$F342,Bonuses!$B$1:$G$1006,4,FALSE)))</f>
        <v/>
      </c>
      <c r="AE3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3" spans="1:31" s="52" customFormat="1" x14ac:dyDescent="0.25">
      <c r="A343" s="52">
        <v>8992</v>
      </c>
      <c r="B343" s="57">
        <f>COUNTIF(Table5[PID],A343)</f>
        <v>1</v>
      </c>
      <c r="C343" s="57" t="str">
        <f>IF(COUNTIF(Table3[[#All],[PID]],A343)&gt;0,"P","B")</f>
        <v>B</v>
      </c>
      <c r="D343" s="61" t="str">
        <f>IF($C343="B",INDEX(Batters[[#All],[POS]],MATCH(Table5[[#This Row],[PID]],Batters[[#All],[PID]],0)),INDEX(Table3[[#All],[POS]],MATCH(Table5[[#This Row],[PID]],Table3[[#All],[PID]],0)))</f>
        <v>LF</v>
      </c>
      <c r="E343" s="54" t="str">
        <f>IF($C343="B",INDEX(Batters[[#All],[First]],MATCH(Table5[[#This Row],[PID]],Batters[[#All],[PID]],0)),INDEX(Table3[[#All],[First]],MATCH(Table5[[#This Row],[PID]],Table3[[#All],[PID]],0)))</f>
        <v>Cris</v>
      </c>
      <c r="F343" s="52" t="str">
        <f>IF($C343="B",INDEX(Batters[[#All],[Last]],MATCH(A343,Batters[[#All],[PID]],0)),INDEX(Table3[[#All],[Last]],MATCH(A343,Table3[[#All],[PID]],0)))</f>
        <v>Vélez</v>
      </c>
      <c r="G343" s="58">
        <f>IF($C343="B",INDEX(Batters[[#All],[Age]],MATCH(Table5[[#This Row],[PID]],Batters[[#All],[PID]],0)),INDEX(Table3[[#All],[Age]],MATCH(Table5[[#This Row],[PID]],Table3[[#All],[PID]],0)))</f>
        <v>18</v>
      </c>
      <c r="H343" s="54" t="str">
        <f>IF($C343="B",INDEX(Batters[[#All],[B]],MATCH(Table5[[#This Row],[PID]],Batters[[#All],[PID]],0)),INDEX(Table3[[#All],[B]],MATCH(Table5[[#This Row],[PID]],Table3[[#All],[PID]],0)))</f>
        <v>R</v>
      </c>
      <c r="I343" s="54" t="str">
        <f>IF($C343="B",INDEX(Batters[[#All],[T]],MATCH(Table5[[#This Row],[PID]],Batters[[#All],[PID]],0)),INDEX(Table3[[#All],[T]],MATCH(Table5[[#This Row],[PID]],Table3[[#All],[PID]],0)))</f>
        <v>R</v>
      </c>
      <c r="J343" s="54" t="str">
        <f>IF($C343="B",INDEX(Batters[[#All],[WE]],MATCH(Table5[[#This Row],[PID]],Batters[[#All],[PID]],0)),INDEX(Table3[[#All],[WE]],MATCH(Table5[[#This Row],[PID]],Table3[[#All],[PID]],0)))</f>
        <v>Normal</v>
      </c>
      <c r="K343" s="54" t="str">
        <f>IF($C343="B",INDEX(Batters[[#All],[INT]],MATCH(Table5[[#This Row],[PID]],Batters[[#All],[PID]],0)),INDEX(Table3[[#All],[INT]],MATCH(Table5[[#This Row],[PID]],Table3[[#All],[PID]],0)))</f>
        <v>Normal</v>
      </c>
      <c r="L343" s="62">
        <f>IF($C343="B",INDEX(Batters[[#All],[CON P]],MATCH(Table5[[#This Row],[PID]],Batters[[#All],[PID]],0)),INDEX(Table3[[#All],[STU P]],MATCH(Table5[[#This Row],[PID]],Table3[[#All],[PID]],0)))</f>
        <v>3</v>
      </c>
      <c r="M343" s="58">
        <f>IF($C343="B",INDEX(Batters[[#All],[GAP P]],MATCH(Table5[[#This Row],[PID]],Batters[[#All],[PID]],0)),INDEX(Table3[[#All],[MOV P]],MATCH(Table5[[#This Row],[PID]],Table3[[#All],[PID]],0)))</f>
        <v>3</v>
      </c>
      <c r="N343" s="58">
        <f>IF($C343="B",INDEX(Batters[[#All],[POW P]],MATCH(Table5[[#This Row],[PID]],Batters[[#All],[PID]],0)),INDEX(Table3[[#All],[CON P]],MATCH(Table5[[#This Row],[PID]],Table3[[#All],[PID]],0)))</f>
        <v>3</v>
      </c>
      <c r="O343" s="58">
        <f>IF($C343="B",INDEX(Batters[[#All],[EYE P]],MATCH(Table5[[#This Row],[PID]],Batters[[#All],[PID]],0)),INDEX(Table3[[#All],[VELO]],MATCH(Table5[[#This Row],[PID]],Table3[[#All],[PID]],0)))</f>
        <v>5</v>
      </c>
      <c r="P343" s="58">
        <f>IF($C343="B",INDEX(Batters[[#All],[K P]],MATCH(Table5[[#This Row],[PID]],Batters[[#All],[PID]],0)),INDEX(Table3[[#All],[STM]],MATCH(Table5[[#This Row],[PID]],Table3[[#All],[PID]],0)))</f>
        <v>3</v>
      </c>
      <c r="Q343" s="63">
        <f>IF($C343="B",INDEX(Batters[[#All],[Tot]],MATCH(Table5[[#This Row],[PID]],Batters[[#All],[PID]],0)),INDEX(Table3[[#All],[Tot]],MATCH(Table5[[#This Row],[PID]],Table3[[#All],[PID]],0)))</f>
        <v>42.023426163846331</v>
      </c>
      <c r="R343" s="54">
        <f>IF($C343="B",INDEX(Batters[[#All],[zScore]],MATCH(Table5[[#This Row],[PID]],Batters[[#All],[PID]],0)),INDEX(Table3[[#All],[zScore]],MATCH(Table5[[#This Row],[PID]],Table3[[#All],[PID]],0)))</f>
        <v>0.29473657711311524</v>
      </c>
      <c r="S343" s="60" t="str">
        <f>IF($C343="B",INDEX(Batters[[#All],[DEM]],MATCH(Table5[[#This Row],[PID]],Batters[[#All],[PID]],0)),INDEX(Table3[[#All],[DEM]],MATCH(Table5[[#This Row],[PID]],Table3[[#All],[PID]],0)))</f>
        <v>$65k</v>
      </c>
      <c r="T343" s="64">
        <f>IF($C343="B",VLOOKUP($A343,Bat!$A$4:$AU$1417,46,FALSE),VLOOKUP($A343,Pit!$A$4:$BD$570,55,FALSE))</f>
        <v>0</v>
      </c>
      <c r="U343" s="52">
        <f>IF($C343="B",VLOOKUP($A343,Bat!$A$4:$BA$1417,47,FALSE),VLOOKUP($A343,Pit!$A$4:$BF$570,56,FALSE))</f>
        <v>0</v>
      </c>
      <c r="V343" s="52">
        <f>IF($C343="B",VLOOKUP($A343,Bat!$A$4:$BA$1417,48,FALSE),VLOOKUP($A343,Pit!$A$4:$BF$570,57,FALSE))</f>
        <v>0</v>
      </c>
      <c r="W343" s="52">
        <f>Table5[[#This Row],[posRnk]]+Table5[[#This Row],[zRnk]]+IF($W$3&lt;&gt;Table5[[#This Row],[Type]],50,0)</f>
        <v>389</v>
      </c>
      <c r="X343" s="53">
        <f>RANK(Table5[[#This Row],[zScore]],Table5[[#All],[zScore]])</f>
        <v>339</v>
      </c>
      <c r="Y343" s="52" t="str">
        <f>IFERROR(INDEX(DraftResults[[#All],[OVR]],MATCH(Table5[[#This Row],[PID]],DraftResults[[#All],[Player ID]],0)),"")</f>
        <v/>
      </c>
      <c r="Z3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3" s="52" t="str">
        <f>IFERROR(INDEX(DraftResults[[#All],[Pick in Round]],MATCH(Table5[[#This Row],[PID]],DraftResults[[#All],[Player ID]],0)),"")</f>
        <v/>
      </c>
      <c r="AB343" s="52" t="str">
        <f>IFERROR(INDEX(DraftResults[[#All],[Team Name]],MATCH(Table5[[#This Row],[PID]],DraftResults[[#All],[Player ID]],0)),"")</f>
        <v/>
      </c>
      <c r="AC343" s="52" t="str">
        <f>IF(Table5[[#This Row],[Ovr]]="","",IF(Table5[[#This Row],[cmbList]]="","",Table5[[#This Row],[cmbList]]-Table5[[#This Row],[Ovr]]))</f>
        <v/>
      </c>
      <c r="AD343" s="56" t="str">
        <f>IF(ISERROR(VLOOKUP($AB343&amp;"-"&amp;$E343&amp;" "&amp;F343,Bonuses!$B$1:$G$1006,4,FALSE)),"",INT(VLOOKUP($AB343&amp;"-"&amp;$E343&amp;" "&amp;$F343,Bonuses!$B$1:$G$1006,4,FALSE)))</f>
        <v/>
      </c>
      <c r="AE3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4" spans="1:31" s="52" customFormat="1" x14ac:dyDescent="0.25">
      <c r="A344" s="52">
        <v>17623</v>
      </c>
      <c r="B344" s="52">
        <f>COUNTIF(Table5[PID],A344)</f>
        <v>1</v>
      </c>
      <c r="C344" s="52" t="str">
        <f>IF(COUNTIF(Table3[[#All],[PID]],A344)&gt;0,"P","B")</f>
        <v>P</v>
      </c>
      <c r="D344" s="61" t="str">
        <f>IF($C344="B",INDEX(Batters[[#All],[POS]],MATCH(Table5[[#This Row],[PID]],Batters[[#All],[PID]],0)),INDEX(Table3[[#All],[POS]],MATCH(Table5[[#This Row],[PID]],Table3[[#All],[PID]],0)))</f>
        <v>RP</v>
      </c>
      <c r="E344" s="54" t="str">
        <f>IF($C344="B",INDEX(Batters[[#All],[First]],MATCH(Table5[[#This Row],[PID]],Batters[[#All],[PID]],0)),INDEX(Table3[[#All],[First]],MATCH(Table5[[#This Row],[PID]],Table3[[#All],[PID]],0)))</f>
        <v>Jimmy</v>
      </c>
      <c r="F344" s="52" t="str">
        <f>IF($C344="B",INDEX(Batters[[#All],[Last]],MATCH(A344,Batters[[#All],[PID]],0)),INDEX(Table3[[#All],[Last]],MATCH(A344,Table3[[#All],[PID]],0)))</f>
        <v>Delaney</v>
      </c>
      <c r="G344" s="58">
        <f>IF($C344="B",INDEX(Batters[[#All],[Age]],MATCH(Table5[[#This Row],[PID]],Batters[[#All],[PID]],0)),INDEX(Table3[[#All],[Age]],MATCH(Table5[[#This Row],[PID]],Table3[[#All],[PID]],0)))</f>
        <v>18</v>
      </c>
      <c r="H344" s="54" t="str">
        <f>IF($C344="B",INDEX(Batters[[#All],[B]],MATCH(Table5[[#This Row],[PID]],Batters[[#All],[PID]],0)),INDEX(Table3[[#All],[B]],MATCH(Table5[[#This Row],[PID]],Table3[[#All],[PID]],0)))</f>
        <v>R</v>
      </c>
      <c r="I344" s="54" t="str">
        <f>IF($C344="B",INDEX(Batters[[#All],[T]],MATCH(Table5[[#This Row],[PID]],Batters[[#All],[PID]],0)),INDEX(Table3[[#All],[T]],MATCH(Table5[[#This Row],[PID]],Table3[[#All],[PID]],0)))</f>
        <v>R</v>
      </c>
      <c r="J344" s="54" t="str">
        <f>IF($C344="B",INDEX(Batters[[#All],[WE]],MATCH(Table5[[#This Row],[PID]],Batters[[#All],[PID]],0)),INDEX(Table3[[#All],[WE]],MATCH(Table5[[#This Row],[PID]],Table3[[#All],[PID]],0)))</f>
        <v>Normal</v>
      </c>
      <c r="K344" s="54" t="str">
        <f>IF($C344="B",INDEX(Batters[[#All],[INT]],MATCH(Table5[[#This Row],[PID]],Batters[[#All],[PID]],0)),INDEX(Table3[[#All],[INT]],MATCH(Table5[[#This Row],[PID]],Table3[[#All],[PID]],0)))</f>
        <v>Normal</v>
      </c>
      <c r="L344" s="62">
        <f>IF($C344="B",INDEX(Batters[[#All],[CON P]],MATCH(Table5[[#This Row],[PID]],Batters[[#All],[PID]],0)),INDEX(Table3[[#All],[STU P]],MATCH(Table5[[#This Row],[PID]],Table3[[#All],[PID]],0)))</f>
        <v>4</v>
      </c>
      <c r="M344" s="58">
        <f>IF($C344="B",INDEX(Batters[[#All],[GAP P]],MATCH(Table5[[#This Row],[PID]],Batters[[#All],[PID]],0)),INDEX(Table3[[#All],[MOV P]],MATCH(Table5[[#This Row],[PID]],Table3[[#All],[PID]],0)))</f>
        <v>2</v>
      </c>
      <c r="N344" s="58">
        <f>IF($C344="B",INDEX(Batters[[#All],[POW P]],MATCH(Table5[[#This Row],[PID]],Batters[[#All],[PID]],0)),INDEX(Table3[[#All],[CON P]],MATCH(Table5[[#This Row],[PID]],Table3[[#All],[PID]],0)))</f>
        <v>3</v>
      </c>
      <c r="O344" s="58" t="str">
        <f>IF($C344="B",INDEX(Batters[[#All],[EYE P]],MATCH(Table5[[#This Row],[PID]],Batters[[#All],[PID]],0)),INDEX(Table3[[#All],[VELO]],MATCH(Table5[[#This Row],[PID]],Table3[[#All],[PID]],0)))</f>
        <v>86-88 Mph</v>
      </c>
      <c r="P344" s="58">
        <f>IF($C344="B",INDEX(Batters[[#All],[K P]],MATCH(Table5[[#This Row],[PID]],Batters[[#All],[PID]],0)),INDEX(Table3[[#All],[STM]],MATCH(Table5[[#This Row],[PID]],Table3[[#All],[PID]],0)))</f>
        <v>6</v>
      </c>
      <c r="Q344" s="63">
        <f>IF($C344="B",INDEX(Batters[[#All],[Tot]],MATCH(Table5[[#This Row],[PID]],Batters[[#All],[PID]],0)),INDEX(Table3[[#All],[Tot]],MATCH(Table5[[#This Row],[PID]],Table3[[#All],[PID]],0)))</f>
        <v>35.934055898208555</v>
      </c>
      <c r="R344" s="54">
        <f>IF($C344="B",INDEX(Batters[[#All],[zScore]],MATCH(Table5[[#This Row],[PID]],Batters[[#All],[PID]],0)),INDEX(Table3[[#All],[zScore]],MATCH(Table5[[#This Row],[PID]],Table3[[#All],[PID]],0)))</f>
        <v>0.2945362500915748</v>
      </c>
      <c r="S344" s="60" t="str">
        <f>IF($C344="B",INDEX(Batters[[#All],[DEM]],MATCH(Table5[[#This Row],[PID]],Batters[[#All],[PID]],0)),INDEX(Table3[[#All],[DEM]],MATCH(Table5[[#This Row],[PID]],Table3[[#All],[PID]],0)))</f>
        <v>$80k</v>
      </c>
      <c r="T344" s="64">
        <f>IF($C344="B",VLOOKUP($A344,Bat!$A$4:$AU$1417,46,FALSE),VLOOKUP($A344,Pit!$A$4:$BD$570,55,FALSE))</f>
        <v>0</v>
      </c>
      <c r="U344" s="52">
        <f>IF($C344="B",VLOOKUP($A344,Bat!$A$4:$BA$1417,47,FALSE),VLOOKUP($A344,Pit!$A$4:$BF$570,56,FALSE))</f>
        <v>0</v>
      </c>
      <c r="V344" s="52">
        <f>IF($C344="B",VLOOKUP($A344,Bat!$A$4:$BA$1417,48,FALSE),VLOOKUP($A344,Pit!$A$4:$BF$570,57,FALSE))</f>
        <v>0</v>
      </c>
      <c r="W344" s="52">
        <f>Table5[[#This Row],[posRnk]]+Table5[[#This Row],[zRnk]]+IF($W$3&lt;&gt;Table5[[#This Row],[Type]],50,0)</f>
        <v>390</v>
      </c>
      <c r="X344" s="53">
        <f>RANK(Table5[[#This Row],[zScore]],Table5[[#All],[zScore]])</f>
        <v>340</v>
      </c>
      <c r="Y344" s="52" t="str">
        <f>IFERROR(INDEX(DraftResults[[#All],[OVR]],MATCH(Table5[[#This Row],[PID]],DraftResults[[#All],[Player ID]],0)),"")</f>
        <v/>
      </c>
      <c r="Z3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4" s="52" t="str">
        <f>IFERROR(INDEX(DraftResults[[#All],[Pick in Round]],MATCH(Table5[[#This Row],[PID]],DraftResults[[#All],[Player ID]],0)),"")</f>
        <v/>
      </c>
      <c r="AB344" s="52" t="str">
        <f>IFERROR(INDEX(DraftResults[[#All],[Team Name]],MATCH(Table5[[#This Row],[PID]],DraftResults[[#All],[Player ID]],0)),"")</f>
        <v/>
      </c>
      <c r="AC344" s="52" t="str">
        <f>IF(Table5[[#This Row],[Ovr]]="","",IF(Table5[[#This Row],[cmbList]]="","",Table5[[#This Row],[cmbList]]-Table5[[#This Row],[Ovr]]))</f>
        <v/>
      </c>
      <c r="AD344" s="56" t="str">
        <f>IF(ISERROR(VLOOKUP($AB344&amp;"-"&amp;$E344&amp;" "&amp;F344,Bonuses!$B$1:$G$1006,4,FALSE)),"",INT(VLOOKUP($AB344&amp;"-"&amp;$E344&amp;" "&amp;$F344,Bonuses!$B$1:$G$1006,4,FALSE)))</f>
        <v/>
      </c>
      <c r="AE3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5" spans="1:31" s="52" customFormat="1" x14ac:dyDescent="0.25">
      <c r="A345" s="52">
        <v>6177</v>
      </c>
      <c r="B345" s="52">
        <f>COUNTIF(Table5[PID],A345)</f>
        <v>1</v>
      </c>
      <c r="C345" s="52" t="str">
        <f>IF(COUNTIF(Table3[[#All],[PID]],A345)&gt;0,"P","B")</f>
        <v>B</v>
      </c>
      <c r="D345" s="61" t="str">
        <f>IF($C345="B",INDEX(Batters[[#All],[POS]],MATCH(Table5[[#This Row],[PID]],Batters[[#All],[PID]],0)),INDEX(Table3[[#All],[POS]],MATCH(Table5[[#This Row],[PID]],Table3[[#All],[PID]],0)))</f>
        <v>1B</v>
      </c>
      <c r="E345" s="54" t="str">
        <f>IF($C345="B",INDEX(Batters[[#All],[First]],MATCH(Table5[[#This Row],[PID]],Batters[[#All],[PID]],0)),INDEX(Table3[[#All],[First]],MATCH(Table5[[#This Row],[PID]],Table3[[#All],[PID]],0)))</f>
        <v>John</v>
      </c>
      <c r="F345" s="52" t="str">
        <f>IF($C345="B",INDEX(Batters[[#All],[Last]],MATCH(A345,Batters[[#All],[PID]],0)),INDEX(Table3[[#All],[Last]],MATCH(A345,Table3[[#All],[PID]],0)))</f>
        <v>McMullen</v>
      </c>
      <c r="G345" s="58">
        <f>IF($C345="B",INDEX(Batters[[#All],[Age]],MATCH(Table5[[#This Row],[PID]],Batters[[#All],[PID]],0)),INDEX(Table3[[#All],[Age]],MATCH(Table5[[#This Row],[PID]],Table3[[#All],[PID]],0)))</f>
        <v>18</v>
      </c>
      <c r="H345" s="54" t="str">
        <f>IF($C345="B",INDEX(Batters[[#All],[B]],MATCH(Table5[[#This Row],[PID]],Batters[[#All],[PID]],0)),INDEX(Table3[[#All],[B]],MATCH(Table5[[#This Row],[PID]],Table3[[#All],[PID]],0)))</f>
        <v>R</v>
      </c>
      <c r="I345" s="54" t="str">
        <f>IF($C345="B",INDEX(Batters[[#All],[T]],MATCH(Table5[[#This Row],[PID]],Batters[[#All],[PID]],0)),INDEX(Table3[[#All],[T]],MATCH(Table5[[#This Row],[PID]],Table3[[#All],[PID]],0)))</f>
        <v>L</v>
      </c>
      <c r="J345" s="54" t="str">
        <f>IF($C345="B",INDEX(Batters[[#All],[WE]],MATCH(Table5[[#This Row],[PID]],Batters[[#All],[PID]],0)),INDEX(Table3[[#All],[WE]],MATCH(Table5[[#This Row],[PID]],Table3[[#All],[PID]],0)))</f>
        <v>Normal</v>
      </c>
      <c r="K345" s="54" t="str">
        <f>IF($C345="B",INDEX(Batters[[#All],[INT]],MATCH(Table5[[#This Row],[PID]],Batters[[#All],[PID]],0)),INDEX(Table3[[#All],[INT]],MATCH(Table5[[#This Row],[PID]],Table3[[#All],[PID]],0)))</f>
        <v>Normal</v>
      </c>
      <c r="L345" s="62">
        <f>IF($C345="B",INDEX(Batters[[#All],[CON P]],MATCH(Table5[[#This Row],[PID]],Batters[[#All],[PID]],0)),INDEX(Table3[[#All],[STU P]],MATCH(Table5[[#This Row],[PID]],Table3[[#All],[PID]],0)))</f>
        <v>3</v>
      </c>
      <c r="M345" s="58">
        <f>IF($C345="B",INDEX(Batters[[#All],[GAP P]],MATCH(Table5[[#This Row],[PID]],Batters[[#All],[PID]],0)),INDEX(Table3[[#All],[MOV P]],MATCH(Table5[[#This Row],[PID]],Table3[[#All],[PID]],0)))</f>
        <v>3</v>
      </c>
      <c r="N345" s="58">
        <f>IF($C345="B",INDEX(Batters[[#All],[POW P]],MATCH(Table5[[#This Row],[PID]],Batters[[#All],[PID]],0)),INDEX(Table3[[#All],[CON P]],MATCH(Table5[[#This Row],[PID]],Table3[[#All],[PID]],0)))</f>
        <v>4</v>
      </c>
      <c r="O345" s="58">
        <f>IF($C345="B",INDEX(Batters[[#All],[EYE P]],MATCH(Table5[[#This Row],[PID]],Batters[[#All],[PID]],0)),INDEX(Table3[[#All],[VELO]],MATCH(Table5[[#This Row],[PID]],Table3[[#All],[PID]],0)))</f>
        <v>5</v>
      </c>
      <c r="P345" s="58">
        <f>IF($C345="B",INDEX(Batters[[#All],[K P]],MATCH(Table5[[#This Row],[PID]],Batters[[#All],[PID]],0)),INDEX(Table3[[#All],[STM]],MATCH(Table5[[#This Row],[PID]],Table3[[#All],[PID]],0)))</f>
        <v>3</v>
      </c>
      <c r="Q345" s="63">
        <f>IF($C345="B",INDEX(Batters[[#All],[Tot]],MATCH(Table5[[#This Row],[PID]],Batters[[#All],[PID]],0)),INDEX(Table3[[#All],[Tot]],MATCH(Table5[[#This Row],[PID]],Table3[[#All],[PID]],0)))</f>
        <v>42.011193137132196</v>
      </c>
      <c r="R345" s="54">
        <f>IF($C345="B",INDEX(Batters[[#All],[zScore]],MATCH(Table5[[#This Row],[PID]],Batters[[#All],[PID]],0)),INDEX(Table3[[#All],[zScore]],MATCH(Table5[[#This Row],[PID]],Table3[[#All],[PID]],0)))</f>
        <v>0.29258425736716998</v>
      </c>
      <c r="S345" s="60" t="str">
        <f>IF($C345="B",INDEX(Batters[[#All],[DEM]],MATCH(Table5[[#This Row],[PID]],Batters[[#All],[PID]],0)),INDEX(Table3[[#All],[DEM]],MATCH(Table5[[#This Row],[PID]],Table3[[#All],[PID]],0)))</f>
        <v>$200k</v>
      </c>
      <c r="T345" s="64">
        <f>IF($C345="B",VLOOKUP($A345,Bat!$A$4:$AU$1417,46,FALSE),VLOOKUP($A345,Pit!$A$4:$BD$570,55,FALSE))</f>
        <v>0</v>
      </c>
      <c r="U345" s="52">
        <f>IF($C345="B",VLOOKUP($A345,Bat!$A$4:$BA$1417,47,FALSE),VLOOKUP($A345,Pit!$A$4:$BF$570,56,FALSE))</f>
        <v>0</v>
      </c>
      <c r="V345" s="52">
        <f>IF($C345="B",VLOOKUP($A345,Bat!$A$4:$BA$1417,48,FALSE),VLOOKUP($A345,Pit!$A$4:$BF$570,57,FALSE))</f>
        <v>0</v>
      </c>
      <c r="W345" s="52">
        <f>Table5[[#This Row],[posRnk]]+Table5[[#This Row],[zRnk]]+IF($W$3&lt;&gt;Table5[[#This Row],[Type]],50,0)</f>
        <v>391</v>
      </c>
      <c r="X345" s="53">
        <f>RANK(Table5[[#This Row],[zScore]],Table5[[#All],[zScore]])</f>
        <v>341</v>
      </c>
      <c r="Y345" s="52" t="str">
        <f>IFERROR(INDEX(DraftResults[[#All],[OVR]],MATCH(Table5[[#This Row],[PID]],DraftResults[[#All],[Player ID]],0)),"")</f>
        <v/>
      </c>
      <c r="Z3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5" s="52" t="str">
        <f>IFERROR(INDEX(DraftResults[[#All],[Pick in Round]],MATCH(Table5[[#This Row],[PID]],DraftResults[[#All],[Player ID]],0)),"")</f>
        <v/>
      </c>
      <c r="AB345" s="52" t="str">
        <f>IFERROR(INDEX(DraftResults[[#All],[Team Name]],MATCH(Table5[[#This Row],[PID]],DraftResults[[#All],[Player ID]],0)),"")</f>
        <v/>
      </c>
      <c r="AC345" s="52" t="str">
        <f>IF(Table5[[#This Row],[Ovr]]="","",IF(Table5[[#This Row],[cmbList]]="","",Table5[[#This Row],[cmbList]]-Table5[[#This Row],[Ovr]]))</f>
        <v/>
      </c>
      <c r="AD345" s="56" t="str">
        <f>IF(ISERROR(VLOOKUP($AB345&amp;"-"&amp;$E345&amp;" "&amp;F345,Bonuses!$B$1:$G$1006,4,FALSE)),"",INT(VLOOKUP($AB345&amp;"-"&amp;$E345&amp;" "&amp;$F345,Bonuses!$B$1:$G$1006,4,FALSE)))</f>
        <v/>
      </c>
      <c r="AE3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6" spans="1:31" s="52" customFormat="1" x14ac:dyDescent="0.25">
      <c r="A346" s="52">
        <v>12782</v>
      </c>
      <c r="B346" s="57">
        <f>COUNTIF(Table5[PID],A346)</f>
        <v>1</v>
      </c>
      <c r="C346" s="57" t="str">
        <f>IF(COUNTIF(Table3[[#All],[PID]],A346)&gt;0,"P","B")</f>
        <v>B</v>
      </c>
      <c r="D346" s="61" t="str">
        <f>IF($C346="B",INDEX(Batters[[#All],[POS]],MATCH(Table5[[#This Row],[PID]],Batters[[#All],[PID]],0)),INDEX(Table3[[#All],[POS]],MATCH(Table5[[#This Row],[PID]],Table3[[#All],[PID]],0)))</f>
        <v>SS</v>
      </c>
      <c r="E346" s="54" t="str">
        <f>IF($C346="B",INDEX(Batters[[#All],[First]],MATCH(Table5[[#This Row],[PID]],Batters[[#All],[PID]],0)),INDEX(Table3[[#All],[First]],MATCH(Table5[[#This Row],[PID]],Table3[[#All],[PID]],0)))</f>
        <v>Thomas</v>
      </c>
      <c r="F346" s="52" t="str">
        <f>IF($C346="B",INDEX(Batters[[#All],[Last]],MATCH(A346,Batters[[#All],[PID]],0)),INDEX(Table3[[#All],[Last]],MATCH(A346,Table3[[#All],[PID]],0)))</f>
        <v>Johnston</v>
      </c>
      <c r="G346" s="58">
        <f>IF($C346="B",INDEX(Batters[[#All],[Age]],MATCH(Table5[[#This Row],[PID]],Batters[[#All],[PID]],0)),INDEX(Table3[[#All],[Age]],MATCH(Table5[[#This Row],[PID]],Table3[[#All],[PID]],0)))</f>
        <v>21</v>
      </c>
      <c r="H346" s="54" t="str">
        <f>IF($C346="B",INDEX(Batters[[#All],[B]],MATCH(Table5[[#This Row],[PID]],Batters[[#All],[PID]],0)),INDEX(Table3[[#All],[B]],MATCH(Table5[[#This Row],[PID]],Table3[[#All],[PID]],0)))</f>
        <v>R</v>
      </c>
      <c r="I346" s="54" t="str">
        <f>IF($C346="B",INDEX(Batters[[#All],[T]],MATCH(Table5[[#This Row],[PID]],Batters[[#All],[PID]],0)),INDEX(Table3[[#All],[T]],MATCH(Table5[[#This Row],[PID]],Table3[[#All],[PID]],0)))</f>
        <v>R</v>
      </c>
      <c r="J346" s="54" t="str">
        <f>IF($C346="B",INDEX(Batters[[#All],[WE]],MATCH(Table5[[#This Row],[PID]],Batters[[#All],[PID]],0)),INDEX(Table3[[#All],[WE]],MATCH(Table5[[#This Row],[PID]],Table3[[#All],[PID]],0)))</f>
        <v>Normal</v>
      </c>
      <c r="K346" s="54" t="str">
        <f>IF($C346="B",INDEX(Batters[[#All],[INT]],MATCH(Table5[[#This Row],[PID]],Batters[[#All],[PID]],0)),INDEX(Table3[[#All],[INT]],MATCH(Table5[[#This Row],[PID]],Table3[[#All],[PID]],0)))</f>
        <v>Normal</v>
      </c>
      <c r="L346" s="62">
        <f>IF($C346="B",INDEX(Batters[[#All],[CON P]],MATCH(Table5[[#This Row],[PID]],Batters[[#All],[PID]],0)),INDEX(Table3[[#All],[STU P]],MATCH(Table5[[#This Row],[PID]],Table3[[#All],[PID]],0)))</f>
        <v>4</v>
      </c>
      <c r="M346" s="58">
        <f>IF($C346="B",INDEX(Batters[[#All],[GAP P]],MATCH(Table5[[#This Row],[PID]],Batters[[#All],[PID]],0)),INDEX(Table3[[#All],[MOV P]],MATCH(Table5[[#This Row],[PID]],Table3[[#All],[PID]],0)))</f>
        <v>5</v>
      </c>
      <c r="N346" s="58">
        <f>IF($C346="B",INDEX(Batters[[#All],[POW P]],MATCH(Table5[[#This Row],[PID]],Batters[[#All],[PID]],0)),INDEX(Table3[[#All],[CON P]],MATCH(Table5[[#This Row],[PID]],Table3[[#All],[PID]],0)))</f>
        <v>4</v>
      </c>
      <c r="O346" s="58">
        <f>IF($C346="B",INDEX(Batters[[#All],[EYE P]],MATCH(Table5[[#This Row],[PID]],Batters[[#All],[PID]],0)),INDEX(Table3[[#All],[VELO]],MATCH(Table5[[#This Row],[PID]],Table3[[#All],[PID]],0)))</f>
        <v>3</v>
      </c>
      <c r="P346" s="58">
        <f>IF($C346="B",INDEX(Batters[[#All],[K P]],MATCH(Table5[[#This Row],[PID]],Batters[[#All],[PID]],0)),INDEX(Table3[[#All],[STM]],MATCH(Table5[[#This Row],[PID]],Table3[[#All],[PID]],0)))</f>
        <v>5</v>
      </c>
      <c r="Q346" s="63">
        <f>IF($C346="B",INDEX(Batters[[#All],[Tot]],MATCH(Table5[[#This Row],[PID]],Batters[[#All],[PID]],0)),INDEX(Table3[[#All],[Tot]],MATCH(Table5[[#This Row],[PID]],Table3[[#All],[PID]],0)))</f>
        <v>41.975209374281775</v>
      </c>
      <c r="R346" s="54">
        <f>IF($C346="B",INDEX(Batters[[#All],[zScore]],MATCH(Table5[[#This Row],[PID]],Batters[[#All],[PID]],0)),INDEX(Table3[[#All],[zScore]],MATCH(Table5[[#This Row],[PID]],Table3[[#All],[PID]],0)))</f>
        <v>0.28625315345264296</v>
      </c>
      <c r="S346" s="60" t="str">
        <f>IF($C346="B",INDEX(Batters[[#All],[DEM]],MATCH(Table5[[#This Row],[PID]],Batters[[#All],[PID]],0)),INDEX(Table3[[#All],[DEM]],MATCH(Table5[[#This Row],[PID]],Table3[[#All],[PID]],0)))</f>
        <v>$220k</v>
      </c>
      <c r="T346" s="64">
        <f>IF($C346="B",VLOOKUP($A346,Bat!$A$4:$AU$1417,46,FALSE),VLOOKUP($A346,Pit!$A$4:$BD$570,55,FALSE))</f>
        <v>0</v>
      </c>
      <c r="U346" s="52">
        <f>IF($C346="B",VLOOKUP($A346,Bat!$A$4:$BA$1417,47,FALSE),VLOOKUP($A346,Pit!$A$4:$BF$570,56,FALSE))</f>
        <v>0</v>
      </c>
      <c r="V346" s="52">
        <f>IF($C346="B",VLOOKUP($A346,Bat!$A$4:$BA$1417,48,FALSE),VLOOKUP($A346,Pit!$A$4:$BF$570,57,FALSE))</f>
        <v>0</v>
      </c>
      <c r="W346" s="52">
        <f>Table5[[#This Row],[posRnk]]+Table5[[#This Row],[zRnk]]+IF($W$3&lt;&gt;Table5[[#This Row],[Type]],50,0)</f>
        <v>392</v>
      </c>
      <c r="X346" s="53">
        <f>RANK(Table5[[#This Row],[zScore]],Table5[[#All],[zScore]])</f>
        <v>342</v>
      </c>
      <c r="Y346" s="52" t="str">
        <f>IFERROR(INDEX(DraftResults[[#All],[OVR]],MATCH(Table5[[#This Row],[PID]],DraftResults[[#All],[Player ID]],0)),"")</f>
        <v/>
      </c>
      <c r="Z3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6" s="52" t="str">
        <f>IFERROR(INDEX(DraftResults[[#All],[Pick in Round]],MATCH(Table5[[#This Row],[PID]],DraftResults[[#All],[Player ID]],0)),"")</f>
        <v/>
      </c>
      <c r="AB346" s="52" t="str">
        <f>IFERROR(INDEX(DraftResults[[#All],[Team Name]],MATCH(Table5[[#This Row],[PID]],DraftResults[[#All],[Player ID]],0)),"")</f>
        <v/>
      </c>
      <c r="AC346" s="52" t="str">
        <f>IF(Table5[[#This Row],[Ovr]]="","",IF(Table5[[#This Row],[cmbList]]="","",Table5[[#This Row],[cmbList]]-Table5[[#This Row],[Ovr]]))</f>
        <v/>
      </c>
      <c r="AD346" s="56" t="str">
        <f>IF(ISERROR(VLOOKUP($AB346&amp;"-"&amp;$E346&amp;" "&amp;F346,Bonuses!$B$1:$G$1006,4,FALSE)),"",INT(VLOOKUP($AB346&amp;"-"&amp;$E346&amp;" "&amp;$F346,Bonuses!$B$1:$G$1006,4,FALSE)))</f>
        <v/>
      </c>
      <c r="AE3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7" spans="1:31" s="52" customFormat="1" x14ac:dyDescent="0.25">
      <c r="A347" s="52">
        <v>1307</v>
      </c>
      <c r="B347" s="57">
        <f>COUNTIF(Table5[PID],A347)</f>
        <v>1</v>
      </c>
      <c r="C347" s="57" t="str">
        <f>IF(COUNTIF(Table3[[#All],[PID]],A347)&gt;0,"P","B")</f>
        <v>B</v>
      </c>
      <c r="D347" s="61" t="str">
        <f>IF($C347="B",INDEX(Batters[[#All],[POS]],MATCH(Table5[[#This Row],[PID]],Batters[[#All],[PID]],0)),INDEX(Table3[[#All],[POS]],MATCH(Table5[[#This Row],[PID]],Table3[[#All],[PID]],0)))</f>
        <v>SS</v>
      </c>
      <c r="E347" s="54" t="str">
        <f>IF($C347="B",INDEX(Batters[[#All],[First]],MATCH(Table5[[#This Row],[PID]],Batters[[#All],[PID]],0)),INDEX(Table3[[#All],[First]],MATCH(Table5[[#This Row],[PID]],Table3[[#All],[PID]],0)))</f>
        <v>Steven</v>
      </c>
      <c r="F347" s="52" t="str">
        <f>IF($C347="B",INDEX(Batters[[#All],[Last]],MATCH(A347,Batters[[#All],[PID]],0)),INDEX(Table3[[#All],[Last]],MATCH(A347,Table3[[#All],[PID]],0)))</f>
        <v>Rojas</v>
      </c>
      <c r="G347" s="58">
        <f>IF($C347="B",INDEX(Batters[[#All],[Age]],MATCH(Table5[[#This Row],[PID]],Batters[[#All],[PID]],0)),INDEX(Table3[[#All],[Age]],MATCH(Table5[[#This Row],[PID]],Table3[[#All],[PID]],0)))</f>
        <v>18</v>
      </c>
      <c r="H347" s="54" t="str">
        <f>IF($C347="B",INDEX(Batters[[#All],[B]],MATCH(Table5[[#This Row],[PID]],Batters[[#All],[PID]],0)),INDEX(Table3[[#All],[B]],MATCH(Table5[[#This Row],[PID]],Table3[[#All],[PID]],0)))</f>
        <v>L</v>
      </c>
      <c r="I347" s="54" t="str">
        <f>IF($C347="B",INDEX(Batters[[#All],[T]],MATCH(Table5[[#This Row],[PID]],Batters[[#All],[PID]],0)),INDEX(Table3[[#All],[T]],MATCH(Table5[[#This Row],[PID]],Table3[[#All],[PID]],0)))</f>
        <v>R</v>
      </c>
      <c r="J347" s="54" t="str">
        <f>IF($C347="B",INDEX(Batters[[#All],[WE]],MATCH(Table5[[#This Row],[PID]],Batters[[#All],[PID]],0)),INDEX(Table3[[#All],[WE]],MATCH(Table5[[#This Row],[PID]],Table3[[#All],[PID]],0)))</f>
        <v>High</v>
      </c>
      <c r="K347" s="54" t="str">
        <f>IF($C347="B",INDEX(Batters[[#All],[INT]],MATCH(Table5[[#This Row],[PID]],Batters[[#All],[PID]],0)),INDEX(Table3[[#All],[INT]],MATCH(Table5[[#This Row],[PID]],Table3[[#All],[PID]],0)))</f>
        <v>Normal</v>
      </c>
      <c r="L347" s="62">
        <f>IF($C347="B",INDEX(Batters[[#All],[CON P]],MATCH(Table5[[#This Row],[PID]],Batters[[#All],[PID]],0)),INDEX(Table3[[#All],[STU P]],MATCH(Table5[[#This Row],[PID]],Table3[[#All],[PID]],0)))</f>
        <v>3</v>
      </c>
      <c r="M347" s="58">
        <f>IF($C347="B",INDEX(Batters[[#All],[GAP P]],MATCH(Table5[[#This Row],[PID]],Batters[[#All],[PID]],0)),INDEX(Table3[[#All],[MOV P]],MATCH(Table5[[#This Row],[PID]],Table3[[#All],[PID]],0)))</f>
        <v>3</v>
      </c>
      <c r="N347" s="58">
        <f>IF($C347="B",INDEX(Batters[[#All],[POW P]],MATCH(Table5[[#This Row],[PID]],Batters[[#All],[PID]],0)),INDEX(Table3[[#All],[CON P]],MATCH(Table5[[#This Row],[PID]],Table3[[#All],[PID]],0)))</f>
        <v>2</v>
      </c>
      <c r="O347" s="58">
        <f>IF($C347="B",INDEX(Batters[[#All],[EYE P]],MATCH(Table5[[#This Row],[PID]],Batters[[#All],[PID]],0)),INDEX(Table3[[#All],[VELO]],MATCH(Table5[[#This Row],[PID]],Table3[[#All],[PID]],0)))</f>
        <v>5</v>
      </c>
      <c r="P347" s="58">
        <f>IF($C347="B",INDEX(Batters[[#All],[K P]],MATCH(Table5[[#This Row],[PID]],Batters[[#All],[PID]],0)),INDEX(Table3[[#All],[STM]],MATCH(Table5[[#This Row],[PID]],Table3[[#All],[PID]],0)))</f>
        <v>5</v>
      </c>
      <c r="Q347" s="63">
        <f>IF($C347="B",INDEX(Batters[[#All],[Tot]],MATCH(Table5[[#This Row],[PID]],Batters[[#All],[PID]],0)),INDEX(Table3[[#All],[Tot]],MATCH(Table5[[#This Row],[PID]],Table3[[#All],[PID]],0)))</f>
        <v>41.944776102835228</v>
      </c>
      <c r="R347" s="54">
        <f>IF($C347="B",INDEX(Batters[[#All],[zScore]],MATCH(Table5[[#This Row],[PID]],Batters[[#All],[PID]],0)),INDEX(Table3[[#All],[zScore]],MATCH(Table5[[#This Row],[PID]],Table3[[#All],[PID]],0)))</f>
        <v>0.28089862161037776</v>
      </c>
      <c r="S347" s="60" t="str">
        <f>IF($C347="B",INDEX(Batters[[#All],[DEM]],MATCH(Table5[[#This Row],[PID]],Batters[[#All],[PID]],0)),INDEX(Table3[[#All],[DEM]],MATCH(Table5[[#This Row],[PID]],Table3[[#All],[PID]],0)))</f>
        <v>$70k</v>
      </c>
      <c r="T347" s="64">
        <f>IF($C347="B",VLOOKUP($A347,Bat!$A$4:$AU$1417,46,FALSE),VLOOKUP($A347,Pit!$A$4:$BD$570,55,FALSE))</f>
        <v>0</v>
      </c>
      <c r="U347" s="52">
        <f>IF($C347="B",VLOOKUP($A347,Bat!$A$4:$BA$1417,47,FALSE),VLOOKUP($A347,Pit!$A$4:$BF$570,56,FALSE))</f>
        <v>0</v>
      </c>
      <c r="V347" s="52">
        <f>IF($C347="B",VLOOKUP($A347,Bat!$A$4:$BA$1417,48,FALSE),VLOOKUP($A347,Pit!$A$4:$BF$570,57,FALSE))</f>
        <v>0</v>
      </c>
      <c r="W347" s="52">
        <f>Table5[[#This Row],[posRnk]]+Table5[[#This Row],[zRnk]]+IF($W$3&lt;&gt;Table5[[#This Row],[Type]],50,0)</f>
        <v>393</v>
      </c>
      <c r="X347" s="53">
        <f>RANK(Table5[[#This Row],[zScore]],Table5[[#All],[zScore]])</f>
        <v>343</v>
      </c>
      <c r="Y347" s="52" t="str">
        <f>IFERROR(INDEX(DraftResults[[#All],[OVR]],MATCH(Table5[[#This Row],[PID]],DraftResults[[#All],[Player ID]],0)),"")</f>
        <v/>
      </c>
      <c r="Z3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7" s="52" t="str">
        <f>IFERROR(INDEX(DraftResults[[#All],[Pick in Round]],MATCH(Table5[[#This Row],[PID]],DraftResults[[#All],[Player ID]],0)),"")</f>
        <v/>
      </c>
      <c r="AB347" s="52" t="str">
        <f>IFERROR(INDEX(DraftResults[[#All],[Team Name]],MATCH(Table5[[#This Row],[PID]],DraftResults[[#All],[Player ID]],0)),"")</f>
        <v/>
      </c>
      <c r="AC347" s="52" t="str">
        <f>IF(Table5[[#This Row],[Ovr]]="","",IF(Table5[[#This Row],[cmbList]]="","",Table5[[#This Row],[cmbList]]-Table5[[#This Row],[Ovr]]))</f>
        <v/>
      </c>
      <c r="AD347" s="56" t="str">
        <f>IF(ISERROR(VLOOKUP($AB347&amp;"-"&amp;$E347&amp;" "&amp;F347,Bonuses!$B$1:$G$1006,4,FALSE)),"",INT(VLOOKUP($AB347&amp;"-"&amp;$E347&amp;" "&amp;$F347,Bonuses!$B$1:$G$1006,4,FALSE)))</f>
        <v/>
      </c>
      <c r="AE3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8" spans="1:31" s="52" customFormat="1" x14ac:dyDescent="0.25">
      <c r="A348" s="52">
        <v>7403</v>
      </c>
      <c r="B348" s="52">
        <f>COUNTIF(Table5[PID],A348)</f>
        <v>1</v>
      </c>
      <c r="C348" s="52" t="str">
        <f>IF(COUNTIF(Table3[[#All],[PID]],A348)&gt;0,"P","B")</f>
        <v>B</v>
      </c>
      <c r="D348" s="61" t="str">
        <f>IF($C348="B",INDEX(Batters[[#All],[POS]],MATCH(Table5[[#This Row],[PID]],Batters[[#All],[PID]],0)),INDEX(Table3[[#All],[POS]],MATCH(Table5[[#This Row],[PID]],Table3[[#All],[PID]],0)))</f>
        <v>1B</v>
      </c>
      <c r="E348" s="54" t="str">
        <f>IF($C348="B",INDEX(Batters[[#All],[First]],MATCH(Table5[[#This Row],[PID]],Batters[[#All],[PID]],0)),INDEX(Table3[[#All],[First]],MATCH(Table5[[#This Row],[PID]],Table3[[#All],[PID]],0)))</f>
        <v>Declan</v>
      </c>
      <c r="F348" s="52" t="str">
        <f>IF($C348="B",INDEX(Batters[[#All],[Last]],MATCH(A348,Batters[[#All],[PID]],0)),INDEX(Table3[[#All],[Last]],MATCH(A348,Table3[[#All],[PID]],0)))</f>
        <v>Kyrle</v>
      </c>
      <c r="G348" s="58">
        <f>IF($C348="B",INDEX(Batters[[#All],[Age]],MATCH(Table5[[#This Row],[PID]],Batters[[#All],[PID]],0)),INDEX(Table3[[#All],[Age]],MATCH(Table5[[#This Row],[PID]],Table3[[#All],[PID]],0)))</f>
        <v>21</v>
      </c>
      <c r="H348" s="54" t="str">
        <f>IF($C348="B",INDEX(Batters[[#All],[B]],MATCH(Table5[[#This Row],[PID]],Batters[[#All],[PID]],0)),INDEX(Table3[[#All],[B]],MATCH(Table5[[#This Row],[PID]],Table3[[#All],[PID]],0)))</f>
        <v>R</v>
      </c>
      <c r="I348" s="54" t="str">
        <f>IF($C348="B",INDEX(Batters[[#All],[T]],MATCH(Table5[[#This Row],[PID]],Batters[[#All],[PID]],0)),INDEX(Table3[[#All],[T]],MATCH(Table5[[#This Row],[PID]],Table3[[#All],[PID]],0)))</f>
        <v>R</v>
      </c>
      <c r="J348" s="54" t="str">
        <f>IF($C348="B",INDEX(Batters[[#All],[WE]],MATCH(Table5[[#This Row],[PID]],Batters[[#All],[PID]],0)),INDEX(Table3[[#All],[WE]],MATCH(Table5[[#This Row],[PID]],Table3[[#All],[PID]],0)))</f>
        <v>Normal</v>
      </c>
      <c r="K348" s="54" t="str">
        <f>IF($C348="B",INDEX(Batters[[#All],[INT]],MATCH(Table5[[#This Row],[PID]],Batters[[#All],[PID]],0)),INDEX(Table3[[#All],[INT]],MATCH(Table5[[#This Row],[PID]],Table3[[#All],[PID]],0)))</f>
        <v>Normal</v>
      </c>
      <c r="L348" s="62">
        <f>IF($C348="B",INDEX(Batters[[#All],[CON P]],MATCH(Table5[[#This Row],[PID]],Batters[[#All],[PID]],0)),INDEX(Table3[[#All],[STU P]],MATCH(Table5[[#This Row],[PID]],Table3[[#All],[PID]],0)))</f>
        <v>4</v>
      </c>
      <c r="M348" s="58">
        <f>IF($C348="B",INDEX(Batters[[#All],[GAP P]],MATCH(Table5[[#This Row],[PID]],Batters[[#All],[PID]],0)),INDEX(Table3[[#All],[MOV P]],MATCH(Table5[[#This Row],[PID]],Table3[[#All],[PID]],0)))</f>
        <v>4</v>
      </c>
      <c r="N348" s="58">
        <f>IF($C348="B",INDEX(Batters[[#All],[POW P]],MATCH(Table5[[#This Row],[PID]],Batters[[#All],[PID]],0)),INDEX(Table3[[#All],[CON P]],MATCH(Table5[[#This Row],[PID]],Table3[[#All],[PID]],0)))</f>
        <v>4</v>
      </c>
      <c r="O348" s="58">
        <f>IF($C348="B",INDEX(Batters[[#All],[EYE P]],MATCH(Table5[[#This Row],[PID]],Batters[[#All],[PID]],0)),INDEX(Table3[[#All],[VELO]],MATCH(Table5[[#This Row],[PID]],Table3[[#All],[PID]],0)))</f>
        <v>5</v>
      </c>
      <c r="P348" s="58">
        <f>IF($C348="B",INDEX(Batters[[#All],[K P]],MATCH(Table5[[#This Row],[PID]],Batters[[#All],[PID]],0)),INDEX(Table3[[#All],[STM]],MATCH(Table5[[#This Row],[PID]],Table3[[#All],[PID]],0)))</f>
        <v>4</v>
      </c>
      <c r="Q348" s="63">
        <f>IF($C348="B",INDEX(Batters[[#All],[Tot]],MATCH(Table5[[#This Row],[PID]],Batters[[#All],[PID]],0)),INDEX(Table3[[#All],[Tot]],MATCH(Table5[[#This Row],[PID]],Table3[[#All],[PID]],0)))</f>
        <v>41.897495057723759</v>
      </c>
      <c r="R348" s="54">
        <f>IF($C348="B",INDEX(Batters[[#All],[zScore]],MATCH(Table5[[#This Row],[PID]],Batters[[#All],[PID]],0)),INDEX(Table3[[#All],[zScore]],MATCH(Table5[[#This Row],[PID]],Table3[[#All],[PID]],0)))</f>
        <v>0.27257983596718471</v>
      </c>
      <c r="S348" s="60" t="str">
        <f>IF($C348="B",INDEX(Batters[[#All],[DEM]],MATCH(Table5[[#This Row],[PID]],Batters[[#All],[PID]],0)),INDEX(Table3[[#All],[DEM]],MATCH(Table5[[#This Row],[PID]],Table3[[#All],[PID]],0)))</f>
        <v>-</v>
      </c>
      <c r="T348" s="64">
        <f>IF($C348="B",VLOOKUP($A348,Bat!$A$4:$AU$1417,46,FALSE),VLOOKUP($A348,Pit!$A$4:$BD$570,55,FALSE))</f>
        <v>0</v>
      </c>
      <c r="U348" s="52">
        <f>IF($C348="B",VLOOKUP($A348,Bat!$A$4:$BA$1417,47,FALSE),VLOOKUP($A348,Pit!$A$4:$BF$570,56,FALSE))</f>
        <v>0</v>
      </c>
      <c r="V348" s="52">
        <f>IF($C348="B",VLOOKUP($A348,Bat!$A$4:$BA$1417,48,FALSE),VLOOKUP($A348,Pit!$A$4:$BF$570,57,FALSE))</f>
        <v>0</v>
      </c>
      <c r="W348" s="52">
        <f>Table5[[#This Row],[posRnk]]+Table5[[#This Row],[zRnk]]+IF($W$3&lt;&gt;Table5[[#This Row],[Type]],50,0)</f>
        <v>394</v>
      </c>
      <c r="X348" s="53">
        <f>RANK(Table5[[#This Row],[zScore]],Table5[[#All],[zScore]])</f>
        <v>344</v>
      </c>
      <c r="Y348" s="52" t="str">
        <f>IFERROR(INDEX(DraftResults[[#All],[OVR]],MATCH(Table5[[#This Row],[PID]],DraftResults[[#All],[Player ID]],0)),"")</f>
        <v/>
      </c>
      <c r="Z3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8" s="52" t="str">
        <f>IFERROR(INDEX(DraftResults[[#All],[Pick in Round]],MATCH(Table5[[#This Row],[PID]],DraftResults[[#All],[Player ID]],0)),"")</f>
        <v/>
      </c>
      <c r="AB348" s="52" t="str">
        <f>IFERROR(INDEX(DraftResults[[#All],[Team Name]],MATCH(Table5[[#This Row],[PID]],DraftResults[[#All],[Player ID]],0)),"")</f>
        <v/>
      </c>
      <c r="AC348" s="52" t="str">
        <f>IF(Table5[[#This Row],[Ovr]]="","",IF(Table5[[#This Row],[cmbList]]="","",Table5[[#This Row],[cmbList]]-Table5[[#This Row],[Ovr]]))</f>
        <v/>
      </c>
      <c r="AD348" s="56" t="str">
        <f>IF(ISERROR(VLOOKUP($AB348&amp;"-"&amp;$E348&amp;" "&amp;F348,Bonuses!$B$1:$G$1006,4,FALSE)),"",INT(VLOOKUP($AB348&amp;"-"&amp;$E348&amp;" "&amp;$F348,Bonuses!$B$1:$G$1006,4,FALSE)))</f>
        <v/>
      </c>
      <c r="AE3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9" spans="1:31" s="52" customFormat="1" x14ac:dyDescent="0.25">
      <c r="A349" s="52">
        <v>6544</v>
      </c>
      <c r="B349" s="57">
        <f>COUNTIF(Table5[PID],A349)</f>
        <v>1</v>
      </c>
      <c r="C349" s="57" t="str">
        <f>IF(COUNTIF(Table3[[#All],[PID]],A349)&gt;0,"P","B")</f>
        <v>B</v>
      </c>
      <c r="D349" s="61" t="str">
        <f>IF($C349="B",INDEX(Batters[[#All],[POS]],MATCH(Table5[[#This Row],[PID]],Batters[[#All],[PID]],0)),INDEX(Table3[[#All],[POS]],MATCH(Table5[[#This Row],[PID]],Table3[[#All],[PID]],0)))</f>
        <v>RF</v>
      </c>
      <c r="E349" s="54" t="str">
        <f>IF($C349="B",INDEX(Batters[[#All],[First]],MATCH(Table5[[#This Row],[PID]],Batters[[#All],[PID]],0)),INDEX(Table3[[#All],[First]],MATCH(Table5[[#This Row],[PID]],Table3[[#All],[PID]],0)))</f>
        <v>José</v>
      </c>
      <c r="F349" s="52" t="str">
        <f>IF($C349="B",INDEX(Batters[[#All],[Last]],MATCH(A349,Batters[[#All],[PID]],0)),INDEX(Table3[[#All],[Last]],MATCH(A349,Table3[[#All],[PID]],0)))</f>
        <v>Morales</v>
      </c>
      <c r="G349" s="58">
        <f>IF($C349="B",INDEX(Batters[[#All],[Age]],MATCH(Table5[[#This Row],[PID]],Batters[[#All],[PID]],0)),INDEX(Table3[[#All],[Age]],MATCH(Table5[[#This Row],[PID]],Table3[[#All],[PID]],0)))</f>
        <v>18</v>
      </c>
      <c r="H349" s="54" t="str">
        <f>IF($C349="B",INDEX(Batters[[#All],[B]],MATCH(Table5[[#This Row],[PID]],Batters[[#All],[PID]],0)),INDEX(Table3[[#All],[B]],MATCH(Table5[[#This Row],[PID]],Table3[[#All],[PID]],0)))</f>
        <v>L</v>
      </c>
      <c r="I349" s="54" t="str">
        <f>IF($C349="B",INDEX(Batters[[#All],[T]],MATCH(Table5[[#This Row],[PID]],Batters[[#All],[PID]],0)),INDEX(Table3[[#All],[T]],MATCH(Table5[[#This Row],[PID]],Table3[[#All],[PID]],0)))</f>
        <v>L</v>
      </c>
      <c r="J349" s="54" t="str">
        <f>IF($C349="B",INDEX(Batters[[#All],[WE]],MATCH(Table5[[#This Row],[PID]],Batters[[#All],[PID]],0)),INDEX(Table3[[#All],[WE]],MATCH(Table5[[#This Row],[PID]],Table3[[#All],[PID]],0)))</f>
        <v>Low</v>
      </c>
      <c r="K349" s="54" t="str">
        <f>IF($C349="B",INDEX(Batters[[#All],[INT]],MATCH(Table5[[#This Row],[PID]],Batters[[#All],[PID]],0)),INDEX(Table3[[#All],[INT]],MATCH(Table5[[#This Row],[PID]],Table3[[#All],[PID]],0)))</f>
        <v>Normal</v>
      </c>
      <c r="L349" s="62">
        <f>IF($C349="B",INDEX(Batters[[#All],[CON P]],MATCH(Table5[[#This Row],[PID]],Batters[[#All],[PID]],0)),INDEX(Table3[[#All],[STU P]],MATCH(Table5[[#This Row],[PID]],Table3[[#All],[PID]],0)))</f>
        <v>3</v>
      </c>
      <c r="M349" s="58">
        <f>IF($C349="B",INDEX(Batters[[#All],[GAP P]],MATCH(Table5[[#This Row],[PID]],Batters[[#All],[PID]],0)),INDEX(Table3[[#All],[MOV P]],MATCH(Table5[[#This Row],[PID]],Table3[[#All],[PID]],0)))</f>
        <v>3</v>
      </c>
      <c r="N349" s="58">
        <f>IF($C349="B",INDEX(Batters[[#All],[POW P]],MATCH(Table5[[#This Row],[PID]],Batters[[#All],[PID]],0)),INDEX(Table3[[#All],[CON P]],MATCH(Table5[[#This Row],[PID]],Table3[[#All],[PID]],0)))</f>
        <v>4</v>
      </c>
      <c r="O349" s="58">
        <f>IF($C349="B",INDEX(Batters[[#All],[EYE P]],MATCH(Table5[[#This Row],[PID]],Batters[[#All],[PID]],0)),INDEX(Table3[[#All],[VELO]],MATCH(Table5[[#This Row],[PID]],Table3[[#All],[PID]],0)))</f>
        <v>5</v>
      </c>
      <c r="P349" s="58">
        <f>IF($C349="B",INDEX(Batters[[#All],[K P]],MATCH(Table5[[#This Row],[PID]],Batters[[#All],[PID]],0)),INDEX(Table3[[#All],[STM]],MATCH(Table5[[#This Row],[PID]],Table3[[#All],[PID]],0)))</f>
        <v>3</v>
      </c>
      <c r="Q349" s="63">
        <f>IF($C349="B",INDEX(Batters[[#All],[Tot]],MATCH(Table5[[#This Row],[PID]],Batters[[#All],[PID]],0)),INDEX(Table3[[#All],[Tot]],MATCH(Table5[[#This Row],[PID]],Table3[[#All],[PID]],0)))</f>
        <v>41.890832392781526</v>
      </c>
      <c r="R349" s="54">
        <f>IF($C349="B",INDEX(Batters[[#All],[zScore]],MATCH(Table5[[#This Row],[PID]],Batters[[#All],[PID]],0)),INDEX(Table3[[#All],[zScore]],MATCH(Table5[[#This Row],[PID]],Table3[[#All],[PID]],0)))</f>
        <v>0.2714075843526913</v>
      </c>
      <c r="S349" s="60" t="str">
        <f>IF($C349="B",INDEX(Batters[[#All],[DEM]],MATCH(Table5[[#This Row],[PID]],Batters[[#All],[PID]],0)),INDEX(Table3[[#All],[DEM]],MATCH(Table5[[#This Row],[PID]],Table3[[#All],[PID]],0)))</f>
        <v>$38k</v>
      </c>
      <c r="T349" s="64">
        <f>IF($C349="B",VLOOKUP($A349,Bat!$A$4:$AU$1417,46,FALSE),VLOOKUP($A349,Pit!$A$4:$BD$570,55,FALSE))</f>
        <v>0</v>
      </c>
      <c r="U349" s="52">
        <f>IF($C349="B",VLOOKUP($A349,Bat!$A$4:$BA$1417,47,FALSE),VLOOKUP($A349,Pit!$A$4:$BF$570,56,FALSE))</f>
        <v>0</v>
      </c>
      <c r="V349" s="52">
        <f>IF($C349="B",VLOOKUP($A349,Bat!$A$4:$BA$1417,48,FALSE),VLOOKUP($A349,Pit!$A$4:$BF$570,57,FALSE))</f>
        <v>0</v>
      </c>
      <c r="W349" s="52">
        <f>Table5[[#This Row],[posRnk]]+Table5[[#This Row],[zRnk]]+IF($W$3&lt;&gt;Table5[[#This Row],[Type]],50,0)</f>
        <v>395</v>
      </c>
      <c r="X349" s="53">
        <f>RANK(Table5[[#This Row],[zScore]],Table5[[#All],[zScore]])</f>
        <v>345</v>
      </c>
      <c r="Y349" s="52" t="str">
        <f>IFERROR(INDEX(DraftResults[[#All],[OVR]],MATCH(Table5[[#This Row],[PID]],DraftResults[[#All],[Player ID]],0)),"")</f>
        <v/>
      </c>
      <c r="Z3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9" s="52" t="str">
        <f>IFERROR(INDEX(DraftResults[[#All],[Pick in Round]],MATCH(Table5[[#This Row],[PID]],DraftResults[[#All],[Player ID]],0)),"")</f>
        <v/>
      </c>
      <c r="AB349" s="52" t="str">
        <f>IFERROR(INDEX(DraftResults[[#All],[Team Name]],MATCH(Table5[[#This Row],[PID]],DraftResults[[#All],[Player ID]],0)),"")</f>
        <v/>
      </c>
      <c r="AC349" s="52" t="str">
        <f>IF(Table5[[#This Row],[Ovr]]="","",IF(Table5[[#This Row],[cmbList]]="","",Table5[[#This Row],[cmbList]]-Table5[[#This Row],[Ovr]]))</f>
        <v/>
      </c>
      <c r="AD349" s="56" t="str">
        <f>IF(ISERROR(VLOOKUP($AB349&amp;"-"&amp;$E349&amp;" "&amp;F349,Bonuses!$B$1:$G$1006,4,FALSE)),"",INT(VLOOKUP($AB349&amp;"-"&amp;$E349&amp;" "&amp;$F349,Bonuses!$B$1:$G$1006,4,FALSE)))</f>
        <v/>
      </c>
      <c r="AE3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0" spans="1:31" s="52" customFormat="1" x14ac:dyDescent="0.25">
      <c r="A350" s="52">
        <v>6208</v>
      </c>
      <c r="B350" s="52">
        <f>COUNTIF(Table5[PID],A350)</f>
        <v>1</v>
      </c>
      <c r="C350" s="52" t="str">
        <f>IF(COUNTIF(Table3[[#All],[PID]],A350)&gt;0,"P","B")</f>
        <v>B</v>
      </c>
      <c r="D350" s="61" t="str">
        <f>IF($C350="B",INDEX(Batters[[#All],[POS]],MATCH(Table5[[#This Row],[PID]],Batters[[#All],[PID]],0)),INDEX(Table3[[#All],[POS]],MATCH(Table5[[#This Row],[PID]],Table3[[#All],[PID]],0)))</f>
        <v>C</v>
      </c>
      <c r="E350" s="54" t="str">
        <f>IF($C350="B",INDEX(Batters[[#All],[First]],MATCH(Table5[[#This Row],[PID]],Batters[[#All],[PID]],0)),INDEX(Table3[[#All],[First]],MATCH(Table5[[#This Row],[PID]],Table3[[#All],[PID]],0)))</f>
        <v>Jack</v>
      </c>
      <c r="F350" s="52" t="str">
        <f>IF($C350="B",INDEX(Batters[[#All],[Last]],MATCH(A350,Batters[[#All],[PID]],0)),INDEX(Table3[[#All],[Last]],MATCH(A350,Table3[[#All],[PID]],0)))</f>
        <v>Rose</v>
      </c>
      <c r="G350" s="58">
        <f>IF($C350="B",INDEX(Batters[[#All],[Age]],MATCH(Table5[[#This Row],[PID]],Batters[[#All],[PID]],0)),INDEX(Table3[[#All],[Age]],MATCH(Table5[[#This Row],[PID]],Table3[[#All],[PID]],0)))</f>
        <v>18</v>
      </c>
      <c r="H350" s="54" t="str">
        <f>IF($C350="B",INDEX(Batters[[#All],[B]],MATCH(Table5[[#This Row],[PID]],Batters[[#All],[PID]],0)),INDEX(Table3[[#All],[B]],MATCH(Table5[[#This Row],[PID]],Table3[[#All],[PID]],0)))</f>
        <v>R</v>
      </c>
      <c r="I350" s="54" t="str">
        <f>IF($C350="B",INDEX(Batters[[#All],[T]],MATCH(Table5[[#This Row],[PID]],Batters[[#All],[PID]],0)),INDEX(Table3[[#All],[T]],MATCH(Table5[[#This Row],[PID]],Table3[[#All],[PID]],0)))</f>
        <v>R</v>
      </c>
      <c r="J350" s="54" t="str">
        <f>IF($C350="B",INDEX(Batters[[#All],[WE]],MATCH(Table5[[#This Row],[PID]],Batters[[#All],[PID]],0)),INDEX(Table3[[#All],[WE]],MATCH(Table5[[#This Row],[PID]],Table3[[#All],[PID]],0)))</f>
        <v>Normal</v>
      </c>
      <c r="K350" s="54" t="str">
        <f>IF($C350="B",INDEX(Batters[[#All],[INT]],MATCH(Table5[[#This Row],[PID]],Batters[[#All],[PID]],0)),INDEX(Table3[[#All],[INT]],MATCH(Table5[[#This Row],[PID]],Table3[[#All],[PID]],0)))</f>
        <v>Normal</v>
      </c>
      <c r="L350" s="62">
        <f>IF($C350="B",INDEX(Batters[[#All],[CON P]],MATCH(Table5[[#This Row],[PID]],Batters[[#All],[PID]],0)),INDEX(Table3[[#All],[STU P]],MATCH(Table5[[#This Row],[PID]],Table3[[#All],[PID]],0)))</f>
        <v>3</v>
      </c>
      <c r="M350" s="58">
        <f>IF($C350="B",INDEX(Batters[[#All],[GAP P]],MATCH(Table5[[#This Row],[PID]],Batters[[#All],[PID]],0)),INDEX(Table3[[#All],[MOV P]],MATCH(Table5[[#This Row],[PID]],Table3[[#All],[PID]],0)))</f>
        <v>3</v>
      </c>
      <c r="N350" s="58">
        <f>IF($C350="B",INDEX(Batters[[#All],[POW P]],MATCH(Table5[[#This Row],[PID]],Batters[[#All],[PID]],0)),INDEX(Table3[[#All],[CON P]],MATCH(Table5[[#This Row],[PID]],Table3[[#All],[PID]],0)))</f>
        <v>4</v>
      </c>
      <c r="O350" s="58">
        <f>IF($C350="B",INDEX(Batters[[#All],[EYE P]],MATCH(Table5[[#This Row],[PID]],Batters[[#All],[PID]],0)),INDEX(Table3[[#All],[VELO]],MATCH(Table5[[#This Row],[PID]],Table3[[#All],[PID]],0)))</f>
        <v>5</v>
      </c>
      <c r="P350" s="58">
        <f>IF($C350="B",INDEX(Batters[[#All],[K P]],MATCH(Table5[[#This Row],[PID]],Batters[[#All],[PID]],0)),INDEX(Table3[[#All],[STM]],MATCH(Table5[[#This Row],[PID]],Table3[[#All],[PID]],0)))</f>
        <v>3</v>
      </c>
      <c r="Q350" s="63">
        <f>IF($C350="B",INDEX(Batters[[#All],[Tot]],MATCH(Table5[[#This Row],[PID]],Batters[[#All],[PID]],0)),INDEX(Table3[[#All],[Tot]],MATCH(Table5[[#This Row],[PID]],Table3[[#All],[PID]],0)))</f>
        <v>41.883576229497407</v>
      </c>
      <c r="R350" s="54">
        <f>IF($C350="B",INDEX(Batters[[#All],[zScore]],MATCH(Table5[[#This Row],[PID]],Batters[[#All],[PID]],0)),INDEX(Table3[[#All],[zScore]],MATCH(Table5[[#This Row],[PID]],Table3[[#All],[PID]],0)))</f>
        <v>0.27013091064951317</v>
      </c>
      <c r="S350" s="60" t="str">
        <f>IF($C350="B",INDEX(Batters[[#All],[DEM]],MATCH(Table5[[#This Row],[PID]],Batters[[#All],[PID]],0)),INDEX(Table3[[#All],[DEM]],MATCH(Table5[[#This Row],[PID]],Table3[[#All],[PID]],0)))</f>
        <v>$95k</v>
      </c>
      <c r="T350" s="64">
        <f>IF($C350="B",VLOOKUP($A350,Bat!$A$4:$AU$1417,46,FALSE),VLOOKUP($A350,Pit!$A$4:$BD$570,55,FALSE))</f>
        <v>0</v>
      </c>
      <c r="U350" s="52">
        <f>IF($C350="B",VLOOKUP($A350,Bat!$A$4:$BA$1417,47,FALSE),VLOOKUP($A350,Pit!$A$4:$BF$570,56,FALSE))</f>
        <v>0</v>
      </c>
      <c r="V350" s="52">
        <f>IF($C350="B",VLOOKUP($A350,Bat!$A$4:$BA$1417,48,FALSE),VLOOKUP($A350,Pit!$A$4:$BF$570,57,FALSE))</f>
        <v>0</v>
      </c>
      <c r="W350" s="52">
        <f>Table5[[#This Row],[posRnk]]+Table5[[#This Row],[zRnk]]+IF($W$3&lt;&gt;Table5[[#This Row],[Type]],50,0)</f>
        <v>396</v>
      </c>
      <c r="X350" s="53">
        <f>RANK(Table5[[#This Row],[zScore]],Table5[[#All],[zScore]])</f>
        <v>346</v>
      </c>
      <c r="Y350" s="52" t="str">
        <f>IFERROR(INDEX(DraftResults[[#All],[OVR]],MATCH(Table5[[#This Row],[PID]],DraftResults[[#All],[Player ID]],0)),"")</f>
        <v/>
      </c>
      <c r="Z3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0" s="52" t="str">
        <f>IFERROR(INDEX(DraftResults[[#All],[Pick in Round]],MATCH(Table5[[#This Row],[PID]],DraftResults[[#All],[Player ID]],0)),"")</f>
        <v/>
      </c>
      <c r="AB350" s="52" t="str">
        <f>IFERROR(INDEX(DraftResults[[#All],[Team Name]],MATCH(Table5[[#This Row],[PID]],DraftResults[[#All],[Player ID]],0)),"")</f>
        <v/>
      </c>
      <c r="AC350" s="52" t="str">
        <f>IF(Table5[[#This Row],[Ovr]]="","",IF(Table5[[#This Row],[cmbList]]="","",Table5[[#This Row],[cmbList]]-Table5[[#This Row],[Ovr]]))</f>
        <v/>
      </c>
      <c r="AD350" s="56" t="str">
        <f>IF(ISERROR(VLOOKUP($AB350&amp;"-"&amp;$E350&amp;" "&amp;F350,Bonuses!$B$1:$G$1006,4,FALSE)),"",INT(VLOOKUP($AB350&amp;"-"&amp;$E350&amp;" "&amp;$F350,Bonuses!$B$1:$G$1006,4,FALSE)))</f>
        <v/>
      </c>
      <c r="AE3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1" spans="1:31" s="52" customFormat="1" x14ac:dyDescent="0.25">
      <c r="A351" s="52">
        <v>17904</v>
      </c>
      <c r="B351" s="52">
        <f>COUNTIF(Table5[PID],A351)</f>
        <v>1</v>
      </c>
      <c r="C351" s="52" t="str">
        <f>IF(COUNTIF(Table3[[#All],[PID]],A351)&gt;0,"P","B")</f>
        <v>P</v>
      </c>
      <c r="D351" s="61" t="str">
        <f>IF($C351="B",INDEX(Batters[[#All],[POS]],MATCH(Table5[[#This Row],[PID]],Batters[[#All],[PID]],0)),INDEX(Table3[[#All],[POS]],MATCH(Table5[[#This Row],[PID]],Table3[[#All],[PID]],0)))</f>
        <v>SP</v>
      </c>
      <c r="E351" s="54" t="str">
        <f>IF($C351="B",INDEX(Batters[[#All],[First]],MATCH(Table5[[#This Row],[PID]],Batters[[#All],[PID]],0)),INDEX(Table3[[#All],[First]],MATCH(Table5[[#This Row],[PID]],Table3[[#All],[PID]],0)))</f>
        <v>Júlio</v>
      </c>
      <c r="F351" s="52" t="str">
        <f>IF($C351="B",INDEX(Batters[[#All],[Last]],MATCH(A351,Batters[[#All],[PID]],0)),INDEX(Table3[[#All],[Last]],MATCH(A351,Table3[[#All],[PID]],0)))</f>
        <v>Guerrero</v>
      </c>
      <c r="G351" s="58">
        <f>IF($C351="B",INDEX(Batters[[#All],[Age]],MATCH(Table5[[#This Row],[PID]],Batters[[#All],[PID]],0)),INDEX(Table3[[#All],[Age]],MATCH(Table5[[#This Row],[PID]],Table3[[#All],[PID]],0)))</f>
        <v>18</v>
      </c>
      <c r="H351" s="54" t="str">
        <f>IF($C351="B",INDEX(Batters[[#All],[B]],MATCH(Table5[[#This Row],[PID]],Batters[[#All],[PID]],0)),INDEX(Table3[[#All],[B]],MATCH(Table5[[#This Row],[PID]],Table3[[#All],[PID]],0)))</f>
        <v>R</v>
      </c>
      <c r="I351" s="54" t="str">
        <f>IF($C351="B",INDEX(Batters[[#All],[T]],MATCH(Table5[[#This Row],[PID]],Batters[[#All],[PID]],0)),INDEX(Table3[[#All],[T]],MATCH(Table5[[#This Row],[PID]],Table3[[#All],[PID]],0)))</f>
        <v>R</v>
      </c>
      <c r="J351" s="54" t="str">
        <f>IF($C351="B",INDEX(Batters[[#All],[WE]],MATCH(Table5[[#This Row],[PID]],Batters[[#All],[PID]],0)),INDEX(Table3[[#All],[WE]],MATCH(Table5[[#This Row],[PID]],Table3[[#All],[PID]],0)))</f>
        <v>Normal</v>
      </c>
      <c r="K351" s="54" t="str">
        <f>IF($C351="B",INDEX(Batters[[#All],[INT]],MATCH(Table5[[#This Row],[PID]],Batters[[#All],[PID]],0)),INDEX(Table3[[#All],[INT]],MATCH(Table5[[#This Row],[PID]],Table3[[#All],[PID]],0)))</f>
        <v>Normal</v>
      </c>
      <c r="L351" s="62">
        <f>IF($C351="B",INDEX(Batters[[#All],[CON P]],MATCH(Table5[[#This Row],[PID]],Batters[[#All],[PID]],0)),INDEX(Table3[[#All],[STU P]],MATCH(Table5[[#This Row],[PID]],Table3[[#All],[PID]],0)))</f>
        <v>4</v>
      </c>
      <c r="M351" s="58">
        <f>IF($C351="B",INDEX(Batters[[#All],[GAP P]],MATCH(Table5[[#This Row],[PID]],Batters[[#All],[PID]],0)),INDEX(Table3[[#All],[MOV P]],MATCH(Table5[[#This Row],[PID]],Table3[[#All],[PID]],0)))</f>
        <v>2</v>
      </c>
      <c r="N351" s="58">
        <f>IF($C351="B",INDEX(Batters[[#All],[POW P]],MATCH(Table5[[#This Row],[PID]],Batters[[#All],[PID]],0)),INDEX(Table3[[#All],[CON P]],MATCH(Table5[[#This Row],[PID]],Table3[[#All],[PID]],0)))</f>
        <v>3</v>
      </c>
      <c r="O351" s="58" t="str">
        <f>IF($C351="B",INDEX(Batters[[#All],[EYE P]],MATCH(Table5[[#This Row],[PID]],Batters[[#All],[PID]],0)),INDEX(Table3[[#All],[VELO]],MATCH(Table5[[#This Row],[PID]],Table3[[#All],[PID]],0)))</f>
        <v>87-89 Mph</v>
      </c>
      <c r="P351" s="58">
        <f>IF($C351="B",INDEX(Batters[[#All],[K P]],MATCH(Table5[[#This Row],[PID]],Batters[[#All],[PID]],0)),INDEX(Table3[[#All],[STM]],MATCH(Table5[[#This Row],[PID]],Table3[[#All],[PID]],0)))</f>
        <v>8</v>
      </c>
      <c r="Q351" s="63">
        <f>IF($C351="B",INDEX(Batters[[#All],[Tot]],MATCH(Table5[[#This Row],[PID]],Batters[[#All],[PID]],0)),INDEX(Table3[[#All],[Tot]],MATCH(Table5[[#This Row],[PID]],Table3[[#All],[PID]],0)))</f>
        <v>35.622849849111887</v>
      </c>
      <c r="R351" s="54">
        <f>IF($C351="B",INDEX(Batters[[#All],[zScore]],MATCH(Table5[[#This Row],[PID]],Batters[[#All],[PID]],0)),INDEX(Table3[[#All],[zScore]],MATCH(Table5[[#This Row],[PID]],Table3[[#All],[PID]],0)))</f>
        <v>0.26599732526680114</v>
      </c>
      <c r="S351" s="60" t="str">
        <f>IF($C351="B",INDEX(Batters[[#All],[DEM]],MATCH(Table5[[#This Row],[PID]],Batters[[#All],[PID]],0)),INDEX(Table3[[#All],[DEM]],MATCH(Table5[[#This Row],[PID]],Table3[[#All],[PID]],0)))</f>
        <v>$90k</v>
      </c>
      <c r="T351" s="64">
        <f>IF($C351="B",VLOOKUP($A351,Bat!$A$4:$AU$1417,46,FALSE),VLOOKUP($A351,Pit!$A$4:$BD$570,55,FALSE))</f>
        <v>0</v>
      </c>
      <c r="U351" s="52">
        <f>IF($C351="B",VLOOKUP($A351,Bat!$A$4:$BA$1417,47,FALSE),VLOOKUP($A351,Pit!$A$4:$BF$570,56,FALSE))</f>
        <v>0</v>
      </c>
      <c r="V351" s="52">
        <f>IF($C351="B",VLOOKUP($A351,Bat!$A$4:$BA$1417,48,FALSE),VLOOKUP($A351,Pit!$A$4:$BF$570,57,FALSE))</f>
        <v>0</v>
      </c>
      <c r="W351" s="52">
        <f>Table5[[#This Row],[posRnk]]+Table5[[#This Row],[zRnk]]+IF($W$3&lt;&gt;Table5[[#This Row],[Type]],50,0)</f>
        <v>397</v>
      </c>
      <c r="X351" s="53">
        <f>RANK(Table5[[#This Row],[zScore]],Table5[[#All],[zScore]])</f>
        <v>347</v>
      </c>
      <c r="Y351" s="52" t="str">
        <f>IFERROR(INDEX(DraftResults[[#All],[OVR]],MATCH(Table5[[#This Row],[PID]],DraftResults[[#All],[Player ID]],0)),"")</f>
        <v/>
      </c>
      <c r="Z3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1" s="52" t="str">
        <f>IFERROR(INDEX(DraftResults[[#All],[Pick in Round]],MATCH(Table5[[#This Row],[PID]],DraftResults[[#All],[Player ID]],0)),"")</f>
        <v/>
      </c>
      <c r="AB351" s="52" t="str">
        <f>IFERROR(INDEX(DraftResults[[#All],[Team Name]],MATCH(Table5[[#This Row],[PID]],DraftResults[[#All],[Player ID]],0)),"")</f>
        <v/>
      </c>
      <c r="AC351" s="52" t="str">
        <f>IF(Table5[[#This Row],[Ovr]]="","",IF(Table5[[#This Row],[cmbList]]="","",Table5[[#This Row],[cmbList]]-Table5[[#This Row],[Ovr]]))</f>
        <v/>
      </c>
      <c r="AD351" s="56" t="str">
        <f>IF(ISERROR(VLOOKUP($AB351&amp;"-"&amp;$E351&amp;" "&amp;F351,Bonuses!$B$1:$G$1006,4,FALSE)),"",INT(VLOOKUP($AB351&amp;"-"&amp;$E351&amp;" "&amp;$F351,Bonuses!$B$1:$G$1006,4,FALSE)))</f>
        <v/>
      </c>
      <c r="AE3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2" spans="1:31" s="52" customFormat="1" x14ac:dyDescent="0.25">
      <c r="A352" s="52">
        <v>8151</v>
      </c>
      <c r="B352" s="52">
        <f>COUNTIF(Table5[PID],A352)</f>
        <v>1</v>
      </c>
      <c r="C352" s="52" t="str">
        <f>IF(COUNTIF(Table3[[#All],[PID]],A352)&gt;0,"P","B")</f>
        <v>P</v>
      </c>
      <c r="D352" s="61" t="str">
        <f>IF($C352="B",INDEX(Batters[[#All],[POS]],MATCH(Table5[[#This Row],[PID]],Batters[[#All],[PID]],0)),INDEX(Table3[[#All],[POS]],MATCH(Table5[[#This Row],[PID]],Table3[[#All],[PID]],0)))</f>
        <v>CL</v>
      </c>
      <c r="E352" s="54" t="str">
        <f>IF($C352="B",INDEX(Batters[[#All],[First]],MATCH(Table5[[#This Row],[PID]],Batters[[#All],[PID]],0)),INDEX(Table3[[#All],[First]],MATCH(Table5[[#This Row],[PID]],Table3[[#All],[PID]],0)))</f>
        <v>Edward</v>
      </c>
      <c r="F352" s="52" t="str">
        <f>IF($C352="B",INDEX(Batters[[#All],[Last]],MATCH(A352,Batters[[#All],[PID]],0)),INDEX(Table3[[#All],[Last]],MATCH(A352,Table3[[#All],[PID]],0)))</f>
        <v>O'Halloran</v>
      </c>
      <c r="G352" s="58">
        <f>IF($C352="B",INDEX(Batters[[#All],[Age]],MATCH(Table5[[#This Row],[PID]],Batters[[#All],[PID]],0)),INDEX(Table3[[#All],[Age]],MATCH(Table5[[#This Row],[PID]],Table3[[#All],[PID]],0)))</f>
        <v>18</v>
      </c>
      <c r="H352" s="54" t="str">
        <f>IF($C352="B",INDEX(Batters[[#All],[B]],MATCH(Table5[[#This Row],[PID]],Batters[[#All],[PID]],0)),INDEX(Table3[[#All],[B]],MATCH(Table5[[#This Row],[PID]],Table3[[#All],[PID]],0)))</f>
        <v>R</v>
      </c>
      <c r="I352" s="54" t="str">
        <f>IF($C352="B",INDEX(Batters[[#All],[T]],MATCH(Table5[[#This Row],[PID]],Batters[[#All],[PID]],0)),INDEX(Table3[[#All],[T]],MATCH(Table5[[#This Row],[PID]],Table3[[#All],[PID]],0)))</f>
        <v>L</v>
      </c>
      <c r="J352" s="54" t="str">
        <f>IF($C352="B",INDEX(Batters[[#All],[WE]],MATCH(Table5[[#This Row],[PID]],Batters[[#All],[PID]],0)),INDEX(Table3[[#All],[WE]],MATCH(Table5[[#This Row],[PID]],Table3[[#All],[PID]],0)))</f>
        <v>High</v>
      </c>
      <c r="K352" s="54" t="str">
        <f>IF($C352="B",INDEX(Batters[[#All],[INT]],MATCH(Table5[[#This Row],[PID]],Batters[[#All],[PID]],0)),INDEX(Table3[[#All],[INT]],MATCH(Table5[[#This Row],[PID]],Table3[[#All],[PID]],0)))</f>
        <v>Normal</v>
      </c>
      <c r="L352" s="62">
        <f>IF($C352="B",INDEX(Batters[[#All],[CON P]],MATCH(Table5[[#This Row],[PID]],Batters[[#All],[PID]],0)),INDEX(Table3[[#All],[STU P]],MATCH(Table5[[#This Row],[PID]],Table3[[#All],[PID]],0)))</f>
        <v>6</v>
      </c>
      <c r="M352" s="58">
        <f>IF($C352="B",INDEX(Batters[[#All],[GAP P]],MATCH(Table5[[#This Row],[PID]],Batters[[#All],[PID]],0)),INDEX(Table3[[#All],[MOV P]],MATCH(Table5[[#This Row],[PID]],Table3[[#All],[PID]],0)))</f>
        <v>3</v>
      </c>
      <c r="N352" s="58">
        <f>IF($C352="B",INDEX(Batters[[#All],[POW P]],MATCH(Table5[[#This Row],[PID]],Batters[[#All],[PID]],0)),INDEX(Table3[[#All],[CON P]],MATCH(Table5[[#This Row],[PID]],Table3[[#All],[PID]],0)))</f>
        <v>2</v>
      </c>
      <c r="O352" s="58" t="str">
        <f>IF($C352="B",INDEX(Batters[[#All],[EYE P]],MATCH(Table5[[#This Row],[PID]],Batters[[#All],[PID]],0)),INDEX(Table3[[#All],[VELO]],MATCH(Table5[[#This Row],[PID]],Table3[[#All],[PID]],0)))</f>
        <v>89-91 Mph</v>
      </c>
      <c r="P352" s="58">
        <f>IF($C352="B",INDEX(Batters[[#All],[K P]],MATCH(Table5[[#This Row],[PID]],Batters[[#All],[PID]],0)),INDEX(Table3[[#All],[STM]],MATCH(Table5[[#This Row],[PID]],Table3[[#All],[PID]],0)))</f>
        <v>7</v>
      </c>
      <c r="Q352" s="63">
        <f>IF($C352="B",INDEX(Batters[[#All],[Tot]],MATCH(Table5[[#This Row],[PID]],Batters[[#All],[PID]],0)),INDEX(Table3[[#All],[Tot]],MATCH(Table5[[#This Row],[PID]],Table3[[#All],[PID]],0)))</f>
        <v>35.575750445185577</v>
      </c>
      <c r="R352" s="54">
        <f>IF($C352="B",INDEX(Batters[[#All],[zScore]],MATCH(Table5[[#This Row],[PID]],Batters[[#All],[PID]],0)),INDEX(Table3[[#All],[zScore]],MATCH(Table5[[#This Row],[PID]],Table3[[#All],[PID]],0)))</f>
        <v>0.26167810861967522</v>
      </c>
      <c r="S352" s="60" t="str">
        <f>IF($C352="B",INDEX(Batters[[#All],[DEM]],MATCH(Table5[[#This Row],[PID]],Batters[[#All],[PID]],0)),INDEX(Table3[[#All],[DEM]],MATCH(Table5[[#This Row],[PID]],Table3[[#All],[PID]],0)))</f>
        <v>$70k</v>
      </c>
      <c r="T352" s="64">
        <f>IF($C352="B",VLOOKUP($A352,Bat!$A$4:$AU$1417,46,FALSE),VLOOKUP($A352,Pit!$A$4:$BD$570,55,FALSE))</f>
        <v>0</v>
      </c>
      <c r="U352" s="52">
        <f>IF($C352="B",VLOOKUP($A352,Bat!$A$4:$BA$1417,47,FALSE),VLOOKUP($A352,Pit!$A$4:$BF$570,56,FALSE))</f>
        <v>0</v>
      </c>
      <c r="V352" s="52">
        <f>IF($C352="B",VLOOKUP($A352,Bat!$A$4:$BA$1417,48,FALSE),VLOOKUP($A352,Pit!$A$4:$BF$570,57,FALSE))</f>
        <v>0</v>
      </c>
      <c r="W352" s="52">
        <f>Table5[[#This Row],[posRnk]]+Table5[[#This Row],[zRnk]]+IF($W$3&lt;&gt;Table5[[#This Row],[Type]],50,0)</f>
        <v>398</v>
      </c>
      <c r="X352" s="53">
        <f>RANK(Table5[[#This Row],[zScore]],Table5[[#All],[zScore]])</f>
        <v>348</v>
      </c>
      <c r="Y352" s="52" t="str">
        <f>IFERROR(INDEX(DraftResults[[#All],[OVR]],MATCH(Table5[[#This Row],[PID]],DraftResults[[#All],[Player ID]],0)),"")</f>
        <v/>
      </c>
      <c r="Z3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2" s="52" t="str">
        <f>IFERROR(INDEX(DraftResults[[#All],[Pick in Round]],MATCH(Table5[[#This Row],[PID]],DraftResults[[#All],[Player ID]],0)),"")</f>
        <v/>
      </c>
      <c r="AB352" s="52" t="str">
        <f>IFERROR(INDEX(DraftResults[[#All],[Team Name]],MATCH(Table5[[#This Row],[PID]],DraftResults[[#All],[Player ID]],0)),"")</f>
        <v/>
      </c>
      <c r="AC352" s="52" t="str">
        <f>IF(Table5[[#This Row],[Ovr]]="","",IF(Table5[[#This Row],[cmbList]]="","",Table5[[#This Row],[cmbList]]-Table5[[#This Row],[Ovr]]))</f>
        <v/>
      </c>
      <c r="AD352" s="56" t="str">
        <f>IF(ISERROR(VLOOKUP($AB352&amp;"-"&amp;$E352&amp;" "&amp;F352,Bonuses!$B$1:$G$1006,4,FALSE)),"",INT(VLOOKUP($AB352&amp;"-"&amp;$E352&amp;" "&amp;$F352,Bonuses!$B$1:$G$1006,4,FALSE)))</f>
        <v/>
      </c>
      <c r="AE3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3" spans="1:31" s="52" customFormat="1" x14ac:dyDescent="0.25">
      <c r="A353" s="52">
        <v>13679</v>
      </c>
      <c r="B353" s="52">
        <f>COUNTIF(Table5[PID],A353)</f>
        <v>1</v>
      </c>
      <c r="C353" s="52" t="str">
        <f>IF(COUNTIF(Table3[[#All],[PID]],A353)&gt;0,"P","B")</f>
        <v>P</v>
      </c>
      <c r="D353" s="61" t="str">
        <f>IF($C353="B",INDEX(Batters[[#All],[POS]],MATCH(Table5[[#This Row],[PID]],Batters[[#All],[PID]],0)),INDEX(Table3[[#All],[POS]],MATCH(Table5[[#This Row],[PID]],Table3[[#All],[PID]],0)))</f>
        <v>RP</v>
      </c>
      <c r="E353" s="54" t="str">
        <f>IF($C353="B",INDEX(Batters[[#All],[First]],MATCH(Table5[[#This Row],[PID]],Batters[[#All],[PID]],0)),INDEX(Table3[[#All],[First]],MATCH(Table5[[#This Row],[PID]],Table3[[#All],[PID]],0)))</f>
        <v>Manny</v>
      </c>
      <c r="F353" s="52" t="str">
        <f>IF($C353="B",INDEX(Batters[[#All],[Last]],MATCH(A353,Batters[[#All],[PID]],0)),INDEX(Table3[[#All],[Last]],MATCH(A353,Table3[[#All],[PID]],0)))</f>
        <v>Ramírez</v>
      </c>
      <c r="G353" s="58">
        <f>IF($C353="B",INDEX(Batters[[#All],[Age]],MATCH(Table5[[#This Row],[PID]],Batters[[#All],[PID]],0)),INDEX(Table3[[#All],[Age]],MATCH(Table5[[#This Row],[PID]],Table3[[#All],[PID]],0)))</f>
        <v>18</v>
      </c>
      <c r="H353" s="54" t="str">
        <f>IF($C353="B",INDEX(Batters[[#All],[B]],MATCH(Table5[[#This Row],[PID]],Batters[[#All],[PID]],0)),INDEX(Table3[[#All],[B]],MATCH(Table5[[#This Row],[PID]],Table3[[#All],[PID]],0)))</f>
        <v>R</v>
      </c>
      <c r="I353" s="54" t="str">
        <f>IF($C353="B",INDEX(Batters[[#All],[T]],MATCH(Table5[[#This Row],[PID]],Batters[[#All],[PID]],0)),INDEX(Table3[[#All],[T]],MATCH(Table5[[#This Row],[PID]],Table3[[#All],[PID]],0)))</f>
        <v>R</v>
      </c>
      <c r="J353" s="54" t="str">
        <f>IF($C353="B",INDEX(Batters[[#All],[WE]],MATCH(Table5[[#This Row],[PID]],Batters[[#All],[PID]],0)),INDEX(Table3[[#All],[WE]],MATCH(Table5[[#This Row],[PID]],Table3[[#All],[PID]],0)))</f>
        <v>High</v>
      </c>
      <c r="K353" s="54" t="str">
        <f>IF($C353="B",INDEX(Batters[[#All],[INT]],MATCH(Table5[[#This Row],[PID]],Batters[[#All],[PID]],0)),INDEX(Table3[[#All],[INT]],MATCH(Table5[[#This Row],[PID]],Table3[[#All],[PID]],0)))</f>
        <v>Normal</v>
      </c>
      <c r="L353" s="62">
        <f>IF($C353="B",INDEX(Batters[[#All],[CON P]],MATCH(Table5[[#This Row],[PID]],Batters[[#All],[PID]],0)),INDEX(Table3[[#All],[STU P]],MATCH(Table5[[#This Row],[PID]],Table3[[#All],[PID]],0)))</f>
        <v>5</v>
      </c>
      <c r="M353" s="58">
        <f>IF($C353="B",INDEX(Batters[[#All],[GAP P]],MATCH(Table5[[#This Row],[PID]],Batters[[#All],[PID]],0)),INDEX(Table3[[#All],[MOV P]],MATCH(Table5[[#This Row],[PID]],Table3[[#All],[PID]],0)))</f>
        <v>4</v>
      </c>
      <c r="N353" s="58">
        <f>IF($C353="B",INDEX(Batters[[#All],[POW P]],MATCH(Table5[[#This Row],[PID]],Batters[[#All],[PID]],0)),INDEX(Table3[[#All],[CON P]],MATCH(Table5[[#This Row],[PID]],Table3[[#All],[PID]],0)))</f>
        <v>2</v>
      </c>
      <c r="O353" s="58" t="str">
        <f>IF($C353="B",INDEX(Batters[[#All],[EYE P]],MATCH(Table5[[#This Row],[PID]],Batters[[#All],[PID]],0)),INDEX(Table3[[#All],[VELO]],MATCH(Table5[[#This Row],[PID]],Table3[[#All],[PID]],0)))</f>
        <v>89-91 Mph</v>
      </c>
      <c r="P353" s="58">
        <f>IF($C353="B",INDEX(Batters[[#All],[K P]],MATCH(Table5[[#This Row],[PID]],Batters[[#All],[PID]],0)),INDEX(Table3[[#All],[STM]],MATCH(Table5[[#This Row],[PID]],Table3[[#All],[PID]],0)))</f>
        <v>7</v>
      </c>
      <c r="Q353" s="63">
        <f>IF($C353="B",INDEX(Batters[[#All],[Tot]],MATCH(Table5[[#This Row],[PID]],Batters[[#All],[PID]],0)),INDEX(Table3[[#All],[Tot]],MATCH(Table5[[#This Row],[PID]],Table3[[#All],[PID]],0)))</f>
        <v>35.551620018701378</v>
      </c>
      <c r="R353" s="54">
        <f>IF($C353="B",INDEX(Batters[[#All],[zScore]],MATCH(Table5[[#This Row],[PID]],Batters[[#All],[PID]],0)),INDEX(Table3[[#All],[zScore]],MATCH(Table5[[#This Row],[PID]],Table3[[#All],[PID]],0)))</f>
        <v>0.25946524537546384</v>
      </c>
      <c r="S353" s="60" t="str">
        <f>IF($C353="B",INDEX(Batters[[#All],[DEM]],MATCH(Table5[[#This Row],[PID]],Batters[[#All],[PID]],0)),INDEX(Table3[[#All],[DEM]],MATCH(Table5[[#This Row],[PID]],Table3[[#All],[PID]],0)))</f>
        <v>$65k</v>
      </c>
      <c r="T353" s="64">
        <f>IF($C353="B",VLOOKUP($A353,Bat!$A$4:$AU$1417,46,FALSE),VLOOKUP($A353,Pit!$A$4:$BD$570,55,FALSE))</f>
        <v>0</v>
      </c>
      <c r="U353" s="52">
        <f>IF($C353="B",VLOOKUP($A353,Bat!$A$4:$BA$1417,47,FALSE),VLOOKUP($A353,Pit!$A$4:$BF$570,56,FALSE))</f>
        <v>0</v>
      </c>
      <c r="V353" s="52">
        <f>IF($C353="B",VLOOKUP($A353,Bat!$A$4:$BA$1417,48,FALSE),VLOOKUP($A353,Pit!$A$4:$BF$570,57,FALSE))</f>
        <v>0</v>
      </c>
      <c r="W353" s="52">
        <f>Table5[[#This Row],[posRnk]]+Table5[[#This Row],[zRnk]]+IF($W$3&lt;&gt;Table5[[#This Row],[Type]],50,0)</f>
        <v>399</v>
      </c>
      <c r="X353" s="53">
        <f>RANK(Table5[[#This Row],[zScore]],Table5[[#All],[zScore]])</f>
        <v>349</v>
      </c>
      <c r="Y353" s="52" t="str">
        <f>IFERROR(INDEX(DraftResults[[#All],[OVR]],MATCH(Table5[[#This Row],[PID]],DraftResults[[#All],[Player ID]],0)),"")</f>
        <v/>
      </c>
      <c r="Z3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3" s="52" t="str">
        <f>IFERROR(INDEX(DraftResults[[#All],[Pick in Round]],MATCH(Table5[[#This Row],[PID]],DraftResults[[#All],[Player ID]],0)),"")</f>
        <v/>
      </c>
      <c r="AB353" s="52" t="str">
        <f>IFERROR(INDEX(DraftResults[[#All],[Team Name]],MATCH(Table5[[#This Row],[PID]],DraftResults[[#All],[Player ID]],0)),"")</f>
        <v/>
      </c>
      <c r="AC353" s="52" t="str">
        <f>IF(Table5[[#This Row],[Ovr]]="","",IF(Table5[[#This Row],[cmbList]]="","",Table5[[#This Row],[cmbList]]-Table5[[#This Row],[Ovr]]))</f>
        <v/>
      </c>
      <c r="AD353" s="56" t="str">
        <f>IF(ISERROR(VLOOKUP($AB353&amp;"-"&amp;$E353&amp;" "&amp;F353,Bonuses!$B$1:$G$1006,4,FALSE)),"",INT(VLOOKUP($AB353&amp;"-"&amp;$E353&amp;" "&amp;$F353,Bonuses!$B$1:$G$1006,4,FALSE)))</f>
        <v/>
      </c>
      <c r="AE3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4" spans="1:31" s="52" customFormat="1" x14ac:dyDescent="0.25">
      <c r="A354" s="52">
        <v>11049</v>
      </c>
      <c r="B354" s="52">
        <f>COUNTIF(Table5[PID],A354)</f>
        <v>1</v>
      </c>
      <c r="C354" s="52" t="str">
        <f>IF(COUNTIF(Table3[[#All],[PID]],A354)&gt;0,"P","B")</f>
        <v>B</v>
      </c>
      <c r="D354" s="61" t="str">
        <f>IF($C354="B",INDEX(Batters[[#All],[POS]],MATCH(Table5[[#This Row],[PID]],Batters[[#All],[PID]],0)),INDEX(Table3[[#All],[POS]],MATCH(Table5[[#This Row],[PID]],Table3[[#All],[PID]],0)))</f>
        <v>1B</v>
      </c>
      <c r="E354" s="54" t="str">
        <f>IF($C354="B",INDEX(Batters[[#All],[First]],MATCH(Table5[[#This Row],[PID]],Batters[[#All],[PID]],0)),INDEX(Table3[[#All],[First]],MATCH(Table5[[#This Row],[PID]],Table3[[#All],[PID]],0)))</f>
        <v>Shimei</v>
      </c>
      <c r="F354" s="52" t="str">
        <f>IF($C354="B",INDEX(Batters[[#All],[Last]],MATCH(A354,Batters[[#All],[PID]],0)),INDEX(Table3[[#All],[Last]],MATCH(A354,Table3[[#All],[PID]],0)))</f>
        <v>Saikawa</v>
      </c>
      <c r="G354" s="58">
        <f>IF($C354="B",INDEX(Batters[[#All],[Age]],MATCH(Table5[[#This Row],[PID]],Batters[[#All],[PID]],0)),INDEX(Table3[[#All],[Age]],MATCH(Table5[[#This Row],[PID]],Table3[[#All],[PID]],0)))</f>
        <v>18</v>
      </c>
      <c r="H354" s="54" t="str">
        <f>IF($C354="B",INDEX(Batters[[#All],[B]],MATCH(Table5[[#This Row],[PID]],Batters[[#All],[PID]],0)),INDEX(Table3[[#All],[B]],MATCH(Table5[[#This Row],[PID]],Table3[[#All],[PID]],0)))</f>
        <v>R</v>
      </c>
      <c r="I354" s="54" t="str">
        <f>IF($C354="B",INDEX(Batters[[#All],[T]],MATCH(Table5[[#This Row],[PID]],Batters[[#All],[PID]],0)),INDEX(Table3[[#All],[T]],MATCH(Table5[[#This Row],[PID]],Table3[[#All],[PID]],0)))</f>
        <v>L</v>
      </c>
      <c r="J354" s="54" t="str">
        <f>IF($C354="B",INDEX(Batters[[#All],[WE]],MATCH(Table5[[#This Row],[PID]],Batters[[#All],[PID]],0)),INDEX(Table3[[#All],[WE]],MATCH(Table5[[#This Row],[PID]],Table3[[#All],[PID]],0)))</f>
        <v>Normal</v>
      </c>
      <c r="K354" s="54" t="str">
        <f>IF($C354="B",INDEX(Batters[[#All],[INT]],MATCH(Table5[[#This Row],[PID]],Batters[[#All],[PID]],0)),INDEX(Table3[[#All],[INT]],MATCH(Table5[[#This Row],[PID]],Table3[[#All],[PID]],0)))</f>
        <v>Normal</v>
      </c>
      <c r="L354" s="62">
        <f>IF($C354="B",INDEX(Batters[[#All],[CON P]],MATCH(Table5[[#This Row],[PID]],Batters[[#All],[PID]],0)),INDEX(Table3[[#All],[STU P]],MATCH(Table5[[#This Row],[PID]],Table3[[#All],[PID]],0)))</f>
        <v>3</v>
      </c>
      <c r="M354" s="58">
        <f>IF($C354="B",INDEX(Batters[[#All],[GAP P]],MATCH(Table5[[#This Row],[PID]],Batters[[#All],[PID]],0)),INDEX(Table3[[#All],[MOV P]],MATCH(Table5[[#This Row],[PID]],Table3[[#All],[PID]],0)))</f>
        <v>3</v>
      </c>
      <c r="N354" s="58">
        <f>IF($C354="B",INDEX(Batters[[#All],[POW P]],MATCH(Table5[[#This Row],[PID]],Batters[[#All],[PID]],0)),INDEX(Table3[[#All],[CON P]],MATCH(Table5[[#This Row],[PID]],Table3[[#All],[PID]],0)))</f>
        <v>4</v>
      </c>
      <c r="O354" s="58">
        <f>IF($C354="B",INDEX(Batters[[#All],[EYE P]],MATCH(Table5[[#This Row],[PID]],Batters[[#All],[PID]],0)),INDEX(Table3[[#All],[VELO]],MATCH(Table5[[#This Row],[PID]],Table3[[#All],[PID]],0)))</f>
        <v>4</v>
      </c>
      <c r="P354" s="58">
        <f>IF($C354="B",INDEX(Batters[[#All],[K P]],MATCH(Table5[[#This Row],[PID]],Batters[[#All],[PID]],0)),INDEX(Table3[[#All],[STM]],MATCH(Table5[[#This Row],[PID]],Table3[[#All],[PID]],0)))</f>
        <v>4</v>
      </c>
      <c r="Q354" s="63">
        <f>IF($C354="B",INDEX(Batters[[#All],[Tot]],MATCH(Table5[[#This Row],[PID]],Batters[[#All],[PID]],0)),INDEX(Table3[[#All],[Tot]],MATCH(Table5[[#This Row],[PID]],Table3[[#All],[PID]],0)))</f>
        <v>41.810542915470592</v>
      </c>
      <c r="R354" s="54">
        <f>IF($C354="B",INDEX(Batters[[#All],[zScore]],MATCH(Table5[[#This Row],[PID]],Batters[[#All],[PID]],0)),INDEX(Table3[[#All],[zScore]],MATCH(Table5[[#This Row],[PID]],Table3[[#All],[PID]],0)))</f>
        <v>0.25728118444805664</v>
      </c>
      <c r="S354" s="60" t="str">
        <f>IF($C354="B",INDEX(Batters[[#All],[DEM]],MATCH(Table5[[#This Row],[PID]],Batters[[#All],[PID]],0)),INDEX(Table3[[#All],[DEM]],MATCH(Table5[[#This Row],[PID]],Table3[[#All],[PID]],0)))</f>
        <v>$80k</v>
      </c>
      <c r="T354" s="64">
        <f>IF($C354="B",VLOOKUP($A354,Bat!$A$4:$AU$1417,46,FALSE),VLOOKUP($A354,Pit!$A$4:$BD$570,55,FALSE))</f>
        <v>0</v>
      </c>
      <c r="U354" s="52">
        <f>IF($C354="B",VLOOKUP($A354,Bat!$A$4:$BA$1417,47,FALSE),VLOOKUP($A354,Pit!$A$4:$BF$570,56,FALSE))</f>
        <v>0</v>
      </c>
      <c r="V354" s="52">
        <f>IF($C354="B",VLOOKUP($A354,Bat!$A$4:$BA$1417,48,FALSE),VLOOKUP($A354,Pit!$A$4:$BF$570,57,FALSE))</f>
        <v>0</v>
      </c>
      <c r="W354" s="52">
        <f>Table5[[#This Row],[posRnk]]+Table5[[#This Row],[zRnk]]+IF($W$3&lt;&gt;Table5[[#This Row],[Type]],50,0)</f>
        <v>400</v>
      </c>
      <c r="X354" s="53">
        <f>RANK(Table5[[#This Row],[zScore]],Table5[[#All],[zScore]])</f>
        <v>350</v>
      </c>
      <c r="Y354" s="52" t="str">
        <f>IFERROR(INDEX(DraftResults[[#All],[OVR]],MATCH(Table5[[#This Row],[PID]],DraftResults[[#All],[Player ID]],0)),"")</f>
        <v/>
      </c>
      <c r="Z3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4" s="52" t="str">
        <f>IFERROR(INDEX(DraftResults[[#All],[Pick in Round]],MATCH(Table5[[#This Row],[PID]],DraftResults[[#All],[Player ID]],0)),"")</f>
        <v/>
      </c>
      <c r="AB354" s="52" t="str">
        <f>IFERROR(INDEX(DraftResults[[#All],[Team Name]],MATCH(Table5[[#This Row],[PID]],DraftResults[[#All],[Player ID]],0)),"")</f>
        <v/>
      </c>
      <c r="AC354" s="52" t="str">
        <f>IF(Table5[[#This Row],[Ovr]]="","",IF(Table5[[#This Row],[cmbList]]="","",Table5[[#This Row],[cmbList]]-Table5[[#This Row],[Ovr]]))</f>
        <v/>
      </c>
      <c r="AD354" s="56" t="str">
        <f>IF(ISERROR(VLOOKUP($AB354&amp;"-"&amp;$E354&amp;" "&amp;F354,Bonuses!$B$1:$G$1006,4,FALSE)),"",INT(VLOOKUP($AB354&amp;"-"&amp;$E354&amp;" "&amp;$F354,Bonuses!$B$1:$G$1006,4,FALSE)))</f>
        <v/>
      </c>
      <c r="AE3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5" spans="1:31" s="52" customFormat="1" x14ac:dyDescent="0.25">
      <c r="A355" s="52">
        <v>14069</v>
      </c>
      <c r="B355" s="52">
        <f>COUNTIF(Table5[PID],A355)</f>
        <v>1</v>
      </c>
      <c r="C355" s="52" t="str">
        <f>IF(COUNTIF(Table3[[#All],[PID]],A355)&gt;0,"P","B")</f>
        <v>B</v>
      </c>
      <c r="D355" s="61" t="str">
        <f>IF($C355="B",INDEX(Batters[[#All],[POS]],MATCH(Table5[[#This Row],[PID]],Batters[[#All],[PID]],0)),INDEX(Table3[[#All],[POS]],MATCH(Table5[[#This Row],[PID]],Table3[[#All],[PID]],0)))</f>
        <v>2B</v>
      </c>
      <c r="E355" s="54" t="str">
        <f>IF($C355="B",INDEX(Batters[[#All],[First]],MATCH(Table5[[#This Row],[PID]],Batters[[#All],[PID]],0)),INDEX(Table3[[#All],[First]],MATCH(Table5[[#This Row],[PID]],Table3[[#All],[PID]],0)))</f>
        <v>Hisanobu</v>
      </c>
      <c r="F355" s="52" t="str">
        <f>IF($C355="B",INDEX(Batters[[#All],[Last]],MATCH(A355,Batters[[#All],[PID]],0)),INDEX(Table3[[#All],[Last]],MATCH(A355,Table3[[#All],[PID]],0)))</f>
        <v>Kanno</v>
      </c>
      <c r="G355" s="58">
        <f>IF($C355="B",INDEX(Batters[[#All],[Age]],MATCH(Table5[[#This Row],[PID]],Batters[[#All],[PID]],0)),INDEX(Table3[[#All],[Age]],MATCH(Table5[[#This Row],[PID]],Table3[[#All],[PID]],0)))</f>
        <v>18</v>
      </c>
      <c r="H355" s="54" t="str">
        <f>IF($C355="B",INDEX(Batters[[#All],[B]],MATCH(Table5[[#This Row],[PID]],Batters[[#All],[PID]],0)),INDEX(Table3[[#All],[B]],MATCH(Table5[[#This Row],[PID]],Table3[[#All],[PID]],0)))</f>
        <v>R</v>
      </c>
      <c r="I355" s="54" t="str">
        <f>IF($C355="B",INDEX(Batters[[#All],[T]],MATCH(Table5[[#This Row],[PID]],Batters[[#All],[PID]],0)),INDEX(Table3[[#All],[T]],MATCH(Table5[[#This Row],[PID]],Table3[[#All],[PID]],0)))</f>
        <v>R</v>
      </c>
      <c r="J355" s="54" t="str">
        <f>IF($C355="B",INDEX(Batters[[#All],[WE]],MATCH(Table5[[#This Row],[PID]],Batters[[#All],[PID]],0)),INDEX(Table3[[#All],[WE]],MATCH(Table5[[#This Row],[PID]],Table3[[#All],[PID]],0)))</f>
        <v>Low</v>
      </c>
      <c r="K355" s="54" t="str">
        <f>IF($C355="B",INDEX(Batters[[#All],[INT]],MATCH(Table5[[#This Row],[PID]],Batters[[#All],[PID]],0)),INDEX(Table3[[#All],[INT]],MATCH(Table5[[#This Row],[PID]],Table3[[#All],[PID]],0)))</f>
        <v>Normal</v>
      </c>
      <c r="L355" s="62">
        <f>IF($C355="B",INDEX(Batters[[#All],[CON P]],MATCH(Table5[[#This Row],[PID]],Batters[[#All],[PID]],0)),INDEX(Table3[[#All],[STU P]],MATCH(Table5[[#This Row],[PID]],Table3[[#All],[PID]],0)))</f>
        <v>3</v>
      </c>
      <c r="M355" s="58">
        <f>IF($C355="B",INDEX(Batters[[#All],[GAP P]],MATCH(Table5[[#This Row],[PID]],Batters[[#All],[PID]],0)),INDEX(Table3[[#All],[MOV P]],MATCH(Table5[[#This Row],[PID]],Table3[[#All],[PID]],0)))</f>
        <v>3</v>
      </c>
      <c r="N355" s="58">
        <f>IF($C355="B",INDEX(Batters[[#All],[POW P]],MATCH(Table5[[#This Row],[PID]],Batters[[#All],[PID]],0)),INDEX(Table3[[#All],[CON P]],MATCH(Table5[[#This Row],[PID]],Table3[[#All],[PID]],0)))</f>
        <v>3</v>
      </c>
      <c r="O355" s="58">
        <f>IF($C355="B",INDEX(Batters[[#All],[EYE P]],MATCH(Table5[[#This Row],[PID]],Batters[[#All],[PID]],0)),INDEX(Table3[[#All],[VELO]],MATCH(Table5[[#This Row],[PID]],Table3[[#All],[PID]],0)))</f>
        <v>6</v>
      </c>
      <c r="P355" s="58">
        <f>IF($C355="B",INDEX(Batters[[#All],[K P]],MATCH(Table5[[#This Row],[PID]],Batters[[#All],[PID]],0)),INDEX(Table3[[#All],[STM]],MATCH(Table5[[#This Row],[PID]],Table3[[#All],[PID]],0)))</f>
        <v>3</v>
      </c>
      <c r="Q355" s="63">
        <f>IF($C355="B",INDEX(Batters[[#All],[Tot]],MATCH(Table5[[#This Row],[PID]],Batters[[#All],[PID]],0)),INDEX(Table3[[#All],[Tot]],MATCH(Table5[[#This Row],[PID]],Table3[[#All],[PID]],0)))</f>
        <v>41.799940763961303</v>
      </c>
      <c r="R355" s="54">
        <f>IF($C355="B",INDEX(Batters[[#All],[zScore]],MATCH(Table5[[#This Row],[PID]],Batters[[#All],[PID]],0)),INDEX(Table3[[#All],[zScore]],MATCH(Table5[[#This Row],[PID]],Table3[[#All],[PID]],0)))</f>
        <v>0.25541580635511263</v>
      </c>
      <c r="S355" s="60" t="str">
        <f>IF($C355="B",INDEX(Batters[[#All],[DEM]],MATCH(Table5[[#This Row],[PID]],Batters[[#All],[PID]],0)),INDEX(Table3[[#All],[DEM]],MATCH(Table5[[#This Row],[PID]],Table3[[#All],[PID]],0)))</f>
        <v>$70k</v>
      </c>
      <c r="T355" s="64">
        <f>IF($C355="B",VLOOKUP($A355,Bat!$A$4:$AU$1417,46,FALSE),VLOOKUP($A355,Pit!$A$4:$BD$570,55,FALSE))</f>
        <v>0</v>
      </c>
      <c r="U355" s="52">
        <f>IF($C355="B",VLOOKUP($A355,Bat!$A$4:$BA$1417,47,FALSE),VLOOKUP($A355,Pit!$A$4:$BF$570,56,FALSE))</f>
        <v>0</v>
      </c>
      <c r="V355" s="52">
        <f>IF($C355="B",VLOOKUP($A355,Bat!$A$4:$BA$1417,48,FALSE),VLOOKUP($A355,Pit!$A$4:$BF$570,57,FALSE))</f>
        <v>0</v>
      </c>
      <c r="W355" s="52">
        <f>Table5[[#This Row],[posRnk]]+Table5[[#This Row],[zRnk]]+IF($W$3&lt;&gt;Table5[[#This Row],[Type]],50,0)</f>
        <v>401</v>
      </c>
      <c r="X355" s="53">
        <f>RANK(Table5[[#This Row],[zScore]],Table5[[#All],[zScore]])</f>
        <v>351</v>
      </c>
      <c r="Y355" s="52" t="str">
        <f>IFERROR(INDEX(DraftResults[[#All],[OVR]],MATCH(Table5[[#This Row],[PID]],DraftResults[[#All],[Player ID]],0)),"")</f>
        <v/>
      </c>
      <c r="Z3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5" s="52" t="str">
        <f>IFERROR(INDEX(DraftResults[[#All],[Pick in Round]],MATCH(Table5[[#This Row],[PID]],DraftResults[[#All],[Player ID]],0)),"")</f>
        <v/>
      </c>
      <c r="AB355" s="52" t="str">
        <f>IFERROR(INDEX(DraftResults[[#All],[Team Name]],MATCH(Table5[[#This Row],[PID]],DraftResults[[#All],[Player ID]],0)),"")</f>
        <v/>
      </c>
      <c r="AC355" s="52" t="str">
        <f>IF(Table5[[#This Row],[Ovr]]="","",IF(Table5[[#This Row],[cmbList]]="","",Table5[[#This Row],[cmbList]]-Table5[[#This Row],[Ovr]]))</f>
        <v/>
      </c>
      <c r="AD355" s="56" t="str">
        <f>IF(ISERROR(VLOOKUP($AB355&amp;"-"&amp;$E355&amp;" "&amp;F355,Bonuses!$B$1:$G$1006,4,FALSE)),"",INT(VLOOKUP($AB355&amp;"-"&amp;$E355&amp;" "&amp;$F355,Bonuses!$B$1:$G$1006,4,FALSE)))</f>
        <v/>
      </c>
      <c r="AE3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6" spans="1:31" s="52" customFormat="1" x14ac:dyDescent="0.25">
      <c r="A356" s="52">
        <v>13144</v>
      </c>
      <c r="B356" s="52">
        <f>COUNTIF(Table5[PID],A356)</f>
        <v>1</v>
      </c>
      <c r="C356" s="52" t="str">
        <f>IF(COUNTIF(Table3[[#All],[PID]],A356)&gt;0,"P","B")</f>
        <v>P</v>
      </c>
      <c r="D356" s="61" t="str">
        <f>IF($C356="B",INDEX(Batters[[#All],[POS]],MATCH(Table5[[#This Row],[PID]],Batters[[#All],[PID]],0)),INDEX(Table3[[#All],[POS]],MATCH(Table5[[#This Row],[PID]],Table3[[#All],[PID]],0)))</f>
        <v>RP</v>
      </c>
      <c r="E356" s="54" t="str">
        <f>IF($C356="B",INDEX(Batters[[#All],[First]],MATCH(Table5[[#This Row],[PID]],Batters[[#All],[PID]],0)),INDEX(Table3[[#All],[First]],MATCH(Table5[[#This Row],[PID]],Table3[[#All],[PID]],0)))</f>
        <v>Andrew</v>
      </c>
      <c r="F356" s="52" t="str">
        <f>IF($C356="B",INDEX(Batters[[#All],[Last]],MATCH(A356,Batters[[#All],[PID]],0)),INDEX(Table3[[#All],[Last]],MATCH(A356,Table3[[#All],[PID]],0)))</f>
        <v>MacRae</v>
      </c>
      <c r="G356" s="58">
        <f>IF($C356="B",INDEX(Batters[[#All],[Age]],MATCH(Table5[[#This Row],[PID]],Batters[[#All],[PID]],0)),INDEX(Table3[[#All],[Age]],MATCH(Table5[[#This Row],[PID]],Table3[[#All],[PID]],0)))</f>
        <v>18</v>
      </c>
      <c r="H356" s="54" t="str">
        <f>IF($C356="B",INDEX(Batters[[#All],[B]],MATCH(Table5[[#This Row],[PID]],Batters[[#All],[PID]],0)),INDEX(Table3[[#All],[B]],MATCH(Table5[[#This Row],[PID]],Table3[[#All],[PID]],0)))</f>
        <v>L</v>
      </c>
      <c r="I356" s="54" t="str">
        <f>IF($C356="B",INDEX(Batters[[#All],[T]],MATCH(Table5[[#This Row],[PID]],Batters[[#All],[PID]],0)),INDEX(Table3[[#All],[T]],MATCH(Table5[[#This Row],[PID]],Table3[[#All],[PID]],0)))</f>
        <v>L</v>
      </c>
      <c r="J356" s="54" t="str">
        <f>IF($C356="B",INDEX(Batters[[#All],[WE]],MATCH(Table5[[#This Row],[PID]],Batters[[#All],[PID]],0)),INDEX(Table3[[#All],[WE]],MATCH(Table5[[#This Row],[PID]],Table3[[#All],[PID]],0)))</f>
        <v>High</v>
      </c>
      <c r="K356" s="54" t="str">
        <f>IF($C356="B",INDEX(Batters[[#All],[INT]],MATCH(Table5[[#This Row],[PID]],Batters[[#All],[PID]],0)),INDEX(Table3[[#All],[INT]],MATCH(Table5[[#This Row],[PID]],Table3[[#All],[PID]],0)))</f>
        <v>Normal</v>
      </c>
      <c r="L356" s="62">
        <f>IF($C356="B",INDEX(Batters[[#All],[CON P]],MATCH(Table5[[#This Row],[PID]],Batters[[#All],[PID]],0)),INDEX(Table3[[#All],[STU P]],MATCH(Table5[[#This Row],[PID]],Table3[[#All],[PID]],0)))</f>
        <v>5</v>
      </c>
      <c r="M356" s="58">
        <f>IF($C356="B",INDEX(Batters[[#All],[GAP P]],MATCH(Table5[[#This Row],[PID]],Batters[[#All],[PID]],0)),INDEX(Table3[[#All],[MOV P]],MATCH(Table5[[#This Row],[PID]],Table3[[#All],[PID]],0)))</f>
        <v>2</v>
      </c>
      <c r="N356" s="58">
        <f>IF($C356="B",INDEX(Batters[[#All],[POW P]],MATCH(Table5[[#This Row],[PID]],Batters[[#All],[PID]],0)),INDEX(Table3[[#All],[CON P]],MATCH(Table5[[#This Row],[PID]],Table3[[#All],[PID]],0)))</f>
        <v>2</v>
      </c>
      <c r="O356" s="58" t="str">
        <f>IF($C356="B",INDEX(Batters[[#All],[EYE P]],MATCH(Table5[[#This Row],[PID]],Batters[[#All],[PID]],0)),INDEX(Table3[[#All],[VELO]],MATCH(Table5[[#This Row],[PID]],Table3[[#All],[PID]],0)))</f>
        <v>90-92 Mph</v>
      </c>
      <c r="P356" s="58">
        <f>IF($C356="B",INDEX(Batters[[#All],[K P]],MATCH(Table5[[#This Row],[PID]],Batters[[#All],[PID]],0)),INDEX(Table3[[#All],[STM]],MATCH(Table5[[#This Row],[PID]],Table3[[#All],[PID]],0)))</f>
        <v>6</v>
      </c>
      <c r="Q356" s="63">
        <f>IF($C356="B",INDEX(Batters[[#All],[Tot]],MATCH(Table5[[#This Row],[PID]],Batters[[#All],[PID]],0)),INDEX(Table3[[#All],[Tot]],MATCH(Table5[[#This Row],[PID]],Table3[[#All],[PID]],0)))</f>
        <v>35.479582385740969</v>
      </c>
      <c r="R356" s="54">
        <f>IF($C356="B",INDEX(Batters[[#All],[zScore]],MATCH(Table5[[#This Row],[PID]],Batters[[#All],[PID]],0)),INDEX(Table3[[#All],[zScore]],MATCH(Table5[[#This Row],[PID]],Table3[[#All],[PID]],0)))</f>
        <v>0.25285908653767997</v>
      </c>
      <c r="S356" s="60" t="str">
        <f>IF($C356="B",INDEX(Batters[[#All],[DEM]],MATCH(Table5[[#This Row],[PID]],Batters[[#All],[PID]],0)),INDEX(Table3[[#All],[DEM]],MATCH(Table5[[#This Row],[PID]],Table3[[#All],[PID]],0)))</f>
        <v>$65k</v>
      </c>
      <c r="T356" s="64">
        <f>IF($C356="B",VLOOKUP($A356,Bat!$A$4:$AU$1417,46,FALSE),VLOOKUP($A356,Pit!$A$4:$BD$570,55,FALSE))</f>
        <v>0</v>
      </c>
      <c r="U356" s="52">
        <f>IF($C356="B",VLOOKUP($A356,Bat!$A$4:$BA$1417,47,FALSE),VLOOKUP($A356,Pit!$A$4:$BF$570,56,FALSE))</f>
        <v>0</v>
      </c>
      <c r="V356" s="52">
        <f>IF($C356="B",VLOOKUP($A356,Bat!$A$4:$BA$1417,48,FALSE),VLOOKUP($A356,Pit!$A$4:$BF$570,57,FALSE))</f>
        <v>0</v>
      </c>
      <c r="W356" s="52">
        <f>Table5[[#This Row],[posRnk]]+Table5[[#This Row],[zRnk]]+IF($W$3&lt;&gt;Table5[[#This Row],[Type]],50,0)</f>
        <v>402</v>
      </c>
      <c r="X356" s="53">
        <f>RANK(Table5[[#This Row],[zScore]],Table5[[#All],[zScore]])</f>
        <v>352</v>
      </c>
      <c r="Y356" s="52" t="str">
        <f>IFERROR(INDEX(DraftResults[[#All],[OVR]],MATCH(Table5[[#This Row],[PID]],DraftResults[[#All],[Player ID]],0)),"")</f>
        <v/>
      </c>
      <c r="Z3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6" s="52" t="str">
        <f>IFERROR(INDEX(DraftResults[[#All],[Pick in Round]],MATCH(Table5[[#This Row],[PID]],DraftResults[[#All],[Player ID]],0)),"")</f>
        <v/>
      </c>
      <c r="AB356" s="52" t="str">
        <f>IFERROR(INDEX(DraftResults[[#All],[Team Name]],MATCH(Table5[[#This Row],[PID]],DraftResults[[#All],[Player ID]],0)),"")</f>
        <v/>
      </c>
      <c r="AC356" s="52" t="str">
        <f>IF(Table5[[#This Row],[Ovr]]="","",IF(Table5[[#This Row],[cmbList]]="","",Table5[[#This Row],[cmbList]]-Table5[[#This Row],[Ovr]]))</f>
        <v/>
      </c>
      <c r="AD356" s="56" t="str">
        <f>IF(ISERROR(VLOOKUP($AB356&amp;"-"&amp;$E356&amp;" "&amp;F356,Bonuses!$B$1:$G$1006,4,FALSE)),"",INT(VLOOKUP($AB356&amp;"-"&amp;$E356&amp;" "&amp;$F356,Bonuses!$B$1:$G$1006,4,FALSE)))</f>
        <v/>
      </c>
      <c r="AE3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7" spans="1:31" s="52" customFormat="1" x14ac:dyDescent="0.25">
      <c r="A357" s="52">
        <v>7514</v>
      </c>
      <c r="B357" s="52">
        <f>COUNTIF(Table5[PID],A357)</f>
        <v>1</v>
      </c>
      <c r="C357" s="52" t="str">
        <f>IF(COUNTIF(Table3[[#All],[PID]],A357)&gt;0,"P","B")</f>
        <v>B</v>
      </c>
      <c r="D357" s="61" t="str">
        <f>IF($C357="B",INDEX(Batters[[#All],[POS]],MATCH(Table5[[#This Row],[PID]],Batters[[#All],[PID]],0)),INDEX(Table3[[#All],[POS]],MATCH(Table5[[#This Row],[PID]],Table3[[#All],[PID]],0)))</f>
        <v>1B</v>
      </c>
      <c r="E357" s="54" t="str">
        <f>IF($C357="B",INDEX(Batters[[#All],[First]],MATCH(Table5[[#This Row],[PID]],Batters[[#All],[PID]],0)),INDEX(Table3[[#All],[First]],MATCH(Table5[[#This Row],[PID]],Table3[[#All],[PID]],0)))</f>
        <v>José</v>
      </c>
      <c r="F357" s="52" t="str">
        <f>IF($C357="B",INDEX(Batters[[#All],[Last]],MATCH(A357,Batters[[#All],[PID]],0)),INDEX(Table3[[#All],[Last]],MATCH(A357,Table3[[#All],[PID]],0)))</f>
        <v>Martínez</v>
      </c>
      <c r="G357" s="58">
        <f>IF($C357="B",INDEX(Batters[[#All],[Age]],MATCH(Table5[[#This Row],[PID]],Batters[[#All],[PID]],0)),INDEX(Table3[[#All],[Age]],MATCH(Table5[[#This Row],[PID]],Table3[[#All],[PID]],0)))</f>
        <v>18</v>
      </c>
      <c r="H357" s="54" t="str">
        <f>IF($C357="B",INDEX(Batters[[#All],[B]],MATCH(Table5[[#This Row],[PID]],Batters[[#All],[PID]],0)),INDEX(Table3[[#All],[B]],MATCH(Table5[[#This Row],[PID]],Table3[[#All],[PID]],0)))</f>
        <v>L</v>
      </c>
      <c r="I357" s="54" t="str">
        <f>IF($C357="B",INDEX(Batters[[#All],[T]],MATCH(Table5[[#This Row],[PID]],Batters[[#All],[PID]],0)),INDEX(Table3[[#All],[T]],MATCH(Table5[[#This Row],[PID]],Table3[[#All],[PID]],0)))</f>
        <v>L</v>
      </c>
      <c r="J357" s="54" t="str">
        <f>IF($C357="B",INDEX(Batters[[#All],[WE]],MATCH(Table5[[#This Row],[PID]],Batters[[#All],[PID]],0)),INDEX(Table3[[#All],[WE]],MATCH(Table5[[#This Row],[PID]],Table3[[#All],[PID]],0)))</f>
        <v>High</v>
      </c>
      <c r="K357" s="54" t="str">
        <f>IF($C357="B",INDEX(Batters[[#All],[INT]],MATCH(Table5[[#This Row],[PID]],Batters[[#All],[PID]],0)),INDEX(Table3[[#All],[INT]],MATCH(Table5[[#This Row],[PID]],Table3[[#All],[PID]],0)))</f>
        <v>Normal</v>
      </c>
      <c r="L357" s="62">
        <f>IF($C357="B",INDEX(Batters[[#All],[CON P]],MATCH(Table5[[#This Row],[PID]],Batters[[#All],[PID]],0)),INDEX(Table3[[#All],[STU P]],MATCH(Table5[[#This Row],[PID]],Table3[[#All],[PID]],0)))</f>
        <v>3</v>
      </c>
      <c r="M357" s="58">
        <f>IF($C357="B",INDEX(Batters[[#All],[GAP P]],MATCH(Table5[[#This Row],[PID]],Batters[[#All],[PID]],0)),INDEX(Table3[[#All],[MOV P]],MATCH(Table5[[#This Row],[PID]],Table3[[#All],[PID]],0)))</f>
        <v>3</v>
      </c>
      <c r="N357" s="58">
        <f>IF($C357="B",INDEX(Batters[[#All],[POW P]],MATCH(Table5[[#This Row],[PID]],Batters[[#All],[PID]],0)),INDEX(Table3[[#All],[CON P]],MATCH(Table5[[#This Row],[PID]],Table3[[#All],[PID]],0)))</f>
        <v>5</v>
      </c>
      <c r="O357" s="58">
        <f>IF($C357="B",INDEX(Batters[[#All],[EYE P]],MATCH(Table5[[#This Row],[PID]],Batters[[#All],[PID]],0)),INDEX(Table3[[#All],[VELO]],MATCH(Table5[[#This Row],[PID]],Table3[[#All],[PID]],0)))</f>
        <v>4</v>
      </c>
      <c r="P357" s="58">
        <f>IF($C357="B",INDEX(Batters[[#All],[K P]],MATCH(Table5[[#This Row],[PID]],Batters[[#All],[PID]],0)),INDEX(Table3[[#All],[STM]],MATCH(Table5[[#This Row],[PID]],Table3[[#All],[PID]],0)))</f>
        <v>2</v>
      </c>
      <c r="Q357" s="63">
        <f>IF($C357="B",INDEX(Batters[[#All],[Tot]],MATCH(Table5[[#This Row],[PID]],Batters[[#All],[PID]],0)),INDEX(Table3[[#All],[Tot]],MATCH(Table5[[#This Row],[PID]],Table3[[#All],[PID]],0)))</f>
        <v>41.751220387499039</v>
      </c>
      <c r="R357" s="54">
        <f>IF($C357="B",INDEX(Batters[[#All],[zScore]],MATCH(Table5[[#This Row],[PID]],Batters[[#All],[PID]],0)),INDEX(Table3[[#All],[zScore]],MATCH(Table5[[#This Row],[PID]],Table3[[#All],[PID]],0)))</f>
        <v>0.24684377992697998</v>
      </c>
      <c r="S357" s="60" t="str">
        <f>IF($C357="B",INDEX(Batters[[#All],[DEM]],MATCH(Table5[[#This Row],[PID]],Batters[[#All],[PID]],0)),INDEX(Table3[[#All],[DEM]],MATCH(Table5[[#This Row],[PID]],Table3[[#All],[PID]],0)))</f>
        <v>$65k</v>
      </c>
      <c r="T357" s="64">
        <f>IF($C357="B",VLOOKUP($A357,Bat!$A$4:$AU$1417,46,FALSE),VLOOKUP($A357,Pit!$A$4:$BD$570,55,FALSE))</f>
        <v>0</v>
      </c>
      <c r="U357" s="52">
        <f>IF($C357="B",VLOOKUP($A357,Bat!$A$4:$BA$1417,47,FALSE),VLOOKUP($A357,Pit!$A$4:$BF$570,56,FALSE))</f>
        <v>0</v>
      </c>
      <c r="V357" s="52">
        <f>IF($C357="B",VLOOKUP($A357,Bat!$A$4:$BA$1417,48,FALSE),VLOOKUP($A357,Pit!$A$4:$BF$570,57,FALSE))</f>
        <v>0</v>
      </c>
      <c r="W357" s="52">
        <f>Table5[[#This Row],[posRnk]]+Table5[[#This Row],[zRnk]]+IF($W$3&lt;&gt;Table5[[#This Row],[Type]],50,0)</f>
        <v>403</v>
      </c>
      <c r="X357" s="53">
        <f>RANK(Table5[[#This Row],[zScore]],Table5[[#All],[zScore]])</f>
        <v>353</v>
      </c>
      <c r="Y357" s="52" t="str">
        <f>IFERROR(INDEX(DraftResults[[#All],[OVR]],MATCH(Table5[[#This Row],[PID]],DraftResults[[#All],[Player ID]],0)),"")</f>
        <v/>
      </c>
      <c r="Z3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7" s="52" t="str">
        <f>IFERROR(INDEX(DraftResults[[#All],[Pick in Round]],MATCH(Table5[[#This Row],[PID]],DraftResults[[#All],[Player ID]],0)),"")</f>
        <v/>
      </c>
      <c r="AB357" s="52" t="str">
        <f>IFERROR(INDEX(DraftResults[[#All],[Team Name]],MATCH(Table5[[#This Row],[PID]],DraftResults[[#All],[Player ID]],0)),"")</f>
        <v/>
      </c>
      <c r="AC357" s="52" t="str">
        <f>IF(Table5[[#This Row],[Ovr]]="","",IF(Table5[[#This Row],[cmbList]]="","",Table5[[#This Row],[cmbList]]-Table5[[#This Row],[Ovr]]))</f>
        <v/>
      </c>
      <c r="AD357" s="56" t="str">
        <f>IF(ISERROR(VLOOKUP($AB357&amp;"-"&amp;$E357&amp;" "&amp;F357,Bonuses!$B$1:$G$1006,4,FALSE)),"",INT(VLOOKUP($AB357&amp;"-"&amp;$E357&amp;" "&amp;$F357,Bonuses!$B$1:$G$1006,4,FALSE)))</f>
        <v/>
      </c>
      <c r="AE3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8" spans="1:31" s="52" customFormat="1" x14ac:dyDescent="0.25">
      <c r="A358" s="52">
        <v>17871</v>
      </c>
      <c r="B358" s="52">
        <f>COUNTIF(Table5[PID],A358)</f>
        <v>1</v>
      </c>
      <c r="C358" s="52" t="str">
        <f>IF(COUNTIF(Table3[[#All],[PID]],A358)&gt;0,"P","B")</f>
        <v>P</v>
      </c>
      <c r="D358" s="61" t="str">
        <f>IF($C358="B",INDEX(Batters[[#All],[POS]],MATCH(Table5[[#This Row],[PID]],Batters[[#All],[PID]],0)),INDEX(Table3[[#All],[POS]],MATCH(Table5[[#This Row],[PID]],Table3[[#All],[PID]],0)))</f>
        <v>RP</v>
      </c>
      <c r="E358" s="54" t="str">
        <f>IF($C358="B",INDEX(Batters[[#All],[First]],MATCH(Table5[[#This Row],[PID]],Batters[[#All],[PID]],0)),INDEX(Table3[[#All],[First]],MATCH(Table5[[#This Row],[PID]],Table3[[#All],[PID]],0)))</f>
        <v>Cedric</v>
      </c>
      <c r="F358" s="52" t="str">
        <f>IF($C358="B",INDEX(Batters[[#All],[Last]],MATCH(A358,Batters[[#All],[PID]],0)),INDEX(Table3[[#All],[Last]],MATCH(A358,Table3[[#All],[PID]],0)))</f>
        <v>Horrocks</v>
      </c>
      <c r="G358" s="58">
        <f>IF($C358="B",INDEX(Batters[[#All],[Age]],MATCH(Table5[[#This Row],[PID]],Batters[[#All],[PID]],0)),INDEX(Table3[[#All],[Age]],MATCH(Table5[[#This Row],[PID]],Table3[[#All],[PID]],0)))</f>
        <v>18</v>
      </c>
      <c r="H358" s="54" t="str">
        <f>IF($C358="B",INDEX(Batters[[#All],[B]],MATCH(Table5[[#This Row],[PID]],Batters[[#All],[PID]],0)),INDEX(Table3[[#All],[B]],MATCH(Table5[[#This Row],[PID]],Table3[[#All],[PID]],0)))</f>
        <v>R</v>
      </c>
      <c r="I358" s="54" t="str">
        <f>IF($C358="B",INDEX(Batters[[#All],[T]],MATCH(Table5[[#This Row],[PID]],Batters[[#All],[PID]],0)),INDEX(Table3[[#All],[T]],MATCH(Table5[[#This Row],[PID]],Table3[[#All],[PID]],0)))</f>
        <v>R</v>
      </c>
      <c r="J358" s="54" t="str">
        <f>IF($C358="B",INDEX(Batters[[#All],[WE]],MATCH(Table5[[#This Row],[PID]],Batters[[#All],[PID]],0)),INDEX(Table3[[#All],[WE]],MATCH(Table5[[#This Row],[PID]],Table3[[#All],[PID]],0)))</f>
        <v>Normal</v>
      </c>
      <c r="K358" s="54" t="str">
        <f>IF($C358="B",INDEX(Batters[[#All],[INT]],MATCH(Table5[[#This Row],[PID]],Batters[[#All],[PID]],0)),INDEX(Table3[[#All],[INT]],MATCH(Table5[[#This Row],[PID]],Table3[[#All],[PID]],0)))</f>
        <v>Normal</v>
      </c>
      <c r="L358" s="62">
        <f>IF($C358="B",INDEX(Batters[[#All],[CON P]],MATCH(Table5[[#This Row],[PID]],Batters[[#All],[PID]],0)),INDEX(Table3[[#All],[STU P]],MATCH(Table5[[#This Row],[PID]],Table3[[#All],[PID]],0)))</f>
        <v>4</v>
      </c>
      <c r="M358" s="58">
        <f>IF($C358="B",INDEX(Batters[[#All],[GAP P]],MATCH(Table5[[#This Row],[PID]],Batters[[#All],[PID]],0)),INDEX(Table3[[#All],[MOV P]],MATCH(Table5[[#This Row],[PID]],Table3[[#All],[PID]],0)))</f>
        <v>2</v>
      </c>
      <c r="N358" s="58">
        <f>IF($C358="B",INDEX(Batters[[#All],[POW P]],MATCH(Table5[[#This Row],[PID]],Batters[[#All],[PID]],0)),INDEX(Table3[[#All],[CON P]],MATCH(Table5[[#This Row],[PID]],Table3[[#All],[PID]],0)))</f>
        <v>3</v>
      </c>
      <c r="O358" s="58" t="str">
        <f>IF($C358="B",INDEX(Batters[[#All],[EYE P]],MATCH(Table5[[#This Row],[PID]],Batters[[#All],[PID]],0)),INDEX(Table3[[#All],[VELO]],MATCH(Table5[[#This Row],[PID]],Table3[[#All],[PID]],0)))</f>
        <v>91-93 Mph</v>
      </c>
      <c r="P358" s="58">
        <f>IF($C358="B",INDEX(Batters[[#All],[K P]],MATCH(Table5[[#This Row],[PID]],Batters[[#All],[PID]],0)),INDEX(Table3[[#All],[STM]],MATCH(Table5[[#This Row],[PID]],Table3[[#All],[PID]],0)))</f>
        <v>7</v>
      </c>
      <c r="Q358" s="63">
        <f>IF($C358="B",INDEX(Batters[[#All],[Tot]],MATCH(Table5[[#This Row],[PID]],Batters[[#All],[PID]],0)),INDEX(Table3[[#All],[Tot]],MATCH(Table5[[#This Row],[PID]],Table3[[#All],[PID]],0)))</f>
        <v>35.411788114013717</v>
      </c>
      <c r="R358" s="54">
        <f>IF($C358="B",INDEX(Batters[[#All],[zScore]],MATCH(Table5[[#This Row],[PID]],Batters[[#All],[PID]],0)),INDEX(Table3[[#All],[zScore]],MATCH(Table5[[#This Row],[PID]],Table3[[#All],[PID]],0)))</f>
        <v>0.24664206206148376</v>
      </c>
      <c r="S358" s="60" t="str">
        <f>IF($C358="B",INDEX(Batters[[#All],[DEM]],MATCH(Table5[[#This Row],[PID]],Batters[[#All],[PID]],0)),INDEX(Table3[[#All],[DEM]],MATCH(Table5[[#This Row],[PID]],Table3[[#All],[PID]],0)))</f>
        <v>$65k</v>
      </c>
      <c r="T358" s="64">
        <f>IF($C358="B",VLOOKUP($A358,Bat!$A$4:$AU$1417,46,FALSE),VLOOKUP($A358,Pit!$A$4:$BD$570,55,FALSE))</f>
        <v>0</v>
      </c>
      <c r="U358" s="52">
        <f>IF($C358="B",VLOOKUP($A358,Bat!$A$4:$BA$1417,47,FALSE),VLOOKUP($A358,Pit!$A$4:$BF$570,56,FALSE))</f>
        <v>0</v>
      </c>
      <c r="V358" s="52">
        <f>IF($C358="B",VLOOKUP($A358,Bat!$A$4:$BA$1417,48,FALSE),VLOOKUP($A358,Pit!$A$4:$BF$570,57,FALSE))</f>
        <v>0</v>
      </c>
      <c r="W358" s="52">
        <f>Table5[[#This Row],[posRnk]]+Table5[[#This Row],[zRnk]]+IF($W$3&lt;&gt;Table5[[#This Row],[Type]],50,0)</f>
        <v>404</v>
      </c>
      <c r="X358" s="53">
        <f>RANK(Table5[[#This Row],[zScore]],Table5[[#All],[zScore]])</f>
        <v>354</v>
      </c>
      <c r="Y358" s="52" t="str">
        <f>IFERROR(INDEX(DraftResults[[#All],[OVR]],MATCH(Table5[[#This Row],[PID]],DraftResults[[#All],[Player ID]],0)),"")</f>
        <v/>
      </c>
      <c r="Z3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8" s="52" t="str">
        <f>IFERROR(INDEX(DraftResults[[#All],[Pick in Round]],MATCH(Table5[[#This Row],[PID]],DraftResults[[#All],[Player ID]],0)),"")</f>
        <v/>
      </c>
      <c r="AB358" s="52" t="str">
        <f>IFERROR(INDEX(DraftResults[[#All],[Team Name]],MATCH(Table5[[#This Row],[PID]],DraftResults[[#All],[Player ID]],0)),"")</f>
        <v/>
      </c>
      <c r="AC358" s="52" t="str">
        <f>IF(Table5[[#This Row],[Ovr]]="","",IF(Table5[[#This Row],[cmbList]]="","",Table5[[#This Row],[cmbList]]-Table5[[#This Row],[Ovr]]))</f>
        <v/>
      </c>
      <c r="AD358" s="56" t="str">
        <f>IF(ISERROR(VLOOKUP($AB358&amp;"-"&amp;$E358&amp;" "&amp;F358,Bonuses!$B$1:$G$1006,4,FALSE)),"",INT(VLOOKUP($AB358&amp;"-"&amp;$E358&amp;" "&amp;$F358,Bonuses!$B$1:$G$1006,4,FALSE)))</f>
        <v/>
      </c>
      <c r="AE3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9" spans="1:31" s="52" customFormat="1" x14ac:dyDescent="0.25">
      <c r="A359" s="52">
        <v>10155</v>
      </c>
      <c r="B359" s="52">
        <f>COUNTIF(Table5[PID],A359)</f>
        <v>1</v>
      </c>
      <c r="C359" s="52" t="str">
        <f>IF(COUNTIF(Table3[[#All],[PID]],A359)&gt;0,"P","B")</f>
        <v>P</v>
      </c>
      <c r="D359" s="61" t="str">
        <f>IF($C359="B",INDEX(Batters[[#All],[POS]],MATCH(Table5[[#This Row],[PID]],Batters[[#All],[PID]],0)),INDEX(Table3[[#All],[POS]],MATCH(Table5[[#This Row],[PID]],Table3[[#All],[PID]],0)))</f>
        <v>SP</v>
      </c>
      <c r="E359" s="54" t="str">
        <f>IF($C359="B",INDEX(Batters[[#All],[First]],MATCH(Table5[[#This Row],[PID]],Batters[[#All],[PID]],0)),INDEX(Table3[[#All],[First]],MATCH(Table5[[#This Row],[PID]],Table3[[#All],[PID]],0)))</f>
        <v>Brian</v>
      </c>
      <c r="F359" s="52" t="str">
        <f>IF($C359="B",INDEX(Batters[[#All],[Last]],MATCH(A359,Batters[[#All],[PID]],0)),INDEX(Table3[[#All],[Last]],MATCH(A359,Table3[[#All],[PID]],0)))</f>
        <v>Arteaga</v>
      </c>
      <c r="G359" s="58">
        <f>IF($C359="B",INDEX(Batters[[#All],[Age]],MATCH(Table5[[#This Row],[PID]],Batters[[#All],[PID]],0)),INDEX(Table3[[#All],[Age]],MATCH(Table5[[#This Row],[PID]],Table3[[#All],[PID]],0)))</f>
        <v>21</v>
      </c>
      <c r="H359" s="54" t="str">
        <f>IF($C359="B",INDEX(Batters[[#All],[B]],MATCH(Table5[[#This Row],[PID]],Batters[[#All],[PID]],0)),INDEX(Table3[[#All],[B]],MATCH(Table5[[#This Row],[PID]],Table3[[#All],[PID]],0)))</f>
        <v>R</v>
      </c>
      <c r="I359" s="54" t="str">
        <f>IF($C359="B",INDEX(Batters[[#All],[T]],MATCH(Table5[[#This Row],[PID]],Batters[[#All],[PID]],0)),INDEX(Table3[[#All],[T]],MATCH(Table5[[#This Row],[PID]],Table3[[#All],[PID]],0)))</f>
        <v>R</v>
      </c>
      <c r="J359" s="54" t="str">
        <f>IF($C359="B",INDEX(Batters[[#All],[WE]],MATCH(Table5[[#This Row],[PID]],Batters[[#All],[PID]],0)),INDEX(Table3[[#All],[WE]],MATCH(Table5[[#This Row],[PID]],Table3[[#All],[PID]],0)))</f>
        <v>Normal</v>
      </c>
      <c r="K359" s="54" t="str">
        <f>IF($C359="B",INDEX(Batters[[#All],[INT]],MATCH(Table5[[#This Row],[PID]],Batters[[#All],[PID]],0)),INDEX(Table3[[#All],[INT]],MATCH(Table5[[#This Row],[PID]],Table3[[#All],[PID]],0)))</f>
        <v>Normal</v>
      </c>
      <c r="L359" s="62">
        <f>IF($C359="B",INDEX(Batters[[#All],[CON P]],MATCH(Table5[[#This Row],[PID]],Batters[[#All],[PID]],0)),INDEX(Table3[[#All],[STU P]],MATCH(Table5[[#This Row],[PID]],Table3[[#All],[PID]],0)))</f>
        <v>5</v>
      </c>
      <c r="M359" s="58">
        <f>IF($C359="B",INDEX(Batters[[#All],[GAP P]],MATCH(Table5[[#This Row],[PID]],Batters[[#All],[PID]],0)),INDEX(Table3[[#All],[MOV P]],MATCH(Table5[[#This Row],[PID]],Table3[[#All],[PID]],0)))</f>
        <v>3</v>
      </c>
      <c r="N359" s="58">
        <f>IF($C359="B",INDEX(Batters[[#All],[POW P]],MATCH(Table5[[#This Row],[PID]],Batters[[#All],[PID]],0)),INDEX(Table3[[#All],[CON P]],MATCH(Table5[[#This Row],[PID]],Table3[[#All],[PID]],0)))</f>
        <v>2</v>
      </c>
      <c r="O359" s="58" t="str">
        <f>IF($C359="B",INDEX(Batters[[#All],[EYE P]],MATCH(Table5[[#This Row],[PID]],Batters[[#All],[PID]],0)),INDEX(Table3[[#All],[VELO]],MATCH(Table5[[#This Row],[PID]],Table3[[#All],[PID]],0)))</f>
        <v>91-93 Mph</v>
      </c>
      <c r="P359" s="58">
        <f>IF($C359="B",INDEX(Batters[[#All],[K P]],MATCH(Table5[[#This Row],[PID]],Batters[[#All],[PID]],0)),INDEX(Table3[[#All],[STM]],MATCH(Table5[[#This Row],[PID]],Table3[[#All],[PID]],0)))</f>
        <v>8</v>
      </c>
      <c r="Q359" s="63">
        <f>IF($C359="B",INDEX(Batters[[#All],[Tot]],MATCH(Table5[[#This Row],[PID]],Batters[[#All],[PID]],0)),INDEX(Table3[[#All],[Tot]],MATCH(Table5[[#This Row],[PID]],Table3[[#All],[PID]],0)))</f>
        <v>35.4069239550021</v>
      </c>
      <c r="R359" s="54">
        <f>IF($C359="B",INDEX(Batters[[#All],[zScore]],MATCH(Table5[[#This Row],[PID]],Batters[[#All],[PID]],0)),INDEX(Table3[[#All],[zScore]],MATCH(Table5[[#This Row],[PID]],Table3[[#All],[PID]],0)))</f>
        <v>0.24619599789026586</v>
      </c>
      <c r="S359" s="60" t="str">
        <f>IF($C359="B",INDEX(Batters[[#All],[DEM]],MATCH(Table5[[#This Row],[PID]],Batters[[#All],[PID]],0)),INDEX(Table3[[#All],[DEM]],MATCH(Table5[[#This Row],[PID]],Table3[[#All],[PID]],0)))</f>
        <v>$110k</v>
      </c>
      <c r="T359" s="64">
        <f>IF($C359="B",VLOOKUP($A359,Bat!$A$4:$AU$1417,46,FALSE),VLOOKUP($A359,Pit!$A$4:$BD$570,55,FALSE))</f>
        <v>0</v>
      </c>
      <c r="U359" s="52">
        <f>IF($C359="B",VLOOKUP($A359,Bat!$A$4:$BA$1417,47,FALSE),VLOOKUP($A359,Pit!$A$4:$BF$570,56,FALSE))</f>
        <v>0</v>
      </c>
      <c r="V359" s="52">
        <f>IF($C359="B",VLOOKUP($A359,Bat!$A$4:$BA$1417,48,FALSE),VLOOKUP($A359,Pit!$A$4:$BF$570,57,FALSE))</f>
        <v>0</v>
      </c>
      <c r="W359" s="52">
        <f>Table5[[#This Row],[posRnk]]+Table5[[#This Row],[zRnk]]+IF($W$3&lt;&gt;Table5[[#This Row],[Type]],50,0)</f>
        <v>405</v>
      </c>
      <c r="X359" s="53">
        <f>RANK(Table5[[#This Row],[zScore]],Table5[[#All],[zScore]])</f>
        <v>355</v>
      </c>
      <c r="Y359" s="52" t="str">
        <f>IFERROR(INDEX(DraftResults[[#All],[OVR]],MATCH(Table5[[#This Row],[PID]],DraftResults[[#All],[Player ID]],0)),"")</f>
        <v/>
      </c>
      <c r="Z3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9" s="52" t="str">
        <f>IFERROR(INDEX(DraftResults[[#All],[Pick in Round]],MATCH(Table5[[#This Row],[PID]],DraftResults[[#All],[Player ID]],0)),"")</f>
        <v/>
      </c>
      <c r="AB359" s="52" t="str">
        <f>IFERROR(INDEX(DraftResults[[#All],[Team Name]],MATCH(Table5[[#This Row],[PID]],DraftResults[[#All],[Player ID]],0)),"")</f>
        <v/>
      </c>
      <c r="AC359" s="52" t="str">
        <f>IF(Table5[[#This Row],[Ovr]]="","",IF(Table5[[#This Row],[cmbList]]="","",Table5[[#This Row],[cmbList]]-Table5[[#This Row],[Ovr]]))</f>
        <v/>
      </c>
      <c r="AD359" s="56" t="str">
        <f>IF(ISERROR(VLOOKUP($AB359&amp;"-"&amp;$E359&amp;" "&amp;F359,Bonuses!$B$1:$G$1006,4,FALSE)),"",INT(VLOOKUP($AB359&amp;"-"&amp;$E359&amp;" "&amp;$F359,Bonuses!$B$1:$G$1006,4,FALSE)))</f>
        <v/>
      </c>
      <c r="AE3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0" spans="1:31" s="52" customFormat="1" x14ac:dyDescent="0.25">
      <c r="A360" s="52">
        <v>7382</v>
      </c>
      <c r="B360" s="52">
        <f>COUNTIF(Table5[PID],A360)</f>
        <v>1</v>
      </c>
      <c r="C360" s="52" t="str">
        <f>IF(COUNTIF(Table3[[#All],[PID]],A360)&gt;0,"P","B")</f>
        <v>P</v>
      </c>
      <c r="D360" s="61" t="str">
        <f>IF($C360="B",INDEX(Batters[[#All],[POS]],MATCH(Table5[[#This Row],[PID]],Batters[[#All],[PID]],0)),INDEX(Table3[[#All],[POS]],MATCH(Table5[[#This Row],[PID]],Table3[[#All],[PID]],0)))</f>
        <v>SP</v>
      </c>
      <c r="E360" s="54" t="str">
        <f>IF($C360="B",INDEX(Batters[[#All],[First]],MATCH(Table5[[#This Row],[PID]],Batters[[#All],[PID]],0)),INDEX(Table3[[#All],[First]],MATCH(Table5[[#This Row],[PID]],Table3[[#All],[PID]],0)))</f>
        <v>Kokushi</v>
      </c>
      <c r="F360" s="52" t="str">
        <f>IF($C360="B",INDEX(Batters[[#All],[Last]],MATCH(A360,Batters[[#All],[PID]],0)),INDEX(Table3[[#All],[Last]],MATCH(A360,Table3[[#All],[PID]],0)))</f>
        <v>Onishi</v>
      </c>
      <c r="G360" s="58">
        <f>IF($C360="B",INDEX(Batters[[#All],[Age]],MATCH(Table5[[#This Row],[PID]],Batters[[#All],[PID]],0)),INDEX(Table3[[#All],[Age]],MATCH(Table5[[#This Row],[PID]],Table3[[#All],[PID]],0)))</f>
        <v>21</v>
      </c>
      <c r="H360" s="54" t="str">
        <f>IF($C360="B",INDEX(Batters[[#All],[B]],MATCH(Table5[[#This Row],[PID]],Batters[[#All],[PID]],0)),INDEX(Table3[[#All],[B]],MATCH(Table5[[#This Row],[PID]],Table3[[#All],[PID]],0)))</f>
        <v>R</v>
      </c>
      <c r="I360" s="54" t="str">
        <f>IF($C360="B",INDEX(Batters[[#All],[T]],MATCH(Table5[[#This Row],[PID]],Batters[[#All],[PID]],0)),INDEX(Table3[[#All],[T]],MATCH(Table5[[#This Row],[PID]],Table3[[#All],[PID]],0)))</f>
        <v>R</v>
      </c>
      <c r="J360" s="54" t="str">
        <f>IF($C360="B",INDEX(Batters[[#All],[WE]],MATCH(Table5[[#This Row],[PID]],Batters[[#All],[PID]],0)),INDEX(Table3[[#All],[WE]],MATCH(Table5[[#This Row],[PID]],Table3[[#All],[PID]],0)))</f>
        <v>Low</v>
      </c>
      <c r="K360" s="54" t="str">
        <f>IF($C360="B",INDEX(Batters[[#All],[INT]],MATCH(Table5[[#This Row],[PID]],Batters[[#All],[PID]],0)),INDEX(Table3[[#All],[INT]],MATCH(Table5[[#This Row],[PID]],Table3[[#All],[PID]],0)))</f>
        <v>Normal</v>
      </c>
      <c r="L360" s="62">
        <f>IF($C360="B",INDEX(Batters[[#All],[CON P]],MATCH(Table5[[#This Row],[PID]],Batters[[#All],[PID]],0)),INDEX(Table3[[#All],[STU P]],MATCH(Table5[[#This Row],[PID]],Table3[[#All],[PID]],0)))</f>
        <v>5</v>
      </c>
      <c r="M360" s="58">
        <f>IF($C360="B",INDEX(Batters[[#All],[GAP P]],MATCH(Table5[[#This Row],[PID]],Batters[[#All],[PID]],0)),INDEX(Table3[[#All],[MOV P]],MATCH(Table5[[#This Row],[PID]],Table3[[#All],[PID]],0)))</f>
        <v>2</v>
      </c>
      <c r="N360" s="58">
        <f>IF($C360="B",INDEX(Batters[[#All],[POW P]],MATCH(Table5[[#This Row],[PID]],Batters[[#All],[PID]],0)),INDEX(Table3[[#All],[CON P]],MATCH(Table5[[#This Row],[PID]],Table3[[#All],[PID]],0)))</f>
        <v>3</v>
      </c>
      <c r="O360" s="58" t="str">
        <f>IF($C360="B",INDEX(Batters[[#All],[EYE P]],MATCH(Table5[[#This Row],[PID]],Batters[[#All],[PID]],0)),INDEX(Table3[[#All],[VELO]],MATCH(Table5[[#This Row],[PID]],Table3[[#All],[PID]],0)))</f>
        <v>93-95 Mph</v>
      </c>
      <c r="P360" s="58">
        <f>IF($C360="B",INDEX(Batters[[#All],[K P]],MATCH(Table5[[#This Row],[PID]],Batters[[#All],[PID]],0)),INDEX(Table3[[#All],[STM]],MATCH(Table5[[#This Row],[PID]],Table3[[#All],[PID]],0)))</f>
        <v>7</v>
      </c>
      <c r="Q360" s="63">
        <f>IF($C360="B",INDEX(Batters[[#All],[Tot]],MATCH(Table5[[#This Row],[PID]],Batters[[#All],[PID]],0)),INDEX(Table3[[#All],[Tot]],MATCH(Table5[[#This Row],[PID]],Table3[[#All],[PID]],0)))</f>
        <v>35.395317630260138</v>
      </c>
      <c r="R360" s="54">
        <f>IF($C360="B",INDEX(Batters[[#All],[zScore]],MATCH(Table5[[#This Row],[PID]],Batters[[#All],[PID]],0)),INDEX(Table3[[#All],[zScore]],MATCH(Table5[[#This Row],[PID]],Table3[[#All],[PID]],0)))</f>
        <v>0.24513164830495343</v>
      </c>
      <c r="S360" s="60" t="str">
        <f>IF($C360="B",INDEX(Batters[[#All],[DEM]],MATCH(Table5[[#This Row],[PID]],Batters[[#All],[PID]],0)),INDEX(Table3[[#All],[DEM]],MATCH(Table5[[#This Row],[PID]],Table3[[#All],[PID]],0)))</f>
        <v>-</v>
      </c>
      <c r="T360" s="64">
        <f>IF($C360="B",VLOOKUP($A360,Bat!$A$4:$AU$1417,46,FALSE),VLOOKUP($A360,Pit!$A$4:$BD$570,55,FALSE))</f>
        <v>0</v>
      </c>
      <c r="U360" s="52">
        <f>IF($C360="B",VLOOKUP($A360,Bat!$A$4:$BA$1417,47,FALSE),VLOOKUP($A360,Pit!$A$4:$BF$570,56,FALSE))</f>
        <v>0</v>
      </c>
      <c r="V360" s="52">
        <f>IF($C360="B",VLOOKUP($A360,Bat!$A$4:$BA$1417,48,FALSE),VLOOKUP($A360,Pit!$A$4:$BF$570,57,FALSE))</f>
        <v>0</v>
      </c>
      <c r="W360" s="52">
        <f>Table5[[#This Row],[posRnk]]+Table5[[#This Row],[zRnk]]+IF($W$3&lt;&gt;Table5[[#This Row],[Type]],50,0)</f>
        <v>406</v>
      </c>
      <c r="X360" s="53">
        <f>RANK(Table5[[#This Row],[zScore]],Table5[[#All],[zScore]])</f>
        <v>356</v>
      </c>
      <c r="Y360" s="52" t="str">
        <f>IFERROR(INDEX(DraftResults[[#All],[OVR]],MATCH(Table5[[#This Row],[PID]],DraftResults[[#All],[Player ID]],0)),"")</f>
        <v/>
      </c>
      <c r="Z3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0" s="52" t="str">
        <f>IFERROR(INDEX(DraftResults[[#All],[Pick in Round]],MATCH(Table5[[#This Row],[PID]],DraftResults[[#All],[Player ID]],0)),"")</f>
        <v/>
      </c>
      <c r="AB360" s="52" t="str">
        <f>IFERROR(INDEX(DraftResults[[#All],[Team Name]],MATCH(Table5[[#This Row],[PID]],DraftResults[[#All],[Player ID]],0)),"")</f>
        <v/>
      </c>
      <c r="AC360" s="52" t="str">
        <f>IF(Table5[[#This Row],[Ovr]]="","",IF(Table5[[#This Row],[cmbList]]="","",Table5[[#This Row],[cmbList]]-Table5[[#This Row],[Ovr]]))</f>
        <v/>
      </c>
      <c r="AD360" s="56" t="str">
        <f>IF(ISERROR(VLOOKUP($AB360&amp;"-"&amp;$E360&amp;" "&amp;F360,Bonuses!$B$1:$G$1006,4,FALSE)),"",INT(VLOOKUP($AB360&amp;"-"&amp;$E360&amp;" "&amp;$F360,Bonuses!$B$1:$G$1006,4,FALSE)))</f>
        <v/>
      </c>
      <c r="AE3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1" spans="1:31" s="52" customFormat="1" x14ac:dyDescent="0.25">
      <c r="A361" s="52">
        <v>9578</v>
      </c>
      <c r="B361" s="57">
        <f>COUNTIF(Table5[PID],A361)</f>
        <v>1</v>
      </c>
      <c r="C361" s="57" t="str">
        <f>IF(COUNTIF(Table3[[#All],[PID]],A361)&gt;0,"P","B")</f>
        <v>B</v>
      </c>
      <c r="D361" s="61" t="str">
        <f>IF($C361="B",INDEX(Batters[[#All],[POS]],MATCH(Table5[[#This Row],[PID]],Batters[[#All],[PID]],0)),INDEX(Table3[[#All],[POS]],MATCH(Table5[[#This Row],[PID]],Table3[[#All],[PID]],0)))</f>
        <v>LF</v>
      </c>
      <c r="E361" s="54" t="str">
        <f>IF($C361="B",INDEX(Batters[[#All],[First]],MATCH(Table5[[#This Row],[PID]],Batters[[#All],[PID]],0)),INDEX(Table3[[#All],[First]],MATCH(Table5[[#This Row],[PID]],Table3[[#All],[PID]],0)))</f>
        <v>Arturo</v>
      </c>
      <c r="F361" s="52" t="str">
        <f>IF($C361="B",INDEX(Batters[[#All],[Last]],MATCH(A361,Batters[[#All],[PID]],0)),INDEX(Table3[[#All],[Last]],MATCH(A361,Table3[[#All],[PID]],0)))</f>
        <v>Rodríguez</v>
      </c>
      <c r="G361" s="58">
        <f>IF($C361="B",INDEX(Batters[[#All],[Age]],MATCH(Table5[[#This Row],[PID]],Batters[[#All],[PID]],0)),INDEX(Table3[[#All],[Age]],MATCH(Table5[[#This Row],[PID]],Table3[[#All],[PID]],0)))</f>
        <v>21</v>
      </c>
      <c r="H361" s="54" t="str">
        <f>IF($C361="B",INDEX(Batters[[#All],[B]],MATCH(Table5[[#This Row],[PID]],Batters[[#All],[PID]],0)),INDEX(Table3[[#All],[B]],MATCH(Table5[[#This Row],[PID]],Table3[[#All],[PID]],0)))</f>
        <v>R</v>
      </c>
      <c r="I361" s="54" t="str">
        <f>IF($C361="B",INDEX(Batters[[#All],[T]],MATCH(Table5[[#This Row],[PID]],Batters[[#All],[PID]],0)),INDEX(Table3[[#All],[T]],MATCH(Table5[[#This Row],[PID]],Table3[[#All],[PID]],0)))</f>
        <v>R</v>
      </c>
      <c r="J361" s="54" t="str">
        <f>IF($C361="B",INDEX(Batters[[#All],[WE]],MATCH(Table5[[#This Row],[PID]],Batters[[#All],[PID]],0)),INDEX(Table3[[#All],[WE]],MATCH(Table5[[#This Row],[PID]],Table3[[#All],[PID]],0)))</f>
        <v>Low</v>
      </c>
      <c r="K361" s="54" t="str">
        <f>IF($C361="B",INDEX(Batters[[#All],[INT]],MATCH(Table5[[#This Row],[PID]],Batters[[#All],[PID]],0)),INDEX(Table3[[#All],[INT]],MATCH(Table5[[#This Row],[PID]],Table3[[#All],[PID]],0)))</f>
        <v>Normal</v>
      </c>
      <c r="L361" s="62">
        <f>IF($C361="B",INDEX(Batters[[#All],[CON P]],MATCH(Table5[[#This Row],[PID]],Batters[[#All],[PID]],0)),INDEX(Table3[[#All],[STU P]],MATCH(Table5[[#This Row],[PID]],Table3[[#All],[PID]],0)))</f>
        <v>4</v>
      </c>
      <c r="M361" s="58">
        <f>IF($C361="B",INDEX(Batters[[#All],[GAP P]],MATCH(Table5[[#This Row],[PID]],Batters[[#All],[PID]],0)),INDEX(Table3[[#All],[MOV P]],MATCH(Table5[[#This Row],[PID]],Table3[[#All],[PID]],0)))</f>
        <v>4</v>
      </c>
      <c r="N361" s="58">
        <f>IF($C361="B",INDEX(Batters[[#All],[POW P]],MATCH(Table5[[#This Row],[PID]],Batters[[#All],[PID]],0)),INDEX(Table3[[#All],[CON P]],MATCH(Table5[[#This Row],[PID]],Table3[[#All],[PID]],0)))</f>
        <v>3</v>
      </c>
      <c r="O361" s="58">
        <f>IF($C361="B",INDEX(Batters[[#All],[EYE P]],MATCH(Table5[[#This Row],[PID]],Batters[[#All],[PID]],0)),INDEX(Table3[[#All],[VELO]],MATCH(Table5[[#This Row],[PID]],Table3[[#All],[PID]],0)))</f>
        <v>5</v>
      </c>
      <c r="P361" s="58">
        <f>IF($C361="B",INDEX(Batters[[#All],[K P]],MATCH(Table5[[#This Row],[PID]],Batters[[#All],[PID]],0)),INDEX(Table3[[#All],[STM]],MATCH(Table5[[#This Row],[PID]],Table3[[#All],[PID]],0)))</f>
        <v>4</v>
      </c>
      <c r="Q361" s="63">
        <f>IF($C361="B",INDEX(Batters[[#All],[Tot]],MATCH(Table5[[#This Row],[PID]],Batters[[#All],[PID]],0)),INDEX(Table3[[#All],[Tot]],MATCH(Table5[[#This Row],[PID]],Table3[[#All],[PID]],0)))</f>
        <v>41.724372403090008</v>
      </c>
      <c r="R361" s="54">
        <f>IF($C361="B",INDEX(Batters[[#All],[zScore]],MATCH(Table5[[#This Row],[PID]],Batters[[#All],[PID]],0)),INDEX(Table3[[#All],[zScore]],MATCH(Table5[[#This Row],[PID]],Table3[[#All],[PID]],0)))</f>
        <v>0.24212005551006047</v>
      </c>
      <c r="S361" s="60" t="str">
        <f>IF($C361="B",INDEX(Batters[[#All],[DEM]],MATCH(Table5[[#This Row],[PID]],Batters[[#All],[PID]],0)),INDEX(Table3[[#All],[DEM]],MATCH(Table5[[#This Row],[PID]],Table3[[#All],[PID]],0)))</f>
        <v>-</v>
      </c>
      <c r="T361" s="64">
        <f>IF($C361="B",VLOOKUP($A361,Bat!$A$4:$AU$1417,46,FALSE),VLOOKUP($A361,Pit!$A$4:$BD$570,55,FALSE))</f>
        <v>0</v>
      </c>
      <c r="U361" s="52">
        <f>IF($C361="B",VLOOKUP($A361,Bat!$A$4:$BA$1417,47,FALSE),VLOOKUP($A361,Pit!$A$4:$BF$570,56,FALSE))</f>
        <v>0</v>
      </c>
      <c r="V361" s="52">
        <f>IF($C361="B",VLOOKUP($A361,Bat!$A$4:$BA$1417,48,FALSE),VLOOKUP($A361,Pit!$A$4:$BF$570,57,FALSE))</f>
        <v>0</v>
      </c>
      <c r="W361" s="52">
        <f>Table5[[#This Row],[posRnk]]+Table5[[#This Row],[zRnk]]+IF($W$3&lt;&gt;Table5[[#This Row],[Type]],50,0)</f>
        <v>407</v>
      </c>
      <c r="X361" s="53">
        <f>RANK(Table5[[#This Row],[zScore]],Table5[[#All],[zScore]])</f>
        <v>357</v>
      </c>
      <c r="Y361" s="52" t="str">
        <f>IFERROR(INDEX(DraftResults[[#All],[OVR]],MATCH(Table5[[#This Row],[PID]],DraftResults[[#All],[Player ID]],0)),"")</f>
        <v/>
      </c>
      <c r="Z3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1" s="52" t="str">
        <f>IFERROR(INDEX(DraftResults[[#All],[Pick in Round]],MATCH(Table5[[#This Row],[PID]],DraftResults[[#All],[Player ID]],0)),"")</f>
        <v/>
      </c>
      <c r="AB361" s="52" t="str">
        <f>IFERROR(INDEX(DraftResults[[#All],[Team Name]],MATCH(Table5[[#This Row],[PID]],DraftResults[[#All],[Player ID]],0)),"")</f>
        <v/>
      </c>
      <c r="AC361" s="52" t="str">
        <f>IF(Table5[[#This Row],[Ovr]]="","",IF(Table5[[#This Row],[cmbList]]="","",Table5[[#This Row],[cmbList]]-Table5[[#This Row],[Ovr]]))</f>
        <v/>
      </c>
      <c r="AD361" s="56" t="str">
        <f>IF(ISERROR(VLOOKUP($AB361&amp;"-"&amp;$E361&amp;" "&amp;F361,Bonuses!$B$1:$G$1006,4,FALSE)),"",INT(VLOOKUP($AB361&amp;"-"&amp;$E361&amp;" "&amp;$F361,Bonuses!$B$1:$G$1006,4,FALSE)))</f>
        <v/>
      </c>
      <c r="AE3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2" spans="1:31" s="52" customFormat="1" x14ac:dyDescent="0.25">
      <c r="A362" s="52">
        <v>8735</v>
      </c>
      <c r="B362" s="52">
        <f>COUNTIF(Table5[PID],A362)</f>
        <v>1</v>
      </c>
      <c r="C362" s="52" t="str">
        <f>IF(COUNTIF(Table3[[#All],[PID]],A362)&gt;0,"P","B")</f>
        <v>B</v>
      </c>
      <c r="D362" s="61" t="str">
        <f>IF($C362="B",INDEX(Batters[[#All],[POS]],MATCH(Table5[[#This Row],[PID]],Batters[[#All],[PID]],0)),INDEX(Table3[[#All],[POS]],MATCH(Table5[[#This Row],[PID]],Table3[[#All],[PID]],0)))</f>
        <v>C</v>
      </c>
      <c r="E362" s="54" t="str">
        <f>IF($C362="B",INDEX(Batters[[#All],[First]],MATCH(Table5[[#This Row],[PID]],Batters[[#All],[PID]],0)),INDEX(Table3[[#All],[First]],MATCH(Table5[[#This Row],[PID]],Table3[[#All],[PID]],0)))</f>
        <v>Tim</v>
      </c>
      <c r="F362" s="52" t="str">
        <f>IF($C362="B",INDEX(Batters[[#All],[Last]],MATCH(A362,Batters[[#All],[PID]],0)),INDEX(Table3[[#All],[Last]],MATCH(A362,Table3[[#All],[PID]],0)))</f>
        <v>Phillips</v>
      </c>
      <c r="G362" s="58">
        <f>IF($C362="B",INDEX(Batters[[#All],[Age]],MATCH(Table5[[#This Row],[PID]],Batters[[#All],[PID]],0)),INDEX(Table3[[#All],[Age]],MATCH(Table5[[#This Row],[PID]],Table3[[#All],[PID]],0)))</f>
        <v>18</v>
      </c>
      <c r="H362" s="54" t="str">
        <f>IF($C362="B",INDEX(Batters[[#All],[B]],MATCH(Table5[[#This Row],[PID]],Batters[[#All],[PID]],0)),INDEX(Table3[[#All],[B]],MATCH(Table5[[#This Row],[PID]],Table3[[#All],[PID]],0)))</f>
        <v>R</v>
      </c>
      <c r="I362" s="54" t="str">
        <f>IF($C362="B",INDEX(Batters[[#All],[T]],MATCH(Table5[[#This Row],[PID]],Batters[[#All],[PID]],0)),INDEX(Table3[[#All],[T]],MATCH(Table5[[#This Row],[PID]],Table3[[#All],[PID]],0)))</f>
        <v>R</v>
      </c>
      <c r="J362" s="54" t="str">
        <f>IF($C362="B",INDEX(Batters[[#All],[WE]],MATCH(Table5[[#This Row],[PID]],Batters[[#All],[PID]],0)),INDEX(Table3[[#All],[WE]],MATCH(Table5[[#This Row],[PID]],Table3[[#All],[PID]],0)))</f>
        <v>Low</v>
      </c>
      <c r="K362" s="54" t="str">
        <f>IF($C362="B",INDEX(Batters[[#All],[INT]],MATCH(Table5[[#This Row],[PID]],Batters[[#All],[PID]],0)),INDEX(Table3[[#All],[INT]],MATCH(Table5[[#This Row],[PID]],Table3[[#All],[PID]],0)))</f>
        <v>Normal</v>
      </c>
      <c r="L362" s="62">
        <f>IF($C362="B",INDEX(Batters[[#All],[CON P]],MATCH(Table5[[#This Row],[PID]],Batters[[#All],[PID]],0)),INDEX(Table3[[#All],[STU P]],MATCH(Table5[[#This Row],[PID]],Table3[[#All],[PID]],0)))</f>
        <v>3</v>
      </c>
      <c r="M362" s="58">
        <f>IF($C362="B",INDEX(Batters[[#All],[GAP P]],MATCH(Table5[[#This Row],[PID]],Batters[[#All],[PID]],0)),INDEX(Table3[[#All],[MOV P]],MATCH(Table5[[#This Row],[PID]],Table3[[#All],[PID]],0)))</f>
        <v>3</v>
      </c>
      <c r="N362" s="58">
        <f>IF($C362="B",INDEX(Batters[[#All],[POW P]],MATCH(Table5[[#This Row],[PID]],Batters[[#All],[PID]],0)),INDEX(Table3[[#All],[CON P]],MATCH(Table5[[#This Row],[PID]],Table3[[#All],[PID]],0)))</f>
        <v>4</v>
      </c>
      <c r="O362" s="58">
        <f>IF($C362="B",INDEX(Batters[[#All],[EYE P]],MATCH(Table5[[#This Row],[PID]],Batters[[#All],[PID]],0)),INDEX(Table3[[#All],[VELO]],MATCH(Table5[[#This Row],[PID]],Table3[[#All],[PID]],0)))</f>
        <v>5</v>
      </c>
      <c r="P362" s="58">
        <f>IF($C362="B",INDEX(Batters[[#All],[K P]],MATCH(Table5[[#This Row],[PID]],Batters[[#All],[PID]],0)),INDEX(Table3[[#All],[STM]],MATCH(Table5[[#This Row],[PID]],Table3[[#All],[PID]],0)))</f>
        <v>3</v>
      </c>
      <c r="Q362" s="63">
        <f>IF($C362="B",INDEX(Batters[[#All],[Tot]],MATCH(Table5[[#This Row],[PID]],Batters[[#All],[PID]],0)),INDEX(Table3[[#All],[Tot]],MATCH(Table5[[#This Row],[PID]],Table3[[#All],[PID]],0)))</f>
        <v>41.720164092133146</v>
      </c>
      <c r="R362" s="54">
        <f>IF($C362="B",INDEX(Batters[[#All],[zScore]],MATCH(Table5[[#This Row],[PID]],Batters[[#All],[PID]],0)),INDEX(Table3[[#All],[zScore]],MATCH(Table5[[#This Row],[PID]],Table3[[#All],[PID]],0)))</f>
        <v>0.24137963116691188</v>
      </c>
      <c r="S362" s="60" t="str">
        <f>IF($C362="B",INDEX(Batters[[#All],[DEM]],MATCH(Table5[[#This Row],[PID]],Batters[[#All],[PID]],0)),INDEX(Table3[[#All],[DEM]],MATCH(Table5[[#This Row],[PID]],Table3[[#All],[PID]],0)))</f>
        <v>$75k</v>
      </c>
      <c r="T362" s="64">
        <f>IF($C362="B",VLOOKUP($A362,Bat!$A$4:$AU$1417,46,FALSE),VLOOKUP($A362,Pit!$A$4:$BD$570,55,FALSE))</f>
        <v>0</v>
      </c>
      <c r="U362" s="52">
        <f>IF($C362="B",VLOOKUP($A362,Bat!$A$4:$BA$1417,47,FALSE),VLOOKUP($A362,Pit!$A$4:$BF$570,56,FALSE))</f>
        <v>0</v>
      </c>
      <c r="V362" s="52">
        <f>IF($C362="B",VLOOKUP($A362,Bat!$A$4:$BA$1417,48,FALSE),VLOOKUP($A362,Pit!$A$4:$BF$570,57,FALSE))</f>
        <v>0</v>
      </c>
      <c r="W362" s="52">
        <f>Table5[[#This Row],[posRnk]]+Table5[[#This Row],[zRnk]]+IF($W$3&lt;&gt;Table5[[#This Row],[Type]],50,0)</f>
        <v>408</v>
      </c>
      <c r="X362" s="53">
        <f>RANK(Table5[[#This Row],[zScore]],Table5[[#All],[zScore]])</f>
        <v>358</v>
      </c>
      <c r="Y362" s="52" t="str">
        <f>IFERROR(INDEX(DraftResults[[#All],[OVR]],MATCH(Table5[[#This Row],[PID]],DraftResults[[#All],[Player ID]],0)),"")</f>
        <v/>
      </c>
      <c r="Z3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2" s="52" t="str">
        <f>IFERROR(INDEX(DraftResults[[#All],[Pick in Round]],MATCH(Table5[[#This Row],[PID]],DraftResults[[#All],[Player ID]],0)),"")</f>
        <v/>
      </c>
      <c r="AB362" s="52" t="str">
        <f>IFERROR(INDEX(DraftResults[[#All],[Team Name]],MATCH(Table5[[#This Row],[PID]],DraftResults[[#All],[Player ID]],0)),"")</f>
        <v/>
      </c>
      <c r="AC362" s="52" t="str">
        <f>IF(Table5[[#This Row],[Ovr]]="","",IF(Table5[[#This Row],[cmbList]]="","",Table5[[#This Row],[cmbList]]-Table5[[#This Row],[Ovr]]))</f>
        <v/>
      </c>
      <c r="AD362" s="56" t="str">
        <f>IF(ISERROR(VLOOKUP($AB362&amp;"-"&amp;$E362&amp;" "&amp;F362,Bonuses!$B$1:$G$1006,4,FALSE)),"",INT(VLOOKUP($AB362&amp;"-"&amp;$E362&amp;" "&amp;$F362,Bonuses!$B$1:$G$1006,4,FALSE)))</f>
        <v/>
      </c>
      <c r="AE3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3" spans="1:31" s="52" customFormat="1" x14ac:dyDescent="0.25">
      <c r="A363" s="52">
        <v>8103</v>
      </c>
      <c r="B363" s="52">
        <f>COUNTIF(Table5[PID],A363)</f>
        <v>1</v>
      </c>
      <c r="C363" s="52" t="str">
        <f>IF(COUNTIF(Table3[[#All],[PID]],A363)&gt;0,"P","B")</f>
        <v>B</v>
      </c>
      <c r="D363" s="61" t="str">
        <f>IF($C363="B",INDEX(Batters[[#All],[POS]],MATCH(Table5[[#This Row],[PID]],Batters[[#All],[PID]],0)),INDEX(Table3[[#All],[POS]],MATCH(Table5[[#This Row],[PID]],Table3[[#All],[PID]],0)))</f>
        <v>C</v>
      </c>
      <c r="E363" s="54" t="str">
        <f>IF($C363="B",INDEX(Batters[[#All],[First]],MATCH(Table5[[#This Row],[PID]],Batters[[#All],[PID]],0)),INDEX(Table3[[#All],[First]],MATCH(Table5[[#This Row],[PID]],Table3[[#All],[PID]],0)))</f>
        <v>Tom</v>
      </c>
      <c r="F363" s="52" t="str">
        <f>IF($C363="B",INDEX(Batters[[#All],[Last]],MATCH(A363,Batters[[#All],[PID]],0)),INDEX(Table3[[#All],[Last]],MATCH(A363,Table3[[#All],[PID]],0)))</f>
        <v>Christensen</v>
      </c>
      <c r="G363" s="58">
        <f>IF($C363="B",INDEX(Batters[[#All],[Age]],MATCH(Table5[[#This Row],[PID]],Batters[[#All],[PID]],0)),INDEX(Table3[[#All],[Age]],MATCH(Table5[[#This Row],[PID]],Table3[[#All],[PID]],0)))</f>
        <v>18</v>
      </c>
      <c r="H363" s="54" t="str">
        <f>IF($C363="B",INDEX(Batters[[#All],[B]],MATCH(Table5[[#This Row],[PID]],Batters[[#All],[PID]],0)),INDEX(Table3[[#All],[B]],MATCH(Table5[[#This Row],[PID]],Table3[[#All],[PID]],0)))</f>
        <v>R</v>
      </c>
      <c r="I363" s="54" t="str">
        <f>IF($C363="B",INDEX(Batters[[#All],[T]],MATCH(Table5[[#This Row],[PID]],Batters[[#All],[PID]],0)),INDEX(Table3[[#All],[T]],MATCH(Table5[[#This Row],[PID]],Table3[[#All],[PID]],0)))</f>
        <v>R</v>
      </c>
      <c r="J363" s="54" t="str">
        <f>IF($C363="B",INDEX(Batters[[#All],[WE]],MATCH(Table5[[#This Row],[PID]],Batters[[#All],[PID]],0)),INDEX(Table3[[#All],[WE]],MATCH(Table5[[#This Row],[PID]],Table3[[#All],[PID]],0)))</f>
        <v>Low</v>
      </c>
      <c r="K363" s="54" t="str">
        <f>IF($C363="B",INDEX(Batters[[#All],[INT]],MATCH(Table5[[#This Row],[PID]],Batters[[#All],[PID]],0)),INDEX(Table3[[#All],[INT]],MATCH(Table5[[#This Row],[PID]],Table3[[#All],[PID]],0)))</f>
        <v>Normal</v>
      </c>
      <c r="L363" s="62">
        <f>IF($C363="B",INDEX(Batters[[#All],[CON P]],MATCH(Table5[[#This Row],[PID]],Batters[[#All],[PID]],0)),INDEX(Table3[[#All],[STU P]],MATCH(Table5[[#This Row],[PID]],Table3[[#All],[PID]],0)))</f>
        <v>3</v>
      </c>
      <c r="M363" s="58">
        <f>IF($C363="B",INDEX(Batters[[#All],[GAP P]],MATCH(Table5[[#This Row],[PID]],Batters[[#All],[PID]],0)),INDEX(Table3[[#All],[MOV P]],MATCH(Table5[[#This Row],[PID]],Table3[[#All],[PID]],0)))</f>
        <v>3</v>
      </c>
      <c r="N363" s="58">
        <f>IF($C363="B",INDEX(Batters[[#All],[POW P]],MATCH(Table5[[#This Row],[PID]],Batters[[#All],[PID]],0)),INDEX(Table3[[#All],[CON P]],MATCH(Table5[[#This Row],[PID]],Table3[[#All],[PID]],0)))</f>
        <v>4</v>
      </c>
      <c r="O363" s="58">
        <f>IF($C363="B",INDEX(Batters[[#All],[EYE P]],MATCH(Table5[[#This Row],[PID]],Batters[[#All],[PID]],0)),INDEX(Table3[[#All],[VELO]],MATCH(Table5[[#This Row],[PID]],Table3[[#All],[PID]],0)))</f>
        <v>5</v>
      </c>
      <c r="P363" s="58">
        <f>IF($C363="B",INDEX(Batters[[#All],[K P]],MATCH(Table5[[#This Row],[PID]],Batters[[#All],[PID]],0)),INDEX(Table3[[#All],[STM]],MATCH(Table5[[#This Row],[PID]],Table3[[#All],[PID]],0)))</f>
        <v>3</v>
      </c>
      <c r="Q363" s="63">
        <f>IF($C363="B",INDEX(Batters[[#All],[Tot]],MATCH(Table5[[#This Row],[PID]],Batters[[#All],[PID]],0)),INDEX(Table3[[#All],[Tot]],MATCH(Table5[[#This Row],[PID]],Table3[[#All],[PID]],0)))</f>
        <v>41.711193137132192</v>
      </c>
      <c r="R363" s="54">
        <f>IF($C363="B",INDEX(Batters[[#All],[zScore]],MATCH(Table5[[#This Row],[PID]],Batters[[#All],[PID]],0)),INDEX(Table3[[#All],[zScore]],MATCH(Table5[[#This Row],[PID]],Table3[[#All],[PID]],0)))</f>
        <v>0.23980125125818247</v>
      </c>
      <c r="S363" s="60" t="str">
        <f>IF($C363="B",INDEX(Batters[[#All],[DEM]],MATCH(Table5[[#This Row],[PID]],Batters[[#All],[PID]],0)),INDEX(Table3[[#All],[DEM]],MATCH(Table5[[#This Row],[PID]],Table3[[#All],[PID]],0)))</f>
        <v>$65k</v>
      </c>
      <c r="T363" s="64">
        <f>IF($C363="B",VLOOKUP($A363,Bat!$A$4:$AU$1417,46,FALSE),VLOOKUP($A363,Pit!$A$4:$BD$570,55,FALSE))</f>
        <v>0</v>
      </c>
      <c r="U363" s="52">
        <f>IF($C363="B",VLOOKUP($A363,Bat!$A$4:$BA$1417,47,FALSE),VLOOKUP($A363,Pit!$A$4:$BF$570,56,FALSE))</f>
        <v>0</v>
      </c>
      <c r="V363" s="52">
        <f>IF($C363="B",VLOOKUP($A363,Bat!$A$4:$BA$1417,48,FALSE),VLOOKUP($A363,Pit!$A$4:$BF$570,57,FALSE))</f>
        <v>0</v>
      </c>
      <c r="W363" s="52">
        <f>Table5[[#This Row],[posRnk]]+Table5[[#This Row],[zRnk]]+IF($W$3&lt;&gt;Table5[[#This Row],[Type]],50,0)</f>
        <v>409</v>
      </c>
      <c r="X363" s="53">
        <f>RANK(Table5[[#This Row],[zScore]],Table5[[#All],[zScore]])</f>
        <v>359</v>
      </c>
      <c r="Y363" s="52" t="str">
        <f>IFERROR(INDEX(DraftResults[[#All],[OVR]],MATCH(Table5[[#This Row],[PID]],DraftResults[[#All],[Player ID]],0)),"")</f>
        <v/>
      </c>
      <c r="Z3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3" s="52" t="str">
        <f>IFERROR(INDEX(DraftResults[[#All],[Pick in Round]],MATCH(Table5[[#This Row],[PID]],DraftResults[[#All],[Player ID]],0)),"")</f>
        <v/>
      </c>
      <c r="AB363" s="52" t="str">
        <f>IFERROR(INDEX(DraftResults[[#All],[Team Name]],MATCH(Table5[[#This Row],[PID]],DraftResults[[#All],[Player ID]],0)),"")</f>
        <v/>
      </c>
      <c r="AC363" s="52" t="str">
        <f>IF(Table5[[#This Row],[Ovr]]="","",IF(Table5[[#This Row],[cmbList]]="","",Table5[[#This Row],[cmbList]]-Table5[[#This Row],[Ovr]]))</f>
        <v/>
      </c>
      <c r="AD363" s="56" t="str">
        <f>IF(ISERROR(VLOOKUP($AB363&amp;"-"&amp;$E363&amp;" "&amp;F363,Bonuses!$B$1:$G$1006,4,FALSE)),"",INT(VLOOKUP($AB363&amp;"-"&amp;$E363&amp;" "&amp;$F363,Bonuses!$B$1:$G$1006,4,FALSE)))</f>
        <v/>
      </c>
      <c r="AE3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4" spans="1:31" s="52" customFormat="1" x14ac:dyDescent="0.25">
      <c r="A364" s="52">
        <v>8314</v>
      </c>
      <c r="B364" s="52">
        <f>COUNTIF(Table5[PID],A364)</f>
        <v>1</v>
      </c>
      <c r="C364" s="52" t="str">
        <f>IF(COUNTIF(Table3[[#All],[PID]],A364)&gt;0,"P","B")</f>
        <v>B</v>
      </c>
      <c r="D364" s="61" t="str">
        <f>IF($C364="B",INDEX(Batters[[#All],[POS]],MATCH(Table5[[#This Row],[PID]],Batters[[#All],[PID]],0)),INDEX(Table3[[#All],[POS]],MATCH(Table5[[#This Row],[PID]],Table3[[#All],[PID]],0)))</f>
        <v>2B</v>
      </c>
      <c r="E364" s="54" t="str">
        <f>IF($C364="B",INDEX(Batters[[#All],[First]],MATCH(Table5[[#This Row],[PID]],Batters[[#All],[PID]],0)),INDEX(Table3[[#All],[First]],MATCH(Table5[[#This Row],[PID]],Table3[[#All],[PID]],0)))</f>
        <v>Allen</v>
      </c>
      <c r="F364" s="52" t="str">
        <f>IF($C364="B",INDEX(Batters[[#All],[Last]],MATCH(A364,Batters[[#All],[PID]],0)),INDEX(Table3[[#All],[Last]],MATCH(A364,Table3[[#All],[PID]],0)))</f>
        <v>Bailey</v>
      </c>
      <c r="G364" s="58">
        <f>IF($C364="B",INDEX(Batters[[#All],[Age]],MATCH(Table5[[#This Row],[PID]],Batters[[#All],[PID]],0)),INDEX(Table3[[#All],[Age]],MATCH(Table5[[#This Row],[PID]],Table3[[#All],[PID]],0)))</f>
        <v>18</v>
      </c>
      <c r="H364" s="54" t="str">
        <f>IF($C364="B",INDEX(Batters[[#All],[B]],MATCH(Table5[[#This Row],[PID]],Batters[[#All],[PID]],0)),INDEX(Table3[[#All],[B]],MATCH(Table5[[#This Row],[PID]],Table3[[#All],[PID]],0)))</f>
        <v>L</v>
      </c>
      <c r="I364" s="54" t="str">
        <f>IF($C364="B",INDEX(Batters[[#All],[T]],MATCH(Table5[[#This Row],[PID]],Batters[[#All],[PID]],0)),INDEX(Table3[[#All],[T]],MATCH(Table5[[#This Row],[PID]],Table3[[#All],[PID]],0)))</f>
        <v>R</v>
      </c>
      <c r="J364" s="54" t="str">
        <f>IF($C364="B",INDEX(Batters[[#All],[WE]],MATCH(Table5[[#This Row],[PID]],Batters[[#All],[PID]],0)),INDEX(Table3[[#All],[WE]],MATCH(Table5[[#This Row],[PID]],Table3[[#All],[PID]],0)))</f>
        <v>Low</v>
      </c>
      <c r="K364" s="54" t="str">
        <f>IF($C364="B",INDEX(Batters[[#All],[INT]],MATCH(Table5[[#This Row],[PID]],Batters[[#All],[PID]],0)),INDEX(Table3[[#All],[INT]],MATCH(Table5[[#This Row],[PID]],Table3[[#All],[PID]],0)))</f>
        <v>Normal</v>
      </c>
      <c r="L364" s="62">
        <f>IF($C364="B",INDEX(Batters[[#All],[CON P]],MATCH(Table5[[#This Row],[PID]],Batters[[#All],[PID]],0)),INDEX(Table3[[#All],[STU P]],MATCH(Table5[[#This Row],[PID]],Table3[[#All],[PID]],0)))</f>
        <v>3</v>
      </c>
      <c r="M364" s="58">
        <f>IF($C364="B",INDEX(Batters[[#All],[GAP P]],MATCH(Table5[[#This Row],[PID]],Batters[[#All],[PID]],0)),INDEX(Table3[[#All],[MOV P]],MATCH(Table5[[#This Row],[PID]],Table3[[#All],[PID]],0)))</f>
        <v>3</v>
      </c>
      <c r="N364" s="58">
        <f>IF($C364="B",INDEX(Batters[[#All],[POW P]],MATCH(Table5[[#This Row],[PID]],Batters[[#All],[PID]],0)),INDEX(Table3[[#All],[CON P]],MATCH(Table5[[#This Row],[PID]],Table3[[#All],[PID]],0)))</f>
        <v>3</v>
      </c>
      <c r="O364" s="58">
        <f>IF($C364="B",INDEX(Batters[[#All],[EYE P]],MATCH(Table5[[#This Row],[PID]],Batters[[#All],[PID]],0)),INDEX(Table3[[#All],[VELO]],MATCH(Table5[[#This Row],[PID]],Table3[[#All],[PID]],0)))</f>
        <v>5</v>
      </c>
      <c r="P364" s="58">
        <f>IF($C364="B",INDEX(Batters[[#All],[K P]],MATCH(Table5[[#This Row],[PID]],Batters[[#All],[PID]],0)),INDEX(Table3[[#All],[STM]],MATCH(Table5[[#This Row],[PID]],Table3[[#All],[PID]],0)))</f>
        <v>4</v>
      </c>
      <c r="Q364" s="63">
        <f>IF($C364="B",INDEX(Batters[[#All],[Tot]],MATCH(Table5[[#This Row],[PID]],Batters[[#All],[PID]],0)),INDEX(Table3[[#All],[Tot]],MATCH(Table5[[#This Row],[PID]],Table3[[#All],[PID]],0)))</f>
        <v>41.703622241651331</v>
      </c>
      <c r="R364" s="54">
        <f>IF($C364="B",INDEX(Batters[[#All],[zScore]],MATCH(Table5[[#This Row],[PID]],Batters[[#All],[PID]],0)),INDEX(Table3[[#All],[zScore]],MATCH(Table5[[#This Row],[PID]],Table3[[#All],[PID]],0)))</f>
        <v>0.23846920251679329</v>
      </c>
      <c r="S364" s="60" t="str">
        <f>IF($C364="B",INDEX(Batters[[#All],[DEM]],MATCH(Table5[[#This Row],[PID]],Batters[[#All],[PID]],0)),INDEX(Table3[[#All],[DEM]],MATCH(Table5[[#This Row],[PID]],Table3[[#All],[PID]],0)))</f>
        <v>$65k</v>
      </c>
      <c r="T364" s="64">
        <f>IF($C364="B",VLOOKUP($A364,Bat!$A$4:$AU$1417,46,FALSE),VLOOKUP($A364,Pit!$A$4:$BD$570,55,FALSE))</f>
        <v>0</v>
      </c>
      <c r="U364" s="52">
        <f>IF($C364="B",VLOOKUP($A364,Bat!$A$4:$BA$1417,47,FALSE),VLOOKUP($A364,Pit!$A$4:$BF$570,56,FALSE))</f>
        <v>0</v>
      </c>
      <c r="V364" s="52">
        <f>IF($C364="B",VLOOKUP($A364,Bat!$A$4:$BA$1417,48,FALSE),VLOOKUP($A364,Pit!$A$4:$BF$570,57,FALSE))</f>
        <v>0</v>
      </c>
      <c r="W364" s="52">
        <f>Table5[[#This Row],[posRnk]]+Table5[[#This Row],[zRnk]]+IF($W$3&lt;&gt;Table5[[#This Row],[Type]],50,0)</f>
        <v>410</v>
      </c>
      <c r="X364" s="53">
        <f>RANK(Table5[[#This Row],[zScore]],Table5[[#All],[zScore]])</f>
        <v>360</v>
      </c>
      <c r="Y364" s="52" t="str">
        <f>IFERROR(INDEX(DraftResults[[#All],[OVR]],MATCH(Table5[[#This Row],[PID]],DraftResults[[#All],[Player ID]],0)),"")</f>
        <v/>
      </c>
      <c r="Z3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4" s="52" t="str">
        <f>IFERROR(INDEX(DraftResults[[#All],[Pick in Round]],MATCH(Table5[[#This Row],[PID]],DraftResults[[#All],[Player ID]],0)),"")</f>
        <v/>
      </c>
      <c r="AB364" s="52" t="str">
        <f>IFERROR(INDEX(DraftResults[[#All],[Team Name]],MATCH(Table5[[#This Row],[PID]],DraftResults[[#All],[Player ID]],0)),"")</f>
        <v/>
      </c>
      <c r="AC364" s="52" t="str">
        <f>IF(Table5[[#This Row],[Ovr]]="","",IF(Table5[[#This Row],[cmbList]]="","",Table5[[#This Row],[cmbList]]-Table5[[#This Row],[Ovr]]))</f>
        <v/>
      </c>
      <c r="AD364" s="56" t="str">
        <f>IF(ISERROR(VLOOKUP($AB364&amp;"-"&amp;$E364&amp;" "&amp;F364,Bonuses!$B$1:$G$1006,4,FALSE)),"",INT(VLOOKUP($AB364&amp;"-"&amp;$E364&amp;" "&amp;$F364,Bonuses!$B$1:$G$1006,4,FALSE)))</f>
        <v/>
      </c>
      <c r="AE3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5" spans="1:31" s="52" customFormat="1" x14ac:dyDescent="0.25">
      <c r="A365" s="52">
        <v>6243</v>
      </c>
      <c r="B365" s="52">
        <f>COUNTIF(Table5[PID],A365)</f>
        <v>1</v>
      </c>
      <c r="C365" s="52" t="str">
        <f>IF(COUNTIF(Table3[[#All],[PID]],A365)&gt;0,"P","B")</f>
        <v>B</v>
      </c>
      <c r="D365" s="61" t="str">
        <f>IF($C365="B",INDEX(Batters[[#All],[POS]],MATCH(Table5[[#This Row],[PID]],Batters[[#All],[PID]],0)),INDEX(Table3[[#All],[POS]],MATCH(Table5[[#This Row],[PID]],Table3[[#All],[PID]],0)))</f>
        <v>2B</v>
      </c>
      <c r="E365" s="54" t="str">
        <f>IF($C365="B",INDEX(Batters[[#All],[First]],MATCH(Table5[[#This Row],[PID]],Batters[[#All],[PID]],0)),INDEX(Table3[[#All],[First]],MATCH(Table5[[#This Row],[PID]],Table3[[#All],[PID]],0)))</f>
        <v>Naofumi</v>
      </c>
      <c r="F365" s="52" t="str">
        <f>IF($C365="B",INDEX(Batters[[#All],[Last]],MATCH(A365,Batters[[#All],[PID]],0)),INDEX(Table3[[#All],[Last]],MATCH(A365,Table3[[#All],[PID]],0)))</f>
        <v>Nakano</v>
      </c>
      <c r="G365" s="58">
        <f>IF($C365="B",INDEX(Batters[[#All],[Age]],MATCH(Table5[[#This Row],[PID]],Batters[[#All],[PID]],0)),INDEX(Table3[[#All],[Age]],MATCH(Table5[[#This Row],[PID]],Table3[[#All],[PID]],0)))</f>
        <v>18</v>
      </c>
      <c r="H365" s="54" t="str">
        <f>IF($C365="B",INDEX(Batters[[#All],[B]],MATCH(Table5[[#This Row],[PID]],Batters[[#All],[PID]],0)),INDEX(Table3[[#All],[B]],MATCH(Table5[[#This Row],[PID]],Table3[[#All],[PID]],0)))</f>
        <v>R</v>
      </c>
      <c r="I365" s="54" t="str">
        <f>IF($C365="B",INDEX(Batters[[#All],[T]],MATCH(Table5[[#This Row],[PID]],Batters[[#All],[PID]],0)),INDEX(Table3[[#All],[T]],MATCH(Table5[[#This Row],[PID]],Table3[[#All],[PID]],0)))</f>
        <v>R</v>
      </c>
      <c r="J365" s="54" t="str">
        <f>IF($C365="B",INDEX(Batters[[#All],[WE]],MATCH(Table5[[#This Row],[PID]],Batters[[#All],[PID]],0)),INDEX(Table3[[#All],[WE]],MATCH(Table5[[#This Row],[PID]],Table3[[#All],[PID]],0)))</f>
        <v>Normal</v>
      </c>
      <c r="K365" s="54" t="str">
        <f>IF($C365="B",INDEX(Batters[[#All],[INT]],MATCH(Table5[[#This Row],[PID]],Batters[[#All],[PID]],0)),INDEX(Table3[[#All],[INT]],MATCH(Table5[[#This Row],[PID]],Table3[[#All],[PID]],0)))</f>
        <v>Normal</v>
      </c>
      <c r="L365" s="62">
        <f>IF($C365="B",INDEX(Batters[[#All],[CON P]],MATCH(Table5[[#This Row],[PID]],Batters[[#All],[PID]],0)),INDEX(Table3[[#All],[STU P]],MATCH(Table5[[#This Row],[PID]],Table3[[#All],[PID]],0)))</f>
        <v>3</v>
      </c>
      <c r="M365" s="58">
        <f>IF($C365="B",INDEX(Batters[[#All],[GAP P]],MATCH(Table5[[#This Row],[PID]],Batters[[#All],[PID]],0)),INDEX(Table3[[#All],[MOV P]],MATCH(Table5[[#This Row],[PID]],Table3[[#All],[PID]],0)))</f>
        <v>3</v>
      </c>
      <c r="N365" s="58">
        <f>IF($C365="B",INDEX(Batters[[#All],[POW P]],MATCH(Table5[[#This Row],[PID]],Batters[[#All],[PID]],0)),INDEX(Table3[[#All],[CON P]],MATCH(Table5[[#This Row],[PID]],Table3[[#All],[PID]],0)))</f>
        <v>3</v>
      </c>
      <c r="O365" s="58">
        <f>IF($C365="B",INDEX(Batters[[#All],[EYE P]],MATCH(Table5[[#This Row],[PID]],Batters[[#All],[PID]],0)),INDEX(Table3[[#All],[VELO]],MATCH(Table5[[#This Row],[PID]],Table3[[#All],[PID]],0)))</f>
        <v>5</v>
      </c>
      <c r="P365" s="58">
        <f>IF($C365="B",INDEX(Batters[[#All],[K P]],MATCH(Table5[[#This Row],[PID]],Batters[[#All],[PID]],0)),INDEX(Table3[[#All],[STM]],MATCH(Table5[[#This Row],[PID]],Table3[[#All],[PID]],0)))</f>
        <v>4</v>
      </c>
      <c r="Q365" s="63">
        <f>IF($C365="B",INDEX(Batters[[#All],[Tot]],MATCH(Table5[[#This Row],[PID]],Batters[[#All],[PID]],0)),INDEX(Table3[[#All],[Tot]],MATCH(Table5[[#This Row],[PID]],Table3[[#All],[PID]],0)))</f>
        <v>41.679396530261577</v>
      </c>
      <c r="R365" s="54">
        <f>IF($C365="B",INDEX(Batters[[#All],[zScore]],MATCH(Table5[[#This Row],[PID]],Batters[[#All],[PID]],0)),INDEX(Table3[[#All],[zScore]],MATCH(Table5[[#This Row],[PID]],Table3[[#All],[PID]],0)))</f>
        <v>0.23420684960919355</v>
      </c>
      <c r="S365" s="60" t="str">
        <f>IF($C365="B",INDEX(Batters[[#All],[DEM]],MATCH(Table5[[#This Row],[PID]],Batters[[#All],[PID]],0)),INDEX(Table3[[#All],[DEM]],MATCH(Table5[[#This Row],[PID]],Table3[[#All],[PID]],0)))</f>
        <v>$190k</v>
      </c>
      <c r="T365" s="64">
        <f>IF($C365="B",VLOOKUP($A365,Bat!$A$4:$AU$1417,46,FALSE),VLOOKUP($A365,Pit!$A$4:$BD$570,55,FALSE))</f>
        <v>0</v>
      </c>
      <c r="U365" s="52">
        <f>IF($C365="B",VLOOKUP($A365,Bat!$A$4:$BA$1417,47,FALSE),VLOOKUP($A365,Pit!$A$4:$BF$570,56,FALSE))</f>
        <v>0</v>
      </c>
      <c r="V365" s="52">
        <f>IF($C365="B",VLOOKUP($A365,Bat!$A$4:$BA$1417,48,FALSE),VLOOKUP($A365,Pit!$A$4:$BF$570,57,FALSE))</f>
        <v>0</v>
      </c>
      <c r="W365" s="52">
        <f>Table5[[#This Row],[posRnk]]+Table5[[#This Row],[zRnk]]+IF($W$3&lt;&gt;Table5[[#This Row],[Type]],50,0)</f>
        <v>411</v>
      </c>
      <c r="X365" s="53">
        <f>RANK(Table5[[#This Row],[zScore]],Table5[[#All],[zScore]])</f>
        <v>361</v>
      </c>
      <c r="Y365" s="52" t="str">
        <f>IFERROR(INDEX(DraftResults[[#All],[OVR]],MATCH(Table5[[#This Row],[PID]],DraftResults[[#All],[Player ID]],0)),"")</f>
        <v/>
      </c>
      <c r="Z3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5" s="52" t="str">
        <f>IFERROR(INDEX(DraftResults[[#All],[Pick in Round]],MATCH(Table5[[#This Row],[PID]],DraftResults[[#All],[Player ID]],0)),"")</f>
        <v/>
      </c>
      <c r="AB365" s="52" t="str">
        <f>IFERROR(INDEX(DraftResults[[#All],[Team Name]],MATCH(Table5[[#This Row],[PID]],DraftResults[[#All],[Player ID]],0)),"")</f>
        <v/>
      </c>
      <c r="AC365" s="52" t="str">
        <f>IF(Table5[[#This Row],[Ovr]]="","",IF(Table5[[#This Row],[cmbList]]="","",Table5[[#This Row],[cmbList]]-Table5[[#This Row],[Ovr]]))</f>
        <v/>
      </c>
      <c r="AD365" s="56" t="str">
        <f>IF(ISERROR(VLOOKUP($AB365&amp;"-"&amp;$E365&amp;" "&amp;F365,Bonuses!$B$1:$G$1006,4,FALSE)),"",INT(VLOOKUP($AB365&amp;"-"&amp;$E365&amp;" "&amp;$F365,Bonuses!$B$1:$G$1006,4,FALSE)))</f>
        <v/>
      </c>
      <c r="AE3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6" spans="1:31" s="52" customFormat="1" x14ac:dyDescent="0.25">
      <c r="A366" s="52">
        <v>17887</v>
      </c>
      <c r="B366" s="52">
        <f>COUNTIF(Table5[PID],A366)</f>
        <v>1</v>
      </c>
      <c r="C366" s="52" t="str">
        <f>IF(COUNTIF(Table3[[#All],[PID]],A366)&gt;0,"P","B")</f>
        <v>P</v>
      </c>
      <c r="D366" s="61" t="str">
        <f>IF($C366="B",INDEX(Batters[[#All],[POS]],MATCH(Table5[[#This Row],[PID]],Batters[[#All],[PID]],0)),INDEX(Table3[[#All],[POS]],MATCH(Table5[[#This Row],[PID]],Table3[[#All],[PID]],0)))</f>
        <v>SP</v>
      </c>
      <c r="E366" s="54" t="str">
        <f>IF($C366="B",INDEX(Batters[[#All],[First]],MATCH(Table5[[#This Row],[PID]],Batters[[#All],[PID]],0)),INDEX(Table3[[#All],[First]],MATCH(Table5[[#This Row],[PID]],Table3[[#All],[PID]],0)))</f>
        <v>Jesús</v>
      </c>
      <c r="F366" s="52" t="str">
        <f>IF($C366="B",INDEX(Batters[[#All],[Last]],MATCH(A366,Batters[[#All],[PID]],0)),INDEX(Table3[[#All],[Last]],MATCH(A366,Table3[[#All],[PID]],0)))</f>
        <v>Reyes</v>
      </c>
      <c r="G366" s="58">
        <f>IF($C366="B",INDEX(Batters[[#All],[Age]],MATCH(Table5[[#This Row],[PID]],Batters[[#All],[PID]],0)),INDEX(Table3[[#All],[Age]],MATCH(Table5[[#This Row],[PID]],Table3[[#All],[PID]],0)))</f>
        <v>18</v>
      </c>
      <c r="H366" s="54" t="str">
        <f>IF($C366="B",INDEX(Batters[[#All],[B]],MATCH(Table5[[#This Row],[PID]],Batters[[#All],[PID]],0)),INDEX(Table3[[#All],[B]],MATCH(Table5[[#This Row],[PID]],Table3[[#All],[PID]],0)))</f>
        <v>S</v>
      </c>
      <c r="I366" s="54" t="str">
        <f>IF($C366="B",INDEX(Batters[[#All],[T]],MATCH(Table5[[#This Row],[PID]],Batters[[#All],[PID]],0)),INDEX(Table3[[#All],[T]],MATCH(Table5[[#This Row],[PID]],Table3[[#All],[PID]],0)))</f>
        <v>R</v>
      </c>
      <c r="J366" s="54" t="str">
        <f>IF($C366="B",INDEX(Batters[[#All],[WE]],MATCH(Table5[[#This Row],[PID]],Batters[[#All],[PID]],0)),INDEX(Table3[[#All],[WE]],MATCH(Table5[[#This Row],[PID]],Table3[[#All],[PID]],0)))</f>
        <v>Normal</v>
      </c>
      <c r="K366" s="54" t="str">
        <f>IF($C366="B",INDEX(Batters[[#All],[INT]],MATCH(Table5[[#This Row],[PID]],Batters[[#All],[PID]],0)),INDEX(Table3[[#All],[INT]],MATCH(Table5[[#This Row],[PID]],Table3[[#All],[PID]],0)))</f>
        <v>Normal</v>
      </c>
      <c r="L366" s="62">
        <f>IF($C366="B",INDEX(Batters[[#All],[CON P]],MATCH(Table5[[#This Row],[PID]],Batters[[#All],[PID]],0)),INDEX(Table3[[#All],[STU P]],MATCH(Table5[[#This Row],[PID]],Table3[[#All],[PID]],0)))</f>
        <v>5</v>
      </c>
      <c r="M366" s="58">
        <f>IF($C366="B",INDEX(Batters[[#All],[GAP P]],MATCH(Table5[[#This Row],[PID]],Batters[[#All],[PID]],0)),INDEX(Table3[[#All],[MOV P]],MATCH(Table5[[#This Row],[PID]],Table3[[#All],[PID]],0)))</f>
        <v>2</v>
      </c>
      <c r="N366" s="58">
        <f>IF($C366="B",INDEX(Batters[[#All],[POW P]],MATCH(Table5[[#This Row],[PID]],Batters[[#All],[PID]],0)),INDEX(Table3[[#All],[CON P]],MATCH(Table5[[#This Row],[PID]],Table3[[#All],[PID]],0)))</f>
        <v>2</v>
      </c>
      <c r="O366" s="58" t="str">
        <f>IF($C366="B",INDEX(Batters[[#All],[EYE P]],MATCH(Table5[[#This Row],[PID]],Batters[[#All],[PID]],0)),INDEX(Table3[[#All],[VELO]],MATCH(Table5[[#This Row],[PID]],Table3[[#All],[PID]],0)))</f>
        <v>91-93 Mph</v>
      </c>
      <c r="P366" s="58">
        <f>IF($C366="B",INDEX(Batters[[#All],[K P]],MATCH(Table5[[#This Row],[PID]],Batters[[#All],[PID]],0)),INDEX(Table3[[#All],[STM]],MATCH(Table5[[#This Row],[PID]],Table3[[#All],[PID]],0)))</f>
        <v>4</v>
      </c>
      <c r="Q366" s="63">
        <f>IF($C366="B",INDEX(Batters[[#All],[Tot]],MATCH(Table5[[#This Row],[PID]],Batters[[#All],[PID]],0)),INDEX(Table3[[#All],[Tot]],MATCH(Table5[[#This Row],[PID]],Table3[[#All],[PID]],0)))</f>
        <v>35.273375145080948</v>
      </c>
      <c r="R366" s="54">
        <f>IF($C366="B",INDEX(Batters[[#All],[zScore]],MATCH(Table5[[#This Row],[PID]],Batters[[#All],[PID]],0)),INDEX(Table3[[#All],[zScore]],MATCH(Table5[[#This Row],[PID]],Table3[[#All],[PID]],0)))</f>
        <v>0.2339490012208861</v>
      </c>
      <c r="S366" s="60" t="str">
        <f>IF($C366="B",INDEX(Batters[[#All],[DEM]],MATCH(Table5[[#This Row],[PID]],Batters[[#All],[PID]],0)),INDEX(Table3[[#All],[DEM]],MATCH(Table5[[#This Row],[PID]],Table3[[#All],[PID]],0)))</f>
        <v>$75k</v>
      </c>
      <c r="T366" s="64">
        <f>IF($C366="B",VLOOKUP($A366,Bat!$A$4:$AU$1417,46,FALSE),VLOOKUP($A366,Pit!$A$4:$BD$570,55,FALSE))</f>
        <v>0</v>
      </c>
      <c r="U366" s="52">
        <f>IF($C366="B",VLOOKUP($A366,Bat!$A$4:$BA$1417,47,FALSE),VLOOKUP($A366,Pit!$A$4:$BF$570,56,FALSE))</f>
        <v>0</v>
      </c>
      <c r="V366" s="52">
        <f>IF($C366="B",VLOOKUP($A366,Bat!$A$4:$BA$1417,48,FALSE),VLOOKUP($A366,Pit!$A$4:$BF$570,57,FALSE))</f>
        <v>0</v>
      </c>
      <c r="W366" s="52">
        <f>Table5[[#This Row],[posRnk]]+Table5[[#This Row],[zRnk]]+IF($W$3&lt;&gt;Table5[[#This Row],[Type]],50,0)</f>
        <v>412</v>
      </c>
      <c r="X366" s="53">
        <f>RANK(Table5[[#This Row],[zScore]],Table5[[#All],[zScore]])</f>
        <v>362</v>
      </c>
      <c r="Y366" s="52" t="str">
        <f>IFERROR(INDEX(DraftResults[[#All],[OVR]],MATCH(Table5[[#This Row],[PID]],DraftResults[[#All],[Player ID]],0)),"")</f>
        <v/>
      </c>
      <c r="Z3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6" s="52" t="str">
        <f>IFERROR(INDEX(DraftResults[[#All],[Pick in Round]],MATCH(Table5[[#This Row],[PID]],DraftResults[[#All],[Player ID]],0)),"")</f>
        <v/>
      </c>
      <c r="AB366" s="52" t="str">
        <f>IFERROR(INDEX(DraftResults[[#All],[Team Name]],MATCH(Table5[[#This Row],[PID]],DraftResults[[#All],[Player ID]],0)),"")</f>
        <v/>
      </c>
      <c r="AC366" s="52" t="str">
        <f>IF(Table5[[#This Row],[Ovr]]="","",IF(Table5[[#This Row],[cmbList]]="","",Table5[[#This Row],[cmbList]]-Table5[[#This Row],[Ovr]]))</f>
        <v/>
      </c>
      <c r="AD366" s="56" t="str">
        <f>IF(ISERROR(VLOOKUP($AB366&amp;"-"&amp;$E366&amp;" "&amp;F366,Bonuses!$B$1:$G$1006,4,FALSE)),"",INT(VLOOKUP($AB366&amp;"-"&amp;$E366&amp;" "&amp;$F366,Bonuses!$B$1:$G$1006,4,FALSE)))</f>
        <v/>
      </c>
      <c r="AE3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7" spans="1:31" s="52" customFormat="1" x14ac:dyDescent="0.25">
      <c r="A367" s="52">
        <v>8699</v>
      </c>
      <c r="B367" s="52">
        <f>COUNTIF(Table5[PID],A367)</f>
        <v>1</v>
      </c>
      <c r="C367" s="52" t="str">
        <f>IF(COUNTIF(Table3[[#All],[PID]],A367)&gt;0,"P","B")</f>
        <v>B</v>
      </c>
      <c r="D367" s="61" t="str">
        <f>IF($C367="B",INDEX(Batters[[#All],[POS]],MATCH(Table5[[#This Row],[PID]],Batters[[#All],[PID]],0)),INDEX(Table3[[#All],[POS]],MATCH(Table5[[#This Row],[PID]],Table3[[#All],[PID]],0)))</f>
        <v>LF</v>
      </c>
      <c r="E367" s="54" t="str">
        <f>IF($C367="B",INDEX(Batters[[#All],[First]],MATCH(Table5[[#This Row],[PID]],Batters[[#All],[PID]],0)),INDEX(Table3[[#All],[First]],MATCH(Table5[[#This Row],[PID]],Table3[[#All],[PID]],0)))</f>
        <v>Marco</v>
      </c>
      <c r="F367" s="52" t="str">
        <f>IF($C367="B",INDEX(Batters[[#All],[Last]],MATCH(A367,Batters[[#All],[PID]],0)),INDEX(Table3[[#All],[Last]],MATCH(A367,Table3[[#All],[PID]],0)))</f>
        <v>Irvegas</v>
      </c>
      <c r="G367" s="58">
        <f>IF($C367="B",INDEX(Batters[[#All],[Age]],MATCH(Table5[[#This Row],[PID]],Batters[[#All],[PID]],0)),INDEX(Table3[[#All],[Age]],MATCH(Table5[[#This Row],[PID]],Table3[[#All],[PID]],0)))</f>
        <v>18</v>
      </c>
      <c r="H367" s="54" t="str">
        <f>IF($C367="B",INDEX(Batters[[#All],[B]],MATCH(Table5[[#This Row],[PID]],Batters[[#All],[PID]],0)),INDEX(Table3[[#All],[B]],MATCH(Table5[[#This Row],[PID]],Table3[[#All],[PID]],0)))</f>
        <v>L</v>
      </c>
      <c r="I367" s="54" t="str">
        <f>IF($C367="B",INDEX(Batters[[#All],[T]],MATCH(Table5[[#This Row],[PID]],Batters[[#All],[PID]],0)),INDEX(Table3[[#All],[T]],MATCH(Table5[[#This Row],[PID]],Table3[[#All],[PID]],0)))</f>
        <v>L</v>
      </c>
      <c r="J367" s="54" t="str">
        <f>IF($C367="B",INDEX(Batters[[#All],[WE]],MATCH(Table5[[#This Row],[PID]],Batters[[#All],[PID]],0)),INDEX(Table3[[#All],[WE]],MATCH(Table5[[#This Row],[PID]],Table3[[#All],[PID]],0)))</f>
        <v>High</v>
      </c>
      <c r="K367" s="54" t="str">
        <f>IF($C367="B",INDEX(Batters[[#All],[INT]],MATCH(Table5[[#This Row],[PID]],Batters[[#All],[PID]],0)),INDEX(Table3[[#All],[INT]],MATCH(Table5[[#This Row],[PID]],Table3[[#All],[PID]],0)))</f>
        <v>Low</v>
      </c>
      <c r="L367" s="62">
        <f>IF($C367="B",INDEX(Batters[[#All],[CON P]],MATCH(Table5[[#This Row],[PID]],Batters[[#All],[PID]],0)),INDEX(Table3[[#All],[STU P]],MATCH(Table5[[#This Row],[PID]],Table3[[#All],[PID]],0)))</f>
        <v>3</v>
      </c>
      <c r="M367" s="58">
        <f>IF($C367="B",INDEX(Batters[[#All],[GAP P]],MATCH(Table5[[#This Row],[PID]],Batters[[#All],[PID]],0)),INDEX(Table3[[#All],[MOV P]],MATCH(Table5[[#This Row],[PID]],Table3[[#All],[PID]],0)))</f>
        <v>3</v>
      </c>
      <c r="N367" s="58">
        <f>IF($C367="B",INDEX(Batters[[#All],[POW P]],MATCH(Table5[[#This Row],[PID]],Batters[[#All],[PID]],0)),INDEX(Table3[[#All],[CON P]],MATCH(Table5[[#This Row],[PID]],Table3[[#All],[PID]],0)))</f>
        <v>5</v>
      </c>
      <c r="O367" s="58">
        <f>IF($C367="B",INDEX(Batters[[#All],[EYE P]],MATCH(Table5[[#This Row],[PID]],Batters[[#All],[PID]],0)),INDEX(Table3[[#All],[VELO]],MATCH(Table5[[#This Row],[PID]],Table3[[#All],[PID]],0)))</f>
        <v>4</v>
      </c>
      <c r="P367" s="58">
        <f>IF($C367="B",INDEX(Batters[[#All],[K P]],MATCH(Table5[[#This Row],[PID]],Batters[[#All],[PID]],0)),INDEX(Table3[[#All],[STM]],MATCH(Table5[[#This Row],[PID]],Table3[[#All],[PID]],0)))</f>
        <v>2</v>
      </c>
      <c r="Q367" s="63">
        <f>IF($C367="B",INDEX(Batters[[#All],[Tot]],MATCH(Table5[[#This Row],[PID]],Batters[[#All],[PID]],0)),INDEX(Table3[[#All],[Tot]],MATCH(Table5[[#This Row],[PID]],Table3[[#All],[PID]],0)))</f>
        <v>41.676220387499029</v>
      </c>
      <c r="R367" s="54">
        <f>IF($C367="B",INDEX(Batters[[#All],[zScore]],MATCH(Table5[[#This Row],[PID]],Batters[[#All],[PID]],0)),INDEX(Table3[[#All],[zScore]],MATCH(Table5[[#This Row],[PID]],Table3[[#All],[PID]],0)))</f>
        <v>0.23364802839973156</v>
      </c>
      <c r="S367" s="60" t="str">
        <f>IF($C367="B",INDEX(Batters[[#All],[DEM]],MATCH(Table5[[#This Row],[PID]],Batters[[#All],[PID]],0)),INDEX(Table3[[#All],[DEM]],MATCH(Table5[[#This Row],[PID]],Table3[[#All],[PID]],0)))</f>
        <v>$65k</v>
      </c>
      <c r="T367" s="64">
        <f>IF($C367="B",VLOOKUP($A367,Bat!$A$4:$AU$1417,46,FALSE),VLOOKUP($A367,Pit!$A$4:$BD$570,55,FALSE))</f>
        <v>0</v>
      </c>
      <c r="U367" s="52">
        <f>IF($C367="B",VLOOKUP($A367,Bat!$A$4:$BA$1417,47,FALSE),VLOOKUP($A367,Pit!$A$4:$BF$570,56,FALSE))</f>
        <v>0</v>
      </c>
      <c r="V367" s="52">
        <f>IF($C367="B",VLOOKUP($A367,Bat!$A$4:$BA$1417,48,FALSE),VLOOKUP($A367,Pit!$A$4:$BF$570,57,FALSE))</f>
        <v>0</v>
      </c>
      <c r="W367" s="52">
        <f>Table5[[#This Row],[posRnk]]+Table5[[#This Row],[zRnk]]+IF($W$3&lt;&gt;Table5[[#This Row],[Type]],50,0)</f>
        <v>413</v>
      </c>
      <c r="X367" s="53">
        <f>RANK(Table5[[#This Row],[zScore]],Table5[[#All],[zScore]])</f>
        <v>363</v>
      </c>
      <c r="Y367" s="52" t="str">
        <f>IFERROR(INDEX(DraftResults[[#All],[OVR]],MATCH(Table5[[#This Row],[PID]],DraftResults[[#All],[Player ID]],0)),"")</f>
        <v/>
      </c>
      <c r="Z3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7" s="52" t="str">
        <f>IFERROR(INDEX(DraftResults[[#All],[Pick in Round]],MATCH(Table5[[#This Row],[PID]],DraftResults[[#All],[Player ID]],0)),"")</f>
        <v/>
      </c>
      <c r="AB367" s="52" t="str">
        <f>IFERROR(INDEX(DraftResults[[#All],[Team Name]],MATCH(Table5[[#This Row],[PID]],DraftResults[[#All],[Player ID]],0)),"")</f>
        <v/>
      </c>
      <c r="AC367" s="52" t="str">
        <f>IF(Table5[[#This Row],[Ovr]]="","",IF(Table5[[#This Row],[cmbList]]="","",Table5[[#This Row],[cmbList]]-Table5[[#This Row],[Ovr]]))</f>
        <v/>
      </c>
      <c r="AD367" s="56" t="str">
        <f>IF(ISERROR(VLOOKUP($AB367&amp;"-"&amp;$E367&amp;" "&amp;F367,Bonuses!$B$1:$G$1006,4,FALSE)),"",INT(VLOOKUP($AB367&amp;"-"&amp;$E367&amp;" "&amp;$F367,Bonuses!$B$1:$G$1006,4,FALSE)))</f>
        <v/>
      </c>
      <c r="AE3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8" spans="1:31" s="52" customFormat="1" x14ac:dyDescent="0.25">
      <c r="A368" s="52">
        <v>8702</v>
      </c>
      <c r="B368" s="52">
        <f>COUNTIF(Table5[PID],A368)</f>
        <v>1</v>
      </c>
      <c r="C368" s="52" t="str">
        <f>IF(COUNTIF(Table3[[#All],[PID]],A368)&gt;0,"P","B")</f>
        <v>B</v>
      </c>
      <c r="D368" s="61" t="str">
        <f>IF($C368="B",INDEX(Batters[[#All],[POS]],MATCH(Table5[[#This Row],[PID]],Batters[[#All],[PID]],0)),INDEX(Table3[[#All],[POS]],MATCH(Table5[[#This Row],[PID]],Table3[[#All],[PID]],0)))</f>
        <v>C</v>
      </c>
      <c r="E368" s="54" t="str">
        <f>IF($C368="B",INDEX(Batters[[#All],[First]],MATCH(Table5[[#This Row],[PID]],Batters[[#All],[PID]],0)),INDEX(Table3[[#All],[First]],MATCH(Table5[[#This Row],[PID]],Table3[[#All],[PID]],0)))</f>
        <v>Jimmy</v>
      </c>
      <c r="F368" s="52" t="str">
        <f>IF($C368="B",INDEX(Batters[[#All],[Last]],MATCH(A368,Batters[[#All],[PID]],0)),INDEX(Table3[[#All],[Last]],MATCH(A368,Table3[[#All],[PID]],0)))</f>
        <v>Webber</v>
      </c>
      <c r="G368" s="58">
        <f>IF($C368="B",INDEX(Batters[[#All],[Age]],MATCH(Table5[[#This Row],[PID]],Batters[[#All],[PID]],0)),INDEX(Table3[[#All],[Age]],MATCH(Table5[[#This Row],[PID]],Table3[[#All],[PID]],0)))</f>
        <v>18</v>
      </c>
      <c r="H368" s="54" t="str">
        <f>IF($C368="B",INDEX(Batters[[#All],[B]],MATCH(Table5[[#This Row],[PID]],Batters[[#All],[PID]],0)),INDEX(Table3[[#All],[B]],MATCH(Table5[[#This Row],[PID]],Table3[[#All],[PID]],0)))</f>
        <v>R</v>
      </c>
      <c r="I368" s="54" t="str">
        <f>IF($C368="B",INDEX(Batters[[#All],[T]],MATCH(Table5[[#This Row],[PID]],Batters[[#All],[PID]],0)),INDEX(Table3[[#All],[T]],MATCH(Table5[[#This Row],[PID]],Table3[[#All],[PID]],0)))</f>
        <v>R</v>
      </c>
      <c r="J368" s="54" t="str">
        <f>IF($C368="B",INDEX(Batters[[#All],[WE]],MATCH(Table5[[#This Row],[PID]],Batters[[#All],[PID]],0)),INDEX(Table3[[#All],[WE]],MATCH(Table5[[#This Row],[PID]],Table3[[#All],[PID]],0)))</f>
        <v>Normal</v>
      </c>
      <c r="K368" s="54" t="str">
        <f>IF($C368="B",INDEX(Batters[[#All],[INT]],MATCH(Table5[[#This Row],[PID]],Batters[[#All],[PID]],0)),INDEX(Table3[[#All],[INT]],MATCH(Table5[[#This Row],[PID]],Table3[[#All],[PID]],0)))</f>
        <v>Normal</v>
      </c>
      <c r="L368" s="62">
        <f>IF($C368="B",INDEX(Batters[[#All],[CON P]],MATCH(Table5[[#This Row],[PID]],Batters[[#All],[PID]],0)),INDEX(Table3[[#All],[STU P]],MATCH(Table5[[#This Row],[PID]],Table3[[#All],[PID]],0)))</f>
        <v>3</v>
      </c>
      <c r="M368" s="58">
        <f>IF($C368="B",INDEX(Batters[[#All],[GAP P]],MATCH(Table5[[#This Row],[PID]],Batters[[#All],[PID]],0)),INDEX(Table3[[#All],[MOV P]],MATCH(Table5[[#This Row],[PID]],Table3[[#All],[PID]],0)))</f>
        <v>2</v>
      </c>
      <c r="N368" s="58">
        <f>IF($C368="B",INDEX(Batters[[#All],[POW P]],MATCH(Table5[[#This Row],[PID]],Batters[[#All],[PID]],0)),INDEX(Table3[[#All],[CON P]],MATCH(Table5[[#This Row],[PID]],Table3[[#All],[PID]],0)))</f>
        <v>4</v>
      </c>
      <c r="O368" s="58">
        <f>IF($C368="B",INDEX(Batters[[#All],[EYE P]],MATCH(Table5[[#This Row],[PID]],Batters[[#All],[PID]],0)),INDEX(Table3[[#All],[VELO]],MATCH(Table5[[#This Row],[PID]],Table3[[#All],[PID]],0)))</f>
        <v>4</v>
      </c>
      <c r="P368" s="58">
        <f>IF($C368="B",INDEX(Batters[[#All],[K P]],MATCH(Table5[[#This Row],[PID]],Batters[[#All],[PID]],0)),INDEX(Table3[[#All],[STM]],MATCH(Table5[[#This Row],[PID]],Table3[[#All],[PID]],0)))</f>
        <v>3</v>
      </c>
      <c r="Q368" s="63">
        <f>IF($C368="B",INDEX(Batters[[#All],[Tot]],MATCH(Table5[[#This Row],[PID]],Batters[[#All],[PID]],0)),INDEX(Table3[[#All],[Tot]],MATCH(Table5[[#This Row],[PID]],Table3[[#All],[PID]],0)))</f>
        <v>41.671959981592778</v>
      </c>
      <c r="R368" s="54">
        <f>IF($C368="B",INDEX(Batters[[#All],[zScore]],MATCH(Table5[[#This Row],[PID]],Batters[[#All],[PID]],0)),INDEX(Table3[[#All],[zScore]],MATCH(Table5[[#This Row],[PID]],Table3[[#All],[PID]],0)))</f>
        <v>0.2328984382964768</v>
      </c>
      <c r="S368" s="60" t="str">
        <f>IF($C368="B",INDEX(Batters[[#All],[DEM]],MATCH(Table5[[#This Row],[PID]],Batters[[#All],[PID]],0)),INDEX(Table3[[#All],[DEM]],MATCH(Table5[[#This Row],[PID]],Table3[[#All],[PID]],0)))</f>
        <v>$190k</v>
      </c>
      <c r="T368" s="64">
        <f>IF($C368="B",VLOOKUP($A368,Bat!$A$4:$AU$1417,46,FALSE),VLOOKUP($A368,Pit!$A$4:$BD$570,55,FALSE))</f>
        <v>0</v>
      </c>
      <c r="U368" s="52">
        <f>IF($C368="B",VLOOKUP($A368,Bat!$A$4:$BA$1417,47,FALSE),VLOOKUP($A368,Pit!$A$4:$BF$570,56,FALSE))</f>
        <v>0</v>
      </c>
      <c r="V368" s="52">
        <f>IF($C368="B",VLOOKUP($A368,Bat!$A$4:$BA$1417,48,FALSE),VLOOKUP($A368,Pit!$A$4:$BF$570,57,FALSE))</f>
        <v>0</v>
      </c>
      <c r="W368" s="52">
        <f>Table5[[#This Row],[posRnk]]+Table5[[#This Row],[zRnk]]+IF($W$3&lt;&gt;Table5[[#This Row],[Type]],50,0)</f>
        <v>414</v>
      </c>
      <c r="X368" s="53">
        <f>RANK(Table5[[#This Row],[zScore]],Table5[[#All],[zScore]])</f>
        <v>364</v>
      </c>
      <c r="Y368" s="52" t="str">
        <f>IFERROR(INDEX(DraftResults[[#All],[OVR]],MATCH(Table5[[#This Row],[PID]],DraftResults[[#All],[Player ID]],0)),"")</f>
        <v/>
      </c>
      <c r="Z3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8" s="52" t="str">
        <f>IFERROR(INDEX(DraftResults[[#All],[Pick in Round]],MATCH(Table5[[#This Row],[PID]],DraftResults[[#All],[Player ID]],0)),"")</f>
        <v/>
      </c>
      <c r="AB368" s="52" t="str">
        <f>IFERROR(INDEX(DraftResults[[#All],[Team Name]],MATCH(Table5[[#This Row],[PID]],DraftResults[[#All],[Player ID]],0)),"")</f>
        <v/>
      </c>
      <c r="AC368" s="52" t="str">
        <f>IF(Table5[[#This Row],[Ovr]]="","",IF(Table5[[#This Row],[cmbList]]="","",Table5[[#This Row],[cmbList]]-Table5[[#This Row],[Ovr]]))</f>
        <v/>
      </c>
      <c r="AD368" s="56" t="str">
        <f>IF(ISERROR(VLOOKUP($AB368&amp;"-"&amp;$E368&amp;" "&amp;F368,Bonuses!$B$1:$G$1006,4,FALSE)),"",INT(VLOOKUP($AB368&amp;"-"&amp;$E368&amp;" "&amp;$F368,Bonuses!$B$1:$G$1006,4,FALSE)))</f>
        <v/>
      </c>
      <c r="AE3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9" spans="1:31" s="52" customFormat="1" x14ac:dyDescent="0.25">
      <c r="A369" s="52">
        <v>12554</v>
      </c>
      <c r="B369" s="52">
        <f>COUNTIF(Table5[PID],A369)</f>
        <v>1</v>
      </c>
      <c r="C369" s="52" t="str">
        <f>IF(COUNTIF(Table3[[#All],[PID]],A369)&gt;0,"P","B")</f>
        <v>P</v>
      </c>
      <c r="D369" s="61" t="str">
        <f>IF($C369="B",INDEX(Batters[[#All],[POS]],MATCH(Table5[[#This Row],[PID]],Batters[[#All],[PID]],0)),INDEX(Table3[[#All],[POS]],MATCH(Table5[[#This Row],[PID]],Table3[[#All],[PID]],0)))</f>
        <v>SP</v>
      </c>
      <c r="E369" s="54" t="str">
        <f>IF($C369="B",INDEX(Batters[[#All],[First]],MATCH(Table5[[#This Row],[PID]],Batters[[#All],[PID]],0)),INDEX(Table3[[#All],[First]],MATCH(Table5[[#This Row],[PID]],Table3[[#All],[PID]],0)))</f>
        <v>Cameron</v>
      </c>
      <c r="F369" s="52" t="str">
        <f>IF($C369="B",INDEX(Batters[[#All],[Last]],MATCH(A369,Batters[[#All],[PID]],0)),INDEX(Table3[[#All],[Last]],MATCH(A369,Table3[[#All],[PID]],0)))</f>
        <v>MacBride</v>
      </c>
      <c r="G369" s="58">
        <f>IF($C369="B",INDEX(Batters[[#All],[Age]],MATCH(Table5[[#This Row],[PID]],Batters[[#All],[PID]],0)),INDEX(Table3[[#All],[Age]],MATCH(Table5[[#This Row],[PID]],Table3[[#All],[PID]],0)))</f>
        <v>21</v>
      </c>
      <c r="H369" s="54" t="str">
        <f>IF($C369="B",INDEX(Batters[[#All],[B]],MATCH(Table5[[#This Row],[PID]],Batters[[#All],[PID]],0)),INDEX(Table3[[#All],[B]],MATCH(Table5[[#This Row],[PID]],Table3[[#All],[PID]],0)))</f>
        <v>S</v>
      </c>
      <c r="I369" s="54" t="str">
        <f>IF($C369="B",INDEX(Batters[[#All],[T]],MATCH(Table5[[#This Row],[PID]],Batters[[#All],[PID]],0)),INDEX(Table3[[#All],[T]],MATCH(Table5[[#This Row],[PID]],Table3[[#All],[PID]],0)))</f>
        <v>R</v>
      </c>
      <c r="J369" s="54" t="str">
        <f>IF($C369="B",INDEX(Batters[[#All],[WE]],MATCH(Table5[[#This Row],[PID]],Batters[[#All],[PID]],0)),INDEX(Table3[[#All],[WE]],MATCH(Table5[[#This Row],[PID]],Table3[[#All],[PID]],0)))</f>
        <v>High</v>
      </c>
      <c r="K369" s="54" t="str">
        <f>IF($C369="B",INDEX(Batters[[#All],[INT]],MATCH(Table5[[#This Row],[PID]],Batters[[#All],[PID]],0)),INDEX(Table3[[#All],[INT]],MATCH(Table5[[#This Row],[PID]],Table3[[#All],[PID]],0)))</f>
        <v>Low</v>
      </c>
      <c r="L369" s="62">
        <f>IF($C369="B",INDEX(Batters[[#All],[CON P]],MATCH(Table5[[#This Row],[PID]],Batters[[#All],[PID]],0)),INDEX(Table3[[#All],[STU P]],MATCH(Table5[[#This Row],[PID]],Table3[[#All],[PID]],0)))</f>
        <v>5</v>
      </c>
      <c r="M369" s="58">
        <f>IF($C369="B",INDEX(Batters[[#All],[GAP P]],MATCH(Table5[[#This Row],[PID]],Batters[[#All],[PID]],0)),INDEX(Table3[[#All],[MOV P]],MATCH(Table5[[#This Row],[PID]],Table3[[#All],[PID]],0)))</f>
        <v>3</v>
      </c>
      <c r="N369" s="58">
        <f>IF($C369="B",INDEX(Batters[[#All],[POW P]],MATCH(Table5[[#This Row],[PID]],Batters[[#All],[PID]],0)),INDEX(Table3[[#All],[CON P]],MATCH(Table5[[#This Row],[PID]],Table3[[#All],[PID]],0)))</f>
        <v>2</v>
      </c>
      <c r="O369" s="58" t="str">
        <f>IF($C369="B",INDEX(Batters[[#All],[EYE P]],MATCH(Table5[[#This Row],[PID]],Batters[[#All],[PID]],0)),INDEX(Table3[[#All],[VELO]],MATCH(Table5[[#This Row],[PID]],Table3[[#All],[PID]],0)))</f>
        <v>95-97 Mph</v>
      </c>
      <c r="P369" s="58">
        <f>IF($C369="B",INDEX(Batters[[#All],[K P]],MATCH(Table5[[#This Row],[PID]],Batters[[#All],[PID]],0)),INDEX(Table3[[#All],[STM]],MATCH(Table5[[#This Row],[PID]],Table3[[#All],[PID]],0)))</f>
        <v>9</v>
      </c>
      <c r="Q369" s="63">
        <f>IF($C369="B",INDEX(Batters[[#All],[Tot]],MATCH(Table5[[#This Row],[PID]],Batters[[#All],[PID]],0)),INDEX(Table3[[#All],[Tot]],MATCH(Table5[[#This Row],[PID]],Table3[[#All],[PID]],0)))</f>
        <v>35.243155330899128</v>
      </c>
      <c r="R369" s="54">
        <f>IF($C369="B",INDEX(Batters[[#All],[zScore]],MATCH(Table5[[#This Row],[PID]],Batters[[#All],[PID]],0)),INDEX(Table3[[#All],[zScore]],MATCH(Table5[[#This Row],[PID]],Table3[[#All],[PID]],0)))</f>
        <v>0.23117771509821283</v>
      </c>
      <c r="S369" s="60" t="str">
        <f>IF($C369="B",INDEX(Batters[[#All],[DEM]],MATCH(Table5[[#This Row],[PID]],Batters[[#All],[PID]],0)),INDEX(Table3[[#All],[DEM]],MATCH(Table5[[#This Row],[PID]],Table3[[#All],[PID]],0)))</f>
        <v>-</v>
      </c>
      <c r="T369" s="64">
        <f>IF($C369="B",VLOOKUP($A369,Bat!$A$4:$AU$1417,46,FALSE),VLOOKUP($A369,Pit!$A$4:$BD$570,55,FALSE))</f>
        <v>0</v>
      </c>
      <c r="U369" s="52">
        <f>IF($C369="B",VLOOKUP($A369,Bat!$A$4:$BA$1417,47,FALSE),VLOOKUP($A369,Pit!$A$4:$BF$570,56,FALSE))</f>
        <v>0</v>
      </c>
      <c r="V369" s="52">
        <f>IF($C369="B",VLOOKUP($A369,Bat!$A$4:$BA$1417,48,FALSE),VLOOKUP($A369,Pit!$A$4:$BF$570,57,FALSE))</f>
        <v>0</v>
      </c>
      <c r="W369" s="52">
        <f>Table5[[#This Row],[posRnk]]+Table5[[#This Row],[zRnk]]+IF($W$3&lt;&gt;Table5[[#This Row],[Type]],50,0)</f>
        <v>415</v>
      </c>
      <c r="X369" s="53">
        <f>RANK(Table5[[#This Row],[zScore]],Table5[[#All],[zScore]])</f>
        <v>365</v>
      </c>
      <c r="Y369" s="52" t="str">
        <f>IFERROR(INDEX(DraftResults[[#All],[OVR]],MATCH(Table5[[#This Row],[PID]],DraftResults[[#All],[Player ID]],0)),"")</f>
        <v/>
      </c>
      <c r="Z3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9" s="52" t="str">
        <f>IFERROR(INDEX(DraftResults[[#All],[Pick in Round]],MATCH(Table5[[#This Row],[PID]],DraftResults[[#All],[Player ID]],0)),"")</f>
        <v/>
      </c>
      <c r="AB369" s="52" t="str">
        <f>IFERROR(INDEX(DraftResults[[#All],[Team Name]],MATCH(Table5[[#This Row],[PID]],DraftResults[[#All],[Player ID]],0)),"")</f>
        <v/>
      </c>
      <c r="AC369" s="52" t="str">
        <f>IF(Table5[[#This Row],[Ovr]]="","",IF(Table5[[#This Row],[cmbList]]="","",Table5[[#This Row],[cmbList]]-Table5[[#This Row],[Ovr]]))</f>
        <v/>
      </c>
      <c r="AD369" s="56" t="str">
        <f>IF(ISERROR(VLOOKUP($AB369&amp;"-"&amp;$E369&amp;" "&amp;F369,Bonuses!$B$1:$G$1006,4,FALSE)),"",INT(VLOOKUP($AB369&amp;"-"&amp;$E369&amp;" "&amp;$F369,Bonuses!$B$1:$G$1006,4,FALSE)))</f>
        <v/>
      </c>
      <c r="AE3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0" spans="1:31" s="52" customFormat="1" x14ac:dyDescent="0.25">
      <c r="A370" s="52">
        <v>6232</v>
      </c>
      <c r="B370" s="52">
        <f>COUNTIF(Table5[PID],A370)</f>
        <v>1</v>
      </c>
      <c r="C370" s="52" t="str">
        <f>IF(COUNTIF(Table3[[#All],[PID]],A370)&gt;0,"P","B")</f>
        <v>P</v>
      </c>
      <c r="D370" s="61" t="str">
        <f>IF($C370="B",INDEX(Batters[[#All],[POS]],MATCH(Table5[[#This Row],[PID]],Batters[[#All],[PID]],0)),INDEX(Table3[[#All],[POS]],MATCH(Table5[[#This Row],[PID]],Table3[[#All],[PID]],0)))</f>
        <v>SP</v>
      </c>
      <c r="E370" s="54" t="str">
        <f>IF($C370="B",INDEX(Batters[[#All],[First]],MATCH(Table5[[#This Row],[PID]],Batters[[#All],[PID]],0)),INDEX(Table3[[#All],[First]],MATCH(Table5[[#This Row],[PID]],Table3[[#All],[PID]],0)))</f>
        <v>Anastasio</v>
      </c>
      <c r="F370" s="52" t="str">
        <f>IF($C370="B",INDEX(Batters[[#All],[Last]],MATCH(A370,Batters[[#All],[PID]],0)),INDEX(Table3[[#All],[Last]],MATCH(A370,Table3[[#All],[PID]],0)))</f>
        <v>Luna</v>
      </c>
      <c r="G370" s="58">
        <f>IF($C370="B",INDEX(Batters[[#All],[Age]],MATCH(Table5[[#This Row],[PID]],Batters[[#All],[PID]],0)),INDEX(Table3[[#All],[Age]],MATCH(Table5[[#This Row],[PID]],Table3[[#All],[PID]],0)))</f>
        <v>18</v>
      </c>
      <c r="H370" s="54" t="str">
        <f>IF($C370="B",INDEX(Batters[[#All],[B]],MATCH(Table5[[#This Row],[PID]],Batters[[#All],[PID]],0)),INDEX(Table3[[#All],[B]],MATCH(Table5[[#This Row],[PID]],Table3[[#All],[PID]],0)))</f>
        <v>R</v>
      </c>
      <c r="I370" s="54" t="str">
        <f>IF($C370="B",INDEX(Batters[[#All],[T]],MATCH(Table5[[#This Row],[PID]],Batters[[#All],[PID]],0)),INDEX(Table3[[#All],[T]],MATCH(Table5[[#This Row],[PID]],Table3[[#All],[PID]],0)))</f>
        <v>R</v>
      </c>
      <c r="J370" s="54" t="str">
        <f>IF($C370="B",INDEX(Batters[[#All],[WE]],MATCH(Table5[[#This Row],[PID]],Batters[[#All],[PID]],0)),INDEX(Table3[[#All],[WE]],MATCH(Table5[[#This Row],[PID]],Table3[[#All],[PID]],0)))</f>
        <v>Normal</v>
      </c>
      <c r="K370" s="54" t="str">
        <f>IF($C370="B",INDEX(Batters[[#All],[INT]],MATCH(Table5[[#This Row],[PID]],Batters[[#All],[PID]],0)),INDEX(Table3[[#All],[INT]],MATCH(Table5[[#This Row],[PID]],Table3[[#All],[PID]],0)))</f>
        <v>Normal</v>
      </c>
      <c r="L370" s="62">
        <f>IF($C370="B",INDEX(Batters[[#All],[CON P]],MATCH(Table5[[#This Row],[PID]],Batters[[#All],[PID]],0)),INDEX(Table3[[#All],[STU P]],MATCH(Table5[[#This Row],[PID]],Table3[[#All],[PID]],0)))</f>
        <v>4</v>
      </c>
      <c r="M370" s="58">
        <f>IF($C370="B",INDEX(Batters[[#All],[GAP P]],MATCH(Table5[[#This Row],[PID]],Batters[[#All],[PID]],0)),INDEX(Table3[[#All],[MOV P]],MATCH(Table5[[#This Row],[PID]],Table3[[#All],[PID]],0)))</f>
        <v>2</v>
      </c>
      <c r="N370" s="58">
        <f>IF($C370="B",INDEX(Batters[[#All],[POW P]],MATCH(Table5[[#This Row],[PID]],Batters[[#All],[PID]],0)),INDEX(Table3[[#All],[CON P]],MATCH(Table5[[#This Row],[PID]],Table3[[#All],[PID]],0)))</f>
        <v>3</v>
      </c>
      <c r="O370" s="58" t="str">
        <f>IF($C370="B",INDEX(Batters[[#All],[EYE P]],MATCH(Table5[[#This Row],[PID]],Batters[[#All],[PID]],0)),INDEX(Table3[[#All],[VELO]],MATCH(Table5[[#This Row],[PID]],Table3[[#All],[PID]],0)))</f>
        <v>86-88 Mph</v>
      </c>
      <c r="P370" s="58">
        <f>IF($C370="B",INDEX(Batters[[#All],[K P]],MATCH(Table5[[#This Row],[PID]],Batters[[#All],[PID]],0)),INDEX(Table3[[#All],[STM]],MATCH(Table5[[#This Row],[PID]],Table3[[#All],[PID]],0)))</f>
        <v>4</v>
      </c>
      <c r="Q370" s="63">
        <f>IF($C370="B",INDEX(Batters[[#All],[Tot]],MATCH(Table5[[#This Row],[PID]],Batters[[#All],[PID]],0)),INDEX(Table3[[#All],[Tot]],MATCH(Table5[[#This Row],[PID]],Table3[[#All],[PID]],0)))</f>
        <v>35.219621988823476</v>
      </c>
      <c r="R370" s="54">
        <f>IF($C370="B",INDEX(Batters[[#All],[zScore]],MATCH(Table5[[#This Row],[PID]],Batters[[#All],[PID]],0)),INDEX(Table3[[#All],[zScore]],MATCH(Table5[[#This Row],[PID]],Table3[[#All],[PID]],0)))</f>
        <v>0.22901960704625754</v>
      </c>
      <c r="S370" s="60" t="str">
        <f>IF($C370="B",INDEX(Batters[[#All],[DEM]],MATCH(Table5[[#This Row],[PID]],Batters[[#All],[PID]],0)),INDEX(Table3[[#All],[DEM]],MATCH(Table5[[#This Row],[PID]],Table3[[#All],[PID]],0)))</f>
        <v>$75k</v>
      </c>
      <c r="T370" s="64">
        <f>IF($C370="B",VLOOKUP($A370,Bat!$A$4:$AU$1417,46,FALSE),VLOOKUP($A370,Pit!$A$4:$BD$570,55,FALSE))</f>
        <v>0</v>
      </c>
      <c r="U370" s="52">
        <f>IF($C370="B",VLOOKUP($A370,Bat!$A$4:$BA$1417,47,FALSE),VLOOKUP($A370,Pit!$A$4:$BF$570,56,FALSE))</f>
        <v>0</v>
      </c>
      <c r="V370" s="52">
        <f>IF($C370="B",VLOOKUP($A370,Bat!$A$4:$BA$1417,48,FALSE),VLOOKUP($A370,Pit!$A$4:$BF$570,57,FALSE))</f>
        <v>0</v>
      </c>
      <c r="W370" s="52">
        <f>Table5[[#This Row],[posRnk]]+Table5[[#This Row],[zRnk]]+IF($W$3&lt;&gt;Table5[[#This Row],[Type]],50,0)</f>
        <v>416</v>
      </c>
      <c r="X370" s="53">
        <f>RANK(Table5[[#This Row],[zScore]],Table5[[#All],[zScore]])</f>
        <v>366</v>
      </c>
      <c r="Y370" s="52" t="str">
        <f>IFERROR(INDEX(DraftResults[[#All],[OVR]],MATCH(Table5[[#This Row],[PID]],DraftResults[[#All],[Player ID]],0)),"")</f>
        <v/>
      </c>
      <c r="Z3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0" s="52" t="str">
        <f>IFERROR(INDEX(DraftResults[[#All],[Pick in Round]],MATCH(Table5[[#This Row],[PID]],DraftResults[[#All],[Player ID]],0)),"")</f>
        <v/>
      </c>
      <c r="AB370" s="52" t="str">
        <f>IFERROR(INDEX(DraftResults[[#All],[Team Name]],MATCH(Table5[[#This Row],[PID]],DraftResults[[#All],[Player ID]],0)),"")</f>
        <v/>
      </c>
      <c r="AC370" s="52" t="str">
        <f>IF(Table5[[#This Row],[Ovr]]="","",IF(Table5[[#This Row],[cmbList]]="","",Table5[[#This Row],[cmbList]]-Table5[[#This Row],[Ovr]]))</f>
        <v/>
      </c>
      <c r="AD370" s="56" t="str">
        <f>IF(ISERROR(VLOOKUP($AB370&amp;"-"&amp;$E370&amp;" "&amp;F370,Bonuses!$B$1:$G$1006,4,FALSE)),"",INT(VLOOKUP($AB370&amp;"-"&amp;$E370&amp;" "&amp;$F370,Bonuses!$B$1:$G$1006,4,FALSE)))</f>
        <v/>
      </c>
      <c r="AE3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1" spans="1:31" s="52" customFormat="1" x14ac:dyDescent="0.25">
      <c r="A371" s="52">
        <v>6451</v>
      </c>
      <c r="B371" s="52">
        <f>COUNTIF(Table5[PID],A371)</f>
        <v>1</v>
      </c>
      <c r="C371" s="52" t="str">
        <f>IF(COUNTIF(Table3[[#All],[PID]],A371)&gt;0,"P","B")</f>
        <v>P</v>
      </c>
      <c r="D371" s="61" t="str">
        <f>IF($C371="B",INDEX(Batters[[#All],[POS]],MATCH(Table5[[#This Row],[PID]],Batters[[#All],[PID]],0)),INDEX(Table3[[#All],[POS]],MATCH(Table5[[#This Row],[PID]],Table3[[#All],[PID]],0)))</f>
        <v>SP</v>
      </c>
      <c r="E371" s="54" t="str">
        <f>IF($C371="B",INDEX(Batters[[#All],[First]],MATCH(Table5[[#This Row],[PID]],Batters[[#All],[PID]],0)),INDEX(Table3[[#All],[First]],MATCH(Table5[[#This Row],[PID]],Table3[[#All],[PID]],0)))</f>
        <v>Isei</v>
      </c>
      <c r="F371" s="52" t="str">
        <f>IF($C371="B",INDEX(Batters[[#All],[Last]],MATCH(A371,Batters[[#All],[PID]],0)),INDEX(Table3[[#All],[Last]],MATCH(A371,Table3[[#All],[PID]],0)))</f>
        <v>Yano</v>
      </c>
      <c r="G371" s="58">
        <f>IF($C371="B",INDEX(Batters[[#All],[Age]],MATCH(Table5[[#This Row],[PID]],Batters[[#All],[PID]],0)),INDEX(Table3[[#All],[Age]],MATCH(Table5[[#This Row],[PID]],Table3[[#All],[PID]],0)))</f>
        <v>18</v>
      </c>
      <c r="H371" s="54" t="str">
        <f>IF($C371="B",INDEX(Batters[[#All],[B]],MATCH(Table5[[#This Row],[PID]],Batters[[#All],[PID]],0)),INDEX(Table3[[#All],[B]],MATCH(Table5[[#This Row],[PID]],Table3[[#All],[PID]],0)))</f>
        <v>R</v>
      </c>
      <c r="I371" s="54" t="str">
        <f>IF($C371="B",INDEX(Batters[[#All],[T]],MATCH(Table5[[#This Row],[PID]],Batters[[#All],[PID]],0)),INDEX(Table3[[#All],[T]],MATCH(Table5[[#This Row],[PID]],Table3[[#All],[PID]],0)))</f>
        <v>R</v>
      </c>
      <c r="J371" s="54" t="str">
        <f>IF($C371="B",INDEX(Batters[[#All],[WE]],MATCH(Table5[[#This Row],[PID]],Batters[[#All],[PID]],0)),INDEX(Table3[[#All],[WE]],MATCH(Table5[[#This Row],[PID]],Table3[[#All],[PID]],0)))</f>
        <v>Normal</v>
      </c>
      <c r="K371" s="54" t="str">
        <f>IF($C371="B",INDEX(Batters[[#All],[INT]],MATCH(Table5[[#This Row],[PID]],Batters[[#All],[PID]],0)),INDEX(Table3[[#All],[INT]],MATCH(Table5[[#This Row],[PID]],Table3[[#All],[PID]],0)))</f>
        <v>Low</v>
      </c>
      <c r="L371" s="62">
        <f>IF($C371="B",INDEX(Batters[[#All],[CON P]],MATCH(Table5[[#This Row],[PID]],Batters[[#All],[PID]],0)),INDEX(Table3[[#All],[STU P]],MATCH(Table5[[#This Row],[PID]],Table3[[#All],[PID]],0)))</f>
        <v>5</v>
      </c>
      <c r="M371" s="58">
        <f>IF($C371="B",INDEX(Batters[[#All],[GAP P]],MATCH(Table5[[#This Row],[PID]],Batters[[#All],[PID]],0)),INDEX(Table3[[#All],[MOV P]],MATCH(Table5[[#This Row],[PID]],Table3[[#All],[PID]],0)))</f>
        <v>4</v>
      </c>
      <c r="N371" s="58">
        <f>IF($C371="B",INDEX(Batters[[#All],[POW P]],MATCH(Table5[[#This Row],[PID]],Batters[[#All],[PID]],0)),INDEX(Table3[[#All],[CON P]],MATCH(Table5[[#This Row],[PID]],Table3[[#All],[PID]],0)))</f>
        <v>2</v>
      </c>
      <c r="O371" s="58" t="str">
        <f>IF($C371="B",INDEX(Batters[[#All],[EYE P]],MATCH(Table5[[#This Row],[PID]],Batters[[#All],[PID]],0)),INDEX(Table3[[#All],[VELO]],MATCH(Table5[[#This Row],[PID]],Table3[[#All],[PID]],0)))</f>
        <v>92-94 Mph</v>
      </c>
      <c r="P371" s="58">
        <f>IF($C371="B",INDEX(Batters[[#All],[K P]],MATCH(Table5[[#This Row],[PID]],Batters[[#All],[PID]],0)),INDEX(Table3[[#All],[STM]],MATCH(Table5[[#This Row],[PID]],Table3[[#All],[PID]],0)))</f>
        <v>6</v>
      </c>
      <c r="Q371" s="63">
        <f>IF($C371="B",INDEX(Batters[[#All],[Tot]],MATCH(Table5[[#This Row],[PID]],Batters[[#All],[PID]],0)),INDEX(Table3[[#All],[Tot]],MATCH(Table5[[#This Row],[PID]],Table3[[#All],[PID]],0)))</f>
        <v>35.200954518233843</v>
      </c>
      <c r="R371" s="54">
        <f>IF($C371="B",INDEX(Batters[[#All],[zScore]],MATCH(Table5[[#This Row],[PID]],Batters[[#All],[PID]],0)),INDEX(Table3[[#All],[zScore]],MATCH(Table5[[#This Row],[PID]],Table3[[#All],[PID]],0)))</f>
        <v>0.22730772020674195</v>
      </c>
      <c r="S371" s="60" t="str">
        <f>IF($C371="B",INDEX(Batters[[#All],[DEM]],MATCH(Table5[[#This Row],[PID]],Batters[[#All],[PID]],0)),INDEX(Table3[[#All],[DEM]],MATCH(Table5[[#This Row],[PID]],Table3[[#All],[PID]],0)))</f>
        <v>$65k</v>
      </c>
      <c r="T371" s="64">
        <f>IF($C371="B",VLOOKUP($A371,Bat!$A$4:$AU$1417,46,FALSE),VLOOKUP($A371,Pit!$A$4:$BD$570,55,FALSE))</f>
        <v>0</v>
      </c>
      <c r="U371" s="52">
        <f>IF($C371="B",VLOOKUP($A371,Bat!$A$4:$BA$1417,47,FALSE),VLOOKUP($A371,Pit!$A$4:$BF$570,56,FALSE))</f>
        <v>0</v>
      </c>
      <c r="V371" s="52">
        <f>IF($C371="B",VLOOKUP($A371,Bat!$A$4:$BA$1417,48,FALSE),VLOOKUP($A371,Pit!$A$4:$BF$570,57,FALSE))</f>
        <v>0</v>
      </c>
      <c r="W371" s="52">
        <f>Table5[[#This Row],[posRnk]]+Table5[[#This Row],[zRnk]]+IF($W$3&lt;&gt;Table5[[#This Row],[Type]],50,0)</f>
        <v>417</v>
      </c>
      <c r="X371" s="53">
        <f>RANK(Table5[[#This Row],[zScore]],Table5[[#All],[zScore]])</f>
        <v>367</v>
      </c>
      <c r="Y371" s="52" t="str">
        <f>IFERROR(INDEX(DraftResults[[#All],[OVR]],MATCH(Table5[[#This Row],[PID]],DraftResults[[#All],[Player ID]],0)),"")</f>
        <v/>
      </c>
      <c r="Z3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1" s="52" t="str">
        <f>IFERROR(INDEX(DraftResults[[#All],[Pick in Round]],MATCH(Table5[[#This Row],[PID]],DraftResults[[#All],[Player ID]],0)),"")</f>
        <v/>
      </c>
      <c r="AB371" s="52" t="str">
        <f>IFERROR(INDEX(DraftResults[[#All],[Team Name]],MATCH(Table5[[#This Row],[PID]],DraftResults[[#All],[Player ID]],0)),"")</f>
        <v/>
      </c>
      <c r="AC371" s="52" t="str">
        <f>IF(Table5[[#This Row],[Ovr]]="","",IF(Table5[[#This Row],[cmbList]]="","",Table5[[#This Row],[cmbList]]-Table5[[#This Row],[Ovr]]))</f>
        <v/>
      </c>
      <c r="AD371" s="56" t="str">
        <f>IF(ISERROR(VLOOKUP($AB371&amp;"-"&amp;$E371&amp;" "&amp;F371,Bonuses!$B$1:$G$1006,4,FALSE)),"",INT(VLOOKUP($AB371&amp;"-"&amp;$E371&amp;" "&amp;$F371,Bonuses!$B$1:$G$1006,4,FALSE)))</f>
        <v/>
      </c>
      <c r="AE3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2" spans="1:31" s="52" customFormat="1" x14ac:dyDescent="0.25">
      <c r="A372" s="52">
        <v>6256</v>
      </c>
      <c r="B372" s="52">
        <f>COUNTIF(Table5[PID],A372)</f>
        <v>1</v>
      </c>
      <c r="C372" s="52" t="str">
        <f>IF(COUNTIF(Table3[[#All],[PID]],A372)&gt;0,"P","B")</f>
        <v>B</v>
      </c>
      <c r="D372" s="61" t="str">
        <f>IF($C372="B",INDEX(Batters[[#All],[POS]],MATCH(Table5[[#This Row],[PID]],Batters[[#All],[PID]],0)),INDEX(Table3[[#All],[POS]],MATCH(Table5[[#This Row],[PID]],Table3[[#All],[PID]],0)))</f>
        <v>1B</v>
      </c>
      <c r="E372" s="54" t="str">
        <f>IF($C372="B",INDEX(Batters[[#All],[First]],MATCH(Table5[[#This Row],[PID]],Batters[[#All],[PID]],0)),INDEX(Table3[[#All],[First]],MATCH(Table5[[#This Row],[PID]],Table3[[#All],[PID]],0)))</f>
        <v>Armando</v>
      </c>
      <c r="F372" s="52" t="str">
        <f>IF($C372="B",INDEX(Batters[[#All],[Last]],MATCH(A372,Batters[[#All],[PID]],0)),INDEX(Table3[[#All],[Last]],MATCH(A372,Table3[[#All],[PID]],0)))</f>
        <v>Díaz</v>
      </c>
      <c r="G372" s="58">
        <f>IF($C372="B",INDEX(Batters[[#All],[Age]],MATCH(Table5[[#This Row],[PID]],Batters[[#All],[PID]],0)),INDEX(Table3[[#All],[Age]],MATCH(Table5[[#This Row],[PID]],Table3[[#All],[PID]],0)))</f>
        <v>18</v>
      </c>
      <c r="H372" s="54" t="str">
        <f>IF($C372="B",INDEX(Batters[[#All],[B]],MATCH(Table5[[#This Row],[PID]],Batters[[#All],[PID]],0)),INDEX(Table3[[#All],[B]],MATCH(Table5[[#This Row],[PID]],Table3[[#All],[PID]],0)))</f>
        <v>R</v>
      </c>
      <c r="I372" s="54" t="str">
        <f>IF($C372="B",INDEX(Batters[[#All],[T]],MATCH(Table5[[#This Row],[PID]],Batters[[#All],[PID]],0)),INDEX(Table3[[#All],[T]],MATCH(Table5[[#This Row],[PID]],Table3[[#All],[PID]],0)))</f>
        <v>R</v>
      </c>
      <c r="J372" s="54" t="str">
        <f>IF($C372="B",INDEX(Batters[[#All],[WE]],MATCH(Table5[[#This Row],[PID]],Batters[[#All],[PID]],0)),INDEX(Table3[[#All],[WE]],MATCH(Table5[[#This Row],[PID]],Table3[[#All],[PID]],0)))</f>
        <v>High</v>
      </c>
      <c r="K372" s="54" t="str">
        <f>IF($C372="B",INDEX(Batters[[#All],[INT]],MATCH(Table5[[#This Row],[PID]],Batters[[#All],[PID]],0)),INDEX(Table3[[#All],[INT]],MATCH(Table5[[#This Row],[PID]],Table3[[#All],[PID]],0)))</f>
        <v>High</v>
      </c>
      <c r="L372" s="62">
        <f>IF($C372="B",INDEX(Batters[[#All],[CON P]],MATCH(Table5[[#This Row],[PID]],Batters[[#All],[PID]],0)),INDEX(Table3[[#All],[STU P]],MATCH(Table5[[#This Row],[PID]],Table3[[#All],[PID]],0)))</f>
        <v>3</v>
      </c>
      <c r="M372" s="58">
        <f>IF($C372="B",INDEX(Batters[[#All],[GAP P]],MATCH(Table5[[#This Row],[PID]],Batters[[#All],[PID]],0)),INDEX(Table3[[#All],[MOV P]],MATCH(Table5[[#This Row],[PID]],Table3[[#All],[PID]],0)))</f>
        <v>3</v>
      </c>
      <c r="N372" s="58">
        <f>IF($C372="B",INDEX(Batters[[#All],[POW P]],MATCH(Table5[[#This Row],[PID]],Batters[[#All],[PID]],0)),INDEX(Table3[[#All],[CON P]],MATCH(Table5[[#This Row],[PID]],Table3[[#All],[PID]],0)))</f>
        <v>3</v>
      </c>
      <c r="O372" s="58">
        <f>IF($C372="B",INDEX(Batters[[#All],[EYE P]],MATCH(Table5[[#This Row],[PID]],Batters[[#All],[PID]],0)),INDEX(Table3[[#All],[VELO]],MATCH(Table5[[#This Row],[PID]],Table3[[#All],[PID]],0)))</f>
        <v>5</v>
      </c>
      <c r="P372" s="58">
        <f>IF($C372="B",INDEX(Batters[[#All],[K P]],MATCH(Table5[[#This Row],[PID]],Batters[[#All],[PID]],0)),INDEX(Table3[[#All],[STM]],MATCH(Table5[[#This Row],[PID]],Table3[[#All],[PID]],0)))</f>
        <v>3</v>
      </c>
      <c r="Q372" s="63">
        <f>IF($C372="B",INDEX(Batters[[#All],[Tot]],MATCH(Table5[[#This Row],[PID]],Batters[[#All],[PID]],0)),INDEX(Table3[[#All],[Tot]],MATCH(Table5[[#This Row],[PID]],Table3[[#All],[PID]],0)))</f>
        <v>41.628532151808201</v>
      </c>
      <c r="R372" s="54">
        <f>IF($C372="B",INDEX(Batters[[#All],[zScore]],MATCH(Table5[[#This Row],[PID]],Batters[[#All],[PID]],0)),INDEX(Table3[[#All],[zScore]],MATCH(Table5[[#This Row],[PID]],Table3[[#All],[PID]],0)))</f>
        <v>0.22525760028041236</v>
      </c>
      <c r="S372" s="60" t="str">
        <f>IF($C372="B",INDEX(Batters[[#All],[DEM]],MATCH(Table5[[#This Row],[PID]],Batters[[#All],[PID]],0)),INDEX(Table3[[#All],[DEM]],MATCH(Table5[[#This Row],[PID]],Table3[[#All],[PID]],0)))</f>
        <v>$75k</v>
      </c>
      <c r="T372" s="64">
        <f>IF($C372="B",VLOOKUP($A372,Bat!$A$4:$AU$1417,46,FALSE),VLOOKUP($A372,Pit!$A$4:$BD$570,55,FALSE))</f>
        <v>0</v>
      </c>
      <c r="U372" s="52">
        <f>IF($C372="B",VLOOKUP($A372,Bat!$A$4:$BA$1417,47,FALSE),VLOOKUP($A372,Pit!$A$4:$BF$570,56,FALSE))</f>
        <v>0</v>
      </c>
      <c r="V372" s="52">
        <f>IF($C372="B",VLOOKUP($A372,Bat!$A$4:$BA$1417,48,FALSE),VLOOKUP($A372,Pit!$A$4:$BF$570,57,FALSE))</f>
        <v>0</v>
      </c>
      <c r="W372" s="52">
        <f>Table5[[#This Row],[posRnk]]+Table5[[#This Row],[zRnk]]+IF($W$3&lt;&gt;Table5[[#This Row],[Type]],50,0)</f>
        <v>418</v>
      </c>
      <c r="X372" s="53">
        <f>RANK(Table5[[#This Row],[zScore]],Table5[[#All],[zScore]])</f>
        <v>368</v>
      </c>
      <c r="Y372" s="52" t="str">
        <f>IFERROR(INDEX(DraftResults[[#All],[OVR]],MATCH(Table5[[#This Row],[PID]],DraftResults[[#All],[Player ID]],0)),"")</f>
        <v/>
      </c>
      <c r="Z3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2" s="52" t="str">
        <f>IFERROR(INDEX(DraftResults[[#All],[Pick in Round]],MATCH(Table5[[#This Row],[PID]],DraftResults[[#All],[Player ID]],0)),"")</f>
        <v/>
      </c>
      <c r="AB372" s="52" t="str">
        <f>IFERROR(INDEX(DraftResults[[#All],[Team Name]],MATCH(Table5[[#This Row],[PID]],DraftResults[[#All],[Player ID]],0)),"")</f>
        <v/>
      </c>
      <c r="AC372" s="52" t="str">
        <f>IF(Table5[[#This Row],[Ovr]]="","",IF(Table5[[#This Row],[cmbList]]="","",Table5[[#This Row],[cmbList]]-Table5[[#This Row],[Ovr]]))</f>
        <v/>
      </c>
      <c r="AD372" s="56" t="str">
        <f>IF(ISERROR(VLOOKUP($AB372&amp;"-"&amp;$E372&amp;" "&amp;F372,Bonuses!$B$1:$G$1006,4,FALSE)),"",INT(VLOOKUP($AB372&amp;"-"&amp;$E372&amp;" "&amp;$F372,Bonuses!$B$1:$G$1006,4,FALSE)))</f>
        <v/>
      </c>
      <c r="AE3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3" spans="1:31" s="52" customFormat="1" x14ac:dyDescent="0.25">
      <c r="A373" s="52">
        <v>9758</v>
      </c>
      <c r="B373" s="52">
        <f>COUNTIF(Table5[PID],A373)</f>
        <v>1</v>
      </c>
      <c r="C373" s="52" t="str">
        <f>IF(COUNTIF(Table3[[#All],[PID]],A373)&gt;0,"P","B")</f>
        <v>P</v>
      </c>
      <c r="D373" s="61" t="str">
        <f>IF($C373="B",INDEX(Batters[[#All],[POS]],MATCH(Table5[[#This Row],[PID]],Batters[[#All],[PID]],0)),INDEX(Table3[[#All],[POS]],MATCH(Table5[[#This Row],[PID]],Table3[[#All],[PID]],0)))</f>
        <v>SP</v>
      </c>
      <c r="E373" s="54" t="str">
        <f>IF($C373="B",INDEX(Batters[[#All],[First]],MATCH(Table5[[#This Row],[PID]],Batters[[#All],[PID]],0)),INDEX(Table3[[#All],[First]],MATCH(Table5[[#This Row],[PID]],Table3[[#All],[PID]],0)))</f>
        <v>Wilson</v>
      </c>
      <c r="F373" s="52" t="str">
        <f>IF($C373="B",INDEX(Batters[[#All],[Last]],MATCH(A373,Batters[[#All],[PID]],0)),INDEX(Table3[[#All],[Last]],MATCH(A373,Table3[[#All],[PID]],0)))</f>
        <v>Webster</v>
      </c>
      <c r="G373" s="58">
        <f>IF($C373="B",INDEX(Batters[[#All],[Age]],MATCH(Table5[[#This Row],[PID]],Batters[[#All],[PID]],0)),INDEX(Table3[[#All],[Age]],MATCH(Table5[[#This Row],[PID]],Table3[[#All],[PID]],0)))</f>
        <v>21</v>
      </c>
      <c r="H373" s="54" t="str">
        <f>IF($C373="B",INDEX(Batters[[#All],[B]],MATCH(Table5[[#This Row],[PID]],Batters[[#All],[PID]],0)),INDEX(Table3[[#All],[B]],MATCH(Table5[[#This Row],[PID]],Table3[[#All],[PID]],0)))</f>
        <v>L</v>
      </c>
      <c r="I373" s="54" t="str">
        <f>IF($C373="B",INDEX(Batters[[#All],[T]],MATCH(Table5[[#This Row],[PID]],Batters[[#All],[PID]],0)),INDEX(Table3[[#All],[T]],MATCH(Table5[[#This Row],[PID]],Table3[[#All],[PID]],0)))</f>
        <v>L</v>
      </c>
      <c r="J373" s="54" t="str">
        <f>IF($C373="B",INDEX(Batters[[#All],[WE]],MATCH(Table5[[#This Row],[PID]],Batters[[#All],[PID]],0)),INDEX(Table3[[#All],[WE]],MATCH(Table5[[#This Row],[PID]],Table3[[#All],[PID]],0)))</f>
        <v>High</v>
      </c>
      <c r="K373" s="54" t="str">
        <f>IF($C373="B",INDEX(Batters[[#All],[INT]],MATCH(Table5[[#This Row],[PID]],Batters[[#All],[PID]],0)),INDEX(Table3[[#All],[INT]],MATCH(Table5[[#This Row],[PID]],Table3[[#All],[PID]],0)))</f>
        <v>Normal</v>
      </c>
      <c r="L373" s="62">
        <f>IF($C373="B",INDEX(Batters[[#All],[CON P]],MATCH(Table5[[#This Row],[PID]],Batters[[#All],[PID]],0)),INDEX(Table3[[#All],[STU P]],MATCH(Table5[[#This Row],[PID]],Table3[[#All],[PID]],0)))</f>
        <v>4</v>
      </c>
      <c r="M373" s="58">
        <f>IF($C373="B",INDEX(Batters[[#All],[GAP P]],MATCH(Table5[[#This Row],[PID]],Batters[[#All],[PID]],0)),INDEX(Table3[[#All],[MOV P]],MATCH(Table5[[#This Row],[PID]],Table3[[#All],[PID]],0)))</f>
        <v>3</v>
      </c>
      <c r="N373" s="58">
        <f>IF($C373="B",INDEX(Batters[[#All],[POW P]],MATCH(Table5[[#This Row],[PID]],Batters[[#All],[PID]],0)),INDEX(Table3[[#All],[CON P]],MATCH(Table5[[#This Row],[PID]],Table3[[#All],[PID]],0)))</f>
        <v>3</v>
      </c>
      <c r="O373" s="58" t="str">
        <f>IF($C373="B",INDEX(Batters[[#All],[EYE P]],MATCH(Table5[[#This Row],[PID]],Batters[[#All],[PID]],0)),INDEX(Table3[[#All],[VELO]],MATCH(Table5[[#This Row],[PID]],Table3[[#All],[PID]],0)))</f>
        <v>92-94 Mph</v>
      </c>
      <c r="P373" s="58">
        <f>IF($C373="B",INDEX(Batters[[#All],[K P]],MATCH(Table5[[#This Row],[PID]],Batters[[#All],[PID]],0)),INDEX(Table3[[#All],[STM]],MATCH(Table5[[#This Row],[PID]],Table3[[#All],[PID]],0)))</f>
        <v>8</v>
      </c>
      <c r="Q373" s="63">
        <f>IF($C373="B",INDEX(Batters[[#All],[Tot]],MATCH(Table5[[#This Row],[PID]],Batters[[#All],[PID]],0)),INDEX(Table3[[#All],[Tot]],MATCH(Table5[[#This Row],[PID]],Table3[[#All],[PID]],0)))</f>
        <v>34.957972899111667</v>
      </c>
      <c r="R373" s="54">
        <f>IF($C373="B",INDEX(Batters[[#All],[zScore]],MATCH(Table5[[#This Row],[PID]],Batters[[#All],[PID]],0)),INDEX(Table3[[#All],[zScore]],MATCH(Table5[[#This Row],[PID]],Table3[[#All],[PID]],0)))</f>
        <v>0.20502526720797151</v>
      </c>
      <c r="S373" s="60" t="str">
        <f>IF($C373="B",INDEX(Batters[[#All],[DEM]],MATCH(Table5[[#This Row],[PID]],Batters[[#All],[PID]],0)),INDEX(Table3[[#All],[DEM]],MATCH(Table5[[#This Row],[PID]],Table3[[#All],[PID]],0)))</f>
        <v>-</v>
      </c>
      <c r="T373" s="64">
        <f>IF($C373="B",VLOOKUP($A373,Bat!$A$4:$AU$1417,46,FALSE),VLOOKUP($A373,Pit!$A$4:$BD$570,55,FALSE))</f>
        <v>0</v>
      </c>
      <c r="U373" s="52">
        <f>IF($C373="B",VLOOKUP($A373,Bat!$A$4:$BA$1417,47,FALSE),VLOOKUP($A373,Pit!$A$4:$BF$570,56,FALSE))</f>
        <v>0</v>
      </c>
      <c r="V373" s="52">
        <f>IF($C373="B",VLOOKUP($A373,Bat!$A$4:$BA$1417,48,FALSE),VLOOKUP($A373,Pit!$A$4:$BF$570,57,FALSE))</f>
        <v>0</v>
      </c>
      <c r="W373" s="52">
        <f>Table5[[#This Row],[posRnk]]+Table5[[#This Row],[zRnk]]+IF($W$3&lt;&gt;Table5[[#This Row],[Type]],50,0)</f>
        <v>419</v>
      </c>
      <c r="X373" s="53">
        <f>RANK(Table5[[#This Row],[zScore]],Table5[[#All],[zScore]])</f>
        <v>369</v>
      </c>
      <c r="Y373" s="52" t="str">
        <f>IFERROR(INDEX(DraftResults[[#All],[OVR]],MATCH(Table5[[#This Row],[PID]],DraftResults[[#All],[Player ID]],0)),"")</f>
        <v/>
      </c>
      <c r="Z3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3" s="52" t="str">
        <f>IFERROR(INDEX(DraftResults[[#All],[Pick in Round]],MATCH(Table5[[#This Row],[PID]],DraftResults[[#All],[Player ID]],0)),"")</f>
        <v/>
      </c>
      <c r="AB373" s="52" t="str">
        <f>IFERROR(INDEX(DraftResults[[#All],[Team Name]],MATCH(Table5[[#This Row],[PID]],DraftResults[[#All],[Player ID]],0)),"")</f>
        <v/>
      </c>
      <c r="AC373" s="52" t="str">
        <f>IF(Table5[[#This Row],[Ovr]]="","",IF(Table5[[#This Row],[cmbList]]="","",Table5[[#This Row],[cmbList]]-Table5[[#This Row],[Ovr]]))</f>
        <v/>
      </c>
      <c r="AD373" s="56" t="str">
        <f>IF(ISERROR(VLOOKUP($AB373&amp;"-"&amp;$E373&amp;" "&amp;F373,Bonuses!$B$1:$G$1006,4,FALSE)),"",INT(VLOOKUP($AB373&amp;"-"&amp;$E373&amp;" "&amp;$F373,Bonuses!$B$1:$G$1006,4,FALSE)))</f>
        <v/>
      </c>
      <c r="AE3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4" spans="1:31" s="52" customFormat="1" x14ac:dyDescent="0.25">
      <c r="A374" s="52">
        <v>7557</v>
      </c>
      <c r="B374" s="52">
        <f>COUNTIF(Table5[PID],A374)</f>
        <v>1</v>
      </c>
      <c r="C374" s="52" t="str">
        <f>IF(COUNTIF(Table3[[#All],[PID]],A374)&gt;0,"P","B")</f>
        <v>B</v>
      </c>
      <c r="D374" s="61" t="str">
        <f>IF($C374="B",INDEX(Batters[[#All],[POS]],MATCH(Table5[[#This Row],[PID]],Batters[[#All],[PID]],0)),INDEX(Table3[[#All],[POS]],MATCH(Table5[[#This Row],[PID]],Table3[[#All],[PID]],0)))</f>
        <v>1B</v>
      </c>
      <c r="E374" s="54" t="str">
        <f>IF($C374="B",INDEX(Batters[[#All],[First]],MATCH(Table5[[#This Row],[PID]],Batters[[#All],[PID]],0)),INDEX(Table3[[#All],[First]],MATCH(Table5[[#This Row],[PID]],Table3[[#All],[PID]],0)))</f>
        <v>Dave</v>
      </c>
      <c r="F374" s="52" t="str">
        <f>IF($C374="B",INDEX(Batters[[#All],[Last]],MATCH(A374,Batters[[#All],[PID]],0)),INDEX(Table3[[#All],[Last]],MATCH(A374,Table3[[#All],[PID]],0)))</f>
        <v>Davis</v>
      </c>
      <c r="G374" s="58">
        <f>IF($C374="B",INDEX(Batters[[#All],[Age]],MATCH(Table5[[#This Row],[PID]],Batters[[#All],[PID]],0)),INDEX(Table3[[#All],[Age]],MATCH(Table5[[#This Row],[PID]],Table3[[#All],[PID]],0)))</f>
        <v>22</v>
      </c>
      <c r="H374" s="54" t="str">
        <f>IF($C374="B",INDEX(Batters[[#All],[B]],MATCH(Table5[[#This Row],[PID]],Batters[[#All],[PID]],0)),INDEX(Table3[[#All],[B]],MATCH(Table5[[#This Row],[PID]],Table3[[#All],[PID]],0)))</f>
        <v>R</v>
      </c>
      <c r="I374" s="54" t="str">
        <f>IF($C374="B",INDEX(Batters[[#All],[T]],MATCH(Table5[[#This Row],[PID]],Batters[[#All],[PID]],0)),INDEX(Table3[[#All],[T]],MATCH(Table5[[#This Row],[PID]],Table3[[#All],[PID]],0)))</f>
        <v>R</v>
      </c>
      <c r="J374" s="54" t="str">
        <f>IF($C374="B",INDEX(Batters[[#All],[WE]],MATCH(Table5[[#This Row],[PID]],Batters[[#All],[PID]],0)),INDEX(Table3[[#All],[WE]],MATCH(Table5[[#This Row],[PID]],Table3[[#All],[PID]],0)))</f>
        <v>Low</v>
      </c>
      <c r="K374" s="54" t="str">
        <f>IF($C374="B",INDEX(Batters[[#All],[INT]],MATCH(Table5[[#This Row],[PID]],Batters[[#All],[PID]],0)),INDEX(Table3[[#All],[INT]],MATCH(Table5[[#This Row],[PID]],Table3[[#All],[PID]],0)))</f>
        <v>Normal</v>
      </c>
      <c r="L374" s="62">
        <f>IF($C374="B",INDEX(Batters[[#All],[CON P]],MATCH(Table5[[#This Row],[PID]],Batters[[#All],[PID]],0)),INDEX(Table3[[#All],[STU P]],MATCH(Table5[[#This Row],[PID]],Table3[[#All],[PID]],0)))</f>
        <v>4</v>
      </c>
      <c r="M374" s="58">
        <f>IF($C374="B",INDEX(Batters[[#All],[GAP P]],MATCH(Table5[[#This Row],[PID]],Batters[[#All],[PID]],0)),INDEX(Table3[[#All],[MOV P]],MATCH(Table5[[#This Row],[PID]],Table3[[#All],[PID]],0)))</f>
        <v>3</v>
      </c>
      <c r="N374" s="58">
        <f>IF($C374="B",INDEX(Batters[[#All],[POW P]],MATCH(Table5[[#This Row],[PID]],Batters[[#All],[PID]],0)),INDEX(Table3[[#All],[CON P]],MATCH(Table5[[#This Row],[PID]],Table3[[#All],[PID]],0)))</f>
        <v>4</v>
      </c>
      <c r="O374" s="58">
        <f>IF($C374="B",INDEX(Batters[[#All],[EYE P]],MATCH(Table5[[#This Row],[PID]],Batters[[#All],[PID]],0)),INDEX(Table3[[#All],[VELO]],MATCH(Table5[[#This Row],[PID]],Table3[[#All],[PID]],0)))</f>
        <v>5</v>
      </c>
      <c r="P374" s="58">
        <f>IF($C374="B",INDEX(Batters[[#All],[K P]],MATCH(Table5[[#This Row],[PID]],Batters[[#All],[PID]],0)),INDEX(Table3[[#All],[STM]],MATCH(Table5[[#This Row],[PID]],Table3[[#All],[PID]],0)))</f>
        <v>4</v>
      </c>
      <c r="Q374" s="63">
        <f>IF($C374="B",INDEX(Batters[[#All],[Tot]],MATCH(Table5[[#This Row],[PID]],Batters[[#All],[PID]],0)),INDEX(Table3[[#All],[Tot]],MATCH(Table5[[#This Row],[PID]],Table3[[#All],[PID]],0)))</f>
        <v>41.499261065272748</v>
      </c>
      <c r="R374" s="54">
        <f>IF($C374="B",INDEX(Batters[[#All],[zScore]],MATCH(Table5[[#This Row],[PID]],Batters[[#All],[PID]],0)),INDEX(Table3[[#All],[zScore]],MATCH(Table5[[#This Row],[PID]],Table3[[#All],[PID]],0)))</f>
        <v>0.20251321177935835</v>
      </c>
      <c r="S374" s="60" t="str">
        <f>IF($C374="B",INDEX(Batters[[#All],[DEM]],MATCH(Table5[[#This Row],[PID]],Batters[[#All],[PID]],0)),INDEX(Table3[[#All],[DEM]],MATCH(Table5[[#This Row],[PID]],Table3[[#All],[PID]],0)))</f>
        <v>-</v>
      </c>
      <c r="T374" s="64">
        <f>IF($C374="B",VLOOKUP($A374,Bat!$A$4:$AU$1417,46,FALSE),VLOOKUP($A374,Pit!$A$4:$BD$570,55,FALSE))</f>
        <v>0</v>
      </c>
      <c r="U374" s="52">
        <f>IF($C374="B",VLOOKUP($A374,Bat!$A$4:$BA$1417,47,FALSE),VLOOKUP($A374,Pit!$A$4:$BF$570,56,FALSE))</f>
        <v>0</v>
      </c>
      <c r="V374" s="52">
        <f>IF($C374="B",VLOOKUP($A374,Bat!$A$4:$BA$1417,48,FALSE),VLOOKUP($A374,Pit!$A$4:$BF$570,57,FALSE))</f>
        <v>0</v>
      </c>
      <c r="W374" s="52">
        <f>Table5[[#This Row],[posRnk]]+Table5[[#This Row],[zRnk]]+IF($W$3&lt;&gt;Table5[[#This Row],[Type]],50,0)</f>
        <v>420</v>
      </c>
      <c r="X374" s="53">
        <f>RANK(Table5[[#This Row],[zScore]],Table5[[#All],[zScore]])</f>
        <v>370</v>
      </c>
      <c r="Y374" s="52" t="str">
        <f>IFERROR(INDEX(DraftResults[[#All],[OVR]],MATCH(Table5[[#This Row],[PID]],DraftResults[[#All],[Player ID]],0)),"")</f>
        <v/>
      </c>
      <c r="Z3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4" s="52" t="str">
        <f>IFERROR(INDEX(DraftResults[[#All],[Pick in Round]],MATCH(Table5[[#This Row],[PID]],DraftResults[[#All],[Player ID]],0)),"")</f>
        <v/>
      </c>
      <c r="AB374" s="52" t="str">
        <f>IFERROR(INDEX(DraftResults[[#All],[Team Name]],MATCH(Table5[[#This Row],[PID]],DraftResults[[#All],[Player ID]],0)),"")</f>
        <v/>
      </c>
      <c r="AC374" s="52" t="str">
        <f>IF(Table5[[#This Row],[Ovr]]="","",IF(Table5[[#This Row],[cmbList]]="","",Table5[[#This Row],[cmbList]]-Table5[[#This Row],[Ovr]]))</f>
        <v/>
      </c>
      <c r="AD374" s="56" t="str">
        <f>IF(ISERROR(VLOOKUP($AB374&amp;"-"&amp;$E374&amp;" "&amp;F374,Bonuses!$B$1:$G$1006,4,FALSE)),"",INT(VLOOKUP($AB374&amp;"-"&amp;$E374&amp;" "&amp;$F374,Bonuses!$B$1:$G$1006,4,FALSE)))</f>
        <v/>
      </c>
      <c r="AE3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5" spans="1:31" s="52" customFormat="1" x14ac:dyDescent="0.25">
      <c r="A375" s="52">
        <v>8489</v>
      </c>
      <c r="B375" s="52">
        <f>COUNTIF(Table5[PID],A375)</f>
        <v>1</v>
      </c>
      <c r="C375" s="52" t="str">
        <f>IF(COUNTIF(Table3[[#All],[PID]],A375)&gt;0,"P","B")</f>
        <v>P</v>
      </c>
      <c r="D375" s="61" t="str">
        <f>IF($C375="B",INDEX(Batters[[#All],[POS]],MATCH(Table5[[#This Row],[PID]],Batters[[#All],[PID]],0)),INDEX(Table3[[#All],[POS]],MATCH(Table5[[#This Row],[PID]],Table3[[#All],[PID]],0)))</f>
        <v>RP</v>
      </c>
      <c r="E375" s="54" t="str">
        <f>IF($C375="B",INDEX(Batters[[#All],[First]],MATCH(Table5[[#This Row],[PID]],Batters[[#All],[PID]],0)),INDEX(Table3[[#All],[First]],MATCH(Table5[[#This Row],[PID]],Table3[[#All],[PID]],0)))</f>
        <v>Mauro</v>
      </c>
      <c r="F375" s="52" t="str">
        <f>IF($C375="B",INDEX(Batters[[#All],[Last]],MATCH(A375,Batters[[#All],[PID]],0)),INDEX(Table3[[#All],[Last]],MATCH(A375,Table3[[#All],[PID]],0)))</f>
        <v>Ul</v>
      </c>
      <c r="G375" s="58">
        <f>IF($C375="B",INDEX(Batters[[#All],[Age]],MATCH(Table5[[#This Row],[PID]],Batters[[#All],[PID]],0)),INDEX(Table3[[#All],[Age]],MATCH(Table5[[#This Row],[PID]],Table3[[#All],[PID]],0)))</f>
        <v>18</v>
      </c>
      <c r="H375" s="54" t="str">
        <f>IF($C375="B",INDEX(Batters[[#All],[B]],MATCH(Table5[[#This Row],[PID]],Batters[[#All],[PID]],0)),INDEX(Table3[[#All],[B]],MATCH(Table5[[#This Row],[PID]],Table3[[#All],[PID]],0)))</f>
        <v>L</v>
      </c>
      <c r="I375" s="54" t="str">
        <f>IF($C375="B",INDEX(Batters[[#All],[T]],MATCH(Table5[[#This Row],[PID]],Batters[[#All],[PID]],0)),INDEX(Table3[[#All],[T]],MATCH(Table5[[#This Row],[PID]],Table3[[#All],[PID]],0)))</f>
        <v>L</v>
      </c>
      <c r="J375" s="54" t="str">
        <f>IF($C375="B",INDEX(Batters[[#All],[WE]],MATCH(Table5[[#This Row],[PID]],Batters[[#All],[PID]],0)),INDEX(Table3[[#All],[WE]],MATCH(Table5[[#This Row],[PID]],Table3[[#All],[PID]],0)))</f>
        <v>Normal</v>
      </c>
      <c r="K375" s="54" t="str">
        <f>IF($C375="B",INDEX(Batters[[#All],[INT]],MATCH(Table5[[#This Row],[PID]],Batters[[#All],[PID]],0)),INDEX(Table3[[#All],[INT]],MATCH(Table5[[#This Row],[PID]],Table3[[#All],[PID]],0)))</f>
        <v>Low</v>
      </c>
      <c r="L375" s="62">
        <f>IF($C375="B",INDEX(Batters[[#All],[CON P]],MATCH(Table5[[#This Row],[PID]],Batters[[#All],[PID]],0)),INDEX(Table3[[#All],[STU P]],MATCH(Table5[[#This Row],[PID]],Table3[[#All],[PID]],0)))</f>
        <v>6</v>
      </c>
      <c r="M375" s="58">
        <f>IF($C375="B",INDEX(Batters[[#All],[GAP P]],MATCH(Table5[[#This Row],[PID]],Batters[[#All],[PID]],0)),INDEX(Table3[[#All],[MOV P]],MATCH(Table5[[#This Row],[PID]],Table3[[#All],[PID]],0)))</f>
        <v>2</v>
      </c>
      <c r="N375" s="58">
        <f>IF($C375="B",INDEX(Batters[[#All],[POW P]],MATCH(Table5[[#This Row],[PID]],Batters[[#All],[PID]],0)),INDEX(Table3[[#All],[CON P]],MATCH(Table5[[#This Row],[PID]],Table3[[#All],[PID]],0)))</f>
        <v>3</v>
      </c>
      <c r="O375" s="58" t="str">
        <f>IF($C375="B",INDEX(Batters[[#All],[EYE P]],MATCH(Table5[[#This Row],[PID]],Batters[[#All],[PID]],0)),INDEX(Table3[[#All],[VELO]],MATCH(Table5[[#This Row],[PID]],Table3[[#All],[PID]],0)))</f>
        <v>87-89 Mph</v>
      </c>
      <c r="P375" s="58">
        <f>IF($C375="B",INDEX(Batters[[#All],[K P]],MATCH(Table5[[#This Row],[PID]],Batters[[#All],[PID]],0)),INDEX(Table3[[#All],[STM]],MATCH(Table5[[#This Row],[PID]],Table3[[#All],[PID]],0)))</f>
        <v>2</v>
      </c>
      <c r="Q375" s="63">
        <f>IF($C375="B",INDEX(Batters[[#All],[Tot]],MATCH(Table5[[#This Row],[PID]],Batters[[#All],[PID]],0)),INDEX(Table3[[#All],[Tot]],MATCH(Table5[[#This Row],[PID]],Table3[[#All],[PID]],0)))</f>
        <v>34.914609714126598</v>
      </c>
      <c r="R375" s="54">
        <f>IF($C375="B",INDEX(Batters[[#All],[zScore]],MATCH(Table5[[#This Row],[PID]],Batters[[#All],[PID]],0)),INDEX(Table3[[#All],[zScore]],MATCH(Table5[[#This Row],[PID]],Table3[[#All],[PID]],0)))</f>
        <v>0.20104867780669286</v>
      </c>
      <c r="S375" s="60" t="str">
        <f>IF($C375="B",INDEX(Batters[[#All],[DEM]],MATCH(Table5[[#This Row],[PID]],Batters[[#All],[PID]],0)),INDEX(Table3[[#All],[DEM]],MATCH(Table5[[#This Row],[PID]],Table3[[#All],[PID]],0)))</f>
        <v>$65k</v>
      </c>
      <c r="T375" s="64">
        <f>IF($C375="B",VLOOKUP($A375,Bat!$A$4:$AU$1417,46,FALSE),VLOOKUP($A375,Pit!$A$4:$BD$570,55,FALSE))</f>
        <v>0</v>
      </c>
      <c r="U375" s="52">
        <f>IF($C375="B",VLOOKUP($A375,Bat!$A$4:$BA$1417,47,FALSE),VLOOKUP($A375,Pit!$A$4:$BF$570,56,FALSE))</f>
        <v>0</v>
      </c>
      <c r="V375" s="52">
        <f>IF($C375="B",VLOOKUP($A375,Bat!$A$4:$BA$1417,48,FALSE),VLOOKUP($A375,Pit!$A$4:$BF$570,57,FALSE))</f>
        <v>0</v>
      </c>
      <c r="W375" s="52">
        <f>Table5[[#This Row],[posRnk]]+Table5[[#This Row],[zRnk]]+IF($W$3&lt;&gt;Table5[[#This Row],[Type]],50,0)</f>
        <v>421</v>
      </c>
      <c r="X375" s="53">
        <f>RANK(Table5[[#This Row],[zScore]],Table5[[#All],[zScore]])</f>
        <v>371</v>
      </c>
      <c r="Y375" s="52" t="str">
        <f>IFERROR(INDEX(DraftResults[[#All],[OVR]],MATCH(Table5[[#This Row],[PID]],DraftResults[[#All],[Player ID]],0)),"")</f>
        <v/>
      </c>
      <c r="Z3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5" s="52" t="str">
        <f>IFERROR(INDEX(DraftResults[[#All],[Pick in Round]],MATCH(Table5[[#This Row],[PID]],DraftResults[[#All],[Player ID]],0)),"")</f>
        <v/>
      </c>
      <c r="AB375" s="52" t="str">
        <f>IFERROR(INDEX(DraftResults[[#All],[Team Name]],MATCH(Table5[[#This Row],[PID]],DraftResults[[#All],[Player ID]],0)),"")</f>
        <v/>
      </c>
      <c r="AC375" s="52" t="str">
        <f>IF(Table5[[#This Row],[Ovr]]="","",IF(Table5[[#This Row],[cmbList]]="","",Table5[[#This Row],[cmbList]]-Table5[[#This Row],[Ovr]]))</f>
        <v/>
      </c>
      <c r="AD375" s="56" t="str">
        <f>IF(ISERROR(VLOOKUP($AB375&amp;"-"&amp;$E375&amp;" "&amp;F375,Bonuses!$B$1:$G$1006,4,FALSE)),"",INT(VLOOKUP($AB375&amp;"-"&amp;$E375&amp;" "&amp;$F375,Bonuses!$B$1:$G$1006,4,FALSE)))</f>
        <v/>
      </c>
      <c r="AE3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6" spans="1:31" s="52" customFormat="1" x14ac:dyDescent="0.25">
      <c r="A376" s="52">
        <v>17637</v>
      </c>
      <c r="B376" s="57">
        <f>COUNTIF(Table5[PID],A376)</f>
        <v>1</v>
      </c>
      <c r="C376" s="57" t="str">
        <f>IF(COUNTIF(Table3[[#All],[PID]],A376)&gt;0,"P","B")</f>
        <v>B</v>
      </c>
      <c r="D376" s="61" t="str">
        <f>IF($C376="B",INDEX(Batters[[#All],[POS]],MATCH(Table5[[#This Row],[PID]],Batters[[#All],[PID]],0)),INDEX(Table3[[#All],[POS]],MATCH(Table5[[#This Row],[PID]],Table3[[#All],[PID]],0)))</f>
        <v>SS</v>
      </c>
      <c r="E376" s="54" t="str">
        <f>IF($C376="B",INDEX(Batters[[#All],[First]],MATCH(Table5[[#This Row],[PID]],Batters[[#All],[PID]],0)),INDEX(Table3[[#All],[First]],MATCH(Table5[[#This Row],[PID]],Table3[[#All],[PID]],0)))</f>
        <v>António</v>
      </c>
      <c r="F376" s="52" t="str">
        <f>IF($C376="B",INDEX(Batters[[#All],[Last]],MATCH(A376,Batters[[#All],[PID]],0)),INDEX(Table3[[#All],[Last]],MATCH(A376,Table3[[#All],[PID]],0)))</f>
        <v>Calderón</v>
      </c>
      <c r="G376" s="58">
        <f>IF($C376="B",INDEX(Batters[[#All],[Age]],MATCH(Table5[[#This Row],[PID]],Batters[[#All],[PID]],0)),INDEX(Table3[[#All],[Age]],MATCH(Table5[[#This Row],[PID]],Table3[[#All],[PID]],0)))</f>
        <v>18</v>
      </c>
      <c r="H376" s="54" t="str">
        <f>IF($C376="B",INDEX(Batters[[#All],[B]],MATCH(Table5[[#This Row],[PID]],Batters[[#All],[PID]],0)),INDEX(Table3[[#All],[B]],MATCH(Table5[[#This Row],[PID]],Table3[[#All],[PID]],0)))</f>
        <v>R</v>
      </c>
      <c r="I376" s="54" t="str">
        <f>IF($C376="B",INDEX(Batters[[#All],[T]],MATCH(Table5[[#This Row],[PID]],Batters[[#All],[PID]],0)),INDEX(Table3[[#All],[T]],MATCH(Table5[[#This Row],[PID]],Table3[[#All],[PID]],0)))</f>
        <v>R</v>
      </c>
      <c r="J376" s="54" t="str">
        <f>IF($C376="B",INDEX(Batters[[#All],[WE]],MATCH(Table5[[#This Row],[PID]],Batters[[#All],[PID]],0)),INDEX(Table3[[#All],[WE]],MATCH(Table5[[#This Row],[PID]],Table3[[#All],[PID]],0)))</f>
        <v>Low</v>
      </c>
      <c r="K376" s="54" t="str">
        <f>IF($C376="B",INDEX(Batters[[#All],[INT]],MATCH(Table5[[#This Row],[PID]],Batters[[#All],[PID]],0)),INDEX(Table3[[#All],[INT]],MATCH(Table5[[#This Row],[PID]],Table3[[#All],[PID]],0)))</f>
        <v>Low</v>
      </c>
      <c r="L376" s="62">
        <f>IF($C376="B",INDEX(Batters[[#All],[CON P]],MATCH(Table5[[#This Row],[PID]],Batters[[#All],[PID]],0)),INDEX(Table3[[#All],[STU P]],MATCH(Table5[[#This Row],[PID]],Table3[[#All],[PID]],0)))</f>
        <v>3</v>
      </c>
      <c r="M376" s="58">
        <f>IF($C376="B",INDEX(Batters[[#All],[GAP P]],MATCH(Table5[[#This Row],[PID]],Batters[[#All],[PID]],0)),INDEX(Table3[[#All],[MOV P]],MATCH(Table5[[#This Row],[PID]],Table3[[#All],[PID]],0)))</f>
        <v>3</v>
      </c>
      <c r="N376" s="58">
        <f>IF($C376="B",INDEX(Batters[[#All],[POW P]],MATCH(Table5[[#This Row],[PID]],Batters[[#All],[PID]],0)),INDEX(Table3[[#All],[CON P]],MATCH(Table5[[#This Row],[PID]],Table3[[#All],[PID]],0)))</f>
        <v>3</v>
      </c>
      <c r="O376" s="58">
        <f>IF($C376="B",INDEX(Batters[[#All],[EYE P]],MATCH(Table5[[#This Row],[PID]],Batters[[#All],[PID]],0)),INDEX(Table3[[#All],[VELO]],MATCH(Table5[[#This Row],[PID]],Table3[[#All],[PID]],0)))</f>
        <v>4</v>
      </c>
      <c r="P376" s="58">
        <f>IF($C376="B",INDEX(Batters[[#All],[K P]],MATCH(Table5[[#This Row],[PID]],Batters[[#All],[PID]],0)),INDEX(Table3[[#All],[STM]],MATCH(Table5[[#This Row],[PID]],Table3[[#All],[PID]],0)))</f>
        <v>5</v>
      </c>
      <c r="Q376" s="63">
        <f>IF($C376="B",INDEX(Batters[[#All],[Tot]],MATCH(Table5[[#This Row],[PID]],Batters[[#All],[PID]],0)),INDEX(Table3[[#All],[Tot]],MATCH(Table5[[#This Row],[PID]],Table3[[#All],[PID]],0)))</f>
        <v>41.481666097673738</v>
      </c>
      <c r="R376" s="54">
        <f>IF($C376="B",INDEX(Batters[[#All],[zScore]],MATCH(Table5[[#This Row],[PID]],Batters[[#All],[PID]],0)),INDEX(Table3[[#All],[zScore]],MATCH(Table5[[#This Row],[PID]],Table3[[#All],[PID]],0)))</f>
        <v>0.19941749417180518</v>
      </c>
      <c r="S376" s="60" t="str">
        <f>IF($C376="B",INDEX(Batters[[#All],[DEM]],MATCH(Table5[[#This Row],[PID]],Batters[[#All],[PID]],0)),INDEX(Table3[[#All],[DEM]],MATCH(Table5[[#This Row],[PID]],Table3[[#All],[PID]],0)))</f>
        <v>$80k</v>
      </c>
      <c r="T376" s="64">
        <f>IF($C376="B",VLOOKUP($A376,Bat!$A$4:$AU$1417,46,FALSE),VLOOKUP($A376,Pit!$A$4:$BD$570,55,FALSE))</f>
        <v>0</v>
      </c>
      <c r="U376" s="52">
        <f>IF($C376="B",VLOOKUP($A376,Bat!$A$4:$BA$1417,47,FALSE),VLOOKUP($A376,Pit!$A$4:$BF$570,56,FALSE))</f>
        <v>0</v>
      </c>
      <c r="V376" s="52">
        <f>IF($C376="B",VLOOKUP($A376,Bat!$A$4:$BA$1417,48,FALSE),VLOOKUP($A376,Pit!$A$4:$BF$570,57,FALSE))</f>
        <v>0</v>
      </c>
      <c r="W376" s="52">
        <f>Table5[[#This Row],[posRnk]]+Table5[[#This Row],[zRnk]]+IF($W$3&lt;&gt;Table5[[#This Row],[Type]],50,0)</f>
        <v>422</v>
      </c>
      <c r="X376" s="53">
        <f>RANK(Table5[[#This Row],[zScore]],Table5[[#All],[zScore]])</f>
        <v>372</v>
      </c>
      <c r="Y376" s="52" t="str">
        <f>IFERROR(INDEX(DraftResults[[#All],[OVR]],MATCH(Table5[[#This Row],[PID]],DraftResults[[#All],[Player ID]],0)),"")</f>
        <v/>
      </c>
      <c r="Z3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6" s="52" t="str">
        <f>IFERROR(INDEX(DraftResults[[#All],[Pick in Round]],MATCH(Table5[[#This Row],[PID]],DraftResults[[#All],[Player ID]],0)),"")</f>
        <v/>
      </c>
      <c r="AB376" s="52" t="str">
        <f>IFERROR(INDEX(DraftResults[[#All],[Team Name]],MATCH(Table5[[#This Row],[PID]],DraftResults[[#All],[Player ID]],0)),"")</f>
        <v/>
      </c>
      <c r="AC376" s="52" t="str">
        <f>IF(Table5[[#This Row],[Ovr]]="","",IF(Table5[[#This Row],[cmbList]]="","",Table5[[#This Row],[cmbList]]-Table5[[#This Row],[Ovr]]))</f>
        <v/>
      </c>
      <c r="AD376" s="56" t="str">
        <f>IF(ISERROR(VLOOKUP($AB376&amp;"-"&amp;$E376&amp;" "&amp;F376,Bonuses!$B$1:$G$1006,4,FALSE)),"",INT(VLOOKUP($AB376&amp;"-"&amp;$E376&amp;" "&amp;$F376,Bonuses!$B$1:$G$1006,4,FALSE)))</f>
        <v/>
      </c>
      <c r="AE3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7" spans="1:31" s="52" customFormat="1" x14ac:dyDescent="0.25">
      <c r="A377" s="52">
        <v>7188</v>
      </c>
      <c r="B377" s="52">
        <f>COUNTIF(Table5[PID],A377)</f>
        <v>1</v>
      </c>
      <c r="C377" s="52" t="str">
        <f>IF(COUNTIF(Table3[[#All],[PID]],A377)&gt;0,"P","B")</f>
        <v>P</v>
      </c>
      <c r="D377" s="61" t="str">
        <f>IF($C377="B",INDEX(Batters[[#All],[POS]],MATCH(Table5[[#This Row],[PID]],Batters[[#All],[PID]],0)),INDEX(Table3[[#All],[POS]],MATCH(Table5[[#This Row],[PID]],Table3[[#All],[PID]],0)))</f>
        <v>SP</v>
      </c>
      <c r="E377" s="54" t="str">
        <f>IF($C377="B",INDEX(Batters[[#All],[First]],MATCH(Table5[[#This Row],[PID]],Batters[[#All],[PID]],0)),INDEX(Table3[[#All],[First]],MATCH(Table5[[#This Row],[PID]],Table3[[#All],[PID]],0)))</f>
        <v>Lee</v>
      </c>
      <c r="F377" s="52" t="str">
        <f>IF($C377="B",INDEX(Batters[[#All],[Last]],MATCH(A377,Batters[[#All],[PID]],0)),INDEX(Table3[[#All],[Last]],MATCH(A377,Table3[[#All],[PID]],0)))</f>
        <v>Arbuthnot</v>
      </c>
      <c r="G377" s="58">
        <f>IF($C377="B",INDEX(Batters[[#All],[Age]],MATCH(Table5[[#This Row],[PID]],Batters[[#All],[PID]],0)),INDEX(Table3[[#All],[Age]],MATCH(Table5[[#This Row],[PID]],Table3[[#All],[PID]],0)))</f>
        <v>21</v>
      </c>
      <c r="H377" s="54" t="str">
        <f>IF($C377="B",INDEX(Batters[[#All],[B]],MATCH(Table5[[#This Row],[PID]],Batters[[#All],[PID]],0)),INDEX(Table3[[#All],[B]],MATCH(Table5[[#This Row],[PID]],Table3[[#All],[PID]],0)))</f>
        <v>R</v>
      </c>
      <c r="I377" s="54" t="str">
        <f>IF($C377="B",INDEX(Batters[[#All],[T]],MATCH(Table5[[#This Row],[PID]],Batters[[#All],[PID]],0)),INDEX(Table3[[#All],[T]],MATCH(Table5[[#This Row],[PID]],Table3[[#All],[PID]],0)))</f>
        <v>R</v>
      </c>
      <c r="J377" s="54" t="str">
        <f>IF($C377="B",INDEX(Batters[[#All],[WE]],MATCH(Table5[[#This Row],[PID]],Batters[[#All],[PID]],0)),INDEX(Table3[[#All],[WE]],MATCH(Table5[[#This Row],[PID]],Table3[[#All],[PID]],0)))</f>
        <v>Low</v>
      </c>
      <c r="K377" s="54" t="str">
        <f>IF($C377="B",INDEX(Batters[[#All],[INT]],MATCH(Table5[[#This Row],[PID]],Batters[[#All],[PID]],0)),INDEX(Table3[[#All],[INT]],MATCH(Table5[[#This Row],[PID]],Table3[[#All],[PID]],0)))</f>
        <v>Normal</v>
      </c>
      <c r="L377" s="62">
        <f>IF($C377="B",INDEX(Batters[[#All],[CON P]],MATCH(Table5[[#This Row],[PID]],Batters[[#All],[PID]],0)),INDEX(Table3[[#All],[STU P]],MATCH(Table5[[#This Row],[PID]],Table3[[#All],[PID]],0)))</f>
        <v>5</v>
      </c>
      <c r="M377" s="58">
        <f>IF($C377="B",INDEX(Batters[[#All],[GAP P]],MATCH(Table5[[#This Row],[PID]],Batters[[#All],[PID]],0)),INDEX(Table3[[#All],[MOV P]],MATCH(Table5[[#This Row],[PID]],Table3[[#All],[PID]],0)))</f>
        <v>2</v>
      </c>
      <c r="N377" s="58">
        <f>IF($C377="B",INDEX(Batters[[#All],[POW P]],MATCH(Table5[[#This Row],[PID]],Batters[[#All],[PID]],0)),INDEX(Table3[[#All],[CON P]],MATCH(Table5[[#This Row],[PID]],Table3[[#All],[PID]],0)))</f>
        <v>3</v>
      </c>
      <c r="O377" s="58" t="str">
        <f>IF($C377="B",INDEX(Batters[[#All],[EYE P]],MATCH(Table5[[#This Row],[PID]],Batters[[#All],[PID]],0)),INDEX(Table3[[#All],[VELO]],MATCH(Table5[[#This Row],[PID]],Table3[[#All],[PID]],0)))</f>
        <v>94-96 Mph</v>
      </c>
      <c r="P377" s="58">
        <f>IF($C377="B",INDEX(Batters[[#All],[K P]],MATCH(Table5[[#This Row],[PID]],Batters[[#All],[PID]],0)),INDEX(Table3[[#All],[STM]],MATCH(Table5[[#This Row],[PID]],Table3[[#All],[PID]],0)))</f>
        <v>6</v>
      </c>
      <c r="Q377" s="63">
        <f>IF($C377="B",INDEX(Batters[[#All],[Tot]],MATCH(Table5[[#This Row],[PID]],Batters[[#All],[PID]],0)),INDEX(Table3[[#All],[Tot]],MATCH(Table5[[#This Row],[PID]],Table3[[#All],[PID]],0)))</f>
        <v>34.889489511017359</v>
      </c>
      <c r="R377" s="54">
        <f>IF($C377="B",INDEX(Batters[[#All],[zScore]],MATCH(Table5[[#This Row],[PID]],Batters[[#All],[PID]],0)),INDEX(Table3[[#All],[zScore]],MATCH(Table5[[#This Row],[PID]],Table3[[#All],[PID]],0)))</f>
        <v>0.19874504781557104</v>
      </c>
      <c r="S377" s="60" t="str">
        <f>IF($C377="B",INDEX(Batters[[#All],[DEM]],MATCH(Table5[[#This Row],[PID]],Batters[[#All],[PID]],0)),INDEX(Table3[[#All],[DEM]],MATCH(Table5[[#This Row],[PID]],Table3[[#All],[PID]],0)))</f>
        <v>-</v>
      </c>
      <c r="T377" s="64">
        <f>IF($C377="B",VLOOKUP($A377,Bat!$A$4:$AU$1417,46,FALSE),VLOOKUP($A377,Pit!$A$4:$BD$570,55,FALSE))</f>
        <v>0</v>
      </c>
      <c r="U377" s="52">
        <f>IF($C377="B",VLOOKUP($A377,Bat!$A$4:$BA$1417,47,FALSE),VLOOKUP($A377,Pit!$A$4:$BF$570,56,FALSE))</f>
        <v>0</v>
      </c>
      <c r="V377" s="52">
        <f>IF($C377="B",VLOOKUP($A377,Bat!$A$4:$BA$1417,48,FALSE),VLOOKUP($A377,Pit!$A$4:$BF$570,57,FALSE))</f>
        <v>0</v>
      </c>
      <c r="W377" s="52">
        <f>Table5[[#This Row],[posRnk]]+Table5[[#This Row],[zRnk]]+IF($W$3&lt;&gt;Table5[[#This Row],[Type]],50,0)</f>
        <v>423</v>
      </c>
      <c r="X377" s="53">
        <f>RANK(Table5[[#This Row],[zScore]],Table5[[#All],[zScore]])</f>
        <v>373</v>
      </c>
      <c r="Y377" s="52" t="str">
        <f>IFERROR(INDEX(DraftResults[[#All],[OVR]],MATCH(Table5[[#This Row],[PID]],DraftResults[[#All],[Player ID]],0)),"")</f>
        <v/>
      </c>
      <c r="Z3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7" s="52" t="str">
        <f>IFERROR(INDEX(DraftResults[[#All],[Pick in Round]],MATCH(Table5[[#This Row],[PID]],DraftResults[[#All],[Player ID]],0)),"")</f>
        <v/>
      </c>
      <c r="AB377" s="52" t="str">
        <f>IFERROR(INDEX(DraftResults[[#All],[Team Name]],MATCH(Table5[[#This Row],[PID]],DraftResults[[#All],[Player ID]],0)),"")</f>
        <v/>
      </c>
      <c r="AC377" s="52" t="str">
        <f>IF(Table5[[#This Row],[Ovr]]="","",IF(Table5[[#This Row],[cmbList]]="","",Table5[[#This Row],[cmbList]]-Table5[[#This Row],[Ovr]]))</f>
        <v/>
      </c>
      <c r="AD377" s="56" t="str">
        <f>IF(ISERROR(VLOOKUP($AB377&amp;"-"&amp;$E377&amp;" "&amp;F377,Bonuses!$B$1:$G$1006,4,FALSE)),"",INT(VLOOKUP($AB377&amp;"-"&amp;$E377&amp;" "&amp;$F377,Bonuses!$B$1:$G$1006,4,FALSE)))</f>
        <v/>
      </c>
      <c r="AE3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8" spans="1:31" s="52" customFormat="1" x14ac:dyDescent="0.25">
      <c r="A378" s="52">
        <v>6212</v>
      </c>
      <c r="B378" s="52">
        <f>COUNTIF(Table5[PID],A378)</f>
        <v>1</v>
      </c>
      <c r="C378" s="52" t="str">
        <f>IF(COUNTIF(Table3[[#All],[PID]],A378)&gt;0,"P","B")</f>
        <v>P</v>
      </c>
      <c r="D378" s="61" t="str">
        <f>IF($C378="B",INDEX(Batters[[#All],[POS]],MATCH(Table5[[#This Row],[PID]],Batters[[#All],[PID]],0)),INDEX(Table3[[#All],[POS]],MATCH(Table5[[#This Row],[PID]],Table3[[#All],[PID]],0)))</f>
        <v>SP</v>
      </c>
      <c r="E378" s="54" t="str">
        <f>IF($C378="B",INDEX(Batters[[#All],[First]],MATCH(Table5[[#This Row],[PID]],Batters[[#All],[PID]],0)),INDEX(Table3[[#All],[First]],MATCH(Table5[[#This Row],[PID]],Table3[[#All],[PID]],0)))</f>
        <v>Anthony</v>
      </c>
      <c r="F378" s="52" t="str">
        <f>IF($C378="B",INDEX(Batters[[#All],[Last]],MATCH(A378,Batters[[#All],[PID]],0)),INDEX(Table3[[#All],[Last]],MATCH(A378,Table3[[#All],[PID]],0)))</f>
        <v>Maynard</v>
      </c>
      <c r="G378" s="58">
        <f>IF($C378="B",INDEX(Batters[[#All],[Age]],MATCH(Table5[[#This Row],[PID]],Batters[[#All],[PID]],0)),INDEX(Table3[[#All],[Age]],MATCH(Table5[[#This Row],[PID]],Table3[[#All],[PID]],0)))</f>
        <v>20</v>
      </c>
      <c r="H378" s="54" t="str">
        <f>IF($C378="B",INDEX(Batters[[#All],[B]],MATCH(Table5[[#This Row],[PID]],Batters[[#All],[PID]],0)),INDEX(Table3[[#All],[B]],MATCH(Table5[[#This Row],[PID]],Table3[[#All],[PID]],0)))</f>
        <v>L</v>
      </c>
      <c r="I378" s="54" t="str">
        <f>IF($C378="B",INDEX(Batters[[#All],[T]],MATCH(Table5[[#This Row],[PID]],Batters[[#All],[PID]],0)),INDEX(Table3[[#All],[T]],MATCH(Table5[[#This Row],[PID]],Table3[[#All],[PID]],0)))</f>
        <v>L</v>
      </c>
      <c r="J378" s="54" t="str">
        <f>IF($C378="B",INDEX(Batters[[#All],[WE]],MATCH(Table5[[#This Row],[PID]],Batters[[#All],[PID]],0)),INDEX(Table3[[#All],[WE]],MATCH(Table5[[#This Row],[PID]],Table3[[#All],[PID]],0)))</f>
        <v>Normal</v>
      </c>
      <c r="K378" s="54" t="str">
        <f>IF($C378="B",INDEX(Batters[[#All],[INT]],MATCH(Table5[[#This Row],[PID]],Batters[[#All],[PID]],0)),INDEX(Table3[[#All],[INT]],MATCH(Table5[[#This Row],[PID]],Table3[[#All],[PID]],0)))</f>
        <v>High</v>
      </c>
      <c r="L378" s="62">
        <f>IF($C378="B",INDEX(Batters[[#All],[CON P]],MATCH(Table5[[#This Row],[PID]],Batters[[#All],[PID]],0)),INDEX(Table3[[#All],[STU P]],MATCH(Table5[[#This Row],[PID]],Table3[[#All],[PID]],0)))</f>
        <v>6</v>
      </c>
      <c r="M378" s="58">
        <f>IF($C378="B",INDEX(Batters[[#All],[GAP P]],MATCH(Table5[[#This Row],[PID]],Batters[[#All],[PID]],0)),INDEX(Table3[[#All],[MOV P]],MATCH(Table5[[#This Row],[PID]],Table3[[#All],[PID]],0)))</f>
        <v>2</v>
      </c>
      <c r="N378" s="58">
        <f>IF($C378="B",INDEX(Batters[[#All],[POW P]],MATCH(Table5[[#This Row],[PID]],Batters[[#All],[PID]],0)),INDEX(Table3[[#All],[CON P]],MATCH(Table5[[#This Row],[PID]],Table3[[#All],[PID]],0)))</f>
        <v>2</v>
      </c>
      <c r="O378" s="58" t="str">
        <f>IF($C378="B",INDEX(Batters[[#All],[EYE P]],MATCH(Table5[[#This Row],[PID]],Batters[[#All],[PID]],0)),INDEX(Table3[[#All],[VELO]],MATCH(Table5[[#This Row],[PID]],Table3[[#All],[PID]],0)))</f>
        <v>93-95 Mph</v>
      </c>
      <c r="P378" s="58">
        <f>IF($C378="B",INDEX(Batters[[#All],[K P]],MATCH(Table5[[#This Row],[PID]],Batters[[#All],[PID]],0)),INDEX(Table3[[#All],[STM]],MATCH(Table5[[#This Row],[PID]],Table3[[#All],[PID]],0)))</f>
        <v>8</v>
      </c>
      <c r="Q378" s="63">
        <f>IF($C378="B",INDEX(Batters[[#All],[Tot]],MATCH(Table5[[#This Row],[PID]],Batters[[#All],[PID]],0)),INDEX(Table3[[#All],[Tot]],MATCH(Table5[[#This Row],[PID]],Table3[[#All],[PID]],0)))</f>
        <v>34.889419019499073</v>
      </c>
      <c r="R378" s="54">
        <f>IF($C378="B",INDEX(Batters[[#All],[zScore]],MATCH(Table5[[#This Row],[PID]],Batters[[#All],[PID]],0)),INDEX(Table3[[#All],[zScore]],MATCH(Table5[[#This Row],[PID]],Table3[[#All],[PID]],0)))</f>
        <v>0.19873858344205705</v>
      </c>
      <c r="S378" s="60" t="str">
        <f>IF($C378="B",INDEX(Batters[[#All],[DEM]],MATCH(Table5[[#This Row],[PID]],Batters[[#All],[PID]],0)),INDEX(Table3[[#All],[DEM]],MATCH(Table5[[#This Row],[PID]],Table3[[#All],[PID]],0)))</f>
        <v>-</v>
      </c>
      <c r="T378" s="64">
        <f>IF($C378="B",VLOOKUP($A378,Bat!$A$4:$AU$1417,46,FALSE),VLOOKUP($A378,Pit!$A$4:$BD$570,55,FALSE))</f>
        <v>0</v>
      </c>
      <c r="U378" s="52">
        <f>IF($C378="B",VLOOKUP($A378,Bat!$A$4:$BA$1417,47,FALSE),VLOOKUP($A378,Pit!$A$4:$BF$570,56,FALSE))</f>
        <v>0</v>
      </c>
      <c r="V378" s="52">
        <f>IF($C378="B",VLOOKUP($A378,Bat!$A$4:$BA$1417,48,FALSE),VLOOKUP($A378,Pit!$A$4:$BF$570,57,FALSE))</f>
        <v>0</v>
      </c>
      <c r="W378" s="52">
        <f>Table5[[#This Row],[posRnk]]+Table5[[#This Row],[zRnk]]+IF($W$3&lt;&gt;Table5[[#This Row],[Type]],50,0)</f>
        <v>424</v>
      </c>
      <c r="X378" s="53">
        <f>RANK(Table5[[#This Row],[zScore]],Table5[[#All],[zScore]])</f>
        <v>374</v>
      </c>
      <c r="Y378" s="52" t="str">
        <f>IFERROR(INDEX(DraftResults[[#All],[OVR]],MATCH(Table5[[#This Row],[PID]],DraftResults[[#All],[Player ID]],0)),"")</f>
        <v/>
      </c>
      <c r="Z3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8" s="52" t="str">
        <f>IFERROR(INDEX(DraftResults[[#All],[Pick in Round]],MATCH(Table5[[#This Row],[PID]],DraftResults[[#All],[Player ID]],0)),"")</f>
        <v/>
      </c>
      <c r="AB378" s="52" t="str">
        <f>IFERROR(INDEX(DraftResults[[#All],[Team Name]],MATCH(Table5[[#This Row],[PID]],DraftResults[[#All],[Player ID]],0)),"")</f>
        <v/>
      </c>
      <c r="AC378" s="52" t="str">
        <f>IF(Table5[[#This Row],[Ovr]]="","",IF(Table5[[#This Row],[cmbList]]="","",Table5[[#This Row],[cmbList]]-Table5[[#This Row],[Ovr]]))</f>
        <v/>
      </c>
      <c r="AD378" s="56" t="str">
        <f>IF(ISERROR(VLOOKUP($AB378&amp;"-"&amp;$E378&amp;" "&amp;F378,Bonuses!$B$1:$G$1006,4,FALSE)),"",INT(VLOOKUP($AB378&amp;"-"&amp;$E378&amp;" "&amp;$F378,Bonuses!$B$1:$G$1006,4,FALSE)))</f>
        <v/>
      </c>
      <c r="AE3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9" spans="1:31" s="52" customFormat="1" x14ac:dyDescent="0.25">
      <c r="A379" s="52">
        <v>8134</v>
      </c>
      <c r="B379" s="52">
        <f>COUNTIF(Table5[PID],A379)</f>
        <v>1</v>
      </c>
      <c r="C379" s="52" t="str">
        <f>IF(COUNTIF(Table3[[#All],[PID]],A379)&gt;0,"P","B")</f>
        <v>P</v>
      </c>
      <c r="D379" s="61" t="str">
        <f>IF($C379="B",INDEX(Batters[[#All],[POS]],MATCH(Table5[[#This Row],[PID]],Batters[[#All],[PID]],0)),INDEX(Table3[[#All],[POS]],MATCH(Table5[[#This Row],[PID]],Table3[[#All],[PID]],0)))</f>
        <v>RP</v>
      </c>
      <c r="E379" s="54" t="str">
        <f>IF($C379="B",INDEX(Batters[[#All],[First]],MATCH(Table5[[#This Row],[PID]],Batters[[#All],[PID]],0)),INDEX(Table3[[#All],[First]],MATCH(Table5[[#This Row],[PID]],Table3[[#All],[PID]],0)))</f>
        <v>Hidetsugu</v>
      </c>
      <c r="F379" s="52" t="str">
        <f>IF($C379="B",INDEX(Batters[[#All],[Last]],MATCH(A379,Batters[[#All],[PID]],0)),INDEX(Table3[[#All],[Last]],MATCH(A379,Table3[[#All],[PID]],0)))</f>
        <v>Kondo</v>
      </c>
      <c r="G379" s="58">
        <f>IF($C379="B",INDEX(Batters[[#All],[Age]],MATCH(Table5[[#This Row],[PID]],Batters[[#All],[PID]],0)),INDEX(Table3[[#All],[Age]],MATCH(Table5[[#This Row],[PID]],Table3[[#All],[PID]],0)))</f>
        <v>21</v>
      </c>
      <c r="H379" s="54" t="str">
        <f>IF($C379="B",INDEX(Batters[[#All],[B]],MATCH(Table5[[#This Row],[PID]],Batters[[#All],[PID]],0)),INDEX(Table3[[#All],[B]],MATCH(Table5[[#This Row],[PID]],Table3[[#All],[PID]],0)))</f>
        <v>R</v>
      </c>
      <c r="I379" s="54" t="str">
        <f>IF($C379="B",INDEX(Batters[[#All],[T]],MATCH(Table5[[#This Row],[PID]],Batters[[#All],[PID]],0)),INDEX(Table3[[#All],[T]],MATCH(Table5[[#This Row],[PID]],Table3[[#All],[PID]],0)))</f>
        <v>R</v>
      </c>
      <c r="J379" s="54" t="str">
        <f>IF($C379="B",INDEX(Batters[[#All],[WE]],MATCH(Table5[[#This Row],[PID]],Batters[[#All],[PID]],0)),INDEX(Table3[[#All],[WE]],MATCH(Table5[[#This Row],[PID]],Table3[[#All],[PID]],0)))</f>
        <v>High</v>
      </c>
      <c r="K379" s="54" t="str">
        <f>IF($C379="B",INDEX(Batters[[#All],[INT]],MATCH(Table5[[#This Row],[PID]],Batters[[#All],[PID]],0)),INDEX(Table3[[#All],[INT]],MATCH(Table5[[#This Row],[PID]],Table3[[#All],[PID]],0)))</f>
        <v>Normal</v>
      </c>
      <c r="L379" s="62">
        <f>IF($C379="B",INDEX(Batters[[#All],[CON P]],MATCH(Table5[[#This Row],[PID]],Batters[[#All],[PID]],0)),INDEX(Table3[[#All],[STU P]],MATCH(Table5[[#This Row],[PID]],Table3[[#All],[PID]],0)))</f>
        <v>6</v>
      </c>
      <c r="M379" s="58">
        <f>IF($C379="B",INDEX(Batters[[#All],[GAP P]],MATCH(Table5[[#This Row],[PID]],Batters[[#All],[PID]],0)),INDEX(Table3[[#All],[MOV P]],MATCH(Table5[[#This Row],[PID]],Table3[[#All],[PID]],0)))</f>
        <v>1</v>
      </c>
      <c r="N379" s="58">
        <f>IF($C379="B",INDEX(Batters[[#All],[POW P]],MATCH(Table5[[#This Row],[PID]],Batters[[#All],[PID]],0)),INDEX(Table3[[#All],[CON P]],MATCH(Table5[[#This Row],[PID]],Table3[[#All],[PID]],0)))</f>
        <v>3</v>
      </c>
      <c r="O379" s="58" t="str">
        <f>IF($C379="B",INDEX(Batters[[#All],[EYE P]],MATCH(Table5[[#This Row],[PID]],Batters[[#All],[PID]],0)),INDEX(Table3[[#All],[VELO]],MATCH(Table5[[#This Row],[PID]],Table3[[#All],[PID]],0)))</f>
        <v>93-95 Mph</v>
      </c>
      <c r="P379" s="58">
        <f>IF($C379="B",INDEX(Batters[[#All],[K P]],MATCH(Table5[[#This Row],[PID]],Batters[[#All],[PID]],0)),INDEX(Table3[[#All],[STM]],MATCH(Table5[[#This Row],[PID]],Table3[[#All],[PID]],0)))</f>
        <v>6</v>
      </c>
      <c r="Q379" s="63">
        <f>IF($C379="B",INDEX(Batters[[#All],[Tot]],MATCH(Table5[[#This Row],[PID]],Batters[[#All],[PID]],0)),INDEX(Table3[[#All],[Tot]],MATCH(Table5[[#This Row],[PID]],Table3[[#All],[PID]],0)))</f>
        <v>34.887507690037211</v>
      </c>
      <c r="R379" s="54">
        <f>IF($C379="B",INDEX(Batters[[#All],[zScore]],MATCH(Table5[[#This Row],[PID]],Batters[[#All],[PID]],0)),INDEX(Table3[[#All],[zScore]],MATCH(Table5[[#This Row],[PID]],Table3[[#All],[PID]],0)))</f>
        <v>0.1985633063612105</v>
      </c>
      <c r="S379" s="60" t="str">
        <f>IF($C379="B",INDEX(Batters[[#All],[DEM]],MATCH(Table5[[#This Row],[PID]],Batters[[#All],[PID]],0)),INDEX(Table3[[#All],[DEM]],MATCH(Table5[[#This Row],[PID]],Table3[[#All],[PID]],0)))</f>
        <v>-</v>
      </c>
      <c r="T379" s="64">
        <f>IF($C379="B",VLOOKUP($A379,Bat!$A$4:$AU$1417,46,FALSE),VLOOKUP($A379,Pit!$A$4:$BD$570,55,FALSE))</f>
        <v>0</v>
      </c>
      <c r="U379" s="52">
        <f>IF($C379="B",VLOOKUP($A379,Bat!$A$4:$BA$1417,47,FALSE),VLOOKUP($A379,Pit!$A$4:$BF$570,56,FALSE))</f>
        <v>0</v>
      </c>
      <c r="V379" s="52">
        <f>IF($C379="B",VLOOKUP($A379,Bat!$A$4:$BA$1417,48,FALSE),VLOOKUP($A379,Pit!$A$4:$BF$570,57,FALSE))</f>
        <v>0</v>
      </c>
      <c r="W379" s="52">
        <f>Table5[[#This Row],[posRnk]]+Table5[[#This Row],[zRnk]]+IF($W$3&lt;&gt;Table5[[#This Row],[Type]],50,0)</f>
        <v>425</v>
      </c>
      <c r="X379" s="53">
        <f>RANK(Table5[[#This Row],[zScore]],Table5[[#All],[zScore]])</f>
        <v>375</v>
      </c>
      <c r="Y379" s="52" t="str">
        <f>IFERROR(INDEX(DraftResults[[#All],[OVR]],MATCH(Table5[[#This Row],[PID]],DraftResults[[#All],[Player ID]],0)),"")</f>
        <v/>
      </c>
      <c r="Z3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9" s="52" t="str">
        <f>IFERROR(INDEX(DraftResults[[#All],[Pick in Round]],MATCH(Table5[[#This Row],[PID]],DraftResults[[#All],[Player ID]],0)),"")</f>
        <v/>
      </c>
      <c r="AB379" s="52" t="str">
        <f>IFERROR(INDEX(DraftResults[[#All],[Team Name]],MATCH(Table5[[#This Row],[PID]],DraftResults[[#All],[Player ID]],0)),"")</f>
        <v/>
      </c>
      <c r="AC379" s="52" t="str">
        <f>IF(Table5[[#This Row],[Ovr]]="","",IF(Table5[[#This Row],[cmbList]]="","",Table5[[#This Row],[cmbList]]-Table5[[#This Row],[Ovr]]))</f>
        <v/>
      </c>
      <c r="AD379" s="56" t="str">
        <f>IF(ISERROR(VLOOKUP($AB379&amp;"-"&amp;$E379&amp;" "&amp;F379,Bonuses!$B$1:$G$1006,4,FALSE)),"",INT(VLOOKUP($AB379&amp;"-"&amp;$E379&amp;" "&amp;$F379,Bonuses!$B$1:$G$1006,4,FALSE)))</f>
        <v/>
      </c>
      <c r="AE3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0" spans="1:31" s="52" customFormat="1" x14ac:dyDescent="0.25">
      <c r="A380" s="52">
        <v>8160</v>
      </c>
      <c r="B380" s="52">
        <f>COUNTIF(Table5[PID],A380)</f>
        <v>1</v>
      </c>
      <c r="C380" s="52" t="str">
        <f>IF(COUNTIF(Table3[[#All],[PID]],A380)&gt;0,"P","B")</f>
        <v>P</v>
      </c>
      <c r="D380" s="61" t="str">
        <f>IF($C380="B",INDEX(Batters[[#All],[POS]],MATCH(Table5[[#This Row],[PID]],Batters[[#All],[PID]],0)),INDEX(Table3[[#All],[POS]],MATCH(Table5[[#This Row],[PID]],Table3[[#All],[PID]],0)))</f>
        <v>RP</v>
      </c>
      <c r="E380" s="54" t="str">
        <f>IF($C380="B",INDEX(Batters[[#All],[First]],MATCH(Table5[[#This Row],[PID]],Batters[[#All],[PID]],0)),INDEX(Table3[[#All],[First]],MATCH(Table5[[#This Row],[PID]],Table3[[#All],[PID]],0)))</f>
        <v>Pat</v>
      </c>
      <c r="F380" s="52" t="str">
        <f>IF($C380="B",INDEX(Batters[[#All],[Last]],MATCH(A380,Batters[[#All],[PID]],0)),INDEX(Table3[[#All],[Last]],MATCH(A380,Table3[[#All],[PID]],0)))</f>
        <v>Shaffer</v>
      </c>
      <c r="G380" s="58">
        <f>IF($C380="B",INDEX(Batters[[#All],[Age]],MATCH(Table5[[#This Row],[PID]],Batters[[#All],[PID]],0)),INDEX(Table3[[#All],[Age]],MATCH(Table5[[#This Row],[PID]],Table3[[#All],[PID]],0)))</f>
        <v>18</v>
      </c>
      <c r="H380" s="54" t="str">
        <f>IF($C380="B",INDEX(Batters[[#All],[B]],MATCH(Table5[[#This Row],[PID]],Batters[[#All],[PID]],0)),INDEX(Table3[[#All],[B]],MATCH(Table5[[#This Row],[PID]],Table3[[#All],[PID]],0)))</f>
        <v>R</v>
      </c>
      <c r="I380" s="54" t="str">
        <f>IF($C380="B",INDEX(Batters[[#All],[T]],MATCH(Table5[[#This Row],[PID]],Batters[[#All],[PID]],0)),INDEX(Table3[[#All],[T]],MATCH(Table5[[#This Row],[PID]],Table3[[#All],[PID]],0)))</f>
        <v>R</v>
      </c>
      <c r="J380" s="54" t="str">
        <f>IF($C380="B",INDEX(Batters[[#All],[WE]],MATCH(Table5[[#This Row],[PID]],Batters[[#All],[PID]],0)),INDEX(Table3[[#All],[WE]],MATCH(Table5[[#This Row],[PID]],Table3[[#All],[PID]],0)))</f>
        <v>Low</v>
      </c>
      <c r="K380" s="54" t="str">
        <f>IF($C380="B",INDEX(Batters[[#All],[INT]],MATCH(Table5[[#This Row],[PID]],Batters[[#All],[PID]],0)),INDEX(Table3[[#All],[INT]],MATCH(Table5[[#This Row],[PID]],Table3[[#All],[PID]],0)))</f>
        <v>Normal</v>
      </c>
      <c r="L380" s="62">
        <f>IF($C380="B",INDEX(Batters[[#All],[CON P]],MATCH(Table5[[#This Row],[PID]],Batters[[#All],[PID]],0)),INDEX(Table3[[#All],[STU P]],MATCH(Table5[[#This Row],[PID]],Table3[[#All],[PID]],0)))</f>
        <v>5</v>
      </c>
      <c r="M380" s="58">
        <f>IF($C380="B",INDEX(Batters[[#All],[GAP P]],MATCH(Table5[[#This Row],[PID]],Batters[[#All],[PID]],0)),INDEX(Table3[[#All],[MOV P]],MATCH(Table5[[#This Row],[PID]],Table3[[#All],[PID]],0)))</f>
        <v>2</v>
      </c>
      <c r="N380" s="58">
        <f>IF($C380="B",INDEX(Batters[[#All],[POW P]],MATCH(Table5[[#This Row],[PID]],Batters[[#All],[PID]],0)),INDEX(Table3[[#All],[CON P]],MATCH(Table5[[#This Row],[PID]],Table3[[#All],[PID]],0)))</f>
        <v>2</v>
      </c>
      <c r="O380" s="58" t="str">
        <f>IF($C380="B",INDEX(Batters[[#All],[EYE P]],MATCH(Table5[[#This Row],[PID]],Batters[[#All],[PID]],0)),INDEX(Table3[[#All],[VELO]],MATCH(Table5[[#This Row],[PID]],Table3[[#All],[PID]],0)))</f>
        <v>90-92 Mph</v>
      </c>
      <c r="P380" s="58">
        <f>IF($C380="B",INDEX(Batters[[#All],[K P]],MATCH(Table5[[#This Row],[PID]],Batters[[#All],[PID]],0)),INDEX(Table3[[#All],[STM]],MATCH(Table5[[#This Row],[PID]],Table3[[#All],[PID]],0)))</f>
        <v>6</v>
      </c>
      <c r="Q380" s="63">
        <f>IF($C380="B",INDEX(Batters[[#All],[Tot]],MATCH(Table5[[#This Row],[PID]],Batters[[#All],[PID]],0)),INDEX(Table3[[#All],[Tot]],MATCH(Table5[[#This Row],[PID]],Table3[[#All],[PID]],0)))</f>
        <v>34.879582385740967</v>
      </c>
      <c r="R380" s="54">
        <f>IF($C380="B",INDEX(Batters[[#All],[zScore]],MATCH(Table5[[#This Row],[PID]],Batters[[#All],[PID]],0)),INDEX(Table3[[#All],[zScore]],MATCH(Table5[[#This Row],[PID]],Table3[[#All],[PID]],0)))</f>
        <v>0.1978365220837825</v>
      </c>
      <c r="S380" s="60" t="str">
        <f>IF($C380="B",INDEX(Batters[[#All],[DEM]],MATCH(Table5[[#This Row],[PID]],Batters[[#All],[PID]],0)),INDEX(Table3[[#All],[DEM]],MATCH(Table5[[#This Row],[PID]],Table3[[#All],[PID]],0)))</f>
        <v>$38k</v>
      </c>
      <c r="T380" s="64">
        <f>IF($C380="B",VLOOKUP($A380,Bat!$A$4:$AU$1417,46,FALSE),VLOOKUP($A380,Pit!$A$4:$BD$570,55,FALSE))</f>
        <v>0</v>
      </c>
      <c r="U380" s="52">
        <f>IF($C380="B",VLOOKUP($A380,Bat!$A$4:$BA$1417,47,FALSE),VLOOKUP($A380,Pit!$A$4:$BF$570,56,FALSE))</f>
        <v>0</v>
      </c>
      <c r="V380" s="52">
        <f>IF($C380="B",VLOOKUP($A380,Bat!$A$4:$BA$1417,48,FALSE),VLOOKUP($A380,Pit!$A$4:$BF$570,57,FALSE))</f>
        <v>0</v>
      </c>
      <c r="W380" s="52">
        <f>Table5[[#This Row],[posRnk]]+Table5[[#This Row],[zRnk]]+IF($W$3&lt;&gt;Table5[[#This Row],[Type]],50,0)</f>
        <v>426</v>
      </c>
      <c r="X380" s="53">
        <f>RANK(Table5[[#This Row],[zScore]],Table5[[#All],[zScore]])</f>
        <v>376</v>
      </c>
      <c r="Y380" s="52" t="str">
        <f>IFERROR(INDEX(DraftResults[[#All],[OVR]],MATCH(Table5[[#This Row],[PID]],DraftResults[[#All],[Player ID]],0)),"")</f>
        <v/>
      </c>
      <c r="Z3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0" s="52" t="str">
        <f>IFERROR(INDEX(DraftResults[[#All],[Pick in Round]],MATCH(Table5[[#This Row],[PID]],DraftResults[[#All],[Player ID]],0)),"")</f>
        <v/>
      </c>
      <c r="AB380" s="52" t="str">
        <f>IFERROR(INDEX(DraftResults[[#All],[Team Name]],MATCH(Table5[[#This Row],[PID]],DraftResults[[#All],[Player ID]],0)),"")</f>
        <v/>
      </c>
      <c r="AC380" s="52" t="str">
        <f>IF(Table5[[#This Row],[Ovr]]="","",IF(Table5[[#This Row],[cmbList]]="","",Table5[[#This Row],[cmbList]]-Table5[[#This Row],[Ovr]]))</f>
        <v/>
      </c>
      <c r="AD380" s="56" t="str">
        <f>IF(ISERROR(VLOOKUP($AB380&amp;"-"&amp;$E380&amp;" "&amp;F380,Bonuses!$B$1:$G$1006,4,FALSE)),"",INT(VLOOKUP($AB380&amp;"-"&amp;$E380&amp;" "&amp;$F380,Bonuses!$B$1:$G$1006,4,FALSE)))</f>
        <v/>
      </c>
      <c r="AE3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1" spans="1:31" s="52" customFormat="1" x14ac:dyDescent="0.25">
      <c r="A381" s="52">
        <v>7600</v>
      </c>
      <c r="B381" s="52">
        <f>COUNTIF(Table5[PID],A381)</f>
        <v>1</v>
      </c>
      <c r="C381" s="52" t="str">
        <f>IF(COUNTIF(Table3[[#All],[PID]],A381)&gt;0,"P","B")</f>
        <v>B</v>
      </c>
      <c r="D381" s="61" t="str">
        <f>IF($C381="B",INDEX(Batters[[#All],[POS]],MATCH(Table5[[#This Row],[PID]],Batters[[#All],[PID]],0)),INDEX(Table3[[#All],[POS]],MATCH(Table5[[#This Row],[PID]],Table3[[#All],[PID]],0)))</f>
        <v>1B</v>
      </c>
      <c r="E381" s="54" t="str">
        <f>IF($C381="B",INDEX(Batters[[#All],[First]],MATCH(Table5[[#This Row],[PID]],Batters[[#All],[PID]],0)),INDEX(Table3[[#All],[First]],MATCH(Table5[[#This Row],[PID]],Table3[[#All],[PID]],0)))</f>
        <v>Billy</v>
      </c>
      <c r="F381" s="52" t="str">
        <f>IF($C381="B",INDEX(Batters[[#All],[Last]],MATCH(A381,Batters[[#All],[PID]],0)),INDEX(Table3[[#All],[Last]],MATCH(A381,Table3[[#All],[PID]],0)))</f>
        <v>Evenson</v>
      </c>
      <c r="G381" s="58">
        <f>IF($C381="B",INDEX(Batters[[#All],[Age]],MATCH(Table5[[#This Row],[PID]],Batters[[#All],[PID]],0)),INDEX(Table3[[#All],[Age]],MATCH(Table5[[#This Row],[PID]],Table3[[#All],[PID]],0)))</f>
        <v>18</v>
      </c>
      <c r="H381" s="54" t="str">
        <f>IF($C381="B",INDEX(Batters[[#All],[B]],MATCH(Table5[[#This Row],[PID]],Batters[[#All],[PID]],0)),INDEX(Table3[[#All],[B]],MATCH(Table5[[#This Row],[PID]],Table3[[#All],[PID]],0)))</f>
        <v>L</v>
      </c>
      <c r="I381" s="54" t="str">
        <f>IF($C381="B",INDEX(Batters[[#All],[T]],MATCH(Table5[[#This Row],[PID]],Batters[[#All],[PID]],0)),INDEX(Table3[[#All],[T]],MATCH(Table5[[#This Row],[PID]],Table3[[#All],[PID]],0)))</f>
        <v>R</v>
      </c>
      <c r="J381" s="54" t="str">
        <f>IF($C381="B",INDEX(Batters[[#All],[WE]],MATCH(Table5[[#This Row],[PID]],Batters[[#All],[PID]],0)),INDEX(Table3[[#All],[WE]],MATCH(Table5[[#This Row],[PID]],Table3[[#All],[PID]],0)))</f>
        <v>High</v>
      </c>
      <c r="K381" s="54" t="str">
        <f>IF($C381="B",INDEX(Batters[[#All],[INT]],MATCH(Table5[[#This Row],[PID]],Batters[[#All],[PID]],0)),INDEX(Table3[[#All],[INT]],MATCH(Table5[[#This Row],[PID]],Table3[[#All],[PID]],0)))</f>
        <v>Normal</v>
      </c>
      <c r="L381" s="62">
        <f>IF($C381="B",INDEX(Batters[[#All],[CON P]],MATCH(Table5[[#This Row],[PID]],Batters[[#All],[PID]],0)),INDEX(Table3[[#All],[STU P]],MATCH(Table5[[#This Row],[PID]],Table3[[#All],[PID]],0)))</f>
        <v>3</v>
      </c>
      <c r="M381" s="58">
        <f>IF($C381="B",INDEX(Batters[[#All],[GAP P]],MATCH(Table5[[#This Row],[PID]],Batters[[#All],[PID]],0)),INDEX(Table3[[#All],[MOV P]],MATCH(Table5[[#This Row],[PID]],Table3[[#All],[PID]],0)))</f>
        <v>2</v>
      </c>
      <c r="N381" s="58">
        <f>IF($C381="B",INDEX(Batters[[#All],[POW P]],MATCH(Table5[[#This Row],[PID]],Batters[[#All],[PID]],0)),INDEX(Table3[[#All],[CON P]],MATCH(Table5[[#This Row],[PID]],Table3[[#All],[PID]],0)))</f>
        <v>5</v>
      </c>
      <c r="O381" s="58">
        <f>IF($C381="B",INDEX(Batters[[#All],[EYE P]],MATCH(Table5[[#This Row],[PID]],Batters[[#All],[PID]],0)),INDEX(Table3[[#All],[VELO]],MATCH(Table5[[#This Row],[PID]],Table3[[#All],[PID]],0)))</f>
        <v>4</v>
      </c>
      <c r="P381" s="58">
        <f>IF($C381="B",INDEX(Batters[[#All],[K P]],MATCH(Table5[[#This Row],[PID]],Batters[[#All],[PID]],0)),INDEX(Table3[[#All],[STM]],MATCH(Table5[[#This Row],[PID]],Table3[[#All],[PID]],0)))</f>
        <v>3</v>
      </c>
      <c r="Q381" s="63">
        <f>IF($C381="B",INDEX(Batters[[#All],[Tot]],MATCH(Table5[[#This Row],[PID]],Batters[[#All],[PID]],0)),INDEX(Table3[[#All],[Tot]],MATCH(Table5[[#This Row],[PID]],Table3[[#All],[PID]],0)))</f>
        <v>41.468697909879594</v>
      </c>
      <c r="R381" s="54">
        <f>IF($C381="B",INDEX(Batters[[#All],[zScore]],MATCH(Table5[[#This Row],[PID]],Batters[[#All],[PID]],0)),INDEX(Table3[[#All],[zScore]],MATCH(Table5[[#This Row],[PID]],Table3[[#All],[PID]],0)))</f>
        <v>0.19713582771993593</v>
      </c>
      <c r="S381" s="60" t="str">
        <f>IF($C381="B",INDEX(Batters[[#All],[DEM]],MATCH(Table5[[#This Row],[PID]],Batters[[#All],[PID]],0)),INDEX(Table3[[#All],[DEM]],MATCH(Table5[[#This Row],[PID]],Table3[[#All],[PID]],0)))</f>
        <v>$190k</v>
      </c>
      <c r="T381" s="64">
        <f>IF($C381="B",VLOOKUP($A381,Bat!$A$4:$AU$1417,46,FALSE),VLOOKUP($A381,Pit!$A$4:$BD$570,55,FALSE))</f>
        <v>0</v>
      </c>
      <c r="U381" s="52">
        <f>IF($C381="B",VLOOKUP($A381,Bat!$A$4:$BA$1417,47,FALSE),VLOOKUP($A381,Pit!$A$4:$BF$570,56,FALSE))</f>
        <v>0</v>
      </c>
      <c r="V381" s="52">
        <f>IF($C381="B",VLOOKUP($A381,Bat!$A$4:$BA$1417,48,FALSE),VLOOKUP($A381,Pit!$A$4:$BF$570,57,FALSE))</f>
        <v>0</v>
      </c>
      <c r="W381" s="52">
        <f>Table5[[#This Row],[posRnk]]+Table5[[#This Row],[zRnk]]+IF($W$3&lt;&gt;Table5[[#This Row],[Type]],50,0)</f>
        <v>427</v>
      </c>
      <c r="X381" s="53">
        <f>RANK(Table5[[#This Row],[zScore]],Table5[[#All],[zScore]])</f>
        <v>377</v>
      </c>
      <c r="Y381" s="52" t="str">
        <f>IFERROR(INDEX(DraftResults[[#All],[OVR]],MATCH(Table5[[#This Row],[PID]],DraftResults[[#All],[Player ID]],0)),"")</f>
        <v/>
      </c>
      <c r="Z3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1" s="52" t="str">
        <f>IFERROR(INDEX(DraftResults[[#All],[Pick in Round]],MATCH(Table5[[#This Row],[PID]],DraftResults[[#All],[Player ID]],0)),"")</f>
        <v/>
      </c>
      <c r="AB381" s="52" t="str">
        <f>IFERROR(INDEX(DraftResults[[#All],[Team Name]],MATCH(Table5[[#This Row],[PID]],DraftResults[[#All],[Player ID]],0)),"")</f>
        <v/>
      </c>
      <c r="AC381" s="52" t="str">
        <f>IF(Table5[[#This Row],[Ovr]]="","",IF(Table5[[#This Row],[cmbList]]="","",Table5[[#This Row],[cmbList]]-Table5[[#This Row],[Ovr]]))</f>
        <v/>
      </c>
      <c r="AD381" s="56" t="str">
        <f>IF(ISERROR(VLOOKUP($AB381&amp;"-"&amp;$E381&amp;" "&amp;F381,Bonuses!$B$1:$G$1006,4,FALSE)),"",INT(VLOOKUP($AB381&amp;"-"&amp;$E381&amp;" "&amp;$F381,Bonuses!$B$1:$G$1006,4,FALSE)))</f>
        <v/>
      </c>
      <c r="AE3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2" spans="1:31" s="52" customFormat="1" x14ac:dyDescent="0.25">
      <c r="A382" s="52">
        <v>11773</v>
      </c>
      <c r="B382" s="52">
        <f>COUNTIF(Table5[PID],A382)</f>
        <v>1</v>
      </c>
      <c r="C382" s="52" t="str">
        <f>IF(COUNTIF(Table3[[#All],[PID]],A382)&gt;0,"P","B")</f>
        <v>B</v>
      </c>
      <c r="D382" s="61" t="str">
        <f>IF($C382="B",INDEX(Batters[[#All],[POS]],MATCH(Table5[[#This Row],[PID]],Batters[[#All],[PID]],0)),INDEX(Table3[[#All],[POS]],MATCH(Table5[[#This Row],[PID]],Table3[[#All],[PID]],0)))</f>
        <v>3B</v>
      </c>
      <c r="E382" s="54" t="str">
        <f>IF($C382="B",INDEX(Batters[[#All],[First]],MATCH(Table5[[#This Row],[PID]],Batters[[#All],[PID]],0)),INDEX(Table3[[#All],[First]],MATCH(Table5[[#This Row],[PID]],Table3[[#All],[PID]],0)))</f>
        <v>Marcos</v>
      </c>
      <c r="F382" s="52" t="str">
        <f>IF($C382="B",INDEX(Batters[[#All],[Last]],MATCH(A382,Batters[[#All],[PID]],0)),INDEX(Table3[[#All],[Last]],MATCH(A382,Table3[[#All],[PID]],0)))</f>
        <v>Gómez</v>
      </c>
      <c r="G382" s="58">
        <f>IF($C382="B",INDEX(Batters[[#All],[Age]],MATCH(Table5[[#This Row],[PID]],Batters[[#All],[PID]],0)),INDEX(Table3[[#All],[Age]],MATCH(Table5[[#This Row],[PID]],Table3[[#All],[PID]],0)))</f>
        <v>21</v>
      </c>
      <c r="H382" s="54" t="str">
        <f>IF($C382="B",INDEX(Batters[[#All],[B]],MATCH(Table5[[#This Row],[PID]],Batters[[#All],[PID]],0)),INDEX(Table3[[#All],[B]],MATCH(Table5[[#This Row],[PID]],Table3[[#All],[PID]],0)))</f>
        <v>R</v>
      </c>
      <c r="I382" s="54" t="str">
        <f>IF($C382="B",INDEX(Batters[[#All],[T]],MATCH(Table5[[#This Row],[PID]],Batters[[#All],[PID]],0)),INDEX(Table3[[#All],[T]],MATCH(Table5[[#This Row],[PID]],Table3[[#All],[PID]],0)))</f>
        <v>R</v>
      </c>
      <c r="J382" s="54" t="str">
        <f>IF($C382="B",INDEX(Batters[[#All],[WE]],MATCH(Table5[[#This Row],[PID]],Batters[[#All],[PID]],0)),INDEX(Table3[[#All],[WE]],MATCH(Table5[[#This Row],[PID]],Table3[[#All],[PID]],0)))</f>
        <v>High</v>
      </c>
      <c r="K382" s="54" t="str">
        <f>IF($C382="B",INDEX(Batters[[#All],[INT]],MATCH(Table5[[#This Row],[PID]],Batters[[#All],[PID]],0)),INDEX(Table3[[#All],[INT]],MATCH(Table5[[#This Row],[PID]],Table3[[#All],[PID]],0)))</f>
        <v>Low</v>
      </c>
      <c r="L382" s="62">
        <f>IF($C382="B",INDEX(Batters[[#All],[CON P]],MATCH(Table5[[#This Row],[PID]],Batters[[#All],[PID]],0)),INDEX(Table3[[#All],[STU P]],MATCH(Table5[[#This Row],[PID]],Table3[[#All],[PID]],0)))</f>
        <v>4</v>
      </c>
      <c r="M382" s="58">
        <f>IF($C382="B",INDEX(Batters[[#All],[GAP P]],MATCH(Table5[[#This Row],[PID]],Batters[[#All],[PID]],0)),INDEX(Table3[[#All],[MOV P]],MATCH(Table5[[#This Row],[PID]],Table3[[#All],[PID]],0)))</f>
        <v>4</v>
      </c>
      <c r="N382" s="58">
        <f>IF($C382="B",INDEX(Batters[[#All],[POW P]],MATCH(Table5[[#This Row],[PID]],Batters[[#All],[PID]],0)),INDEX(Table3[[#All],[CON P]],MATCH(Table5[[#This Row],[PID]],Table3[[#All],[PID]],0)))</f>
        <v>4</v>
      </c>
      <c r="O382" s="58">
        <f>IF($C382="B",INDEX(Batters[[#All],[EYE P]],MATCH(Table5[[#This Row],[PID]],Batters[[#All],[PID]],0)),INDEX(Table3[[#All],[VELO]],MATCH(Table5[[#This Row],[PID]],Table3[[#All],[PID]],0)))</f>
        <v>4</v>
      </c>
      <c r="P382" s="58">
        <f>IF($C382="B",INDEX(Batters[[#All],[K P]],MATCH(Table5[[#This Row],[PID]],Batters[[#All],[PID]],0)),INDEX(Table3[[#All],[STM]],MATCH(Table5[[#This Row],[PID]],Table3[[#All],[PID]],0)))</f>
        <v>4</v>
      </c>
      <c r="Q382" s="63">
        <f>IF($C382="B",INDEX(Batters[[#All],[Tot]],MATCH(Table5[[#This Row],[PID]],Batters[[#All],[PID]],0)),INDEX(Table3[[#All],[Tot]],MATCH(Table5[[#This Row],[PID]],Table3[[#All],[PID]],0)))</f>
        <v>41.435624776260894</v>
      </c>
      <c r="R382" s="54">
        <f>IF($C382="B",INDEX(Batters[[#All],[zScore]],MATCH(Table5[[#This Row],[PID]],Batters[[#All],[PID]],0)),INDEX(Table3[[#All],[zScore]],MATCH(Table5[[#This Row],[PID]],Table3[[#All],[PID]],0)))</f>
        <v>0.19131682967380534</v>
      </c>
      <c r="S382" s="60" t="str">
        <f>IF($C382="B",INDEX(Batters[[#All],[DEM]],MATCH(Table5[[#This Row],[PID]],Batters[[#All],[PID]],0)),INDEX(Table3[[#All],[DEM]],MATCH(Table5[[#This Row],[PID]],Table3[[#All],[PID]],0)))</f>
        <v>-</v>
      </c>
      <c r="T382" s="64">
        <f>IF($C382="B",VLOOKUP($A382,Bat!$A$4:$AU$1417,46,FALSE),VLOOKUP($A382,Pit!$A$4:$BD$570,55,FALSE))</f>
        <v>0</v>
      </c>
      <c r="U382" s="52">
        <f>IF($C382="B",VLOOKUP($A382,Bat!$A$4:$BA$1417,47,FALSE),VLOOKUP($A382,Pit!$A$4:$BF$570,56,FALSE))</f>
        <v>0</v>
      </c>
      <c r="V382" s="52">
        <f>IF($C382="B",VLOOKUP($A382,Bat!$A$4:$BA$1417,48,FALSE),VLOOKUP($A382,Pit!$A$4:$BF$570,57,FALSE))</f>
        <v>0</v>
      </c>
      <c r="W382" s="52">
        <f>Table5[[#This Row],[posRnk]]+Table5[[#This Row],[zRnk]]+IF($W$3&lt;&gt;Table5[[#This Row],[Type]],50,0)</f>
        <v>428</v>
      </c>
      <c r="X382" s="53">
        <f>RANK(Table5[[#This Row],[zScore]],Table5[[#All],[zScore]])</f>
        <v>378</v>
      </c>
      <c r="Y382" s="52" t="str">
        <f>IFERROR(INDEX(DraftResults[[#All],[OVR]],MATCH(Table5[[#This Row],[PID]],DraftResults[[#All],[Player ID]],0)),"")</f>
        <v/>
      </c>
      <c r="Z3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2" s="52" t="str">
        <f>IFERROR(INDEX(DraftResults[[#All],[Pick in Round]],MATCH(Table5[[#This Row],[PID]],DraftResults[[#All],[Player ID]],0)),"")</f>
        <v/>
      </c>
      <c r="AB382" s="52" t="str">
        <f>IFERROR(INDEX(DraftResults[[#All],[Team Name]],MATCH(Table5[[#This Row],[PID]],DraftResults[[#All],[Player ID]],0)),"")</f>
        <v/>
      </c>
      <c r="AC382" s="52" t="str">
        <f>IF(Table5[[#This Row],[Ovr]]="","",IF(Table5[[#This Row],[cmbList]]="","",Table5[[#This Row],[cmbList]]-Table5[[#This Row],[Ovr]]))</f>
        <v/>
      </c>
      <c r="AD382" s="56" t="str">
        <f>IF(ISERROR(VLOOKUP($AB382&amp;"-"&amp;$E382&amp;" "&amp;F382,Bonuses!$B$1:$G$1006,4,FALSE)),"",INT(VLOOKUP($AB382&amp;"-"&amp;$E382&amp;" "&amp;$F382,Bonuses!$B$1:$G$1006,4,FALSE)))</f>
        <v/>
      </c>
      <c r="AE3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3" spans="1:31" s="52" customFormat="1" x14ac:dyDescent="0.25">
      <c r="A383" s="52">
        <v>7895</v>
      </c>
      <c r="B383" s="52">
        <f>COUNTIF(Table5[PID],A383)</f>
        <v>1</v>
      </c>
      <c r="C383" s="52" t="str">
        <f>IF(COUNTIF(Table3[[#All],[PID]],A383)&gt;0,"P","B")</f>
        <v>P</v>
      </c>
      <c r="D383" s="61" t="str">
        <f>IF($C383="B",INDEX(Batters[[#All],[POS]],MATCH(Table5[[#This Row],[PID]],Batters[[#All],[PID]],0)),INDEX(Table3[[#All],[POS]],MATCH(Table5[[#This Row],[PID]],Table3[[#All],[PID]],0)))</f>
        <v>SP</v>
      </c>
      <c r="E383" s="54" t="str">
        <f>IF($C383="B",INDEX(Batters[[#All],[First]],MATCH(Table5[[#This Row],[PID]],Batters[[#All],[PID]],0)),INDEX(Table3[[#All],[First]],MATCH(Table5[[#This Row],[PID]],Table3[[#All],[PID]],0)))</f>
        <v>José</v>
      </c>
      <c r="F383" s="52" t="str">
        <f>IF($C383="B",INDEX(Batters[[#All],[Last]],MATCH(A383,Batters[[#All],[PID]],0)),INDEX(Table3[[#All],[Last]],MATCH(A383,Table3[[#All],[PID]],0)))</f>
        <v>Rivera</v>
      </c>
      <c r="G383" s="58">
        <f>IF($C383="B",INDEX(Batters[[#All],[Age]],MATCH(Table5[[#This Row],[PID]],Batters[[#All],[PID]],0)),INDEX(Table3[[#All],[Age]],MATCH(Table5[[#This Row],[PID]],Table3[[#All],[PID]],0)))</f>
        <v>17</v>
      </c>
      <c r="H383" s="54" t="str">
        <f>IF($C383="B",INDEX(Batters[[#All],[B]],MATCH(Table5[[#This Row],[PID]],Batters[[#All],[PID]],0)),INDEX(Table3[[#All],[B]],MATCH(Table5[[#This Row],[PID]],Table3[[#All],[PID]],0)))</f>
        <v>R</v>
      </c>
      <c r="I383" s="54" t="str">
        <f>IF($C383="B",INDEX(Batters[[#All],[T]],MATCH(Table5[[#This Row],[PID]],Batters[[#All],[PID]],0)),INDEX(Table3[[#All],[T]],MATCH(Table5[[#This Row],[PID]],Table3[[#All],[PID]],0)))</f>
        <v>R</v>
      </c>
      <c r="J383" s="54" t="str">
        <f>IF($C383="B",INDEX(Batters[[#All],[WE]],MATCH(Table5[[#This Row],[PID]],Batters[[#All],[PID]],0)),INDEX(Table3[[#All],[WE]],MATCH(Table5[[#This Row],[PID]],Table3[[#All],[PID]],0)))</f>
        <v>Normal</v>
      </c>
      <c r="K383" s="54" t="str">
        <f>IF($C383="B",INDEX(Batters[[#All],[INT]],MATCH(Table5[[#This Row],[PID]],Batters[[#All],[PID]],0)),INDEX(Table3[[#All],[INT]],MATCH(Table5[[#This Row],[PID]],Table3[[#All],[PID]],0)))</f>
        <v>Normal</v>
      </c>
      <c r="L383" s="62">
        <f>IF($C383="B",INDEX(Batters[[#All],[CON P]],MATCH(Table5[[#This Row],[PID]],Batters[[#All],[PID]],0)),INDEX(Table3[[#All],[STU P]],MATCH(Table5[[#This Row],[PID]],Table3[[#All],[PID]],0)))</f>
        <v>5</v>
      </c>
      <c r="M383" s="58">
        <f>IF($C383="B",INDEX(Batters[[#All],[GAP P]],MATCH(Table5[[#This Row],[PID]],Batters[[#All],[PID]],0)),INDEX(Table3[[#All],[MOV P]],MATCH(Table5[[#This Row],[PID]],Table3[[#All],[PID]],0)))</f>
        <v>2</v>
      </c>
      <c r="N383" s="58">
        <f>IF($C383="B",INDEX(Batters[[#All],[POW P]],MATCH(Table5[[#This Row],[PID]],Batters[[#All],[PID]],0)),INDEX(Table3[[#All],[CON P]],MATCH(Table5[[#This Row],[PID]],Table3[[#All],[PID]],0)))</f>
        <v>2</v>
      </c>
      <c r="O383" s="58" t="str">
        <f>IF($C383="B",INDEX(Batters[[#All],[EYE P]],MATCH(Table5[[#This Row],[PID]],Batters[[#All],[PID]],0)),INDEX(Table3[[#All],[VELO]],MATCH(Table5[[#This Row],[PID]],Table3[[#All],[PID]],0)))</f>
        <v>88-90 Mph</v>
      </c>
      <c r="P383" s="58">
        <f>IF($C383="B",INDEX(Batters[[#All],[K P]],MATCH(Table5[[#This Row],[PID]],Batters[[#All],[PID]],0)),INDEX(Table3[[#All],[STM]],MATCH(Table5[[#This Row],[PID]],Table3[[#All],[PID]],0)))</f>
        <v>10</v>
      </c>
      <c r="Q383" s="63">
        <f>IF($C383="B",INDEX(Batters[[#All],[Tot]],MATCH(Table5[[#This Row],[PID]],Batters[[#All],[PID]],0)),INDEX(Table3[[#All],[Tot]],MATCH(Table5[[#This Row],[PID]],Table3[[#All],[PID]],0)))</f>
        <v>34.709351361499159</v>
      </c>
      <c r="R383" s="54">
        <f>IF($C383="B",INDEX(Batters[[#All],[zScore]],MATCH(Table5[[#This Row],[PID]],Batters[[#All],[PID]],0)),INDEX(Table3[[#All],[zScore]],MATCH(Table5[[#This Row],[PID]],Table3[[#All],[PID]],0)))</f>
        <v>0.18222560957811945</v>
      </c>
      <c r="S383" s="60" t="str">
        <f>IF($C383="B",INDEX(Batters[[#All],[DEM]],MATCH(Table5[[#This Row],[PID]],Batters[[#All],[PID]],0)),INDEX(Table3[[#All],[DEM]],MATCH(Table5[[#This Row],[PID]],Table3[[#All],[PID]],0)))</f>
        <v>$75k</v>
      </c>
      <c r="T383" s="64">
        <f>IF($C383="B",VLOOKUP($A383,Bat!$A$4:$AU$1417,46,FALSE),VLOOKUP($A383,Pit!$A$4:$BD$570,55,FALSE))</f>
        <v>0</v>
      </c>
      <c r="U383" s="52">
        <f>IF($C383="B",VLOOKUP($A383,Bat!$A$4:$BA$1417,47,FALSE),VLOOKUP($A383,Pit!$A$4:$BF$570,56,FALSE))</f>
        <v>0</v>
      </c>
      <c r="V383" s="52">
        <f>IF($C383="B",VLOOKUP($A383,Bat!$A$4:$BA$1417,48,FALSE),VLOOKUP($A383,Pit!$A$4:$BF$570,57,FALSE))</f>
        <v>0</v>
      </c>
      <c r="W383" s="52">
        <f>Table5[[#This Row],[posRnk]]+Table5[[#This Row],[zRnk]]+IF($W$3&lt;&gt;Table5[[#This Row],[Type]],50,0)</f>
        <v>429</v>
      </c>
      <c r="X383" s="53">
        <f>RANK(Table5[[#This Row],[zScore]],Table5[[#All],[zScore]])</f>
        <v>379</v>
      </c>
      <c r="Y383" s="52" t="str">
        <f>IFERROR(INDEX(DraftResults[[#All],[OVR]],MATCH(Table5[[#This Row],[PID]],DraftResults[[#All],[Player ID]],0)),"")</f>
        <v/>
      </c>
      <c r="Z3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3" s="52" t="str">
        <f>IFERROR(INDEX(DraftResults[[#All],[Pick in Round]],MATCH(Table5[[#This Row],[PID]],DraftResults[[#All],[Player ID]],0)),"")</f>
        <v/>
      </c>
      <c r="AB383" s="52" t="str">
        <f>IFERROR(INDEX(DraftResults[[#All],[Team Name]],MATCH(Table5[[#This Row],[PID]],DraftResults[[#All],[Player ID]],0)),"")</f>
        <v/>
      </c>
      <c r="AC383" s="52" t="str">
        <f>IF(Table5[[#This Row],[Ovr]]="","",IF(Table5[[#This Row],[cmbList]]="","",Table5[[#This Row],[cmbList]]-Table5[[#This Row],[Ovr]]))</f>
        <v/>
      </c>
      <c r="AD383" s="56" t="str">
        <f>IF(ISERROR(VLOOKUP($AB383&amp;"-"&amp;$E383&amp;" "&amp;F383,Bonuses!$B$1:$G$1006,4,FALSE)),"",INT(VLOOKUP($AB383&amp;"-"&amp;$E383&amp;" "&amp;$F383,Bonuses!$B$1:$G$1006,4,FALSE)))</f>
        <v/>
      </c>
      <c r="AE3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4" spans="1:31" s="52" customFormat="1" x14ac:dyDescent="0.25">
      <c r="A384" s="52">
        <v>16198</v>
      </c>
      <c r="B384" s="52">
        <f>COUNTIF(Table5[PID],A384)</f>
        <v>1</v>
      </c>
      <c r="C384" s="52" t="str">
        <f>IF(COUNTIF(Table3[[#All],[PID]],A384)&gt;0,"P","B")</f>
        <v>P</v>
      </c>
      <c r="D384" s="61" t="str">
        <f>IF($C384="B",INDEX(Batters[[#All],[POS]],MATCH(Table5[[#This Row],[PID]],Batters[[#All],[PID]],0)),INDEX(Table3[[#All],[POS]],MATCH(Table5[[#This Row],[PID]],Table3[[#All],[PID]],0)))</f>
        <v>RP</v>
      </c>
      <c r="E384" s="54" t="str">
        <f>IF($C384="B",INDEX(Batters[[#All],[First]],MATCH(Table5[[#This Row],[PID]],Batters[[#All],[PID]],0)),INDEX(Table3[[#All],[First]],MATCH(Table5[[#This Row],[PID]],Table3[[#All],[PID]],0)))</f>
        <v>Luis</v>
      </c>
      <c r="F384" s="52" t="str">
        <f>IF($C384="B",INDEX(Batters[[#All],[Last]],MATCH(A384,Batters[[#All],[PID]],0)),INDEX(Table3[[#All],[Last]],MATCH(A384,Table3[[#All],[PID]],0)))</f>
        <v>Pérez</v>
      </c>
      <c r="G384" s="58">
        <f>IF($C384="B",INDEX(Batters[[#All],[Age]],MATCH(Table5[[#This Row],[PID]],Batters[[#All],[PID]],0)),INDEX(Table3[[#All],[Age]],MATCH(Table5[[#This Row],[PID]],Table3[[#All],[PID]],0)))</f>
        <v>21</v>
      </c>
      <c r="H384" s="54" t="str">
        <f>IF($C384="B",INDEX(Batters[[#All],[B]],MATCH(Table5[[#This Row],[PID]],Batters[[#All],[PID]],0)),INDEX(Table3[[#All],[B]],MATCH(Table5[[#This Row],[PID]],Table3[[#All],[PID]],0)))</f>
        <v>R</v>
      </c>
      <c r="I384" s="54" t="str">
        <f>IF($C384="B",INDEX(Batters[[#All],[T]],MATCH(Table5[[#This Row],[PID]],Batters[[#All],[PID]],0)),INDEX(Table3[[#All],[T]],MATCH(Table5[[#This Row],[PID]],Table3[[#All],[PID]],0)))</f>
        <v>R</v>
      </c>
      <c r="J384" s="54" t="str">
        <f>IF($C384="B",INDEX(Batters[[#All],[WE]],MATCH(Table5[[#This Row],[PID]],Batters[[#All],[PID]],0)),INDEX(Table3[[#All],[WE]],MATCH(Table5[[#This Row],[PID]],Table3[[#All],[PID]],0)))</f>
        <v>Normal</v>
      </c>
      <c r="K384" s="54" t="str">
        <f>IF($C384="B",INDEX(Batters[[#All],[INT]],MATCH(Table5[[#This Row],[PID]],Batters[[#All],[PID]],0)),INDEX(Table3[[#All],[INT]],MATCH(Table5[[#This Row],[PID]],Table3[[#All],[PID]],0)))</f>
        <v>Normal</v>
      </c>
      <c r="L384" s="62">
        <f>IF($C384="B",INDEX(Batters[[#All],[CON P]],MATCH(Table5[[#This Row],[PID]],Batters[[#All],[PID]],0)),INDEX(Table3[[#All],[STU P]],MATCH(Table5[[#This Row],[PID]],Table3[[#All],[PID]],0)))</f>
        <v>4</v>
      </c>
      <c r="M384" s="58">
        <f>IF($C384="B",INDEX(Batters[[#All],[GAP P]],MATCH(Table5[[#This Row],[PID]],Batters[[#All],[PID]],0)),INDEX(Table3[[#All],[MOV P]],MATCH(Table5[[#This Row],[PID]],Table3[[#All],[PID]],0)))</f>
        <v>4</v>
      </c>
      <c r="N384" s="58">
        <f>IF($C384="B",INDEX(Batters[[#All],[POW P]],MATCH(Table5[[#This Row],[PID]],Batters[[#All],[PID]],0)),INDEX(Table3[[#All],[CON P]],MATCH(Table5[[#This Row],[PID]],Table3[[#All],[PID]],0)))</f>
        <v>4</v>
      </c>
      <c r="O384" s="58" t="str">
        <f>IF($C384="B",INDEX(Batters[[#All],[EYE P]],MATCH(Table5[[#This Row],[PID]],Batters[[#All],[PID]],0)),INDEX(Table3[[#All],[VELO]],MATCH(Table5[[#This Row],[PID]],Table3[[#All],[PID]],0)))</f>
        <v>89-91 Mph</v>
      </c>
      <c r="P384" s="58">
        <f>IF($C384="B",INDEX(Batters[[#All],[K P]],MATCH(Table5[[#This Row],[PID]],Batters[[#All],[PID]],0)),INDEX(Table3[[#All],[STM]],MATCH(Table5[[#This Row],[PID]],Table3[[#All],[PID]],0)))</f>
        <v>8</v>
      </c>
      <c r="Q384" s="63">
        <f>IF($C384="B",INDEX(Batters[[#All],[Tot]],MATCH(Table5[[#This Row],[PID]],Batters[[#All],[PID]],0)),INDEX(Table3[[#All],[Tot]],MATCH(Table5[[#This Row],[PID]],Table3[[#All],[PID]],0)))</f>
        <v>34.66301854879498</v>
      </c>
      <c r="R384" s="54">
        <f>IF($C384="B",INDEX(Batters[[#All],[zScore]],MATCH(Table5[[#This Row],[PID]],Batters[[#All],[PID]],0)),INDEX(Table3[[#All],[zScore]],MATCH(Table5[[#This Row],[PID]],Table3[[#All],[PID]],0)))</f>
        <v>0.1779766926225427</v>
      </c>
      <c r="S384" s="60" t="str">
        <f>IF($C384="B",INDEX(Batters[[#All],[DEM]],MATCH(Table5[[#This Row],[PID]],Batters[[#All],[PID]],0)),INDEX(Table3[[#All],[DEM]],MATCH(Table5[[#This Row],[PID]],Table3[[#All],[PID]],0)))</f>
        <v>$20k</v>
      </c>
      <c r="T384" s="64">
        <f>IF($C384="B",VLOOKUP($A384,Bat!$A$4:$AU$1417,46,FALSE),VLOOKUP($A384,Pit!$A$4:$BD$570,55,FALSE))</f>
        <v>0</v>
      </c>
      <c r="U384" s="52">
        <f>IF($C384="B",VLOOKUP($A384,Bat!$A$4:$BA$1417,47,FALSE),VLOOKUP($A384,Pit!$A$4:$BF$570,56,FALSE))</f>
        <v>0</v>
      </c>
      <c r="V384" s="52">
        <f>IF($C384="B",VLOOKUP($A384,Bat!$A$4:$BA$1417,48,FALSE),VLOOKUP($A384,Pit!$A$4:$BF$570,57,FALSE))</f>
        <v>0</v>
      </c>
      <c r="W384" s="52">
        <f>Table5[[#This Row],[posRnk]]+Table5[[#This Row],[zRnk]]+IF($W$3&lt;&gt;Table5[[#This Row],[Type]],50,0)</f>
        <v>430</v>
      </c>
      <c r="X384" s="53">
        <f>RANK(Table5[[#This Row],[zScore]],Table5[[#All],[zScore]])</f>
        <v>380</v>
      </c>
      <c r="Y384" s="52" t="str">
        <f>IFERROR(INDEX(DraftResults[[#All],[OVR]],MATCH(Table5[[#This Row],[PID]],DraftResults[[#All],[Player ID]],0)),"")</f>
        <v/>
      </c>
      <c r="Z3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4" s="52" t="str">
        <f>IFERROR(INDEX(DraftResults[[#All],[Pick in Round]],MATCH(Table5[[#This Row],[PID]],DraftResults[[#All],[Player ID]],0)),"")</f>
        <v/>
      </c>
      <c r="AB384" s="52" t="str">
        <f>IFERROR(INDEX(DraftResults[[#All],[Team Name]],MATCH(Table5[[#This Row],[PID]],DraftResults[[#All],[Player ID]],0)),"")</f>
        <v/>
      </c>
      <c r="AC384" s="52" t="str">
        <f>IF(Table5[[#This Row],[Ovr]]="","",IF(Table5[[#This Row],[cmbList]]="","",Table5[[#This Row],[cmbList]]-Table5[[#This Row],[Ovr]]))</f>
        <v/>
      </c>
      <c r="AD384" s="56" t="str">
        <f>IF(ISERROR(VLOOKUP($AB384&amp;"-"&amp;$E384&amp;" "&amp;F384,Bonuses!$B$1:$G$1006,4,FALSE)),"",INT(VLOOKUP($AB384&amp;"-"&amp;$E384&amp;" "&amp;$F384,Bonuses!$B$1:$G$1006,4,FALSE)))</f>
        <v/>
      </c>
      <c r="AE3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5" spans="1:31" s="52" customFormat="1" x14ac:dyDescent="0.25">
      <c r="A385" s="52">
        <v>12164</v>
      </c>
      <c r="B385" s="52">
        <f>COUNTIF(Table5[PID],A385)</f>
        <v>1</v>
      </c>
      <c r="C385" s="52" t="str">
        <f>IF(COUNTIF(Table3[[#All],[PID]],A385)&gt;0,"P","B")</f>
        <v>P</v>
      </c>
      <c r="D385" s="61" t="str">
        <f>IF($C385="B",INDEX(Batters[[#All],[POS]],MATCH(Table5[[#This Row],[PID]],Batters[[#All],[PID]],0)),INDEX(Table3[[#All],[POS]],MATCH(Table5[[#This Row],[PID]],Table3[[#All],[PID]],0)))</f>
        <v>SP</v>
      </c>
      <c r="E385" s="54" t="str">
        <f>IF($C385="B",INDEX(Batters[[#All],[First]],MATCH(Table5[[#This Row],[PID]],Batters[[#All],[PID]],0)),INDEX(Table3[[#All],[First]],MATCH(Table5[[#This Row],[PID]],Table3[[#All],[PID]],0)))</f>
        <v>Jeff</v>
      </c>
      <c r="F385" s="52" t="str">
        <f>IF($C385="B",INDEX(Batters[[#All],[Last]],MATCH(A385,Batters[[#All],[PID]],0)),INDEX(Table3[[#All],[Last]],MATCH(A385,Table3[[#All],[PID]],0)))</f>
        <v>Franklin</v>
      </c>
      <c r="G385" s="58">
        <f>IF($C385="B",INDEX(Batters[[#All],[Age]],MATCH(Table5[[#This Row],[PID]],Batters[[#All],[PID]],0)),INDEX(Table3[[#All],[Age]],MATCH(Table5[[#This Row],[PID]],Table3[[#All],[PID]],0)))</f>
        <v>21</v>
      </c>
      <c r="H385" s="54" t="str">
        <f>IF($C385="B",INDEX(Batters[[#All],[B]],MATCH(Table5[[#This Row],[PID]],Batters[[#All],[PID]],0)),INDEX(Table3[[#All],[B]],MATCH(Table5[[#This Row],[PID]],Table3[[#All],[PID]],0)))</f>
        <v>R</v>
      </c>
      <c r="I385" s="54" t="str">
        <f>IF($C385="B",INDEX(Batters[[#All],[T]],MATCH(Table5[[#This Row],[PID]],Batters[[#All],[PID]],0)),INDEX(Table3[[#All],[T]],MATCH(Table5[[#This Row],[PID]],Table3[[#All],[PID]],0)))</f>
        <v>R</v>
      </c>
      <c r="J385" s="54" t="str">
        <f>IF($C385="B",INDEX(Batters[[#All],[WE]],MATCH(Table5[[#This Row],[PID]],Batters[[#All],[PID]],0)),INDEX(Table3[[#All],[WE]],MATCH(Table5[[#This Row],[PID]],Table3[[#All],[PID]],0)))</f>
        <v>Low</v>
      </c>
      <c r="K385" s="54" t="str">
        <f>IF($C385="B",INDEX(Batters[[#All],[INT]],MATCH(Table5[[#This Row],[PID]],Batters[[#All],[PID]],0)),INDEX(Table3[[#All],[INT]],MATCH(Table5[[#This Row],[PID]],Table3[[#All],[PID]],0)))</f>
        <v>Normal</v>
      </c>
      <c r="L385" s="62">
        <f>IF($C385="B",INDEX(Batters[[#All],[CON P]],MATCH(Table5[[#This Row],[PID]],Batters[[#All],[PID]],0)),INDEX(Table3[[#All],[STU P]],MATCH(Table5[[#This Row],[PID]],Table3[[#All],[PID]],0)))</f>
        <v>5</v>
      </c>
      <c r="M385" s="58">
        <f>IF($C385="B",INDEX(Batters[[#All],[GAP P]],MATCH(Table5[[#This Row],[PID]],Batters[[#All],[PID]],0)),INDEX(Table3[[#All],[MOV P]],MATCH(Table5[[#This Row],[PID]],Table3[[#All],[PID]],0)))</f>
        <v>3</v>
      </c>
      <c r="N385" s="58">
        <f>IF($C385="B",INDEX(Batters[[#All],[POW P]],MATCH(Table5[[#This Row],[PID]],Batters[[#All],[PID]],0)),INDEX(Table3[[#All],[CON P]],MATCH(Table5[[#This Row],[PID]],Table3[[#All],[PID]],0)))</f>
        <v>2</v>
      </c>
      <c r="O385" s="58" t="str">
        <f>IF($C385="B",INDEX(Batters[[#All],[EYE P]],MATCH(Table5[[#This Row],[PID]],Batters[[#All],[PID]],0)),INDEX(Table3[[#All],[VELO]],MATCH(Table5[[#This Row],[PID]],Table3[[#All],[PID]],0)))</f>
        <v>93-95 Mph</v>
      </c>
      <c r="P385" s="58">
        <f>IF($C385="B",INDEX(Batters[[#All],[K P]],MATCH(Table5[[#This Row],[PID]],Batters[[#All],[PID]],0)),INDEX(Table3[[#All],[STM]],MATCH(Table5[[#This Row],[PID]],Table3[[#All],[PID]],0)))</f>
        <v>5</v>
      </c>
      <c r="Q385" s="63">
        <f>IF($C385="B",INDEX(Batters[[#All],[Tot]],MATCH(Table5[[#This Row],[PID]],Batters[[#All],[PID]],0)),INDEX(Table3[[#All],[Tot]],MATCH(Table5[[#This Row],[PID]],Table3[[#All],[PID]],0)))</f>
        <v>34.614482127530223</v>
      </c>
      <c r="R385" s="54">
        <f>IF($C385="B",INDEX(Batters[[#All],[zScore]],MATCH(Table5[[#This Row],[PID]],Batters[[#All],[PID]],0)),INDEX(Table3[[#All],[zScore]],MATCH(Table5[[#This Row],[PID]],Table3[[#All],[PID]],0)))</f>
        <v>0.17352569534354004</v>
      </c>
      <c r="S385" s="60" t="str">
        <f>IF($C385="B",INDEX(Batters[[#All],[DEM]],MATCH(Table5[[#This Row],[PID]],Batters[[#All],[PID]],0)),INDEX(Table3[[#All],[DEM]],MATCH(Table5[[#This Row],[PID]],Table3[[#All],[PID]],0)))</f>
        <v>-</v>
      </c>
      <c r="T385" s="64">
        <f>IF($C385="B",VLOOKUP($A385,Bat!$A$4:$AU$1417,46,FALSE),VLOOKUP($A385,Pit!$A$4:$BD$570,55,FALSE))</f>
        <v>0</v>
      </c>
      <c r="U385" s="52">
        <f>IF($C385="B",VLOOKUP($A385,Bat!$A$4:$BA$1417,47,FALSE),VLOOKUP($A385,Pit!$A$4:$BF$570,56,FALSE))</f>
        <v>0</v>
      </c>
      <c r="V385" s="52">
        <f>IF($C385="B",VLOOKUP($A385,Bat!$A$4:$BA$1417,48,FALSE),VLOOKUP($A385,Pit!$A$4:$BF$570,57,FALSE))</f>
        <v>0</v>
      </c>
      <c r="W385" s="52">
        <f>Table5[[#This Row],[posRnk]]+Table5[[#This Row],[zRnk]]+IF($W$3&lt;&gt;Table5[[#This Row],[Type]],50,0)</f>
        <v>431</v>
      </c>
      <c r="X385" s="53">
        <f>RANK(Table5[[#This Row],[zScore]],Table5[[#All],[zScore]])</f>
        <v>381</v>
      </c>
      <c r="Y385" s="52" t="str">
        <f>IFERROR(INDEX(DraftResults[[#All],[OVR]],MATCH(Table5[[#This Row],[PID]],DraftResults[[#All],[Player ID]],0)),"")</f>
        <v/>
      </c>
      <c r="Z3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5" s="52" t="str">
        <f>IFERROR(INDEX(DraftResults[[#All],[Pick in Round]],MATCH(Table5[[#This Row],[PID]],DraftResults[[#All],[Player ID]],0)),"")</f>
        <v/>
      </c>
      <c r="AB385" s="52" t="str">
        <f>IFERROR(INDEX(DraftResults[[#All],[Team Name]],MATCH(Table5[[#This Row],[PID]],DraftResults[[#All],[Player ID]],0)),"")</f>
        <v/>
      </c>
      <c r="AC385" s="52" t="str">
        <f>IF(Table5[[#This Row],[Ovr]]="","",IF(Table5[[#This Row],[cmbList]]="","",Table5[[#This Row],[cmbList]]-Table5[[#This Row],[Ovr]]))</f>
        <v/>
      </c>
      <c r="AD385" s="56" t="str">
        <f>IF(ISERROR(VLOOKUP($AB385&amp;"-"&amp;$E385&amp;" "&amp;F385,Bonuses!$B$1:$G$1006,4,FALSE)),"",INT(VLOOKUP($AB385&amp;"-"&amp;$E385&amp;" "&amp;$F385,Bonuses!$B$1:$G$1006,4,FALSE)))</f>
        <v/>
      </c>
      <c r="AE3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6" spans="1:31" s="52" customFormat="1" x14ac:dyDescent="0.25">
      <c r="A386" s="52">
        <v>10161</v>
      </c>
      <c r="B386" s="52">
        <f>COUNTIF(Table5[PID],A386)</f>
        <v>1</v>
      </c>
      <c r="C386" s="52" t="str">
        <f>IF(COUNTIF(Table3[[#All],[PID]],A386)&gt;0,"P","B")</f>
        <v>P</v>
      </c>
      <c r="D386" s="61" t="str">
        <f>IF($C386="B",INDEX(Batters[[#All],[POS]],MATCH(Table5[[#This Row],[PID]],Batters[[#All],[PID]],0)),INDEX(Table3[[#All],[POS]],MATCH(Table5[[#This Row],[PID]],Table3[[#All],[PID]],0)))</f>
        <v>SP</v>
      </c>
      <c r="E386" s="54" t="str">
        <f>IF($C386="B",INDEX(Batters[[#All],[First]],MATCH(Table5[[#This Row],[PID]],Batters[[#All],[PID]],0)),INDEX(Table3[[#All],[First]],MATCH(Table5[[#This Row],[PID]],Table3[[#All],[PID]],0)))</f>
        <v>Félix</v>
      </c>
      <c r="F386" s="52" t="str">
        <f>IF($C386="B",INDEX(Batters[[#All],[Last]],MATCH(A386,Batters[[#All],[PID]],0)),INDEX(Table3[[#All],[Last]],MATCH(A386,Table3[[#All],[PID]],0)))</f>
        <v>Vallepando</v>
      </c>
      <c r="G386" s="58">
        <f>IF($C386="B",INDEX(Batters[[#All],[Age]],MATCH(Table5[[#This Row],[PID]],Batters[[#All],[PID]],0)),INDEX(Table3[[#All],[Age]],MATCH(Table5[[#This Row],[PID]],Table3[[#All],[PID]],0)))</f>
        <v>21</v>
      </c>
      <c r="H386" s="54" t="str">
        <f>IF($C386="B",INDEX(Batters[[#All],[B]],MATCH(Table5[[#This Row],[PID]],Batters[[#All],[PID]],0)),INDEX(Table3[[#All],[B]],MATCH(Table5[[#This Row],[PID]],Table3[[#All],[PID]],0)))</f>
        <v>R</v>
      </c>
      <c r="I386" s="54" t="str">
        <f>IF($C386="B",INDEX(Batters[[#All],[T]],MATCH(Table5[[#This Row],[PID]],Batters[[#All],[PID]],0)),INDEX(Table3[[#All],[T]],MATCH(Table5[[#This Row],[PID]],Table3[[#All],[PID]],0)))</f>
        <v>R</v>
      </c>
      <c r="J386" s="54" t="str">
        <f>IF($C386="B",INDEX(Batters[[#All],[WE]],MATCH(Table5[[#This Row],[PID]],Batters[[#All],[PID]],0)),INDEX(Table3[[#All],[WE]],MATCH(Table5[[#This Row],[PID]],Table3[[#All],[PID]],0)))</f>
        <v>Normal</v>
      </c>
      <c r="K386" s="54" t="str">
        <f>IF($C386="B",INDEX(Batters[[#All],[INT]],MATCH(Table5[[#This Row],[PID]],Batters[[#All],[PID]],0)),INDEX(Table3[[#All],[INT]],MATCH(Table5[[#This Row],[PID]],Table3[[#All],[PID]],0)))</f>
        <v>High</v>
      </c>
      <c r="L386" s="62">
        <f>IF($C386="B",INDEX(Batters[[#All],[CON P]],MATCH(Table5[[#This Row],[PID]],Batters[[#All],[PID]],0)),INDEX(Table3[[#All],[STU P]],MATCH(Table5[[#This Row],[PID]],Table3[[#All],[PID]],0)))</f>
        <v>5</v>
      </c>
      <c r="M386" s="58">
        <f>IF($C386="B",INDEX(Batters[[#All],[GAP P]],MATCH(Table5[[#This Row],[PID]],Batters[[#All],[PID]],0)),INDEX(Table3[[#All],[MOV P]],MATCH(Table5[[#This Row],[PID]],Table3[[#All],[PID]],0)))</f>
        <v>2</v>
      </c>
      <c r="N386" s="58">
        <f>IF($C386="B",INDEX(Batters[[#All],[POW P]],MATCH(Table5[[#This Row],[PID]],Batters[[#All],[PID]],0)),INDEX(Table3[[#All],[CON P]],MATCH(Table5[[#This Row],[PID]],Table3[[#All],[PID]],0)))</f>
        <v>3</v>
      </c>
      <c r="O386" s="58" t="str">
        <f>IF($C386="B",INDEX(Batters[[#All],[EYE P]],MATCH(Table5[[#This Row],[PID]],Batters[[#All],[PID]],0)),INDEX(Table3[[#All],[VELO]],MATCH(Table5[[#This Row],[PID]],Table3[[#All],[PID]],0)))</f>
        <v>94-96 Mph</v>
      </c>
      <c r="P386" s="58">
        <f>IF($C386="B",INDEX(Batters[[#All],[K P]],MATCH(Table5[[#This Row],[PID]],Batters[[#All],[PID]],0)),INDEX(Table3[[#All],[STM]],MATCH(Table5[[#This Row],[PID]],Table3[[#All],[PID]],0)))</f>
        <v>4</v>
      </c>
      <c r="Q386" s="63">
        <f>IF($C386="B",INDEX(Batters[[#All],[Tot]],MATCH(Table5[[#This Row],[PID]],Batters[[#All],[PID]],0)),INDEX(Table3[[#All],[Tot]],MATCH(Table5[[#This Row],[PID]],Table3[[#All],[PID]],0)))</f>
        <v>34.475443683059936</v>
      </c>
      <c r="R386" s="54">
        <f>IF($C386="B",INDEX(Batters[[#All],[zScore]],MATCH(Table5[[#This Row],[PID]],Batters[[#All],[PID]],0)),INDEX(Table3[[#All],[zScore]],MATCH(Table5[[#This Row],[PID]],Table3[[#All],[PID]],0)))</f>
        <v>0.16077527572281336</v>
      </c>
      <c r="S386" s="60" t="str">
        <f>IF($C386="B",INDEX(Batters[[#All],[DEM]],MATCH(Table5[[#This Row],[PID]],Batters[[#All],[PID]],0)),INDEX(Table3[[#All],[DEM]],MATCH(Table5[[#This Row],[PID]],Table3[[#All],[PID]],0)))</f>
        <v>-</v>
      </c>
      <c r="T386" s="64">
        <f>IF($C386="B",VLOOKUP($A386,Bat!$A$4:$AU$1417,46,FALSE),VLOOKUP($A386,Pit!$A$4:$BD$570,55,FALSE))</f>
        <v>0</v>
      </c>
      <c r="U386" s="52">
        <f>IF($C386="B",VLOOKUP($A386,Bat!$A$4:$BA$1417,47,FALSE),VLOOKUP($A386,Pit!$A$4:$BF$570,56,FALSE))</f>
        <v>0</v>
      </c>
      <c r="V386" s="52">
        <f>IF($C386="B",VLOOKUP($A386,Bat!$A$4:$BA$1417,48,FALSE),VLOOKUP($A386,Pit!$A$4:$BF$570,57,FALSE))</f>
        <v>0</v>
      </c>
      <c r="W386" s="52">
        <f>Table5[[#This Row],[posRnk]]+Table5[[#This Row],[zRnk]]+IF($W$3&lt;&gt;Table5[[#This Row],[Type]],50,0)</f>
        <v>432</v>
      </c>
      <c r="X386" s="53">
        <f>RANK(Table5[[#This Row],[zScore]],Table5[[#All],[zScore]])</f>
        <v>382</v>
      </c>
      <c r="Y386" s="52" t="str">
        <f>IFERROR(INDEX(DraftResults[[#All],[OVR]],MATCH(Table5[[#This Row],[PID]],DraftResults[[#All],[Player ID]],0)),"")</f>
        <v/>
      </c>
      <c r="Z3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6" s="52" t="str">
        <f>IFERROR(INDEX(DraftResults[[#All],[Pick in Round]],MATCH(Table5[[#This Row],[PID]],DraftResults[[#All],[Player ID]],0)),"")</f>
        <v/>
      </c>
      <c r="AB386" s="52" t="str">
        <f>IFERROR(INDEX(DraftResults[[#All],[Team Name]],MATCH(Table5[[#This Row],[PID]],DraftResults[[#All],[Player ID]],0)),"")</f>
        <v/>
      </c>
      <c r="AC386" s="52" t="str">
        <f>IF(Table5[[#This Row],[Ovr]]="","",IF(Table5[[#This Row],[cmbList]]="","",Table5[[#This Row],[cmbList]]-Table5[[#This Row],[Ovr]]))</f>
        <v/>
      </c>
      <c r="AD386" s="56" t="str">
        <f>IF(ISERROR(VLOOKUP($AB386&amp;"-"&amp;$E386&amp;" "&amp;F386,Bonuses!$B$1:$G$1006,4,FALSE)),"",INT(VLOOKUP($AB386&amp;"-"&amp;$E386&amp;" "&amp;$F386,Bonuses!$B$1:$G$1006,4,FALSE)))</f>
        <v/>
      </c>
      <c r="AE3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7" spans="1:31" s="52" customFormat="1" x14ac:dyDescent="0.25">
      <c r="A387" s="52">
        <v>11810</v>
      </c>
      <c r="B387" s="52">
        <f>COUNTIF(Table5[PID],A387)</f>
        <v>1</v>
      </c>
      <c r="C387" s="52" t="str">
        <f>IF(COUNTIF(Table3[[#All],[PID]],A387)&gt;0,"P","B")</f>
        <v>P</v>
      </c>
      <c r="D387" s="61" t="str">
        <f>IF($C387="B",INDEX(Batters[[#All],[POS]],MATCH(Table5[[#This Row],[PID]],Batters[[#All],[PID]],0)),INDEX(Table3[[#All],[POS]],MATCH(Table5[[#This Row],[PID]],Table3[[#All],[PID]],0)))</f>
        <v>SP</v>
      </c>
      <c r="E387" s="54" t="str">
        <f>IF($C387="B",INDEX(Batters[[#All],[First]],MATCH(Table5[[#This Row],[PID]],Batters[[#All],[PID]],0)),INDEX(Table3[[#All],[First]],MATCH(Table5[[#This Row],[PID]],Table3[[#All],[PID]],0)))</f>
        <v>Ricardo</v>
      </c>
      <c r="F387" s="52" t="str">
        <f>IF($C387="B",INDEX(Batters[[#All],[Last]],MATCH(A387,Batters[[#All],[PID]],0)),INDEX(Table3[[#All],[Last]],MATCH(A387,Table3[[#All],[PID]],0)))</f>
        <v>Chávez</v>
      </c>
      <c r="G387" s="58">
        <f>IF($C387="B",INDEX(Batters[[#All],[Age]],MATCH(Table5[[#This Row],[PID]],Batters[[#All],[PID]],0)),INDEX(Table3[[#All],[Age]],MATCH(Table5[[#This Row],[PID]],Table3[[#All],[PID]],0)))</f>
        <v>21</v>
      </c>
      <c r="H387" s="54" t="str">
        <f>IF($C387="B",INDEX(Batters[[#All],[B]],MATCH(Table5[[#This Row],[PID]],Batters[[#All],[PID]],0)),INDEX(Table3[[#All],[B]],MATCH(Table5[[#This Row],[PID]],Table3[[#All],[PID]],0)))</f>
        <v>R</v>
      </c>
      <c r="I387" s="54" t="str">
        <f>IF($C387="B",INDEX(Batters[[#All],[T]],MATCH(Table5[[#This Row],[PID]],Batters[[#All],[PID]],0)),INDEX(Table3[[#All],[T]],MATCH(Table5[[#This Row],[PID]],Table3[[#All],[PID]],0)))</f>
        <v>L</v>
      </c>
      <c r="J387" s="54" t="str">
        <f>IF($C387="B",INDEX(Batters[[#All],[WE]],MATCH(Table5[[#This Row],[PID]],Batters[[#All],[PID]],0)),INDEX(Table3[[#All],[WE]],MATCH(Table5[[#This Row],[PID]],Table3[[#All],[PID]],0)))</f>
        <v>Normal</v>
      </c>
      <c r="K387" s="54" t="str">
        <f>IF($C387="B",INDEX(Batters[[#All],[INT]],MATCH(Table5[[#This Row],[PID]],Batters[[#All],[PID]],0)),INDEX(Table3[[#All],[INT]],MATCH(Table5[[#This Row],[PID]],Table3[[#All],[PID]],0)))</f>
        <v>Normal</v>
      </c>
      <c r="L387" s="62">
        <f>IF($C387="B",INDEX(Batters[[#All],[CON P]],MATCH(Table5[[#This Row],[PID]],Batters[[#All],[PID]],0)),INDEX(Table3[[#All],[STU P]],MATCH(Table5[[#This Row],[PID]],Table3[[#All],[PID]],0)))</f>
        <v>5</v>
      </c>
      <c r="M387" s="58">
        <f>IF($C387="B",INDEX(Batters[[#All],[GAP P]],MATCH(Table5[[#This Row],[PID]],Batters[[#All],[PID]],0)),INDEX(Table3[[#All],[MOV P]],MATCH(Table5[[#This Row],[PID]],Table3[[#All],[PID]],0)))</f>
        <v>2</v>
      </c>
      <c r="N387" s="58">
        <f>IF($C387="B",INDEX(Batters[[#All],[POW P]],MATCH(Table5[[#This Row],[PID]],Batters[[#All],[PID]],0)),INDEX(Table3[[#All],[CON P]],MATCH(Table5[[#This Row],[PID]],Table3[[#All],[PID]],0)))</f>
        <v>3</v>
      </c>
      <c r="O387" s="58" t="str">
        <f>IF($C387="B",INDEX(Batters[[#All],[EYE P]],MATCH(Table5[[#This Row],[PID]],Batters[[#All],[PID]],0)),INDEX(Table3[[#All],[VELO]],MATCH(Table5[[#This Row],[PID]],Table3[[#All],[PID]],0)))</f>
        <v>87-89 Mph</v>
      </c>
      <c r="P387" s="58">
        <f>IF($C387="B",INDEX(Batters[[#All],[K P]],MATCH(Table5[[#This Row],[PID]],Batters[[#All],[PID]],0)),INDEX(Table3[[#All],[STM]],MATCH(Table5[[#This Row],[PID]],Table3[[#All],[PID]],0)))</f>
        <v>4</v>
      </c>
      <c r="Q387" s="63">
        <f>IF($C387="B",INDEX(Batters[[#All],[Tot]],MATCH(Table5[[#This Row],[PID]],Batters[[#All],[PID]],0)),INDEX(Table3[[#All],[Tot]],MATCH(Table5[[#This Row],[PID]],Table3[[#All],[PID]],0)))</f>
        <v>34.448506807659321</v>
      </c>
      <c r="R387" s="54">
        <f>IF($C387="B",INDEX(Batters[[#All],[zScore]],MATCH(Table5[[#This Row],[PID]],Batters[[#All],[PID]],0)),INDEX(Table3[[#All],[zScore]],MATCH(Table5[[#This Row],[PID]],Table3[[#All],[PID]],0)))</f>
        <v>0.15830504911795176</v>
      </c>
      <c r="S387" s="60" t="str">
        <f>IF($C387="B",INDEX(Batters[[#All],[DEM]],MATCH(Table5[[#This Row],[PID]],Batters[[#All],[PID]],0)),INDEX(Table3[[#All],[DEM]],MATCH(Table5[[#This Row],[PID]],Table3[[#All],[PID]],0)))</f>
        <v>$20k</v>
      </c>
      <c r="T387" s="64">
        <f>IF($C387="B",VLOOKUP($A387,Bat!$A$4:$AU$1417,46,FALSE),VLOOKUP($A387,Pit!$A$4:$BD$570,55,FALSE))</f>
        <v>0</v>
      </c>
      <c r="U387" s="52">
        <f>IF($C387="B",VLOOKUP($A387,Bat!$A$4:$BA$1417,47,FALSE),VLOOKUP($A387,Pit!$A$4:$BF$570,56,FALSE))</f>
        <v>0</v>
      </c>
      <c r="V387" s="52">
        <f>IF($C387="B",VLOOKUP($A387,Bat!$A$4:$BA$1417,48,FALSE),VLOOKUP($A387,Pit!$A$4:$BF$570,57,FALSE))</f>
        <v>0</v>
      </c>
      <c r="W387" s="52">
        <f>Table5[[#This Row],[posRnk]]+Table5[[#This Row],[zRnk]]+IF($W$3&lt;&gt;Table5[[#This Row],[Type]],50,0)</f>
        <v>433</v>
      </c>
      <c r="X387" s="53">
        <f>RANK(Table5[[#This Row],[zScore]],Table5[[#All],[zScore]])</f>
        <v>383</v>
      </c>
      <c r="Y387" s="52" t="str">
        <f>IFERROR(INDEX(DraftResults[[#All],[OVR]],MATCH(Table5[[#This Row],[PID]],DraftResults[[#All],[Player ID]],0)),"")</f>
        <v/>
      </c>
      <c r="Z3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7" s="52" t="str">
        <f>IFERROR(INDEX(DraftResults[[#All],[Pick in Round]],MATCH(Table5[[#This Row],[PID]],DraftResults[[#All],[Player ID]],0)),"")</f>
        <v/>
      </c>
      <c r="AB387" s="52" t="str">
        <f>IFERROR(INDEX(DraftResults[[#All],[Team Name]],MATCH(Table5[[#This Row],[PID]],DraftResults[[#All],[Player ID]],0)),"")</f>
        <v/>
      </c>
      <c r="AC387" s="52" t="str">
        <f>IF(Table5[[#This Row],[Ovr]]="","",IF(Table5[[#This Row],[cmbList]]="","",Table5[[#This Row],[cmbList]]-Table5[[#This Row],[Ovr]]))</f>
        <v/>
      </c>
      <c r="AD387" s="56" t="str">
        <f>IF(ISERROR(VLOOKUP($AB387&amp;"-"&amp;$E387&amp;" "&amp;F387,Bonuses!$B$1:$G$1006,4,FALSE)),"",INT(VLOOKUP($AB387&amp;"-"&amp;$E387&amp;" "&amp;$F387,Bonuses!$B$1:$G$1006,4,FALSE)))</f>
        <v/>
      </c>
      <c r="AE3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8" spans="1:31" s="52" customFormat="1" x14ac:dyDescent="0.25">
      <c r="A388" s="52">
        <v>8014</v>
      </c>
      <c r="B388" s="52">
        <f>COUNTIF(Table5[PID],A388)</f>
        <v>1</v>
      </c>
      <c r="C388" s="52" t="str">
        <f>IF(COUNTIF(Table3[[#All],[PID]],A388)&gt;0,"P","B")</f>
        <v>P</v>
      </c>
      <c r="D388" s="61" t="str">
        <f>IF($C388="B",INDEX(Batters[[#All],[POS]],MATCH(Table5[[#This Row],[PID]],Batters[[#All],[PID]],0)),INDEX(Table3[[#All],[POS]],MATCH(Table5[[#This Row],[PID]],Table3[[#All],[PID]],0)))</f>
        <v>RP</v>
      </c>
      <c r="E388" s="54" t="str">
        <f>IF($C388="B",INDEX(Batters[[#All],[First]],MATCH(Table5[[#This Row],[PID]],Batters[[#All],[PID]],0)),INDEX(Table3[[#All],[First]],MATCH(Table5[[#This Row],[PID]],Table3[[#All],[PID]],0)))</f>
        <v>Daryl</v>
      </c>
      <c r="F388" s="52" t="str">
        <f>IF($C388="B",INDEX(Batters[[#All],[Last]],MATCH(A388,Batters[[#All],[PID]],0)),INDEX(Table3[[#All],[Last]],MATCH(A388,Table3[[#All],[PID]],0)))</f>
        <v>Castillo</v>
      </c>
      <c r="G388" s="58">
        <f>IF($C388="B",INDEX(Batters[[#All],[Age]],MATCH(Table5[[#This Row],[PID]],Batters[[#All],[PID]],0)),INDEX(Table3[[#All],[Age]],MATCH(Table5[[#This Row],[PID]],Table3[[#All],[PID]],0)))</f>
        <v>18</v>
      </c>
      <c r="H388" s="54" t="str">
        <f>IF($C388="B",INDEX(Batters[[#All],[B]],MATCH(Table5[[#This Row],[PID]],Batters[[#All],[PID]],0)),INDEX(Table3[[#All],[B]],MATCH(Table5[[#This Row],[PID]],Table3[[#All],[PID]],0)))</f>
        <v>L</v>
      </c>
      <c r="I388" s="54" t="str">
        <f>IF($C388="B",INDEX(Batters[[#All],[T]],MATCH(Table5[[#This Row],[PID]],Batters[[#All],[PID]],0)),INDEX(Table3[[#All],[T]],MATCH(Table5[[#This Row],[PID]],Table3[[#All],[PID]],0)))</f>
        <v>L</v>
      </c>
      <c r="J388" s="54" t="str">
        <f>IF($C388="B",INDEX(Batters[[#All],[WE]],MATCH(Table5[[#This Row],[PID]],Batters[[#All],[PID]],0)),INDEX(Table3[[#All],[WE]],MATCH(Table5[[#This Row],[PID]],Table3[[#All],[PID]],0)))</f>
        <v>Low</v>
      </c>
      <c r="K388" s="54" t="str">
        <f>IF($C388="B",INDEX(Batters[[#All],[INT]],MATCH(Table5[[#This Row],[PID]],Batters[[#All],[PID]],0)),INDEX(Table3[[#All],[INT]],MATCH(Table5[[#This Row],[PID]],Table3[[#All],[PID]],0)))</f>
        <v>Normal</v>
      </c>
      <c r="L388" s="62">
        <f>IF($C388="B",INDEX(Batters[[#All],[CON P]],MATCH(Table5[[#This Row],[PID]],Batters[[#All],[PID]],0)),INDEX(Table3[[#All],[STU P]],MATCH(Table5[[#This Row],[PID]],Table3[[#All],[PID]],0)))</f>
        <v>5</v>
      </c>
      <c r="M388" s="58">
        <f>IF($C388="B",INDEX(Batters[[#All],[GAP P]],MATCH(Table5[[#This Row],[PID]],Batters[[#All],[PID]],0)),INDEX(Table3[[#All],[MOV P]],MATCH(Table5[[#This Row],[PID]],Table3[[#All],[PID]],0)))</f>
        <v>2</v>
      </c>
      <c r="N388" s="58">
        <f>IF($C388="B",INDEX(Batters[[#All],[POW P]],MATCH(Table5[[#This Row],[PID]],Batters[[#All],[PID]],0)),INDEX(Table3[[#All],[CON P]],MATCH(Table5[[#This Row],[PID]],Table3[[#All],[PID]],0)))</f>
        <v>2</v>
      </c>
      <c r="O388" s="58" t="str">
        <f>IF($C388="B",INDEX(Batters[[#All],[EYE P]],MATCH(Table5[[#This Row],[PID]],Batters[[#All],[PID]],0)),INDEX(Table3[[#All],[VELO]],MATCH(Table5[[#This Row],[PID]],Table3[[#All],[PID]],0)))</f>
        <v>91-93 Mph</v>
      </c>
      <c r="P388" s="58">
        <f>IF($C388="B",INDEX(Batters[[#All],[K P]],MATCH(Table5[[#This Row],[PID]],Batters[[#All],[PID]],0)),INDEX(Table3[[#All],[STM]],MATCH(Table5[[#This Row],[PID]],Table3[[#All],[PID]],0)))</f>
        <v>7</v>
      </c>
      <c r="Q388" s="63">
        <f>IF($C388="B",INDEX(Batters[[#All],[Tot]],MATCH(Table5[[#This Row],[PID]],Batters[[#All],[PID]],0)),INDEX(Table3[[#All],[Tot]],MATCH(Table5[[#This Row],[PID]],Table3[[#All],[PID]],0)))</f>
        <v>34.448289626400992</v>
      </c>
      <c r="R388" s="54">
        <f>IF($C388="B",INDEX(Batters[[#All],[zScore]],MATCH(Table5[[#This Row],[PID]],Batters[[#All],[PID]],0)),INDEX(Table3[[#All],[zScore]],MATCH(Table5[[#This Row],[PID]],Table3[[#All],[PID]],0)))</f>
        <v>0.15828513266831085</v>
      </c>
      <c r="S388" s="60" t="str">
        <f>IF($C388="B",INDEX(Batters[[#All],[DEM]],MATCH(Table5[[#This Row],[PID]],Batters[[#All],[PID]],0)),INDEX(Table3[[#All],[DEM]],MATCH(Table5[[#This Row],[PID]],Table3[[#All],[PID]],0)))</f>
        <v>$70k</v>
      </c>
      <c r="T388" s="64">
        <f>IF($C388="B",VLOOKUP($A388,Bat!$A$4:$AU$1417,46,FALSE),VLOOKUP($A388,Pit!$A$4:$BD$570,55,FALSE))</f>
        <v>0</v>
      </c>
      <c r="U388" s="52">
        <f>IF($C388="B",VLOOKUP($A388,Bat!$A$4:$BA$1417,47,FALSE),VLOOKUP($A388,Pit!$A$4:$BF$570,56,FALSE))</f>
        <v>0</v>
      </c>
      <c r="V388" s="52">
        <f>IF($C388="B",VLOOKUP($A388,Bat!$A$4:$BA$1417,48,FALSE),VLOOKUP($A388,Pit!$A$4:$BF$570,57,FALSE))</f>
        <v>0</v>
      </c>
      <c r="W388" s="52">
        <f>Table5[[#This Row],[posRnk]]+Table5[[#This Row],[zRnk]]+IF($W$3&lt;&gt;Table5[[#This Row],[Type]],50,0)</f>
        <v>434</v>
      </c>
      <c r="X388" s="53">
        <f>RANK(Table5[[#This Row],[zScore]],Table5[[#All],[zScore]])</f>
        <v>384</v>
      </c>
      <c r="Y388" s="52" t="str">
        <f>IFERROR(INDEX(DraftResults[[#All],[OVR]],MATCH(Table5[[#This Row],[PID]],DraftResults[[#All],[Player ID]],0)),"")</f>
        <v/>
      </c>
      <c r="Z3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8" s="52" t="str">
        <f>IFERROR(INDEX(DraftResults[[#All],[Pick in Round]],MATCH(Table5[[#This Row],[PID]],DraftResults[[#All],[Player ID]],0)),"")</f>
        <v/>
      </c>
      <c r="AB388" s="52" t="str">
        <f>IFERROR(INDEX(DraftResults[[#All],[Team Name]],MATCH(Table5[[#This Row],[PID]],DraftResults[[#All],[Player ID]],0)),"")</f>
        <v/>
      </c>
      <c r="AC388" s="52" t="str">
        <f>IF(Table5[[#This Row],[Ovr]]="","",IF(Table5[[#This Row],[cmbList]]="","",Table5[[#This Row],[cmbList]]-Table5[[#This Row],[Ovr]]))</f>
        <v/>
      </c>
      <c r="AD388" s="56" t="str">
        <f>IF(ISERROR(VLOOKUP($AB388&amp;"-"&amp;$E388&amp;" "&amp;F388,Bonuses!$B$1:$G$1006,4,FALSE)),"",INT(VLOOKUP($AB388&amp;"-"&amp;$E388&amp;" "&amp;$F388,Bonuses!$B$1:$G$1006,4,FALSE)))</f>
        <v/>
      </c>
      <c r="AE3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9" spans="1:31" s="52" customFormat="1" x14ac:dyDescent="0.25">
      <c r="A389" s="52">
        <v>11231</v>
      </c>
      <c r="B389" s="52">
        <f>COUNTIF(Table5[PID],A389)</f>
        <v>1</v>
      </c>
      <c r="C389" s="52" t="str">
        <f>IF(COUNTIF(Table3[[#All],[PID]],A389)&gt;0,"P","B")</f>
        <v>B</v>
      </c>
      <c r="D389" s="61" t="str">
        <f>IF($C389="B",INDEX(Batters[[#All],[POS]],MATCH(Table5[[#This Row],[PID]],Batters[[#All],[PID]],0)),INDEX(Table3[[#All],[POS]],MATCH(Table5[[#This Row],[PID]],Table3[[#All],[PID]],0)))</f>
        <v>1B</v>
      </c>
      <c r="E389" s="54" t="str">
        <f>IF($C389="B",INDEX(Batters[[#All],[First]],MATCH(Table5[[#This Row],[PID]],Batters[[#All],[PID]],0)),INDEX(Table3[[#All],[First]],MATCH(Table5[[#This Row],[PID]],Table3[[#All],[PID]],0)))</f>
        <v>Reece</v>
      </c>
      <c r="F389" s="52" t="str">
        <f>IF($C389="B",INDEX(Batters[[#All],[Last]],MATCH(A389,Batters[[#All],[PID]],0)),INDEX(Table3[[#All],[Last]],MATCH(A389,Table3[[#All],[PID]],0)))</f>
        <v>Sutherland</v>
      </c>
      <c r="G389" s="58">
        <f>IF($C389="B",INDEX(Batters[[#All],[Age]],MATCH(Table5[[#This Row],[PID]],Batters[[#All],[PID]],0)),INDEX(Table3[[#All],[Age]],MATCH(Table5[[#This Row],[PID]],Table3[[#All],[PID]],0)))</f>
        <v>18</v>
      </c>
      <c r="H389" s="54" t="str">
        <f>IF($C389="B",INDEX(Batters[[#All],[B]],MATCH(Table5[[#This Row],[PID]],Batters[[#All],[PID]],0)),INDEX(Table3[[#All],[B]],MATCH(Table5[[#This Row],[PID]],Table3[[#All],[PID]],0)))</f>
        <v>R</v>
      </c>
      <c r="I389" s="54" t="str">
        <f>IF($C389="B",INDEX(Batters[[#All],[T]],MATCH(Table5[[#This Row],[PID]],Batters[[#All],[PID]],0)),INDEX(Table3[[#All],[T]],MATCH(Table5[[#This Row],[PID]],Table3[[#All],[PID]],0)))</f>
        <v>R</v>
      </c>
      <c r="J389" s="54" t="str">
        <f>IF($C389="B",INDEX(Batters[[#All],[WE]],MATCH(Table5[[#This Row],[PID]],Batters[[#All],[PID]],0)),INDEX(Table3[[#All],[WE]],MATCH(Table5[[#This Row],[PID]],Table3[[#All],[PID]],0)))</f>
        <v>High</v>
      </c>
      <c r="K389" s="54" t="str">
        <f>IF($C389="B",INDEX(Batters[[#All],[INT]],MATCH(Table5[[#This Row],[PID]],Batters[[#All],[PID]],0)),INDEX(Table3[[#All],[INT]],MATCH(Table5[[#This Row],[PID]],Table3[[#All],[PID]],0)))</f>
        <v>Normal</v>
      </c>
      <c r="L389" s="62">
        <f>IF($C389="B",INDEX(Batters[[#All],[CON P]],MATCH(Table5[[#This Row],[PID]],Batters[[#All],[PID]],0)),INDEX(Table3[[#All],[STU P]],MATCH(Table5[[#This Row],[PID]],Table3[[#All],[PID]],0)))</f>
        <v>3</v>
      </c>
      <c r="M389" s="58">
        <f>IF($C389="B",INDEX(Batters[[#All],[GAP P]],MATCH(Table5[[#This Row],[PID]],Batters[[#All],[PID]],0)),INDEX(Table3[[#All],[MOV P]],MATCH(Table5[[#This Row],[PID]],Table3[[#All],[PID]],0)))</f>
        <v>3</v>
      </c>
      <c r="N389" s="58">
        <f>IF($C389="B",INDEX(Batters[[#All],[POW P]],MATCH(Table5[[#This Row],[PID]],Batters[[#All],[PID]],0)),INDEX(Table3[[#All],[CON P]],MATCH(Table5[[#This Row],[PID]],Table3[[#All],[PID]],0)))</f>
        <v>4</v>
      </c>
      <c r="O389" s="58">
        <f>IF($C389="B",INDEX(Batters[[#All],[EYE P]],MATCH(Table5[[#This Row],[PID]],Batters[[#All],[PID]],0)),INDEX(Table3[[#All],[VELO]],MATCH(Table5[[#This Row],[PID]],Table3[[#All],[PID]],0)))</f>
        <v>4</v>
      </c>
      <c r="P389" s="58">
        <f>IF($C389="B",INDEX(Batters[[#All],[K P]],MATCH(Table5[[#This Row],[PID]],Batters[[#All],[PID]],0)),INDEX(Table3[[#All],[STM]],MATCH(Table5[[#This Row],[PID]],Table3[[#All],[PID]],0)))</f>
        <v>3</v>
      </c>
      <c r="Q389" s="63">
        <f>IF($C389="B",INDEX(Batters[[#All],[Tot]],MATCH(Table5[[#This Row],[PID]],Batters[[#All],[PID]],0)),INDEX(Table3[[#All],[Tot]],MATCH(Table5[[#This Row],[PID]],Table3[[#All],[PID]],0)))</f>
        <v>41.234678537017224</v>
      </c>
      <c r="R389" s="54">
        <f>IF($C389="B",INDEX(Batters[[#All],[zScore]],MATCH(Table5[[#This Row],[PID]],Batters[[#All],[PID]],0)),INDEX(Table3[[#All],[zScore]],MATCH(Table5[[#This Row],[PID]],Table3[[#All],[PID]],0)))</f>
        <v>0.15596167442855016</v>
      </c>
      <c r="S389" s="60" t="str">
        <f>IF($C389="B",INDEX(Batters[[#All],[DEM]],MATCH(Table5[[#This Row],[PID]],Batters[[#All],[PID]],0)),INDEX(Table3[[#All],[DEM]],MATCH(Table5[[#This Row],[PID]],Table3[[#All],[PID]],0)))</f>
        <v>$1.1m</v>
      </c>
      <c r="T389" s="64">
        <f>IF($C389="B",VLOOKUP($A389,Bat!$A$4:$AU$1417,46,FALSE),VLOOKUP($A389,Pit!$A$4:$BD$570,55,FALSE))</f>
        <v>0</v>
      </c>
      <c r="U389" s="52">
        <f>IF($C389="B",VLOOKUP($A389,Bat!$A$4:$BA$1417,47,FALSE),VLOOKUP($A389,Pit!$A$4:$BF$570,56,FALSE))</f>
        <v>0</v>
      </c>
      <c r="V389" s="52">
        <f>IF($C389="B",VLOOKUP($A389,Bat!$A$4:$BA$1417,48,FALSE),VLOOKUP($A389,Pit!$A$4:$BF$570,57,FALSE))</f>
        <v>0</v>
      </c>
      <c r="W389" s="52">
        <f>Table5[[#This Row],[posRnk]]+Table5[[#This Row],[zRnk]]+IF($W$3&lt;&gt;Table5[[#This Row],[Type]],50,0)</f>
        <v>435</v>
      </c>
      <c r="X389" s="53">
        <f>RANK(Table5[[#This Row],[zScore]],Table5[[#All],[zScore]])</f>
        <v>385</v>
      </c>
      <c r="Y389" s="52" t="str">
        <f>IFERROR(INDEX(DraftResults[[#All],[OVR]],MATCH(Table5[[#This Row],[PID]],DraftResults[[#All],[Player ID]],0)),"")</f>
        <v/>
      </c>
      <c r="Z3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9" s="52" t="str">
        <f>IFERROR(INDEX(DraftResults[[#All],[Pick in Round]],MATCH(Table5[[#This Row],[PID]],DraftResults[[#All],[Player ID]],0)),"")</f>
        <v/>
      </c>
      <c r="AB389" s="52" t="str">
        <f>IFERROR(INDEX(DraftResults[[#All],[Team Name]],MATCH(Table5[[#This Row],[PID]],DraftResults[[#All],[Player ID]],0)),"")</f>
        <v/>
      </c>
      <c r="AC389" s="52" t="str">
        <f>IF(Table5[[#This Row],[Ovr]]="","",IF(Table5[[#This Row],[cmbList]]="","",Table5[[#This Row],[cmbList]]-Table5[[#This Row],[Ovr]]))</f>
        <v/>
      </c>
      <c r="AD389" s="56" t="str">
        <f>IF(ISERROR(VLOOKUP($AB389&amp;"-"&amp;$E389&amp;" "&amp;F389,Bonuses!$B$1:$G$1006,4,FALSE)),"",INT(VLOOKUP($AB389&amp;"-"&amp;$E389&amp;" "&amp;$F389,Bonuses!$B$1:$G$1006,4,FALSE)))</f>
        <v/>
      </c>
      <c r="AE3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0" spans="1:31" s="52" customFormat="1" x14ac:dyDescent="0.25">
      <c r="A390" s="52">
        <v>12039</v>
      </c>
      <c r="B390" s="52">
        <f>COUNTIF(Table5[PID],A390)</f>
        <v>1</v>
      </c>
      <c r="C390" s="52" t="str">
        <f>IF(COUNTIF(Table3[[#All],[PID]],A390)&gt;0,"P","B")</f>
        <v>P</v>
      </c>
      <c r="D390" s="61" t="str">
        <f>IF($C390="B",INDEX(Batters[[#All],[POS]],MATCH(Table5[[#This Row],[PID]],Batters[[#All],[PID]],0)),INDEX(Table3[[#All],[POS]],MATCH(Table5[[#This Row],[PID]],Table3[[#All],[PID]],0)))</f>
        <v>RP</v>
      </c>
      <c r="E390" s="54" t="str">
        <f>IF($C390="B",INDEX(Batters[[#All],[First]],MATCH(Table5[[#This Row],[PID]],Batters[[#All],[PID]],0)),INDEX(Table3[[#All],[First]],MATCH(Table5[[#This Row],[PID]],Table3[[#All],[PID]],0)))</f>
        <v>Ernesto</v>
      </c>
      <c r="F390" s="52" t="str">
        <f>IF($C390="B",INDEX(Batters[[#All],[Last]],MATCH(A390,Batters[[#All],[PID]],0)),INDEX(Table3[[#All],[Last]],MATCH(A390,Table3[[#All],[PID]],0)))</f>
        <v>Ramírez</v>
      </c>
      <c r="G390" s="58">
        <f>IF($C390="B",INDEX(Batters[[#All],[Age]],MATCH(Table5[[#This Row],[PID]],Batters[[#All],[PID]],0)),INDEX(Table3[[#All],[Age]],MATCH(Table5[[#This Row],[PID]],Table3[[#All],[PID]],0)))</f>
        <v>21</v>
      </c>
      <c r="H390" s="54" t="str">
        <f>IF($C390="B",INDEX(Batters[[#All],[B]],MATCH(Table5[[#This Row],[PID]],Batters[[#All],[PID]],0)),INDEX(Table3[[#All],[B]],MATCH(Table5[[#This Row],[PID]],Table3[[#All],[PID]],0)))</f>
        <v>R</v>
      </c>
      <c r="I390" s="54" t="str">
        <f>IF($C390="B",INDEX(Batters[[#All],[T]],MATCH(Table5[[#This Row],[PID]],Batters[[#All],[PID]],0)),INDEX(Table3[[#All],[T]],MATCH(Table5[[#This Row],[PID]],Table3[[#All],[PID]],0)))</f>
        <v>R</v>
      </c>
      <c r="J390" s="54" t="str">
        <f>IF($C390="B",INDEX(Batters[[#All],[WE]],MATCH(Table5[[#This Row],[PID]],Batters[[#All],[PID]],0)),INDEX(Table3[[#All],[WE]],MATCH(Table5[[#This Row],[PID]],Table3[[#All],[PID]],0)))</f>
        <v>High</v>
      </c>
      <c r="K390" s="54" t="str">
        <f>IF($C390="B",INDEX(Batters[[#All],[INT]],MATCH(Table5[[#This Row],[PID]],Batters[[#All],[PID]],0)),INDEX(Table3[[#All],[INT]],MATCH(Table5[[#This Row],[PID]],Table3[[#All],[PID]],0)))</f>
        <v>Normal</v>
      </c>
      <c r="L390" s="62">
        <f>IF($C390="B",INDEX(Batters[[#All],[CON P]],MATCH(Table5[[#This Row],[PID]],Batters[[#All],[PID]],0)),INDEX(Table3[[#All],[STU P]],MATCH(Table5[[#This Row],[PID]],Table3[[#All],[PID]],0)))</f>
        <v>7</v>
      </c>
      <c r="M390" s="58">
        <f>IF($C390="B",INDEX(Batters[[#All],[GAP P]],MATCH(Table5[[#This Row],[PID]],Batters[[#All],[PID]],0)),INDEX(Table3[[#All],[MOV P]],MATCH(Table5[[#This Row],[PID]],Table3[[#All],[PID]],0)))</f>
        <v>3</v>
      </c>
      <c r="N390" s="58">
        <f>IF($C390="B",INDEX(Batters[[#All],[POW P]],MATCH(Table5[[#This Row],[PID]],Batters[[#All],[PID]],0)),INDEX(Table3[[#All],[CON P]],MATCH(Table5[[#This Row],[PID]],Table3[[#All],[PID]],0)))</f>
        <v>2</v>
      </c>
      <c r="O390" s="58" t="str">
        <f>IF($C390="B",INDEX(Batters[[#All],[EYE P]],MATCH(Table5[[#This Row],[PID]],Batters[[#All],[PID]],0)),INDEX(Table3[[#All],[VELO]],MATCH(Table5[[#This Row],[PID]],Table3[[#All],[PID]],0)))</f>
        <v>96-98 Mph</v>
      </c>
      <c r="P390" s="58">
        <f>IF($C390="B",INDEX(Batters[[#All],[K P]],MATCH(Table5[[#This Row],[PID]],Batters[[#All],[PID]],0)),INDEX(Table3[[#All],[STM]],MATCH(Table5[[#This Row],[PID]],Table3[[#All],[PID]],0)))</f>
        <v>5</v>
      </c>
      <c r="Q390" s="63">
        <f>IF($C390="B",INDEX(Batters[[#All],[Tot]],MATCH(Table5[[#This Row],[PID]],Batters[[#All],[PID]],0)),INDEX(Table3[[#All],[Tot]],MATCH(Table5[[#This Row],[PID]],Table3[[#All],[PID]],0)))</f>
        <v>34.405486734970566</v>
      </c>
      <c r="R390" s="54">
        <f>IF($C390="B",INDEX(Batters[[#All],[zScore]],MATCH(Table5[[#This Row],[PID]],Batters[[#All],[PID]],0)),INDEX(Table3[[#All],[zScore]],MATCH(Table5[[#This Row],[PID]],Table3[[#All],[PID]],0)))</f>
        <v>0.15435992458073783</v>
      </c>
      <c r="S390" s="60" t="str">
        <f>IF($C390="B",INDEX(Batters[[#All],[DEM]],MATCH(Table5[[#This Row],[PID]],Batters[[#All],[PID]],0)),INDEX(Table3[[#All],[DEM]],MATCH(Table5[[#This Row],[PID]],Table3[[#All],[PID]],0)))</f>
        <v>-</v>
      </c>
      <c r="T390" s="64">
        <f>IF($C390="B",VLOOKUP($A390,Bat!$A$4:$AU$1417,46,FALSE),VLOOKUP($A390,Pit!$A$4:$BD$570,55,FALSE))</f>
        <v>0</v>
      </c>
      <c r="U390" s="52">
        <f>IF($C390="B",VLOOKUP($A390,Bat!$A$4:$BA$1417,47,FALSE),VLOOKUP($A390,Pit!$A$4:$BF$570,56,FALSE))</f>
        <v>0</v>
      </c>
      <c r="V390" s="52">
        <f>IF($C390="B",VLOOKUP($A390,Bat!$A$4:$BA$1417,48,FALSE),VLOOKUP($A390,Pit!$A$4:$BF$570,57,FALSE))</f>
        <v>0</v>
      </c>
      <c r="W390" s="52">
        <f>Table5[[#This Row],[posRnk]]+Table5[[#This Row],[zRnk]]+IF($W$3&lt;&gt;Table5[[#This Row],[Type]],50,0)</f>
        <v>436</v>
      </c>
      <c r="X390" s="53">
        <f>RANK(Table5[[#This Row],[zScore]],Table5[[#All],[zScore]])</f>
        <v>386</v>
      </c>
      <c r="Y390" s="52" t="str">
        <f>IFERROR(INDEX(DraftResults[[#All],[OVR]],MATCH(Table5[[#This Row],[PID]],DraftResults[[#All],[Player ID]],0)),"")</f>
        <v/>
      </c>
      <c r="Z3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0" s="52" t="str">
        <f>IFERROR(INDEX(DraftResults[[#All],[Pick in Round]],MATCH(Table5[[#This Row],[PID]],DraftResults[[#All],[Player ID]],0)),"")</f>
        <v/>
      </c>
      <c r="AB390" s="52" t="str">
        <f>IFERROR(INDEX(DraftResults[[#All],[Team Name]],MATCH(Table5[[#This Row],[PID]],DraftResults[[#All],[Player ID]],0)),"")</f>
        <v/>
      </c>
      <c r="AC390" s="52" t="str">
        <f>IF(Table5[[#This Row],[Ovr]]="","",IF(Table5[[#This Row],[cmbList]]="","",Table5[[#This Row],[cmbList]]-Table5[[#This Row],[Ovr]]))</f>
        <v/>
      </c>
      <c r="AD390" s="56" t="str">
        <f>IF(ISERROR(VLOOKUP($AB390&amp;"-"&amp;$E390&amp;" "&amp;F390,Bonuses!$B$1:$G$1006,4,FALSE)),"",INT(VLOOKUP($AB390&amp;"-"&amp;$E390&amp;" "&amp;$F390,Bonuses!$B$1:$G$1006,4,FALSE)))</f>
        <v/>
      </c>
      <c r="AE3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1" spans="1:31" s="52" customFormat="1" x14ac:dyDescent="0.25">
      <c r="A391" s="52">
        <v>9878</v>
      </c>
      <c r="B391" s="52">
        <f>COUNTIF(Table5[PID],A391)</f>
        <v>1</v>
      </c>
      <c r="C391" s="52" t="str">
        <f>IF(COUNTIF(Table3[[#All],[PID]],A391)&gt;0,"P","B")</f>
        <v>P</v>
      </c>
      <c r="D391" s="61" t="str">
        <f>IF($C391="B",INDEX(Batters[[#All],[POS]],MATCH(Table5[[#This Row],[PID]],Batters[[#All],[PID]],0)),INDEX(Table3[[#All],[POS]],MATCH(Table5[[#This Row],[PID]],Table3[[#All],[PID]],0)))</f>
        <v>RP</v>
      </c>
      <c r="E391" s="54" t="str">
        <f>IF($C391="B",INDEX(Batters[[#All],[First]],MATCH(Table5[[#This Row],[PID]],Batters[[#All],[PID]],0)),INDEX(Table3[[#All],[First]],MATCH(Table5[[#This Row],[PID]],Table3[[#All],[PID]],0)))</f>
        <v>Travis</v>
      </c>
      <c r="F391" s="52" t="str">
        <f>IF($C391="B",INDEX(Batters[[#All],[Last]],MATCH(A391,Batters[[#All],[PID]],0)),INDEX(Table3[[#All],[Last]],MATCH(A391,Table3[[#All],[PID]],0)))</f>
        <v>O'Keefe</v>
      </c>
      <c r="G391" s="58">
        <f>IF($C391="B",INDEX(Batters[[#All],[Age]],MATCH(Table5[[#This Row],[PID]],Batters[[#All],[PID]],0)),INDEX(Table3[[#All],[Age]],MATCH(Table5[[#This Row],[PID]],Table3[[#All],[PID]],0)))</f>
        <v>21</v>
      </c>
      <c r="H391" s="54" t="str">
        <f>IF($C391="B",INDEX(Batters[[#All],[B]],MATCH(Table5[[#This Row],[PID]],Batters[[#All],[PID]],0)),INDEX(Table3[[#All],[B]],MATCH(Table5[[#This Row],[PID]],Table3[[#All],[PID]],0)))</f>
        <v>R</v>
      </c>
      <c r="I391" s="54" t="str">
        <f>IF($C391="B",INDEX(Batters[[#All],[T]],MATCH(Table5[[#This Row],[PID]],Batters[[#All],[PID]],0)),INDEX(Table3[[#All],[T]],MATCH(Table5[[#This Row],[PID]],Table3[[#All],[PID]],0)))</f>
        <v>R</v>
      </c>
      <c r="J391" s="54" t="str">
        <f>IF($C391="B",INDEX(Batters[[#All],[WE]],MATCH(Table5[[#This Row],[PID]],Batters[[#All],[PID]],0)),INDEX(Table3[[#All],[WE]],MATCH(Table5[[#This Row],[PID]],Table3[[#All],[PID]],0)))</f>
        <v>High</v>
      </c>
      <c r="K391" s="54" t="str">
        <f>IF($C391="B",INDEX(Batters[[#All],[INT]],MATCH(Table5[[#This Row],[PID]],Batters[[#All],[PID]],0)),INDEX(Table3[[#All],[INT]],MATCH(Table5[[#This Row],[PID]],Table3[[#All],[PID]],0)))</f>
        <v>Normal</v>
      </c>
      <c r="L391" s="62">
        <f>IF($C391="B",INDEX(Batters[[#All],[CON P]],MATCH(Table5[[#This Row],[PID]],Batters[[#All],[PID]],0)),INDEX(Table3[[#All],[STU P]],MATCH(Table5[[#This Row],[PID]],Table3[[#All],[PID]],0)))</f>
        <v>7</v>
      </c>
      <c r="M391" s="58">
        <f>IF($C391="B",INDEX(Batters[[#All],[GAP P]],MATCH(Table5[[#This Row],[PID]],Batters[[#All],[PID]],0)),INDEX(Table3[[#All],[MOV P]],MATCH(Table5[[#This Row],[PID]],Table3[[#All],[PID]],0)))</f>
        <v>3</v>
      </c>
      <c r="N391" s="58">
        <f>IF($C391="B",INDEX(Batters[[#All],[POW P]],MATCH(Table5[[#This Row],[PID]],Batters[[#All],[PID]],0)),INDEX(Table3[[#All],[CON P]],MATCH(Table5[[#This Row],[PID]],Table3[[#All],[PID]],0)))</f>
        <v>2</v>
      </c>
      <c r="O391" s="58" t="str">
        <f>IF($C391="B",INDEX(Batters[[#All],[EYE P]],MATCH(Table5[[#This Row],[PID]],Batters[[#All],[PID]],0)),INDEX(Table3[[#All],[VELO]],MATCH(Table5[[#This Row],[PID]],Table3[[#All],[PID]],0)))</f>
        <v>94-96 Mph</v>
      </c>
      <c r="P391" s="58">
        <f>IF($C391="B",INDEX(Batters[[#All],[K P]],MATCH(Table5[[#This Row],[PID]],Batters[[#All],[PID]],0)),INDEX(Table3[[#All],[STM]],MATCH(Table5[[#This Row],[PID]],Table3[[#All],[PID]],0)))</f>
        <v>6</v>
      </c>
      <c r="Q391" s="63">
        <f>IF($C391="B",INDEX(Batters[[#All],[Tot]],MATCH(Table5[[#This Row],[PID]],Batters[[#All],[PID]],0)),INDEX(Table3[[#All],[Tot]],MATCH(Table5[[#This Row],[PID]],Table3[[#All],[PID]],0)))</f>
        <v>34.335709326410779</v>
      </c>
      <c r="R391" s="54">
        <f>IF($C391="B",INDEX(Batters[[#All],[zScore]],MATCH(Table5[[#This Row],[PID]],Batters[[#All],[PID]],0)),INDEX(Table3[[#All],[zScore]],MATCH(Table5[[#This Row],[PID]],Table3[[#All],[PID]],0)))</f>
        <v>0.14796103798089313</v>
      </c>
      <c r="S391" s="60" t="str">
        <f>IF($C391="B",INDEX(Batters[[#All],[DEM]],MATCH(Table5[[#This Row],[PID]],Batters[[#All],[PID]],0)),INDEX(Table3[[#All],[DEM]],MATCH(Table5[[#This Row],[PID]],Table3[[#All],[PID]],0)))</f>
        <v>$34k</v>
      </c>
      <c r="T391" s="64">
        <f>IF($C391="B",VLOOKUP($A391,Bat!$A$4:$AU$1417,46,FALSE),VLOOKUP($A391,Pit!$A$4:$BD$570,55,FALSE))</f>
        <v>0</v>
      </c>
      <c r="U391" s="52">
        <f>IF($C391="B",VLOOKUP($A391,Bat!$A$4:$BA$1417,47,FALSE),VLOOKUP($A391,Pit!$A$4:$BF$570,56,FALSE))</f>
        <v>0</v>
      </c>
      <c r="V391" s="52">
        <f>IF($C391="B",VLOOKUP($A391,Bat!$A$4:$BA$1417,48,FALSE),VLOOKUP($A391,Pit!$A$4:$BF$570,57,FALSE))</f>
        <v>0</v>
      </c>
      <c r="W391" s="52">
        <f>Table5[[#This Row],[posRnk]]+Table5[[#This Row],[zRnk]]+IF($W$3&lt;&gt;Table5[[#This Row],[Type]],50,0)</f>
        <v>437</v>
      </c>
      <c r="X391" s="53">
        <f>RANK(Table5[[#This Row],[zScore]],Table5[[#All],[zScore]])</f>
        <v>387</v>
      </c>
      <c r="Y391" s="52" t="str">
        <f>IFERROR(INDEX(DraftResults[[#All],[OVR]],MATCH(Table5[[#This Row],[PID]],DraftResults[[#All],[Player ID]],0)),"")</f>
        <v/>
      </c>
      <c r="Z3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1" s="52" t="str">
        <f>IFERROR(INDEX(DraftResults[[#All],[Pick in Round]],MATCH(Table5[[#This Row],[PID]],DraftResults[[#All],[Player ID]],0)),"")</f>
        <v/>
      </c>
      <c r="AB391" s="52" t="str">
        <f>IFERROR(INDEX(DraftResults[[#All],[Team Name]],MATCH(Table5[[#This Row],[PID]],DraftResults[[#All],[Player ID]],0)),"")</f>
        <v/>
      </c>
      <c r="AC391" s="52" t="str">
        <f>IF(Table5[[#This Row],[Ovr]]="","",IF(Table5[[#This Row],[cmbList]]="","",Table5[[#This Row],[cmbList]]-Table5[[#This Row],[Ovr]]))</f>
        <v/>
      </c>
      <c r="AD391" s="56" t="str">
        <f>IF(ISERROR(VLOOKUP($AB391&amp;"-"&amp;$E391&amp;" "&amp;F391,Bonuses!$B$1:$G$1006,4,FALSE)),"",INT(VLOOKUP($AB391&amp;"-"&amp;$E391&amp;" "&amp;$F391,Bonuses!$B$1:$G$1006,4,FALSE)))</f>
        <v/>
      </c>
      <c r="AE3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2" spans="1:31" s="52" customFormat="1" x14ac:dyDescent="0.25">
      <c r="A392" s="52">
        <v>12474</v>
      </c>
      <c r="B392" s="52">
        <f>COUNTIF(Table5[PID],A392)</f>
        <v>1</v>
      </c>
      <c r="C392" s="52" t="str">
        <f>IF(COUNTIF(Table3[[#All],[PID]],A392)&gt;0,"P","B")</f>
        <v>B</v>
      </c>
      <c r="D392" s="61" t="str">
        <f>IF($C392="B",INDEX(Batters[[#All],[POS]],MATCH(Table5[[#This Row],[PID]],Batters[[#All],[PID]],0)),INDEX(Table3[[#All],[POS]],MATCH(Table5[[#This Row],[PID]],Table3[[#All],[PID]],0)))</f>
        <v>2B</v>
      </c>
      <c r="E392" s="54" t="str">
        <f>IF($C392="B",INDEX(Batters[[#All],[First]],MATCH(Table5[[#This Row],[PID]],Batters[[#All],[PID]],0)),INDEX(Table3[[#All],[First]],MATCH(Table5[[#This Row],[PID]],Table3[[#All],[PID]],0)))</f>
        <v>Elton</v>
      </c>
      <c r="F392" s="52" t="str">
        <f>IF($C392="B",INDEX(Batters[[#All],[Last]],MATCH(A392,Batters[[#All],[PID]],0)),INDEX(Table3[[#All],[Last]],MATCH(A392,Table3[[#All],[PID]],0)))</f>
        <v>Peyto</v>
      </c>
      <c r="G392" s="58">
        <f>IF($C392="B",INDEX(Batters[[#All],[Age]],MATCH(Table5[[#This Row],[PID]],Batters[[#All],[PID]],0)),INDEX(Table3[[#All],[Age]],MATCH(Table5[[#This Row],[PID]],Table3[[#All],[PID]],0)))</f>
        <v>21</v>
      </c>
      <c r="H392" s="54" t="str">
        <f>IF($C392="B",INDEX(Batters[[#All],[B]],MATCH(Table5[[#This Row],[PID]],Batters[[#All],[PID]],0)),INDEX(Table3[[#All],[B]],MATCH(Table5[[#This Row],[PID]],Table3[[#All],[PID]],0)))</f>
        <v>R</v>
      </c>
      <c r="I392" s="54" t="str">
        <f>IF($C392="B",INDEX(Batters[[#All],[T]],MATCH(Table5[[#This Row],[PID]],Batters[[#All],[PID]],0)),INDEX(Table3[[#All],[T]],MATCH(Table5[[#This Row],[PID]],Table3[[#All],[PID]],0)))</f>
        <v>R</v>
      </c>
      <c r="J392" s="54" t="str">
        <f>IF($C392="B",INDEX(Batters[[#All],[WE]],MATCH(Table5[[#This Row],[PID]],Batters[[#All],[PID]],0)),INDEX(Table3[[#All],[WE]],MATCH(Table5[[#This Row],[PID]],Table3[[#All],[PID]],0)))</f>
        <v>Normal</v>
      </c>
      <c r="K392" s="54" t="str">
        <f>IF($C392="B",INDEX(Batters[[#All],[INT]],MATCH(Table5[[#This Row],[PID]],Batters[[#All],[PID]],0)),INDEX(Table3[[#All],[INT]],MATCH(Table5[[#This Row],[PID]],Table3[[#All],[PID]],0)))</f>
        <v>Low</v>
      </c>
      <c r="L392" s="62">
        <f>IF($C392="B",INDEX(Batters[[#All],[CON P]],MATCH(Table5[[#This Row],[PID]],Batters[[#All],[PID]],0)),INDEX(Table3[[#All],[STU P]],MATCH(Table5[[#This Row],[PID]],Table3[[#All],[PID]],0)))</f>
        <v>4</v>
      </c>
      <c r="M392" s="58">
        <f>IF($C392="B",INDEX(Batters[[#All],[GAP P]],MATCH(Table5[[#This Row],[PID]],Batters[[#All],[PID]],0)),INDEX(Table3[[#All],[MOV P]],MATCH(Table5[[#This Row],[PID]],Table3[[#All],[PID]],0)))</f>
        <v>7</v>
      </c>
      <c r="N392" s="58">
        <f>IF($C392="B",INDEX(Batters[[#All],[POW P]],MATCH(Table5[[#This Row],[PID]],Batters[[#All],[PID]],0)),INDEX(Table3[[#All],[CON P]],MATCH(Table5[[#This Row],[PID]],Table3[[#All],[PID]],0)))</f>
        <v>4</v>
      </c>
      <c r="O392" s="58">
        <f>IF($C392="B",INDEX(Batters[[#All],[EYE P]],MATCH(Table5[[#This Row],[PID]],Batters[[#All],[PID]],0)),INDEX(Table3[[#All],[VELO]],MATCH(Table5[[#This Row],[PID]],Table3[[#All],[PID]],0)))</f>
        <v>1</v>
      </c>
      <c r="P392" s="58">
        <f>IF($C392="B",INDEX(Batters[[#All],[K P]],MATCH(Table5[[#This Row],[PID]],Batters[[#All],[PID]],0)),INDEX(Table3[[#All],[STM]],MATCH(Table5[[#This Row],[PID]],Table3[[#All],[PID]],0)))</f>
        <v>5</v>
      </c>
      <c r="Q392" s="63">
        <f>IF($C392="B",INDEX(Batters[[#All],[Tot]],MATCH(Table5[[#This Row],[PID]],Batters[[#All],[PID]],0)),INDEX(Table3[[#All],[Tot]],MATCH(Table5[[#This Row],[PID]],Table3[[#All],[PID]],0)))</f>
        <v>41.185391800597344</v>
      </c>
      <c r="R392" s="54">
        <f>IF($C392="B",INDEX(Batters[[#All],[zScore]],MATCH(Table5[[#This Row],[PID]],Batters[[#All],[PID]],0)),INDEX(Table3[[#All],[zScore]],MATCH(Table5[[#This Row],[PID]],Table3[[#All],[PID]],0)))</f>
        <v>0.14729000073007498</v>
      </c>
      <c r="S392" s="60" t="str">
        <f>IF($C392="B",INDEX(Batters[[#All],[DEM]],MATCH(Table5[[#This Row],[PID]],Batters[[#All],[PID]],0)),INDEX(Table3[[#All],[DEM]],MATCH(Table5[[#This Row],[PID]],Table3[[#All],[PID]],0)))</f>
        <v>$320k</v>
      </c>
      <c r="T392" s="64">
        <f>IF($C392="B",VLOOKUP($A392,Bat!$A$4:$AU$1417,46,FALSE),VLOOKUP($A392,Pit!$A$4:$BD$570,55,FALSE))</f>
        <v>0</v>
      </c>
      <c r="U392" s="52">
        <f>IF($C392="B",VLOOKUP($A392,Bat!$A$4:$BA$1417,47,FALSE),VLOOKUP($A392,Pit!$A$4:$BF$570,56,FALSE))</f>
        <v>0</v>
      </c>
      <c r="V392" s="52">
        <f>IF($C392="B",VLOOKUP($A392,Bat!$A$4:$BA$1417,48,FALSE),VLOOKUP($A392,Pit!$A$4:$BF$570,57,FALSE))</f>
        <v>0</v>
      </c>
      <c r="W392" s="52">
        <f>Table5[[#This Row],[posRnk]]+Table5[[#This Row],[zRnk]]+IF($W$3&lt;&gt;Table5[[#This Row],[Type]],50,0)</f>
        <v>438</v>
      </c>
      <c r="X392" s="53">
        <f>RANK(Table5[[#This Row],[zScore]],Table5[[#All],[zScore]])</f>
        <v>388</v>
      </c>
      <c r="Y392" s="52" t="str">
        <f>IFERROR(INDEX(DraftResults[[#All],[OVR]],MATCH(Table5[[#This Row],[PID]],DraftResults[[#All],[Player ID]],0)),"")</f>
        <v/>
      </c>
      <c r="Z3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2" s="52" t="str">
        <f>IFERROR(INDEX(DraftResults[[#All],[Pick in Round]],MATCH(Table5[[#This Row],[PID]],DraftResults[[#All],[Player ID]],0)),"")</f>
        <v/>
      </c>
      <c r="AB392" s="52" t="str">
        <f>IFERROR(INDEX(DraftResults[[#All],[Team Name]],MATCH(Table5[[#This Row],[PID]],DraftResults[[#All],[Player ID]],0)),"")</f>
        <v/>
      </c>
      <c r="AC392" s="52" t="str">
        <f>IF(Table5[[#This Row],[Ovr]]="","",IF(Table5[[#This Row],[cmbList]]="","",Table5[[#This Row],[cmbList]]-Table5[[#This Row],[Ovr]]))</f>
        <v/>
      </c>
      <c r="AD392" s="56" t="str">
        <f>IF(ISERROR(VLOOKUP($AB392&amp;"-"&amp;$E392&amp;" "&amp;F392,Bonuses!$B$1:$G$1006,4,FALSE)),"",INT(VLOOKUP($AB392&amp;"-"&amp;$E392&amp;" "&amp;$F392,Bonuses!$B$1:$G$1006,4,FALSE)))</f>
        <v/>
      </c>
      <c r="AE3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3" spans="1:31" s="52" customFormat="1" x14ac:dyDescent="0.25">
      <c r="A393" s="52">
        <v>17621</v>
      </c>
      <c r="B393" s="52">
        <f>COUNTIF(Table5[PID],A393)</f>
        <v>1</v>
      </c>
      <c r="C393" s="52" t="str">
        <f>IF(COUNTIF(Table3[[#All],[PID]],A393)&gt;0,"P","B")</f>
        <v>P</v>
      </c>
      <c r="D393" s="61" t="str">
        <f>IF($C393="B",INDEX(Batters[[#All],[POS]],MATCH(Table5[[#This Row],[PID]],Batters[[#All],[PID]],0)),INDEX(Table3[[#All],[POS]],MATCH(Table5[[#This Row],[PID]],Table3[[#All],[PID]],0)))</f>
        <v>SP</v>
      </c>
      <c r="E393" s="54" t="str">
        <f>IF($C393="B",INDEX(Batters[[#All],[First]],MATCH(Table5[[#This Row],[PID]],Batters[[#All],[PID]],0)),INDEX(Table3[[#All],[First]],MATCH(Table5[[#This Row],[PID]],Table3[[#All],[PID]],0)))</f>
        <v>Manuel</v>
      </c>
      <c r="F393" s="52" t="str">
        <f>IF($C393="B",INDEX(Batters[[#All],[Last]],MATCH(A393,Batters[[#All],[PID]],0)),INDEX(Table3[[#All],[Last]],MATCH(A393,Table3[[#All],[PID]],0)))</f>
        <v>Estrada</v>
      </c>
      <c r="G393" s="58">
        <f>IF($C393="B",INDEX(Batters[[#All],[Age]],MATCH(Table5[[#This Row],[PID]],Batters[[#All],[PID]],0)),INDEX(Table3[[#All],[Age]],MATCH(Table5[[#This Row],[PID]],Table3[[#All],[PID]],0)))</f>
        <v>18</v>
      </c>
      <c r="H393" s="54" t="str">
        <f>IF($C393="B",INDEX(Batters[[#All],[B]],MATCH(Table5[[#This Row],[PID]],Batters[[#All],[PID]],0)),INDEX(Table3[[#All],[B]],MATCH(Table5[[#This Row],[PID]],Table3[[#All],[PID]],0)))</f>
        <v>S</v>
      </c>
      <c r="I393" s="54" t="str">
        <f>IF($C393="B",INDEX(Batters[[#All],[T]],MATCH(Table5[[#This Row],[PID]],Batters[[#All],[PID]],0)),INDEX(Table3[[#All],[T]],MATCH(Table5[[#This Row],[PID]],Table3[[#All],[PID]],0)))</f>
        <v>R</v>
      </c>
      <c r="J393" s="54" t="str">
        <f>IF($C393="B",INDEX(Batters[[#All],[WE]],MATCH(Table5[[#This Row],[PID]],Batters[[#All],[PID]],0)),INDEX(Table3[[#All],[WE]],MATCH(Table5[[#This Row],[PID]],Table3[[#All],[PID]],0)))</f>
        <v>Low</v>
      </c>
      <c r="K393" s="54" t="str">
        <f>IF($C393="B",INDEX(Batters[[#All],[INT]],MATCH(Table5[[#This Row],[PID]],Batters[[#All],[PID]],0)),INDEX(Table3[[#All],[INT]],MATCH(Table5[[#This Row],[PID]],Table3[[#All],[PID]],0)))</f>
        <v>Low</v>
      </c>
      <c r="L393" s="62">
        <f>IF($C393="B",INDEX(Batters[[#All],[CON P]],MATCH(Table5[[#This Row],[PID]],Batters[[#All],[PID]],0)),INDEX(Table3[[#All],[STU P]],MATCH(Table5[[#This Row],[PID]],Table3[[#All],[PID]],0)))</f>
        <v>5</v>
      </c>
      <c r="M393" s="58">
        <f>IF($C393="B",INDEX(Batters[[#All],[GAP P]],MATCH(Table5[[#This Row],[PID]],Batters[[#All],[PID]],0)),INDEX(Table3[[#All],[MOV P]],MATCH(Table5[[#This Row],[PID]],Table3[[#All],[PID]],0)))</f>
        <v>1</v>
      </c>
      <c r="N393" s="58">
        <f>IF($C393="B",INDEX(Batters[[#All],[POW P]],MATCH(Table5[[#This Row],[PID]],Batters[[#All],[PID]],0)),INDEX(Table3[[#All],[CON P]],MATCH(Table5[[#This Row],[PID]],Table3[[#All],[PID]],0)))</f>
        <v>3</v>
      </c>
      <c r="O393" s="58" t="str">
        <f>IF($C393="B",INDEX(Batters[[#All],[EYE P]],MATCH(Table5[[#This Row],[PID]],Batters[[#All],[PID]],0)),INDEX(Table3[[#All],[VELO]],MATCH(Table5[[#This Row],[PID]],Table3[[#All],[PID]],0)))</f>
        <v>90-92 Mph</v>
      </c>
      <c r="P393" s="58">
        <f>IF($C393="B",INDEX(Batters[[#All],[K P]],MATCH(Table5[[#This Row],[PID]],Batters[[#All],[PID]],0)),INDEX(Table3[[#All],[STM]],MATCH(Table5[[#This Row],[PID]],Table3[[#All],[PID]],0)))</f>
        <v>8</v>
      </c>
      <c r="Q393" s="63">
        <f>IF($C393="B",INDEX(Batters[[#All],[Tot]],MATCH(Table5[[#This Row],[PID]],Batters[[#All],[PID]],0)),INDEX(Table3[[#All],[Tot]],MATCH(Table5[[#This Row],[PID]],Table3[[#All],[PID]],0)))</f>
        <v>34.25804201069424</v>
      </c>
      <c r="R393" s="54">
        <f>IF($C393="B",INDEX(Batters[[#All],[zScore]],MATCH(Table5[[#This Row],[PID]],Batters[[#All],[PID]],0)),INDEX(Table3[[#All],[zScore]],MATCH(Table5[[#This Row],[PID]],Table3[[#All],[PID]],0)))</f>
        <v>0.14083861317260238</v>
      </c>
      <c r="S393" s="60" t="str">
        <f>IF($C393="B",INDEX(Batters[[#All],[DEM]],MATCH(Table5[[#This Row],[PID]],Batters[[#All],[PID]],0)),INDEX(Table3[[#All],[DEM]],MATCH(Table5[[#This Row],[PID]],Table3[[#All],[PID]],0)))</f>
        <v>$65k</v>
      </c>
      <c r="T393" s="64">
        <f>IF($C393="B",VLOOKUP($A393,Bat!$A$4:$AU$1417,46,FALSE),VLOOKUP($A393,Pit!$A$4:$BD$570,55,FALSE))</f>
        <v>0</v>
      </c>
      <c r="U393" s="52">
        <f>IF($C393="B",VLOOKUP($A393,Bat!$A$4:$BA$1417,47,FALSE),VLOOKUP($A393,Pit!$A$4:$BF$570,56,FALSE))</f>
        <v>0</v>
      </c>
      <c r="V393" s="52">
        <f>IF($C393="B",VLOOKUP($A393,Bat!$A$4:$BA$1417,48,FALSE),VLOOKUP($A393,Pit!$A$4:$BF$570,57,FALSE))</f>
        <v>0</v>
      </c>
      <c r="W393" s="52">
        <f>Table5[[#This Row],[posRnk]]+Table5[[#This Row],[zRnk]]+IF($W$3&lt;&gt;Table5[[#This Row],[Type]],50,0)</f>
        <v>439</v>
      </c>
      <c r="X393" s="53">
        <f>RANK(Table5[[#This Row],[zScore]],Table5[[#All],[zScore]])</f>
        <v>389</v>
      </c>
      <c r="Y393" s="52" t="str">
        <f>IFERROR(INDEX(DraftResults[[#All],[OVR]],MATCH(Table5[[#This Row],[PID]],DraftResults[[#All],[Player ID]],0)),"")</f>
        <v/>
      </c>
      <c r="Z3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3" s="52" t="str">
        <f>IFERROR(INDEX(DraftResults[[#All],[Pick in Round]],MATCH(Table5[[#This Row],[PID]],DraftResults[[#All],[Player ID]],0)),"")</f>
        <v/>
      </c>
      <c r="AB393" s="52" t="str">
        <f>IFERROR(INDEX(DraftResults[[#All],[Team Name]],MATCH(Table5[[#This Row],[PID]],DraftResults[[#All],[Player ID]],0)),"")</f>
        <v/>
      </c>
      <c r="AC393" s="52" t="str">
        <f>IF(Table5[[#This Row],[Ovr]]="","",IF(Table5[[#This Row],[cmbList]]="","",Table5[[#This Row],[cmbList]]-Table5[[#This Row],[Ovr]]))</f>
        <v/>
      </c>
      <c r="AD393" s="56" t="str">
        <f>IF(ISERROR(VLOOKUP($AB393&amp;"-"&amp;$E393&amp;" "&amp;F393,Bonuses!$B$1:$G$1006,4,FALSE)),"",INT(VLOOKUP($AB393&amp;"-"&amp;$E393&amp;" "&amp;$F393,Bonuses!$B$1:$G$1006,4,FALSE)))</f>
        <v/>
      </c>
      <c r="AE3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4" spans="1:31" s="52" customFormat="1" x14ac:dyDescent="0.25">
      <c r="A394" s="52">
        <v>11750</v>
      </c>
      <c r="B394" s="57">
        <f>COUNTIF(Table5[PID],A394)</f>
        <v>1</v>
      </c>
      <c r="C394" s="57" t="str">
        <f>IF(COUNTIF(Table3[[#All],[PID]],A394)&gt;0,"P","B")</f>
        <v>B</v>
      </c>
      <c r="D394" s="61" t="str">
        <f>IF($C394="B",INDEX(Batters[[#All],[POS]],MATCH(Table5[[#This Row],[PID]],Batters[[#All],[PID]],0)),INDEX(Table3[[#All],[POS]],MATCH(Table5[[#This Row],[PID]],Table3[[#All],[PID]],0)))</f>
        <v>RF</v>
      </c>
      <c r="E394" s="54" t="str">
        <f>IF($C394="B",INDEX(Batters[[#All],[First]],MATCH(Table5[[#This Row],[PID]],Batters[[#All],[PID]],0)),INDEX(Table3[[#All],[First]],MATCH(Table5[[#This Row],[PID]],Table3[[#All],[PID]],0)))</f>
        <v>Darrell</v>
      </c>
      <c r="F394" s="52" t="str">
        <f>IF($C394="B",INDEX(Batters[[#All],[Last]],MATCH(A394,Batters[[#All],[PID]],0)),INDEX(Table3[[#All],[Last]],MATCH(A394,Table3[[#All],[PID]],0)))</f>
        <v>Barnes</v>
      </c>
      <c r="G394" s="58">
        <f>IF($C394="B",INDEX(Batters[[#All],[Age]],MATCH(Table5[[#This Row],[PID]],Batters[[#All],[PID]],0)),INDEX(Table3[[#All],[Age]],MATCH(Table5[[#This Row],[PID]],Table3[[#All],[PID]],0)))</f>
        <v>21</v>
      </c>
      <c r="H394" s="54" t="str">
        <f>IF($C394="B",INDEX(Batters[[#All],[B]],MATCH(Table5[[#This Row],[PID]],Batters[[#All],[PID]],0)),INDEX(Table3[[#All],[B]],MATCH(Table5[[#This Row],[PID]],Table3[[#All],[PID]],0)))</f>
        <v>L</v>
      </c>
      <c r="I394" s="54" t="str">
        <f>IF($C394="B",INDEX(Batters[[#All],[T]],MATCH(Table5[[#This Row],[PID]],Batters[[#All],[PID]],0)),INDEX(Table3[[#All],[T]],MATCH(Table5[[#This Row],[PID]],Table3[[#All],[PID]],0)))</f>
        <v>R</v>
      </c>
      <c r="J394" s="54" t="str">
        <f>IF($C394="B",INDEX(Batters[[#All],[WE]],MATCH(Table5[[#This Row],[PID]],Batters[[#All],[PID]],0)),INDEX(Table3[[#All],[WE]],MATCH(Table5[[#This Row],[PID]],Table3[[#All],[PID]],0)))</f>
        <v>Normal</v>
      </c>
      <c r="K394" s="54" t="str">
        <f>IF($C394="B",INDEX(Batters[[#All],[INT]],MATCH(Table5[[#This Row],[PID]],Batters[[#All],[PID]],0)),INDEX(Table3[[#All],[INT]],MATCH(Table5[[#This Row],[PID]],Table3[[#All],[PID]],0)))</f>
        <v>Normal</v>
      </c>
      <c r="L394" s="62">
        <f>IF($C394="B",INDEX(Batters[[#All],[CON P]],MATCH(Table5[[#This Row],[PID]],Batters[[#All],[PID]],0)),INDEX(Table3[[#All],[STU P]],MATCH(Table5[[#This Row],[PID]],Table3[[#All],[PID]],0)))</f>
        <v>4</v>
      </c>
      <c r="M394" s="58">
        <f>IF($C394="B",INDEX(Batters[[#All],[GAP P]],MATCH(Table5[[#This Row],[PID]],Batters[[#All],[PID]],0)),INDEX(Table3[[#All],[MOV P]],MATCH(Table5[[#This Row],[PID]],Table3[[#All],[PID]],0)))</f>
        <v>4</v>
      </c>
      <c r="N394" s="58">
        <f>IF($C394="B",INDEX(Batters[[#All],[POW P]],MATCH(Table5[[#This Row],[PID]],Batters[[#All],[PID]],0)),INDEX(Table3[[#All],[CON P]],MATCH(Table5[[#This Row],[PID]],Table3[[#All],[PID]],0)))</f>
        <v>3</v>
      </c>
      <c r="O394" s="58">
        <f>IF($C394="B",INDEX(Batters[[#All],[EYE P]],MATCH(Table5[[#This Row],[PID]],Batters[[#All],[PID]],0)),INDEX(Table3[[#All],[VELO]],MATCH(Table5[[#This Row],[PID]],Table3[[#All],[PID]],0)))</f>
        <v>4</v>
      </c>
      <c r="P394" s="58">
        <f>IF($C394="B",INDEX(Batters[[#All],[K P]],MATCH(Table5[[#This Row],[PID]],Batters[[#All],[PID]],0)),INDEX(Table3[[#All],[STM]],MATCH(Table5[[#This Row],[PID]],Table3[[#All],[PID]],0)))</f>
        <v>4</v>
      </c>
      <c r="Q394" s="63">
        <f>IF($C394="B",INDEX(Batters[[#All],[Tot]],MATCH(Table5[[#This Row],[PID]],Batters[[#All],[PID]],0)),INDEX(Table3[[#All],[Tot]],MATCH(Table5[[#This Row],[PID]],Table3[[#All],[PID]],0)))</f>
        <v>41.14430039223366</v>
      </c>
      <c r="R394" s="54">
        <f>IF($C394="B",INDEX(Batters[[#All],[zScore]],MATCH(Table5[[#This Row],[PID]],Batters[[#All],[PID]],0)),INDEX(Table3[[#All],[zScore]],MATCH(Table5[[#This Row],[PID]],Table3[[#All],[PID]],0)))</f>
        <v>0.14006024053445099</v>
      </c>
      <c r="S394" s="60" t="str">
        <f>IF($C394="B",INDEX(Batters[[#All],[DEM]],MATCH(Table5[[#This Row],[PID]],Batters[[#All],[PID]],0)),INDEX(Table3[[#All],[DEM]],MATCH(Table5[[#This Row],[PID]],Table3[[#All],[PID]],0)))</f>
        <v>-</v>
      </c>
      <c r="T394" s="64">
        <f>IF($C394="B",VLOOKUP($A394,Bat!$A$4:$AU$1417,46,FALSE),VLOOKUP($A394,Pit!$A$4:$BD$570,55,FALSE))</f>
        <v>0</v>
      </c>
      <c r="U394" s="52">
        <f>IF($C394="B",VLOOKUP($A394,Bat!$A$4:$BA$1417,47,FALSE),VLOOKUP($A394,Pit!$A$4:$BF$570,56,FALSE))</f>
        <v>0</v>
      </c>
      <c r="V394" s="52">
        <f>IF($C394="B",VLOOKUP($A394,Bat!$A$4:$BA$1417,48,FALSE),VLOOKUP($A394,Pit!$A$4:$BF$570,57,FALSE))</f>
        <v>0</v>
      </c>
      <c r="W394" s="52">
        <f>Table5[[#This Row],[posRnk]]+Table5[[#This Row],[zRnk]]+IF($W$3&lt;&gt;Table5[[#This Row],[Type]],50,0)</f>
        <v>440</v>
      </c>
      <c r="X394" s="53">
        <f>RANK(Table5[[#This Row],[zScore]],Table5[[#All],[zScore]])</f>
        <v>390</v>
      </c>
      <c r="Y394" s="52" t="str">
        <f>IFERROR(INDEX(DraftResults[[#All],[OVR]],MATCH(Table5[[#This Row],[PID]],DraftResults[[#All],[Player ID]],0)),"")</f>
        <v/>
      </c>
      <c r="Z3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4" s="52" t="str">
        <f>IFERROR(INDEX(DraftResults[[#All],[Pick in Round]],MATCH(Table5[[#This Row],[PID]],DraftResults[[#All],[Player ID]],0)),"")</f>
        <v/>
      </c>
      <c r="AB394" s="52" t="str">
        <f>IFERROR(INDEX(DraftResults[[#All],[Team Name]],MATCH(Table5[[#This Row],[PID]],DraftResults[[#All],[Player ID]],0)),"")</f>
        <v/>
      </c>
      <c r="AC394" s="52" t="str">
        <f>IF(Table5[[#This Row],[Ovr]]="","",IF(Table5[[#This Row],[cmbList]]="","",Table5[[#This Row],[cmbList]]-Table5[[#This Row],[Ovr]]))</f>
        <v/>
      </c>
      <c r="AD394" s="56" t="str">
        <f>IF(ISERROR(VLOOKUP($AB394&amp;"-"&amp;$E394&amp;" "&amp;F394,Bonuses!$B$1:$G$1006,4,FALSE)),"",INT(VLOOKUP($AB394&amp;"-"&amp;$E394&amp;" "&amp;$F394,Bonuses!$B$1:$G$1006,4,FALSE)))</f>
        <v/>
      </c>
      <c r="AE3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5" spans="1:31" s="52" customFormat="1" x14ac:dyDescent="0.25">
      <c r="A395" s="52">
        <v>9024</v>
      </c>
      <c r="B395" s="52">
        <f>COUNTIF(Table5[PID],A395)</f>
        <v>1</v>
      </c>
      <c r="C395" s="52" t="str">
        <f>IF(COUNTIF(Table3[[#All],[PID]],A395)&gt;0,"P","B")</f>
        <v>B</v>
      </c>
      <c r="D395" s="61" t="str">
        <f>IF($C395="B",INDEX(Batters[[#All],[POS]],MATCH(Table5[[#This Row],[PID]],Batters[[#All],[PID]],0)),INDEX(Table3[[#All],[POS]],MATCH(Table5[[#This Row],[PID]],Table3[[#All],[PID]],0)))</f>
        <v>1B</v>
      </c>
      <c r="E395" s="54" t="str">
        <f>IF($C395="B",INDEX(Batters[[#All],[First]],MATCH(Table5[[#This Row],[PID]],Batters[[#All],[PID]],0)),INDEX(Table3[[#All],[First]],MATCH(Table5[[#This Row],[PID]],Table3[[#All],[PID]],0)))</f>
        <v>Clint</v>
      </c>
      <c r="F395" s="52" t="str">
        <f>IF($C395="B",INDEX(Batters[[#All],[Last]],MATCH(A395,Batters[[#All],[PID]],0)),INDEX(Table3[[#All],[Last]],MATCH(A395,Table3[[#All],[PID]],0)))</f>
        <v>Neely</v>
      </c>
      <c r="G395" s="58">
        <f>IF($C395="B",INDEX(Batters[[#All],[Age]],MATCH(Table5[[#This Row],[PID]],Batters[[#All],[PID]],0)),INDEX(Table3[[#All],[Age]],MATCH(Table5[[#This Row],[PID]],Table3[[#All],[PID]],0)))</f>
        <v>18</v>
      </c>
      <c r="H395" s="54" t="str">
        <f>IF($C395="B",INDEX(Batters[[#All],[B]],MATCH(Table5[[#This Row],[PID]],Batters[[#All],[PID]],0)),INDEX(Table3[[#All],[B]],MATCH(Table5[[#This Row],[PID]],Table3[[#All],[PID]],0)))</f>
        <v>S</v>
      </c>
      <c r="I395" s="54" t="str">
        <f>IF($C395="B",INDEX(Batters[[#All],[T]],MATCH(Table5[[#This Row],[PID]],Batters[[#All],[PID]],0)),INDEX(Table3[[#All],[T]],MATCH(Table5[[#This Row],[PID]],Table3[[#All],[PID]],0)))</f>
        <v>R</v>
      </c>
      <c r="J395" s="54" t="str">
        <f>IF($C395="B",INDEX(Batters[[#All],[WE]],MATCH(Table5[[#This Row],[PID]],Batters[[#All],[PID]],0)),INDEX(Table3[[#All],[WE]],MATCH(Table5[[#This Row],[PID]],Table3[[#All],[PID]],0)))</f>
        <v>Normal</v>
      </c>
      <c r="K395" s="54" t="str">
        <f>IF($C395="B",INDEX(Batters[[#All],[INT]],MATCH(Table5[[#This Row],[PID]],Batters[[#All],[PID]],0)),INDEX(Table3[[#All],[INT]],MATCH(Table5[[#This Row],[PID]],Table3[[#All],[PID]],0)))</f>
        <v>Normal</v>
      </c>
      <c r="L395" s="62">
        <f>IF($C395="B",INDEX(Batters[[#All],[CON P]],MATCH(Table5[[#This Row],[PID]],Batters[[#All],[PID]],0)),INDEX(Table3[[#All],[STU P]],MATCH(Table5[[#This Row],[PID]],Table3[[#All],[PID]],0)))</f>
        <v>3</v>
      </c>
      <c r="M395" s="58">
        <f>IF($C395="B",INDEX(Batters[[#All],[GAP P]],MATCH(Table5[[#This Row],[PID]],Batters[[#All],[PID]],0)),INDEX(Table3[[#All],[MOV P]],MATCH(Table5[[#This Row],[PID]],Table3[[#All],[PID]],0)))</f>
        <v>2</v>
      </c>
      <c r="N395" s="58">
        <f>IF($C395="B",INDEX(Batters[[#All],[POW P]],MATCH(Table5[[#This Row],[PID]],Batters[[#All],[PID]],0)),INDEX(Table3[[#All],[CON P]],MATCH(Table5[[#This Row],[PID]],Table3[[#All],[PID]],0)))</f>
        <v>4</v>
      </c>
      <c r="O395" s="58">
        <f>IF($C395="B",INDEX(Batters[[#All],[EYE P]],MATCH(Table5[[#This Row],[PID]],Batters[[#All],[PID]],0)),INDEX(Table3[[#All],[VELO]],MATCH(Table5[[#This Row],[PID]],Table3[[#All],[PID]],0)))</f>
        <v>5</v>
      </c>
      <c r="P395" s="58">
        <f>IF($C395="B",INDEX(Batters[[#All],[K P]],MATCH(Table5[[#This Row],[PID]],Batters[[#All],[PID]],0)),INDEX(Table3[[#All],[STM]],MATCH(Table5[[#This Row],[PID]],Table3[[#All],[PID]],0)))</f>
        <v>2</v>
      </c>
      <c r="Q395" s="63">
        <f>IF($C395="B",INDEX(Batters[[#All],[Tot]],MATCH(Table5[[#This Row],[PID]],Batters[[#All],[PID]],0)),INDEX(Table3[[#All],[Tot]],MATCH(Table5[[#This Row],[PID]],Table3[[#All],[PID]],0)))</f>
        <v>41.143278503902749</v>
      </c>
      <c r="R395" s="54">
        <f>IF($C395="B",INDEX(Batters[[#All],[zScore]],MATCH(Table5[[#This Row],[PID]],Batters[[#All],[PID]],0)),INDEX(Table3[[#All],[zScore]],MATCH(Table5[[#This Row],[PID]],Table3[[#All],[PID]],0)))</f>
        <v>0.13988044607440711</v>
      </c>
      <c r="S395" s="60" t="str">
        <f>IF($C395="B",INDEX(Batters[[#All],[DEM]],MATCH(Table5[[#This Row],[PID]],Batters[[#All],[PID]],0)),INDEX(Table3[[#All],[DEM]],MATCH(Table5[[#This Row],[PID]],Table3[[#All],[PID]],0)))</f>
        <v>$75k</v>
      </c>
      <c r="T395" s="64">
        <f>IF($C395="B",VLOOKUP($A395,Bat!$A$4:$AU$1417,46,FALSE),VLOOKUP($A395,Pit!$A$4:$BD$570,55,FALSE))</f>
        <v>0</v>
      </c>
      <c r="U395" s="52">
        <f>IF($C395="B",VLOOKUP($A395,Bat!$A$4:$BA$1417,47,FALSE),VLOOKUP($A395,Pit!$A$4:$BF$570,56,FALSE))</f>
        <v>0</v>
      </c>
      <c r="V395" s="52">
        <f>IF($C395="B",VLOOKUP($A395,Bat!$A$4:$BA$1417,48,FALSE),VLOOKUP($A395,Pit!$A$4:$BF$570,57,FALSE))</f>
        <v>0</v>
      </c>
      <c r="W395" s="52">
        <f>Table5[[#This Row],[posRnk]]+Table5[[#This Row],[zRnk]]+IF($W$3&lt;&gt;Table5[[#This Row],[Type]],50,0)</f>
        <v>441</v>
      </c>
      <c r="X395" s="53">
        <f>RANK(Table5[[#This Row],[zScore]],Table5[[#All],[zScore]])</f>
        <v>391</v>
      </c>
      <c r="Y395" s="52" t="str">
        <f>IFERROR(INDEX(DraftResults[[#All],[OVR]],MATCH(Table5[[#This Row],[PID]],DraftResults[[#All],[Player ID]],0)),"")</f>
        <v/>
      </c>
      <c r="Z3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5" s="52" t="str">
        <f>IFERROR(INDEX(DraftResults[[#All],[Pick in Round]],MATCH(Table5[[#This Row],[PID]],DraftResults[[#All],[Player ID]],0)),"")</f>
        <v/>
      </c>
      <c r="AB395" s="52" t="str">
        <f>IFERROR(INDEX(DraftResults[[#All],[Team Name]],MATCH(Table5[[#This Row],[PID]],DraftResults[[#All],[Player ID]],0)),"")</f>
        <v/>
      </c>
      <c r="AC395" s="52" t="str">
        <f>IF(Table5[[#This Row],[Ovr]]="","",IF(Table5[[#This Row],[cmbList]]="","",Table5[[#This Row],[cmbList]]-Table5[[#This Row],[Ovr]]))</f>
        <v/>
      </c>
      <c r="AD395" s="56" t="str">
        <f>IF(ISERROR(VLOOKUP($AB395&amp;"-"&amp;$E395&amp;" "&amp;F395,Bonuses!$B$1:$G$1006,4,FALSE)),"",INT(VLOOKUP($AB395&amp;"-"&amp;$E395&amp;" "&amp;$F395,Bonuses!$B$1:$G$1006,4,FALSE)))</f>
        <v/>
      </c>
      <c r="AE3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6" spans="1:31" s="52" customFormat="1" x14ac:dyDescent="0.25">
      <c r="A396" s="52">
        <v>9368</v>
      </c>
      <c r="B396" s="52">
        <f>COUNTIF(Table5[PID],A396)</f>
        <v>1</v>
      </c>
      <c r="C396" s="52" t="str">
        <f>IF(COUNTIF(Table3[[#All],[PID]],A396)&gt;0,"P","B")</f>
        <v>P</v>
      </c>
      <c r="D396" s="61" t="str">
        <f>IF($C396="B",INDEX(Batters[[#All],[POS]],MATCH(Table5[[#This Row],[PID]],Batters[[#All],[PID]],0)),INDEX(Table3[[#All],[POS]],MATCH(Table5[[#This Row],[PID]],Table3[[#All],[PID]],0)))</f>
        <v>CL</v>
      </c>
      <c r="E396" s="54" t="str">
        <f>IF($C396="B",INDEX(Batters[[#All],[First]],MATCH(Table5[[#This Row],[PID]],Batters[[#All],[PID]],0)),INDEX(Table3[[#All],[First]],MATCH(Table5[[#This Row],[PID]],Table3[[#All],[PID]],0)))</f>
        <v>Peter</v>
      </c>
      <c r="F396" s="52" t="str">
        <f>IF($C396="B",INDEX(Batters[[#All],[Last]],MATCH(A396,Batters[[#All],[PID]],0)),INDEX(Table3[[#All],[Last]],MATCH(A396,Table3[[#All],[PID]],0)))</f>
        <v>Hill</v>
      </c>
      <c r="G396" s="58">
        <f>IF($C396="B",INDEX(Batters[[#All],[Age]],MATCH(Table5[[#This Row],[PID]],Batters[[#All],[PID]],0)),INDEX(Table3[[#All],[Age]],MATCH(Table5[[#This Row],[PID]],Table3[[#All],[PID]],0)))</f>
        <v>21</v>
      </c>
      <c r="H396" s="54" t="str">
        <f>IF($C396="B",INDEX(Batters[[#All],[B]],MATCH(Table5[[#This Row],[PID]],Batters[[#All],[PID]],0)),INDEX(Table3[[#All],[B]],MATCH(Table5[[#This Row],[PID]],Table3[[#All],[PID]],0)))</f>
        <v>R</v>
      </c>
      <c r="I396" s="54" t="str">
        <f>IF($C396="B",INDEX(Batters[[#All],[T]],MATCH(Table5[[#This Row],[PID]],Batters[[#All],[PID]],0)),INDEX(Table3[[#All],[T]],MATCH(Table5[[#This Row],[PID]],Table3[[#All],[PID]],0)))</f>
        <v>R</v>
      </c>
      <c r="J396" s="54" t="str">
        <f>IF($C396="B",INDEX(Batters[[#All],[WE]],MATCH(Table5[[#This Row],[PID]],Batters[[#All],[PID]],0)),INDEX(Table3[[#All],[WE]],MATCH(Table5[[#This Row],[PID]],Table3[[#All],[PID]],0)))</f>
        <v>Normal</v>
      </c>
      <c r="K396" s="54" t="str">
        <f>IF($C396="B",INDEX(Batters[[#All],[INT]],MATCH(Table5[[#This Row],[PID]],Batters[[#All],[PID]],0)),INDEX(Table3[[#All],[INT]],MATCH(Table5[[#This Row],[PID]],Table3[[#All],[PID]],0)))</f>
        <v>Normal</v>
      </c>
      <c r="L396" s="62">
        <f>IF($C396="B",INDEX(Batters[[#All],[CON P]],MATCH(Table5[[#This Row],[PID]],Batters[[#All],[PID]],0)),INDEX(Table3[[#All],[STU P]],MATCH(Table5[[#This Row],[PID]],Table3[[#All],[PID]],0)))</f>
        <v>4</v>
      </c>
      <c r="M396" s="58">
        <f>IF($C396="B",INDEX(Batters[[#All],[GAP P]],MATCH(Table5[[#This Row],[PID]],Batters[[#All],[PID]],0)),INDEX(Table3[[#All],[MOV P]],MATCH(Table5[[#This Row],[PID]],Table3[[#All],[PID]],0)))</f>
        <v>4</v>
      </c>
      <c r="N396" s="58">
        <f>IF($C396="B",INDEX(Batters[[#All],[POW P]],MATCH(Table5[[#This Row],[PID]],Batters[[#All],[PID]],0)),INDEX(Table3[[#All],[CON P]],MATCH(Table5[[#This Row],[PID]],Table3[[#All],[PID]],0)))</f>
        <v>2</v>
      </c>
      <c r="O396" s="58" t="str">
        <f>IF($C396="B",INDEX(Batters[[#All],[EYE P]],MATCH(Table5[[#This Row],[PID]],Batters[[#All],[PID]],0)),INDEX(Table3[[#All],[VELO]],MATCH(Table5[[#This Row],[PID]],Table3[[#All],[PID]],0)))</f>
        <v>87-89 Mph</v>
      </c>
      <c r="P396" s="58">
        <f>IF($C396="B",INDEX(Batters[[#All],[K P]],MATCH(Table5[[#This Row],[PID]],Batters[[#All],[PID]],0)),INDEX(Table3[[#All],[STM]],MATCH(Table5[[#This Row],[PID]],Table3[[#All],[PID]],0)))</f>
        <v>9</v>
      </c>
      <c r="Q396" s="63">
        <f>IF($C396="B",INDEX(Batters[[#All],[Tot]],MATCH(Table5[[#This Row],[PID]],Batters[[#All],[PID]],0)),INDEX(Table3[[#All],[Tot]],MATCH(Table5[[#This Row],[PID]],Table3[[#All],[PID]],0)))</f>
        <v>34.171731793419738</v>
      </c>
      <c r="R396" s="54">
        <f>IF($C396="B",INDEX(Batters[[#All],[zScore]],MATCH(Table5[[#This Row],[PID]],Batters[[#All],[PID]],0)),INDEX(Table3[[#All],[zScore]],MATCH(Table5[[#This Row],[PID]],Table3[[#All],[PID]],0)))</f>
        <v>0.13292359735090878</v>
      </c>
      <c r="S396" s="60" t="str">
        <f>IF($C396="B",INDEX(Batters[[#All],[DEM]],MATCH(Table5[[#This Row],[PID]],Batters[[#All],[PID]],0)),INDEX(Table3[[#All],[DEM]],MATCH(Table5[[#This Row],[PID]],Table3[[#All],[PID]],0)))</f>
        <v>-</v>
      </c>
      <c r="T396" s="64">
        <f>IF($C396="B",VLOOKUP($A396,Bat!$A$4:$AU$1417,46,FALSE),VLOOKUP($A396,Pit!$A$4:$BD$570,55,FALSE))</f>
        <v>0</v>
      </c>
      <c r="U396" s="52">
        <f>IF($C396="B",VLOOKUP($A396,Bat!$A$4:$BA$1417,47,FALSE),VLOOKUP($A396,Pit!$A$4:$BF$570,56,FALSE))</f>
        <v>0</v>
      </c>
      <c r="V396" s="52">
        <f>IF($C396="B",VLOOKUP($A396,Bat!$A$4:$BA$1417,48,FALSE),VLOOKUP($A396,Pit!$A$4:$BF$570,57,FALSE))</f>
        <v>0</v>
      </c>
      <c r="W396" s="52">
        <f>Table5[[#This Row],[posRnk]]+Table5[[#This Row],[zRnk]]+IF($W$3&lt;&gt;Table5[[#This Row],[Type]],50,0)</f>
        <v>442</v>
      </c>
      <c r="X396" s="53">
        <f>RANK(Table5[[#This Row],[zScore]],Table5[[#All],[zScore]])</f>
        <v>392</v>
      </c>
      <c r="Y396" s="52" t="str">
        <f>IFERROR(INDEX(DraftResults[[#All],[OVR]],MATCH(Table5[[#This Row],[PID]],DraftResults[[#All],[Player ID]],0)),"")</f>
        <v/>
      </c>
      <c r="Z3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6" s="52" t="str">
        <f>IFERROR(INDEX(DraftResults[[#All],[Pick in Round]],MATCH(Table5[[#This Row],[PID]],DraftResults[[#All],[Player ID]],0)),"")</f>
        <v/>
      </c>
      <c r="AB396" s="52" t="str">
        <f>IFERROR(INDEX(DraftResults[[#All],[Team Name]],MATCH(Table5[[#This Row],[PID]],DraftResults[[#All],[Player ID]],0)),"")</f>
        <v/>
      </c>
      <c r="AC396" s="52" t="str">
        <f>IF(Table5[[#This Row],[Ovr]]="","",IF(Table5[[#This Row],[cmbList]]="","",Table5[[#This Row],[cmbList]]-Table5[[#This Row],[Ovr]]))</f>
        <v/>
      </c>
      <c r="AD396" s="56" t="str">
        <f>IF(ISERROR(VLOOKUP($AB396&amp;"-"&amp;$E396&amp;" "&amp;F396,Bonuses!$B$1:$G$1006,4,FALSE)),"",INT(VLOOKUP($AB396&amp;"-"&amp;$E396&amp;" "&amp;$F396,Bonuses!$B$1:$G$1006,4,FALSE)))</f>
        <v/>
      </c>
      <c r="AE3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7" spans="1:31" s="52" customFormat="1" x14ac:dyDescent="0.25">
      <c r="A397" s="52">
        <v>8737</v>
      </c>
      <c r="B397" s="52">
        <f>COUNTIF(Table5[PID],A397)</f>
        <v>1</v>
      </c>
      <c r="C397" s="52" t="str">
        <f>IF(COUNTIF(Table3[[#All],[PID]],A397)&gt;0,"P","B")</f>
        <v>P</v>
      </c>
      <c r="D397" s="61" t="str">
        <f>IF($C397="B",INDEX(Batters[[#All],[POS]],MATCH(Table5[[#This Row],[PID]],Batters[[#All],[PID]],0)),INDEX(Table3[[#All],[POS]],MATCH(Table5[[#This Row],[PID]],Table3[[#All],[PID]],0)))</f>
        <v>RP</v>
      </c>
      <c r="E397" s="54" t="str">
        <f>IF($C397="B",INDEX(Batters[[#All],[First]],MATCH(Table5[[#This Row],[PID]],Batters[[#All],[PID]],0)),INDEX(Table3[[#All],[First]],MATCH(Table5[[#This Row],[PID]],Table3[[#All],[PID]],0)))</f>
        <v>Joe</v>
      </c>
      <c r="F397" s="52" t="str">
        <f>IF($C397="B",INDEX(Batters[[#All],[Last]],MATCH(A397,Batters[[#All],[PID]],0)),INDEX(Table3[[#All],[Last]],MATCH(A397,Table3[[#All],[PID]],0)))</f>
        <v>Schulte</v>
      </c>
      <c r="G397" s="58">
        <f>IF($C397="B",INDEX(Batters[[#All],[Age]],MATCH(Table5[[#This Row],[PID]],Batters[[#All],[PID]],0)),INDEX(Table3[[#All],[Age]],MATCH(Table5[[#This Row],[PID]],Table3[[#All],[PID]],0)))</f>
        <v>18</v>
      </c>
      <c r="H397" s="54" t="str">
        <f>IF($C397="B",INDEX(Batters[[#All],[B]],MATCH(Table5[[#This Row],[PID]],Batters[[#All],[PID]],0)),INDEX(Table3[[#All],[B]],MATCH(Table5[[#This Row],[PID]],Table3[[#All],[PID]],0)))</f>
        <v>R</v>
      </c>
      <c r="I397" s="54" t="str">
        <f>IF($C397="B",INDEX(Batters[[#All],[T]],MATCH(Table5[[#This Row],[PID]],Batters[[#All],[PID]],0)),INDEX(Table3[[#All],[T]],MATCH(Table5[[#This Row],[PID]],Table3[[#All],[PID]],0)))</f>
        <v>R</v>
      </c>
      <c r="J397" s="54" t="str">
        <f>IF($C397="B",INDEX(Batters[[#All],[WE]],MATCH(Table5[[#This Row],[PID]],Batters[[#All],[PID]],0)),INDEX(Table3[[#All],[WE]],MATCH(Table5[[#This Row],[PID]],Table3[[#All],[PID]],0)))</f>
        <v>Normal</v>
      </c>
      <c r="K397" s="54" t="str">
        <f>IF($C397="B",INDEX(Batters[[#All],[INT]],MATCH(Table5[[#This Row],[PID]],Batters[[#All],[PID]],0)),INDEX(Table3[[#All],[INT]],MATCH(Table5[[#This Row],[PID]],Table3[[#All],[PID]],0)))</f>
        <v>Normal</v>
      </c>
      <c r="L397" s="62">
        <f>IF($C397="B",INDEX(Batters[[#All],[CON P]],MATCH(Table5[[#This Row],[PID]],Batters[[#All],[PID]],0)),INDEX(Table3[[#All],[STU P]],MATCH(Table5[[#This Row],[PID]],Table3[[#All],[PID]],0)))</f>
        <v>4</v>
      </c>
      <c r="M397" s="58">
        <f>IF($C397="B",INDEX(Batters[[#All],[GAP P]],MATCH(Table5[[#This Row],[PID]],Batters[[#All],[PID]],0)),INDEX(Table3[[#All],[MOV P]],MATCH(Table5[[#This Row],[PID]],Table3[[#All],[PID]],0)))</f>
        <v>2</v>
      </c>
      <c r="N397" s="58">
        <f>IF($C397="B",INDEX(Batters[[#All],[POW P]],MATCH(Table5[[#This Row],[PID]],Batters[[#All],[PID]],0)),INDEX(Table3[[#All],[CON P]],MATCH(Table5[[#This Row],[PID]],Table3[[#All],[PID]],0)))</f>
        <v>3</v>
      </c>
      <c r="O397" s="58" t="str">
        <f>IF($C397="B",INDEX(Batters[[#All],[EYE P]],MATCH(Table5[[#This Row],[PID]],Batters[[#All],[PID]],0)),INDEX(Table3[[#All],[VELO]],MATCH(Table5[[#This Row],[PID]],Table3[[#All],[PID]],0)))</f>
        <v>89-91 Mph</v>
      </c>
      <c r="P397" s="58">
        <f>IF($C397="B",INDEX(Batters[[#All],[K P]],MATCH(Table5[[#This Row],[PID]],Batters[[#All],[PID]],0)),INDEX(Table3[[#All],[STM]],MATCH(Table5[[#This Row],[PID]],Table3[[#All],[PID]],0)))</f>
        <v>5</v>
      </c>
      <c r="Q397" s="63">
        <f>IF($C397="B",INDEX(Batters[[#All],[Tot]],MATCH(Table5[[#This Row],[PID]],Batters[[#All],[PID]],0)),INDEX(Table3[[#All],[Tot]],MATCH(Table5[[#This Row],[PID]],Table3[[#All],[PID]],0)))</f>
        <v>34.158352595867235</v>
      </c>
      <c r="R397" s="54">
        <f>IF($C397="B",INDEX(Batters[[#All],[zScore]],MATCH(Table5[[#This Row],[PID]],Batters[[#All],[PID]],0)),INDEX(Table3[[#All],[zScore]],MATCH(Table5[[#This Row],[PID]],Table3[[#All],[PID]],0)))</f>
        <v>0.13169666775145211</v>
      </c>
      <c r="S397" s="60" t="str">
        <f>IF($C397="B",INDEX(Batters[[#All],[DEM]],MATCH(Table5[[#This Row],[PID]],Batters[[#All],[PID]],0)),INDEX(Table3[[#All],[DEM]],MATCH(Table5[[#This Row],[PID]],Table3[[#All],[PID]],0)))</f>
        <v>$95k</v>
      </c>
      <c r="T397" s="64">
        <f>IF($C397="B",VLOOKUP($A397,Bat!$A$4:$AU$1417,46,FALSE),VLOOKUP($A397,Pit!$A$4:$BD$570,55,FALSE))</f>
        <v>0</v>
      </c>
      <c r="U397" s="52">
        <f>IF($C397="B",VLOOKUP($A397,Bat!$A$4:$BA$1417,47,FALSE),VLOOKUP($A397,Pit!$A$4:$BF$570,56,FALSE))</f>
        <v>0</v>
      </c>
      <c r="V397" s="52">
        <f>IF($C397="B",VLOOKUP($A397,Bat!$A$4:$BA$1417,48,FALSE),VLOOKUP($A397,Pit!$A$4:$BF$570,57,FALSE))</f>
        <v>0</v>
      </c>
      <c r="W397" s="52">
        <f>Table5[[#This Row],[posRnk]]+Table5[[#This Row],[zRnk]]+IF($W$3&lt;&gt;Table5[[#This Row],[Type]],50,0)</f>
        <v>443</v>
      </c>
      <c r="X397" s="53">
        <f>RANK(Table5[[#This Row],[zScore]],Table5[[#All],[zScore]])</f>
        <v>393</v>
      </c>
      <c r="Y397" s="52" t="str">
        <f>IFERROR(INDEX(DraftResults[[#All],[OVR]],MATCH(Table5[[#This Row],[PID]],DraftResults[[#All],[Player ID]],0)),"")</f>
        <v/>
      </c>
      <c r="Z3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7" s="52" t="str">
        <f>IFERROR(INDEX(DraftResults[[#All],[Pick in Round]],MATCH(Table5[[#This Row],[PID]],DraftResults[[#All],[Player ID]],0)),"")</f>
        <v/>
      </c>
      <c r="AB397" s="52" t="str">
        <f>IFERROR(INDEX(DraftResults[[#All],[Team Name]],MATCH(Table5[[#This Row],[PID]],DraftResults[[#All],[Player ID]],0)),"")</f>
        <v/>
      </c>
      <c r="AC397" s="52" t="str">
        <f>IF(Table5[[#This Row],[Ovr]]="","",IF(Table5[[#This Row],[cmbList]]="","",Table5[[#This Row],[cmbList]]-Table5[[#This Row],[Ovr]]))</f>
        <v/>
      </c>
      <c r="AD397" s="56" t="str">
        <f>IF(ISERROR(VLOOKUP($AB397&amp;"-"&amp;$E397&amp;" "&amp;F397,Bonuses!$B$1:$G$1006,4,FALSE)),"",INT(VLOOKUP($AB397&amp;"-"&amp;$E397&amp;" "&amp;$F397,Bonuses!$B$1:$G$1006,4,FALSE)))</f>
        <v/>
      </c>
      <c r="AE3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8" spans="1:31" s="52" customFormat="1" x14ac:dyDescent="0.25">
      <c r="A398" s="52">
        <v>13411</v>
      </c>
      <c r="B398" s="52">
        <f>COUNTIF(Table5[PID],A398)</f>
        <v>1</v>
      </c>
      <c r="C398" s="52" t="str">
        <f>IF(COUNTIF(Table3[[#All],[PID]],A398)&gt;0,"P","B")</f>
        <v>P</v>
      </c>
      <c r="D398" s="61" t="str">
        <f>IF($C398="B",INDEX(Batters[[#All],[POS]],MATCH(Table5[[#This Row],[PID]],Batters[[#All],[PID]],0)),INDEX(Table3[[#All],[POS]],MATCH(Table5[[#This Row],[PID]],Table3[[#All],[PID]],0)))</f>
        <v>RP</v>
      </c>
      <c r="E398" s="54" t="str">
        <f>IF($C398="B",INDEX(Batters[[#All],[First]],MATCH(Table5[[#This Row],[PID]],Batters[[#All],[PID]],0)),INDEX(Table3[[#All],[First]],MATCH(Table5[[#This Row],[PID]],Table3[[#All],[PID]],0)))</f>
        <v>Danny</v>
      </c>
      <c r="F398" s="52" t="str">
        <f>IF($C398="B",INDEX(Batters[[#All],[Last]],MATCH(A398,Batters[[#All],[PID]],0)),INDEX(Table3[[#All],[Last]],MATCH(A398,Table3[[#All],[PID]],0)))</f>
        <v>White</v>
      </c>
      <c r="G398" s="58">
        <f>IF($C398="B",INDEX(Batters[[#All],[Age]],MATCH(Table5[[#This Row],[PID]],Batters[[#All],[PID]],0)),INDEX(Table3[[#All],[Age]],MATCH(Table5[[#This Row],[PID]],Table3[[#All],[PID]],0)))</f>
        <v>17</v>
      </c>
      <c r="H398" s="54" t="str">
        <f>IF($C398="B",INDEX(Batters[[#All],[B]],MATCH(Table5[[#This Row],[PID]],Batters[[#All],[PID]],0)),INDEX(Table3[[#All],[B]],MATCH(Table5[[#This Row],[PID]],Table3[[#All],[PID]],0)))</f>
        <v>R</v>
      </c>
      <c r="I398" s="54" t="str">
        <f>IF($C398="B",INDEX(Batters[[#All],[T]],MATCH(Table5[[#This Row],[PID]],Batters[[#All],[PID]],0)),INDEX(Table3[[#All],[T]],MATCH(Table5[[#This Row],[PID]],Table3[[#All],[PID]],0)))</f>
        <v>R</v>
      </c>
      <c r="J398" s="54" t="str">
        <f>IF($C398="B",INDEX(Batters[[#All],[WE]],MATCH(Table5[[#This Row],[PID]],Batters[[#All],[PID]],0)),INDEX(Table3[[#All],[WE]],MATCH(Table5[[#This Row],[PID]],Table3[[#All],[PID]],0)))</f>
        <v>Low</v>
      </c>
      <c r="K398" s="54" t="str">
        <f>IF($C398="B",INDEX(Batters[[#All],[INT]],MATCH(Table5[[#This Row],[PID]],Batters[[#All],[PID]],0)),INDEX(Table3[[#All],[INT]],MATCH(Table5[[#This Row],[PID]],Table3[[#All],[PID]],0)))</f>
        <v>Normal</v>
      </c>
      <c r="L398" s="62">
        <f>IF($C398="B",INDEX(Batters[[#All],[CON P]],MATCH(Table5[[#This Row],[PID]],Batters[[#All],[PID]],0)),INDEX(Table3[[#All],[STU P]],MATCH(Table5[[#This Row],[PID]],Table3[[#All],[PID]],0)))</f>
        <v>5</v>
      </c>
      <c r="M398" s="58">
        <f>IF($C398="B",INDEX(Batters[[#All],[GAP P]],MATCH(Table5[[#This Row],[PID]],Batters[[#All],[PID]],0)),INDEX(Table3[[#All],[MOV P]],MATCH(Table5[[#This Row],[PID]],Table3[[#All],[PID]],0)))</f>
        <v>2</v>
      </c>
      <c r="N398" s="58">
        <f>IF($C398="B",INDEX(Batters[[#All],[POW P]],MATCH(Table5[[#This Row],[PID]],Batters[[#All],[PID]],0)),INDEX(Table3[[#All],[CON P]],MATCH(Table5[[#This Row],[PID]],Table3[[#All],[PID]],0)))</f>
        <v>2</v>
      </c>
      <c r="O398" s="58" t="str">
        <f>IF($C398="B",INDEX(Batters[[#All],[EYE P]],MATCH(Table5[[#This Row],[PID]],Batters[[#All],[PID]],0)),INDEX(Table3[[#All],[VELO]],MATCH(Table5[[#This Row],[PID]],Table3[[#All],[PID]],0)))</f>
        <v>86-88 Mph</v>
      </c>
      <c r="P398" s="58">
        <f>IF($C398="B",INDEX(Batters[[#All],[K P]],MATCH(Table5[[#This Row],[PID]],Batters[[#All],[PID]],0)),INDEX(Table3[[#All],[STM]],MATCH(Table5[[#This Row],[PID]],Table3[[#All],[PID]],0)))</f>
        <v>7</v>
      </c>
      <c r="Q398" s="63">
        <f>IF($C398="B",INDEX(Batters[[#All],[Tot]],MATCH(Table5[[#This Row],[PID]],Batters[[#All],[PID]],0)),INDEX(Table3[[#All],[Tot]],MATCH(Table5[[#This Row],[PID]],Table3[[#All],[PID]],0)))</f>
        <v>34.086383793424204</v>
      </c>
      <c r="R398" s="54">
        <f>IF($C398="B",INDEX(Batters[[#All],[zScore]],MATCH(Table5[[#This Row],[PID]],Batters[[#All],[PID]],0)),INDEX(Table3[[#All],[zScore]],MATCH(Table5[[#This Row],[PID]],Table3[[#All],[PID]],0)))</f>
        <v>0.12509682096629962</v>
      </c>
      <c r="S398" s="60" t="str">
        <f>IF($C398="B",INDEX(Batters[[#All],[DEM]],MATCH(Table5[[#This Row],[PID]],Batters[[#All],[PID]],0)),INDEX(Table3[[#All],[DEM]],MATCH(Table5[[#This Row],[PID]],Table3[[#All],[PID]],0)))</f>
        <v>$65k</v>
      </c>
      <c r="T398" s="64">
        <f>IF($C398="B",VLOOKUP($A398,Bat!$A$4:$AU$1417,46,FALSE),VLOOKUP($A398,Pit!$A$4:$BD$570,55,FALSE))</f>
        <v>0</v>
      </c>
      <c r="U398" s="52">
        <f>IF($C398="B",VLOOKUP($A398,Bat!$A$4:$BA$1417,47,FALSE),VLOOKUP($A398,Pit!$A$4:$BF$570,56,FALSE))</f>
        <v>0</v>
      </c>
      <c r="V398" s="52">
        <f>IF($C398="B",VLOOKUP($A398,Bat!$A$4:$BA$1417,48,FALSE),VLOOKUP($A398,Pit!$A$4:$BF$570,57,FALSE))</f>
        <v>0</v>
      </c>
      <c r="W398" s="52">
        <f>Table5[[#This Row],[posRnk]]+Table5[[#This Row],[zRnk]]+IF($W$3&lt;&gt;Table5[[#This Row],[Type]],50,0)</f>
        <v>444</v>
      </c>
      <c r="X398" s="53">
        <f>RANK(Table5[[#This Row],[zScore]],Table5[[#All],[zScore]])</f>
        <v>394</v>
      </c>
      <c r="Y398" s="52" t="str">
        <f>IFERROR(INDEX(DraftResults[[#All],[OVR]],MATCH(Table5[[#This Row],[PID]],DraftResults[[#All],[Player ID]],0)),"")</f>
        <v/>
      </c>
      <c r="Z3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8" s="52" t="str">
        <f>IFERROR(INDEX(DraftResults[[#All],[Pick in Round]],MATCH(Table5[[#This Row],[PID]],DraftResults[[#All],[Player ID]],0)),"")</f>
        <v/>
      </c>
      <c r="AB398" s="52" t="str">
        <f>IFERROR(INDEX(DraftResults[[#All],[Team Name]],MATCH(Table5[[#This Row],[PID]],DraftResults[[#All],[Player ID]],0)),"")</f>
        <v/>
      </c>
      <c r="AC398" s="52" t="str">
        <f>IF(Table5[[#This Row],[Ovr]]="","",IF(Table5[[#This Row],[cmbList]]="","",Table5[[#This Row],[cmbList]]-Table5[[#This Row],[Ovr]]))</f>
        <v/>
      </c>
      <c r="AD398" s="56" t="str">
        <f>IF(ISERROR(VLOOKUP($AB398&amp;"-"&amp;$E398&amp;" "&amp;F398,Bonuses!$B$1:$G$1006,4,FALSE)),"",INT(VLOOKUP($AB398&amp;"-"&amp;$E398&amp;" "&amp;$F398,Bonuses!$B$1:$G$1006,4,FALSE)))</f>
        <v/>
      </c>
      <c r="AE3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9" spans="1:31" s="52" customFormat="1" x14ac:dyDescent="0.25">
      <c r="A399" s="52">
        <v>6696</v>
      </c>
      <c r="B399" s="52">
        <f>COUNTIF(Table5[PID],A399)</f>
        <v>1</v>
      </c>
      <c r="C399" s="52" t="str">
        <f>IF(COUNTIF(Table3[[#All],[PID]],A399)&gt;0,"P","B")</f>
        <v>P</v>
      </c>
      <c r="D399" s="61" t="str">
        <f>IF($C399="B",INDEX(Batters[[#All],[POS]],MATCH(Table5[[#This Row],[PID]],Batters[[#All],[PID]],0)),INDEX(Table3[[#All],[POS]],MATCH(Table5[[#This Row],[PID]],Table3[[#All],[PID]],0)))</f>
        <v>RP</v>
      </c>
      <c r="E399" s="54" t="str">
        <f>IF($C399="B",INDEX(Batters[[#All],[First]],MATCH(Table5[[#This Row],[PID]],Batters[[#All],[PID]],0)),INDEX(Table3[[#All],[First]],MATCH(Table5[[#This Row],[PID]],Table3[[#All],[PID]],0)))</f>
        <v>Gerold</v>
      </c>
      <c r="F399" s="52" t="str">
        <f>IF($C399="B",INDEX(Batters[[#All],[Last]],MATCH(A399,Batters[[#All],[PID]],0)),INDEX(Table3[[#All],[Last]],MATCH(A399,Table3[[#All],[PID]],0)))</f>
        <v>Solleveld</v>
      </c>
      <c r="G399" s="58">
        <f>IF($C399="B",INDEX(Batters[[#All],[Age]],MATCH(Table5[[#This Row],[PID]],Batters[[#All],[PID]],0)),INDEX(Table3[[#All],[Age]],MATCH(Table5[[#This Row],[PID]],Table3[[#All],[PID]],0)))</f>
        <v>18</v>
      </c>
      <c r="H399" s="54" t="str">
        <f>IF($C399="B",INDEX(Batters[[#All],[B]],MATCH(Table5[[#This Row],[PID]],Batters[[#All],[PID]],0)),INDEX(Table3[[#All],[B]],MATCH(Table5[[#This Row],[PID]],Table3[[#All],[PID]],0)))</f>
        <v>R</v>
      </c>
      <c r="I399" s="54" t="str">
        <f>IF($C399="B",INDEX(Batters[[#All],[T]],MATCH(Table5[[#This Row],[PID]],Batters[[#All],[PID]],0)),INDEX(Table3[[#All],[T]],MATCH(Table5[[#This Row],[PID]],Table3[[#All],[PID]],0)))</f>
        <v>R</v>
      </c>
      <c r="J399" s="54" t="str">
        <f>IF($C399="B",INDEX(Batters[[#All],[WE]],MATCH(Table5[[#This Row],[PID]],Batters[[#All],[PID]],0)),INDEX(Table3[[#All],[WE]],MATCH(Table5[[#This Row],[PID]],Table3[[#All],[PID]],0)))</f>
        <v>Low</v>
      </c>
      <c r="K399" s="54" t="str">
        <f>IF($C399="B",INDEX(Batters[[#All],[INT]],MATCH(Table5[[#This Row],[PID]],Batters[[#All],[PID]],0)),INDEX(Table3[[#All],[INT]],MATCH(Table5[[#This Row],[PID]],Table3[[#All],[PID]],0)))</f>
        <v>Low</v>
      </c>
      <c r="L399" s="62">
        <f>IF($C399="B",INDEX(Batters[[#All],[CON P]],MATCH(Table5[[#This Row],[PID]],Batters[[#All],[PID]],0)),INDEX(Table3[[#All],[STU P]],MATCH(Table5[[#This Row],[PID]],Table3[[#All],[PID]],0)))</f>
        <v>5</v>
      </c>
      <c r="M399" s="58">
        <f>IF($C399="B",INDEX(Batters[[#All],[GAP P]],MATCH(Table5[[#This Row],[PID]],Batters[[#All],[PID]],0)),INDEX(Table3[[#All],[MOV P]],MATCH(Table5[[#This Row],[PID]],Table3[[#All],[PID]],0)))</f>
        <v>2</v>
      </c>
      <c r="N399" s="58">
        <f>IF($C399="B",INDEX(Batters[[#All],[POW P]],MATCH(Table5[[#This Row],[PID]],Batters[[#All],[PID]],0)),INDEX(Table3[[#All],[CON P]],MATCH(Table5[[#This Row],[PID]],Table3[[#All],[PID]],0)))</f>
        <v>2</v>
      </c>
      <c r="O399" s="58" t="str">
        <f>IF($C399="B",INDEX(Batters[[#All],[EYE P]],MATCH(Table5[[#This Row],[PID]],Batters[[#All],[PID]],0)),INDEX(Table3[[#All],[VELO]],MATCH(Table5[[#This Row],[PID]],Table3[[#All],[PID]],0)))</f>
        <v>93-95 Mph</v>
      </c>
      <c r="P399" s="58">
        <f>IF($C399="B",INDEX(Batters[[#All],[K P]],MATCH(Table5[[#This Row],[PID]],Batters[[#All],[PID]],0)),INDEX(Table3[[#All],[STM]],MATCH(Table5[[#This Row],[PID]],Table3[[#All],[PID]],0)))</f>
        <v>6</v>
      </c>
      <c r="Q399" s="63">
        <f>IF($C399="B",INDEX(Batters[[#All],[Tot]],MATCH(Table5[[#This Row],[PID]],Batters[[#All],[PID]],0)),INDEX(Table3[[#All],[Tot]],MATCH(Table5[[#This Row],[PID]],Table3[[#All],[PID]],0)))</f>
        <v>34.008923959549307</v>
      </c>
      <c r="R399" s="54">
        <f>IF($C399="B",INDEX(Batters[[#All],[zScore]],MATCH(Table5[[#This Row],[PID]],Batters[[#All],[PID]],0)),INDEX(Table3[[#All],[zScore]],MATCH(Table5[[#This Row],[PID]],Table3[[#All],[PID]],0)))</f>
        <v>0.11799342312968343</v>
      </c>
      <c r="S399" s="60" t="str">
        <f>IF($C399="B",INDEX(Batters[[#All],[DEM]],MATCH(Table5[[#This Row],[PID]],Batters[[#All],[PID]],0)),INDEX(Table3[[#All],[DEM]],MATCH(Table5[[#This Row],[PID]],Table3[[#All],[PID]],0)))</f>
        <v>$65k</v>
      </c>
      <c r="T399" s="64">
        <f>IF($C399="B",VLOOKUP($A399,Bat!$A$4:$AU$1417,46,FALSE),VLOOKUP($A399,Pit!$A$4:$BD$570,55,FALSE))</f>
        <v>0</v>
      </c>
      <c r="U399" s="52">
        <f>IF($C399="B",VLOOKUP($A399,Bat!$A$4:$BA$1417,47,FALSE),VLOOKUP($A399,Pit!$A$4:$BF$570,56,FALSE))</f>
        <v>0</v>
      </c>
      <c r="V399" s="52">
        <f>IF($C399="B",VLOOKUP($A399,Bat!$A$4:$BA$1417,48,FALSE),VLOOKUP($A399,Pit!$A$4:$BF$570,57,FALSE))</f>
        <v>0</v>
      </c>
      <c r="W399" s="52">
        <f>Table5[[#This Row],[posRnk]]+Table5[[#This Row],[zRnk]]+IF($W$3&lt;&gt;Table5[[#This Row],[Type]],50,0)</f>
        <v>445</v>
      </c>
      <c r="X399" s="53">
        <f>RANK(Table5[[#This Row],[zScore]],Table5[[#All],[zScore]])</f>
        <v>395</v>
      </c>
      <c r="Y399" s="52" t="str">
        <f>IFERROR(INDEX(DraftResults[[#All],[OVR]],MATCH(Table5[[#This Row],[PID]],DraftResults[[#All],[Player ID]],0)),"")</f>
        <v/>
      </c>
      <c r="Z3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9" s="52" t="str">
        <f>IFERROR(INDEX(DraftResults[[#All],[Pick in Round]],MATCH(Table5[[#This Row],[PID]],DraftResults[[#All],[Player ID]],0)),"")</f>
        <v/>
      </c>
      <c r="AB399" s="52" t="str">
        <f>IFERROR(INDEX(DraftResults[[#All],[Team Name]],MATCH(Table5[[#This Row],[PID]],DraftResults[[#All],[Player ID]],0)),"")</f>
        <v/>
      </c>
      <c r="AC399" s="52" t="str">
        <f>IF(Table5[[#This Row],[Ovr]]="","",IF(Table5[[#This Row],[cmbList]]="","",Table5[[#This Row],[cmbList]]-Table5[[#This Row],[Ovr]]))</f>
        <v/>
      </c>
      <c r="AD399" s="56" t="str">
        <f>IF(ISERROR(VLOOKUP($AB399&amp;"-"&amp;$E399&amp;" "&amp;F399,Bonuses!$B$1:$G$1006,4,FALSE)),"",INT(VLOOKUP($AB399&amp;"-"&amp;$E399&amp;" "&amp;$F399,Bonuses!$B$1:$G$1006,4,FALSE)))</f>
        <v/>
      </c>
      <c r="AE3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0" spans="1:31" s="52" customFormat="1" x14ac:dyDescent="0.25">
      <c r="A400" s="52">
        <v>6118</v>
      </c>
      <c r="B400" s="52">
        <f>COUNTIF(Table5[PID],A400)</f>
        <v>1</v>
      </c>
      <c r="C400" s="52" t="str">
        <f>IF(COUNTIF(Table3[[#All],[PID]],A400)&gt;0,"P","B")</f>
        <v>B</v>
      </c>
      <c r="D400" s="61" t="str">
        <f>IF($C400="B",INDEX(Batters[[#All],[POS]],MATCH(Table5[[#This Row],[PID]],Batters[[#All],[PID]],0)),INDEX(Table3[[#All],[POS]],MATCH(Table5[[#This Row],[PID]],Table3[[#All],[PID]],0)))</f>
        <v>3B</v>
      </c>
      <c r="E400" s="54" t="str">
        <f>IF($C400="B",INDEX(Batters[[#All],[First]],MATCH(Table5[[#This Row],[PID]],Batters[[#All],[PID]],0)),INDEX(Table3[[#All],[First]],MATCH(Table5[[#This Row],[PID]],Table3[[#All],[PID]],0)))</f>
        <v>Alfredo</v>
      </c>
      <c r="F400" s="52" t="str">
        <f>IF($C400="B",INDEX(Batters[[#All],[Last]],MATCH(A400,Batters[[#All],[PID]],0)),INDEX(Table3[[#All],[Last]],MATCH(A400,Table3[[#All],[PID]],0)))</f>
        <v>Soto</v>
      </c>
      <c r="G400" s="58">
        <f>IF($C400="B",INDEX(Batters[[#All],[Age]],MATCH(Table5[[#This Row],[PID]],Batters[[#All],[PID]],0)),INDEX(Table3[[#All],[Age]],MATCH(Table5[[#This Row],[PID]],Table3[[#All],[PID]],0)))</f>
        <v>18</v>
      </c>
      <c r="H400" s="54" t="str">
        <f>IF($C400="B",INDEX(Batters[[#All],[B]],MATCH(Table5[[#This Row],[PID]],Batters[[#All],[PID]],0)),INDEX(Table3[[#All],[B]],MATCH(Table5[[#This Row],[PID]],Table3[[#All],[PID]],0)))</f>
        <v>R</v>
      </c>
      <c r="I400" s="54" t="str">
        <f>IF($C400="B",INDEX(Batters[[#All],[T]],MATCH(Table5[[#This Row],[PID]],Batters[[#All],[PID]],0)),INDEX(Table3[[#All],[T]],MATCH(Table5[[#This Row],[PID]],Table3[[#All],[PID]],0)))</f>
        <v>R</v>
      </c>
      <c r="J400" s="54" t="str">
        <f>IF($C400="B",INDEX(Batters[[#All],[WE]],MATCH(Table5[[#This Row],[PID]],Batters[[#All],[PID]],0)),INDEX(Table3[[#All],[WE]],MATCH(Table5[[#This Row],[PID]],Table3[[#All],[PID]],0)))</f>
        <v>Low</v>
      </c>
      <c r="K400" s="54" t="str">
        <f>IF($C400="B",INDEX(Batters[[#All],[INT]],MATCH(Table5[[#This Row],[PID]],Batters[[#All],[PID]],0)),INDEX(Table3[[#All],[INT]],MATCH(Table5[[#This Row],[PID]],Table3[[#All],[PID]],0)))</f>
        <v>Normal</v>
      </c>
      <c r="L400" s="62">
        <f>IF($C400="B",INDEX(Batters[[#All],[CON P]],MATCH(Table5[[#This Row],[PID]],Batters[[#All],[PID]],0)),INDEX(Table3[[#All],[STU P]],MATCH(Table5[[#This Row],[PID]],Table3[[#All],[PID]],0)))</f>
        <v>3</v>
      </c>
      <c r="M400" s="58">
        <f>IF($C400="B",INDEX(Batters[[#All],[GAP P]],MATCH(Table5[[#This Row],[PID]],Batters[[#All],[PID]],0)),INDEX(Table3[[#All],[MOV P]],MATCH(Table5[[#This Row],[PID]],Table3[[#All],[PID]],0)))</f>
        <v>2</v>
      </c>
      <c r="N400" s="58">
        <f>IF($C400="B",INDEX(Batters[[#All],[POW P]],MATCH(Table5[[#This Row],[PID]],Batters[[#All],[PID]],0)),INDEX(Table3[[#All],[CON P]],MATCH(Table5[[#This Row],[PID]],Table3[[#All],[PID]],0)))</f>
        <v>5</v>
      </c>
      <c r="O400" s="58">
        <f>IF($C400="B",INDEX(Batters[[#All],[EYE P]],MATCH(Table5[[#This Row],[PID]],Batters[[#All],[PID]],0)),INDEX(Table3[[#All],[VELO]],MATCH(Table5[[#This Row],[PID]],Table3[[#All],[PID]],0)))</f>
        <v>4</v>
      </c>
      <c r="P400" s="58">
        <f>IF($C400="B",INDEX(Batters[[#All],[K P]],MATCH(Table5[[#This Row],[PID]],Batters[[#All],[PID]],0)),INDEX(Table3[[#All],[STM]],MATCH(Table5[[#This Row],[PID]],Table3[[#All],[PID]],0)))</f>
        <v>3</v>
      </c>
      <c r="Q400" s="63">
        <f>IF($C400="B",INDEX(Batters[[#All],[Tot]],MATCH(Table5[[#This Row],[PID]],Batters[[#All],[PID]],0)),INDEX(Table3[[#All],[Tot]],MATCH(Table5[[#This Row],[PID]],Table3[[#All],[PID]],0)))</f>
        <v>41.018697909879592</v>
      </c>
      <c r="R400" s="54">
        <f>IF($C400="B",INDEX(Batters[[#All],[zScore]],MATCH(Table5[[#This Row],[PID]],Batters[[#All],[PID]],0)),INDEX(Table3[[#All],[zScore]],MATCH(Table5[[#This Row],[PID]],Table3[[#All],[PID]],0)))</f>
        <v>0.11796131855645534</v>
      </c>
      <c r="S400" s="60" t="str">
        <f>IF($C400="B",INDEX(Batters[[#All],[DEM]],MATCH(Table5[[#This Row],[PID]],Batters[[#All],[PID]],0)),INDEX(Table3[[#All],[DEM]],MATCH(Table5[[#This Row],[PID]],Table3[[#All],[PID]],0)))</f>
        <v>$200k</v>
      </c>
      <c r="T400" s="64">
        <f>IF($C400="B",VLOOKUP($A400,Bat!$A$4:$AU$1417,46,FALSE),VLOOKUP($A400,Pit!$A$4:$BD$570,55,FALSE))</f>
        <v>0</v>
      </c>
      <c r="U400" s="52">
        <f>IF($C400="B",VLOOKUP($A400,Bat!$A$4:$BA$1417,47,FALSE),VLOOKUP($A400,Pit!$A$4:$BF$570,56,FALSE))</f>
        <v>0</v>
      </c>
      <c r="V400" s="52">
        <f>IF($C400="B",VLOOKUP($A400,Bat!$A$4:$BA$1417,48,FALSE),VLOOKUP($A400,Pit!$A$4:$BF$570,57,FALSE))</f>
        <v>0</v>
      </c>
      <c r="W400" s="52">
        <f>Table5[[#This Row],[posRnk]]+Table5[[#This Row],[zRnk]]+IF($W$3&lt;&gt;Table5[[#This Row],[Type]],50,0)</f>
        <v>446</v>
      </c>
      <c r="X400" s="53">
        <f>RANK(Table5[[#This Row],[zScore]],Table5[[#All],[zScore]])</f>
        <v>396</v>
      </c>
      <c r="Y400" s="52" t="str">
        <f>IFERROR(INDEX(DraftResults[[#All],[OVR]],MATCH(Table5[[#This Row],[PID]],DraftResults[[#All],[Player ID]],0)),"")</f>
        <v/>
      </c>
      <c r="Z4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0" s="52" t="str">
        <f>IFERROR(INDEX(DraftResults[[#All],[Pick in Round]],MATCH(Table5[[#This Row],[PID]],DraftResults[[#All],[Player ID]],0)),"")</f>
        <v/>
      </c>
      <c r="AB400" s="52" t="str">
        <f>IFERROR(INDEX(DraftResults[[#All],[Team Name]],MATCH(Table5[[#This Row],[PID]],DraftResults[[#All],[Player ID]],0)),"")</f>
        <v/>
      </c>
      <c r="AC400" s="52" t="str">
        <f>IF(Table5[[#This Row],[Ovr]]="","",IF(Table5[[#This Row],[cmbList]]="","",Table5[[#This Row],[cmbList]]-Table5[[#This Row],[Ovr]]))</f>
        <v/>
      </c>
      <c r="AD400" s="56" t="str">
        <f>IF(ISERROR(VLOOKUP($AB400&amp;"-"&amp;$E400&amp;" "&amp;F400,Bonuses!$B$1:$G$1006,4,FALSE)),"",INT(VLOOKUP($AB400&amp;"-"&amp;$E400&amp;" "&amp;$F400,Bonuses!$B$1:$G$1006,4,FALSE)))</f>
        <v/>
      </c>
      <c r="AE4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1" spans="1:31" s="52" customFormat="1" x14ac:dyDescent="0.25">
      <c r="A401" s="52">
        <v>11059</v>
      </c>
      <c r="B401" s="52">
        <f>COUNTIF(Table5[PID],A401)</f>
        <v>1</v>
      </c>
      <c r="C401" s="52" t="str">
        <f>IF(COUNTIF(Table3[[#All],[PID]],A401)&gt;0,"P","B")</f>
        <v>P</v>
      </c>
      <c r="D401" s="61" t="str">
        <f>IF($C401="B",INDEX(Batters[[#All],[POS]],MATCH(Table5[[#This Row],[PID]],Batters[[#All],[PID]],0)),INDEX(Table3[[#All],[POS]],MATCH(Table5[[#This Row],[PID]],Table3[[#All],[PID]],0)))</f>
        <v>RP</v>
      </c>
      <c r="E401" s="54" t="str">
        <f>IF($C401="B",INDEX(Batters[[#All],[First]],MATCH(Table5[[#This Row],[PID]],Batters[[#All],[PID]],0)),INDEX(Table3[[#All],[First]],MATCH(Table5[[#This Row],[PID]],Table3[[#All],[PID]],0)))</f>
        <v>Thomas</v>
      </c>
      <c r="F401" s="52" t="str">
        <f>IF($C401="B",INDEX(Batters[[#All],[Last]],MATCH(A401,Batters[[#All],[PID]],0)),INDEX(Table3[[#All],[Last]],MATCH(A401,Table3[[#All],[PID]],0)))</f>
        <v>Buchan</v>
      </c>
      <c r="G401" s="58">
        <f>IF($C401="B",INDEX(Batters[[#All],[Age]],MATCH(Table5[[#This Row],[PID]],Batters[[#All],[PID]],0)),INDEX(Table3[[#All],[Age]],MATCH(Table5[[#This Row],[PID]],Table3[[#All],[PID]],0)))</f>
        <v>18</v>
      </c>
      <c r="H401" s="54" t="str">
        <f>IF($C401="B",INDEX(Batters[[#All],[B]],MATCH(Table5[[#This Row],[PID]],Batters[[#All],[PID]],0)),INDEX(Table3[[#All],[B]],MATCH(Table5[[#This Row],[PID]],Table3[[#All],[PID]],0)))</f>
        <v>R</v>
      </c>
      <c r="I401" s="54" t="str">
        <f>IF($C401="B",INDEX(Batters[[#All],[T]],MATCH(Table5[[#This Row],[PID]],Batters[[#All],[PID]],0)),INDEX(Table3[[#All],[T]],MATCH(Table5[[#This Row],[PID]],Table3[[#All],[PID]],0)))</f>
        <v>R</v>
      </c>
      <c r="J401" s="54" t="str">
        <f>IF($C401="B",INDEX(Batters[[#All],[WE]],MATCH(Table5[[#This Row],[PID]],Batters[[#All],[PID]],0)),INDEX(Table3[[#All],[WE]],MATCH(Table5[[#This Row],[PID]],Table3[[#All],[PID]],0)))</f>
        <v>Normal</v>
      </c>
      <c r="K401" s="54" t="str">
        <f>IF($C401="B",INDEX(Batters[[#All],[INT]],MATCH(Table5[[#This Row],[PID]],Batters[[#All],[PID]],0)),INDEX(Table3[[#All],[INT]],MATCH(Table5[[#This Row],[PID]],Table3[[#All],[PID]],0)))</f>
        <v>Low</v>
      </c>
      <c r="L401" s="62">
        <f>IF($C401="B",INDEX(Batters[[#All],[CON P]],MATCH(Table5[[#This Row],[PID]],Batters[[#All],[PID]],0)),INDEX(Table3[[#All],[STU P]],MATCH(Table5[[#This Row],[PID]],Table3[[#All],[PID]],0)))</f>
        <v>5</v>
      </c>
      <c r="M401" s="58">
        <f>IF($C401="B",INDEX(Batters[[#All],[GAP P]],MATCH(Table5[[#This Row],[PID]],Batters[[#All],[PID]],0)),INDEX(Table3[[#All],[MOV P]],MATCH(Table5[[#This Row],[PID]],Table3[[#All],[PID]],0)))</f>
        <v>2</v>
      </c>
      <c r="N401" s="58">
        <f>IF($C401="B",INDEX(Batters[[#All],[POW P]],MATCH(Table5[[#This Row],[PID]],Batters[[#All],[PID]],0)),INDEX(Table3[[#All],[CON P]],MATCH(Table5[[#This Row],[PID]],Table3[[#All],[PID]],0)))</f>
        <v>2</v>
      </c>
      <c r="O401" s="58" t="str">
        <f>IF($C401="B",INDEX(Batters[[#All],[EYE P]],MATCH(Table5[[#This Row],[PID]],Batters[[#All],[PID]],0)),INDEX(Table3[[#All],[VELO]],MATCH(Table5[[#This Row],[PID]],Table3[[#All],[PID]],0)))</f>
        <v>93-95 Mph</v>
      </c>
      <c r="P401" s="58">
        <f>IF($C401="B",INDEX(Batters[[#All],[K P]],MATCH(Table5[[#This Row],[PID]],Batters[[#All],[PID]],0)),INDEX(Table3[[#All],[STM]],MATCH(Table5[[#This Row],[PID]],Table3[[#All],[PID]],0)))</f>
        <v>7</v>
      </c>
      <c r="Q401" s="63">
        <f>IF($C401="B",INDEX(Batters[[#All],[Tot]],MATCH(Table5[[#This Row],[PID]],Batters[[#All],[PID]],0)),INDEX(Table3[[#All],[Tot]],MATCH(Table5[[#This Row],[PID]],Table3[[#All],[PID]],0)))</f>
        <v>33.976933365192856</v>
      </c>
      <c r="R401" s="54">
        <f>IF($C401="B",INDEX(Batters[[#All],[zScore]],MATCH(Table5[[#This Row],[PID]],Batters[[#All],[PID]],0)),INDEX(Table3[[#All],[zScore]],MATCH(Table5[[#This Row],[PID]],Table3[[#All],[PID]],0)))</f>
        <v>0.11505974889652294</v>
      </c>
      <c r="S401" s="60" t="str">
        <f>IF($C401="B",INDEX(Batters[[#All],[DEM]],MATCH(Table5[[#This Row],[PID]],Batters[[#All],[PID]],0)),INDEX(Table3[[#All],[DEM]],MATCH(Table5[[#This Row],[PID]],Table3[[#All],[PID]],0)))</f>
        <v>$80k</v>
      </c>
      <c r="T401" s="64">
        <f>IF($C401="B",VLOOKUP($A401,Bat!$A$4:$AU$1417,46,FALSE),VLOOKUP($A401,Pit!$A$4:$BD$570,55,FALSE))</f>
        <v>0</v>
      </c>
      <c r="U401" s="52">
        <f>IF($C401="B",VLOOKUP($A401,Bat!$A$4:$BA$1417,47,FALSE),VLOOKUP($A401,Pit!$A$4:$BF$570,56,FALSE))</f>
        <v>0</v>
      </c>
      <c r="V401" s="52">
        <f>IF($C401="B",VLOOKUP($A401,Bat!$A$4:$BA$1417,48,FALSE),VLOOKUP($A401,Pit!$A$4:$BF$570,57,FALSE))</f>
        <v>0</v>
      </c>
      <c r="W401" s="52">
        <f>Table5[[#This Row],[posRnk]]+Table5[[#This Row],[zRnk]]+IF($W$3&lt;&gt;Table5[[#This Row],[Type]],50,0)</f>
        <v>447</v>
      </c>
      <c r="X401" s="53">
        <f>RANK(Table5[[#This Row],[zScore]],Table5[[#All],[zScore]])</f>
        <v>397</v>
      </c>
      <c r="Y401" s="52" t="str">
        <f>IFERROR(INDEX(DraftResults[[#All],[OVR]],MATCH(Table5[[#This Row],[PID]],DraftResults[[#All],[Player ID]],0)),"")</f>
        <v/>
      </c>
      <c r="Z4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1" s="52" t="str">
        <f>IFERROR(INDEX(DraftResults[[#All],[Pick in Round]],MATCH(Table5[[#This Row],[PID]],DraftResults[[#All],[Player ID]],0)),"")</f>
        <v/>
      </c>
      <c r="AB401" s="52" t="str">
        <f>IFERROR(INDEX(DraftResults[[#All],[Team Name]],MATCH(Table5[[#This Row],[PID]],DraftResults[[#All],[Player ID]],0)),"")</f>
        <v/>
      </c>
      <c r="AC401" s="52" t="str">
        <f>IF(Table5[[#This Row],[Ovr]]="","",IF(Table5[[#This Row],[cmbList]]="","",Table5[[#This Row],[cmbList]]-Table5[[#This Row],[Ovr]]))</f>
        <v/>
      </c>
      <c r="AD401" s="56" t="str">
        <f>IF(ISERROR(VLOOKUP($AB401&amp;"-"&amp;$E401&amp;" "&amp;F401,Bonuses!$B$1:$G$1006,4,FALSE)),"",INT(VLOOKUP($AB401&amp;"-"&amp;$E401&amp;" "&amp;$F401,Bonuses!$B$1:$G$1006,4,FALSE)))</f>
        <v/>
      </c>
      <c r="AE4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2" spans="1:31" s="52" customFormat="1" x14ac:dyDescent="0.25">
      <c r="A402" s="52">
        <v>17919</v>
      </c>
      <c r="B402" s="52">
        <f>COUNTIF(Table5[PID],A402)</f>
        <v>1</v>
      </c>
      <c r="C402" s="52" t="str">
        <f>IF(COUNTIF(Table3[[#All],[PID]],A402)&gt;0,"P","B")</f>
        <v>P</v>
      </c>
      <c r="D402" s="61" t="str">
        <f>IF($C402="B",INDEX(Batters[[#All],[POS]],MATCH(Table5[[#This Row],[PID]],Batters[[#All],[PID]],0)),INDEX(Table3[[#All],[POS]],MATCH(Table5[[#This Row],[PID]],Table3[[#All],[PID]],0)))</f>
        <v>SP</v>
      </c>
      <c r="E402" s="54" t="str">
        <f>IF($C402="B",INDEX(Batters[[#All],[First]],MATCH(Table5[[#This Row],[PID]],Batters[[#All],[PID]],0)),INDEX(Table3[[#All],[First]],MATCH(Table5[[#This Row],[PID]],Table3[[#All],[PID]],0)))</f>
        <v>Toyoharu</v>
      </c>
      <c r="F402" s="52" t="str">
        <f>IF($C402="B",INDEX(Batters[[#All],[Last]],MATCH(A402,Batters[[#All],[PID]],0)),INDEX(Table3[[#All],[Last]],MATCH(A402,Table3[[#All],[PID]],0)))</f>
        <v>Yamaguchi</v>
      </c>
      <c r="G402" s="58">
        <f>IF($C402="B",INDEX(Batters[[#All],[Age]],MATCH(Table5[[#This Row],[PID]],Batters[[#All],[PID]],0)),INDEX(Table3[[#All],[Age]],MATCH(Table5[[#This Row],[PID]],Table3[[#All],[PID]],0)))</f>
        <v>18</v>
      </c>
      <c r="H402" s="54" t="str">
        <f>IF($C402="B",INDEX(Batters[[#All],[B]],MATCH(Table5[[#This Row],[PID]],Batters[[#All],[PID]],0)),INDEX(Table3[[#All],[B]],MATCH(Table5[[#This Row],[PID]],Table3[[#All],[PID]],0)))</f>
        <v>S</v>
      </c>
      <c r="I402" s="54" t="str">
        <f>IF($C402="B",INDEX(Batters[[#All],[T]],MATCH(Table5[[#This Row],[PID]],Batters[[#All],[PID]],0)),INDEX(Table3[[#All],[T]],MATCH(Table5[[#This Row],[PID]],Table3[[#All],[PID]],0)))</f>
        <v>L</v>
      </c>
      <c r="J402" s="54" t="str">
        <f>IF($C402="B",INDEX(Batters[[#All],[WE]],MATCH(Table5[[#This Row],[PID]],Batters[[#All],[PID]],0)),INDEX(Table3[[#All],[WE]],MATCH(Table5[[#This Row],[PID]],Table3[[#All],[PID]],0)))</f>
        <v>Normal</v>
      </c>
      <c r="K402" s="54" t="str">
        <f>IF($C402="B",INDEX(Batters[[#All],[INT]],MATCH(Table5[[#This Row],[PID]],Batters[[#All],[PID]],0)),INDEX(Table3[[#All],[INT]],MATCH(Table5[[#This Row],[PID]],Table3[[#All],[PID]],0)))</f>
        <v>High</v>
      </c>
      <c r="L402" s="62">
        <f>IF($C402="B",INDEX(Batters[[#All],[CON P]],MATCH(Table5[[#This Row],[PID]],Batters[[#All],[PID]],0)),INDEX(Table3[[#All],[STU P]],MATCH(Table5[[#This Row],[PID]],Table3[[#All],[PID]],0)))</f>
        <v>4</v>
      </c>
      <c r="M402" s="58">
        <f>IF($C402="B",INDEX(Batters[[#All],[GAP P]],MATCH(Table5[[#This Row],[PID]],Batters[[#All],[PID]],0)),INDEX(Table3[[#All],[MOV P]],MATCH(Table5[[#This Row],[PID]],Table3[[#All],[PID]],0)))</f>
        <v>2</v>
      </c>
      <c r="N402" s="58">
        <f>IF($C402="B",INDEX(Batters[[#All],[POW P]],MATCH(Table5[[#This Row],[PID]],Batters[[#All],[PID]],0)),INDEX(Table3[[#All],[CON P]],MATCH(Table5[[#This Row],[PID]],Table3[[#All],[PID]],0)))</f>
        <v>3</v>
      </c>
      <c r="O402" s="58" t="str">
        <f>IF($C402="B",INDEX(Batters[[#All],[EYE P]],MATCH(Table5[[#This Row],[PID]],Batters[[#All],[PID]],0)),INDEX(Table3[[#All],[VELO]],MATCH(Table5[[#This Row],[PID]],Table3[[#All],[PID]],0)))</f>
        <v>88-90 Mph</v>
      </c>
      <c r="P402" s="58">
        <f>IF($C402="B",INDEX(Batters[[#All],[K P]],MATCH(Table5[[#This Row],[PID]],Batters[[#All],[PID]],0)),INDEX(Table3[[#All],[STM]],MATCH(Table5[[#This Row],[PID]],Table3[[#All],[PID]],0)))</f>
        <v>5</v>
      </c>
      <c r="Q402" s="63">
        <f>IF($C402="B",INDEX(Batters[[#All],[Tot]],MATCH(Table5[[#This Row],[PID]],Batters[[#All],[PID]],0)),INDEX(Table3[[#All],[Tot]],MATCH(Table5[[#This Row],[PID]],Table3[[#All],[PID]],0)))</f>
        <v>33.932887787587944</v>
      </c>
      <c r="R402" s="54">
        <f>IF($C402="B",INDEX(Batters[[#All],[zScore]],MATCH(Table5[[#This Row],[PID]],Batters[[#All],[PID]],0)),INDEX(Table3[[#All],[zScore]],MATCH(Table5[[#This Row],[PID]],Table3[[#All],[PID]],0)))</f>
        <v>0.11102058117539726</v>
      </c>
      <c r="S402" s="60" t="str">
        <f>IF($C402="B",INDEX(Batters[[#All],[DEM]],MATCH(Table5[[#This Row],[PID]],Batters[[#All],[PID]],0)),INDEX(Table3[[#All],[DEM]],MATCH(Table5[[#This Row],[PID]],Table3[[#All],[PID]],0)))</f>
        <v>$95k</v>
      </c>
      <c r="T402" s="64">
        <f>IF($C402="B",VLOOKUP($A402,Bat!$A$4:$AU$1417,46,FALSE),VLOOKUP($A402,Pit!$A$4:$BD$570,55,FALSE))</f>
        <v>0</v>
      </c>
      <c r="U402" s="52">
        <f>IF($C402="B",VLOOKUP($A402,Bat!$A$4:$BA$1417,47,FALSE),VLOOKUP($A402,Pit!$A$4:$BF$570,56,FALSE))</f>
        <v>0</v>
      </c>
      <c r="V402" s="52">
        <f>IF($C402="B",VLOOKUP($A402,Bat!$A$4:$BA$1417,48,FALSE),VLOOKUP($A402,Pit!$A$4:$BF$570,57,FALSE))</f>
        <v>0</v>
      </c>
      <c r="W402" s="52">
        <f>Table5[[#This Row],[posRnk]]+Table5[[#This Row],[zRnk]]+IF($W$3&lt;&gt;Table5[[#This Row],[Type]],50,0)</f>
        <v>448</v>
      </c>
      <c r="X402" s="53">
        <f>RANK(Table5[[#This Row],[zScore]],Table5[[#All],[zScore]])</f>
        <v>398</v>
      </c>
      <c r="Y402" s="52" t="str">
        <f>IFERROR(INDEX(DraftResults[[#All],[OVR]],MATCH(Table5[[#This Row],[PID]],DraftResults[[#All],[Player ID]],0)),"")</f>
        <v/>
      </c>
      <c r="Z4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2" s="52" t="str">
        <f>IFERROR(INDEX(DraftResults[[#All],[Pick in Round]],MATCH(Table5[[#This Row],[PID]],DraftResults[[#All],[Player ID]],0)),"")</f>
        <v/>
      </c>
      <c r="AB402" s="52" t="str">
        <f>IFERROR(INDEX(DraftResults[[#All],[Team Name]],MATCH(Table5[[#This Row],[PID]],DraftResults[[#All],[Player ID]],0)),"")</f>
        <v/>
      </c>
      <c r="AC402" s="52" t="str">
        <f>IF(Table5[[#This Row],[Ovr]]="","",IF(Table5[[#This Row],[cmbList]]="","",Table5[[#This Row],[cmbList]]-Table5[[#This Row],[Ovr]]))</f>
        <v/>
      </c>
      <c r="AD402" s="56" t="str">
        <f>IF(ISERROR(VLOOKUP($AB402&amp;"-"&amp;$E402&amp;" "&amp;F402,Bonuses!$B$1:$G$1006,4,FALSE)),"",INT(VLOOKUP($AB402&amp;"-"&amp;$E402&amp;" "&amp;$F402,Bonuses!$B$1:$G$1006,4,FALSE)))</f>
        <v/>
      </c>
      <c r="AE4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3" spans="1:31" s="52" customFormat="1" x14ac:dyDescent="0.25">
      <c r="A403" s="52">
        <v>5072</v>
      </c>
      <c r="B403" s="57">
        <f>COUNTIF(Table5[PID],A403)</f>
        <v>1</v>
      </c>
      <c r="C403" s="57" t="str">
        <f>IF(COUNTIF(Table3[[#All],[PID]],A403)&gt;0,"P","B")</f>
        <v>B</v>
      </c>
      <c r="D403" s="61" t="str">
        <f>IF($C403="B",INDEX(Batters[[#All],[POS]],MATCH(Table5[[#This Row],[PID]],Batters[[#All],[PID]],0)),INDEX(Table3[[#All],[POS]],MATCH(Table5[[#This Row],[PID]],Table3[[#All],[PID]],0)))</f>
        <v>SS</v>
      </c>
      <c r="E403" s="54" t="str">
        <f>IF($C403="B",INDEX(Batters[[#All],[First]],MATCH(Table5[[#This Row],[PID]],Batters[[#All],[PID]],0)),INDEX(Table3[[#All],[First]],MATCH(Table5[[#This Row],[PID]],Table3[[#All],[PID]],0)))</f>
        <v>Ramón</v>
      </c>
      <c r="F403" s="52" t="str">
        <f>IF($C403="B",INDEX(Batters[[#All],[Last]],MATCH(A403,Batters[[#All],[PID]],0)),INDEX(Table3[[#All],[Last]],MATCH(A403,Table3[[#All],[PID]],0)))</f>
        <v>Hernández</v>
      </c>
      <c r="G403" s="58">
        <f>IF($C403="B",INDEX(Batters[[#All],[Age]],MATCH(Table5[[#This Row],[PID]],Batters[[#All],[PID]],0)),INDEX(Table3[[#All],[Age]],MATCH(Table5[[#This Row],[PID]],Table3[[#All],[PID]],0)))</f>
        <v>18</v>
      </c>
      <c r="H403" s="54" t="str">
        <f>IF($C403="B",INDEX(Batters[[#All],[B]],MATCH(Table5[[#This Row],[PID]],Batters[[#All],[PID]],0)),INDEX(Table3[[#All],[B]],MATCH(Table5[[#This Row],[PID]],Table3[[#All],[PID]],0)))</f>
        <v>R</v>
      </c>
      <c r="I403" s="54" t="str">
        <f>IF($C403="B",INDEX(Batters[[#All],[T]],MATCH(Table5[[#This Row],[PID]],Batters[[#All],[PID]],0)),INDEX(Table3[[#All],[T]],MATCH(Table5[[#This Row],[PID]],Table3[[#All],[PID]],0)))</f>
        <v>R</v>
      </c>
      <c r="J403" s="54" t="str">
        <f>IF($C403="B",INDEX(Batters[[#All],[WE]],MATCH(Table5[[#This Row],[PID]],Batters[[#All],[PID]],0)),INDEX(Table3[[#All],[WE]],MATCH(Table5[[#This Row],[PID]],Table3[[#All],[PID]],0)))</f>
        <v>Normal</v>
      </c>
      <c r="K403" s="54" t="str">
        <f>IF($C403="B",INDEX(Batters[[#All],[INT]],MATCH(Table5[[#This Row],[PID]],Batters[[#All],[PID]],0)),INDEX(Table3[[#All],[INT]],MATCH(Table5[[#This Row],[PID]],Table3[[#All],[PID]],0)))</f>
        <v>Normal</v>
      </c>
      <c r="L403" s="62">
        <f>IF($C403="B",INDEX(Batters[[#All],[CON P]],MATCH(Table5[[#This Row],[PID]],Batters[[#All],[PID]],0)),INDEX(Table3[[#All],[STU P]],MATCH(Table5[[#This Row],[PID]],Table3[[#All],[PID]],0)))</f>
        <v>3</v>
      </c>
      <c r="M403" s="58">
        <f>IF($C403="B",INDEX(Batters[[#All],[GAP P]],MATCH(Table5[[#This Row],[PID]],Batters[[#All],[PID]],0)),INDEX(Table3[[#All],[MOV P]],MATCH(Table5[[#This Row],[PID]],Table3[[#All],[PID]],0)))</f>
        <v>5</v>
      </c>
      <c r="N403" s="58">
        <f>IF($C403="B",INDEX(Batters[[#All],[POW P]],MATCH(Table5[[#This Row],[PID]],Batters[[#All],[PID]],0)),INDEX(Table3[[#All],[CON P]],MATCH(Table5[[#This Row],[PID]],Table3[[#All],[PID]],0)))</f>
        <v>2</v>
      </c>
      <c r="O403" s="58">
        <f>IF($C403="B",INDEX(Batters[[#All],[EYE P]],MATCH(Table5[[#This Row],[PID]],Batters[[#All],[PID]],0)),INDEX(Table3[[#All],[VELO]],MATCH(Table5[[#This Row],[PID]],Table3[[#All],[PID]],0)))</f>
        <v>3</v>
      </c>
      <c r="P403" s="58">
        <f>IF($C403="B",INDEX(Batters[[#All],[K P]],MATCH(Table5[[#This Row],[PID]],Batters[[#All],[PID]],0)),INDEX(Table3[[#All],[STM]],MATCH(Table5[[#This Row],[PID]],Table3[[#All],[PID]],0)))</f>
        <v>4</v>
      </c>
      <c r="Q403" s="63">
        <f>IF($C403="B",INDEX(Batters[[#All],[Tot]],MATCH(Table5[[#This Row],[PID]],Batters[[#All],[PID]],0)),INDEX(Table3[[#All],[Tot]],MATCH(Table5[[#This Row],[PID]],Table3[[#All],[PID]],0)))</f>
        <v>40.97109555759274</v>
      </c>
      <c r="R403" s="54">
        <f>IF($C403="B",INDEX(Batters[[#All],[zScore]],MATCH(Table5[[#This Row],[PID]],Batters[[#All],[PID]],0)),INDEX(Table3[[#All],[zScore]],MATCH(Table5[[#This Row],[PID]],Table3[[#All],[PID]],0)))</f>
        <v>0.10958600105125858</v>
      </c>
      <c r="S403" s="60" t="str">
        <f>IF($C403="B",INDEX(Batters[[#All],[DEM]],MATCH(Table5[[#This Row],[PID]],Batters[[#All],[PID]],0)),INDEX(Table3[[#All],[DEM]],MATCH(Table5[[#This Row],[PID]],Table3[[#All],[PID]],0)))</f>
        <v>$240k</v>
      </c>
      <c r="T403" s="64">
        <f>IF($C403="B",VLOOKUP($A403,Bat!$A$4:$AU$1417,46,FALSE),VLOOKUP($A403,Pit!$A$4:$BD$570,55,FALSE))</f>
        <v>0</v>
      </c>
      <c r="U403" s="52">
        <f>IF($C403="B",VLOOKUP($A403,Bat!$A$4:$BA$1417,47,FALSE),VLOOKUP($A403,Pit!$A$4:$BF$570,56,FALSE))</f>
        <v>0</v>
      </c>
      <c r="V403" s="52">
        <f>IF($C403="B",VLOOKUP($A403,Bat!$A$4:$BA$1417,48,FALSE),VLOOKUP($A403,Pit!$A$4:$BF$570,57,FALSE))</f>
        <v>0</v>
      </c>
      <c r="W403" s="52">
        <f>Table5[[#This Row],[posRnk]]+Table5[[#This Row],[zRnk]]+IF($W$3&lt;&gt;Table5[[#This Row],[Type]],50,0)</f>
        <v>449</v>
      </c>
      <c r="X403" s="53">
        <f>RANK(Table5[[#This Row],[zScore]],Table5[[#All],[zScore]])</f>
        <v>399</v>
      </c>
      <c r="Y403" s="52" t="str">
        <f>IFERROR(INDEX(DraftResults[[#All],[OVR]],MATCH(Table5[[#This Row],[PID]],DraftResults[[#All],[Player ID]],0)),"")</f>
        <v/>
      </c>
      <c r="Z4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3" s="52" t="str">
        <f>IFERROR(INDEX(DraftResults[[#All],[Pick in Round]],MATCH(Table5[[#This Row],[PID]],DraftResults[[#All],[Player ID]],0)),"")</f>
        <v/>
      </c>
      <c r="AB403" s="52" t="str">
        <f>IFERROR(INDEX(DraftResults[[#All],[Team Name]],MATCH(Table5[[#This Row],[PID]],DraftResults[[#All],[Player ID]],0)),"")</f>
        <v/>
      </c>
      <c r="AC403" s="52" t="str">
        <f>IF(Table5[[#This Row],[Ovr]]="","",IF(Table5[[#This Row],[cmbList]]="","",Table5[[#This Row],[cmbList]]-Table5[[#This Row],[Ovr]]))</f>
        <v/>
      </c>
      <c r="AD403" s="56" t="str">
        <f>IF(ISERROR(VLOOKUP($AB403&amp;"-"&amp;$E403&amp;" "&amp;F403,Bonuses!$B$1:$G$1006,4,FALSE)),"",INT(VLOOKUP($AB403&amp;"-"&amp;$E403&amp;" "&amp;$F403,Bonuses!$B$1:$G$1006,4,FALSE)))</f>
        <v/>
      </c>
      <c r="AE4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4" spans="1:31" s="52" customFormat="1" x14ac:dyDescent="0.25">
      <c r="A404" s="52">
        <v>7550</v>
      </c>
      <c r="B404" s="57">
        <f>COUNTIF(Table5[PID],A404)</f>
        <v>1</v>
      </c>
      <c r="C404" s="57" t="str">
        <f>IF(COUNTIF(Table3[[#All],[PID]],A404)&gt;0,"P","B")</f>
        <v>B</v>
      </c>
      <c r="D404" s="61" t="str">
        <f>IF($C404="B",INDEX(Batters[[#All],[POS]],MATCH(Table5[[#This Row],[PID]],Batters[[#All],[PID]],0)),INDEX(Table3[[#All],[POS]],MATCH(Table5[[#This Row],[PID]],Table3[[#All],[PID]],0)))</f>
        <v>RF</v>
      </c>
      <c r="E404" s="54" t="str">
        <f>IF($C404="B",INDEX(Batters[[#All],[First]],MATCH(Table5[[#This Row],[PID]],Batters[[#All],[PID]],0)),INDEX(Table3[[#All],[First]],MATCH(Table5[[#This Row],[PID]],Table3[[#All],[PID]],0)))</f>
        <v>Ralph</v>
      </c>
      <c r="F404" s="52" t="str">
        <f>IF($C404="B",INDEX(Batters[[#All],[Last]],MATCH(A404,Batters[[#All],[PID]],0)),INDEX(Table3[[#All],[Last]],MATCH(A404,Table3[[#All],[PID]],0)))</f>
        <v>Clark</v>
      </c>
      <c r="G404" s="58">
        <f>IF($C404="B",INDEX(Batters[[#All],[Age]],MATCH(Table5[[#This Row],[PID]],Batters[[#All],[PID]],0)),INDEX(Table3[[#All],[Age]],MATCH(Table5[[#This Row],[PID]],Table3[[#All],[PID]],0)))</f>
        <v>18</v>
      </c>
      <c r="H404" s="54" t="str">
        <f>IF($C404="B",INDEX(Batters[[#All],[B]],MATCH(Table5[[#This Row],[PID]],Batters[[#All],[PID]],0)),INDEX(Table3[[#All],[B]],MATCH(Table5[[#This Row],[PID]],Table3[[#All],[PID]],0)))</f>
        <v>L</v>
      </c>
      <c r="I404" s="54" t="str">
        <f>IF($C404="B",INDEX(Batters[[#All],[T]],MATCH(Table5[[#This Row],[PID]],Batters[[#All],[PID]],0)),INDEX(Table3[[#All],[T]],MATCH(Table5[[#This Row],[PID]],Table3[[#All],[PID]],0)))</f>
        <v>L</v>
      </c>
      <c r="J404" s="54" t="str">
        <f>IF($C404="B",INDEX(Batters[[#All],[WE]],MATCH(Table5[[#This Row],[PID]],Batters[[#All],[PID]],0)),INDEX(Table3[[#All],[WE]],MATCH(Table5[[#This Row],[PID]],Table3[[#All],[PID]],0)))</f>
        <v>Normal</v>
      </c>
      <c r="K404" s="54" t="str">
        <f>IF($C404="B",INDEX(Batters[[#All],[INT]],MATCH(Table5[[#This Row],[PID]],Batters[[#All],[PID]],0)),INDEX(Table3[[#All],[INT]],MATCH(Table5[[#This Row],[PID]],Table3[[#All],[PID]],0)))</f>
        <v>Low</v>
      </c>
      <c r="L404" s="62">
        <f>IF($C404="B",INDEX(Batters[[#All],[CON P]],MATCH(Table5[[#This Row],[PID]],Batters[[#All],[PID]],0)),INDEX(Table3[[#All],[STU P]],MATCH(Table5[[#This Row],[PID]],Table3[[#All],[PID]],0)))</f>
        <v>3</v>
      </c>
      <c r="M404" s="58">
        <f>IF($C404="B",INDEX(Batters[[#All],[GAP P]],MATCH(Table5[[#This Row],[PID]],Batters[[#All],[PID]],0)),INDEX(Table3[[#All],[MOV P]],MATCH(Table5[[#This Row],[PID]],Table3[[#All],[PID]],0)))</f>
        <v>5</v>
      </c>
      <c r="N404" s="58">
        <f>IF($C404="B",INDEX(Batters[[#All],[POW P]],MATCH(Table5[[#This Row],[PID]],Batters[[#All],[PID]],0)),INDEX(Table3[[#All],[CON P]],MATCH(Table5[[#This Row],[PID]],Table3[[#All],[PID]],0)))</f>
        <v>3</v>
      </c>
      <c r="O404" s="58">
        <f>IF($C404="B",INDEX(Batters[[#All],[EYE P]],MATCH(Table5[[#This Row],[PID]],Batters[[#All],[PID]],0)),INDEX(Table3[[#All],[VELO]],MATCH(Table5[[#This Row],[PID]],Table3[[#All],[PID]],0)))</f>
        <v>3</v>
      </c>
      <c r="P404" s="58">
        <f>IF($C404="B",INDEX(Batters[[#All],[K P]],MATCH(Table5[[#This Row],[PID]],Batters[[#All],[PID]],0)),INDEX(Table3[[#All],[STM]],MATCH(Table5[[#This Row],[PID]],Table3[[#All],[PID]],0)))</f>
        <v>5</v>
      </c>
      <c r="Q404" s="63">
        <f>IF($C404="B",INDEX(Batters[[#All],[Tot]],MATCH(Table5[[#This Row],[PID]],Batters[[#All],[PID]],0)),INDEX(Table3[[#All],[Tot]],MATCH(Table5[[#This Row],[PID]],Table3[[#All],[PID]],0)))</f>
        <v>40.926894530723644</v>
      </c>
      <c r="R404" s="54">
        <f>IF($C404="B",INDEX(Batters[[#All],[zScore]],MATCH(Table5[[#This Row],[PID]],Batters[[#All],[PID]],0)),INDEX(Table3[[#All],[zScore]],MATCH(Table5[[#This Row],[PID]],Table3[[#All],[PID]],0)))</f>
        <v>0.10180912414707524</v>
      </c>
      <c r="S404" s="60" t="str">
        <f>IF($C404="B",INDEX(Batters[[#All],[DEM]],MATCH(Table5[[#This Row],[PID]],Batters[[#All],[PID]],0)),INDEX(Table3[[#All],[DEM]],MATCH(Table5[[#This Row],[PID]],Table3[[#All],[PID]],0)))</f>
        <v>$65k</v>
      </c>
      <c r="T404" s="64">
        <f>IF($C404="B",VLOOKUP($A404,Bat!$A$4:$AU$1417,46,FALSE),VLOOKUP($A404,Pit!$A$4:$BD$570,55,FALSE))</f>
        <v>0</v>
      </c>
      <c r="U404" s="52">
        <f>IF($C404="B",VLOOKUP($A404,Bat!$A$4:$BA$1417,47,FALSE),VLOOKUP($A404,Pit!$A$4:$BF$570,56,FALSE))</f>
        <v>0</v>
      </c>
      <c r="V404" s="52">
        <f>IF($C404="B",VLOOKUP($A404,Bat!$A$4:$BA$1417,48,FALSE),VLOOKUP($A404,Pit!$A$4:$BF$570,57,FALSE))</f>
        <v>0</v>
      </c>
      <c r="W404" s="52">
        <f>Table5[[#This Row],[posRnk]]+Table5[[#This Row],[zRnk]]+IF($W$3&lt;&gt;Table5[[#This Row],[Type]],50,0)</f>
        <v>450</v>
      </c>
      <c r="X404" s="53">
        <f>RANK(Table5[[#This Row],[zScore]],Table5[[#All],[zScore]])</f>
        <v>400</v>
      </c>
      <c r="Y404" s="52" t="str">
        <f>IFERROR(INDEX(DraftResults[[#All],[OVR]],MATCH(Table5[[#This Row],[PID]],DraftResults[[#All],[Player ID]],0)),"")</f>
        <v/>
      </c>
      <c r="Z4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4" s="52" t="str">
        <f>IFERROR(INDEX(DraftResults[[#All],[Pick in Round]],MATCH(Table5[[#This Row],[PID]],DraftResults[[#All],[Player ID]],0)),"")</f>
        <v/>
      </c>
      <c r="AB404" s="52" t="str">
        <f>IFERROR(INDEX(DraftResults[[#All],[Team Name]],MATCH(Table5[[#This Row],[PID]],DraftResults[[#All],[Player ID]],0)),"")</f>
        <v/>
      </c>
      <c r="AC404" s="52" t="str">
        <f>IF(Table5[[#This Row],[Ovr]]="","",IF(Table5[[#This Row],[cmbList]]="","",Table5[[#This Row],[cmbList]]-Table5[[#This Row],[Ovr]]))</f>
        <v/>
      </c>
      <c r="AD404" s="56" t="str">
        <f>IF(ISERROR(VLOOKUP($AB404&amp;"-"&amp;$E404&amp;" "&amp;F404,Bonuses!$B$1:$G$1006,4,FALSE)),"",INT(VLOOKUP($AB404&amp;"-"&amp;$E404&amp;" "&amp;$F404,Bonuses!$B$1:$G$1006,4,FALSE)))</f>
        <v/>
      </c>
      <c r="AE4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5" spans="1:31" s="52" customFormat="1" x14ac:dyDescent="0.25">
      <c r="A405" s="52">
        <v>7082</v>
      </c>
      <c r="B405" s="52">
        <f>COUNTIF(Table5[PID],A405)</f>
        <v>1</v>
      </c>
      <c r="C405" s="52" t="str">
        <f>IF(COUNTIF(Table3[[#All],[PID]],A405)&gt;0,"P","B")</f>
        <v>B</v>
      </c>
      <c r="D405" s="61" t="str">
        <f>IF($C405="B",INDEX(Batters[[#All],[POS]],MATCH(Table5[[#This Row],[PID]],Batters[[#All],[PID]],0)),INDEX(Table3[[#All],[POS]],MATCH(Table5[[#This Row],[PID]],Table3[[#All],[PID]],0)))</f>
        <v>1B</v>
      </c>
      <c r="E405" s="54" t="str">
        <f>IF($C405="B",INDEX(Batters[[#All],[First]],MATCH(Table5[[#This Row],[PID]],Batters[[#All],[PID]],0)),INDEX(Table3[[#All],[First]],MATCH(Table5[[#This Row],[PID]],Table3[[#All],[PID]],0)))</f>
        <v>Terry</v>
      </c>
      <c r="F405" s="52" t="str">
        <f>IF($C405="B",INDEX(Batters[[#All],[Last]],MATCH(A405,Batters[[#All],[PID]],0)),INDEX(Table3[[#All],[Last]],MATCH(A405,Table3[[#All],[PID]],0)))</f>
        <v>Frost</v>
      </c>
      <c r="G405" s="58">
        <f>IF($C405="B",INDEX(Batters[[#All],[Age]],MATCH(Table5[[#This Row],[PID]],Batters[[#All],[PID]],0)),INDEX(Table3[[#All],[Age]],MATCH(Table5[[#This Row],[PID]],Table3[[#All],[PID]],0)))</f>
        <v>21</v>
      </c>
      <c r="H405" s="54" t="str">
        <f>IF($C405="B",INDEX(Batters[[#All],[B]],MATCH(Table5[[#This Row],[PID]],Batters[[#All],[PID]],0)),INDEX(Table3[[#All],[B]],MATCH(Table5[[#This Row],[PID]],Table3[[#All],[PID]],0)))</f>
        <v>S</v>
      </c>
      <c r="I405" s="54" t="str">
        <f>IF($C405="B",INDEX(Batters[[#All],[T]],MATCH(Table5[[#This Row],[PID]],Batters[[#All],[PID]],0)),INDEX(Table3[[#All],[T]],MATCH(Table5[[#This Row],[PID]],Table3[[#All],[PID]],0)))</f>
        <v>R</v>
      </c>
      <c r="J405" s="54" t="str">
        <f>IF($C405="B",INDEX(Batters[[#All],[WE]],MATCH(Table5[[#This Row],[PID]],Batters[[#All],[PID]],0)),INDEX(Table3[[#All],[WE]],MATCH(Table5[[#This Row],[PID]],Table3[[#All],[PID]],0)))</f>
        <v>Normal</v>
      </c>
      <c r="K405" s="54" t="str">
        <f>IF($C405="B",INDEX(Batters[[#All],[INT]],MATCH(Table5[[#This Row],[PID]],Batters[[#All],[PID]],0)),INDEX(Table3[[#All],[INT]],MATCH(Table5[[#This Row],[PID]],Table3[[#All],[PID]],0)))</f>
        <v>Normal</v>
      </c>
      <c r="L405" s="62">
        <f>IF($C405="B",INDEX(Batters[[#All],[CON P]],MATCH(Table5[[#This Row],[PID]],Batters[[#All],[PID]],0)),INDEX(Table3[[#All],[STU P]],MATCH(Table5[[#This Row],[PID]],Table3[[#All],[PID]],0)))</f>
        <v>3</v>
      </c>
      <c r="M405" s="58">
        <f>IF($C405="B",INDEX(Batters[[#All],[GAP P]],MATCH(Table5[[#This Row],[PID]],Batters[[#All],[PID]],0)),INDEX(Table3[[#All],[MOV P]],MATCH(Table5[[#This Row],[PID]],Table3[[#All],[PID]],0)))</f>
        <v>5</v>
      </c>
      <c r="N405" s="58">
        <f>IF($C405="B",INDEX(Batters[[#All],[POW P]],MATCH(Table5[[#This Row],[PID]],Batters[[#All],[PID]],0)),INDEX(Table3[[#All],[CON P]],MATCH(Table5[[#This Row],[PID]],Table3[[#All],[PID]],0)))</f>
        <v>6</v>
      </c>
      <c r="O405" s="58">
        <f>IF($C405="B",INDEX(Batters[[#All],[EYE P]],MATCH(Table5[[#This Row],[PID]],Batters[[#All],[PID]],0)),INDEX(Table3[[#All],[VELO]],MATCH(Table5[[#This Row],[PID]],Table3[[#All],[PID]],0)))</f>
        <v>6</v>
      </c>
      <c r="P405" s="58">
        <f>IF($C405="B",INDEX(Batters[[#All],[K P]],MATCH(Table5[[#This Row],[PID]],Batters[[#All],[PID]],0)),INDEX(Table3[[#All],[STM]],MATCH(Table5[[#This Row],[PID]],Table3[[#All],[PID]],0)))</f>
        <v>2</v>
      </c>
      <c r="Q405" s="63">
        <f>IF($C405="B",INDEX(Batters[[#All],[Tot]],MATCH(Table5[[#This Row],[PID]],Batters[[#All],[PID]],0)),INDEX(Table3[[#All],[Tot]],MATCH(Table5[[#This Row],[PID]],Table3[[#All],[PID]],0)))</f>
        <v>40.917523338178214</v>
      </c>
      <c r="R405" s="54">
        <f>IF($C405="B",INDEX(Batters[[#All],[zScore]],MATCH(Table5[[#This Row],[PID]],Batters[[#All],[PID]],0)),INDEX(Table3[[#All],[zScore]],MATCH(Table5[[#This Row],[PID]],Table3[[#All],[PID]],0)))</f>
        <v>0.10016032510249548</v>
      </c>
      <c r="S405" s="60" t="str">
        <f>IF($C405="B",INDEX(Batters[[#All],[DEM]],MATCH(Table5[[#This Row],[PID]],Batters[[#All],[PID]],0)),INDEX(Table3[[#All],[DEM]],MATCH(Table5[[#This Row],[PID]],Table3[[#All],[PID]],0)))</f>
        <v>$110k</v>
      </c>
      <c r="T405" s="64">
        <f>IF($C405="B",VLOOKUP($A405,Bat!$A$4:$AU$1417,46,FALSE),VLOOKUP($A405,Pit!$A$4:$BD$570,55,FALSE))</f>
        <v>0</v>
      </c>
      <c r="U405" s="52">
        <f>IF($C405="B",VLOOKUP($A405,Bat!$A$4:$BA$1417,47,FALSE),VLOOKUP($A405,Pit!$A$4:$BF$570,56,FALSE))</f>
        <v>0</v>
      </c>
      <c r="V405" s="52">
        <f>IF($C405="B",VLOOKUP($A405,Bat!$A$4:$BA$1417,48,FALSE),VLOOKUP($A405,Pit!$A$4:$BF$570,57,FALSE))</f>
        <v>0</v>
      </c>
      <c r="W405" s="52">
        <f>Table5[[#This Row],[posRnk]]+Table5[[#This Row],[zRnk]]+IF($W$3&lt;&gt;Table5[[#This Row],[Type]],50,0)</f>
        <v>451</v>
      </c>
      <c r="X405" s="53">
        <f>RANK(Table5[[#This Row],[zScore]],Table5[[#All],[zScore]])</f>
        <v>401</v>
      </c>
      <c r="Y405" s="52" t="str">
        <f>IFERROR(INDEX(DraftResults[[#All],[OVR]],MATCH(Table5[[#This Row],[PID]],DraftResults[[#All],[Player ID]],0)),"")</f>
        <v/>
      </c>
      <c r="Z4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5" s="52" t="str">
        <f>IFERROR(INDEX(DraftResults[[#All],[Pick in Round]],MATCH(Table5[[#This Row],[PID]],DraftResults[[#All],[Player ID]],0)),"")</f>
        <v/>
      </c>
      <c r="AB405" s="52" t="str">
        <f>IFERROR(INDEX(DraftResults[[#All],[Team Name]],MATCH(Table5[[#This Row],[PID]],DraftResults[[#All],[Player ID]],0)),"")</f>
        <v/>
      </c>
      <c r="AC405" s="52" t="str">
        <f>IF(Table5[[#This Row],[Ovr]]="","",IF(Table5[[#This Row],[cmbList]]="","",Table5[[#This Row],[cmbList]]-Table5[[#This Row],[Ovr]]))</f>
        <v/>
      </c>
      <c r="AD405" s="56" t="str">
        <f>IF(ISERROR(VLOOKUP($AB405&amp;"-"&amp;$E405&amp;" "&amp;F405,Bonuses!$B$1:$G$1006,4,FALSE)),"",INT(VLOOKUP($AB405&amp;"-"&amp;$E405&amp;" "&amp;$F405,Bonuses!$B$1:$G$1006,4,FALSE)))</f>
        <v/>
      </c>
      <c r="AE4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6" spans="1:31" s="52" customFormat="1" x14ac:dyDescent="0.25">
      <c r="A406" s="52">
        <v>17929</v>
      </c>
      <c r="B406" s="52">
        <f>COUNTIF(Table5[PID],A406)</f>
        <v>1</v>
      </c>
      <c r="C406" s="52" t="str">
        <f>IF(COUNTIF(Table3[[#All],[PID]],A406)&gt;0,"P","B")</f>
        <v>P</v>
      </c>
      <c r="D406" s="61" t="str">
        <f>IF($C406="B",INDEX(Batters[[#All],[POS]],MATCH(Table5[[#This Row],[PID]],Batters[[#All],[PID]],0)),INDEX(Table3[[#All],[POS]],MATCH(Table5[[#This Row],[PID]],Table3[[#All],[PID]],0)))</f>
        <v>RP</v>
      </c>
      <c r="E406" s="54" t="str">
        <f>IF($C406="B",INDEX(Batters[[#All],[First]],MATCH(Table5[[#This Row],[PID]],Batters[[#All],[PID]],0)),INDEX(Table3[[#All],[First]],MATCH(Table5[[#This Row],[PID]],Table3[[#All],[PID]],0)))</f>
        <v>Nobuhiko</v>
      </c>
      <c r="F406" s="52" t="str">
        <f>IF($C406="B",INDEX(Batters[[#All],[Last]],MATCH(A406,Batters[[#All],[PID]],0)),INDEX(Table3[[#All],[Last]],MATCH(A406,Table3[[#All],[PID]],0)))</f>
        <v>Ito</v>
      </c>
      <c r="G406" s="58">
        <f>IF($C406="B",INDEX(Batters[[#All],[Age]],MATCH(Table5[[#This Row],[PID]],Batters[[#All],[PID]],0)),INDEX(Table3[[#All],[Age]],MATCH(Table5[[#This Row],[PID]],Table3[[#All],[PID]],0)))</f>
        <v>18</v>
      </c>
      <c r="H406" s="54" t="str">
        <f>IF($C406="B",INDEX(Batters[[#All],[B]],MATCH(Table5[[#This Row],[PID]],Batters[[#All],[PID]],0)),INDEX(Table3[[#All],[B]],MATCH(Table5[[#This Row],[PID]],Table3[[#All],[PID]],0)))</f>
        <v>L</v>
      </c>
      <c r="I406" s="54" t="str">
        <f>IF($C406="B",INDEX(Batters[[#All],[T]],MATCH(Table5[[#This Row],[PID]],Batters[[#All],[PID]],0)),INDEX(Table3[[#All],[T]],MATCH(Table5[[#This Row],[PID]],Table3[[#All],[PID]],0)))</f>
        <v>L</v>
      </c>
      <c r="J406" s="54" t="str">
        <f>IF($C406="B",INDEX(Batters[[#All],[WE]],MATCH(Table5[[#This Row],[PID]],Batters[[#All],[PID]],0)),INDEX(Table3[[#All],[WE]],MATCH(Table5[[#This Row],[PID]],Table3[[#All],[PID]],0)))</f>
        <v>Low</v>
      </c>
      <c r="K406" s="54" t="str">
        <f>IF($C406="B",INDEX(Batters[[#All],[INT]],MATCH(Table5[[#This Row],[PID]],Batters[[#All],[PID]],0)),INDEX(Table3[[#All],[INT]],MATCH(Table5[[#This Row],[PID]],Table3[[#All],[PID]],0)))</f>
        <v>Normal</v>
      </c>
      <c r="L406" s="62">
        <f>IF($C406="B",INDEX(Batters[[#All],[CON P]],MATCH(Table5[[#This Row],[PID]],Batters[[#All],[PID]],0)),INDEX(Table3[[#All],[STU P]],MATCH(Table5[[#This Row],[PID]],Table3[[#All],[PID]],0)))</f>
        <v>4</v>
      </c>
      <c r="M406" s="58">
        <f>IF($C406="B",INDEX(Batters[[#All],[GAP P]],MATCH(Table5[[#This Row],[PID]],Batters[[#All],[PID]],0)),INDEX(Table3[[#All],[MOV P]],MATCH(Table5[[#This Row],[PID]],Table3[[#All],[PID]],0)))</f>
        <v>2</v>
      </c>
      <c r="N406" s="58">
        <f>IF($C406="B",INDEX(Batters[[#All],[POW P]],MATCH(Table5[[#This Row],[PID]],Batters[[#All],[PID]],0)),INDEX(Table3[[#All],[CON P]],MATCH(Table5[[#This Row],[PID]],Table3[[#All],[PID]],0)))</f>
        <v>3</v>
      </c>
      <c r="O406" s="58" t="str">
        <f>IF($C406="B",INDEX(Batters[[#All],[EYE P]],MATCH(Table5[[#This Row],[PID]],Batters[[#All],[PID]],0)),INDEX(Table3[[#All],[VELO]],MATCH(Table5[[#This Row],[PID]],Table3[[#All],[PID]],0)))</f>
        <v>86-88 Mph</v>
      </c>
      <c r="P406" s="58">
        <f>IF($C406="B",INDEX(Batters[[#All],[K P]],MATCH(Table5[[#This Row],[PID]],Batters[[#All],[PID]],0)),INDEX(Table3[[#All],[STM]],MATCH(Table5[[#This Row],[PID]],Table3[[#All],[PID]],0)))</f>
        <v>8</v>
      </c>
      <c r="Q406" s="63">
        <f>IF($C406="B",INDEX(Batters[[#All],[Tot]],MATCH(Table5[[#This Row],[PID]],Batters[[#All],[PID]],0)),INDEX(Table3[[#All],[Tot]],MATCH(Table5[[#This Row],[PID]],Table3[[#All],[PID]],0)))</f>
        <v>33.803839382778001</v>
      </c>
      <c r="R406" s="54">
        <f>IF($C406="B",INDEX(Batters[[#All],[zScore]],MATCH(Table5[[#This Row],[PID]],Batters[[#All],[PID]],0)),INDEX(Table3[[#All],[zScore]],MATCH(Table5[[#This Row],[PID]],Table3[[#All],[PID]],0)))</f>
        <v>9.9186290889851064E-2</v>
      </c>
      <c r="S406" s="60" t="str">
        <f>IF($C406="B",INDEX(Batters[[#All],[DEM]],MATCH(Table5[[#This Row],[PID]],Batters[[#All],[PID]],0)),INDEX(Table3[[#All],[DEM]],MATCH(Table5[[#This Row],[PID]],Table3[[#All],[PID]],0)))</f>
        <v>$75k</v>
      </c>
      <c r="T406" s="64">
        <f>IF($C406="B",VLOOKUP($A406,Bat!$A$4:$AU$1417,46,FALSE),VLOOKUP($A406,Pit!$A$4:$BD$570,55,FALSE))</f>
        <v>0</v>
      </c>
      <c r="U406" s="52">
        <f>IF($C406="B",VLOOKUP($A406,Bat!$A$4:$BA$1417,47,FALSE),VLOOKUP($A406,Pit!$A$4:$BF$570,56,FALSE))</f>
        <v>0</v>
      </c>
      <c r="V406" s="52">
        <f>IF($C406="B",VLOOKUP($A406,Bat!$A$4:$BA$1417,48,FALSE),VLOOKUP($A406,Pit!$A$4:$BF$570,57,FALSE))</f>
        <v>0</v>
      </c>
      <c r="W406" s="52">
        <f>Table5[[#This Row],[posRnk]]+Table5[[#This Row],[zRnk]]+IF($W$3&lt;&gt;Table5[[#This Row],[Type]],50,0)</f>
        <v>452</v>
      </c>
      <c r="X406" s="53">
        <f>RANK(Table5[[#This Row],[zScore]],Table5[[#All],[zScore]])</f>
        <v>402</v>
      </c>
      <c r="Y406" s="52" t="str">
        <f>IFERROR(INDEX(DraftResults[[#All],[OVR]],MATCH(Table5[[#This Row],[PID]],DraftResults[[#All],[Player ID]],0)),"")</f>
        <v/>
      </c>
      <c r="Z4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6" s="52" t="str">
        <f>IFERROR(INDEX(DraftResults[[#All],[Pick in Round]],MATCH(Table5[[#This Row],[PID]],DraftResults[[#All],[Player ID]],0)),"")</f>
        <v/>
      </c>
      <c r="AB406" s="52" t="str">
        <f>IFERROR(INDEX(DraftResults[[#All],[Team Name]],MATCH(Table5[[#This Row],[PID]],DraftResults[[#All],[Player ID]],0)),"")</f>
        <v/>
      </c>
      <c r="AC406" s="52" t="str">
        <f>IF(Table5[[#This Row],[Ovr]]="","",IF(Table5[[#This Row],[cmbList]]="","",Table5[[#This Row],[cmbList]]-Table5[[#This Row],[Ovr]]))</f>
        <v/>
      </c>
      <c r="AD406" s="56" t="str">
        <f>IF(ISERROR(VLOOKUP($AB406&amp;"-"&amp;$E406&amp;" "&amp;F406,Bonuses!$B$1:$G$1006,4,FALSE)),"",INT(VLOOKUP($AB406&amp;"-"&amp;$E406&amp;" "&amp;$F406,Bonuses!$B$1:$G$1006,4,FALSE)))</f>
        <v/>
      </c>
      <c r="AE4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7" spans="1:31" s="52" customFormat="1" x14ac:dyDescent="0.25">
      <c r="A407" s="52">
        <v>6439</v>
      </c>
      <c r="B407" s="57">
        <f>COUNTIF(Table5[PID],A407)</f>
        <v>1</v>
      </c>
      <c r="C407" s="57" t="str">
        <f>IF(COUNTIF(Table3[[#All],[PID]],A407)&gt;0,"P","B")</f>
        <v>B</v>
      </c>
      <c r="D407" s="61" t="str">
        <f>IF($C407="B",INDEX(Batters[[#All],[POS]],MATCH(Table5[[#This Row],[PID]],Batters[[#All],[PID]],0)),INDEX(Table3[[#All],[POS]],MATCH(Table5[[#This Row],[PID]],Table3[[#All],[PID]],0)))</f>
        <v>RF</v>
      </c>
      <c r="E407" s="54" t="str">
        <f>IF($C407="B",INDEX(Batters[[#All],[First]],MATCH(Table5[[#This Row],[PID]],Batters[[#All],[PID]],0)),INDEX(Table3[[#All],[First]],MATCH(Table5[[#This Row],[PID]],Table3[[#All],[PID]],0)))</f>
        <v>Edward</v>
      </c>
      <c r="F407" s="52" t="str">
        <f>IF($C407="B",INDEX(Batters[[#All],[Last]],MATCH(A407,Batters[[#All],[PID]],0)),INDEX(Table3[[#All],[Last]],MATCH(A407,Table3[[#All],[PID]],0)))</f>
        <v>Bogers</v>
      </c>
      <c r="G407" s="58">
        <f>IF($C407="B",INDEX(Batters[[#All],[Age]],MATCH(Table5[[#This Row],[PID]],Batters[[#All],[PID]],0)),INDEX(Table3[[#All],[Age]],MATCH(Table5[[#This Row],[PID]],Table3[[#All],[PID]],0)))</f>
        <v>18</v>
      </c>
      <c r="H407" s="54" t="str">
        <f>IF($C407="B",INDEX(Batters[[#All],[B]],MATCH(Table5[[#This Row],[PID]],Batters[[#All],[PID]],0)),INDEX(Table3[[#All],[B]],MATCH(Table5[[#This Row],[PID]],Table3[[#All],[PID]],0)))</f>
        <v>L</v>
      </c>
      <c r="I407" s="54" t="str">
        <f>IF($C407="B",INDEX(Batters[[#All],[T]],MATCH(Table5[[#This Row],[PID]],Batters[[#All],[PID]],0)),INDEX(Table3[[#All],[T]],MATCH(Table5[[#This Row],[PID]],Table3[[#All],[PID]],0)))</f>
        <v>L</v>
      </c>
      <c r="J407" s="54" t="str">
        <f>IF($C407="B",INDEX(Batters[[#All],[WE]],MATCH(Table5[[#This Row],[PID]],Batters[[#All],[PID]],0)),INDEX(Table3[[#All],[WE]],MATCH(Table5[[#This Row],[PID]],Table3[[#All],[PID]],0)))</f>
        <v>Normal</v>
      </c>
      <c r="K407" s="54" t="str">
        <f>IF($C407="B",INDEX(Batters[[#All],[INT]],MATCH(Table5[[#This Row],[PID]],Batters[[#All],[PID]],0)),INDEX(Table3[[#All],[INT]],MATCH(Table5[[#This Row],[PID]],Table3[[#All],[PID]],0)))</f>
        <v>Normal</v>
      </c>
      <c r="L407" s="62">
        <f>IF($C407="B",INDEX(Batters[[#All],[CON P]],MATCH(Table5[[#This Row],[PID]],Batters[[#All],[PID]],0)),INDEX(Table3[[#All],[STU P]],MATCH(Table5[[#This Row],[PID]],Table3[[#All],[PID]],0)))</f>
        <v>2</v>
      </c>
      <c r="M407" s="58">
        <f>IF($C407="B",INDEX(Batters[[#All],[GAP P]],MATCH(Table5[[#This Row],[PID]],Batters[[#All],[PID]],0)),INDEX(Table3[[#All],[MOV P]],MATCH(Table5[[#This Row],[PID]],Table3[[#All],[PID]],0)))</f>
        <v>4</v>
      </c>
      <c r="N407" s="58">
        <f>IF($C407="B",INDEX(Batters[[#All],[POW P]],MATCH(Table5[[#This Row],[PID]],Batters[[#All],[PID]],0)),INDEX(Table3[[#All],[CON P]],MATCH(Table5[[#This Row],[PID]],Table3[[#All],[PID]],0)))</f>
        <v>6</v>
      </c>
      <c r="O407" s="58">
        <f>IF($C407="B",INDEX(Batters[[#All],[EYE P]],MATCH(Table5[[#This Row],[PID]],Batters[[#All],[PID]],0)),INDEX(Table3[[#All],[VELO]],MATCH(Table5[[#This Row],[PID]],Table3[[#All],[PID]],0)))</f>
        <v>6</v>
      </c>
      <c r="P407" s="58">
        <f>IF($C407="B",INDEX(Batters[[#All],[K P]],MATCH(Table5[[#This Row],[PID]],Batters[[#All],[PID]],0)),INDEX(Table3[[#All],[STM]],MATCH(Table5[[#This Row],[PID]],Table3[[#All],[PID]],0)))</f>
        <v>1</v>
      </c>
      <c r="Q407" s="63">
        <f>IF($C407="B",INDEX(Batters[[#All],[Tot]],MATCH(Table5[[#This Row],[PID]],Batters[[#All],[PID]],0)),INDEX(Table3[[#All],[Tot]],MATCH(Table5[[#This Row],[PID]],Table3[[#All],[PID]],0)))</f>
        <v>40.88522305156836</v>
      </c>
      <c r="R407" s="54">
        <f>IF($C407="B",INDEX(Batters[[#All],[zScore]],MATCH(Table5[[#This Row],[PID]],Batters[[#All],[PID]],0)),INDEX(Table3[[#All],[zScore]],MATCH(Table5[[#This Row],[PID]],Table3[[#All],[PID]],0)))</f>
        <v>9.4477304350995772E-2</v>
      </c>
      <c r="S407" s="60" t="str">
        <f>IF($C407="B",INDEX(Batters[[#All],[DEM]],MATCH(Table5[[#This Row],[PID]],Batters[[#All],[PID]],0)),INDEX(Table3[[#All],[DEM]],MATCH(Table5[[#This Row],[PID]],Table3[[#All],[PID]],0)))</f>
        <v>$65k</v>
      </c>
      <c r="T407" s="64">
        <f>IF($C407="B",VLOOKUP($A407,Bat!$A$4:$AU$1417,46,FALSE),VLOOKUP($A407,Pit!$A$4:$BD$570,55,FALSE))</f>
        <v>0</v>
      </c>
      <c r="U407" s="52">
        <f>IF($C407="B",VLOOKUP($A407,Bat!$A$4:$BA$1417,47,FALSE),VLOOKUP($A407,Pit!$A$4:$BF$570,56,FALSE))</f>
        <v>0</v>
      </c>
      <c r="V407" s="52">
        <f>IF($C407="B",VLOOKUP($A407,Bat!$A$4:$BA$1417,48,FALSE),VLOOKUP($A407,Pit!$A$4:$BF$570,57,FALSE))</f>
        <v>0</v>
      </c>
      <c r="W407" s="52">
        <f>Table5[[#This Row],[posRnk]]+Table5[[#This Row],[zRnk]]+IF($W$3&lt;&gt;Table5[[#This Row],[Type]],50,0)</f>
        <v>453</v>
      </c>
      <c r="X407" s="53">
        <f>RANK(Table5[[#This Row],[zScore]],Table5[[#All],[zScore]])</f>
        <v>403</v>
      </c>
      <c r="Y407" s="52" t="str">
        <f>IFERROR(INDEX(DraftResults[[#All],[OVR]],MATCH(Table5[[#This Row],[PID]],DraftResults[[#All],[Player ID]],0)),"")</f>
        <v/>
      </c>
      <c r="Z4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7" s="52" t="str">
        <f>IFERROR(INDEX(DraftResults[[#All],[Pick in Round]],MATCH(Table5[[#This Row],[PID]],DraftResults[[#All],[Player ID]],0)),"")</f>
        <v/>
      </c>
      <c r="AB407" s="52" t="str">
        <f>IFERROR(INDEX(DraftResults[[#All],[Team Name]],MATCH(Table5[[#This Row],[PID]],DraftResults[[#All],[Player ID]],0)),"")</f>
        <v/>
      </c>
      <c r="AC407" s="52" t="str">
        <f>IF(Table5[[#This Row],[Ovr]]="","",IF(Table5[[#This Row],[cmbList]]="","",Table5[[#This Row],[cmbList]]-Table5[[#This Row],[Ovr]]))</f>
        <v/>
      </c>
      <c r="AD407" s="56" t="str">
        <f>IF(ISERROR(VLOOKUP($AB407&amp;"-"&amp;$E407&amp;" "&amp;F407,Bonuses!$B$1:$G$1006,4,FALSE)),"",INT(VLOOKUP($AB407&amp;"-"&amp;$E407&amp;" "&amp;$F407,Bonuses!$B$1:$G$1006,4,FALSE)))</f>
        <v/>
      </c>
      <c r="AE4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8" spans="1:31" s="52" customFormat="1" x14ac:dyDescent="0.25">
      <c r="A408" s="52">
        <v>12495</v>
      </c>
      <c r="B408" s="52">
        <f>COUNTIF(Table5[PID],A408)</f>
        <v>1</v>
      </c>
      <c r="C408" s="52" t="str">
        <f>IF(COUNTIF(Table3[[#All],[PID]],A408)&gt;0,"P","B")</f>
        <v>B</v>
      </c>
      <c r="D408" s="61" t="str">
        <f>IF($C408="B",INDEX(Batters[[#All],[POS]],MATCH(Table5[[#This Row],[PID]],Batters[[#All],[PID]],0)),INDEX(Table3[[#All],[POS]],MATCH(Table5[[#This Row],[PID]],Table3[[#All],[PID]],0)))</f>
        <v>1B</v>
      </c>
      <c r="E408" s="54" t="str">
        <f>IF($C408="B",INDEX(Batters[[#All],[First]],MATCH(Table5[[#This Row],[PID]],Batters[[#All],[PID]],0)),INDEX(Table3[[#All],[First]],MATCH(Table5[[#This Row],[PID]],Table3[[#All],[PID]],0)))</f>
        <v>Tadataka</v>
      </c>
      <c r="F408" s="52" t="str">
        <f>IF($C408="B",INDEX(Batters[[#All],[Last]],MATCH(A408,Batters[[#All],[PID]],0)),INDEX(Table3[[#All],[Last]],MATCH(A408,Table3[[#All],[PID]],0)))</f>
        <v>Murakami</v>
      </c>
      <c r="G408" s="58">
        <f>IF($C408="B",INDEX(Batters[[#All],[Age]],MATCH(Table5[[#This Row],[PID]],Batters[[#All],[PID]],0)),INDEX(Table3[[#All],[Age]],MATCH(Table5[[#This Row],[PID]],Table3[[#All],[PID]],0)))</f>
        <v>21</v>
      </c>
      <c r="H408" s="54" t="str">
        <f>IF($C408="B",INDEX(Batters[[#All],[B]],MATCH(Table5[[#This Row],[PID]],Batters[[#All],[PID]],0)),INDEX(Table3[[#All],[B]],MATCH(Table5[[#This Row],[PID]],Table3[[#All],[PID]],0)))</f>
        <v>L</v>
      </c>
      <c r="I408" s="54" t="str">
        <f>IF($C408="B",INDEX(Batters[[#All],[T]],MATCH(Table5[[#This Row],[PID]],Batters[[#All],[PID]],0)),INDEX(Table3[[#All],[T]],MATCH(Table5[[#This Row],[PID]],Table3[[#All],[PID]],0)))</f>
        <v>L</v>
      </c>
      <c r="J408" s="54" t="str">
        <f>IF($C408="B",INDEX(Batters[[#All],[WE]],MATCH(Table5[[#This Row],[PID]],Batters[[#All],[PID]],0)),INDEX(Table3[[#All],[WE]],MATCH(Table5[[#This Row],[PID]],Table3[[#All],[PID]],0)))</f>
        <v>Normal</v>
      </c>
      <c r="K408" s="54" t="str">
        <f>IF($C408="B",INDEX(Batters[[#All],[INT]],MATCH(Table5[[#This Row],[PID]],Batters[[#All],[PID]],0)),INDEX(Table3[[#All],[INT]],MATCH(Table5[[#This Row],[PID]],Table3[[#All],[PID]],0)))</f>
        <v>Normal</v>
      </c>
      <c r="L408" s="62">
        <f>IF($C408="B",INDEX(Batters[[#All],[CON P]],MATCH(Table5[[#This Row],[PID]],Batters[[#All],[PID]],0)),INDEX(Table3[[#All],[STU P]],MATCH(Table5[[#This Row],[PID]],Table3[[#All],[PID]],0)))</f>
        <v>4</v>
      </c>
      <c r="M408" s="58">
        <f>IF($C408="B",INDEX(Batters[[#All],[GAP P]],MATCH(Table5[[#This Row],[PID]],Batters[[#All],[PID]],0)),INDEX(Table3[[#All],[MOV P]],MATCH(Table5[[#This Row],[PID]],Table3[[#All],[PID]],0)))</f>
        <v>3</v>
      </c>
      <c r="N408" s="58">
        <f>IF($C408="B",INDEX(Batters[[#All],[POW P]],MATCH(Table5[[#This Row],[PID]],Batters[[#All],[PID]],0)),INDEX(Table3[[#All],[CON P]],MATCH(Table5[[#This Row],[PID]],Table3[[#All],[PID]],0)))</f>
        <v>4</v>
      </c>
      <c r="O408" s="58">
        <f>IF($C408="B",INDEX(Batters[[#All],[EYE P]],MATCH(Table5[[#This Row],[PID]],Batters[[#All],[PID]],0)),INDEX(Table3[[#All],[VELO]],MATCH(Table5[[#This Row],[PID]],Table3[[#All],[PID]],0)))</f>
        <v>4</v>
      </c>
      <c r="P408" s="58">
        <f>IF($C408="B",INDEX(Batters[[#All],[K P]],MATCH(Table5[[#This Row],[PID]],Batters[[#All],[PID]],0)),INDEX(Table3[[#All],[STM]],MATCH(Table5[[#This Row],[PID]],Table3[[#All],[PID]],0)))</f>
        <v>5</v>
      </c>
      <c r="Q408" s="63">
        <f>IF($C408="B",INDEX(Batters[[#All],[Tot]],MATCH(Table5[[#This Row],[PID]],Batters[[#All],[PID]],0)),INDEX(Table3[[#All],[Tot]],MATCH(Table5[[#This Row],[PID]],Table3[[#All],[PID]],0)))</f>
        <v>40.860638254628491</v>
      </c>
      <c r="R408" s="54">
        <f>IF($C408="B",INDEX(Batters[[#All],[zScore]],MATCH(Table5[[#This Row],[PID]],Batters[[#All],[PID]],0)),INDEX(Table3[[#All],[zScore]],MATCH(Table5[[#This Row],[PID]],Table3[[#All],[PID]],0)))</f>
        <v>9.0151772727444651E-2</v>
      </c>
      <c r="S408" s="60" t="str">
        <f>IF($C408="B",INDEX(Batters[[#All],[DEM]],MATCH(Table5[[#This Row],[PID]],Batters[[#All],[PID]],0)),INDEX(Table3[[#All],[DEM]],MATCH(Table5[[#This Row],[PID]],Table3[[#All],[PID]],0)))</f>
        <v>$75k</v>
      </c>
      <c r="T408" s="64">
        <f>IF($C408="B",VLOOKUP($A408,Bat!$A$4:$AU$1417,46,FALSE),VLOOKUP($A408,Pit!$A$4:$BD$570,55,FALSE))</f>
        <v>0</v>
      </c>
      <c r="U408" s="52">
        <f>IF($C408="B",VLOOKUP($A408,Bat!$A$4:$BA$1417,47,FALSE),VLOOKUP($A408,Pit!$A$4:$BF$570,56,FALSE))</f>
        <v>0</v>
      </c>
      <c r="V408" s="52">
        <f>IF($C408="B",VLOOKUP($A408,Bat!$A$4:$BA$1417,48,FALSE),VLOOKUP($A408,Pit!$A$4:$BF$570,57,FALSE))</f>
        <v>0</v>
      </c>
      <c r="W408" s="52">
        <f>Table5[[#This Row],[posRnk]]+Table5[[#This Row],[zRnk]]+IF($W$3&lt;&gt;Table5[[#This Row],[Type]],50,0)</f>
        <v>454</v>
      </c>
      <c r="X408" s="53">
        <f>RANK(Table5[[#This Row],[zScore]],Table5[[#All],[zScore]])</f>
        <v>404</v>
      </c>
      <c r="Y408" s="52" t="str">
        <f>IFERROR(INDEX(DraftResults[[#All],[OVR]],MATCH(Table5[[#This Row],[PID]],DraftResults[[#All],[Player ID]],0)),"")</f>
        <v/>
      </c>
      <c r="Z4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8" s="52" t="str">
        <f>IFERROR(INDEX(DraftResults[[#All],[Pick in Round]],MATCH(Table5[[#This Row],[PID]],DraftResults[[#All],[Player ID]],0)),"")</f>
        <v/>
      </c>
      <c r="AB408" s="52" t="str">
        <f>IFERROR(INDEX(DraftResults[[#All],[Team Name]],MATCH(Table5[[#This Row],[PID]],DraftResults[[#All],[Player ID]],0)),"")</f>
        <v/>
      </c>
      <c r="AC408" s="52" t="str">
        <f>IF(Table5[[#This Row],[Ovr]]="","",IF(Table5[[#This Row],[cmbList]]="","",Table5[[#This Row],[cmbList]]-Table5[[#This Row],[Ovr]]))</f>
        <v/>
      </c>
      <c r="AD408" s="56" t="str">
        <f>IF(ISERROR(VLOOKUP($AB408&amp;"-"&amp;$E408&amp;" "&amp;F408,Bonuses!$B$1:$G$1006,4,FALSE)),"",INT(VLOOKUP($AB408&amp;"-"&amp;$E408&amp;" "&amp;$F408,Bonuses!$B$1:$G$1006,4,FALSE)))</f>
        <v/>
      </c>
      <c r="AE4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9" spans="1:31" s="52" customFormat="1" x14ac:dyDescent="0.25">
      <c r="A409" s="52">
        <v>13545</v>
      </c>
      <c r="B409" s="52">
        <f>COUNTIF(Table5[PID],A409)</f>
        <v>1</v>
      </c>
      <c r="C409" s="52" t="str">
        <f>IF(COUNTIF(Table3[[#All],[PID]],A409)&gt;0,"P","B")</f>
        <v>B</v>
      </c>
      <c r="D409" s="61" t="str">
        <f>IF($C409="B",INDEX(Batters[[#All],[POS]],MATCH(Table5[[#This Row],[PID]],Batters[[#All],[PID]],0)),INDEX(Table3[[#All],[POS]],MATCH(Table5[[#This Row],[PID]],Table3[[#All],[PID]],0)))</f>
        <v>1B</v>
      </c>
      <c r="E409" s="54" t="str">
        <f>IF($C409="B",INDEX(Batters[[#All],[First]],MATCH(Table5[[#This Row],[PID]],Batters[[#All],[PID]],0)),INDEX(Table3[[#All],[First]],MATCH(Table5[[#This Row],[PID]],Table3[[#All],[PID]],0)))</f>
        <v>Juan</v>
      </c>
      <c r="F409" s="52" t="str">
        <f>IF($C409="B",INDEX(Batters[[#All],[Last]],MATCH(A409,Batters[[#All],[PID]],0)),INDEX(Table3[[#All],[Last]],MATCH(A409,Table3[[#All],[PID]],0)))</f>
        <v>Galló</v>
      </c>
      <c r="G409" s="58">
        <f>IF($C409="B",INDEX(Batters[[#All],[Age]],MATCH(Table5[[#This Row],[PID]],Batters[[#All],[PID]],0)),INDEX(Table3[[#All],[Age]],MATCH(Table5[[#This Row],[PID]],Table3[[#All],[PID]],0)))</f>
        <v>18</v>
      </c>
      <c r="H409" s="54" t="str">
        <f>IF($C409="B",INDEX(Batters[[#All],[B]],MATCH(Table5[[#This Row],[PID]],Batters[[#All],[PID]],0)),INDEX(Table3[[#All],[B]],MATCH(Table5[[#This Row],[PID]],Table3[[#All],[PID]],0)))</f>
        <v>R</v>
      </c>
      <c r="I409" s="54" t="str">
        <f>IF($C409="B",INDEX(Batters[[#All],[T]],MATCH(Table5[[#This Row],[PID]],Batters[[#All],[PID]],0)),INDEX(Table3[[#All],[T]],MATCH(Table5[[#This Row],[PID]],Table3[[#All],[PID]],0)))</f>
        <v>R</v>
      </c>
      <c r="J409" s="54" t="str">
        <f>IF($C409="B",INDEX(Batters[[#All],[WE]],MATCH(Table5[[#This Row],[PID]],Batters[[#All],[PID]],0)),INDEX(Table3[[#All],[WE]],MATCH(Table5[[#This Row],[PID]],Table3[[#All],[PID]],0)))</f>
        <v>Low</v>
      </c>
      <c r="K409" s="54" t="str">
        <f>IF($C409="B",INDEX(Batters[[#All],[INT]],MATCH(Table5[[#This Row],[PID]],Batters[[#All],[PID]],0)),INDEX(Table3[[#All],[INT]],MATCH(Table5[[#This Row],[PID]],Table3[[#All],[PID]],0)))</f>
        <v>Low</v>
      </c>
      <c r="L409" s="62">
        <f>IF($C409="B",INDEX(Batters[[#All],[CON P]],MATCH(Table5[[#This Row],[PID]],Batters[[#All],[PID]],0)),INDEX(Table3[[#All],[STU P]],MATCH(Table5[[#This Row],[PID]],Table3[[#All],[PID]],0)))</f>
        <v>3</v>
      </c>
      <c r="M409" s="58">
        <f>IF($C409="B",INDEX(Batters[[#All],[GAP P]],MATCH(Table5[[#This Row],[PID]],Batters[[#All],[PID]],0)),INDEX(Table3[[#All],[MOV P]],MATCH(Table5[[#This Row],[PID]],Table3[[#All],[PID]],0)))</f>
        <v>3</v>
      </c>
      <c r="N409" s="58">
        <f>IF($C409="B",INDEX(Batters[[#All],[POW P]],MATCH(Table5[[#This Row],[PID]],Batters[[#All],[PID]],0)),INDEX(Table3[[#All],[CON P]],MATCH(Table5[[#This Row],[PID]],Table3[[#All],[PID]],0)))</f>
        <v>5</v>
      </c>
      <c r="O409" s="58">
        <f>IF($C409="B",INDEX(Batters[[#All],[EYE P]],MATCH(Table5[[#This Row],[PID]],Batters[[#All],[PID]],0)),INDEX(Table3[[#All],[VELO]],MATCH(Table5[[#This Row],[PID]],Table3[[#All],[PID]],0)))</f>
        <v>4</v>
      </c>
      <c r="P409" s="58">
        <f>IF($C409="B",INDEX(Batters[[#All],[K P]],MATCH(Table5[[#This Row],[PID]],Batters[[#All],[PID]],0)),INDEX(Table3[[#All],[STM]],MATCH(Table5[[#This Row],[PID]],Table3[[#All],[PID]],0)))</f>
        <v>2</v>
      </c>
      <c r="Q409" s="63">
        <f>IF($C409="B",INDEX(Batters[[#All],[Tot]],MATCH(Table5[[#This Row],[PID]],Batters[[#All],[PID]],0)),INDEX(Table3[[#All],[Tot]],MATCH(Table5[[#This Row],[PID]],Table3[[#All],[PID]],0)))</f>
        <v>40.85122038749904</v>
      </c>
      <c r="R409" s="54">
        <f>IF($C409="B",INDEX(Batters[[#All],[zScore]],MATCH(Table5[[#This Row],[PID]],Batters[[#All],[PID]],0)),INDEX(Table3[[#All],[zScore]],MATCH(Table5[[#This Row],[PID]],Table3[[#All],[PID]],0)))</f>
        <v>8.8494761600020039E-2</v>
      </c>
      <c r="S409" s="60" t="str">
        <f>IF($C409="B",INDEX(Batters[[#All],[DEM]],MATCH(Table5[[#This Row],[PID]],Batters[[#All],[PID]],0)),INDEX(Table3[[#All],[DEM]],MATCH(Table5[[#This Row],[PID]],Table3[[#All],[PID]],0)))</f>
        <v>$75k</v>
      </c>
      <c r="T409" s="64">
        <f>IF($C409="B",VLOOKUP($A409,Bat!$A$4:$AU$1417,46,FALSE),VLOOKUP($A409,Pit!$A$4:$BD$570,55,FALSE))</f>
        <v>0</v>
      </c>
      <c r="U409" s="52">
        <f>IF($C409="B",VLOOKUP($A409,Bat!$A$4:$BA$1417,47,FALSE),VLOOKUP($A409,Pit!$A$4:$BF$570,56,FALSE))</f>
        <v>0</v>
      </c>
      <c r="V409" s="52">
        <f>IF($C409="B",VLOOKUP($A409,Bat!$A$4:$BA$1417,48,FALSE),VLOOKUP($A409,Pit!$A$4:$BF$570,57,FALSE))</f>
        <v>0</v>
      </c>
      <c r="W409" s="52">
        <f>Table5[[#This Row],[posRnk]]+Table5[[#This Row],[zRnk]]+IF($W$3&lt;&gt;Table5[[#This Row],[Type]],50,0)</f>
        <v>455</v>
      </c>
      <c r="X409" s="53">
        <f>RANK(Table5[[#This Row],[zScore]],Table5[[#All],[zScore]])</f>
        <v>405</v>
      </c>
      <c r="Y409" s="52" t="str">
        <f>IFERROR(INDEX(DraftResults[[#All],[OVR]],MATCH(Table5[[#This Row],[PID]],DraftResults[[#All],[Player ID]],0)),"")</f>
        <v/>
      </c>
      <c r="Z4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9" s="52" t="str">
        <f>IFERROR(INDEX(DraftResults[[#All],[Pick in Round]],MATCH(Table5[[#This Row],[PID]],DraftResults[[#All],[Player ID]],0)),"")</f>
        <v/>
      </c>
      <c r="AB409" s="52" t="str">
        <f>IFERROR(INDEX(DraftResults[[#All],[Team Name]],MATCH(Table5[[#This Row],[PID]],DraftResults[[#All],[Player ID]],0)),"")</f>
        <v/>
      </c>
      <c r="AC409" s="52" t="str">
        <f>IF(Table5[[#This Row],[Ovr]]="","",IF(Table5[[#This Row],[cmbList]]="","",Table5[[#This Row],[cmbList]]-Table5[[#This Row],[Ovr]]))</f>
        <v/>
      </c>
      <c r="AD409" s="56" t="str">
        <f>IF(ISERROR(VLOOKUP($AB409&amp;"-"&amp;$E409&amp;" "&amp;F409,Bonuses!$B$1:$G$1006,4,FALSE)),"",INT(VLOOKUP($AB409&amp;"-"&amp;$E409&amp;" "&amp;$F409,Bonuses!$B$1:$G$1006,4,FALSE)))</f>
        <v/>
      </c>
      <c r="AE4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0" spans="1:31" s="52" customFormat="1" x14ac:dyDescent="0.25">
      <c r="A410" s="52">
        <v>16664</v>
      </c>
      <c r="B410" s="52">
        <f>COUNTIF(Table5[PID],A410)</f>
        <v>1</v>
      </c>
      <c r="C410" s="52" t="str">
        <f>IF(COUNTIF(Table3[[#All],[PID]],A410)&gt;0,"P","B")</f>
        <v>P</v>
      </c>
      <c r="D410" s="61" t="str">
        <f>IF($C410="B",INDEX(Batters[[#All],[POS]],MATCH(Table5[[#This Row],[PID]],Batters[[#All],[PID]],0)),INDEX(Table3[[#All],[POS]],MATCH(Table5[[#This Row],[PID]],Table3[[#All],[PID]],0)))</f>
        <v>CL</v>
      </c>
      <c r="E410" s="54" t="str">
        <f>IF($C410="B",INDEX(Batters[[#All],[First]],MATCH(Table5[[#This Row],[PID]],Batters[[#All],[PID]],0)),INDEX(Table3[[#All],[First]],MATCH(Table5[[#This Row],[PID]],Table3[[#All],[PID]],0)))</f>
        <v>Kenjiro</v>
      </c>
      <c r="F410" s="52" t="str">
        <f>IF($C410="B",INDEX(Batters[[#All],[Last]],MATCH(A410,Batters[[#All],[PID]],0)),INDEX(Table3[[#All],[Last]],MATCH(A410,Table3[[#All],[PID]],0)))</f>
        <v>Matsumoto</v>
      </c>
      <c r="G410" s="58">
        <f>IF($C410="B",INDEX(Batters[[#All],[Age]],MATCH(Table5[[#This Row],[PID]],Batters[[#All],[PID]],0)),INDEX(Table3[[#All],[Age]],MATCH(Table5[[#This Row],[PID]],Table3[[#All],[PID]],0)))</f>
        <v>18</v>
      </c>
      <c r="H410" s="54" t="str">
        <f>IF($C410="B",INDEX(Batters[[#All],[B]],MATCH(Table5[[#This Row],[PID]],Batters[[#All],[PID]],0)),INDEX(Table3[[#All],[B]],MATCH(Table5[[#This Row],[PID]],Table3[[#All],[PID]],0)))</f>
        <v>L</v>
      </c>
      <c r="I410" s="54" t="str">
        <f>IF($C410="B",INDEX(Batters[[#All],[T]],MATCH(Table5[[#This Row],[PID]],Batters[[#All],[PID]],0)),INDEX(Table3[[#All],[T]],MATCH(Table5[[#This Row],[PID]],Table3[[#All],[PID]],0)))</f>
        <v>L</v>
      </c>
      <c r="J410" s="54" t="str">
        <f>IF($C410="B",INDEX(Batters[[#All],[WE]],MATCH(Table5[[#This Row],[PID]],Batters[[#All],[PID]],0)),INDEX(Table3[[#All],[WE]],MATCH(Table5[[#This Row],[PID]],Table3[[#All],[PID]],0)))</f>
        <v>Low</v>
      </c>
      <c r="K410" s="54" t="str">
        <f>IF($C410="B",INDEX(Batters[[#All],[INT]],MATCH(Table5[[#This Row],[PID]],Batters[[#All],[PID]],0)),INDEX(Table3[[#All],[INT]],MATCH(Table5[[#This Row],[PID]],Table3[[#All],[PID]],0)))</f>
        <v>Normal</v>
      </c>
      <c r="L410" s="62">
        <f>IF($C410="B",INDEX(Batters[[#All],[CON P]],MATCH(Table5[[#This Row],[PID]],Batters[[#All],[PID]],0)),INDEX(Table3[[#All],[STU P]],MATCH(Table5[[#This Row],[PID]],Table3[[#All],[PID]],0)))</f>
        <v>5</v>
      </c>
      <c r="M410" s="58">
        <f>IF($C410="B",INDEX(Batters[[#All],[GAP P]],MATCH(Table5[[#This Row],[PID]],Batters[[#All],[PID]],0)),INDEX(Table3[[#All],[MOV P]],MATCH(Table5[[#This Row],[PID]],Table3[[#All],[PID]],0)))</f>
        <v>2</v>
      </c>
      <c r="N410" s="58">
        <f>IF($C410="B",INDEX(Batters[[#All],[POW P]],MATCH(Table5[[#This Row],[PID]],Batters[[#All],[PID]],0)),INDEX(Table3[[#All],[CON P]],MATCH(Table5[[#This Row],[PID]],Table3[[#All],[PID]],0)))</f>
        <v>2</v>
      </c>
      <c r="O410" s="58" t="str">
        <f>IF($C410="B",INDEX(Batters[[#All],[EYE P]],MATCH(Table5[[#This Row],[PID]],Batters[[#All],[PID]],0)),INDEX(Table3[[#All],[VELO]],MATCH(Table5[[#This Row],[PID]],Table3[[#All],[PID]],0)))</f>
        <v>92-94 Mph</v>
      </c>
      <c r="P410" s="58">
        <f>IF($C410="B",INDEX(Batters[[#All],[K P]],MATCH(Table5[[#This Row],[PID]],Batters[[#All],[PID]],0)),INDEX(Table3[[#All],[STM]],MATCH(Table5[[#This Row],[PID]],Table3[[#All],[PID]],0)))</f>
        <v>5</v>
      </c>
      <c r="Q410" s="63">
        <f>IF($C410="B",INDEX(Batters[[#All],[Tot]],MATCH(Table5[[#This Row],[PID]],Batters[[#All],[PID]],0)),INDEX(Table3[[#All],[Tot]],MATCH(Table5[[#This Row],[PID]],Table3[[#All],[PID]],0)))</f>
        <v>33.660832385740967</v>
      </c>
      <c r="R410" s="54">
        <f>IF($C410="B",INDEX(Batters[[#All],[zScore]],MATCH(Table5[[#This Row],[PID]],Batters[[#All],[PID]],0)),INDEX(Table3[[#All],[zScore]],MATCH(Table5[[#This Row],[PID]],Table3[[#All],[PID]],0)))</f>
        <v>8.6071938036803547E-2</v>
      </c>
      <c r="S410" s="60" t="str">
        <f>IF($C410="B",INDEX(Batters[[#All],[DEM]],MATCH(Table5[[#This Row],[PID]],Batters[[#All],[PID]],0)),INDEX(Table3[[#All],[DEM]],MATCH(Table5[[#This Row],[PID]],Table3[[#All],[PID]],0)))</f>
        <v>$65k</v>
      </c>
      <c r="T410" s="64">
        <f>IF($C410="B",VLOOKUP($A410,Bat!$A$4:$AU$1417,46,FALSE),VLOOKUP($A410,Pit!$A$4:$BD$570,55,FALSE))</f>
        <v>0</v>
      </c>
      <c r="U410" s="52">
        <f>IF($C410="B",VLOOKUP($A410,Bat!$A$4:$BA$1417,47,FALSE),VLOOKUP($A410,Pit!$A$4:$BF$570,56,FALSE))</f>
        <v>0</v>
      </c>
      <c r="V410" s="52">
        <f>IF($C410="B",VLOOKUP($A410,Bat!$A$4:$BA$1417,48,FALSE),VLOOKUP($A410,Pit!$A$4:$BF$570,57,FALSE))</f>
        <v>0</v>
      </c>
      <c r="W410" s="52">
        <f>Table5[[#This Row],[posRnk]]+Table5[[#This Row],[zRnk]]+IF($W$3&lt;&gt;Table5[[#This Row],[Type]],50,0)</f>
        <v>456</v>
      </c>
      <c r="X410" s="53">
        <f>RANK(Table5[[#This Row],[zScore]],Table5[[#All],[zScore]])</f>
        <v>406</v>
      </c>
      <c r="Y410" s="52" t="str">
        <f>IFERROR(INDEX(DraftResults[[#All],[OVR]],MATCH(Table5[[#This Row],[PID]],DraftResults[[#All],[Player ID]],0)),"")</f>
        <v/>
      </c>
      <c r="Z4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0" s="52" t="str">
        <f>IFERROR(INDEX(DraftResults[[#All],[Pick in Round]],MATCH(Table5[[#This Row],[PID]],DraftResults[[#All],[Player ID]],0)),"")</f>
        <v/>
      </c>
      <c r="AB410" s="52" t="str">
        <f>IFERROR(INDEX(DraftResults[[#All],[Team Name]],MATCH(Table5[[#This Row],[PID]],DraftResults[[#All],[Player ID]],0)),"")</f>
        <v/>
      </c>
      <c r="AC410" s="52" t="str">
        <f>IF(Table5[[#This Row],[Ovr]]="","",IF(Table5[[#This Row],[cmbList]]="","",Table5[[#This Row],[cmbList]]-Table5[[#This Row],[Ovr]]))</f>
        <v/>
      </c>
      <c r="AD410" s="56" t="str">
        <f>IF(ISERROR(VLOOKUP($AB410&amp;"-"&amp;$E410&amp;" "&amp;F410,Bonuses!$B$1:$G$1006,4,FALSE)),"",INT(VLOOKUP($AB410&amp;"-"&amp;$E410&amp;" "&amp;$F410,Bonuses!$B$1:$G$1006,4,FALSE)))</f>
        <v/>
      </c>
      <c r="AE4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1" spans="1:31" s="52" customFormat="1" x14ac:dyDescent="0.25">
      <c r="A411" s="52">
        <v>11587</v>
      </c>
      <c r="B411" s="52">
        <f>COUNTIF(Table5[PID],A411)</f>
        <v>1</v>
      </c>
      <c r="C411" s="52" t="str">
        <f>IF(COUNTIF(Table3[[#All],[PID]],A411)&gt;0,"P","B")</f>
        <v>P</v>
      </c>
      <c r="D411" s="61" t="str">
        <f>IF($C411="B",INDEX(Batters[[#All],[POS]],MATCH(Table5[[#This Row],[PID]],Batters[[#All],[PID]],0)),INDEX(Table3[[#All],[POS]],MATCH(Table5[[#This Row],[PID]],Table3[[#All],[PID]],0)))</f>
        <v>RP</v>
      </c>
      <c r="E411" s="54" t="str">
        <f>IF($C411="B",INDEX(Batters[[#All],[First]],MATCH(Table5[[#This Row],[PID]],Batters[[#All],[PID]],0)),INDEX(Table3[[#All],[First]],MATCH(Table5[[#This Row],[PID]],Table3[[#All],[PID]],0)))</f>
        <v>Charlie</v>
      </c>
      <c r="F411" s="52" t="str">
        <f>IF($C411="B",INDEX(Batters[[#All],[Last]],MATCH(A411,Batters[[#All],[PID]],0)),INDEX(Table3[[#All],[Last]],MATCH(A411,Table3[[#All],[PID]],0)))</f>
        <v>Mabty</v>
      </c>
      <c r="G411" s="58">
        <f>IF($C411="B",INDEX(Batters[[#All],[Age]],MATCH(Table5[[#This Row],[PID]],Batters[[#All],[PID]],0)),INDEX(Table3[[#All],[Age]],MATCH(Table5[[#This Row],[PID]],Table3[[#All],[PID]],0)))</f>
        <v>18</v>
      </c>
      <c r="H411" s="54" t="str">
        <f>IF($C411="B",INDEX(Batters[[#All],[B]],MATCH(Table5[[#This Row],[PID]],Batters[[#All],[PID]],0)),INDEX(Table3[[#All],[B]],MATCH(Table5[[#This Row],[PID]],Table3[[#All],[PID]],0)))</f>
        <v>R</v>
      </c>
      <c r="I411" s="54" t="str">
        <f>IF($C411="B",INDEX(Batters[[#All],[T]],MATCH(Table5[[#This Row],[PID]],Batters[[#All],[PID]],0)),INDEX(Table3[[#All],[T]],MATCH(Table5[[#This Row],[PID]],Table3[[#All],[PID]],0)))</f>
        <v>L</v>
      </c>
      <c r="J411" s="54" t="str">
        <f>IF($C411="B",INDEX(Batters[[#All],[WE]],MATCH(Table5[[#This Row],[PID]],Batters[[#All],[PID]],0)),INDEX(Table3[[#All],[WE]],MATCH(Table5[[#This Row],[PID]],Table3[[#All],[PID]],0)))</f>
        <v>Normal</v>
      </c>
      <c r="K411" s="54" t="str">
        <f>IF($C411="B",INDEX(Batters[[#All],[INT]],MATCH(Table5[[#This Row],[PID]],Batters[[#All],[PID]],0)),INDEX(Table3[[#All],[INT]],MATCH(Table5[[#This Row],[PID]],Table3[[#All],[PID]],0)))</f>
        <v>Normal</v>
      </c>
      <c r="L411" s="62">
        <f>IF($C411="B",INDEX(Batters[[#All],[CON P]],MATCH(Table5[[#This Row],[PID]],Batters[[#All],[PID]],0)),INDEX(Table3[[#All],[STU P]],MATCH(Table5[[#This Row],[PID]],Table3[[#All],[PID]],0)))</f>
        <v>6</v>
      </c>
      <c r="M411" s="58">
        <f>IF($C411="B",INDEX(Batters[[#All],[GAP P]],MATCH(Table5[[#This Row],[PID]],Batters[[#All],[PID]],0)),INDEX(Table3[[#All],[MOV P]],MATCH(Table5[[#This Row],[PID]],Table3[[#All],[PID]],0)))</f>
        <v>1</v>
      </c>
      <c r="N411" s="58">
        <f>IF($C411="B",INDEX(Batters[[#All],[POW P]],MATCH(Table5[[#This Row],[PID]],Batters[[#All],[PID]],0)),INDEX(Table3[[#All],[CON P]],MATCH(Table5[[#This Row],[PID]],Table3[[#All],[PID]],0)))</f>
        <v>2</v>
      </c>
      <c r="O411" s="58" t="str">
        <f>IF($C411="B",INDEX(Batters[[#All],[EYE P]],MATCH(Table5[[#This Row],[PID]],Batters[[#All],[PID]],0)),INDEX(Table3[[#All],[VELO]],MATCH(Table5[[#This Row],[PID]],Table3[[#All],[PID]],0)))</f>
        <v>90-92 Mph</v>
      </c>
      <c r="P411" s="58">
        <f>IF($C411="B",INDEX(Batters[[#All],[K P]],MATCH(Table5[[#This Row],[PID]],Batters[[#All],[PID]],0)),INDEX(Table3[[#All],[STM]],MATCH(Table5[[#This Row],[PID]],Table3[[#All],[PID]],0)))</f>
        <v>4</v>
      </c>
      <c r="Q411" s="63">
        <f>IF($C411="B",INDEX(Batters[[#All],[Tot]],MATCH(Table5[[#This Row],[PID]],Batters[[#All],[PID]],0)),INDEX(Table3[[#All],[Tot]],MATCH(Table5[[#This Row],[PID]],Table3[[#All],[PID]],0)))</f>
        <v>33.559675672462475</v>
      </c>
      <c r="R411" s="54">
        <f>IF($C411="B",INDEX(Batters[[#All],[zScore]],MATCH(Table5[[#This Row],[PID]],Batters[[#All],[PID]],0)),INDEX(Table3[[#All],[zScore]],MATCH(Table5[[#This Row],[PID]],Table3[[#All],[PID]],0)))</f>
        <v>7.67954350762865E-2</v>
      </c>
      <c r="S411" s="60" t="str">
        <f>IF($C411="B",INDEX(Batters[[#All],[DEM]],MATCH(Table5[[#This Row],[PID]],Batters[[#All],[PID]],0)),INDEX(Table3[[#All],[DEM]],MATCH(Table5[[#This Row],[PID]],Table3[[#All],[PID]],0)))</f>
        <v>$65k</v>
      </c>
      <c r="T411" s="64">
        <f>IF($C411="B",VLOOKUP($A411,Bat!$A$4:$AU$1417,46,FALSE),VLOOKUP($A411,Pit!$A$4:$BD$570,55,FALSE))</f>
        <v>0</v>
      </c>
      <c r="U411" s="52">
        <f>IF($C411="B",VLOOKUP($A411,Bat!$A$4:$BA$1417,47,FALSE),VLOOKUP($A411,Pit!$A$4:$BF$570,56,FALSE))</f>
        <v>0</v>
      </c>
      <c r="V411" s="52">
        <f>IF($C411="B",VLOOKUP($A411,Bat!$A$4:$BA$1417,48,FALSE),VLOOKUP($A411,Pit!$A$4:$BF$570,57,FALSE))</f>
        <v>0</v>
      </c>
      <c r="W411" s="52">
        <f>Table5[[#This Row],[posRnk]]+Table5[[#This Row],[zRnk]]+IF($W$3&lt;&gt;Table5[[#This Row],[Type]],50,0)</f>
        <v>457</v>
      </c>
      <c r="X411" s="53">
        <f>RANK(Table5[[#This Row],[zScore]],Table5[[#All],[zScore]])</f>
        <v>407</v>
      </c>
      <c r="Y411" s="52" t="str">
        <f>IFERROR(INDEX(DraftResults[[#All],[OVR]],MATCH(Table5[[#This Row],[PID]],DraftResults[[#All],[Player ID]],0)),"")</f>
        <v/>
      </c>
      <c r="Z4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1" s="52" t="str">
        <f>IFERROR(INDEX(DraftResults[[#All],[Pick in Round]],MATCH(Table5[[#This Row],[PID]],DraftResults[[#All],[Player ID]],0)),"")</f>
        <v/>
      </c>
      <c r="AB411" s="52" t="str">
        <f>IFERROR(INDEX(DraftResults[[#All],[Team Name]],MATCH(Table5[[#This Row],[PID]],DraftResults[[#All],[Player ID]],0)),"")</f>
        <v/>
      </c>
      <c r="AC411" s="52" t="str">
        <f>IF(Table5[[#This Row],[Ovr]]="","",IF(Table5[[#This Row],[cmbList]]="","",Table5[[#This Row],[cmbList]]-Table5[[#This Row],[Ovr]]))</f>
        <v/>
      </c>
      <c r="AD411" s="56" t="str">
        <f>IF(ISERROR(VLOOKUP($AB411&amp;"-"&amp;$E411&amp;" "&amp;F411,Bonuses!$B$1:$G$1006,4,FALSE)),"",INT(VLOOKUP($AB411&amp;"-"&amp;$E411&amp;" "&amp;$F411,Bonuses!$B$1:$G$1006,4,FALSE)))</f>
        <v/>
      </c>
      <c r="AE4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2" spans="1:31" s="52" customFormat="1" x14ac:dyDescent="0.25">
      <c r="A412" s="52">
        <v>15985</v>
      </c>
      <c r="B412" s="52">
        <f>COUNTIF(Table5[PID],A412)</f>
        <v>1</v>
      </c>
      <c r="C412" s="52" t="str">
        <f>IF(COUNTIF(Table3[[#All],[PID]],A412)&gt;0,"P","B")</f>
        <v>P</v>
      </c>
      <c r="D412" s="61" t="str">
        <f>IF($C412="B",INDEX(Batters[[#All],[POS]],MATCH(Table5[[#This Row],[PID]],Batters[[#All],[PID]],0)),INDEX(Table3[[#All],[POS]],MATCH(Table5[[#This Row],[PID]],Table3[[#All],[PID]],0)))</f>
        <v>RP</v>
      </c>
      <c r="E412" s="54" t="str">
        <f>IF($C412="B",INDEX(Batters[[#All],[First]],MATCH(Table5[[#This Row],[PID]],Batters[[#All],[PID]],0)),INDEX(Table3[[#All],[First]],MATCH(Table5[[#This Row],[PID]],Table3[[#All],[PID]],0)))</f>
        <v>Luke</v>
      </c>
      <c r="F412" s="52" t="str">
        <f>IF($C412="B",INDEX(Batters[[#All],[Last]],MATCH(A412,Batters[[#All],[PID]],0)),INDEX(Table3[[#All],[Last]],MATCH(A412,Table3[[#All],[PID]],0)))</f>
        <v>Beadle</v>
      </c>
      <c r="G412" s="58">
        <f>IF($C412="B",INDEX(Batters[[#All],[Age]],MATCH(Table5[[#This Row],[PID]],Batters[[#All],[PID]],0)),INDEX(Table3[[#All],[Age]],MATCH(Table5[[#This Row],[PID]],Table3[[#All],[PID]],0)))</f>
        <v>18</v>
      </c>
      <c r="H412" s="54" t="str">
        <f>IF($C412="B",INDEX(Batters[[#All],[B]],MATCH(Table5[[#This Row],[PID]],Batters[[#All],[PID]],0)),INDEX(Table3[[#All],[B]],MATCH(Table5[[#This Row],[PID]],Table3[[#All],[PID]],0)))</f>
        <v>R</v>
      </c>
      <c r="I412" s="54" t="str">
        <f>IF($C412="B",INDEX(Batters[[#All],[T]],MATCH(Table5[[#This Row],[PID]],Batters[[#All],[PID]],0)),INDEX(Table3[[#All],[T]],MATCH(Table5[[#This Row],[PID]],Table3[[#All],[PID]],0)))</f>
        <v>R</v>
      </c>
      <c r="J412" s="54" t="str">
        <f>IF($C412="B",INDEX(Batters[[#All],[WE]],MATCH(Table5[[#This Row],[PID]],Batters[[#All],[PID]],0)),INDEX(Table3[[#All],[WE]],MATCH(Table5[[#This Row],[PID]],Table3[[#All],[PID]],0)))</f>
        <v>Normal</v>
      </c>
      <c r="K412" s="54" t="str">
        <f>IF($C412="B",INDEX(Batters[[#All],[INT]],MATCH(Table5[[#This Row],[PID]],Batters[[#All],[PID]],0)),INDEX(Table3[[#All],[INT]],MATCH(Table5[[#This Row],[PID]],Table3[[#All],[PID]],0)))</f>
        <v>High</v>
      </c>
      <c r="L412" s="62">
        <f>IF($C412="B",INDEX(Batters[[#All],[CON P]],MATCH(Table5[[#This Row],[PID]],Batters[[#All],[PID]],0)),INDEX(Table3[[#All],[STU P]],MATCH(Table5[[#This Row],[PID]],Table3[[#All],[PID]],0)))</f>
        <v>3</v>
      </c>
      <c r="M412" s="58">
        <f>IF($C412="B",INDEX(Batters[[#All],[GAP P]],MATCH(Table5[[#This Row],[PID]],Batters[[#All],[PID]],0)),INDEX(Table3[[#All],[MOV P]],MATCH(Table5[[#This Row],[PID]],Table3[[#All],[PID]],0)))</f>
        <v>4</v>
      </c>
      <c r="N412" s="58">
        <f>IF($C412="B",INDEX(Batters[[#All],[POW P]],MATCH(Table5[[#This Row],[PID]],Batters[[#All],[PID]],0)),INDEX(Table3[[#All],[CON P]],MATCH(Table5[[#This Row],[PID]],Table3[[#All],[PID]],0)))</f>
        <v>2</v>
      </c>
      <c r="O412" s="58" t="str">
        <f>IF($C412="B",INDEX(Batters[[#All],[EYE P]],MATCH(Table5[[#This Row],[PID]],Batters[[#All],[PID]],0)),INDEX(Table3[[#All],[VELO]],MATCH(Table5[[#This Row],[PID]],Table3[[#All],[PID]],0)))</f>
        <v>86-88 Mph</v>
      </c>
      <c r="P412" s="58">
        <f>IF($C412="B",INDEX(Batters[[#All],[K P]],MATCH(Table5[[#This Row],[PID]],Batters[[#All],[PID]],0)),INDEX(Table3[[#All],[STM]],MATCH(Table5[[#This Row],[PID]],Table3[[#All],[PID]],0)))</f>
        <v>10</v>
      </c>
      <c r="Q412" s="63">
        <f>IF($C412="B",INDEX(Batters[[#All],[Tot]],MATCH(Table5[[#This Row],[PID]],Batters[[#All],[PID]],0)),INDEX(Table3[[#All],[Tot]],MATCH(Table5[[#This Row],[PID]],Table3[[#All],[PID]],0)))</f>
        <v>33.527018686417719</v>
      </c>
      <c r="R412" s="54">
        <f>IF($C412="B",INDEX(Batters[[#All],[zScore]],MATCH(Table5[[#This Row],[PID]],Batters[[#All],[PID]],0)),INDEX(Table3[[#All],[zScore]],MATCH(Table5[[#This Row],[PID]],Table3[[#All],[PID]],0)))</f>
        <v>7.3800649877090452E-2</v>
      </c>
      <c r="S412" s="60" t="str">
        <f>IF($C412="B",INDEX(Batters[[#All],[DEM]],MATCH(Table5[[#This Row],[PID]],Batters[[#All],[PID]],0)),INDEX(Table3[[#All],[DEM]],MATCH(Table5[[#This Row],[PID]],Table3[[#All],[PID]],0)))</f>
        <v>$75k</v>
      </c>
      <c r="T412" s="64">
        <f>IF($C412="B",VLOOKUP($A412,Bat!$A$4:$AU$1417,46,FALSE),VLOOKUP($A412,Pit!$A$4:$BD$570,55,FALSE))</f>
        <v>0</v>
      </c>
      <c r="U412" s="52">
        <f>IF($C412="B",VLOOKUP($A412,Bat!$A$4:$BA$1417,47,FALSE),VLOOKUP($A412,Pit!$A$4:$BF$570,56,FALSE))</f>
        <v>0</v>
      </c>
      <c r="V412" s="52">
        <f>IF($C412="B",VLOOKUP($A412,Bat!$A$4:$BA$1417,48,FALSE),VLOOKUP($A412,Pit!$A$4:$BF$570,57,FALSE))</f>
        <v>0</v>
      </c>
      <c r="W412" s="52">
        <f>Table5[[#This Row],[posRnk]]+Table5[[#This Row],[zRnk]]+IF($W$3&lt;&gt;Table5[[#This Row],[Type]],50,0)</f>
        <v>458</v>
      </c>
      <c r="X412" s="53">
        <f>RANK(Table5[[#This Row],[zScore]],Table5[[#All],[zScore]])</f>
        <v>408</v>
      </c>
      <c r="Y412" s="52" t="str">
        <f>IFERROR(INDEX(DraftResults[[#All],[OVR]],MATCH(Table5[[#This Row],[PID]],DraftResults[[#All],[Player ID]],0)),"")</f>
        <v/>
      </c>
      <c r="Z4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2" s="52" t="str">
        <f>IFERROR(INDEX(DraftResults[[#All],[Pick in Round]],MATCH(Table5[[#This Row],[PID]],DraftResults[[#All],[Player ID]],0)),"")</f>
        <v/>
      </c>
      <c r="AB412" s="52" t="str">
        <f>IFERROR(INDEX(DraftResults[[#All],[Team Name]],MATCH(Table5[[#This Row],[PID]],DraftResults[[#All],[Player ID]],0)),"")</f>
        <v/>
      </c>
      <c r="AC412" s="52" t="str">
        <f>IF(Table5[[#This Row],[Ovr]]="","",IF(Table5[[#This Row],[cmbList]]="","",Table5[[#This Row],[cmbList]]-Table5[[#This Row],[Ovr]]))</f>
        <v/>
      </c>
      <c r="AD412" s="56" t="str">
        <f>IF(ISERROR(VLOOKUP($AB412&amp;"-"&amp;$E412&amp;" "&amp;F412,Bonuses!$B$1:$G$1006,4,FALSE)),"",INT(VLOOKUP($AB412&amp;"-"&amp;$E412&amp;" "&amp;$F412,Bonuses!$B$1:$G$1006,4,FALSE)))</f>
        <v/>
      </c>
      <c r="AE4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3" spans="1:31" s="52" customFormat="1" x14ac:dyDescent="0.25">
      <c r="A413" s="52">
        <v>6932</v>
      </c>
      <c r="B413" s="57">
        <f>COUNTIF(Table5[PID],A413)</f>
        <v>1</v>
      </c>
      <c r="C413" s="57" t="str">
        <f>IF(COUNTIF(Table3[[#All],[PID]],A413)&gt;0,"P","B")</f>
        <v>B</v>
      </c>
      <c r="D413" s="61" t="str">
        <f>IF($C413="B",INDEX(Batters[[#All],[POS]],MATCH(Table5[[#This Row],[PID]],Batters[[#All],[PID]],0)),INDEX(Table3[[#All],[POS]],MATCH(Table5[[#This Row],[PID]],Table3[[#All],[PID]],0)))</f>
        <v>SS</v>
      </c>
      <c r="E413" s="54" t="str">
        <f>IF($C413="B",INDEX(Batters[[#All],[First]],MATCH(Table5[[#This Row],[PID]],Batters[[#All],[PID]],0)),INDEX(Table3[[#All],[First]],MATCH(Table5[[#This Row],[PID]],Table3[[#All],[PID]],0)))</f>
        <v>Kinji</v>
      </c>
      <c r="F413" s="52" t="str">
        <f>IF($C413="B",INDEX(Batters[[#All],[Last]],MATCH(A413,Batters[[#All],[PID]],0)),INDEX(Table3[[#All],[Last]],MATCH(A413,Table3[[#All],[PID]],0)))</f>
        <v>Akiyama</v>
      </c>
      <c r="G413" s="58">
        <f>IF($C413="B",INDEX(Batters[[#All],[Age]],MATCH(Table5[[#This Row],[PID]],Batters[[#All],[PID]],0)),INDEX(Table3[[#All],[Age]],MATCH(Table5[[#This Row],[PID]],Table3[[#All],[PID]],0)))</f>
        <v>21</v>
      </c>
      <c r="H413" s="54" t="str">
        <f>IF($C413="B",INDEX(Batters[[#All],[B]],MATCH(Table5[[#This Row],[PID]],Batters[[#All],[PID]],0)),INDEX(Table3[[#All],[B]],MATCH(Table5[[#This Row],[PID]],Table3[[#All],[PID]],0)))</f>
        <v>R</v>
      </c>
      <c r="I413" s="54" t="str">
        <f>IF($C413="B",INDEX(Batters[[#All],[T]],MATCH(Table5[[#This Row],[PID]],Batters[[#All],[PID]],0)),INDEX(Table3[[#All],[T]],MATCH(Table5[[#This Row],[PID]],Table3[[#All],[PID]],0)))</f>
        <v>R</v>
      </c>
      <c r="J413" s="54" t="str">
        <f>IF($C413="B",INDEX(Batters[[#All],[WE]],MATCH(Table5[[#This Row],[PID]],Batters[[#All],[PID]],0)),INDEX(Table3[[#All],[WE]],MATCH(Table5[[#This Row],[PID]],Table3[[#All],[PID]],0)))</f>
        <v>Low</v>
      </c>
      <c r="K413" s="54" t="str">
        <f>IF($C413="B",INDEX(Batters[[#All],[INT]],MATCH(Table5[[#This Row],[PID]],Batters[[#All],[PID]],0)),INDEX(Table3[[#All],[INT]],MATCH(Table5[[#This Row],[PID]],Table3[[#All],[PID]],0)))</f>
        <v>Normal</v>
      </c>
      <c r="L413" s="62">
        <f>IF($C413="B",INDEX(Batters[[#All],[CON P]],MATCH(Table5[[#This Row],[PID]],Batters[[#All],[PID]],0)),INDEX(Table3[[#All],[STU P]],MATCH(Table5[[#This Row],[PID]],Table3[[#All],[PID]],0)))</f>
        <v>3</v>
      </c>
      <c r="M413" s="58">
        <f>IF($C413="B",INDEX(Batters[[#All],[GAP P]],MATCH(Table5[[#This Row],[PID]],Batters[[#All],[PID]],0)),INDEX(Table3[[#All],[MOV P]],MATCH(Table5[[#This Row],[PID]],Table3[[#All],[PID]],0)))</f>
        <v>5</v>
      </c>
      <c r="N413" s="58">
        <f>IF($C413="B",INDEX(Batters[[#All],[POW P]],MATCH(Table5[[#This Row],[PID]],Batters[[#All],[PID]],0)),INDEX(Table3[[#All],[CON P]],MATCH(Table5[[#This Row],[PID]],Table3[[#All],[PID]],0)))</f>
        <v>4</v>
      </c>
      <c r="O413" s="58">
        <f>IF($C413="B",INDEX(Batters[[#All],[EYE P]],MATCH(Table5[[#This Row],[PID]],Batters[[#All],[PID]],0)),INDEX(Table3[[#All],[VELO]],MATCH(Table5[[#This Row],[PID]],Table3[[#All],[PID]],0)))</f>
        <v>6</v>
      </c>
      <c r="P413" s="58">
        <f>IF($C413="B",INDEX(Batters[[#All],[K P]],MATCH(Table5[[#This Row],[PID]],Batters[[#All],[PID]],0)),INDEX(Table3[[#All],[STM]],MATCH(Table5[[#This Row],[PID]],Table3[[#All],[PID]],0)))</f>
        <v>4</v>
      </c>
      <c r="Q413" s="63">
        <f>IF($C413="B",INDEX(Batters[[#All],[Tot]],MATCH(Table5[[#This Row],[PID]],Batters[[#All],[PID]],0)),INDEX(Table3[[#All],[Tot]],MATCH(Table5[[#This Row],[PID]],Table3[[#All],[PID]],0)))</f>
        <v>40.763468455127231</v>
      </c>
      <c r="R413" s="54">
        <f>IF($C413="B",INDEX(Batters[[#All],[zScore]],MATCH(Table5[[#This Row],[PID]],Batters[[#All],[PID]],0)),INDEX(Table3[[#All],[zScore]],MATCH(Table5[[#This Row],[PID]],Table3[[#All],[PID]],0)))</f>
        <v>7.3055392325164753E-2</v>
      </c>
      <c r="S413" s="60" t="str">
        <f>IF($C413="B",INDEX(Batters[[#All],[DEM]],MATCH(Table5[[#This Row],[PID]],Batters[[#All],[PID]],0)),INDEX(Table3[[#All],[DEM]],MATCH(Table5[[#This Row],[PID]],Table3[[#All],[PID]],0)))</f>
        <v>$150k</v>
      </c>
      <c r="T413" s="64">
        <f>IF($C413="B",VLOOKUP($A413,Bat!$A$4:$AU$1417,46,FALSE),VLOOKUP($A413,Pit!$A$4:$BD$570,55,FALSE))</f>
        <v>0</v>
      </c>
      <c r="U413" s="52">
        <f>IF($C413="B",VLOOKUP($A413,Bat!$A$4:$BA$1417,47,FALSE),VLOOKUP($A413,Pit!$A$4:$BF$570,56,FALSE))</f>
        <v>0</v>
      </c>
      <c r="V413" s="52">
        <f>IF($C413="B",VLOOKUP($A413,Bat!$A$4:$BA$1417,48,FALSE),VLOOKUP($A413,Pit!$A$4:$BF$570,57,FALSE))</f>
        <v>0</v>
      </c>
      <c r="W413" s="52">
        <f>Table5[[#This Row],[posRnk]]+Table5[[#This Row],[zRnk]]+IF($W$3&lt;&gt;Table5[[#This Row],[Type]],50,0)</f>
        <v>459</v>
      </c>
      <c r="X413" s="53">
        <f>RANK(Table5[[#This Row],[zScore]],Table5[[#All],[zScore]])</f>
        <v>409</v>
      </c>
      <c r="Y413" s="52" t="str">
        <f>IFERROR(INDEX(DraftResults[[#All],[OVR]],MATCH(Table5[[#This Row],[PID]],DraftResults[[#All],[Player ID]],0)),"")</f>
        <v/>
      </c>
      <c r="Z4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3" s="52" t="str">
        <f>IFERROR(INDEX(DraftResults[[#All],[Pick in Round]],MATCH(Table5[[#This Row],[PID]],DraftResults[[#All],[Player ID]],0)),"")</f>
        <v/>
      </c>
      <c r="AB413" s="52" t="str">
        <f>IFERROR(INDEX(DraftResults[[#All],[Team Name]],MATCH(Table5[[#This Row],[PID]],DraftResults[[#All],[Player ID]],0)),"")</f>
        <v/>
      </c>
      <c r="AC413" s="52" t="str">
        <f>IF(Table5[[#This Row],[Ovr]]="","",IF(Table5[[#This Row],[cmbList]]="","",Table5[[#This Row],[cmbList]]-Table5[[#This Row],[Ovr]]))</f>
        <v/>
      </c>
      <c r="AD413" s="56" t="str">
        <f>IF(ISERROR(VLOOKUP($AB413&amp;"-"&amp;$E413&amp;" "&amp;F413,Bonuses!$B$1:$G$1006,4,FALSE)),"",INT(VLOOKUP($AB413&amp;"-"&amp;$E413&amp;" "&amp;$F413,Bonuses!$B$1:$G$1006,4,FALSE)))</f>
        <v/>
      </c>
      <c r="AE4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4" spans="1:31" s="52" customFormat="1" x14ac:dyDescent="0.25">
      <c r="A414" s="52">
        <v>17853</v>
      </c>
      <c r="B414" s="52">
        <f>COUNTIF(Table5[PID],A414)</f>
        <v>1</v>
      </c>
      <c r="C414" s="52" t="str">
        <f>IF(COUNTIF(Table3[[#All],[PID]],A414)&gt;0,"P","B")</f>
        <v>P</v>
      </c>
      <c r="D414" s="61" t="str">
        <f>IF($C414="B",INDEX(Batters[[#All],[POS]],MATCH(Table5[[#This Row],[PID]],Batters[[#All],[PID]],0)),INDEX(Table3[[#All],[POS]],MATCH(Table5[[#This Row],[PID]],Table3[[#All],[PID]],0)))</f>
        <v>RP</v>
      </c>
      <c r="E414" s="54" t="str">
        <f>IF($C414="B",INDEX(Batters[[#All],[First]],MATCH(Table5[[#This Row],[PID]],Batters[[#All],[PID]],0)),INDEX(Table3[[#All],[First]],MATCH(Table5[[#This Row],[PID]],Table3[[#All],[PID]],0)))</f>
        <v>Jorian</v>
      </c>
      <c r="F414" s="52" t="str">
        <f>IF($C414="B",INDEX(Batters[[#All],[Last]],MATCH(A414,Batters[[#All],[PID]],0)),INDEX(Table3[[#All],[Last]],MATCH(A414,Table3[[#All],[PID]],0)))</f>
        <v>Buytelaar</v>
      </c>
      <c r="G414" s="58">
        <f>IF($C414="B",INDEX(Batters[[#All],[Age]],MATCH(Table5[[#This Row],[PID]],Batters[[#All],[PID]],0)),INDEX(Table3[[#All],[Age]],MATCH(Table5[[#This Row],[PID]],Table3[[#All],[PID]],0)))</f>
        <v>18</v>
      </c>
      <c r="H414" s="54" t="str">
        <f>IF($C414="B",INDEX(Batters[[#All],[B]],MATCH(Table5[[#This Row],[PID]],Batters[[#All],[PID]],0)),INDEX(Table3[[#All],[B]],MATCH(Table5[[#This Row],[PID]],Table3[[#All],[PID]],0)))</f>
        <v>L</v>
      </c>
      <c r="I414" s="54" t="str">
        <f>IF($C414="B",INDEX(Batters[[#All],[T]],MATCH(Table5[[#This Row],[PID]],Batters[[#All],[PID]],0)),INDEX(Table3[[#All],[T]],MATCH(Table5[[#This Row],[PID]],Table3[[#All],[PID]],0)))</f>
        <v>L</v>
      </c>
      <c r="J414" s="54" t="str">
        <f>IF($C414="B",INDEX(Batters[[#All],[WE]],MATCH(Table5[[#This Row],[PID]],Batters[[#All],[PID]],0)),INDEX(Table3[[#All],[WE]],MATCH(Table5[[#This Row],[PID]],Table3[[#All],[PID]],0)))</f>
        <v>High</v>
      </c>
      <c r="K414" s="54" t="str">
        <f>IF($C414="B",INDEX(Batters[[#All],[INT]],MATCH(Table5[[#This Row],[PID]],Batters[[#All],[PID]],0)),INDEX(Table3[[#All],[INT]],MATCH(Table5[[#This Row],[PID]],Table3[[#All],[PID]],0)))</f>
        <v>Normal</v>
      </c>
      <c r="L414" s="62">
        <f>IF($C414="B",INDEX(Batters[[#All],[CON P]],MATCH(Table5[[#This Row],[PID]],Batters[[#All],[PID]],0)),INDEX(Table3[[#All],[STU P]],MATCH(Table5[[#This Row],[PID]],Table3[[#All],[PID]],0)))</f>
        <v>4</v>
      </c>
      <c r="M414" s="58">
        <f>IF($C414="B",INDEX(Batters[[#All],[GAP P]],MATCH(Table5[[#This Row],[PID]],Batters[[#All],[PID]],0)),INDEX(Table3[[#All],[MOV P]],MATCH(Table5[[#This Row],[PID]],Table3[[#All],[PID]],0)))</f>
        <v>3</v>
      </c>
      <c r="N414" s="58">
        <f>IF($C414="B",INDEX(Batters[[#All],[POW P]],MATCH(Table5[[#This Row],[PID]],Batters[[#All],[PID]],0)),INDEX(Table3[[#All],[CON P]],MATCH(Table5[[#This Row],[PID]],Table3[[#All],[PID]],0)))</f>
        <v>2</v>
      </c>
      <c r="O414" s="58" t="str">
        <f>IF($C414="B",INDEX(Batters[[#All],[EYE P]],MATCH(Table5[[#This Row],[PID]],Batters[[#All],[PID]],0)),INDEX(Table3[[#All],[VELO]],MATCH(Table5[[#This Row],[PID]],Table3[[#All],[PID]],0)))</f>
        <v>85-87 Mph</v>
      </c>
      <c r="P414" s="58">
        <f>IF($C414="B",INDEX(Batters[[#All],[K P]],MATCH(Table5[[#This Row],[PID]],Batters[[#All],[PID]],0)),INDEX(Table3[[#All],[STM]],MATCH(Table5[[#This Row],[PID]],Table3[[#All],[PID]],0)))</f>
        <v>8</v>
      </c>
      <c r="Q414" s="63">
        <f>IF($C414="B",INDEX(Batters[[#All],[Tot]],MATCH(Table5[[#This Row],[PID]],Batters[[#All],[PID]],0)),INDEX(Table3[[#All],[Tot]],MATCH(Table5[[#This Row],[PID]],Table3[[#All],[PID]],0)))</f>
        <v>33.512951239920966</v>
      </c>
      <c r="R414" s="54">
        <f>IF($C414="B",INDEX(Batters[[#All],[zScore]],MATCH(Table5[[#This Row],[PID]],Batters[[#All],[PID]],0)),INDEX(Table3[[#All],[zScore]],MATCH(Table5[[#This Row],[PID]],Table3[[#All],[PID]],0)))</f>
        <v>7.2510604907808196E-2</v>
      </c>
      <c r="S414" s="60" t="str">
        <f>IF($C414="B",INDEX(Batters[[#All],[DEM]],MATCH(Table5[[#This Row],[PID]],Batters[[#All],[PID]],0)),INDEX(Table3[[#All],[DEM]],MATCH(Table5[[#This Row],[PID]],Table3[[#All],[PID]],0)))</f>
        <v>$65k</v>
      </c>
      <c r="T414" s="64">
        <f>IF($C414="B",VLOOKUP($A414,Bat!$A$4:$AU$1417,46,FALSE),VLOOKUP($A414,Pit!$A$4:$BD$570,55,FALSE))</f>
        <v>0</v>
      </c>
      <c r="U414" s="52">
        <f>IF($C414="B",VLOOKUP($A414,Bat!$A$4:$BA$1417,47,FALSE),VLOOKUP($A414,Pit!$A$4:$BF$570,56,FALSE))</f>
        <v>0</v>
      </c>
      <c r="V414" s="52">
        <f>IF($C414="B",VLOOKUP($A414,Bat!$A$4:$BA$1417,48,FALSE),VLOOKUP($A414,Pit!$A$4:$BF$570,57,FALSE))</f>
        <v>0</v>
      </c>
      <c r="W414" s="52">
        <f>Table5[[#This Row],[posRnk]]+Table5[[#This Row],[zRnk]]+IF($W$3&lt;&gt;Table5[[#This Row],[Type]],50,0)</f>
        <v>460</v>
      </c>
      <c r="X414" s="53">
        <f>RANK(Table5[[#This Row],[zScore]],Table5[[#All],[zScore]])</f>
        <v>410</v>
      </c>
      <c r="Y414" s="52" t="str">
        <f>IFERROR(INDEX(DraftResults[[#All],[OVR]],MATCH(Table5[[#This Row],[PID]],DraftResults[[#All],[Player ID]],0)),"")</f>
        <v/>
      </c>
      <c r="Z4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4" s="52" t="str">
        <f>IFERROR(INDEX(DraftResults[[#All],[Pick in Round]],MATCH(Table5[[#This Row],[PID]],DraftResults[[#All],[Player ID]],0)),"")</f>
        <v/>
      </c>
      <c r="AB414" s="52" t="str">
        <f>IFERROR(INDEX(DraftResults[[#All],[Team Name]],MATCH(Table5[[#This Row],[PID]],DraftResults[[#All],[Player ID]],0)),"")</f>
        <v/>
      </c>
      <c r="AC414" s="52" t="str">
        <f>IF(Table5[[#This Row],[Ovr]]="","",IF(Table5[[#This Row],[cmbList]]="","",Table5[[#This Row],[cmbList]]-Table5[[#This Row],[Ovr]]))</f>
        <v/>
      </c>
      <c r="AD414" s="56" t="str">
        <f>IF(ISERROR(VLOOKUP($AB414&amp;"-"&amp;$E414&amp;" "&amp;F414,Bonuses!$B$1:$G$1006,4,FALSE)),"",INT(VLOOKUP($AB414&amp;"-"&amp;$E414&amp;" "&amp;$F414,Bonuses!$B$1:$G$1006,4,FALSE)))</f>
        <v/>
      </c>
      <c r="AE4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5" spans="1:31" s="52" customFormat="1" x14ac:dyDescent="0.25">
      <c r="A415" s="52">
        <v>10116</v>
      </c>
      <c r="B415" s="52">
        <f>COUNTIF(Table5[PID],A415)</f>
        <v>1</v>
      </c>
      <c r="C415" s="52" t="str">
        <f>IF(COUNTIF(Table3[[#All],[PID]],A415)&gt;0,"P","B")</f>
        <v>P</v>
      </c>
      <c r="D415" s="61" t="str">
        <f>IF($C415="B",INDEX(Batters[[#All],[POS]],MATCH(Table5[[#This Row],[PID]],Batters[[#All],[PID]],0)),INDEX(Table3[[#All],[POS]],MATCH(Table5[[#This Row],[PID]],Table3[[#All],[PID]],0)))</f>
        <v>SP</v>
      </c>
      <c r="E415" s="54" t="str">
        <f>IF($C415="B",INDEX(Batters[[#All],[First]],MATCH(Table5[[#This Row],[PID]],Batters[[#All],[PID]],0)),INDEX(Table3[[#All],[First]],MATCH(Table5[[#This Row],[PID]],Table3[[#All],[PID]],0)))</f>
        <v>Lee</v>
      </c>
      <c r="F415" s="52" t="str">
        <f>IF($C415="B",INDEX(Batters[[#All],[Last]],MATCH(A415,Batters[[#All],[PID]],0)),INDEX(Table3[[#All],[Last]],MATCH(A415,Table3[[#All],[PID]],0)))</f>
        <v>Reyes</v>
      </c>
      <c r="G415" s="58">
        <f>IF($C415="B",INDEX(Batters[[#All],[Age]],MATCH(Table5[[#This Row],[PID]],Batters[[#All],[PID]],0)),INDEX(Table3[[#All],[Age]],MATCH(Table5[[#This Row],[PID]],Table3[[#All],[PID]],0)))</f>
        <v>21</v>
      </c>
      <c r="H415" s="54" t="str">
        <f>IF($C415="B",INDEX(Batters[[#All],[B]],MATCH(Table5[[#This Row],[PID]],Batters[[#All],[PID]],0)),INDEX(Table3[[#All],[B]],MATCH(Table5[[#This Row],[PID]],Table3[[#All],[PID]],0)))</f>
        <v>R</v>
      </c>
      <c r="I415" s="54" t="str">
        <f>IF($C415="B",INDEX(Batters[[#All],[T]],MATCH(Table5[[#This Row],[PID]],Batters[[#All],[PID]],0)),INDEX(Table3[[#All],[T]],MATCH(Table5[[#This Row],[PID]],Table3[[#All],[PID]],0)))</f>
        <v>R</v>
      </c>
      <c r="J415" s="54" t="str">
        <f>IF($C415="B",INDEX(Batters[[#All],[WE]],MATCH(Table5[[#This Row],[PID]],Batters[[#All],[PID]],0)),INDEX(Table3[[#All],[WE]],MATCH(Table5[[#This Row],[PID]],Table3[[#All],[PID]],0)))</f>
        <v>Normal</v>
      </c>
      <c r="K415" s="54" t="str">
        <f>IF($C415="B",INDEX(Batters[[#All],[INT]],MATCH(Table5[[#This Row],[PID]],Batters[[#All],[PID]],0)),INDEX(Table3[[#All],[INT]],MATCH(Table5[[#This Row],[PID]],Table3[[#All],[PID]],0)))</f>
        <v>Normal</v>
      </c>
      <c r="L415" s="62">
        <f>IF($C415="B",INDEX(Batters[[#All],[CON P]],MATCH(Table5[[#This Row],[PID]],Batters[[#All],[PID]],0)),INDEX(Table3[[#All],[STU P]],MATCH(Table5[[#This Row],[PID]],Table3[[#All],[PID]],0)))</f>
        <v>5</v>
      </c>
      <c r="M415" s="58">
        <f>IF($C415="B",INDEX(Batters[[#All],[GAP P]],MATCH(Table5[[#This Row],[PID]],Batters[[#All],[PID]],0)),INDEX(Table3[[#All],[MOV P]],MATCH(Table5[[#This Row],[PID]],Table3[[#All],[PID]],0)))</f>
        <v>3</v>
      </c>
      <c r="N415" s="58">
        <f>IF($C415="B",INDEX(Batters[[#All],[POW P]],MATCH(Table5[[#This Row],[PID]],Batters[[#All],[PID]],0)),INDEX(Table3[[#All],[CON P]],MATCH(Table5[[#This Row],[PID]],Table3[[#All],[PID]],0)))</f>
        <v>2</v>
      </c>
      <c r="O415" s="58" t="str">
        <f>IF($C415="B",INDEX(Batters[[#All],[EYE P]],MATCH(Table5[[#This Row],[PID]],Batters[[#All],[PID]],0)),INDEX(Table3[[#All],[VELO]],MATCH(Table5[[#This Row],[PID]],Table3[[#All],[PID]],0)))</f>
        <v>92-94 Mph</v>
      </c>
      <c r="P415" s="58">
        <f>IF($C415="B",INDEX(Batters[[#All],[K P]],MATCH(Table5[[#This Row],[PID]],Batters[[#All],[PID]],0)),INDEX(Table3[[#All],[STM]],MATCH(Table5[[#This Row],[PID]],Table3[[#All],[PID]],0)))</f>
        <v>4</v>
      </c>
      <c r="Q415" s="63">
        <f>IF($C415="B",INDEX(Batters[[#All],[Tot]],MATCH(Table5[[#This Row],[PID]],Batters[[#All],[PID]],0)),INDEX(Table3[[#All],[Tot]],MATCH(Table5[[#This Row],[PID]],Table3[[#All],[PID]],0)))</f>
        <v>33.511577757251999</v>
      </c>
      <c r="R415" s="54">
        <f>IF($C415="B",INDEX(Batters[[#All],[zScore]],MATCH(Table5[[#This Row],[PID]],Batters[[#All],[PID]],0)),INDEX(Table3[[#All],[zScore]],MATCH(Table5[[#This Row],[PID]],Table3[[#All],[PID]],0)))</f>
        <v>7.2384650676675613E-2</v>
      </c>
      <c r="S415" s="60" t="str">
        <f>IF($C415="B",INDEX(Batters[[#All],[DEM]],MATCH(Table5[[#This Row],[PID]],Batters[[#All],[PID]],0)),INDEX(Table3[[#All],[DEM]],MATCH(Table5[[#This Row],[PID]],Table3[[#All],[PID]],0)))</f>
        <v>$130k</v>
      </c>
      <c r="T415" s="64">
        <f>IF($C415="B",VLOOKUP($A415,Bat!$A$4:$AU$1417,46,FALSE),VLOOKUP($A415,Pit!$A$4:$BD$570,55,FALSE))</f>
        <v>0</v>
      </c>
      <c r="U415" s="52">
        <f>IF($C415="B",VLOOKUP($A415,Bat!$A$4:$BA$1417,47,FALSE),VLOOKUP($A415,Pit!$A$4:$BF$570,56,FALSE))</f>
        <v>0</v>
      </c>
      <c r="V415" s="52">
        <f>IF($C415="B",VLOOKUP($A415,Bat!$A$4:$BA$1417,48,FALSE),VLOOKUP($A415,Pit!$A$4:$BF$570,57,FALSE))</f>
        <v>0</v>
      </c>
      <c r="W415" s="52">
        <f>Table5[[#This Row],[posRnk]]+Table5[[#This Row],[zRnk]]+IF($W$3&lt;&gt;Table5[[#This Row],[Type]],50,0)</f>
        <v>461</v>
      </c>
      <c r="X415" s="53">
        <f>RANK(Table5[[#This Row],[zScore]],Table5[[#All],[zScore]])</f>
        <v>411</v>
      </c>
      <c r="Y415" s="52" t="str">
        <f>IFERROR(INDEX(DraftResults[[#All],[OVR]],MATCH(Table5[[#This Row],[PID]],DraftResults[[#All],[Player ID]],0)),"")</f>
        <v/>
      </c>
      <c r="Z4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5" s="52" t="str">
        <f>IFERROR(INDEX(DraftResults[[#All],[Pick in Round]],MATCH(Table5[[#This Row],[PID]],DraftResults[[#All],[Player ID]],0)),"")</f>
        <v/>
      </c>
      <c r="AB415" s="52" t="str">
        <f>IFERROR(INDEX(DraftResults[[#All],[Team Name]],MATCH(Table5[[#This Row],[PID]],DraftResults[[#All],[Player ID]],0)),"")</f>
        <v/>
      </c>
      <c r="AC415" s="52" t="str">
        <f>IF(Table5[[#This Row],[Ovr]]="","",IF(Table5[[#This Row],[cmbList]]="","",Table5[[#This Row],[cmbList]]-Table5[[#This Row],[Ovr]]))</f>
        <v/>
      </c>
      <c r="AD415" s="56" t="str">
        <f>IF(ISERROR(VLOOKUP($AB415&amp;"-"&amp;$E415&amp;" "&amp;F415,Bonuses!$B$1:$G$1006,4,FALSE)),"",INT(VLOOKUP($AB415&amp;"-"&amp;$E415&amp;" "&amp;$F415,Bonuses!$B$1:$G$1006,4,FALSE)))</f>
        <v/>
      </c>
      <c r="AE4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6" spans="1:31" s="52" customFormat="1" x14ac:dyDescent="0.25">
      <c r="A416" s="52">
        <v>8436</v>
      </c>
      <c r="B416" s="52">
        <f>COUNTIF(Table5[PID],A416)</f>
        <v>1</v>
      </c>
      <c r="C416" s="52" t="str">
        <f>IF(COUNTIF(Table3[[#All],[PID]],A416)&gt;0,"P","B")</f>
        <v>P</v>
      </c>
      <c r="D416" s="61" t="str">
        <f>IF($C416="B",INDEX(Batters[[#All],[POS]],MATCH(Table5[[#This Row],[PID]],Batters[[#All],[PID]],0)),INDEX(Table3[[#All],[POS]],MATCH(Table5[[#This Row],[PID]],Table3[[#All],[PID]],0)))</f>
        <v>RP</v>
      </c>
      <c r="E416" s="54" t="str">
        <f>IF($C416="B",INDEX(Batters[[#All],[First]],MATCH(Table5[[#This Row],[PID]],Batters[[#All],[PID]],0)),INDEX(Table3[[#All],[First]],MATCH(Table5[[#This Row],[PID]],Table3[[#All],[PID]],0)))</f>
        <v>Emílio</v>
      </c>
      <c r="F416" s="52" t="str">
        <f>IF($C416="B",INDEX(Batters[[#All],[Last]],MATCH(A416,Batters[[#All],[PID]],0)),INDEX(Table3[[#All],[Last]],MATCH(A416,Table3[[#All],[PID]],0)))</f>
        <v>Vásquez</v>
      </c>
      <c r="G416" s="58">
        <f>IF($C416="B",INDEX(Batters[[#All],[Age]],MATCH(Table5[[#This Row],[PID]],Batters[[#All],[PID]],0)),INDEX(Table3[[#All],[Age]],MATCH(Table5[[#This Row],[PID]],Table3[[#All],[PID]],0)))</f>
        <v>18</v>
      </c>
      <c r="H416" s="54" t="str">
        <f>IF($C416="B",INDEX(Batters[[#All],[B]],MATCH(Table5[[#This Row],[PID]],Batters[[#All],[PID]],0)),INDEX(Table3[[#All],[B]],MATCH(Table5[[#This Row],[PID]],Table3[[#All],[PID]],0)))</f>
        <v>R</v>
      </c>
      <c r="I416" s="54" t="str">
        <f>IF($C416="B",INDEX(Batters[[#All],[T]],MATCH(Table5[[#This Row],[PID]],Batters[[#All],[PID]],0)),INDEX(Table3[[#All],[T]],MATCH(Table5[[#This Row],[PID]],Table3[[#All],[PID]],0)))</f>
        <v>R</v>
      </c>
      <c r="J416" s="54" t="str">
        <f>IF($C416="B",INDEX(Batters[[#All],[WE]],MATCH(Table5[[#This Row],[PID]],Batters[[#All],[PID]],0)),INDEX(Table3[[#All],[WE]],MATCH(Table5[[#This Row],[PID]],Table3[[#All],[PID]],0)))</f>
        <v>Normal</v>
      </c>
      <c r="K416" s="54" t="str">
        <f>IF($C416="B",INDEX(Batters[[#All],[INT]],MATCH(Table5[[#This Row],[PID]],Batters[[#All],[PID]],0)),INDEX(Table3[[#All],[INT]],MATCH(Table5[[#This Row],[PID]],Table3[[#All],[PID]],0)))</f>
        <v>Low</v>
      </c>
      <c r="L416" s="62">
        <f>IF($C416="B",INDEX(Batters[[#All],[CON P]],MATCH(Table5[[#This Row],[PID]],Batters[[#All],[PID]],0)),INDEX(Table3[[#All],[STU P]],MATCH(Table5[[#This Row],[PID]],Table3[[#All],[PID]],0)))</f>
        <v>5</v>
      </c>
      <c r="M416" s="58">
        <f>IF($C416="B",INDEX(Batters[[#All],[GAP P]],MATCH(Table5[[#This Row],[PID]],Batters[[#All],[PID]],0)),INDEX(Table3[[#All],[MOV P]],MATCH(Table5[[#This Row],[PID]],Table3[[#All],[PID]],0)))</f>
        <v>2</v>
      </c>
      <c r="N416" s="58">
        <f>IF($C416="B",INDEX(Batters[[#All],[POW P]],MATCH(Table5[[#This Row],[PID]],Batters[[#All],[PID]],0)),INDEX(Table3[[#All],[CON P]],MATCH(Table5[[#This Row],[PID]],Table3[[#All],[PID]],0)))</f>
        <v>2</v>
      </c>
      <c r="O416" s="58" t="str">
        <f>IF($C416="B",INDEX(Batters[[#All],[EYE P]],MATCH(Table5[[#This Row],[PID]],Batters[[#All],[PID]],0)),INDEX(Table3[[#All],[VELO]],MATCH(Table5[[#This Row],[PID]],Table3[[#All],[PID]],0)))</f>
        <v>88-90 Mph</v>
      </c>
      <c r="P416" s="58">
        <f>IF($C416="B",INDEX(Batters[[#All],[K P]],MATCH(Table5[[#This Row],[PID]],Batters[[#All],[PID]],0)),INDEX(Table3[[#All],[STM]],MATCH(Table5[[#This Row],[PID]],Table3[[#All],[PID]],0)))</f>
        <v>6</v>
      </c>
      <c r="Q416" s="63">
        <f>IF($C416="B",INDEX(Batters[[#All],[Tot]],MATCH(Table5[[#This Row],[PID]],Batters[[#All],[PID]],0)),INDEX(Table3[[#All],[Tot]],MATCH(Table5[[#This Row],[PID]],Table3[[#All],[PID]],0)))</f>
        <v>33.510832385740969</v>
      </c>
      <c r="R416" s="54">
        <f>IF($C416="B",INDEX(Batters[[#All],[zScore]],MATCH(Table5[[#This Row],[PID]],Batters[[#All],[PID]],0)),INDEX(Table3[[#All],[zScore]],MATCH(Table5[[#This Row],[PID]],Table3[[#All],[PID]],0)))</f>
        <v>7.2316296923329346E-2</v>
      </c>
      <c r="S416" s="60" t="str">
        <f>IF($C416="B",INDEX(Batters[[#All],[DEM]],MATCH(Table5[[#This Row],[PID]],Batters[[#All],[PID]],0)),INDEX(Table3[[#All],[DEM]],MATCH(Table5[[#This Row],[PID]],Table3[[#All],[PID]],0)))</f>
        <v>$65k</v>
      </c>
      <c r="T416" s="64">
        <f>IF($C416="B",VLOOKUP($A416,Bat!$A$4:$AU$1417,46,FALSE),VLOOKUP($A416,Pit!$A$4:$BD$570,55,FALSE))</f>
        <v>0</v>
      </c>
      <c r="U416" s="52">
        <f>IF($C416="B",VLOOKUP($A416,Bat!$A$4:$BA$1417,47,FALSE),VLOOKUP($A416,Pit!$A$4:$BF$570,56,FALSE))</f>
        <v>0</v>
      </c>
      <c r="V416" s="52">
        <f>IF($C416="B",VLOOKUP($A416,Bat!$A$4:$BA$1417,48,FALSE),VLOOKUP($A416,Pit!$A$4:$BF$570,57,FALSE))</f>
        <v>0</v>
      </c>
      <c r="W416" s="52">
        <f>Table5[[#This Row],[posRnk]]+Table5[[#This Row],[zRnk]]+IF($W$3&lt;&gt;Table5[[#This Row],[Type]],50,0)</f>
        <v>462</v>
      </c>
      <c r="X416" s="53">
        <f>RANK(Table5[[#This Row],[zScore]],Table5[[#All],[zScore]])</f>
        <v>412</v>
      </c>
      <c r="Y416" s="52" t="str">
        <f>IFERROR(INDEX(DraftResults[[#All],[OVR]],MATCH(Table5[[#This Row],[PID]],DraftResults[[#All],[Player ID]],0)),"")</f>
        <v/>
      </c>
      <c r="Z4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6" s="52" t="str">
        <f>IFERROR(INDEX(DraftResults[[#All],[Pick in Round]],MATCH(Table5[[#This Row],[PID]],DraftResults[[#All],[Player ID]],0)),"")</f>
        <v/>
      </c>
      <c r="AB416" s="52" t="str">
        <f>IFERROR(INDEX(DraftResults[[#All],[Team Name]],MATCH(Table5[[#This Row],[PID]],DraftResults[[#All],[Player ID]],0)),"")</f>
        <v/>
      </c>
      <c r="AC416" s="52" t="str">
        <f>IF(Table5[[#This Row],[Ovr]]="","",IF(Table5[[#This Row],[cmbList]]="","",Table5[[#This Row],[cmbList]]-Table5[[#This Row],[Ovr]]))</f>
        <v/>
      </c>
      <c r="AD416" s="56" t="str">
        <f>IF(ISERROR(VLOOKUP($AB416&amp;"-"&amp;$E416&amp;" "&amp;F416,Bonuses!$B$1:$G$1006,4,FALSE)),"",INT(VLOOKUP($AB416&amp;"-"&amp;$E416&amp;" "&amp;$F416,Bonuses!$B$1:$G$1006,4,FALSE)))</f>
        <v/>
      </c>
      <c r="AE4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7" spans="1:31" s="52" customFormat="1" x14ac:dyDescent="0.25">
      <c r="A417" s="52">
        <v>5379</v>
      </c>
      <c r="B417" s="52">
        <f>COUNTIF(Table5[PID],A417)</f>
        <v>1</v>
      </c>
      <c r="C417" s="52" t="str">
        <f>IF(COUNTIF(Table3[[#All],[PID]],A417)&gt;0,"P","B")</f>
        <v>P</v>
      </c>
      <c r="D417" s="61" t="str">
        <f>IF($C417="B",INDEX(Batters[[#All],[POS]],MATCH(Table5[[#This Row],[PID]],Batters[[#All],[PID]],0)),INDEX(Table3[[#All],[POS]],MATCH(Table5[[#This Row],[PID]],Table3[[#All],[PID]],0)))</f>
        <v>RP</v>
      </c>
      <c r="E417" s="54" t="str">
        <f>IF($C417="B",INDEX(Batters[[#All],[First]],MATCH(Table5[[#This Row],[PID]],Batters[[#All],[PID]],0)),INDEX(Table3[[#All],[First]],MATCH(Table5[[#This Row],[PID]],Table3[[#All],[PID]],0)))</f>
        <v>Bryce</v>
      </c>
      <c r="F417" s="52" t="str">
        <f>IF($C417="B",INDEX(Batters[[#All],[Last]],MATCH(A417,Batters[[#All],[PID]],0)),INDEX(Table3[[#All],[Last]],MATCH(A417,Table3[[#All],[PID]],0)))</f>
        <v>Carver</v>
      </c>
      <c r="G417" s="58">
        <f>IF($C417="B",INDEX(Batters[[#All],[Age]],MATCH(Table5[[#This Row],[PID]],Batters[[#All],[PID]],0)),INDEX(Table3[[#All],[Age]],MATCH(Table5[[#This Row],[PID]],Table3[[#All],[PID]],0)))</f>
        <v>18</v>
      </c>
      <c r="H417" s="54" t="str">
        <f>IF($C417="B",INDEX(Batters[[#All],[B]],MATCH(Table5[[#This Row],[PID]],Batters[[#All],[PID]],0)),INDEX(Table3[[#All],[B]],MATCH(Table5[[#This Row],[PID]],Table3[[#All],[PID]],0)))</f>
        <v>R</v>
      </c>
      <c r="I417" s="54" t="str">
        <f>IF($C417="B",INDEX(Batters[[#All],[T]],MATCH(Table5[[#This Row],[PID]],Batters[[#All],[PID]],0)),INDEX(Table3[[#All],[T]],MATCH(Table5[[#This Row],[PID]],Table3[[#All],[PID]],0)))</f>
        <v>R</v>
      </c>
      <c r="J417" s="54" t="str">
        <f>IF($C417="B",INDEX(Batters[[#All],[WE]],MATCH(Table5[[#This Row],[PID]],Batters[[#All],[PID]],0)),INDEX(Table3[[#All],[WE]],MATCH(Table5[[#This Row],[PID]],Table3[[#All],[PID]],0)))</f>
        <v>Normal</v>
      </c>
      <c r="K417" s="54" t="str">
        <f>IF($C417="B",INDEX(Batters[[#All],[INT]],MATCH(Table5[[#This Row],[PID]],Batters[[#All],[PID]],0)),INDEX(Table3[[#All],[INT]],MATCH(Table5[[#This Row],[PID]],Table3[[#All],[PID]],0)))</f>
        <v>Normal</v>
      </c>
      <c r="L417" s="62">
        <f>IF($C417="B",INDEX(Batters[[#All],[CON P]],MATCH(Table5[[#This Row],[PID]],Batters[[#All],[PID]],0)),INDEX(Table3[[#All],[STU P]],MATCH(Table5[[#This Row],[PID]],Table3[[#All],[PID]],0)))</f>
        <v>5</v>
      </c>
      <c r="M417" s="58">
        <f>IF($C417="B",INDEX(Batters[[#All],[GAP P]],MATCH(Table5[[#This Row],[PID]],Batters[[#All],[PID]],0)),INDEX(Table3[[#All],[MOV P]],MATCH(Table5[[#This Row],[PID]],Table3[[#All],[PID]],0)))</f>
        <v>2</v>
      </c>
      <c r="N417" s="58">
        <f>IF($C417="B",INDEX(Batters[[#All],[POW P]],MATCH(Table5[[#This Row],[PID]],Batters[[#All],[PID]],0)),INDEX(Table3[[#All],[CON P]],MATCH(Table5[[#This Row],[PID]],Table3[[#All],[PID]],0)))</f>
        <v>2</v>
      </c>
      <c r="O417" s="58" t="str">
        <f>IF($C417="B",INDEX(Batters[[#All],[EYE P]],MATCH(Table5[[#This Row],[PID]],Batters[[#All],[PID]],0)),INDEX(Table3[[#All],[VELO]],MATCH(Table5[[#This Row],[PID]],Table3[[#All],[PID]],0)))</f>
        <v>88-90 Mph</v>
      </c>
      <c r="P417" s="58">
        <f>IF($C417="B",INDEX(Batters[[#All],[K P]],MATCH(Table5[[#This Row],[PID]],Batters[[#All],[PID]],0)),INDEX(Table3[[#All],[STM]],MATCH(Table5[[#This Row],[PID]],Table3[[#All],[PID]],0)))</f>
        <v>7</v>
      </c>
      <c r="Q417" s="63">
        <f>IF($C417="B",INDEX(Batters[[#All],[Tot]],MATCH(Table5[[#This Row],[PID]],Batters[[#All],[PID]],0)),INDEX(Table3[[#All],[Tot]],MATCH(Table5[[#This Row],[PID]],Table3[[#All],[PID]],0)))</f>
        <v>33.49828962640099</v>
      </c>
      <c r="R417" s="54">
        <f>IF($C417="B",INDEX(Batters[[#All],[zScore]],MATCH(Table5[[#This Row],[PID]],Batters[[#All],[PID]],0)),INDEX(Table3[[#All],[zScore]],MATCH(Table5[[#This Row],[PID]],Table3[[#All],[PID]],0)))</f>
        <v>7.1166072282973142E-2</v>
      </c>
      <c r="S417" s="60" t="str">
        <f>IF($C417="B",INDEX(Batters[[#All],[DEM]],MATCH(Table5[[#This Row],[PID]],Batters[[#All],[PID]],0)),INDEX(Table3[[#All],[DEM]],MATCH(Table5[[#This Row],[PID]],Table3[[#All],[PID]],0)))</f>
        <v>$65k</v>
      </c>
      <c r="T417" s="64">
        <f>IF($C417="B",VLOOKUP($A417,Bat!$A$4:$AU$1417,46,FALSE),VLOOKUP($A417,Pit!$A$4:$BD$570,55,FALSE))</f>
        <v>0</v>
      </c>
      <c r="U417" s="52">
        <f>IF($C417="B",VLOOKUP($A417,Bat!$A$4:$BA$1417,47,FALSE),VLOOKUP($A417,Pit!$A$4:$BF$570,56,FALSE))</f>
        <v>0</v>
      </c>
      <c r="V417" s="52">
        <f>IF($C417="B",VLOOKUP($A417,Bat!$A$4:$BA$1417,48,FALSE),VLOOKUP($A417,Pit!$A$4:$BF$570,57,FALSE))</f>
        <v>0</v>
      </c>
      <c r="W417" s="52">
        <f>Table5[[#This Row],[posRnk]]+Table5[[#This Row],[zRnk]]+IF($W$3&lt;&gt;Table5[[#This Row],[Type]],50,0)</f>
        <v>463</v>
      </c>
      <c r="X417" s="53">
        <f>RANK(Table5[[#This Row],[zScore]],Table5[[#All],[zScore]])</f>
        <v>413</v>
      </c>
      <c r="Y417" s="52" t="str">
        <f>IFERROR(INDEX(DraftResults[[#All],[OVR]],MATCH(Table5[[#This Row],[PID]],DraftResults[[#All],[Player ID]],0)),"")</f>
        <v/>
      </c>
      <c r="Z4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7" s="52" t="str">
        <f>IFERROR(INDEX(DraftResults[[#All],[Pick in Round]],MATCH(Table5[[#This Row],[PID]],DraftResults[[#All],[Player ID]],0)),"")</f>
        <v/>
      </c>
      <c r="AB417" s="52" t="str">
        <f>IFERROR(INDEX(DraftResults[[#All],[Team Name]],MATCH(Table5[[#This Row],[PID]],DraftResults[[#All],[Player ID]],0)),"")</f>
        <v/>
      </c>
      <c r="AC417" s="52" t="str">
        <f>IF(Table5[[#This Row],[Ovr]]="","",IF(Table5[[#This Row],[cmbList]]="","",Table5[[#This Row],[cmbList]]-Table5[[#This Row],[Ovr]]))</f>
        <v/>
      </c>
      <c r="AD417" s="56" t="str">
        <f>IF(ISERROR(VLOOKUP($AB417&amp;"-"&amp;$E417&amp;" "&amp;F417,Bonuses!$B$1:$G$1006,4,FALSE)),"",INT(VLOOKUP($AB417&amp;"-"&amp;$E417&amp;" "&amp;$F417,Bonuses!$B$1:$G$1006,4,FALSE)))</f>
        <v/>
      </c>
      <c r="AE4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8" spans="1:31" s="52" customFormat="1" x14ac:dyDescent="0.25">
      <c r="A418" s="52">
        <v>8834</v>
      </c>
      <c r="B418" s="52">
        <f>COUNTIF(Table5[PID],A418)</f>
        <v>1</v>
      </c>
      <c r="C418" s="52" t="str">
        <f>IF(COUNTIF(Table3[[#All],[PID]],A418)&gt;0,"P","B")</f>
        <v>B</v>
      </c>
      <c r="D418" s="61" t="str">
        <f>IF($C418="B",INDEX(Batters[[#All],[POS]],MATCH(Table5[[#This Row],[PID]],Batters[[#All],[PID]],0)),INDEX(Table3[[#All],[POS]],MATCH(Table5[[#This Row],[PID]],Table3[[#All],[PID]],0)))</f>
        <v>C</v>
      </c>
      <c r="E418" s="54" t="str">
        <f>IF($C418="B",INDEX(Batters[[#All],[First]],MATCH(Table5[[#This Row],[PID]],Batters[[#All],[PID]],0)),INDEX(Table3[[#All],[First]],MATCH(Table5[[#This Row],[PID]],Table3[[#All],[PID]],0)))</f>
        <v>Javier</v>
      </c>
      <c r="F418" s="52" t="str">
        <f>IF($C418="B",INDEX(Batters[[#All],[Last]],MATCH(A418,Batters[[#All],[PID]],0)),INDEX(Table3[[#All],[Last]],MATCH(A418,Table3[[#All],[PID]],0)))</f>
        <v>Hernández</v>
      </c>
      <c r="G418" s="58">
        <f>IF($C418="B",INDEX(Batters[[#All],[Age]],MATCH(Table5[[#This Row],[PID]],Batters[[#All],[PID]],0)),INDEX(Table3[[#All],[Age]],MATCH(Table5[[#This Row],[PID]],Table3[[#All],[PID]],0)))</f>
        <v>17</v>
      </c>
      <c r="H418" s="54" t="str">
        <f>IF($C418="B",INDEX(Batters[[#All],[B]],MATCH(Table5[[#This Row],[PID]],Batters[[#All],[PID]],0)),INDEX(Table3[[#All],[B]],MATCH(Table5[[#This Row],[PID]],Table3[[#All],[PID]],0)))</f>
        <v>R</v>
      </c>
      <c r="I418" s="54" t="str">
        <f>IF($C418="B",INDEX(Batters[[#All],[T]],MATCH(Table5[[#This Row],[PID]],Batters[[#All],[PID]],0)),INDEX(Table3[[#All],[T]],MATCH(Table5[[#This Row],[PID]],Table3[[#All],[PID]],0)))</f>
        <v>R</v>
      </c>
      <c r="J418" s="54" t="str">
        <f>IF($C418="B",INDEX(Batters[[#All],[WE]],MATCH(Table5[[#This Row],[PID]],Batters[[#All],[PID]],0)),INDEX(Table3[[#All],[WE]],MATCH(Table5[[#This Row],[PID]],Table3[[#All],[PID]],0)))</f>
        <v>High</v>
      </c>
      <c r="K418" s="54" t="str">
        <f>IF($C418="B",INDEX(Batters[[#All],[INT]],MATCH(Table5[[#This Row],[PID]],Batters[[#All],[PID]],0)),INDEX(Table3[[#All],[INT]],MATCH(Table5[[#This Row],[PID]],Table3[[#All],[PID]],0)))</f>
        <v>Normal</v>
      </c>
      <c r="L418" s="62">
        <f>IF($C418="B",INDEX(Batters[[#All],[CON P]],MATCH(Table5[[#This Row],[PID]],Batters[[#All],[PID]],0)),INDEX(Table3[[#All],[STU P]],MATCH(Table5[[#This Row],[PID]],Table3[[#All],[PID]],0)))</f>
        <v>3</v>
      </c>
      <c r="M418" s="58">
        <f>IF($C418="B",INDEX(Batters[[#All],[GAP P]],MATCH(Table5[[#This Row],[PID]],Batters[[#All],[PID]],0)),INDEX(Table3[[#All],[MOV P]],MATCH(Table5[[#This Row],[PID]],Table3[[#All],[PID]],0)))</f>
        <v>4</v>
      </c>
      <c r="N418" s="58">
        <f>IF($C418="B",INDEX(Batters[[#All],[POW P]],MATCH(Table5[[#This Row],[PID]],Batters[[#All],[PID]],0)),INDEX(Table3[[#All],[CON P]],MATCH(Table5[[#This Row],[PID]],Table3[[#All],[PID]],0)))</f>
        <v>3</v>
      </c>
      <c r="O418" s="58">
        <f>IF($C418="B",INDEX(Batters[[#All],[EYE P]],MATCH(Table5[[#This Row],[PID]],Batters[[#All],[PID]],0)),INDEX(Table3[[#All],[VELO]],MATCH(Table5[[#This Row],[PID]],Table3[[#All],[PID]],0)))</f>
        <v>4</v>
      </c>
      <c r="P418" s="58">
        <f>IF($C418="B",INDEX(Batters[[#All],[K P]],MATCH(Table5[[#This Row],[PID]],Batters[[#All],[PID]],0)),INDEX(Table3[[#All],[STM]],MATCH(Table5[[#This Row],[PID]],Table3[[#All],[PID]],0)))</f>
        <v>3</v>
      </c>
      <c r="Q418" s="63">
        <f>IF($C418="B",INDEX(Batters[[#All],[Tot]],MATCH(Table5[[#This Row],[PID]],Batters[[#All],[PID]],0)),INDEX(Table3[[#All],[Tot]],MATCH(Table5[[#This Row],[PID]],Table3[[#All],[PID]],0)))</f>
        <v>40.705765152116712</v>
      </c>
      <c r="R418" s="54">
        <f>IF($C418="B",INDEX(Batters[[#All],[zScore]],MATCH(Table5[[#This Row],[PID]],Batters[[#All],[PID]],0)),INDEX(Table3[[#All],[zScore]],MATCH(Table5[[#This Row],[PID]],Table3[[#All],[PID]],0)))</f>
        <v>6.2902879674121476E-2</v>
      </c>
      <c r="S418" s="60" t="str">
        <f>IF($C418="B",INDEX(Batters[[#All],[DEM]],MATCH(Table5[[#This Row],[PID]],Batters[[#All],[PID]],0)),INDEX(Table3[[#All],[DEM]],MATCH(Table5[[#This Row],[PID]],Table3[[#All],[PID]],0)))</f>
        <v>$190k</v>
      </c>
      <c r="T418" s="64">
        <f>IF($C418="B",VLOOKUP($A418,Bat!$A$4:$AU$1417,46,FALSE),VLOOKUP($A418,Pit!$A$4:$BD$570,55,FALSE))</f>
        <v>0</v>
      </c>
      <c r="U418" s="52">
        <f>IF($C418="B",VLOOKUP($A418,Bat!$A$4:$BA$1417,47,FALSE),VLOOKUP($A418,Pit!$A$4:$BF$570,56,FALSE))</f>
        <v>0</v>
      </c>
      <c r="V418" s="52">
        <f>IF($C418="B",VLOOKUP($A418,Bat!$A$4:$BA$1417,48,FALSE),VLOOKUP($A418,Pit!$A$4:$BF$570,57,FALSE))</f>
        <v>0</v>
      </c>
      <c r="W418" s="52">
        <f>Table5[[#This Row],[posRnk]]+Table5[[#This Row],[zRnk]]+IF($W$3&lt;&gt;Table5[[#This Row],[Type]],50,0)</f>
        <v>464</v>
      </c>
      <c r="X418" s="53">
        <f>RANK(Table5[[#This Row],[zScore]],Table5[[#All],[zScore]])</f>
        <v>414</v>
      </c>
      <c r="Y418" s="52" t="str">
        <f>IFERROR(INDEX(DraftResults[[#All],[OVR]],MATCH(Table5[[#This Row],[PID]],DraftResults[[#All],[Player ID]],0)),"")</f>
        <v/>
      </c>
      <c r="Z4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8" s="52" t="str">
        <f>IFERROR(INDEX(DraftResults[[#All],[Pick in Round]],MATCH(Table5[[#This Row],[PID]],DraftResults[[#All],[Player ID]],0)),"")</f>
        <v/>
      </c>
      <c r="AB418" s="52" t="str">
        <f>IFERROR(INDEX(DraftResults[[#All],[Team Name]],MATCH(Table5[[#This Row],[PID]],DraftResults[[#All],[Player ID]],0)),"")</f>
        <v/>
      </c>
      <c r="AC418" s="52" t="str">
        <f>IF(Table5[[#This Row],[Ovr]]="","",IF(Table5[[#This Row],[cmbList]]="","",Table5[[#This Row],[cmbList]]-Table5[[#This Row],[Ovr]]))</f>
        <v/>
      </c>
      <c r="AD418" s="56" t="str">
        <f>IF(ISERROR(VLOOKUP($AB418&amp;"-"&amp;$E418&amp;" "&amp;F418,Bonuses!$B$1:$G$1006,4,FALSE)),"",INT(VLOOKUP($AB418&amp;"-"&amp;$E418&amp;" "&amp;$F418,Bonuses!$B$1:$G$1006,4,FALSE)))</f>
        <v/>
      </c>
      <c r="AE4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9" spans="1:31" s="52" customFormat="1" x14ac:dyDescent="0.25">
      <c r="A419" s="52">
        <v>6241</v>
      </c>
      <c r="B419" s="52">
        <f>COUNTIF(Table5[PID],A419)</f>
        <v>1</v>
      </c>
      <c r="C419" s="52" t="str">
        <f>IF(COUNTIF(Table3[[#All],[PID]],A419)&gt;0,"P","B")</f>
        <v>P</v>
      </c>
      <c r="D419" s="61" t="str">
        <f>IF($C419="B",INDEX(Batters[[#All],[POS]],MATCH(Table5[[#This Row],[PID]],Batters[[#All],[PID]],0)),INDEX(Table3[[#All],[POS]],MATCH(Table5[[#This Row],[PID]],Table3[[#All],[PID]],0)))</f>
        <v>RP</v>
      </c>
      <c r="E419" s="54" t="str">
        <f>IF($C419="B",INDEX(Batters[[#All],[First]],MATCH(Table5[[#This Row],[PID]],Batters[[#All],[PID]],0)),INDEX(Table3[[#All],[First]],MATCH(Table5[[#This Row],[PID]],Table3[[#All],[PID]],0)))</f>
        <v>Nori</v>
      </c>
      <c r="F419" s="52" t="str">
        <f>IF($C419="B",INDEX(Batters[[#All],[Last]],MATCH(A419,Batters[[#All],[PID]],0)),INDEX(Table3[[#All],[Last]],MATCH(A419,Table3[[#All],[PID]],0)))</f>
        <v>Uchiyama</v>
      </c>
      <c r="G419" s="58">
        <f>IF($C419="B",INDEX(Batters[[#All],[Age]],MATCH(Table5[[#This Row],[PID]],Batters[[#All],[PID]],0)),INDEX(Table3[[#All],[Age]],MATCH(Table5[[#This Row],[PID]],Table3[[#All],[PID]],0)))</f>
        <v>18</v>
      </c>
      <c r="H419" s="54" t="str">
        <f>IF($C419="B",INDEX(Batters[[#All],[B]],MATCH(Table5[[#This Row],[PID]],Batters[[#All],[PID]],0)),INDEX(Table3[[#All],[B]],MATCH(Table5[[#This Row],[PID]],Table3[[#All],[PID]],0)))</f>
        <v>R</v>
      </c>
      <c r="I419" s="54" t="str">
        <f>IF($C419="B",INDEX(Batters[[#All],[T]],MATCH(Table5[[#This Row],[PID]],Batters[[#All],[PID]],0)),INDEX(Table3[[#All],[T]],MATCH(Table5[[#This Row],[PID]],Table3[[#All],[PID]],0)))</f>
        <v>R</v>
      </c>
      <c r="J419" s="54" t="str">
        <f>IF($C419="B",INDEX(Batters[[#All],[WE]],MATCH(Table5[[#This Row],[PID]],Batters[[#All],[PID]],0)),INDEX(Table3[[#All],[WE]],MATCH(Table5[[#This Row],[PID]],Table3[[#All],[PID]],0)))</f>
        <v>Low</v>
      </c>
      <c r="K419" s="54" t="str">
        <f>IF($C419="B",INDEX(Batters[[#All],[INT]],MATCH(Table5[[#This Row],[PID]],Batters[[#All],[PID]],0)),INDEX(Table3[[#All],[INT]],MATCH(Table5[[#This Row],[PID]],Table3[[#All],[PID]],0)))</f>
        <v>Normal</v>
      </c>
      <c r="L419" s="62">
        <f>IF($C419="B",INDEX(Batters[[#All],[CON P]],MATCH(Table5[[#This Row],[PID]],Batters[[#All],[PID]],0)),INDEX(Table3[[#All],[STU P]],MATCH(Table5[[#This Row],[PID]],Table3[[#All],[PID]],0)))</f>
        <v>4</v>
      </c>
      <c r="M419" s="58">
        <f>IF($C419="B",INDEX(Batters[[#All],[GAP P]],MATCH(Table5[[#This Row],[PID]],Batters[[#All],[PID]],0)),INDEX(Table3[[#All],[MOV P]],MATCH(Table5[[#This Row],[PID]],Table3[[#All],[PID]],0)))</f>
        <v>2</v>
      </c>
      <c r="N419" s="58">
        <f>IF($C419="B",INDEX(Batters[[#All],[POW P]],MATCH(Table5[[#This Row],[PID]],Batters[[#All],[PID]],0)),INDEX(Table3[[#All],[CON P]],MATCH(Table5[[#This Row],[PID]],Table3[[#All],[PID]],0)))</f>
        <v>3</v>
      </c>
      <c r="O419" s="58" t="str">
        <f>IF($C419="B",INDEX(Batters[[#All],[EYE P]],MATCH(Table5[[#This Row],[PID]],Batters[[#All],[PID]],0)),INDEX(Table3[[#All],[VELO]],MATCH(Table5[[#This Row],[PID]],Table3[[#All],[PID]],0)))</f>
        <v>87-89 Mph</v>
      </c>
      <c r="P419" s="58">
        <f>IF($C419="B",INDEX(Batters[[#All],[K P]],MATCH(Table5[[#This Row],[PID]],Batters[[#All],[PID]],0)),INDEX(Table3[[#All],[STM]],MATCH(Table5[[#This Row],[PID]],Table3[[#All],[PID]],0)))</f>
        <v>6</v>
      </c>
      <c r="Q419" s="63">
        <f>IF($C419="B",INDEX(Batters[[#All],[Tot]],MATCH(Table5[[#This Row],[PID]],Batters[[#All],[PID]],0)),INDEX(Table3[[#All],[Tot]],MATCH(Table5[[#This Row],[PID]],Table3[[#All],[PID]],0)))</f>
        <v>33.370852595867234</v>
      </c>
      <c r="R419" s="54">
        <f>IF($C419="B",INDEX(Batters[[#All],[zScore]],MATCH(Table5[[#This Row],[PID]],Batters[[#All],[PID]],0)),INDEX(Table3[[#All],[zScore]],MATCH(Table5[[#This Row],[PID]],Table3[[#All],[PID]],0)))</f>
        <v>5.9479551905711733E-2</v>
      </c>
      <c r="S419" s="60" t="str">
        <f>IF($C419="B",INDEX(Batters[[#All],[DEM]],MATCH(Table5[[#This Row],[PID]],Batters[[#All],[PID]],0)),INDEX(Table3[[#All],[DEM]],MATCH(Table5[[#This Row],[PID]],Table3[[#All],[PID]],0)))</f>
        <v>$2.4m</v>
      </c>
      <c r="T419" s="64">
        <f>IF($C419="B",VLOOKUP($A419,Bat!$A$4:$AU$1417,46,FALSE),VLOOKUP($A419,Pit!$A$4:$BD$570,55,FALSE))</f>
        <v>0</v>
      </c>
      <c r="U419" s="52">
        <f>IF($C419="B",VLOOKUP($A419,Bat!$A$4:$BA$1417,47,FALSE),VLOOKUP($A419,Pit!$A$4:$BF$570,56,FALSE))</f>
        <v>0</v>
      </c>
      <c r="V419" s="52">
        <f>IF($C419="B",VLOOKUP($A419,Bat!$A$4:$BA$1417,48,FALSE),VLOOKUP($A419,Pit!$A$4:$BF$570,57,FALSE))</f>
        <v>0</v>
      </c>
      <c r="W419" s="52">
        <f>Table5[[#This Row],[posRnk]]+Table5[[#This Row],[zRnk]]+IF($W$3&lt;&gt;Table5[[#This Row],[Type]],50,0)</f>
        <v>465</v>
      </c>
      <c r="X419" s="53">
        <f>RANK(Table5[[#This Row],[zScore]],Table5[[#All],[zScore]])</f>
        <v>415</v>
      </c>
      <c r="Y419" s="52" t="str">
        <f>IFERROR(INDEX(DraftResults[[#All],[OVR]],MATCH(Table5[[#This Row],[PID]],DraftResults[[#All],[Player ID]],0)),"")</f>
        <v/>
      </c>
      <c r="Z4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9" s="52" t="str">
        <f>IFERROR(INDEX(DraftResults[[#All],[Pick in Round]],MATCH(Table5[[#This Row],[PID]],DraftResults[[#All],[Player ID]],0)),"")</f>
        <v/>
      </c>
      <c r="AB419" s="52" t="str">
        <f>IFERROR(INDEX(DraftResults[[#All],[Team Name]],MATCH(Table5[[#This Row],[PID]],DraftResults[[#All],[Player ID]],0)),"")</f>
        <v/>
      </c>
      <c r="AC419" s="52" t="str">
        <f>IF(Table5[[#This Row],[Ovr]]="","",IF(Table5[[#This Row],[cmbList]]="","",Table5[[#This Row],[cmbList]]-Table5[[#This Row],[Ovr]]))</f>
        <v/>
      </c>
      <c r="AD419" s="56" t="str">
        <f>IF(ISERROR(VLOOKUP($AB419&amp;"-"&amp;$E419&amp;" "&amp;F419,Bonuses!$B$1:$G$1006,4,FALSE)),"",INT(VLOOKUP($AB419&amp;"-"&amp;$E419&amp;" "&amp;$F419,Bonuses!$B$1:$G$1006,4,FALSE)))</f>
        <v/>
      </c>
      <c r="AE4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0" spans="1:31" s="52" customFormat="1" x14ac:dyDescent="0.25">
      <c r="A420" s="52">
        <v>17890</v>
      </c>
      <c r="B420" s="52">
        <f>COUNTIF(Table5[PID],A420)</f>
        <v>1</v>
      </c>
      <c r="C420" s="52" t="str">
        <f>IF(COUNTIF(Table3[[#All],[PID]],A420)&gt;0,"P","B")</f>
        <v>P</v>
      </c>
      <c r="D420" s="61" t="str">
        <f>IF($C420="B",INDEX(Batters[[#All],[POS]],MATCH(Table5[[#This Row],[PID]],Batters[[#All],[PID]],0)),INDEX(Table3[[#All],[POS]],MATCH(Table5[[#This Row],[PID]],Table3[[#All],[PID]],0)))</f>
        <v>RP</v>
      </c>
      <c r="E420" s="54" t="str">
        <f>IF($C420="B",INDEX(Batters[[#All],[First]],MATCH(Table5[[#This Row],[PID]],Batters[[#All],[PID]],0)),INDEX(Table3[[#All],[First]],MATCH(Table5[[#This Row],[PID]],Table3[[#All],[PID]],0)))</f>
        <v>Anastasio</v>
      </c>
      <c r="F420" s="52" t="str">
        <f>IF($C420="B",INDEX(Batters[[#All],[Last]],MATCH(A420,Batters[[#All],[PID]],0)),INDEX(Table3[[#All],[Last]],MATCH(A420,Table3[[#All],[PID]],0)))</f>
        <v>Loucel</v>
      </c>
      <c r="G420" s="58">
        <f>IF($C420="B",INDEX(Batters[[#All],[Age]],MATCH(Table5[[#This Row],[PID]],Batters[[#All],[PID]],0)),INDEX(Table3[[#All],[Age]],MATCH(Table5[[#This Row],[PID]],Table3[[#All],[PID]],0)))</f>
        <v>18</v>
      </c>
      <c r="H420" s="54" t="str">
        <f>IF($C420="B",INDEX(Batters[[#All],[B]],MATCH(Table5[[#This Row],[PID]],Batters[[#All],[PID]],0)),INDEX(Table3[[#All],[B]],MATCH(Table5[[#This Row],[PID]],Table3[[#All],[PID]],0)))</f>
        <v>S</v>
      </c>
      <c r="I420" s="54" t="str">
        <f>IF($C420="B",INDEX(Batters[[#All],[T]],MATCH(Table5[[#This Row],[PID]],Batters[[#All],[PID]],0)),INDEX(Table3[[#All],[T]],MATCH(Table5[[#This Row],[PID]],Table3[[#All],[PID]],0)))</f>
        <v>R</v>
      </c>
      <c r="J420" s="54" t="str">
        <f>IF($C420="B",INDEX(Batters[[#All],[WE]],MATCH(Table5[[#This Row],[PID]],Batters[[#All],[PID]],0)),INDEX(Table3[[#All],[WE]],MATCH(Table5[[#This Row],[PID]],Table3[[#All],[PID]],0)))</f>
        <v>Normal</v>
      </c>
      <c r="K420" s="54" t="str">
        <f>IF($C420="B",INDEX(Batters[[#All],[INT]],MATCH(Table5[[#This Row],[PID]],Batters[[#All],[PID]],0)),INDEX(Table3[[#All],[INT]],MATCH(Table5[[#This Row],[PID]],Table3[[#All],[PID]],0)))</f>
        <v>Normal</v>
      </c>
      <c r="L420" s="62">
        <f>IF($C420="B",INDEX(Batters[[#All],[CON P]],MATCH(Table5[[#This Row],[PID]],Batters[[#All],[PID]],0)),INDEX(Table3[[#All],[STU P]],MATCH(Table5[[#This Row],[PID]],Table3[[#All],[PID]],0)))</f>
        <v>5</v>
      </c>
      <c r="M420" s="58">
        <f>IF($C420="B",INDEX(Batters[[#All],[GAP P]],MATCH(Table5[[#This Row],[PID]],Batters[[#All],[PID]],0)),INDEX(Table3[[#All],[MOV P]],MATCH(Table5[[#This Row],[PID]],Table3[[#All],[PID]],0)))</f>
        <v>2</v>
      </c>
      <c r="N420" s="58">
        <f>IF($C420="B",INDEX(Batters[[#All],[POW P]],MATCH(Table5[[#This Row],[PID]],Batters[[#All],[PID]],0)),INDEX(Table3[[#All],[CON P]],MATCH(Table5[[#This Row],[PID]],Table3[[#All],[PID]],0)))</f>
        <v>2</v>
      </c>
      <c r="O420" s="58" t="str">
        <f>IF($C420="B",INDEX(Batters[[#All],[EYE P]],MATCH(Table5[[#This Row],[PID]],Batters[[#All],[PID]],0)),INDEX(Table3[[#All],[VELO]],MATCH(Table5[[#This Row],[PID]],Table3[[#All],[PID]],0)))</f>
        <v>87-89 Mph</v>
      </c>
      <c r="P420" s="58">
        <f>IF($C420="B",INDEX(Batters[[#All],[K P]],MATCH(Table5[[#This Row],[PID]],Batters[[#All],[PID]],0)),INDEX(Table3[[#All],[STM]],MATCH(Table5[[#This Row],[PID]],Table3[[#All],[PID]],0)))</f>
        <v>8</v>
      </c>
      <c r="Q420" s="63">
        <f>IF($C420="B",INDEX(Batters[[#All],[Tot]],MATCH(Table5[[#This Row],[PID]],Batters[[#All],[PID]],0)),INDEX(Table3[[#All],[Tot]],MATCH(Table5[[#This Row],[PID]],Table3[[#All],[PID]],0)))</f>
        <v>33.348289626400991</v>
      </c>
      <c r="R420" s="54">
        <f>IF($C420="B",INDEX(Batters[[#All],[zScore]],MATCH(Table5[[#This Row],[PID]],Batters[[#All],[PID]],0)),INDEX(Table3[[#All],[zScore]],MATCH(Table5[[#This Row],[PID]],Table3[[#All],[PID]],0)))</f>
        <v>5.7410431169498941E-2</v>
      </c>
      <c r="S420" s="60" t="str">
        <f>IF($C420="B",INDEX(Batters[[#All],[DEM]],MATCH(Table5[[#This Row],[PID]],Batters[[#All],[PID]],0)),INDEX(Table3[[#All],[DEM]],MATCH(Table5[[#This Row],[PID]],Table3[[#All],[PID]],0)))</f>
        <v>$95k</v>
      </c>
      <c r="T420" s="64">
        <f>IF($C420="B",VLOOKUP($A420,Bat!$A$4:$AU$1417,46,FALSE),VLOOKUP($A420,Pit!$A$4:$BD$570,55,FALSE))</f>
        <v>0</v>
      </c>
      <c r="U420" s="52">
        <f>IF($C420="B",VLOOKUP($A420,Bat!$A$4:$BA$1417,47,FALSE),VLOOKUP($A420,Pit!$A$4:$BF$570,56,FALSE))</f>
        <v>0</v>
      </c>
      <c r="V420" s="52">
        <f>IF($C420="B",VLOOKUP($A420,Bat!$A$4:$BA$1417,48,FALSE),VLOOKUP($A420,Pit!$A$4:$BF$570,57,FALSE))</f>
        <v>0</v>
      </c>
      <c r="W420" s="52">
        <f>Table5[[#This Row],[posRnk]]+Table5[[#This Row],[zRnk]]+IF($W$3&lt;&gt;Table5[[#This Row],[Type]],50,0)</f>
        <v>466</v>
      </c>
      <c r="X420" s="53">
        <f>RANK(Table5[[#This Row],[zScore]],Table5[[#All],[zScore]])</f>
        <v>416</v>
      </c>
      <c r="Y420" s="52" t="str">
        <f>IFERROR(INDEX(DraftResults[[#All],[OVR]],MATCH(Table5[[#This Row],[PID]],DraftResults[[#All],[Player ID]],0)),"")</f>
        <v/>
      </c>
      <c r="Z4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0" s="52" t="str">
        <f>IFERROR(INDEX(DraftResults[[#All],[Pick in Round]],MATCH(Table5[[#This Row],[PID]],DraftResults[[#All],[Player ID]],0)),"")</f>
        <v/>
      </c>
      <c r="AB420" s="52" t="str">
        <f>IFERROR(INDEX(DraftResults[[#All],[Team Name]],MATCH(Table5[[#This Row],[PID]],DraftResults[[#All],[Player ID]],0)),"")</f>
        <v/>
      </c>
      <c r="AC420" s="52" t="str">
        <f>IF(Table5[[#This Row],[Ovr]]="","",IF(Table5[[#This Row],[cmbList]]="","",Table5[[#This Row],[cmbList]]-Table5[[#This Row],[Ovr]]))</f>
        <v/>
      </c>
      <c r="AD420" s="56" t="str">
        <f>IF(ISERROR(VLOOKUP($AB420&amp;"-"&amp;$E420&amp;" "&amp;F420,Bonuses!$B$1:$G$1006,4,FALSE)),"",INT(VLOOKUP($AB420&amp;"-"&amp;$E420&amp;" "&amp;$F420,Bonuses!$B$1:$G$1006,4,FALSE)))</f>
        <v/>
      </c>
      <c r="AE4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1" spans="1:31" s="52" customFormat="1" x14ac:dyDescent="0.25">
      <c r="A421" s="52">
        <v>6765</v>
      </c>
      <c r="B421" s="52">
        <f>COUNTIF(Table5[PID],A421)</f>
        <v>1</v>
      </c>
      <c r="C421" s="52" t="str">
        <f>IF(COUNTIF(Table3[[#All],[PID]],A421)&gt;0,"P","B")</f>
        <v>P</v>
      </c>
      <c r="D421" s="61" t="str">
        <f>IF($C421="B",INDEX(Batters[[#All],[POS]],MATCH(Table5[[#This Row],[PID]],Batters[[#All],[PID]],0)),INDEX(Table3[[#All],[POS]],MATCH(Table5[[#This Row],[PID]],Table3[[#All],[PID]],0)))</f>
        <v>RP</v>
      </c>
      <c r="E421" s="54" t="str">
        <f>IF($C421="B",INDEX(Batters[[#All],[First]],MATCH(Table5[[#This Row],[PID]],Batters[[#All],[PID]],0)),INDEX(Table3[[#All],[First]],MATCH(Table5[[#This Row],[PID]],Table3[[#All],[PID]],0)))</f>
        <v>Greg</v>
      </c>
      <c r="F421" s="52" t="str">
        <f>IF($C421="B",INDEX(Batters[[#All],[Last]],MATCH(A421,Batters[[#All],[PID]],0)),INDEX(Table3[[#All],[Last]],MATCH(A421,Table3[[#All],[PID]],0)))</f>
        <v>Linttell</v>
      </c>
      <c r="G421" s="58">
        <f>IF($C421="B",INDEX(Batters[[#All],[Age]],MATCH(Table5[[#This Row],[PID]],Batters[[#All],[PID]],0)),INDEX(Table3[[#All],[Age]],MATCH(Table5[[#This Row],[PID]],Table3[[#All],[PID]],0)))</f>
        <v>21</v>
      </c>
      <c r="H421" s="54" t="str">
        <f>IF($C421="B",INDEX(Batters[[#All],[B]],MATCH(Table5[[#This Row],[PID]],Batters[[#All],[PID]],0)),INDEX(Table3[[#All],[B]],MATCH(Table5[[#This Row],[PID]],Table3[[#All],[PID]],0)))</f>
        <v>L</v>
      </c>
      <c r="I421" s="54" t="str">
        <f>IF($C421="B",INDEX(Batters[[#All],[T]],MATCH(Table5[[#This Row],[PID]],Batters[[#All],[PID]],0)),INDEX(Table3[[#All],[T]],MATCH(Table5[[#This Row],[PID]],Table3[[#All],[PID]],0)))</f>
        <v>L</v>
      </c>
      <c r="J421" s="54" t="str">
        <f>IF($C421="B",INDEX(Batters[[#All],[WE]],MATCH(Table5[[#This Row],[PID]],Batters[[#All],[PID]],0)),INDEX(Table3[[#All],[WE]],MATCH(Table5[[#This Row],[PID]],Table3[[#All],[PID]],0)))</f>
        <v>Low</v>
      </c>
      <c r="K421" s="54" t="str">
        <f>IF($C421="B",INDEX(Batters[[#All],[INT]],MATCH(Table5[[#This Row],[PID]],Batters[[#All],[PID]],0)),INDEX(Table3[[#All],[INT]],MATCH(Table5[[#This Row],[PID]],Table3[[#All],[PID]],0)))</f>
        <v>Normal</v>
      </c>
      <c r="L421" s="62">
        <f>IF($C421="B",INDEX(Batters[[#All],[CON P]],MATCH(Table5[[#This Row],[PID]],Batters[[#All],[PID]],0)),INDEX(Table3[[#All],[STU P]],MATCH(Table5[[#This Row],[PID]],Table3[[#All],[PID]],0)))</f>
        <v>5</v>
      </c>
      <c r="M421" s="58">
        <f>IF($C421="B",INDEX(Batters[[#All],[GAP P]],MATCH(Table5[[#This Row],[PID]],Batters[[#All],[PID]],0)),INDEX(Table3[[#All],[MOV P]],MATCH(Table5[[#This Row],[PID]],Table3[[#All],[PID]],0)))</f>
        <v>2</v>
      </c>
      <c r="N421" s="58">
        <f>IF($C421="B",INDEX(Batters[[#All],[POW P]],MATCH(Table5[[#This Row],[PID]],Batters[[#All],[PID]],0)),INDEX(Table3[[#All],[CON P]],MATCH(Table5[[#This Row],[PID]],Table3[[#All],[PID]],0)))</f>
        <v>3</v>
      </c>
      <c r="O421" s="58" t="str">
        <f>IF($C421="B",INDEX(Batters[[#All],[EYE P]],MATCH(Table5[[#This Row],[PID]],Batters[[#All],[PID]],0)),INDEX(Table3[[#All],[VELO]],MATCH(Table5[[#This Row],[PID]],Table3[[#All],[PID]],0)))</f>
        <v>89-91 Mph</v>
      </c>
      <c r="P421" s="58">
        <f>IF($C421="B",INDEX(Batters[[#All],[K P]],MATCH(Table5[[#This Row],[PID]],Batters[[#All],[PID]],0)),INDEX(Table3[[#All],[STM]],MATCH(Table5[[#This Row],[PID]],Table3[[#All],[PID]],0)))</f>
        <v>6</v>
      </c>
      <c r="Q421" s="63">
        <f>IF($C421="B",INDEX(Batters[[#All],[Tot]],MATCH(Table5[[#This Row],[PID]],Batters[[#All],[PID]],0)),INDEX(Table3[[#All],[Tot]],MATCH(Table5[[#This Row],[PID]],Table3[[#All],[PID]],0)))</f>
        <v>33.330444068132657</v>
      </c>
      <c r="R421" s="54">
        <f>IF($C421="B",INDEX(Batters[[#All],[zScore]],MATCH(Table5[[#This Row],[PID]],Batters[[#All],[PID]],0)),INDEX(Table3[[#All],[zScore]],MATCH(Table5[[#This Row],[PID]],Table3[[#All],[PID]],0)))</f>
        <v>5.5773917202773617E-2</v>
      </c>
      <c r="S421" s="60" t="str">
        <f>IF($C421="B",INDEX(Batters[[#All],[DEM]],MATCH(Table5[[#This Row],[PID]],Batters[[#All],[PID]],0)),INDEX(Table3[[#All],[DEM]],MATCH(Table5[[#This Row],[PID]],Table3[[#All],[PID]],0)))</f>
        <v>$20k</v>
      </c>
      <c r="T421" s="64">
        <f>IF($C421="B",VLOOKUP($A421,Bat!$A$4:$AU$1417,46,FALSE),VLOOKUP($A421,Pit!$A$4:$BD$570,55,FALSE))</f>
        <v>0</v>
      </c>
      <c r="U421" s="52">
        <f>IF($C421="B",VLOOKUP($A421,Bat!$A$4:$BA$1417,47,FALSE),VLOOKUP($A421,Pit!$A$4:$BF$570,56,FALSE))</f>
        <v>0</v>
      </c>
      <c r="V421" s="52">
        <f>IF($C421="B",VLOOKUP($A421,Bat!$A$4:$BA$1417,48,FALSE),VLOOKUP($A421,Pit!$A$4:$BF$570,57,FALSE))</f>
        <v>0</v>
      </c>
      <c r="W421" s="52">
        <f>Table5[[#This Row],[posRnk]]+Table5[[#This Row],[zRnk]]+IF($W$3&lt;&gt;Table5[[#This Row],[Type]],50,0)</f>
        <v>467</v>
      </c>
      <c r="X421" s="53">
        <f>RANK(Table5[[#This Row],[zScore]],Table5[[#All],[zScore]])</f>
        <v>417</v>
      </c>
      <c r="Y421" s="52" t="str">
        <f>IFERROR(INDEX(DraftResults[[#All],[OVR]],MATCH(Table5[[#This Row],[PID]],DraftResults[[#All],[Player ID]],0)),"")</f>
        <v/>
      </c>
      <c r="Z4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1" s="52" t="str">
        <f>IFERROR(INDEX(DraftResults[[#All],[Pick in Round]],MATCH(Table5[[#This Row],[PID]],DraftResults[[#All],[Player ID]],0)),"")</f>
        <v/>
      </c>
      <c r="AB421" s="52" t="str">
        <f>IFERROR(INDEX(DraftResults[[#All],[Team Name]],MATCH(Table5[[#This Row],[PID]],DraftResults[[#All],[Player ID]],0)),"")</f>
        <v/>
      </c>
      <c r="AC421" s="52" t="str">
        <f>IF(Table5[[#This Row],[Ovr]]="","",IF(Table5[[#This Row],[cmbList]]="","",Table5[[#This Row],[cmbList]]-Table5[[#This Row],[Ovr]]))</f>
        <v/>
      </c>
      <c r="AD421" s="56" t="str">
        <f>IF(ISERROR(VLOOKUP($AB421&amp;"-"&amp;$E421&amp;" "&amp;F421,Bonuses!$B$1:$G$1006,4,FALSE)),"",INT(VLOOKUP($AB421&amp;"-"&amp;$E421&amp;" "&amp;$F421,Bonuses!$B$1:$G$1006,4,FALSE)))</f>
        <v/>
      </c>
      <c r="AE4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2" spans="1:31" s="52" customFormat="1" x14ac:dyDescent="0.25">
      <c r="A422" s="52">
        <v>9140</v>
      </c>
      <c r="B422" s="52">
        <f>COUNTIF(Table5[PID],A422)</f>
        <v>1</v>
      </c>
      <c r="C422" s="52" t="str">
        <f>IF(COUNTIF(Table3[[#All],[PID]],A422)&gt;0,"P","B")</f>
        <v>P</v>
      </c>
      <c r="D422" s="61" t="str">
        <f>IF($C422="B",INDEX(Batters[[#All],[POS]],MATCH(Table5[[#This Row],[PID]],Batters[[#All],[PID]],0)),INDEX(Table3[[#All],[POS]],MATCH(Table5[[#This Row],[PID]],Table3[[#All],[PID]],0)))</f>
        <v>RP</v>
      </c>
      <c r="E422" s="54" t="str">
        <f>IF($C422="B",INDEX(Batters[[#All],[First]],MATCH(Table5[[#This Row],[PID]],Batters[[#All],[PID]],0)),INDEX(Table3[[#All],[First]],MATCH(Table5[[#This Row],[PID]],Table3[[#All],[PID]],0)))</f>
        <v>Thom</v>
      </c>
      <c r="F422" s="52" t="str">
        <f>IF($C422="B",INDEX(Batters[[#All],[Last]],MATCH(A422,Batters[[#All],[PID]],0)),INDEX(Table3[[#All],[Last]],MATCH(A422,Table3[[#All],[PID]],0)))</f>
        <v>Long</v>
      </c>
      <c r="G422" s="58">
        <f>IF($C422="B",INDEX(Batters[[#All],[Age]],MATCH(Table5[[#This Row],[PID]],Batters[[#All],[PID]],0)),INDEX(Table3[[#All],[Age]],MATCH(Table5[[#This Row],[PID]],Table3[[#All],[PID]],0)))</f>
        <v>22</v>
      </c>
      <c r="H422" s="54" t="str">
        <f>IF($C422="B",INDEX(Batters[[#All],[B]],MATCH(Table5[[#This Row],[PID]],Batters[[#All],[PID]],0)),INDEX(Table3[[#All],[B]],MATCH(Table5[[#This Row],[PID]],Table3[[#All],[PID]],0)))</f>
        <v>L</v>
      </c>
      <c r="I422" s="54" t="str">
        <f>IF($C422="B",INDEX(Batters[[#All],[T]],MATCH(Table5[[#This Row],[PID]],Batters[[#All],[PID]],0)),INDEX(Table3[[#All],[T]],MATCH(Table5[[#This Row],[PID]],Table3[[#All],[PID]],0)))</f>
        <v>R</v>
      </c>
      <c r="J422" s="54" t="str">
        <f>IF($C422="B",INDEX(Batters[[#All],[WE]],MATCH(Table5[[#This Row],[PID]],Batters[[#All],[PID]],0)),INDEX(Table3[[#All],[WE]],MATCH(Table5[[#This Row],[PID]],Table3[[#All],[PID]],0)))</f>
        <v>Low</v>
      </c>
      <c r="K422" s="54" t="str">
        <f>IF($C422="B",INDEX(Batters[[#All],[INT]],MATCH(Table5[[#This Row],[PID]],Batters[[#All],[PID]],0)),INDEX(Table3[[#All],[INT]],MATCH(Table5[[#This Row],[PID]],Table3[[#All],[PID]],0)))</f>
        <v>Normal</v>
      </c>
      <c r="L422" s="62">
        <f>IF($C422="B",INDEX(Batters[[#All],[CON P]],MATCH(Table5[[#This Row],[PID]],Batters[[#All],[PID]],0)),INDEX(Table3[[#All],[STU P]],MATCH(Table5[[#This Row],[PID]],Table3[[#All],[PID]],0)))</f>
        <v>4</v>
      </c>
      <c r="M422" s="58">
        <f>IF($C422="B",INDEX(Batters[[#All],[GAP P]],MATCH(Table5[[#This Row],[PID]],Batters[[#All],[PID]],0)),INDEX(Table3[[#All],[MOV P]],MATCH(Table5[[#This Row],[PID]],Table3[[#All],[PID]],0)))</f>
        <v>2</v>
      </c>
      <c r="N422" s="58">
        <f>IF($C422="B",INDEX(Batters[[#All],[POW P]],MATCH(Table5[[#This Row],[PID]],Batters[[#All],[PID]],0)),INDEX(Table3[[#All],[CON P]],MATCH(Table5[[#This Row],[PID]],Table3[[#All],[PID]],0)))</f>
        <v>4</v>
      </c>
      <c r="O422" s="58" t="str">
        <f>IF($C422="B",INDEX(Batters[[#All],[EYE P]],MATCH(Table5[[#This Row],[PID]],Batters[[#All],[PID]],0)),INDEX(Table3[[#All],[VELO]],MATCH(Table5[[#This Row],[PID]],Table3[[#All],[PID]],0)))</f>
        <v>91-93 Mph</v>
      </c>
      <c r="P422" s="58">
        <f>IF($C422="B",INDEX(Batters[[#All],[K P]],MATCH(Table5[[#This Row],[PID]],Batters[[#All],[PID]],0)),INDEX(Table3[[#All],[STM]],MATCH(Table5[[#This Row],[PID]],Table3[[#All],[PID]],0)))</f>
        <v>6</v>
      </c>
      <c r="Q422" s="63">
        <f>IF($C422="B",INDEX(Batters[[#All],[Tot]],MATCH(Table5[[#This Row],[PID]],Batters[[#All],[PID]],0)),INDEX(Table3[[#All],[Tot]],MATCH(Table5[[#This Row],[PID]],Table3[[#All],[PID]],0)))</f>
        <v>33.228573462962785</v>
      </c>
      <c r="R422" s="54">
        <f>IF($C422="B",INDEX(Batters[[#All],[zScore]],MATCH(Table5[[#This Row],[PID]],Batters[[#All],[PID]],0)),INDEX(Table3[[#All],[zScore]],MATCH(Table5[[#This Row],[PID]],Table3[[#All],[PID]],0)))</f>
        <v>4.6431947304578988E-2</v>
      </c>
      <c r="S422" s="60" t="str">
        <f>IF($C422="B",INDEX(Batters[[#All],[DEM]],MATCH(Table5[[#This Row],[PID]],Batters[[#All],[PID]],0)),INDEX(Table3[[#All],[DEM]],MATCH(Table5[[#This Row],[PID]],Table3[[#All],[PID]],0)))</f>
        <v>-</v>
      </c>
      <c r="T422" s="64">
        <f>IF($C422="B",VLOOKUP($A422,Bat!$A$4:$AU$1417,46,FALSE),VLOOKUP($A422,Pit!$A$4:$BD$570,55,FALSE))</f>
        <v>0</v>
      </c>
      <c r="U422" s="52">
        <f>IF($C422="B",VLOOKUP($A422,Bat!$A$4:$BA$1417,47,FALSE),VLOOKUP($A422,Pit!$A$4:$BF$570,56,FALSE))</f>
        <v>0</v>
      </c>
      <c r="V422" s="52">
        <f>IF($C422="B",VLOOKUP($A422,Bat!$A$4:$BA$1417,48,FALSE),VLOOKUP($A422,Pit!$A$4:$BF$570,57,FALSE))</f>
        <v>0</v>
      </c>
      <c r="W422" s="52">
        <f>Table5[[#This Row],[posRnk]]+Table5[[#This Row],[zRnk]]+IF($W$3&lt;&gt;Table5[[#This Row],[Type]],50,0)</f>
        <v>468</v>
      </c>
      <c r="X422" s="53">
        <f>RANK(Table5[[#This Row],[zScore]],Table5[[#All],[zScore]])</f>
        <v>418</v>
      </c>
      <c r="Y422" s="52" t="str">
        <f>IFERROR(INDEX(DraftResults[[#All],[OVR]],MATCH(Table5[[#This Row],[PID]],DraftResults[[#All],[Player ID]],0)),"")</f>
        <v/>
      </c>
      <c r="Z4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2" s="52" t="str">
        <f>IFERROR(INDEX(DraftResults[[#All],[Pick in Round]],MATCH(Table5[[#This Row],[PID]],DraftResults[[#All],[Player ID]],0)),"")</f>
        <v/>
      </c>
      <c r="AB422" s="52" t="str">
        <f>IFERROR(INDEX(DraftResults[[#All],[Team Name]],MATCH(Table5[[#This Row],[PID]],DraftResults[[#All],[Player ID]],0)),"")</f>
        <v/>
      </c>
      <c r="AC422" s="52" t="str">
        <f>IF(Table5[[#This Row],[Ovr]]="","",IF(Table5[[#This Row],[cmbList]]="","",Table5[[#This Row],[cmbList]]-Table5[[#This Row],[Ovr]]))</f>
        <v/>
      </c>
      <c r="AD422" s="56" t="str">
        <f>IF(ISERROR(VLOOKUP($AB422&amp;"-"&amp;$E422&amp;" "&amp;F422,Bonuses!$B$1:$G$1006,4,FALSE)),"",INT(VLOOKUP($AB422&amp;"-"&amp;$E422&amp;" "&amp;$F422,Bonuses!$B$1:$G$1006,4,FALSE)))</f>
        <v/>
      </c>
      <c r="AE4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3" spans="1:31" s="52" customFormat="1" x14ac:dyDescent="0.25">
      <c r="A423" s="52">
        <v>17885</v>
      </c>
      <c r="B423" s="52">
        <f>COUNTIF(Table5[PID],A423)</f>
        <v>1</v>
      </c>
      <c r="C423" s="52" t="str">
        <f>IF(COUNTIF(Table3[[#All],[PID]],A423)&gt;0,"P","B")</f>
        <v>P</v>
      </c>
      <c r="D423" s="61" t="str">
        <f>IF($C423="B",INDEX(Batters[[#All],[POS]],MATCH(Table5[[#This Row],[PID]],Batters[[#All],[PID]],0)),INDEX(Table3[[#All],[POS]],MATCH(Table5[[#This Row],[PID]],Table3[[#All],[PID]],0)))</f>
        <v>SP</v>
      </c>
      <c r="E423" s="54" t="str">
        <f>IF($C423="B",INDEX(Batters[[#All],[First]],MATCH(Table5[[#This Row],[PID]],Batters[[#All],[PID]],0)),INDEX(Table3[[#All],[First]],MATCH(Table5[[#This Row],[PID]],Table3[[#All],[PID]],0)))</f>
        <v>Clive</v>
      </c>
      <c r="F423" s="52" t="str">
        <f>IF($C423="B",INDEX(Batters[[#All],[Last]],MATCH(A423,Batters[[#All],[PID]],0)),INDEX(Table3[[#All],[Last]],MATCH(A423,Table3[[#All],[PID]],0)))</f>
        <v>Rawsthorne</v>
      </c>
      <c r="G423" s="58">
        <f>IF($C423="B",INDEX(Batters[[#All],[Age]],MATCH(Table5[[#This Row],[PID]],Batters[[#All],[PID]],0)),INDEX(Table3[[#All],[Age]],MATCH(Table5[[#This Row],[PID]],Table3[[#All],[PID]],0)))</f>
        <v>18</v>
      </c>
      <c r="H423" s="54" t="str">
        <f>IF($C423="B",INDEX(Batters[[#All],[B]],MATCH(Table5[[#This Row],[PID]],Batters[[#All],[PID]],0)),INDEX(Table3[[#All],[B]],MATCH(Table5[[#This Row],[PID]],Table3[[#All],[PID]],0)))</f>
        <v>R</v>
      </c>
      <c r="I423" s="54" t="str">
        <f>IF($C423="B",INDEX(Batters[[#All],[T]],MATCH(Table5[[#This Row],[PID]],Batters[[#All],[PID]],0)),INDEX(Table3[[#All],[T]],MATCH(Table5[[#This Row],[PID]],Table3[[#All],[PID]],0)))</f>
        <v>R</v>
      </c>
      <c r="J423" s="54" t="str">
        <f>IF($C423="B",INDEX(Batters[[#All],[WE]],MATCH(Table5[[#This Row],[PID]],Batters[[#All],[PID]],0)),INDEX(Table3[[#All],[WE]],MATCH(Table5[[#This Row],[PID]],Table3[[#All],[PID]],0)))</f>
        <v>High</v>
      </c>
      <c r="K423" s="54" t="str">
        <f>IF($C423="B",INDEX(Batters[[#All],[INT]],MATCH(Table5[[#This Row],[PID]],Batters[[#All],[PID]],0)),INDEX(Table3[[#All],[INT]],MATCH(Table5[[#This Row],[PID]],Table3[[#All],[PID]],0)))</f>
        <v>Normal</v>
      </c>
      <c r="L423" s="62">
        <f>IF($C423="B",INDEX(Batters[[#All],[CON P]],MATCH(Table5[[#This Row],[PID]],Batters[[#All],[PID]],0)),INDEX(Table3[[#All],[STU P]],MATCH(Table5[[#This Row],[PID]],Table3[[#All],[PID]],0)))</f>
        <v>3</v>
      </c>
      <c r="M423" s="58">
        <f>IF($C423="B",INDEX(Batters[[#All],[GAP P]],MATCH(Table5[[#This Row],[PID]],Batters[[#All],[PID]],0)),INDEX(Table3[[#All],[MOV P]],MATCH(Table5[[#This Row],[PID]],Table3[[#All],[PID]],0)))</f>
        <v>2</v>
      </c>
      <c r="N423" s="58">
        <f>IF($C423="B",INDEX(Batters[[#All],[POW P]],MATCH(Table5[[#This Row],[PID]],Batters[[#All],[PID]],0)),INDEX(Table3[[#All],[CON P]],MATCH(Table5[[#This Row],[PID]],Table3[[#All],[PID]],0)))</f>
        <v>3</v>
      </c>
      <c r="O423" s="58" t="str">
        <f>IF($C423="B",INDEX(Batters[[#All],[EYE P]],MATCH(Table5[[#This Row],[PID]],Batters[[#All],[PID]],0)),INDEX(Table3[[#All],[VELO]],MATCH(Table5[[#This Row],[PID]],Table3[[#All],[PID]],0)))</f>
        <v>85-87 Mph</v>
      </c>
      <c r="P423" s="58">
        <f>IF($C423="B",INDEX(Batters[[#All],[K P]],MATCH(Table5[[#This Row],[PID]],Batters[[#All],[PID]],0)),INDEX(Table3[[#All],[STM]],MATCH(Table5[[#This Row],[PID]],Table3[[#All],[PID]],0)))</f>
        <v>3</v>
      </c>
      <c r="Q423" s="63">
        <f>IF($C423="B",INDEX(Batters[[#All],[Tot]],MATCH(Table5[[#This Row],[PID]],Batters[[#All],[PID]],0)),INDEX(Table3[[#All],[Tot]],MATCH(Table5[[#This Row],[PID]],Table3[[#All],[PID]],0)))</f>
        <v>30.912594006248526</v>
      </c>
      <c r="R423" s="54">
        <f>IF($C423="B",INDEX(Batters[[#All],[zScore]],MATCH(Table5[[#This Row],[PID]],Batters[[#All],[PID]],0)),INDEX(Table3[[#All],[zScore]],MATCH(Table5[[#This Row],[PID]],Table3[[#All],[PID]],0)))</f>
        <v>4.5341832824903998E-2</v>
      </c>
      <c r="S423" s="60" t="str">
        <f>IF($C423="B",INDEX(Batters[[#All],[DEM]],MATCH(Table5[[#This Row],[PID]],Batters[[#All],[PID]],0)),INDEX(Table3[[#All],[DEM]],MATCH(Table5[[#This Row],[PID]],Table3[[#All],[PID]],0)))</f>
        <v>$38k</v>
      </c>
      <c r="T423" s="64">
        <f>IF($C423="B",VLOOKUP($A423,Bat!$A$4:$AU$1417,46,FALSE),VLOOKUP($A423,Pit!$A$4:$BD$570,55,FALSE))</f>
        <v>0</v>
      </c>
      <c r="U423" s="52">
        <f>IF($C423="B",VLOOKUP($A423,Bat!$A$4:$BA$1417,47,FALSE),VLOOKUP($A423,Pit!$A$4:$BF$570,56,FALSE))</f>
        <v>0</v>
      </c>
      <c r="V423" s="52">
        <f>IF($C423="B",VLOOKUP($A423,Bat!$A$4:$BA$1417,48,FALSE),VLOOKUP($A423,Pit!$A$4:$BF$570,57,FALSE))</f>
        <v>0</v>
      </c>
      <c r="W423" s="52">
        <f>Table5[[#This Row],[posRnk]]+Table5[[#This Row],[zRnk]]+IF($W$3&lt;&gt;Table5[[#This Row],[Type]],50,0)</f>
        <v>469</v>
      </c>
      <c r="X423" s="53">
        <f>RANK(Table5[[#This Row],[zScore]],Table5[[#All],[zScore]])</f>
        <v>419</v>
      </c>
      <c r="Y423" s="52" t="str">
        <f>IFERROR(INDEX(DraftResults[[#All],[OVR]],MATCH(Table5[[#This Row],[PID]],DraftResults[[#All],[Player ID]],0)),"")</f>
        <v/>
      </c>
      <c r="Z4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3" s="52" t="str">
        <f>IFERROR(INDEX(DraftResults[[#All],[Pick in Round]],MATCH(Table5[[#This Row],[PID]],DraftResults[[#All],[Player ID]],0)),"")</f>
        <v/>
      </c>
      <c r="AB423" s="52" t="str">
        <f>IFERROR(INDEX(DraftResults[[#All],[Team Name]],MATCH(Table5[[#This Row],[PID]],DraftResults[[#All],[Player ID]],0)),"")</f>
        <v/>
      </c>
      <c r="AC423" s="52" t="str">
        <f>IF(Table5[[#This Row],[Ovr]]="","",IF(Table5[[#This Row],[cmbList]]="","",Table5[[#This Row],[cmbList]]-Table5[[#This Row],[Ovr]]))</f>
        <v/>
      </c>
      <c r="AD423" s="56" t="str">
        <f>IF(ISERROR(VLOOKUP($AB423&amp;"-"&amp;$E423&amp;" "&amp;F423,Bonuses!$B$1:$G$1006,4,FALSE)),"",INT(VLOOKUP($AB423&amp;"-"&amp;$E423&amp;" "&amp;$F423,Bonuses!$B$1:$G$1006,4,FALSE)))</f>
        <v/>
      </c>
      <c r="AE4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4" spans="1:31" s="52" customFormat="1" x14ac:dyDescent="0.25">
      <c r="A424" s="52">
        <v>5088</v>
      </c>
      <c r="B424" s="52">
        <f>COUNTIF(Table5[PID],A424)</f>
        <v>1</v>
      </c>
      <c r="C424" s="52" t="str">
        <f>IF(COUNTIF(Table3[[#All],[PID]],A424)&gt;0,"P","B")</f>
        <v>P</v>
      </c>
      <c r="D424" s="61" t="str">
        <f>IF($C424="B",INDEX(Batters[[#All],[POS]],MATCH(Table5[[#This Row],[PID]],Batters[[#All],[PID]],0)),INDEX(Table3[[#All],[POS]],MATCH(Table5[[#This Row],[PID]],Table3[[#All],[PID]],0)))</f>
        <v>RP</v>
      </c>
      <c r="E424" s="54" t="str">
        <f>IF($C424="B",INDEX(Batters[[#All],[First]],MATCH(Table5[[#This Row],[PID]],Batters[[#All],[PID]],0)),INDEX(Table3[[#All],[First]],MATCH(Table5[[#This Row],[PID]],Table3[[#All],[PID]],0)))</f>
        <v>Jim</v>
      </c>
      <c r="F424" s="52" t="str">
        <f>IF($C424="B",INDEX(Batters[[#All],[Last]],MATCH(A424,Batters[[#All],[PID]],0)),INDEX(Table3[[#All],[Last]],MATCH(A424,Table3[[#All],[PID]],0)))</f>
        <v>McGee</v>
      </c>
      <c r="G424" s="58">
        <f>IF($C424="B",INDEX(Batters[[#All],[Age]],MATCH(Table5[[#This Row],[PID]],Batters[[#All],[PID]],0)),INDEX(Table3[[#All],[Age]],MATCH(Table5[[#This Row],[PID]],Table3[[#All],[PID]],0)))</f>
        <v>18</v>
      </c>
      <c r="H424" s="54" t="str">
        <f>IF($C424="B",INDEX(Batters[[#All],[B]],MATCH(Table5[[#This Row],[PID]],Batters[[#All],[PID]],0)),INDEX(Table3[[#All],[B]],MATCH(Table5[[#This Row],[PID]],Table3[[#All],[PID]],0)))</f>
        <v>L</v>
      </c>
      <c r="I424" s="54" t="str">
        <f>IF($C424="B",INDEX(Batters[[#All],[T]],MATCH(Table5[[#This Row],[PID]],Batters[[#All],[PID]],0)),INDEX(Table3[[#All],[T]],MATCH(Table5[[#This Row],[PID]],Table3[[#All],[PID]],0)))</f>
        <v>L</v>
      </c>
      <c r="J424" s="54" t="str">
        <f>IF($C424="B",INDEX(Batters[[#All],[WE]],MATCH(Table5[[#This Row],[PID]],Batters[[#All],[PID]],0)),INDEX(Table3[[#All],[WE]],MATCH(Table5[[#This Row],[PID]],Table3[[#All],[PID]],0)))</f>
        <v>Low</v>
      </c>
      <c r="K424" s="54" t="str">
        <f>IF($C424="B",INDEX(Batters[[#All],[INT]],MATCH(Table5[[#This Row],[PID]],Batters[[#All],[PID]],0)),INDEX(Table3[[#All],[INT]],MATCH(Table5[[#This Row],[PID]],Table3[[#All],[PID]],0)))</f>
        <v>Normal</v>
      </c>
      <c r="L424" s="62">
        <f>IF($C424="B",INDEX(Batters[[#All],[CON P]],MATCH(Table5[[#This Row],[PID]],Batters[[#All],[PID]],0)),INDEX(Table3[[#All],[STU P]],MATCH(Table5[[#This Row],[PID]],Table3[[#All],[PID]],0)))</f>
        <v>5</v>
      </c>
      <c r="M424" s="58">
        <f>IF($C424="B",INDEX(Batters[[#All],[GAP P]],MATCH(Table5[[#This Row],[PID]],Batters[[#All],[PID]],0)),INDEX(Table3[[#All],[MOV P]],MATCH(Table5[[#This Row],[PID]],Table3[[#All],[PID]],0)))</f>
        <v>2</v>
      </c>
      <c r="N424" s="58">
        <f>IF($C424="B",INDEX(Batters[[#All],[POW P]],MATCH(Table5[[#This Row],[PID]],Batters[[#All],[PID]],0)),INDEX(Table3[[#All],[CON P]],MATCH(Table5[[#This Row],[PID]],Table3[[#All],[PID]],0)))</f>
        <v>2</v>
      </c>
      <c r="O424" s="58" t="str">
        <f>IF($C424="B",INDEX(Batters[[#All],[EYE P]],MATCH(Table5[[#This Row],[PID]],Batters[[#All],[PID]],0)),INDEX(Table3[[#All],[VELO]],MATCH(Table5[[#This Row],[PID]],Table3[[#All],[PID]],0)))</f>
        <v>90-92 Mph</v>
      </c>
      <c r="P424" s="58">
        <f>IF($C424="B",INDEX(Batters[[#All],[K P]],MATCH(Table5[[#This Row],[PID]],Batters[[#All],[PID]],0)),INDEX(Table3[[#All],[STM]],MATCH(Table5[[#This Row],[PID]],Table3[[#All],[PID]],0)))</f>
        <v>8</v>
      </c>
      <c r="Q424" s="63">
        <f>IF($C424="B",INDEX(Batters[[#All],[Tot]],MATCH(Table5[[#This Row],[PID]],Batters[[#All],[PID]],0)),INDEX(Table3[[#All],[Tot]],MATCH(Table5[[#This Row],[PID]],Table3[[#All],[PID]],0)))</f>
        <v>33.198289626400992</v>
      </c>
      <c r="R424" s="54">
        <f>IF($C424="B",INDEX(Batters[[#All],[zScore]],MATCH(Table5[[#This Row],[PID]],Batters[[#All],[PID]],0)),INDEX(Table3[[#All],[zScore]],MATCH(Table5[[#This Row],[PID]],Table3[[#All],[PID]],0)))</f>
        <v>4.3654790056024739E-2</v>
      </c>
      <c r="S424" s="60" t="str">
        <f>IF($C424="B",INDEX(Batters[[#All],[DEM]],MATCH(Table5[[#This Row],[PID]],Batters[[#All],[PID]],0)),INDEX(Table3[[#All],[DEM]],MATCH(Table5[[#This Row],[PID]],Table3[[#All],[PID]],0)))</f>
        <v>-</v>
      </c>
      <c r="T424" s="64">
        <f>IF($C424="B",VLOOKUP($A424,Bat!$A$4:$AU$1417,46,FALSE),VLOOKUP($A424,Pit!$A$4:$BD$570,55,FALSE))</f>
        <v>0</v>
      </c>
      <c r="U424" s="52">
        <f>IF($C424="B",VLOOKUP($A424,Bat!$A$4:$BA$1417,47,FALSE),VLOOKUP($A424,Pit!$A$4:$BF$570,56,FALSE))</f>
        <v>0</v>
      </c>
      <c r="V424" s="52">
        <f>IF($C424="B",VLOOKUP($A424,Bat!$A$4:$BA$1417,48,FALSE),VLOOKUP($A424,Pit!$A$4:$BF$570,57,FALSE))</f>
        <v>0</v>
      </c>
      <c r="W424" s="52">
        <f>Table5[[#This Row],[posRnk]]+Table5[[#This Row],[zRnk]]+IF($W$3&lt;&gt;Table5[[#This Row],[Type]],50,0)</f>
        <v>470</v>
      </c>
      <c r="X424" s="53">
        <f>RANK(Table5[[#This Row],[zScore]],Table5[[#All],[zScore]])</f>
        <v>420</v>
      </c>
      <c r="Y424" s="52" t="str">
        <f>IFERROR(INDEX(DraftResults[[#All],[OVR]],MATCH(Table5[[#This Row],[PID]],DraftResults[[#All],[Player ID]],0)),"")</f>
        <v/>
      </c>
      <c r="Z4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4" s="52" t="str">
        <f>IFERROR(INDEX(DraftResults[[#All],[Pick in Round]],MATCH(Table5[[#This Row],[PID]],DraftResults[[#All],[Player ID]],0)),"")</f>
        <v/>
      </c>
      <c r="AB424" s="52" t="str">
        <f>IFERROR(INDEX(DraftResults[[#All],[Team Name]],MATCH(Table5[[#This Row],[PID]],DraftResults[[#All],[Player ID]],0)),"")</f>
        <v/>
      </c>
      <c r="AC424" s="52" t="str">
        <f>IF(Table5[[#This Row],[Ovr]]="","",IF(Table5[[#This Row],[cmbList]]="","",Table5[[#This Row],[cmbList]]-Table5[[#This Row],[Ovr]]))</f>
        <v/>
      </c>
      <c r="AD424" s="56" t="str">
        <f>IF(ISERROR(VLOOKUP($AB424&amp;"-"&amp;$E424&amp;" "&amp;F424,Bonuses!$B$1:$G$1006,4,FALSE)),"",INT(VLOOKUP($AB424&amp;"-"&amp;$E424&amp;" "&amp;$F424,Bonuses!$B$1:$G$1006,4,FALSE)))</f>
        <v/>
      </c>
      <c r="AE4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5" spans="1:31" s="52" customFormat="1" x14ac:dyDescent="0.25">
      <c r="A425" s="52">
        <v>5984</v>
      </c>
      <c r="B425" s="52">
        <f>COUNTIF(Table5[PID],A425)</f>
        <v>1</v>
      </c>
      <c r="C425" s="52" t="str">
        <f>IF(COUNTIF(Table3[[#All],[PID]],A425)&gt;0,"P","B")</f>
        <v>B</v>
      </c>
      <c r="D425" s="61" t="str">
        <f>IF($C425="B",INDEX(Batters[[#All],[POS]],MATCH(Table5[[#This Row],[PID]],Batters[[#All],[PID]],0)),INDEX(Table3[[#All],[POS]],MATCH(Table5[[#This Row],[PID]],Table3[[#All],[PID]],0)))</f>
        <v>1B</v>
      </c>
      <c r="E425" s="54" t="str">
        <f>IF($C425="B",INDEX(Batters[[#All],[First]],MATCH(Table5[[#This Row],[PID]],Batters[[#All],[PID]],0)),INDEX(Table3[[#All],[First]],MATCH(Table5[[#This Row],[PID]],Table3[[#All],[PID]],0)))</f>
        <v>Curtis</v>
      </c>
      <c r="F425" s="52" t="str">
        <f>IF($C425="B",INDEX(Batters[[#All],[Last]],MATCH(A425,Batters[[#All],[PID]],0)),INDEX(Table3[[#All],[Last]],MATCH(A425,Table3[[#All],[PID]],0)))</f>
        <v>Alexander</v>
      </c>
      <c r="G425" s="58">
        <f>IF($C425="B",INDEX(Batters[[#All],[Age]],MATCH(Table5[[#This Row],[PID]],Batters[[#All],[PID]],0)),INDEX(Table3[[#All],[Age]],MATCH(Table5[[#This Row],[PID]],Table3[[#All],[PID]],0)))</f>
        <v>18</v>
      </c>
      <c r="H425" s="54" t="str">
        <f>IF($C425="B",INDEX(Batters[[#All],[B]],MATCH(Table5[[#This Row],[PID]],Batters[[#All],[PID]],0)),INDEX(Table3[[#All],[B]],MATCH(Table5[[#This Row],[PID]],Table3[[#All],[PID]],0)))</f>
        <v>L</v>
      </c>
      <c r="I425" s="54" t="str">
        <f>IF($C425="B",INDEX(Batters[[#All],[T]],MATCH(Table5[[#This Row],[PID]],Batters[[#All],[PID]],0)),INDEX(Table3[[#All],[T]],MATCH(Table5[[#This Row],[PID]],Table3[[#All],[PID]],0)))</f>
        <v>L</v>
      </c>
      <c r="J425" s="54" t="str">
        <f>IF($C425="B",INDEX(Batters[[#All],[WE]],MATCH(Table5[[#This Row],[PID]],Batters[[#All],[PID]],0)),INDEX(Table3[[#All],[WE]],MATCH(Table5[[#This Row],[PID]],Table3[[#All],[PID]],0)))</f>
        <v>Low</v>
      </c>
      <c r="K425" s="54" t="str">
        <f>IF($C425="B",INDEX(Batters[[#All],[INT]],MATCH(Table5[[#This Row],[PID]],Batters[[#All],[PID]],0)),INDEX(Table3[[#All],[INT]],MATCH(Table5[[#This Row],[PID]],Table3[[#All],[PID]],0)))</f>
        <v>Normal</v>
      </c>
      <c r="L425" s="62">
        <f>IF($C425="B",INDEX(Batters[[#All],[CON P]],MATCH(Table5[[#This Row],[PID]],Batters[[#All],[PID]],0)),INDEX(Table3[[#All],[STU P]],MATCH(Table5[[#This Row],[PID]],Table3[[#All],[PID]],0)))</f>
        <v>3</v>
      </c>
      <c r="M425" s="58">
        <f>IF($C425="B",INDEX(Batters[[#All],[GAP P]],MATCH(Table5[[#This Row],[PID]],Batters[[#All],[PID]],0)),INDEX(Table3[[#All],[MOV P]],MATCH(Table5[[#This Row],[PID]],Table3[[#All],[PID]],0)))</f>
        <v>2</v>
      </c>
      <c r="N425" s="58">
        <f>IF($C425="B",INDEX(Batters[[#All],[POW P]],MATCH(Table5[[#This Row],[PID]],Batters[[#All],[PID]],0)),INDEX(Table3[[#All],[CON P]],MATCH(Table5[[#This Row],[PID]],Table3[[#All],[PID]],0)))</f>
        <v>3</v>
      </c>
      <c r="O425" s="58">
        <f>IF($C425="B",INDEX(Batters[[#All],[EYE P]],MATCH(Table5[[#This Row],[PID]],Batters[[#All],[PID]],0)),INDEX(Table3[[#All],[VELO]],MATCH(Table5[[#This Row],[PID]],Table3[[#All],[PID]],0)))</f>
        <v>5</v>
      </c>
      <c r="P425" s="58">
        <f>IF($C425="B",INDEX(Batters[[#All],[K P]],MATCH(Table5[[#This Row],[PID]],Batters[[#All],[PID]],0)),INDEX(Table3[[#All],[STM]],MATCH(Table5[[#This Row],[PID]],Table3[[#All],[PID]],0)))</f>
        <v>4</v>
      </c>
      <c r="Q425" s="63">
        <f>IF($C425="B",INDEX(Batters[[#All],[Tot]],MATCH(Table5[[#This Row],[PID]],Batters[[#All],[PID]],0)),INDEX(Table3[[#All],[Tot]],MATCH(Table5[[#This Row],[PID]],Table3[[#All],[PID]],0)))</f>
        <v>40.585934365207642</v>
      </c>
      <c r="R425" s="54">
        <f>IF($C425="B",INDEX(Batters[[#All],[zScore]],MATCH(Table5[[#This Row],[PID]],Batters[[#All],[PID]],0)),INDEX(Table3[[#All],[zScore]],MATCH(Table5[[#This Row],[PID]],Table3[[#All],[PID]],0)))</f>
        <v>4.1819449149234418E-2</v>
      </c>
      <c r="S425" s="60" t="str">
        <f>IF($C425="B",INDEX(Batters[[#All],[DEM]],MATCH(Table5[[#This Row],[PID]],Batters[[#All],[PID]],0)),INDEX(Table3[[#All],[DEM]],MATCH(Table5[[#This Row],[PID]],Table3[[#All],[PID]],0)))</f>
        <v>$75k</v>
      </c>
      <c r="T425" s="64">
        <f>IF($C425="B",VLOOKUP($A425,Bat!$A$4:$AU$1417,46,FALSE),VLOOKUP($A425,Pit!$A$4:$BD$570,55,FALSE))</f>
        <v>0</v>
      </c>
      <c r="U425" s="52">
        <f>IF($C425="B",VLOOKUP($A425,Bat!$A$4:$BA$1417,47,FALSE),VLOOKUP($A425,Pit!$A$4:$BF$570,56,FALSE))</f>
        <v>0</v>
      </c>
      <c r="V425" s="52">
        <f>IF($C425="B",VLOOKUP($A425,Bat!$A$4:$BA$1417,48,FALSE),VLOOKUP($A425,Pit!$A$4:$BF$570,57,FALSE))</f>
        <v>0</v>
      </c>
      <c r="W425" s="52">
        <f>Table5[[#This Row],[posRnk]]+Table5[[#This Row],[zRnk]]+IF($W$3&lt;&gt;Table5[[#This Row],[Type]],50,0)</f>
        <v>471</v>
      </c>
      <c r="X425" s="53">
        <f>RANK(Table5[[#This Row],[zScore]],Table5[[#All],[zScore]])</f>
        <v>421</v>
      </c>
      <c r="Y425" s="52" t="str">
        <f>IFERROR(INDEX(DraftResults[[#All],[OVR]],MATCH(Table5[[#This Row],[PID]],DraftResults[[#All],[Player ID]],0)),"")</f>
        <v/>
      </c>
      <c r="Z4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5" s="52" t="str">
        <f>IFERROR(INDEX(DraftResults[[#All],[Pick in Round]],MATCH(Table5[[#This Row],[PID]],DraftResults[[#All],[Player ID]],0)),"")</f>
        <v/>
      </c>
      <c r="AB425" s="52" t="str">
        <f>IFERROR(INDEX(DraftResults[[#All],[Team Name]],MATCH(Table5[[#This Row],[PID]],DraftResults[[#All],[Player ID]],0)),"")</f>
        <v/>
      </c>
      <c r="AC425" s="52" t="str">
        <f>IF(Table5[[#This Row],[Ovr]]="","",IF(Table5[[#This Row],[cmbList]]="","",Table5[[#This Row],[cmbList]]-Table5[[#This Row],[Ovr]]))</f>
        <v/>
      </c>
      <c r="AD425" s="56" t="str">
        <f>IF(ISERROR(VLOOKUP($AB425&amp;"-"&amp;$E425&amp;" "&amp;F425,Bonuses!$B$1:$G$1006,4,FALSE)),"",INT(VLOOKUP($AB425&amp;"-"&amp;$E425&amp;" "&amp;$F425,Bonuses!$B$1:$G$1006,4,FALSE)))</f>
        <v/>
      </c>
      <c r="AE4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6" spans="1:31" s="52" customFormat="1" x14ac:dyDescent="0.25">
      <c r="A426" s="52">
        <v>5413</v>
      </c>
      <c r="B426" s="52">
        <f>COUNTIF(Table5[PID],A426)</f>
        <v>1</v>
      </c>
      <c r="C426" s="52" t="str">
        <f>IF(COUNTIF(Table3[[#All],[PID]],A426)&gt;0,"P","B")</f>
        <v>B</v>
      </c>
      <c r="D426" s="61" t="str">
        <f>IF($C426="B",INDEX(Batters[[#All],[POS]],MATCH(Table5[[#This Row],[PID]],Batters[[#All],[PID]],0)),INDEX(Table3[[#All],[POS]],MATCH(Table5[[#This Row],[PID]],Table3[[#All],[PID]],0)))</f>
        <v>CF</v>
      </c>
      <c r="E426" s="54" t="str">
        <f>IF($C426="B",INDEX(Batters[[#All],[First]],MATCH(Table5[[#This Row],[PID]],Batters[[#All],[PID]],0)),INDEX(Table3[[#All],[First]],MATCH(Table5[[#This Row],[PID]],Table3[[#All],[PID]],0)))</f>
        <v>Artie</v>
      </c>
      <c r="F426" s="52" t="str">
        <f>IF($C426="B",INDEX(Batters[[#All],[Last]],MATCH(A426,Batters[[#All],[PID]],0)),INDEX(Table3[[#All],[Last]],MATCH(A426,Table3[[#All],[PID]],0)))</f>
        <v>Hill</v>
      </c>
      <c r="G426" s="58">
        <f>IF($C426="B",INDEX(Batters[[#All],[Age]],MATCH(Table5[[#This Row],[PID]],Batters[[#All],[PID]],0)),INDEX(Table3[[#All],[Age]],MATCH(Table5[[#This Row],[PID]],Table3[[#All],[PID]],0)))</f>
        <v>18</v>
      </c>
      <c r="H426" s="54" t="str">
        <f>IF($C426="B",INDEX(Batters[[#All],[B]],MATCH(Table5[[#This Row],[PID]],Batters[[#All],[PID]],0)),INDEX(Table3[[#All],[B]],MATCH(Table5[[#This Row],[PID]],Table3[[#All],[PID]],0)))</f>
        <v>L</v>
      </c>
      <c r="I426" s="54" t="str">
        <f>IF($C426="B",INDEX(Batters[[#All],[T]],MATCH(Table5[[#This Row],[PID]],Batters[[#All],[PID]],0)),INDEX(Table3[[#All],[T]],MATCH(Table5[[#This Row],[PID]],Table3[[#All],[PID]],0)))</f>
        <v>R</v>
      </c>
      <c r="J426" s="54" t="str">
        <f>IF($C426="B",INDEX(Batters[[#All],[WE]],MATCH(Table5[[#This Row],[PID]],Batters[[#All],[PID]],0)),INDEX(Table3[[#All],[WE]],MATCH(Table5[[#This Row],[PID]],Table3[[#All],[PID]],0)))</f>
        <v>Normal</v>
      </c>
      <c r="K426" s="54" t="str">
        <f>IF($C426="B",INDEX(Batters[[#All],[INT]],MATCH(Table5[[#This Row],[PID]],Batters[[#All],[PID]],0)),INDEX(Table3[[#All],[INT]],MATCH(Table5[[#This Row],[PID]],Table3[[#All],[PID]],0)))</f>
        <v>Normal</v>
      </c>
      <c r="L426" s="62">
        <f>IF($C426="B",INDEX(Batters[[#All],[CON P]],MATCH(Table5[[#This Row],[PID]],Batters[[#All],[PID]],0)),INDEX(Table3[[#All],[STU P]],MATCH(Table5[[#This Row],[PID]],Table3[[#All],[PID]],0)))</f>
        <v>3</v>
      </c>
      <c r="M426" s="58">
        <f>IF($C426="B",INDEX(Batters[[#All],[GAP P]],MATCH(Table5[[#This Row],[PID]],Batters[[#All],[PID]],0)),INDEX(Table3[[#All],[MOV P]],MATCH(Table5[[#This Row],[PID]],Table3[[#All],[PID]],0)))</f>
        <v>3</v>
      </c>
      <c r="N426" s="58">
        <f>IF($C426="B",INDEX(Batters[[#All],[POW P]],MATCH(Table5[[#This Row],[PID]],Batters[[#All],[PID]],0)),INDEX(Table3[[#All],[CON P]],MATCH(Table5[[#This Row],[PID]],Table3[[#All],[PID]],0)))</f>
        <v>3</v>
      </c>
      <c r="O426" s="58">
        <f>IF($C426="B",INDEX(Batters[[#All],[EYE P]],MATCH(Table5[[#This Row],[PID]],Batters[[#All],[PID]],0)),INDEX(Table3[[#All],[VELO]],MATCH(Table5[[#This Row],[PID]],Table3[[#All],[PID]],0)))</f>
        <v>4</v>
      </c>
      <c r="P426" s="58">
        <f>IF($C426="B",INDEX(Batters[[#All],[K P]],MATCH(Table5[[#This Row],[PID]],Batters[[#All],[PID]],0)),INDEX(Table3[[#All],[STM]],MATCH(Table5[[#This Row],[PID]],Table3[[#All],[PID]],0)))</f>
        <v>4</v>
      </c>
      <c r="Q426" s="63">
        <f>IF($C426="B",INDEX(Batters[[#All],[Tot]],MATCH(Table5[[#This Row],[PID]],Batters[[#All],[PID]],0)),INDEX(Table3[[#All],[Tot]],MATCH(Table5[[#This Row],[PID]],Table3[[#All],[PID]],0)))</f>
        <v>40.584803353202069</v>
      </c>
      <c r="R426" s="54">
        <f>IF($C426="B",INDEX(Batters[[#All],[zScore]],MATCH(Table5[[#This Row],[PID]],Batters[[#All],[PID]],0)),INDEX(Table3[[#All],[zScore]],MATCH(Table5[[#This Row],[PID]],Table3[[#All],[PID]],0)))</f>
        <v>4.1620455103902838E-2</v>
      </c>
      <c r="S426" s="60" t="str">
        <f>IF($C426="B",INDEX(Batters[[#All],[DEM]],MATCH(Table5[[#This Row],[PID]],Batters[[#All],[PID]],0)),INDEX(Table3[[#All],[DEM]],MATCH(Table5[[#This Row],[PID]],Table3[[#All],[PID]],0)))</f>
        <v>$38k</v>
      </c>
      <c r="T426" s="64">
        <f>IF($C426="B",VLOOKUP($A426,Bat!$A$4:$AU$1417,46,FALSE),VLOOKUP($A426,Pit!$A$4:$BD$570,55,FALSE))</f>
        <v>0</v>
      </c>
      <c r="U426" s="52">
        <f>IF($C426="B",VLOOKUP($A426,Bat!$A$4:$BA$1417,47,FALSE),VLOOKUP($A426,Pit!$A$4:$BF$570,56,FALSE))</f>
        <v>0</v>
      </c>
      <c r="V426" s="52">
        <f>IF($C426="B",VLOOKUP($A426,Bat!$A$4:$BA$1417,48,FALSE),VLOOKUP($A426,Pit!$A$4:$BF$570,57,FALSE))</f>
        <v>0</v>
      </c>
      <c r="W426" s="52">
        <f>Table5[[#This Row],[posRnk]]+Table5[[#This Row],[zRnk]]+IF($W$3&lt;&gt;Table5[[#This Row],[Type]],50,0)</f>
        <v>472</v>
      </c>
      <c r="X426" s="53">
        <f>RANK(Table5[[#This Row],[zScore]],Table5[[#All],[zScore]])</f>
        <v>422</v>
      </c>
      <c r="Y426" s="52" t="str">
        <f>IFERROR(INDEX(DraftResults[[#All],[OVR]],MATCH(Table5[[#This Row],[PID]],DraftResults[[#All],[Player ID]],0)),"")</f>
        <v/>
      </c>
      <c r="Z4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6" s="52" t="str">
        <f>IFERROR(INDEX(DraftResults[[#All],[Pick in Round]],MATCH(Table5[[#This Row],[PID]],DraftResults[[#All],[Player ID]],0)),"")</f>
        <v/>
      </c>
      <c r="AB426" s="52" t="str">
        <f>IFERROR(INDEX(DraftResults[[#All],[Team Name]],MATCH(Table5[[#This Row],[PID]],DraftResults[[#All],[Player ID]],0)),"")</f>
        <v/>
      </c>
      <c r="AC426" s="52" t="str">
        <f>IF(Table5[[#This Row],[Ovr]]="","",IF(Table5[[#This Row],[cmbList]]="","",Table5[[#This Row],[cmbList]]-Table5[[#This Row],[Ovr]]))</f>
        <v/>
      </c>
      <c r="AD426" s="56" t="str">
        <f>IF(ISERROR(VLOOKUP($AB426&amp;"-"&amp;$E426&amp;" "&amp;F426,Bonuses!$B$1:$G$1006,4,FALSE)),"",INT(VLOOKUP($AB426&amp;"-"&amp;$E426&amp;" "&amp;$F426,Bonuses!$B$1:$G$1006,4,FALSE)))</f>
        <v/>
      </c>
      <c r="AE4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7" spans="1:31" s="52" customFormat="1" x14ac:dyDescent="0.25">
      <c r="A427" s="52">
        <v>8540</v>
      </c>
      <c r="B427" s="52">
        <f>COUNTIF(Table5[PID],A427)</f>
        <v>1</v>
      </c>
      <c r="C427" s="52" t="str">
        <f>IF(COUNTIF(Table3[[#All],[PID]],A427)&gt;0,"P","B")</f>
        <v>P</v>
      </c>
      <c r="D427" s="61" t="str">
        <f>IF($C427="B",INDEX(Batters[[#All],[POS]],MATCH(Table5[[#This Row],[PID]],Batters[[#All],[PID]],0)),INDEX(Table3[[#All],[POS]],MATCH(Table5[[#This Row],[PID]],Table3[[#All],[PID]],0)))</f>
        <v>CL</v>
      </c>
      <c r="E427" s="54" t="str">
        <f>IF($C427="B",INDEX(Batters[[#All],[First]],MATCH(Table5[[#This Row],[PID]],Batters[[#All],[PID]],0)),INDEX(Table3[[#All],[First]],MATCH(Table5[[#This Row],[PID]],Table3[[#All],[PID]],0)))</f>
        <v>Ken</v>
      </c>
      <c r="F427" s="52" t="str">
        <f>IF($C427="B",INDEX(Batters[[#All],[Last]],MATCH(A427,Batters[[#All],[PID]],0)),INDEX(Table3[[#All],[Last]],MATCH(A427,Table3[[#All],[PID]],0)))</f>
        <v>Ellison</v>
      </c>
      <c r="G427" s="58">
        <f>IF($C427="B",INDEX(Batters[[#All],[Age]],MATCH(Table5[[#This Row],[PID]],Batters[[#All],[PID]],0)),INDEX(Table3[[#All],[Age]],MATCH(Table5[[#This Row],[PID]],Table3[[#All],[PID]],0)))</f>
        <v>22</v>
      </c>
      <c r="H427" s="54" t="str">
        <f>IF($C427="B",INDEX(Batters[[#All],[B]],MATCH(Table5[[#This Row],[PID]],Batters[[#All],[PID]],0)),INDEX(Table3[[#All],[B]],MATCH(Table5[[#This Row],[PID]],Table3[[#All],[PID]],0)))</f>
        <v>R</v>
      </c>
      <c r="I427" s="54" t="str">
        <f>IF($C427="B",INDEX(Batters[[#All],[T]],MATCH(Table5[[#This Row],[PID]],Batters[[#All],[PID]],0)),INDEX(Table3[[#All],[T]],MATCH(Table5[[#This Row],[PID]],Table3[[#All],[PID]],0)))</f>
        <v>R</v>
      </c>
      <c r="J427" s="54" t="str">
        <f>IF($C427="B",INDEX(Batters[[#All],[WE]],MATCH(Table5[[#This Row],[PID]],Batters[[#All],[PID]],0)),INDEX(Table3[[#All],[WE]],MATCH(Table5[[#This Row],[PID]],Table3[[#All],[PID]],0)))</f>
        <v>Normal</v>
      </c>
      <c r="K427" s="54" t="str">
        <f>IF($C427="B",INDEX(Batters[[#All],[INT]],MATCH(Table5[[#This Row],[PID]],Batters[[#All],[PID]],0)),INDEX(Table3[[#All],[INT]],MATCH(Table5[[#This Row],[PID]],Table3[[#All],[PID]],0)))</f>
        <v>Normal</v>
      </c>
      <c r="L427" s="62">
        <f>IF($C427="B",INDEX(Batters[[#All],[CON P]],MATCH(Table5[[#This Row],[PID]],Batters[[#All],[PID]],0)),INDEX(Table3[[#All],[STU P]],MATCH(Table5[[#This Row],[PID]],Table3[[#All],[PID]],0)))</f>
        <v>4</v>
      </c>
      <c r="M427" s="58">
        <f>IF($C427="B",INDEX(Batters[[#All],[GAP P]],MATCH(Table5[[#This Row],[PID]],Batters[[#All],[PID]],0)),INDEX(Table3[[#All],[MOV P]],MATCH(Table5[[#This Row],[PID]],Table3[[#All],[PID]],0)))</f>
        <v>3</v>
      </c>
      <c r="N427" s="58">
        <f>IF($C427="B",INDEX(Batters[[#All],[POW P]],MATCH(Table5[[#This Row],[PID]],Batters[[#All],[PID]],0)),INDEX(Table3[[#All],[CON P]],MATCH(Table5[[#This Row],[PID]],Table3[[#All],[PID]],0)))</f>
        <v>3</v>
      </c>
      <c r="O427" s="58" t="str">
        <f>IF($C427="B",INDEX(Batters[[#All],[EYE P]],MATCH(Table5[[#This Row],[PID]],Batters[[#All],[PID]],0)),INDEX(Table3[[#All],[VELO]],MATCH(Table5[[#This Row],[PID]],Table3[[#All],[PID]],0)))</f>
        <v>91-93 Mph</v>
      </c>
      <c r="P427" s="58">
        <f>IF($C427="B",INDEX(Batters[[#All],[K P]],MATCH(Table5[[#This Row],[PID]],Batters[[#All],[PID]],0)),INDEX(Table3[[#All],[STM]],MATCH(Table5[[#This Row],[PID]],Table3[[#All],[PID]],0)))</f>
        <v>6</v>
      </c>
      <c r="Q427" s="63">
        <f>IF($C427="B",INDEX(Batters[[#All],[Tot]],MATCH(Table5[[#This Row],[PID]],Batters[[#All],[PID]],0)),INDEX(Table3[[#All],[Tot]],MATCH(Table5[[#This Row],[PID]],Table3[[#All],[PID]],0)))</f>
        <v>33.09259756961702</v>
      </c>
      <c r="R427" s="54">
        <f>IF($C427="B",INDEX(Batters[[#All],[zScore]],MATCH(Table5[[#This Row],[PID]],Batters[[#All],[PID]],0)),INDEX(Table3[[#All],[zScore]],MATCH(Table5[[#This Row],[PID]],Table3[[#All],[PID]],0)))</f>
        <v>3.3962376711589561E-2</v>
      </c>
      <c r="S427" s="60" t="str">
        <f>IF($C427="B",INDEX(Batters[[#All],[DEM]],MATCH(Table5[[#This Row],[PID]],Batters[[#All],[PID]],0)),INDEX(Table3[[#All],[DEM]],MATCH(Table5[[#This Row],[PID]],Table3[[#All],[PID]],0)))</f>
        <v>-</v>
      </c>
      <c r="T427" s="64">
        <f>IF($C427="B",VLOOKUP($A427,Bat!$A$4:$AU$1417,46,FALSE),VLOOKUP($A427,Pit!$A$4:$BD$570,55,FALSE))</f>
        <v>0</v>
      </c>
      <c r="U427" s="52">
        <f>IF($C427="B",VLOOKUP($A427,Bat!$A$4:$BA$1417,47,FALSE),VLOOKUP($A427,Pit!$A$4:$BF$570,56,FALSE))</f>
        <v>0</v>
      </c>
      <c r="V427" s="52">
        <f>IF($C427="B",VLOOKUP($A427,Bat!$A$4:$BA$1417,48,FALSE),VLOOKUP($A427,Pit!$A$4:$BF$570,57,FALSE))</f>
        <v>0</v>
      </c>
      <c r="W427" s="52">
        <f>Table5[[#This Row],[posRnk]]+Table5[[#This Row],[zRnk]]+IF($W$3&lt;&gt;Table5[[#This Row],[Type]],50,0)</f>
        <v>473</v>
      </c>
      <c r="X427" s="53">
        <f>RANK(Table5[[#This Row],[zScore]],Table5[[#All],[zScore]])</f>
        <v>423</v>
      </c>
      <c r="Y427" s="52" t="str">
        <f>IFERROR(INDEX(DraftResults[[#All],[OVR]],MATCH(Table5[[#This Row],[PID]],DraftResults[[#All],[Player ID]],0)),"")</f>
        <v/>
      </c>
      <c r="Z4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7" s="52" t="str">
        <f>IFERROR(INDEX(DraftResults[[#All],[Pick in Round]],MATCH(Table5[[#This Row],[PID]],DraftResults[[#All],[Player ID]],0)),"")</f>
        <v/>
      </c>
      <c r="AB427" s="52" t="str">
        <f>IFERROR(INDEX(DraftResults[[#All],[Team Name]],MATCH(Table5[[#This Row],[PID]],DraftResults[[#All],[Player ID]],0)),"")</f>
        <v/>
      </c>
      <c r="AC427" s="52" t="str">
        <f>IF(Table5[[#This Row],[Ovr]]="","",IF(Table5[[#This Row],[cmbList]]="","",Table5[[#This Row],[cmbList]]-Table5[[#This Row],[Ovr]]))</f>
        <v/>
      </c>
      <c r="AD427" s="56" t="str">
        <f>IF(ISERROR(VLOOKUP($AB427&amp;"-"&amp;$E427&amp;" "&amp;F427,Bonuses!$B$1:$G$1006,4,FALSE)),"",INT(VLOOKUP($AB427&amp;"-"&amp;$E427&amp;" "&amp;$F427,Bonuses!$B$1:$G$1006,4,FALSE)))</f>
        <v/>
      </c>
      <c r="AE4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8" spans="1:31" s="52" customFormat="1" x14ac:dyDescent="0.25">
      <c r="A428" s="52">
        <v>8472</v>
      </c>
      <c r="B428" s="52">
        <f>COUNTIF(Table5[PID],A428)</f>
        <v>1</v>
      </c>
      <c r="C428" s="52" t="str">
        <f>IF(COUNTIF(Table3[[#All],[PID]],A428)&gt;0,"P","B")</f>
        <v>B</v>
      </c>
      <c r="D428" s="61" t="str">
        <f>IF($C428="B",INDEX(Batters[[#All],[POS]],MATCH(Table5[[#This Row],[PID]],Batters[[#All],[PID]],0)),INDEX(Table3[[#All],[POS]],MATCH(Table5[[#This Row],[PID]],Table3[[#All],[PID]],0)))</f>
        <v>2B</v>
      </c>
      <c r="E428" s="54" t="str">
        <f>IF($C428="B",INDEX(Batters[[#All],[First]],MATCH(Table5[[#This Row],[PID]],Batters[[#All],[PID]],0)),INDEX(Table3[[#All],[First]],MATCH(Table5[[#This Row],[PID]],Table3[[#All],[PID]],0)))</f>
        <v>Lorenzo</v>
      </c>
      <c r="F428" s="52" t="str">
        <f>IF($C428="B",INDEX(Batters[[#All],[Last]],MATCH(A428,Batters[[#All],[PID]],0)),INDEX(Table3[[#All],[Last]],MATCH(A428,Table3[[#All],[PID]],0)))</f>
        <v>García</v>
      </c>
      <c r="G428" s="58">
        <f>IF($C428="B",INDEX(Batters[[#All],[Age]],MATCH(Table5[[#This Row],[PID]],Batters[[#All],[PID]],0)),INDEX(Table3[[#All],[Age]],MATCH(Table5[[#This Row],[PID]],Table3[[#All],[PID]],0)))</f>
        <v>18</v>
      </c>
      <c r="H428" s="54" t="str">
        <f>IF($C428="B",INDEX(Batters[[#All],[B]],MATCH(Table5[[#This Row],[PID]],Batters[[#All],[PID]],0)),INDEX(Table3[[#All],[B]],MATCH(Table5[[#This Row],[PID]],Table3[[#All],[PID]],0)))</f>
        <v>R</v>
      </c>
      <c r="I428" s="54" t="str">
        <f>IF($C428="B",INDEX(Batters[[#All],[T]],MATCH(Table5[[#This Row],[PID]],Batters[[#All],[PID]],0)),INDEX(Table3[[#All],[T]],MATCH(Table5[[#This Row],[PID]],Table3[[#All],[PID]],0)))</f>
        <v>R</v>
      </c>
      <c r="J428" s="54" t="str">
        <f>IF($C428="B",INDEX(Batters[[#All],[WE]],MATCH(Table5[[#This Row],[PID]],Batters[[#All],[PID]],0)),INDEX(Table3[[#All],[WE]],MATCH(Table5[[#This Row],[PID]],Table3[[#All],[PID]],0)))</f>
        <v>High</v>
      </c>
      <c r="K428" s="54" t="str">
        <f>IF($C428="B",INDEX(Batters[[#All],[INT]],MATCH(Table5[[#This Row],[PID]],Batters[[#All],[PID]],0)),INDEX(Table3[[#All],[INT]],MATCH(Table5[[#This Row],[PID]],Table3[[#All],[PID]],0)))</f>
        <v>Normal</v>
      </c>
      <c r="L428" s="62">
        <f>IF($C428="B",INDEX(Batters[[#All],[CON P]],MATCH(Table5[[#This Row],[PID]],Batters[[#All],[PID]],0)),INDEX(Table3[[#All],[STU P]],MATCH(Table5[[#This Row],[PID]],Table3[[#All],[PID]],0)))</f>
        <v>3</v>
      </c>
      <c r="M428" s="58">
        <f>IF($C428="B",INDEX(Batters[[#All],[GAP P]],MATCH(Table5[[#This Row],[PID]],Batters[[#All],[PID]],0)),INDEX(Table3[[#All],[MOV P]],MATCH(Table5[[#This Row],[PID]],Table3[[#All],[PID]],0)))</f>
        <v>4</v>
      </c>
      <c r="N428" s="58">
        <f>IF($C428="B",INDEX(Batters[[#All],[POW P]],MATCH(Table5[[#This Row],[PID]],Batters[[#All],[PID]],0)),INDEX(Table3[[#All],[CON P]],MATCH(Table5[[#This Row],[PID]],Table3[[#All],[PID]],0)))</f>
        <v>2</v>
      </c>
      <c r="O428" s="58">
        <f>IF($C428="B",INDEX(Batters[[#All],[EYE P]],MATCH(Table5[[#This Row],[PID]],Batters[[#All],[PID]],0)),INDEX(Table3[[#All],[VELO]],MATCH(Table5[[#This Row],[PID]],Table3[[#All],[PID]],0)))</f>
        <v>3</v>
      </c>
      <c r="P428" s="58">
        <f>IF($C428="B",INDEX(Batters[[#All],[K P]],MATCH(Table5[[#This Row],[PID]],Batters[[#All],[PID]],0)),INDEX(Table3[[#All],[STM]],MATCH(Table5[[#This Row],[PID]],Table3[[#All],[PID]],0)))</f>
        <v>4</v>
      </c>
      <c r="Q428" s="63">
        <f>IF($C428="B",INDEX(Batters[[#All],[Tot]],MATCH(Table5[[#This Row],[PID]],Batters[[#All],[PID]],0)),INDEX(Table3[[#All],[Tot]],MATCH(Table5[[#This Row],[PID]],Table3[[#All],[PID]],0)))</f>
        <v>40.528271014206432</v>
      </c>
      <c r="R428" s="54">
        <f>IF($C428="B",INDEX(Batters[[#All],[zScore]],MATCH(Table5[[#This Row],[PID]],Batters[[#All],[PID]],0)),INDEX(Table3[[#All],[zScore]],MATCH(Table5[[#This Row],[PID]],Table3[[#All],[PID]],0)))</f>
        <v>3.1673965788696017E-2</v>
      </c>
      <c r="S428" s="60" t="str">
        <f>IF($C428="B",INDEX(Batters[[#All],[DEM]],MATCH(Table5[[#This Row],[PID]],Batters[[#All],[PID]],0)),INDEX(Table3[[#All],[DEM]],MATCH(Table5[[#This Row],[PID]],Table3[[#All],[PID]],0)))</f>
        <v>$65k</v>
      </c>
      <c r="T428" s="64">
        <f>IF($C428="B",VLOOKUP($A428,Bat!$A$4:$AU$1417,46,FALSE),VLOOKUP($A428,Pit!$A$4:$BD$570,55,FALSE))</f>
        <v>0</v>
      </c>
      <c r="U428" s="52">
        <f>IF($C428="B",VLOOKUP($A428,Bat!$A$4:$BA$1417,47,FALSE),VLOOKUP($A428,Pit!$A$4:$BF$570,56,FALSE))</f>
        <v>0</v>
      </c>
      <c r="V428" s="52">
        <f>IF($C428="B",VLOOKUP($A428,Bat!$A$4:$BA$1417,48,FALSE),VLOOKUP($A428,Pit!$A$4:$BF$570,57,FALSE))</f>
        <v>0</v>
      </c>
      <c r="W428" s="52">
        <f>Table5[[#This Row],[posRnk]]+Table5[[#This Row],[zRnk]]+IF($W$3&lt;&gt;Table5[[#This Row],[Type]],50,0)</f>
        <v>474</v>
      </c>
      <c r="X428" s="53">
        <f>RANK(Table5[[#This Row],[zScore]],Table5[[#All],[zScore]])</f>
        <v>424</v>
      </c>
      <c r="Y428" s="52" t="str">
        <f>IFERROR(INDEX(DraftResults[[#All],[OVR]],MATCH(Table5[[#This Row],[PID]],DraftResults[[#All],[Player ID]],0)),"")</f>
        <v/>
      </c>
      <c r="Z4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8" s="52" t="str">
        <f>IFERROR(INDEX(DraftResults[[#All],[Pick in Round]],MATCH(Table5[[#This Row],[PID]],DraftResults[[#All],[Player ID]],0)),"")</f>
        <v/>
      </c>
      <c r="AB428" s="52" t="str">
        <f>IFERROR(INDEX(DraftResults[[#All],[Team Name]],MATCH(Table5[[#This Row],[PID]],DraftResults[[#All],[Player ID]],0)),"")</f>
        <v/>
      </c>
      <c r="AC428" s="52" t="str">
        <f>IF(Table5[[#This Row],[Ovr]]="","",IF(Table5[[#This Row],[cmbList]]="","",Table5[[#This Row],[cmbList]]-Table5[[#This Row],[Ovr]]))</f>
        <v/>
      </c>
      <c r="AD428" s="56" t="str">
        <f>IF(ISERROR(VLOOKUP($AB428&amp;"-"&amp;$E428&amp;" "&amp;F428,Bonuses!$B$1:$G$1006,4,FALSE)),"",INT(VLOOKUP($AB428&amp;"-"&amp;$E428&amp;" "&amp;$F428,Bonuses!$B$1:$G$1006,4,FALSE)))</f>
        <v/>
      </c>
      <c r="AE4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9" spans="1:31" s="52" customFormat="1" x14ac:dyDescent="0.25">
      <c r="A429" s="52">
        <v>8549</v>
      </c>
      <c r="B429" s="52">
        <f>COUNTIF(Table5[PID],A429)</f>
        <v>1</v>
      </c>
      <c r="C429" s="52" t="str">
        <f>IF(COUNTIF(Table3[[#All],[PID]],A429)&gt;0,"P","B")</f>
        <v>B</v>
      </c>
      <c r="D429" s="61" t="str">
        <f>IF($C429="B",INDEX(Batters[[#All],[POS]],MATCH(Table5[[#This Row],[PID]],Batters[[#All],[PID]],0)),INDEX(Table3[[#All],[POS]],MATCH(Table5[[#This Row],[PID]],Table3[[#All],[PID]],0)))</f>
        <v>1B</v>
      </c>
      <c r="E429" s="54" t="str">
        <f>IF($C429="B",INDEX(Batters[[#All],[First]],MATCH(Table5[[#This Row],[PID]],Batters[[#All],[PID]],0)),INDEX(Table3[[#All],[First]],MATCH(Table5[[#This Row],[PID]],Table3[[#All],[PID]],0)))</f>
        <v>Adam</v>
      </c>
      <c r="F429" s="52" t="str">
        <f>IF($C429="B",INDEX(Batters[[#All],[Last]],MATCH(A429,Batters[[#All],[PID]],0)),INDEX(Table3[[#All],[Last]],MATCH(A429,Table3[[#All],[PID]],0)))</f>
        <v>Sanders</v>
      </c>
      <c r="G429" s="58">
        <f>IF($C429="B",INDEX(Batters[[#All],[Age]],MATCH(Table5[[#This Row],[PID]],Batters[[#All],[PID]],0)),INDEX(Table3[[#All],[Age]],MATCH(Table5[[#This Row],[PID]],Table3[[#All],[PID]],0)))</f>
        <v>18</v>
      </c>
      <c r="H429" s="54" t="str">
        <f>IF($C429="B",INDEX(Batters[[#All],[B]],MATCH(Table5[[#This Row],[PID]],Batters[[#All],[PID]],0)),INDEX(Table3[[#All],[B]],MATCH(Table5[[#This Row],[PID]],Table3[[#All],[PID]],0)))</f>
        <v>R</v>
      </c>
      <c r="I429" s="54" t="str">
        <f>IF($C429="B",INDEX(Batters[[#All],[T]],MATCH(Table5[[#This Row],[PID]],Batters[[#All],[PID]],0)),INDEX(Table3[[#All],[T]],MATCH(Table5[[#This Row],[PID]],Table3[[#All],[PID]],0)))</f>
        <v>R</v>
      </c>
      <c r="J429" s="54" t="str">
        <f>IF($C429="B",INDEX(Batters[[#All],[WE]],MATCH(Table5[[#This Row],[PID]],Batters[[#All],[PID]],0)),INDEX(Table3[[#All],[WE]],MATCH(Table5[[#This Row],[PID]],Table3[[#All],[PID]],0)))</f>
        <v>Low</v>
      </c>
      <c r="K429" s="54" t="str">
        <f>IF($C429="B",INDEX(Batters[[#All],[INT]],MATCH(Table5[[#This Row],[PID]],Batters[[#All],[PID]],0)),INDEX(Table3[[#All],[INT]],MATCH(Table5[[#This Row],[PID]],Table3[[#All],[PID]],0)))</f>
        <v>Normal</v>
      </c>
      <c r="L429" s="62">
        <f>IF($C429="B",INDEX(Batters[[#All],[CON P]],MATCH(Table5[[#This Row],[PID]],Batters[[#All],[PID]],0)),INDEX(Table3[[#All],[STU P]],MATCH(Table5[[#This Row],[PID]],Table3[[#All],[PID]],0)))</f>
        <v>3</v>
      </c>
      <c r="M429" s="58">
        <f>IF($C429="B",INDEX(Batters[[#All],[GAP P]],MATCH(Table5[[#This Row],[PID]],Batters[[#All],[PID]],0)),INDEX(Table3[[#All],[MOV P]],MATCH(Table5[[#This Row],[PID]],Table3[[#All],[PID]],0)))</f>
        <v>2</v>
      </c>
      <c r="N429" s="58">
        <f>IF($C429="B",INDEX(Batters[[#All],[POW P]],MATCH(Table5[[#This Row],[PID]],Batters[[#All],[PID]],0)),INDEX(Table3[[#All],[CON P]],MATCH(Table5[[#This Row],[PID]],Table3[[#All],[PID]],0)))</f>
        <v>4</v>
      </c>
      <c r="O429" s="58">
        <f>IF($C429="B",INDEX(Batters[[#All],[EYE P]],MATCH(Table5[[#This Row],[PID]],Batters[[#All],[PID]],0)),INDEX(Table3[[#All],[VELO]],MATCH(Table5[[#This Row],[PID]],Table3[[#All],[PID]],0)))</f>
        <v>4</v>
      </c>
      <c r="P429" s="58">
        <f>IF($C429="B",INDEX(Batters[[#All],[K P]],MATCH(Table5[[#This Row],[PID]],Batters[[#All],[PID]],0)),INDEX(Table3[[#All],[STM]],MATCH(Table5[[#This Row],[PID]],Table3[[#All],[PID]],0)))</f>
        <v>4</v>
      </c>
      <c r="Q429" s="63">
        <f>IF($C429="B",INDEX(Batters[[#All],[Tot]],MATCH(Table5[[#This Row],[PID]],Batters[[#All],[PID]],0)),INDEX(Table3[[#All],[Tot]],MATCH(Table5[[#This Row],[PID]],Table3[[#All],[PID]],0)))</f>
        <v>40.506157693379485</v>
      </c>
      <c r="R429" s="54">
        <f>IF($C429="B",INDEX(Batters[[#All],[zScore]],MATCH(Table5[[#This Row],[PID]],Batters[[#All],[PID]],0)),INDEX(Table3[[#All],[zScore]],MATCH(Table5[[#This Row],[PID]],Table3[[#All],[PID]],0)))</f>
        <v>2.7783273961033698E-2</v>
      </c>
      <c r="S429" s="60" t="str">
        <f>IF($C429="B",INDEX(Batters[[#All],[DEM]],MATCH(Table5[[#This Row],[PID]],Batters[[#All],[PID]],0)),INDEX(Table3[[#All],[DEM]],MATCH(Table5[[#This Row],[PID]],Table3[[#All],[PID]],0)))</f>
        <v>$65k</v>
      </c>
      <c r="T429" s="64">
        <f>IF($C429="B",VLOOKUP($A429,Bat!$A$4:$AU$1417,46,FALSE),VLOOKUP($A429,Pit!$A$4:$BD$570,55,FALSE))</f>
        <v>0</v>
      </c>
      <c r="U429" s="52">
        <f>IF($C429="B",VLOOKUP($A429,Bat!$A$4:$BA$1417,47,FALSE),VLOOKUP($A429,Pit!$A$4:$BF$570,56,FALSE))</f>
        <v>0</v>
      </c>
      <c r="V429" s="52">
        <f>IF($C429="B",VLOOKUP($A429,Bat!$A$4:$BA$1417,48,FALSE),VLOOKUP($A429,Pit!$A$4:$BF$570,57,FALSE))</f>
        <v>0</v>
      </c>
      <c r="W429" s="52">
        <f>Table5[[#This Row],[posRnk]]+Table5[[#This Row],[zRnk]]+IF($W$3&lt;&gt;Table5[[#This Row],[Type]],50,0)</f>
        <v>475</v>
      </c>
      <c r="X429" s="53">
        <f>RANK(Table5[[#This Row],[zScore]],Table5[[#All],[zScore]])</f>
        <v>425</v>
      </c>
      <c r="Y429" s="52" t="str">
        <f>IFERROR(INDEX(DraftResults[[#All],[OVR]],MATCH(Table5[[#This Row],[PID]],DraftResults[[#All],[Player ID]],0)),"")</f>
        <v/>
      </c>
      <c r="Z4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9" s="52" t="str">
        <f>IFERROR(INDEX(DraftResults[[#All],[Pick in Round]],MATCH(Table5[[#This Row],[PID]],DraftResults[[#All],[Player ID]],0)),"")</f>
        <v/>
      </c>
      <c r="AB429" s="52" t="str">
        <f>IFERROR(INDEX(DraftResults[[#All],[Team Name]],MATCH(Table5[[#This Row],[PID]],DraftResults[[#All],[Player ID]],0)),"")</f>
        <v/>
      </c>
      <c r="AC429" s="52" t="str">
        <f>IF(Table5[[#This Row],[Ovr]]="","",IF(Table5[[#This Row],[cmbList]]="","",Table5[[#This Row],[cmbList]]-Table5[[#This Row],[Ovr]]))</f>
        <v/>
      </c>
      <c r="AD429" s="56" t="str">
        <f>IF(ISERROR(VLOOKUP($AB429&amp;"-"&amp;$E429&amp;" "&amp;F429,Bonuses!$B$1:$G$1006,4,FALSE)),"",INT(VLOOKUP($AB429&amp;"-"&amp;$E429&amp;" "&amp;$F429,Bonuses!$B$1:$G$1006,4,FALSE)))</f>
        <v/>
      </c>
      <c r="AE4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0" spans="1:31" s="52" customFormat="1" x14ac:dyDescent="0.25">
      <c r="A430" s="52">
        <v>7626</v>
      </c>
      <c r="B430" s="52">
        <f>COUNTIF(Table5[PID],A430)</f>
        <v>1</v>
      </c>
      <c r="C430" s="52" t="str">
        <f>IF(COUNTIF(Table3[[#All],[PID]],A430)&gt;0,"P","B")</f>
        <v>P</v>
      </c>
      <c r="D430" s="61" t="str">
        <f>IF($C430="B",INDEX(Batters[[#All],[POS]],MATCH(Table5[[#This Row],[PID]],Batters[[#All],[PID]],0)),INDEX(Table3[[#All],[POS]],MATCH(Table5[[#This Row],[PID]],Table3[[#All],[PID]],0)))</f>
        <v>CL</v>
      </c>
      <c r="E430" s="54" t="str">
        <f>IF($C430="B",INDEX(Batters[[#All],[First]],MATCH(Table5[[#This Row],[PID]],Batters[[#All],[PID]],0)),INDEX(Table3[[#All],[First]],MATCH(Table5[[#This Row],[PID]],Table3[[#All],[PID]],0)))</f>
        <v>Ramón</v>
      </c>
      <c r="F430" s="52" t="str">
        <f>IF($C430="B",INDEX(Batters[[#All],[Last]],MATCH(A430,Batters[[#All],[PID]],0)),INDEX(Table3[[#All],[Last]],MATCH(A430,Table3[[#All],[PID]],0)))</f>
        <v>Lozano</v>
      </c>
      <c r="G430" s="58">
        <f>IF($C430="B",INDEX(Batters[[#All],[Age]],MATCH(Table5[[#This Row],[PID]],Batters[[#All],[PID]],0)),INDEX(Table3[[#All],[Age]],MATCH(Table5[[#This Row],[PID]],Table3[[#All],[PID]],0)))</f>
        <v>18</v>
      </c>
      <c r="H430" s="54" t="str">
        <f>IF($C430="B",INDEX(Batters[[#All],[B]],MATCH(Table5[[#This Row],[PID]],Batters[[#All],[PID]],0)),INDEX(Table3[[#All],[B]],MATCH(Table5[[#This Row],[PID]],Table3[[#All],[PID]],0)))</f>
        <v>R</v>
      </c>
      <c r="I430" s="54" t="str">
        <f>IF($C430="B",INDEX(Batters[[#All],[T]],MATCH(Table5[[#This Row],[PID]],Batters[[#All],[PID]],0)),INDEX(Table3[[#All],[T]],MATCH(Table5[[#This Row],[PID]],Table3[[#All],[PID]],0)))</f>
        <v>R</v>
      </c>
      <c r="J430" s="54" t="str">
        <f>IF($C430="B",INDEX(Batters[[#All],[WE]],MATCH(Table5[[#This Row],[PID]],Batters[[#All],[PID]],0)),INDEX(Table3[[#All],[WE]],MATCH(Table5[[#This Row],[PID]],Table3[[#All],[PID]],0)))</f>
        <v>Normal</v>
      </c>
      <c r="K430" s="54" t="str">
        <f>IF($C430="B",INDEX(Batters[[#All],[INT]],MATCH(Table5[[#This Row],[PID]],Batters[[#All],[PID]],0)),INDEX(Table3[[#All],[INT]],MATCH(Table5[[#This Row],[PID]],Table3[[#All],[PID]],0)))</f>
        <v>Normal</v>
      </c>
      <c r="L430" s="62">
        <f>IF($C430="B",INDEX(Batters[[#All],[CON P]],MATCH(Table5[[#This Row],[PID]],Batters[[#All],[PID]],0)),INDEX(Table3[[#All],[STU P]],MATCH(Table5[[#This Row],[PID]],Table3[[#All],[PID]],0)))</f>
        <v>5</v>
      </c>
      <c r="M430" s="58">
        <f>IF($C430="B",INDEX(Batters[[#All],[GAP P]],MATCH(Table5[[#This Row],[PID]],Batters[[#All],[PID]],0)),INDEX(Table3[[#All],[MOV P]],MATCH(Table5[[#This Row],[PID]],Table3[[#All],[PID]],0)))</f>
        <v>2</v>
      </c>
      <c r="N430" s="58">
        <f>IF($C430="B",INDEX(Batters[[#All],[POW P]],MATCH(Table5[[#This Row],[PID]],Batters[[#All],[PID]],0)),INDEX(Table3[[#All],[CON P]],MATCH(Table5[[#This Row],[PID]],Table3[[#All],[PID]],0)))</f>
        <v>3</v>
      </c>
      <c r="O430" s="58" t="str">
        <f>IF($C430="B",INDEX(Batters[[#All],[EYE P]],MATCH(Table5[[#This Row],[PID]],Batters[[#All],[PID]],0)),INDEX(Table3[[#All],[VELO]],MATCH(Table5[[#This Row],[PID]],Table3[[#All],[PID]],0)))</f>
        <v>86-88 Mph</v>
      </c>
      <c r="P430" s="58">
        <f>IF($C430="B",INDEX(Batters[[#All],[K P]],MATCH(Table5[[#This Row],[PID]],Batters[[#All],[PID]],0)),INDEX(Table3[[#All],[STM]],MATCH(Table5[[#This Row],[PID]],Table3[[#All],[PID]],0)))</f>
        <v>6</v>
      </c>
      <c r="Q430" s="63">
        <f>IF($C430="B",INDEX(Batters[[#All],[Tot]],MATCH(Table5[[#This Row],[PID]],Batters[[#All],[PID]],0)),INDEX(Table3[[#All],[Tot]],MATCH(Table5[[#This Row],[PID]],Table3[[#All],[PID]],0)))</f>
        <v>33.010400184740995</v>
      </c>
      <c r="R430" s="54">
        <f>IF($C430="B",INDEX(Batters[[#All],[zScore]],MATCH(Table5[[#This Row],[PID]],Batters[[#All],[PID]],0)),INDEX(Table3[[#All],[zScore]],MATCH(Table5[[#This Row],[PID]],Table3[[#All],[PID]],0)))</f>
        <v>2.6424525199451401E-2</v>
      </c>
      <c r="S430" s="60" t="str">
        <f>IF($C430="B",INDEX(Batters[[#All],[DEM]],MATCH(Table5[[#This Row],[PID]],Batters[[#All],[PID]],0)),INDEX(Table3[[#All],[DEM]],MATCH(Table5[[#This Row],[PID]],Table3[[#All],[PID]],0)))</f>
        <v>$75k</v>
      </c>
      <c r="T430" s="64">
        <f>IF($C430="B",VLOOKUP($A430,Bat!$A$4:$AU$1417,46,FALSE),VLOOKUP($A430,Pit!$A$4:$BD$570,55,FALSE))</f>
        <v>0</v>
      </c>
      <c r="U430" s="52">
        <f>IF($C430="B",VLOOKUP($A430,Bat!$A$4:$BA$1417,47,FALSE),VLOOKUP($A430,Pit!$A$4:$BF$570,56,FALSE))</f>
        <v>0</v>
      </c>
      <c r="V430" s="52">
        <f>IF($C430="B",VLOOKUP($A430,Bat!$A$4:$BA$1417,48,FALSE),VLOOKUP($A430,Pit!$A$4:$BF$570,57,FALSE))</f>
        <v>0</v>
      </c>
      <c r="W430" s="52">
        <f>Table5[[#This Row],[posRnk]]+Table5[[#This Row],[zRnk]]+IF($W$3&lt;&gt;Table5[[#This Row],[Type]],50,0)</f>
        <v>476</v>
      </c>
      <c r="X430" s="53">
        <f>RANK(Table5[[#This Row],[zScore]],Table5[[#All],[zScore]])</f>
        <v>426</v>
      </c>
      <c r="Y430" s="52" t="str">
        <f>IFERROR(INDEX(DraftResults[[#All],[OVR]],MATCH(Table5[[#This Row],[PID]],DraftResults[[#All],[Player ID]],0)),"")</f>
        <v/>
      </c>
      <c r="Z4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0" s="52" t="str">
        <f>IFERROR(INDEX(DraftResults[[#All],[Pick in Round]],MATCH(Table5[[#This Row],[PID]],DraftResults[[#All],[Player ID]],0)),"")</f>
        <v/>
      </c>
      <c r="AB430" s="52" t="str">
        <f>IFERROR(INDEX(DraftResults[[#All],[Team Name]],MATCH(Table5[[#This Row],[PID]],DraftResults[[#All],[Player ID]],0)),"")</f>
        <v/>
      </c>
      <c r="AC430" s="52" t="str">
        <f>IF(Table5[[#This Row],[Ovr]]="","",IF(Table5[[#This Row],[cmbList]]="","",Table5[[#This Row],[cmbList]]-Table5[[#This Row],[Ovr]]))</f>
        <v/>
      </c>
      <c r="AD430" s="56" t="str">
        <f>IF(ISERROR(VLOOKUP($AB430&amp;"-"&amp;$E430&amp;" "&amp;F430,Bonuses!$B$1:$G$1006,4,FALSE)),"",INT(VLOOKUP($AB430&amp;"-"&amp;$E430&amp;" "&amp;$F430,Bonuses!$B$1:$G$1006,4,FALSE)))</f>
        <v/>
      </c>
      <c r="AE4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1" spans="1:31" s="52" customFormat="1" x14ac:dyDescent="0.25">
      <c r="A431" s="52">
        <v>12130</v>
      </c>
      <c r="B431" s="52">
        <f>COUNTIF(Table5[PID],A431)</f>
        <v>1</v>
      </c>
      <c r="C431" s="52" t="str">
        <f>IF(COUNTIF(Table3[[#All],[PID]],A431)&gt;0,"P","B")</f>
        <v>B</v>
      </c>
      <c r="D431" s="61" t="str">
        <f>IF($C431="B",INDEX(Batters[[#All],[POS]],MATCH(Table5[[#This Row],[PID]],Batters[[#All],[PID]],0)),INDEX(Table3[[#All],[POS]],MATCH(Table5[[#This Row],[PID]],Table3[[#All],[PID]],0)))</f>
        <v>3B</v>
      </c>
      <c r="E431" s="54" t="str">
        <f>IF($C431="B",INDEX(Batters[[#All],[First]],MATCH(Table5[[#This Row],[PID]],Batters[[#All],[PID]],0)),INDEX(Table3[[#All],[First]],MATCH(Table5[[#This Row],[PID]],Table3[[#All],[PID]],0)))</f>
        <v>Jeff</v>
      </c>
      <c r="F431" s="52" t="str">
        <f>IF($C431="B",INDEX(Batters[[#All],[Last]],MATCH(A431,Batters[[#All],[PID]],0)),INDEX(Table3[[#All],[Last]],MATCH(A431,Table3[[#All],[PID]],0)))</f>
        <v>Jones</v>
      </c>
      <c r="G431" s="58">
        <f>IF($C431="B",INDEX(Batters[[#All],[Age]],MATCH(Table5[[#This Row],[PID]],Batters[[#All],[PID]],0)),INDEX(Table3[[#All],[Age]],MATCH(Table5[[#This Row],[PID]],Table3[[#All],[PID]],0)))</f>
        <v>21</v>
      </c>
      <c r="H431" s="54" t="str">
        <f>IF($C431="B",INDEX(Batters[[#All],[B]],MATCH(Table5[[#This Row],[PID]],Batters[[#All],[PID]],0)),INDEX(Table3[[#All],[B]],MATCH(Table5[[#This Row],[PID]],Table3[[#All],[PID]],0)))</f>
        <v>R</v>
      </c>
      <c r="I431" s="54" t="str">
        <f>IF($C431="B",INDEX(Batters[[#All],[T]],MATCH(Table5[[#This Row],[PID]],Batters[[#All],[PID]],0)),INDEX(Table3[[#All],[T]],MATCH(Table5[[#This Row],[PID]],Table3[[#All],[PID]],0)))</f>
        <v>R</v>
      </c>
      <c r="J431" s="54" t="str">
        <f>IF($C431="B",INDEX(Batters[[#All],[WE]],MATCH(Table5[[#This Row],[PID]],Batters[[#All],[PID]],0)),INDEX(Table3[[#All],[WE]],MATCH(Table5[[#This Row],[PID]],Table3[[#All],[PID]],0)))</f>
        <v>Low</v>
      </c>
      <c r="K431" s="54" t="str">
        <f>IF($C431="B",INDEX(Batters[[#All],[INT]],MATCH(Table5[[#This Row],[PID]],Batters[[#All],[PID]],0)),INDEX(Table3[[#All],[INT]],MATCH(Table5[[#This Row],[PID]],Table3[[#All],[PID]],0)))</f>
        <v>Normal</v>
      </c>
      <c r="L431" s="62">
        <f>IF($C431="B",INDEX(Batters[[#All],[CON P]],MATCH(Table5[[#This Row],[PID]],Batters[[#All],[PID]],0)),INDEX(Table3[[#All],[STU P]],MATCH(Table5[[#This Row],[PID]],Table3[[#All],[PID]],0)))</f>
        <v>4</v>
      </c>
      <c r="M431" s="58">
        <f>IF($C431="B",INDEX(Batters[[#All],[GAP P]],MATCH(Table5[[#This Row],[PID]],Batters[[#All],[PID]],0)),INDEX(Table3[[#All],[MOV P]],MATCH(Table5[[#This Row],[PID]],Table3[[#All],[PID]],0)))</f>
        <v>3</v>
      </c>
      <c r="N431" s="58">
        <f>IF($C431="B",INDEX(Batters[[#All],[POW P]],MATCH(Table5[[#This Row],[PID]],Batters[[#All],[PID]],0)),INDEX(Table3[[#All],[CON P]],MATCH(Table5[[#This Row],[PID]],Table3[[#All],[PID]],0)))</f>
        <v>3</v>
      </c>
      <c r="O431" s="58">
        <f>IF($C431="B",INDEX(Batters[[#All],[EYE P]],MATCH(Table5[[#This Row],[PID]],Batters[[#All],[PID]],0)),INDEX(Table3[[#All],[VELO]],MATCH(Table5[[#This Row],[PID]],Table3[[#All],[PID]],0)))</f>
        <v>4</v>
      </c>
      <c r="P431" s="58">
        <f>IF($C431="B",INDEX(Batters[[#All],[K P]],MATCH(Table5[[#This Row],[PID]],Batters[[#All],[PID]],0)),INDEX(Table3[[#All],[STM]],MATCH(Table5[[#This Row],[PID]],Table3[[#All],[PID]],0)))</f>
        <v>4</v>
      </c>
      <c r="Q431" s="63">
        <f>IF($C431="B",INDEX(Batters[[#All],[Tot]],MATCH(Table5[[#This Row],[PID]],Batters[[#All],[PID]],0)),INDEX(Table3[[#All],[Tot]],MATCH(Table5[[#This Row],[PID]],Table3[[#All],[PID]],0)))</f>
        <v>40.481445169866596</v>
      </c>
      <c r="R431" s="54">
        <f>IF($C431="B",INDEX(Batters[[#All],[zScore]],MATCH(Table5[[#This Row],[PID]],Batters[[#All],[PID]],0)),INDEX(Table3[[#All],[zScore]],MATCH(Table5[[#This Row],[PID]],Table3[[#All],[PID]],0)))</f>
        <v>2.3435269695869353E-2</v>
      </c>
      <c r="S431" s="60" t="str">
        <f>IF($C431="B",INDEX(Batters[[#All],[DEM]],MATCH(Table5[[#This Row],[PID]],Batters[[#All],[PID]],0)),INDEX(Table3[[#All],[DEM]],MATCH(Table5[[#This Row],[PID]],Table3[[#All],[PID]],0)))</f>
        <v>$100k</v>
      </c>
      <c r="T431" s="64">
        <f>IF($C431="B",VLOOKUP($A431,Bat!$A$4:$AU$1417,46,FALSE),VLOOKUP($A431,Pit!$A$4:$BD$570,55,FALSE))</f>
        <v>0</v>
      </c>
      <c r="U431" s="52">
        <f>IF($C431="B",VLOOKUP($A431,Bat!$A$4:$BA$1417,47,FALSE),VLOOKUP($A431,Pit!$A$4:$BF$570,56,FALSE))</f>
        <v>0</v>
      </c>
      <c r="V431" s="52">
        <f>IF($C431="B",VLOOKUP($A431,Bat!$A$4:$BA$1417,48,FALSE),VLOOKUP($A431,Pit!$A$4:$BF$570,57,FALSE))</f>
        <v>0</v>
      </c>
      <c r="W431" s="52">
        <f>Table5[[#This Row],[posRnk]]+Table5[[#This Row],[zRnk]]+IF($W$3&lt;&gt;Table5[[#This Row],[Type]],50,0)</f>
        <v>477</v>
      </c>
      <c r="X431" s="53">
        <f>RANK(Table5[[#This Row],[zScore]],Table5[[#All],[zScore]])</f>
        <v>427</v>
      </c>
      <c r="Y431" s="52" t="str">
        <f>IFERROR(INDEX(DraftResults[[#All],[OVR]],MATCH(Table5[[#This Row],[PID]],DraftResults[[#All],[Player ID]],0)),"")</f>
        <v/>
      </c>
      <c r="Z4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1" s="52" t="str">
        <f>IFERROR(INDEX(DraftResults[[#All],[Pick in Round]],MATCH(Table5[[#This Row],[PID]],DraftResults[[#All],[Player ID]],0)),"")</f>
        <v/>
      </c>
      <c r="AB431" s="52" t="str">
        <f>IFERROR(INDEX(DraftResults[[#All],[Team Name]],MATCH(Table5[[#This Row],[PID]],DraftResults[[#All],[Player ID]],0)),"")</f>
        <v/>
      </c>
      <c r="AC431" s="52" t="str">
        <f>IF(Table5[[#This Row],[Ovr]]="","",IF(Table5[[#This Row],[cmbList]]="","",Table5[[#This Row],[cmbList]]-Table5[[#This Row],[Ovr]]))</f>
        <v/>
      </c>
      <c r="AD431" s="56" t="str">
        <f>IF(ISERROR(VLOOKUP($AB431&amp;"-"&amp;$E431&amp;" "&amp;F431,Bonuses!$B$1:$G$1006,4,FALSE)),"",INT(VLOOKUP($AB431&amp;"-"&amp;$E431&amp;" "&amp;$F431,Bonuses!$B$1:$G$1006,4,FALSE)))</f>
        <v/>
      </c>
      <c r="AE4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2" spans="1:31" s="52" customFormat="1" x14ac:dyDescent="0.25">
      <c r="A432" s="52">
        <v>16045</v>
      </c>
      <c r="B432" s="52">
        <f>COUNTIF(Table5[PID],A432)</f>
        <v>1</v>
      </c>
      <c r="C432" s="52" t="str">
        <f>IF(COUNTIF(Table3[[#All],[PID]],A432)&gt;0,"P","B")</f>
        <v>P</v>
      </c>
      <c r="D432" s="61" t="str">
        <f>IF($C432="B",INDEX(Batters[[#All],[POS]],MATCH(Table5[[#This Row],[PID]],Batters[[#All],[PID]],0)),INDEX(Table3[[#All],[POS]],MATCH(Table5[[#This Row],[PID]],Table3[[#All],[PID]],0)))</f>
        <v>RP</v>
      </c>
      <c r="E432" s="54" t="str">
        <f>IF($C432="B",INDEX(Batters[[#All],[First]],MATCH(Table5[[#This Row],[PID]],Batters[[#All],[PID]],0)),INDEX(Table3[[#All],[First]],MATCH(Table5[[#This Row],[PID]],Table3[[#All],[PID]],0)))</f>
        <v>Yoshitaka</v>
      </c>
      <c r="F432" s="52" t="str">
        <f>IF($C432="B",INDEX(Batters[[#All],[Last]],MATCH(A432,Batters[[#All],[PID]],0)),INDEX(Table3[[#All],[Last]],MATCH(A432,Table3[[#All],[PID]],0)))</f>
        <v>Yamashita</v>
      </c>
      <c r="G432" s="58">
        <f>IF($C432="B",INDEX(Batters[[#All],[Age]],MATCH(Table5[[#This Row],[PID]],Batters[[#All],[PID]],0)),INDEX(Table3[[#All],[Age]],MATCH(Table5[[#This Row],[PID]],Table3[[#All],[PID]],0)))</f>
        <v>18</v>
      </c>
      <c r="H432" s="54" t="str">
        <f>IF($C432="B",INDEX(Batters[[#All],[B]],MATCH(Table5[[#This Row],[PID]],Batters[[#All],[PID]],0)),INDEX(Table3[[#All],[B]],MATCH(Table5[[#This Row],[PID]],Table3[[#All],[PID]],0)))</f>
        <v>L</v>
      </c>
      <c r="I432" s="54" t="str">
        <f>IF($C432="B",INDEX(Batters[[#All],[T]],MATCH(Table5[[#This Row],[PID]],Batters[[#All],[PID]],0)),INDEX(Table3[[#All],[T]],MATCH(Table5[[#This Row],[PID]],Table3[[#All],[PID]],0)))</f>
        <v>L</v>
      </c>
      <c r="J432" s="54" t="str">
        <f>IF($C432="B",INDEX(Batters[[#All],[WE]],MATCH(Table5[[#This Row],[PID]],Batters[[#All],[PID]],0)),INDEX(Table3[[#All],[WE]],MATCH(Table5[[#This Row],[PID]],Table3[[#All],[PID]],0)))</f>
        <v>Normal</v>
      </c>
      <c r="K432" s="54" t="str">
        <f>IF($C432="B",INDEX(Batters[[#All],[INT]],MATCH(Table5[[#This Row],[PID]],Batters[[#All],[PID]],0)),INDEX(Table3[[#All],[INT]],MATCH(Table5[[#This Row],[PID]],Table3[[#All],[PID]],0)))</f>
        <v>Normal</v>
      </c>
      <c r="L432" s="62">
        <f>IF($C432="B",INDEX(Batters[[#All],[CON P]],MATCH(Table5[[#This Row],[PID]],Batters[[#All],[PID]],0)),INDEX(Table3[[#All],[STU P]],MATCH(Table5[[#This Row],[PID]],Table3[[#All],[PID]],0)))</f>
        <v>2</v>
      </c>
      <c r="M432" s="58">
        <f>IF($C432="B",INDEX(Batters[[#All],[GAP P]],MATCH(Table5[[#This Row],[PID]],Batters[[#All],[PID]],0)),INDEX(Table3[[#All],[MOV P]],MATCH(Table5[[#This Row],[PID]],Table3[[#All],[PID]],0)))</f>
        <v>3</v>
      </c>
      <c r="N432" s="58">
        <f>IF($C432="B",INDEX(Batters[[#All],[POW P]],MATCH(Table5[[#This Row],[PID]],Batters[[#All],[PID]],0)),INDEX(Table3[[#All],[CON P]],MATCH(Table5[[#This Row],[PID]],Table3[[#All],[PID]],0)))</f>
        <v>3</v>
      </c>
      <c r="O432" s="58" t="str">
        <f>IF($C432="B",INDEX(Batters[[#All],[EYE P]],MATCH(Table5[[#This Row],[PID]],Batters[[#All],[PID]],0)),INDEX(Table3[[#All],[VELO]],MATCH(Table5[[#This Row],[PID]],Table3[[#All],[PID]],0)))</f>
        <v>84-86 Mph</v>
      </c>
      <c r="P432" s="58">
        <f>IF($C432="B",INDEX(Batters[[#All],[K P]],MATCH(Table5[[#This Row],[PID]],Batters[[#All],[PID]],0)),INDEX(Table3[[#All],[STM]],MATCH(Table5[[#This Row],[PID]],Table3[[#All],[PID]],0)))</f>
        <v>4</v>
      </c>
      <c r="Q432" s="63">
        <f>IF($C432="B",INDEX(Batters[[#All],[Tot]],MATCH(Table5[[#This Row],[PID]],Batters[[#All],[PID]],0)),INDEX(Table3[[#All],[Tot]],MATCH(Table5[[#This Row],[PID]],Table3[[#All],[PID]],0)))</f>
        <v>30.576894497240414</v>
      </c>
      <c r="R432" s="54">
        <f>IF($C432="B",INDEX(Batters[[#All],[zScore]],MATCH(Table5[[#This Row],[PID]],Batters[[#All],[PID]],0)),INDEX(Table3[[#All],[zScore]],MATCH(Table5[[#This Row],[PID]],Table3[[#All],[PID]],0)))</f>
        <v>1.5920254473722535E-2</v>
      </c>
      <c r="S432" s="60" t="str">
        <f>IF($C432="B",INDEX(Batters[[#All],[DEM]],MATCH(Table5[[#This Row],[PID]],Batters[[#All],[PID]],0)),INDEX(Table3[[#All],[DEM]],MATCH(Table5[[#This Row],[PID]],Table3[[#All],[PID]],0)))</f>
        <v>$65k</v>
      </c>
      <c r="T432" s="64">
        <f>IF($C432="B",VLOOKUP($A432,Bat!$A$4:$AU$1417,46,FALSE),VLOOKUP($A432,Pit!$A$4:$BD$570,55,FALSE))</f>
        <v>0</v>
      </c>
      <c r="U432" s="52">
        <f>IF($C432="B",VLOOKUP($A432,Bat!$A$4:$BA$1417,47,FALSE),VLOOKUP($A432,Pit!$A$4:$BF$570,56,FALSE))</f>
        <v>0</v>
      </c>
      <c r="V432" s="52">
        <f>IF($C432="B",VLOOKUP($A432,Bat!$A$4:$BA$1417,48,FALSE),VLOOKUP($A432,Pit!$A$4:$BF$570,57,FALSE))</f>
        <v>0</v>
      </c>
      <c r="W432" s="52">
        <f>Table5[[#This Row],[posRnk]]+Table5[[#This Row],[zRnk]]+IF($W$3&lt;&gt;Table5[[#This Row],[Type]],50,0)</f>
        <v>478</v>
      </c>
      <c r="X432" s="53">
        <f>RANK(Table5[[#This Row],[zScore]],Table5[[#All],[zScore]])</f>
        <v>428</v>
      </c>
      <c r="Y432" s="52" t="str">
        <f>IFERROR(INDEX(DraftResults[[#All],[OVR]],MATCH(Table5[[#This Row],[PID]],DraftResults[[#All],[Player ID]],0)),"")</f>
        <v/>
      </c>
      <c r="Z4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2" s="52" t="str">
        <f>IFERROR(INDEX(DraftResults[[#All],[Pick in Round]],MATCH(Table5[[#This Row],[PID]],DraftResults[[#All],[Player ID]],0)),"")</f>
        <v/>
      </c>
      <c r="AB432" s="52" t="str">
        <f>IFERROR(INDEX(DraftResults[[#All],[Team Name]],MATCH(Table5[[#This Row],[PID]],DraftResults[[#All],[Player ID]],0)),"")</f>
        <v/>
      </c>
      <c r="AC432" s="52" t="str">
        <f>IF(Table5[[#This Row],[Ovr]]="","",IF(Table5[[#This Row],[cmbList]]="","",Table5[[#This Row],[cmbList]]-Table5[[#This Row],[Ovr]]))</f>
        <v/>
      </c>
      <c r="AD432" s="56" t="str">
        <f>IF(ISERROR(VLOOKUP($AB432&amp;"-"&amp;$E432&amp;" "&amp;F432,Bonuses!$B$1:$G$1006,4,FALSE)),"",INT(VLOOKUP($AB432&amp;"-"&amp;$E432&amp;" "&amp;$F432,Bonuses!$B$1:$G$1006,4,FALSE)))</f>
        <v/>
      </c>
      <c r="AE4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3" spans="1:31" s="52" customFormat="1" x14ac:dyDescent="0.25">
      <c r="A433" s="52">
        <v>11332</v>
      </c>
      <c r="B433" s="52">
        <f>COUNTIF(Table5[PID],A433)</f>
        <v>1</v>
      </c>
      <c r="C433" s="52" t="str">
        <f>IF(COUNTIF(Table3[[#All],[PID]],A433)&gt;0,"P","B")</f>
        <v>B</v>
      </c>
      <c r="D433" s="61" t="str">
        <f>IF($C433="B",INDEX(Batters[[#All],[POS]],MATCH(Table5[[#This Row],[PID]],Batters[[#All],[PID]],0)),INDEX(Table3[[#All],[POS]],MATCH(Table5[[#This Row],[PID]],Table3[[#All],[PID]],0)))</f>
        <v>3B</v>
      </c>
      <c r="E433" s="54" t="str">
        <f>IF($C433="B",INDEX(Batters[[#All],[First]],MATCH(Table5[[#This Row],[PID]],Batters[[#All],[PID]],0)),INDEX(Table3[[#All],[First]],MATCH(Table5[[#This Row],[PID]],Table3[[#All],[PID]],0)))</f>
        <v>Tomomi</v>
      </c>
      <c r="F433" s="52" t="str">
        <f>IF($C433="B",INDEX(Batters[[#All],[Last]],MATCH(A433,Batters[[#All],[PID]],0)),INDEX(Table3[[#All],[Last]],MATCH(A433,Table3[[#All],[PID]],0)))</f>
        <v>Hayashi</v>
      </c>
      <c r="G433" s="58">
        <f>IF($C433="B",INDEX(Batters[[#All],[Age]],MATCH(Table5[[#This Row],[PID]],Batters[[#All],[PID]],0)),INDEX(Table3[[#All],[Age]],MATCH(Table5[[#This Row],[PID]],Table3[[#All],[PID]],0)))</f>
        <v>18</v>
      </c>
      <c r="H433" s="54" t="str">
        <f>IF($C433="B",INDEX(Batters[[#All],[B]],MATCH(Table5[[#This Row],[PID]],Batters[[#All],[PID]],0)),INDEX(Table3[[#All],[B]],MATCH(Table5[[#This Row],[PID]],Table3[[#All],[PID]],0)))</f>
        <v>R</v>
      </c>
      <c r="I433" s="54" t="str">
        <f>IF($C433="B",INDEX(Batters[[#All],[T]],MATCH(Table5[[#This Row],[PID]],Batters[[#All],[PID]],0)),INDEX(Table3[[#All],[T]],MATCH(Table5[[#This Row],[PID]],Table3[[#All],[PID]],0)))</f>
        <v>R</v>
      </c>
      <c r="J433" s="54" t="str">
        <f>IF($C433="B",INDEX(Batters[[#All],[WE]],MATCH(Table5[[#This Row],[PID]],Batters[[#All],[PID]],0)),INDEX(Table3[[#All],[WE]],MATCH(Table5[[#This Row],[PID]],Table3[[#All],[PID]],0)))</f>
        <v>Normal</v>
      </c>
      <c r="K433" s="54" t="str">
        <f>IF($C433="B",INDEX(Batters[[#All],[INT]],MATCH(Table5[[#This Row],[PID]],Batters[[#All],[PID]],0)),INDEX(Table3[[#All],[INT]],MATCH(Table5[[#This Row],[PID]],Table3[[#All],[PID]],0)))</f>
        <v>Normal</v>
      </c>
      <c r="L433" s="62">
        <f>IF($C433="B",INDEX(Batters[[#All],[CON P]],MATCH(Table5[[#This Row],[PID]],Batters[[#All],[PID]],0)),INDEX(Table3[[#All],[STU P]],MATCH(Table5[[#This Row],[PID]],Table3[[#All],[PID]],0)))</f>
        <v>3</v>
      </c>
      <c r="M433" s="58">
        <f>IF($C433="B",INDEX(Batters[[#All],[GAP P]],MATCH(Table5[[#This Row],[PID]],Batters[[#All],[PID]],0)),INDEX(Table3[[#All],[MOV P]],MATCH(Table5[[#This Row],[PID]],Table3[[#All],[PID]],0)))</f>
        <v>3</v>
      </c>
      <c r="N433" s="58">
        <f>IF($C433="B",INDEX(Batters[[#All],[POW P]],MATCH(Table5[[#This Row],[PID]],Batters[[#All],[PID]],0)),INDEX(Table3[[#All],[CON P]],MATCH(Table5[[#This Row],[PID]],Table3[[#All],[PID]],0)))</f>
        <v>3</v>
      </c>
      <c r="O433" s="58">
        <f>IF($C433="B",INDEX(Batters[[#All],[EYE P]],MATCH(Table5[[#This Row],[PID]],Batters[[#All],[PID]],0)),INDEX(Table3[[#All],[VELO]],MATCH(Table5[[#This Row],[PID]],Table3[[#All],[PID]],0)))</f>
        <v>4</v>
      </c>
      <c r="P433" s="58">
        <f>IF($C433="B",INDEX(Batters[[#All],[K P]],MATCH(Table5[[#This Row],[PID]],Batters[[#All],[PID]],0)),INDEX(Table3[[#All],[STM]],MATCH(Table5[[#This Row],[PID]],Table3[[#All],[PID]],0)))</f>
        <v>4</v>
      </c>
      <c r="Q433" s="63">
        <f>IF($C433="B",INDEX(Batters[[#All],[Tot]],MATCH(Table5[[#This Row],[PID]],Batters[[#All],[PID]],0)),INDEX(Table3[[#All],[Tot]],MATCH(Table5[[#This Row],[PID]],Table3[[#All],[PID]],0)))</f>
        <v>40.422138320517114</v>
      </c>
      <c r="R433" s="54">
        <f>IF($C433="B",INDEX(Batters[[#All],[zScore]],MATCH(Table5[[#This Row],[PID]],Batters[[#All],[PID]],0)),INDEX(Table3[[#All],[zScore]],MATCH(Table5[[#This Row],[PID]],Table3[[#All],[PID]],0)))</f>
        <v>1.3000623724141031E-2</v>
      </c>
      <c r="S433" s="60" t="str">
        <f>IF($C433="B",INDEX(Batters[[#All],[DEM]],MATCH(Table5[[#This Row],[PID]],Batters[[#All],[PID]],0)),INDEX(Table3[[#All],[DEM]],MATCH(Table5[[#This Row],[PID]],Table3[[#All],[PID]],0)))</f>
        <v>$65k</v>
      </c>
      <c r="T433" s="64">
        <f>IF($C433="B",VLOOKUP($A433,Bat!$A$4:$AU$1417,46,FALSE),VLOOKUP($A433,Pit!$A$4:$BD$570,55,FALSE))</f>
        <v>0</v>
      </c>
      <c r="U433" s="52">
        <f>IF($C433="B",VLOOKUP($A433,Bat!$A$4:$BA$1417,47,FALSE),VLOOKUP($A433,Pit!$A$4:$BF$570,56,FALSE))</f>
        <v>0</v>
      </c>
      <c r="V433" s="52">
        <f>IF($C433="B",VLOOKUP($A433,Bat!$A$4:$BA$1417,48,FALSE),VLOOKUP($A433,Pit!$A$4:$BF$570,57,FALSE))</f>
        <v>0</v>
      </c>
      <c r="W433" s="52">
        <f>Table5[[#This Row],[posRnk]]+Table5[[#This Row],[zRnk]]+IF($W$3&lt;&gt;Table5[[#This Row],[Type]],50,0)</f>
        <v>479</v>
      </c>
      <c r="X433" s="53">
        <f>RANK(Table5[[#This Row],[zScore]],Table5[[#All],[zScore]])</f>
        <v>429</v>
      </c>
      <c r="Y433" s="52" t="str">
        <f>IFERROR(INDEX(DraftResults[[#All],[OVR]],MATCH(Table5[[#This Row],[PID]],DraftResults[[#All],[Player ID]],0)),"")</f>
        <v/>
      </c>
      <c r="Z4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3" s="52" t="str">
        <f>IFERROR(INDEX(DraftResults[[#All],[Pick in Round]],MATCH(Table5[[#This Row],[PID]],DraftResults[[#All],[Player ID]],0)),"")</f>
        <v/>
      </c>
      <c r="AB433" s="52" t="str">
        <f>IFERROR(INDEX(DraftResults[[#All],[Team Name]],MATCH(Table5[[#This Row],[PID]],DraftResults[[#All],[Player ID]],0)),"")</f>
        <v/>
      </c>
      <c r="AC433" s="52" t="str">
        <f>IF(Table5[[#This Row],[Ovr]]="","",IF(Table5[[#This Row],[cmbList]]="","",Table5[[#This Row],[cmbList]]-Table5[[#This Row],[Ovr]]))</f>
        <v/>
      </c>
      <c r="AD433" s="56" t="str">
        <f>IF(ISERROR(VLOOKUP($AB433&amp;"-"&amp;$E433&amp;" "&amp;F433,Bonuses!$B$1:$G$1006,4,FALSE)),"",INT(VLOOKUP($AB433&amp;"-"&amp;$E433&amp;" "&amp;$F433,Bonuses!$B$1:$G$1006,4,FALSE)))</f>
        <v/>
      </c>
      <c r="AE4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4" spans="1:31" s="52" customFormat="1" x14ac:dyDescent="0.25">
      <c r="A434" s="52">
        <v>12469</v>
      </c>
      <c r="B434" s="52">
        <f>COUNTIF(Table5[PID],A434)</f>
        <v>1</v>
      </c>
      <c r="C434" s="52" t="str">
        <f>IF(COUNTIF(Table3[[#All],[PID]],A434)&gt;0,"P","B")</f>
        <v>P</v>
      </c>
      <c r="D434" s="61" t="str">
        <f>IF($C434="B",INDEX(Batters[[#All],[POS]],MATCH(Table5[[#This Row],[PID]],Batters[[#All],[PID]],0)),INDEX(Table3[[#All],[POS]],MATCH(Table5[[#This Row],[PID]],Table3[[#All],[PID]],0)))</f>
        <v>CL</v>
      </c>
      <c r="E434" s="54" t="str">
        <f>IF($C434="B",INDEX(Batters[[#All],[First]],MATCH(Table5[[#This Row],[PID]],Batters[[#All],[PID]],0)),INDEX(Table3[[#All],[First]],MATCH(Table5[[#This Row],[PID]],Table3[[#All],[PID]],0)))</f>
        <v>Michael</v>
      </c>
      <c r="F434" s="52" t="str">
        <f>IF($C434="B",INDEX(Batters[[#All],[Last]],MATCH(A434,Batters[[#All],[PID]],0)),INDEX(Table3[[#All],[Last]],MATCH(A434,Table3[[#All],[PID]],0)))</f>
        <v>Bane</v>
      </c>
      <c r="G434" s="58">
        <f>IF($C434="B",INDEX(Batters[[#All],[Age]],MATCH(Table5[[#This Row],[PID]],Batters[[#All],[PID]],0)),INDEX(Table3[[#All],[Age]],MATCH(Table5[[#This Row],[PID]],Table3[[#All],[PID]],0)))</f>
        <v>21</v>
      </c>
      <c r="H434" s="54" t="str">
        <f>IF($C434="B",INDEX(Batters[[#All],[B]],MATCH(Table5[[#This Row],[PID]],Batters[[#All],[PID]],0)),INDEX(Table3[[#All],[B]],MATCH(Table5[[#This Row],[PID]],Table3[[#All],[PID]],0)))</f>
        <v>R</v>
      </c>
      <c r="I434" s="54" t="str">
        <f>IF($C434="B",INDEX(Batters[[#All],[T]],MATCH(Table5[[#This Row],[PID]],Batters[[#All],[PID]],0)),INDEX(Table3[[#All],[T]],MATCH(Table5[[#This Row],[PID]],Table3[[#All],[PID]],0)))</f>
        <v>R</v>
      </c>
      <c r="J434" s="54" t="str">
        <f>IF($C434="B",INDEX(Batters[[#All],[WE]],MATCH(Table5[[#This Row],[PID]],Batters[[#All],[PID]],0)),INDEX(Table3[[#All],[WE]],MATCH(Table5[[#This Row],[PID]],Table3[[#All],[PID]],0)))</f>
        <v>Low</v>
      </c>
      <c r="K434" s="54" t="str">
        <f>IF($C434="B",INDEX(Batters[[#All],[INT]],MATCH(Table5[[#This Row],[PID]],Batters[[#All],[PID]],0)),INDEX(Table3[[#All],[INT]],MATCH(Table5[[#This Row],[PID]],Table3[[#All],[PID]],0)))</f>
        <v>Normal</v>
      </c>
      <c r="L434" s="62">
        <f>IF($C434="B",INDEX(Batters[[#All],[CON P]],MATCH(Table5[[#This Row],[PID]],Batters[[#All],[PID]],0)),INDEX(Table3[[#All],[STU P]],MATCH(Table5[[#This Row],[PID]],Table3[[#All],[PID]],0)))</f>
        <v>6</v>
      </c>
      <c r="M434" s="58">
        <f>IF($C434="B",INDEX(Batters[[#All],[GAP P]],MATCH(Table5[[#This Row],[PID]],Batters[[#All],[PID]],0)),INDEX(Table3[[#All],[MOV P]],MATCH(Table5[[#This Row],[PID]],Table3[[#All],[PID]],0)))</f>
        <v>1</v>
      </c>
      <c r="N434" s="58">
        <f>IF($C434="B",INDEX(Batters[[#All],[POW P]],MATCH(Table5[[#This Row],[PID]],Batters[[#All],[PID]],0)),INDEX(Table3[[#All],[CON P]],MATCH(Table5[[#This Row],[PID]],Table3[[#All],[PID]],0)))</f>
        <v>2</v>
      </c>
      <c r="O434" s="58" t="str">
        <f>IF($C434="B",INDEX(Batters[[#All],[EYE P]],MATCH(Table5[[#This Row],[PID]],Batters[[#All],[PID]],0)),INDEX(Table3[[#All],[VELO]],MATCH(Table5[[#This Row],[PID]],Table3[[#All],[PID]],0)))</f>
        <v>92-94 Mph</v>
      </c>
      <c r="P434" s="58">
        <f>IF($C434="B",INDEX(Batters[[#All],[K P]],MATCH(Table5[[#This Row],[PID]],Batters[[#All],[PID]],0)),INDEX(Table3[[#All],[STM]],MATCH(Table5[[#This Row],[PID]],Table3[[#All],[PID]],0)))</f>
        <v>7</v>
      </c>
      <c r="Q434" s="63">
        <f>IF($C434="B",INDEX(Batters[[#All],[Tot]],MATCH(Table5[[#This Row],[PID]],Batters[[#All],[PID]],0)),INDEX(Table3[[#All],[Tot]],MATCH(Table5[[#This Row],[PID]],Table3[[#All],[PID]],0)))</f>
        <v>32.861210239402851</v>
      </c>
      <c r="R434" s="54">
        <f>IF($C434="B",INDEX(Batters[[#All],[zScore]],MATCH(Table5[[#This Row],[PID]],Batters[[#All],[PID]],0)),INDEX(Table3[[#All],[zScore]],MATCH(Table5[[#This Row],[PID]],Table3[[#All],[PID]],0)))</f>
        <v>1.2743169560715696E-2</v>
      </c>
      <c r="S434" s="60" t="str">
        <f>IF($C434="B",INDEX(Batters[[#All],[DEM]],MATCH(Table5[[#This Row],[PID]],Batters[[#All],[PID]],0)),INDEX(Table3[[#All],[DEM]],MATCH(Table5[[#This Row],[PID]],Table3[[#All],[PID]],0)))</f>
        <v>$20k</v>
      </c>
      <c r="T434" s="64">
        <f>IF($C434="B",VLOOKUP($A434,Bat!$A$4:$AU$1417,46,FALSE),VLOOKUP($A434,Pit!$A$4:$BD$570,55,FALSE))</f>
        <v>0</v>
      </c>
      <c r="U434" s="52">
        <f>IF($C434="B",VLOOKUP($A434,Bat!$A$4:$BA$1417,47,FALSE),VLOOKUP($A434,Pit!$A$4:$BF$570,56,FALSE))</f>
        <v>0</v>
      </c>
      <c r="V434" s="52">
        <f>IF($C434="B",VLOOKUP($A434,Bat!$A$4:$BA$1417,48,FALSE),VLOOKUP($A434,Pit!$A$4:$BF$570,57,FALSE))</f>
        <v>0</v>
      </c>
      <c r="W434" s="52">
        <f>Table5[[#This Row],[posRnk]]+Table5[[#This Row],[zRnk]]+IF($W$3&lt;&gt;Table5[[#This Row],[Type]],50,0)</f>
        <v>480</v>
      </c>
      <c r="X434" s="53">
        <f>RANK(Table5[[#This Row],[zScore]],Table5[[#All],[zScore]])</f>
        <v>430</v>
      </c>
      <c r="Y434" s="52" t="str">
        <f>IFERROR(INDEX(DraftResults[[#All],[OVR]],MATCH(Table5[[#This Row],[PID]],DraftResults[[#All],[Player ID]],0)),"")</f>
        <v/>
      </c>
      <c r="Z4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4" s="52" t="str">
        <f>IFERROR(INDEX(DraftResults[[#All],[Pick in Round]],MATCH(Table5[[#This Row],[PID]],DraftResults[[#All],[Player ID]],0)),"")</f>
        <v/>
      </c>
      <c r="AB434" s="52" t="str">
        <f>IFERROR(INDEX(DraftResults[[#All],[Team Name]],MATCH(Table5[[#This Row],[PID]],DraftResults[[#All],[Player ID]],0)),"")</f>
        <v/>
      </c>
      <c r="AC434" s="52" t="str">
        <f>IF(Table5[[#This Row],[Ovr]]="","",IF(Table5[[#This Row],[cmbList]]="","",Table5[[#This Row],[cmbList]]-Table5[[#This Row],[Ovr]]))</f>
        <v/>
      </c>
      <c r="AD434" s="56" t="str">
        <f>IF(ISERROR(VLOOKUP($AB434&amp;"-"&amp;$E434&amp;" "&amp;F434,Bonuses!$B$1:$G$1006,4,FALSE)),"",INT(VLOOKUP($AB434&amp;"-"&amp;$E434&amp;" "&amp;$F434,Bonuses!$B$1:$G$1006,4,FALSE)))</f>
        <v/>
      </c>
      <c r="AE4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5" spans="1:31" s="52" customFormat="1" x14ac:dyDescent="0.25">
      <c r="A435" s="52">
        <v>7558</v>
      </c>
      <c r="B435" s="52">
        <f>COUNTIF(Table5[PID],A435)</f>
        <v>1</v>
      </c>
      <c r="C435" s="52" t="str">
        <f>IF(COUNTIF(Table3[[#All],[PID]],A435)&gt;0,"P","B")</f>
        <v>B</v>
      </c>
      <c r="D435" s="61" t="str">
        <f>IF($C435="B",INDEX(Batters[[#All],[POS]],MATCH(Table5[[#This Row],[PID]],Batters[[#All],[PID]],0)),INDEX(Table3[[#All],[POS]],MATCH(Table5[[#This Row],[PID]],Table3[[#All],[PID]],0)))</f>
        <v>2B</v>
      </c>
      <c r="E435" s="54" t="str">
        <f>IF($C435="B",INDEX(Batters[[#All],[First]],MATCH(Table5[[#This Row],[PID]],Batters[[#All],[PID]],0)),INDEX(Table3[[#All],[First]],MATCH(Table5[[#This Row],[PID]],Table3[[#All],[PID]],0)))</f>
        <v>Mark</v>
      </c>
      <c r="F435" s="52" t="str">
        <f>IF($C435="B",INDEX(Batters[[#All],[Last]],MATCH(A435,Batters[[#All],[PID]],0)),INDEX(Table3[[#All],[Last]],MATCH(A435,Table3[[#All],[PID]],0)))</f>
        <v>Cross</v>
      </c>
      <c r="G435" s="58">
        <f>IF($C435="B",INDEX(Batters[[#All],[Age]],MATCH(Table5[[#This Row],[PID]],Batters[[#All],[PID]],0)),INDEX(Table3[[#All],[Age]],MATCH(Table5[[#This Row],[PID]],Table3[[#All],[PID]],0)))</f>
        <v>18</v>
      </c>
      <c r="H435" s="54" t="str">
        <f>IF($C435="B",INDEX(Batters[[#All],[B]],MATCH(Table5[[#This Row],[PID]],Batters[[#All],[PID]],0)),INDEX(Table3[[#All],[B]],MATCH(Table5[[#This Row],[PID]],Table3[[#All],[PID]],0)))</f>
        <v>R</v>
      </c>
      <c r="I435" s="54" t="str">
        <f>IF($C435="B",INDEX(Batters[[#All],[T]],MATCH(Table5[[#This Row],[PID]],Batters[[#All],[PID]],0)),INDEX(Table3[[#All],[T]],MATCH(Table5[[#This Row],[PID]],Table3[[#All],[PID]],0)))</f>
        <v>R</v>
      </c>
      <c r="J435" s="54" t="str">
        <f>IF($C435="B",INDEX(Batters[[#All],[WE]],MATCH(Table5[[#This Row],[PID]],Batters[[#All],[PID]],0)),INDEX(Table3[[#All],[WE]],MATCH(Table5[[#This Row],[PID]],Table3[[#All],[PID]],0)))</f>
        <v>Normal</v>
      </c>
      <c r="K435" s="54" t="str">
        <f>IF($C435="B",INDEX(Batters[[#All],[INT]],MATCH(Table5[[#This Row],[PID]],Batters[[#All],[PID]],0)),INDEX(Table3[[#All],[INT]],MATCH(Table5[[#This Row],[PID]],Table3[[#All],[PID]],0)))</f>
        <v>Normal</v>
      </c>
      <c r="L435" s="62">
        <f>IF($C435="B",INDEX(Batters[[#All],[CON P]],MATCH(Table5[[#This Row],[PID]],Batters[[#All],[PID]],0)),INDEX(Table3[[#All],[STU P]],MATCH(Table5[[#This Row],[PID]],Table3[[#All],[PID]],0)))</f>
        <v>3</v>
      </c>
      <c r="M435" s="58">
        <f>IF($C435="B",INDEX(Batters[[#All],[GAP P]],MATCH(Table5[[#This Row],[PID]],Batters[[#All],[PID]],0)),INDEX(Table3[[#All],[MOV P]],MATCH(Table5[[#This Row],[PID]],Table3[[#All],[PID]],0)))</f>
        <v>3</v>
      </c>
      <c r="N435" s="58">
        <f>IF($C435="B",INDEX(Batters[[#All],[POW P]],MATCH(Table5[[#This Row],[PID]],Batters[[#All],[PID]],0)),INDEX(Table3[[#All],[CON P]],MATCH(Table5[[#This Row],[PID]],Table3[[#All],[PID]],0)))</f>
        <v>2</v>
      </c>
      <c r="O435" s="58">
        <f>IF($C435="B",INDEX(Batters[[#All],[EYE P]],MATCH(Table5[[#This Row],[PID]],Batters[[#All],[PID]],0)),INDEX(Table3[[#All],[VELO]],MATCH(Table5[[#This Row],[PID]],Table3[[#All],[PID]],0)))</f>
        <v>4</v>
      </c>
      <c r="P435" s="58">
        <f>IF($C435="B",INDEX(Batters[[#All],[K P]],MATCH(Table5[[#This Row],[PID]],Batters[[#All],[PID]],0)),INDEX(Table3[[#All],[STM]],MATCH(Table5[[#This Row],[PID]],Table3[[#All],[PID]],0)))</f>
        <v>5</v>
      </c>
      <c r="Q435" s="63">
        <f>IF($C435="B",INDEX(Batters[[#All],[Tot]],MATCH(Table5[[#This Row],[PID]],Batters[[#All],[PID]],0)),INDEX(Table3[[#All],[Tot]],MATCH(Table5[[#This Row],[PID]],Table3[[#All],[PID]],0)))</f>
        <v>40.410565791054552</v>
      </c>
      <c r="R435" s="54">
        <f>IF($C435="B",INDEX(Batters[[#All],[zScore]],MATCH(Table5[[#This Row],[PID]],Batters[[#All],[PID]],0)),INDEX(Table3[[#All],[zScore]],MATCH(Table5[[#This Row],[PID]],Table3[[#All],[PID]],0)))</f>
        <v>1.0964514079744914E-2</v>
      </c>
      <c r="S435" s="60" t="str">
        <f>IF($C435="B",INDEX(Batters[[#All],[DEM]],MATCH(Table5[[#This Row],[PID]],Batters[[#All],[PID]],0)),INDEX(Table3[[#All],[DEM]],MATCH(Table5[[#This Row],[PID]],Table3[[#All],[PID]],0)))</f>
        <v>$65k</v>
      </c>
      <c r="T435" s="64">
        <f>IF($C435="B",VLOOKUP($A435,Bat!$A$4:$AU$1417,46,FALSE),VLOOKUP($A435,Pit!$A$4:$BD$570,55,FALSE))</f>
        <v>0</v>
      </c>
      <c r="U435" s="52">
        <f>IF($C435="B",VLOOKUP($A435,Bat!$A$4:$BA$1417,47,FALSE),VLOOKUP($A435,Pit!$A$4:$BF$570,56,FALSE))</f>
        <v>0</v>
      </c>
      <c r="V435" s="52">
        <f>IF($C435="B",VLOOKUP($A435,Bat!$A$4:$BA$1417,48,FALSE),VLOOKUP($A435,Pit!$A$4:$BF$570,57,FALSE))</f>
        <v>0</v>
      </c>
      <c r="W435" s="52">
        <f>Table5[[#This Row],[posRnk]]+Table5[[#This Row],[zRnk]]+IF($W$3&lt;&gt;Table5[[#This Row],[Type]],50,0)</f>
        <v>481</v>
      </c>
      <c r="X435" s="53">
        <f>RANK(Table5[[#This Row],[zScore]],Table5[[#All],[zScore]])</f>
        <v>431</v>
      </c>
      <c r="Y435" s="52" t="str">
        <f>IFERROR(INDEX(DraftResults[[#All],[OVR]],MATCH(Table5[[#This Row],[PID]],DraftResults[[#All],[Player ID]],0)),"")</f>
        <v/>
      </c>
      <c r="Z4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5" s="52" t="str">
        <f>IFERROR(INDEX(DraftResults[[#All],[Pick in Round]],MATCH(Table5[[#This Row],[PID]],DraftResults[[#All],[Player ID]],0)),"")</f>
        <v/>
      </c>
      <c r="AB435" s="52" t="str">
        <f>IFERROR(INDEX(DraftResults[[#All],[Team Name]],MATCH(Table5[[#This Row],[PID]],DraftResults[[#All],[Player ID]],0)),"")</f>
        <v/>
      </c>
      <c r="AC435" s="52" t="str">
        <f>IF(Table5[[#This Row],[Ovr]]="","",IF(Table5[[#This Row],[cmbList]]="","",Table5[[#This Row],[cmbList]]-Table5[[#This Row],[Ovr]]))</f>
        <v/>
      </c>
      <c r="AD435" s="56" t="str">
        <f>IF(ISERROR(VLOOKUP($AB435&amp;"-"&amp;$E435&amp;" "&amp;F435,Bonuses!$B$1:$G$1006,4,FALSE)),"",INT(VLOOKUP($AB435&amp;"-"&amp;$E435&amp;" "&amp;$F435,Bonuses!$B$1:$G$1006,4,FALSE)))</f>
        <v/>
      </c>
      <c r="AE4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6" spans="1:31" s="52" customFormat="1" x14ac:dyDescent="0.25">
      <c r="A436" s="52">
        <v>10498</v>
      </c>
      <c r="B436" s="52">
        <f>COUNTIF(Table5[PID],A436)</f>
        <v>1</v>
      </c>
      <c r="C436" s="52" t="str">
        <f>IF(COUNTIF(Table3[[#All],[PID]],A436)&gt;0,"P","B")</f>
        <v>B</v>
      </c>
      <c r="D436" s="61" t="str">
        <f>IF($C436="B",INDEX(Batters[[#All],[POS]],MATCH(Table5[[#This Row],[PID]],Batters[[#All],[PID]],0)),INDEX(Table3[[#All],[POS]],MATCH(Table5[[#This Row],[PID]],Table3[[#All],[PID]],0)))</f>
        <v>CF</v>
      </c>
      <c r="E436" s="54" t="str">
        <f>IF($C436="B",INDEX(Batters[[#All],[First]],MATCH(Table5[[#This Row],[PID]],Batters[[#All],[PID]],0)),INDEX(Table3[[#All],[First]],MATCH(Table5[[#This Row],[PID]],Table3[[#All],[PID]],0)))</f>
        <v>Pablo</v>
      </c>
      <c r="F436" s="52" t="str">
        <f>IF($C436="B",INDEX(Batters[[#All],[Last]],MATCH(A436,Batters[[#All],[PID]],0)),INDEX(Table3[[#All],[Last]],MATCH(A436,Table3[[#All],[PID]],0)))</f>
        <v>Peña</v>
      </c>
      <c r="G436" s="58">
        <f>IF($C436="B",INDEX(Batters[[#All],[Age]],MATCH(Table5[[#This Row],[PID]],Batters[[#All],[PID]],0)),INDEX(Table3[[#All],[Age]],MATCH(Table5[[#This Row],[PID]],Table3[[#All],[PID]],0)))</f>
        <v>21</v>
      </c>
      <c r="H436" s="54" t="str">
        <f>IF($C436="B",INDEX(Batters[[#All],[B]],MATCH(Table5[[#This Row],[PID]],Batters[[#All],[PID]],0)),INDEX(Table3[[#All],[B]],MATCH(Table5[[#This Row],[PID]],Table3[[#All],[PID]],0)))</f>
        <v>L</v>
      </c>
      <c r="I436" s="54" t="str">
        <f>IF($C436="B",INDEX(Batters[[#All],[T]],MATCH(Table5[[#This Row],[PID]],Batters[[#All],[PID]],0)),INDEX(Table3[[#All],[T]],MATCH(Table5[[#This Row],[PID]],Table3[[#All],[PID]],0)))</f>
        <v>R</v>
      </c>
      <c r="J436" s="54" t="str">
        <f>IF($C436="B",INDEX(Batters[[#All],[WE]],MATCH(Table5[[#This Row],[PID]],Batters[[#All],[PID]],0)),INDEX(Table3[[#All],[WE]],MATCH(Table5[[#This Row],[PID]],Table3[[#All],[PID]],0)))</f>
        <v>Normal</v>
      </c>
      <c r="K436" s="54" t="str">
        <f>IF($C436="B",INDEX(Batters[[#All],[INT]],MATCH(Table5[[#This Row],[PID]],Batters[[#All],[PID]],0)),INDEX(Table3[[#All],[INT]],MATCH(Table5[[#This Row],[PID]],Table3[[#All],[PID]],0)))</f>
        <v>Normal</v>
      </c>
      <c r="L436" s="62">
        <f>IF($C436="B",INDEX(Batters[[#All],[CON P]],MATCH(Table5[[#This Row],[PID]],Batters[[#All],[PID]],0)),INDEX(Table3[[#All],[STU P]],MATCH(Table5[[#This Row],[PID]],Table3[[#All],[PID]],0)))</f>
        <v>4</v>
      </c>
      <c r="M436" s="58">
        <f>IF($C436="B",INDEX(Batters[[#All],[GAP P]],MATCH(Table5[[#This Row],[PID]],Batters[[#All],[PID]],0)),INDEX(Table3[[#All],[MOV P]],MATCH(Table5[[#This Row],[PID]],Table3[[#All],[PID]],0)))</f>
        <v>4</v>
      </c>
      <c r="N436" s="58">
        <f>IF($C436="B",INDEX(Batters[[#All],[POW P]],MATCH(Table5[[#This Row],[PID]],Batters[[#All],[PID]],0)),INDEX(Table3[[#All],[CON P]],MATCH(Table5[[#This Row],[PID]],Table3[[#All],[PID]],0)))</f>
        <v>3</v>
      </c>
      <c r="O436" s="58">
        <f>IF($C436="B",INDEX(Batters[[#All],[EYE P]],MATCH(Table5[[#This Row],[PID]],Batters[[#All],[PID]],0)),INDEX(Table3[[#All],[VELO]],MATCH(Table5[[#This Row],[PID]],Table3[[#All],[PID]],0)))</f>
        <v>4</v>
      </c>
      <c r="P436" s="58">
        <f>IF($C436="B",INDEX(Batters[[#All],[K P]],MATCH(Table5[[#This Row],[PID]],Batters[[#All],[PID]],0)),INDEX(Table3[[#All],[STM]],MATCH(Table5[[#This Row],[PID]],Table3[[#All],[PID]],0)))</f>
        <v>3</v>
      </c>
      <c r="Q436" s="63">
        <f>IF($C436="B",INDEX(Batters[[#All],[Tot]],MATCH(Table5[[#This Row],[PID]],Batters[[#All],[PID]],0)),INDEX(Table3[[#All],[Tot]],MATCH(Table5[[#This Row],[PID]],Table3[[#All],[PID]],0)))</f>
        <v>40.384328391836704</v>
      </c>
      <c r="R436" s="54">
        <f>IF($C436="B",INDEX(Batters[[#All],[zScore]],MATCH(Table5[[#This Row],[PID]],Batters[[#All],[PID]],0)),INDEX(Table3[[#All],[zScore]],MATCH(Table5[[#This Row],[PID]],Table3[[#All],[PID]],0)))</f>
        <v>6.3482180690795668E-3</v>
      </c>
      <c r="S436" s="60" t="str">
        <f>IF($C436="B",INDEX(Batters[[#All],[DEM]],MATCH(Table5[[#This Row],[PID]],Batters[[#All],[PID]],0)),INDEX(Table3[[#All],[DEM]],MATCH(Table5[[#This Row],[PID]],Table3[[#All],[PID]],0)))</f>
        <v>-</v>
      </c>
      <c r="T436" s="64">
        <f>IF($C436="B",VLOOKUP($A436,Bat!$A$4:$AU$1417,46,FALSE),VLOOKUP($A436,Pit!$A$4:$BD$570,55,FALSE))</f>
        <v>0</v>
      </c>
      <c r="U436" s="52">
        <f>IF($C436="B",VLOOKUP($A436,Bat!$A$4:$BA$1417,47,FALSE),VLOOKUP($A436,Pit!$A$4:$BF$570,56,FALSE))</f>
        <v>0</v>
      </c>
      <c r="V436" s="52">
        <f>IF($C436="B",VLOOKUP($A436,Bat!$A$4:$BA$1417,48,FALSE),VLOOKUP($A436,Pit!$A$4:$BF$570,57,FALSE))</f>
        <v>0</v>
      </c>
      <c r="W436" s="52">
        <f>Table5[[#This Row],[posRnk]]+Table5[[#This Row],[zRnk]]+IF($W$3&lt;&gt;Table5[[#This Row],[Type]],50,0)</f>
        <v>482</v>
      </c>
      <c r="X436" s="53">
        <f>RANK(Table5[[#This Row],[zScore]],Table5[[#All],[zScore]])</f>
        <v>432</v>
      </c>
      <c r="Y436" s="52" t="str">
        <f>IFERROR(INDEX(DraftResults[[#All],[OVR]],MATCH(Table5[[#This Row],[PID]],DraftResults[[#All],[Player ID]],0)),"")</f>
        <v/>
      </c>
      <c r="Z4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6" s="52" t="str">
        <f>IFERROR(INDEX(DraftResults[[#All],[Pick in Round]],MATCH(Table5[[#This Row],[PID]],DraftResults[[#All],[Player ID]],0)),"")</f>
        <v/>
      </c>
      <c r="AB436" s="52" t="str">
        <f>IFERROR(INDEX(DraftResults[[#All],[Team Name]],MATCH(Table5[[#This Row],[PID]],DraftResults[[#All],[Player ID]],0)),"")</f>
        <v/>
      </c>
      <c r="AC436" s="52" t="str">
        <f>IF(Table5[[#This Row],[Ovr]]="","",IF(Table5[[#This Row],[cmbList]]="","",Table5[[#This Row],[cmbList]]-Table5[[#This Row],[Ovr]]))</f>
        <v/>
      </c>
      <c r="AD436" s="56" t="str">
        <f>IF(ISERROR(VLOOKUP($AB436&amp;"-"&amp;$E436&amp;" "&amp;F436,Bonuses!$B$1:$G$1006,4,FALSE)),"",INT(VLOOKUP($AB436&amp;"-"&amp;$E436&amp;" "&amp;$F436,Bonuses!$B$1:$G$1006,4,FALSE)))</f>
        <v/>
      </c>
      <c r="AE4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7" spans="1:31" s="52" customFormat="1" x14ac:dyDescent="0.25">
      <c r="A437" s="52">
        <v>17643</v>
      </c>
      <c r="B437" s="52">
        <f>COUNTIF(Table5[PID],A437)</f>
        <v>1</v>
      </c>
      <c r="C437" s="52" t="str">
        <f>IF(COUNTIF(Table3[[#All],[PID]],A437)&gt;0,"P","B")</f>
        <v>P</v>
      </c>
      <c r="D437" s="61" t="str">
        <f>IF($C437="B",INDEX(Batters[[#All],[POS]],MATCH(Table5[[#This Row],[PID]],Batters[[#All],[PID]],0)),INDEX(Table3[[#All],[POS]],MATCH(Table5[[#This Row],[PID]],Table3[[#All],[PID]],0)))</f>
        <v>RP</v>
      </c>
      <c r="E437" s="54" t="str">
        <f>IF($C437="B",INDEX(Batters[[#All],[First]],MATCH(Table5[[#This Row],[PID]],Batters[[#All],[PID]],0)),INDEX(Table3[[#All],[First]],MATCH(Table5[[#This Row],[PID]],Table3[[#All],[PID]],0)))</f>
        <v>Gerardo</v>
      </c>
      <c r="F437" s="52" t="str">
        <f>IF($C437="B",INDEX(Batters[[#All],[Last]],MATCH(A437,Batters[[#All],[PID]],0)),INDEX(Table3[[#All],[Last]],MATCH(A437,Table3[[#All],[PID]],0)))</f>
        <v>Rodríguez</v>
      </c>
      <c r="G437" s="58">
        <f>IF($C437="B",INDEX(Batters[[#All],[Age]],MATCH(Table5[[#This Row],[PID]],Batters[[#All],[PID]],0)),INDEX(Table3[[#All],[Age]],MATCH(Table5[[#This Row],[PID]],Table3[[#All],[PID]],0)))</f>
        <v>18</v>
      </c>
      <c r="H437" s="54" t="str">
        <f>IF($C437="B",INDEX(Batters[[#All],[B]],MATCH(Table5[[#This Row],[PID]],Batters[[#All],[PID]],0)),INDEX(Table3[[#All],[B]],MATCH(Table5[[#This Row],[PID]],Table3[[#All],[PID]],0)))</f>
        <v>R</v>
      </c>
      <c r="I437" s="54" t="str">
        <f>IF($C437="B",INDEX(Batters[[#All],[T]],MATCH(Table5[[#This Row],[PID]],Batters[[#All],[PID]],0)),INDEX(Table3[[#All],[T]],MATCH(Table5[[#This Row],[PID]],Table3[[#All],[PID]],0)))</f>
        <v>R</v>
      </c>
      <c r="J437" s="54" t="str">
        <f>IF($C437="B",INDEX(Batters[[#All],[WE]],MATCH(Table5[[#This Row],[PID]],Batters[[#All],[PID]],0)),INDEX(Table3[[#All],[WE]],MATCH(Table5[[#This Row],[PID]],Table3[[#All],[PID]],0)))</f>
        <v>Normal</v>
      </c>
      <c r="K437" s="54" t="str">
        <f>IF($C437="B",INDEX(Batters[[#All],[INT]],MATCH(Table5[[#This Row],[PID]],Batters[[#All],[PID]],0)),INDEX(Table3[[#All],[INT]],MATCH(Table5[[#This Row],[PID]],Table3[[#All],[PID]],0)))</f>
        <v>Low</v>
      </c>
      <c r="L437" s="62">
        <f>IF($C437="B",INDEX(Batters[[#All],[CON P]],MATCH(Table5[[#This Row],[PID]],Batters[[#All],[PID]],0)),INDEX(Table3[[#All],[STU P]],MATCH(Table5[[#This Row],[PID]],Table3[[#All],[PID]],0)))</f>
        <v>4</v>
      </c>
      <c r="M437" s="58">
        <f>IF($C437="B",INDEX(Batters[[#All],[GAP P]],MATCH(Table5[[#This Row],[PID]],Batters[[#All],[PID]],0)),INDEX(Table3[[#All],[MOV P]],MATCH(Table5[[#This Row],[PID]],Table3[[#All],[PID]],0)))</f>
        <v>2</v>
      </c>
      <c r="N437" s="58">
        <f>IF($C437="B",INDEX(Batters[[#All],[POW P]],MATCH(Table5[[#This Row],[PID]],Batters[[#All],[PID]],0)),INDEX(Table3[[#All],[CON P]],MATCH(Table5[[#This Row],[PID]],Table3[[#All],[PID]],0)))</f>
        <v>3</v>
      </c>
      <c r="O437" s="58" t="str">
        <f>IF($C437="B",INDEX(Batters[[#All],[EYE P]],MATCH(Table5[[#This Row],[PID]],Batters[[#All],[PID]],0)),INDEX(Table3[[#All],[VELO]],MATCH(Table5[[#This Row],[PID]],Table3[[#All],[PID]],0)))</f>
        <v>87-89 Mph</v>
      </c>
      <c r="P437" s="58">
        <f>IF($C437="B",INDEX(Batters[[#All],[K P]],MATCH(Table5[[#This Row],[PID]],Batters[[#All],[PID]],0)),INDEX(Table3[[#All],[STM]],MATCH(Table5[[#This Row],[PID]],Table3[[#All],[PID]],0)))</f>
        <v>3</v>
      </c>
      <c r="Q437" s="63">
        <f>IF($C437="B",INDEX(Batters[[#All],[Tot]],MATCH(Table5[[#This Row],[PID]],Batters[[#All],[PID]],0)),INDEX(Table3[[#All],[Tot]],MATCH(Table5[[#This Row],[PID]],Table3[[#All],[PID]],0)))</f>
        <v>32.753839382777997</v>
      </c>
      <c r="R437" s="54">
        <f>IF($C437="B",INDEX(Batters[[#All],[zScore]],MATCH(Table5[[#This Row],[PID]],Batters[[#All],[PID]],0)),INDEX(Table3[[#All],[zScore]],MATCH(Table5[[#This Row],[PID]],Table3[[#All],[PID]],0)))</f>
        <v>2.8968030955303548E-3</v>
      </c>
      <c r="S437" s="60" t="str">
        <f>IF($C437="B",INDEX(Batters[[#All],[DEM]],MATCH(Table5[[#This Row],[PID]],Batters[[#All],[PID]],0)),INDEX(Table3[[#All],[DEM]],MATCH(Table5[[#This Row],[PID]],Table3[[#All],[PID]],0)))</f>
        <v>$65k</v>
      </c>
      <c r="T437" s="64">
        <f>IF($C437="B",VLOOKUP($A437,Bat!$A$4:$AU$1417,46,FALSE),VLOOKUP($A437,Pit!$A$4:$BD$570,55,FALSE))</f>
        <v>0</v>
      </c>
      <c r="U437" s="52">
        <f>IF($C437="B",VLOOKUP($A437,Bat!$A$4:$BA$1417,47,FALSE),VLOOKUP($A437,Pit!$A$4:$BF$570,56,FALSE))</f>
        <v>0</v>
      </c>
      <c r="V437" s="52">
        <f>IF($C437="B",VLOOKUP($A437,Bat!$A$4:$BA$1417,48,FALSE),VLOOKUP($A437,Pit!$A$4:$BF$570,57,FALSE))</f>
        <v>0</v>
      </c>
      <c r="W437" s="52">
        <f>Table5[[#This Row],[posRnk]]+Table5[[#This Row],[zRnk]]+IF($W$3&lt;&gt;Table5[[#This Row],[Type]],50,0)</f>
        <v>483</v>
      </c>
      <c r="X437" s="53">
        <f>RANK(Table5[[#This Row],[zScore]],Table5[[#All],[zScore]])</f>
        <v>433</v>
      </c>
      <c r="Y437" s="52" t="str">
        <f>IFERROR(INDEX(DraftResults[[#All],[OVR]],MATCH(Table5[[#This Row],[PID]],DraftResults[[#All],[Player ID]],0)),"")</f>
        <v/>
      </c>
      <c r="Z4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7" s="52" t="str">
        <f>IFERROR(INDEX(DraftResults[[#All],[Pick in Round]],MATCH(Table5[[#This Row],[PID]],DraftResults[[#All],[Player ID]],0)),"")</f>
        <v/>
      </c>
      <c r="AB437" s="52" t="str">
        <f>IFERROR(INDEX(DraftResults[[#All],[Team Name]],MATCH(Table5[[#This Row],[PID]],DraftResults[[#All],[Player ID]],0)),"")</f>
        <v/>
      </c>
      <c r="AC437" s="52" t="str">
        <f>IF(Table5[[#This Row],[Ovr]]="","",IF(Table5[[#This Row],[cmbList]]="","",Table5[[#This Row],[cmbList]]-Table5[[#This Row],[Ovr]]))</f>
        <v/>
      </c>
      <c r="AD437" s="56" t="str">
        <f>IF(ISERROR(VLOOKUP($AB437&amp;"-"&amp;$E437&amp;" "&amp;F437,Bonuses!$B$1:$G$1006,4,FALSE)),"",INT(VLOOKUP($AB437&amp;"-"&amp;$E437&amp;" "&amp;$F437,Bonuses!$B$1:$G$1006,4,FALSE)))</f>
        <v/>
      </c>
      <c r="AE4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8" spans="1:31" s="52" customFormat="1" x14ac:dyDescent="0.25">
      <c r="A438" s="52">
        <v>9108</v>
      </c>
      <c r="B438" s="52">
        <f>COUNTIF(Table5[PID],A438)</f>
        <v>1</v>
      </c>
      <c r="C438" s="52" t="str">
        <f>IF(COUNTIF(Table3[[#All],[PID]],A438)&gt;0,"P","B")</f>
        <v>B</v>
      </c>
      <c r="D438" s="61" t="str">
        <f>IF($C438="B",INDEX(Batters[[#All],[POS]],MATCH(Table5[[#This Row],[PID]],Batters[[#All],[PID]],0)),INDEX(Table3[[#All],[POS]],MATCH(Table5[[#This Row],[PID]],Table3[[#All],[PID]],0)))</f>
        <v>C</v>
      </c>
      <c r="E438" s="54" t="str">
        <f>IF($C438="B",INDEX(Batters[[#All],[First]],MATCH(Table5[[#This Row],[PID]],Batters[[#All],[PID]],0)),INDEX(Table3[[#All],[First]],MATCH(Table5[[#This Row],[PID]],Table3[[#All],[PID]],0)))</f>
        <v>Jacob</v>
      </c>
      <c r="F438" s="52" t="str">
        <f>IF($C438="B",INDEX(Batters[[#All],[Last]],MATCH(A438,Batters[[#All],[PID]],0)),INDEX(Table3[[#All],[Last]],MATCH(A438,Table3[[#All],[PID]],0)))</f>
        <v>Keith</v>
      </c>
      <c r="G438" s="58">
        <f>IF($C438="B",INDEX(Batters[[#All],[Age]],MATCH(Table5[[#This Row],[PID]],Batters[[#All],[PID]],0)),INDEX(Table3[[#All],[Age]],MATCH(Table5[[#This Row],[PID]],Table3[[#All],[PID]],0)))</f>
        <v>18</v>
      </c>
      <c r="H438" s="54" t="str">
        <f>IF($C438="B",INDEX(Batters[[#All],[B]],MATCH(Table5[[#This Row],[PID]],Batters[[#All],[PID]],0)),INDEX(Table3[[#All],[B]],MATCH(Table5[[#This Row],[PID]],Table3[[#All],[PID]],0)))</f>
        <v>L</v>
      </c>
      <c r="I438" s="54" t="str">
        <f>IF($C438="B",INDEX(Batters[[#All],[T]],MATCH(Table5[[#This Row],[PID]],Batters[[#All],[PID]],0)),INDEX(Table3[[#All],[T]],MATCH(Table5[[#This Row],[PID]],Table3[[#All],[PID]],0)))</f>
        <v>R</v>
      </c>
      <c r="J438" s="54" t="str">
        <f>IF($C438="B",INDEX(Batters[[#All],[WE]],MATCH(Table5[[#This Row],[PID]],Batters[[#All],[PID]],0)),INDEX(Table3[[#All],[WE]],MATCH(Table5[[#This Row],[PID]],Table3[[#All],[PID]],0)))</f>
        <v>High</v>
      </c>
      <c r="K438" s="54" t="str">
        <f>IF($C438="B",INDEX(Batters[[#All],[INT]],MATCH(Table5[[#This Row],[PID]],Batters[[#All],[PID]],0)),INDEX(Table3[[#All],[INT]],MATCH(Table5[[#This Row],[PID]],Table3[[#All],[PID]],0)))</f>
        <v>Normal</v>
      </c>
      <c r="L438" s="62">
        <f>IF($C438="B",INDEX(Batters[[#All],[CON P]],MATCH(Table5[[#This Row],[PID]],Batters[[#All],[PID]],0)),INDEX(Table3[[#All],[STU P]],MATCH(Table5[[#This Row],[PID]],Table3[[#All],[PID]],0)))</f>
        <v>3</v>
      </c>
      <c r="M438" s="58">
        <f>IF($C438="B",INDEX(Batters[[#All],[GAP P]],MATCH(Table5[[#This Row],[PID]],Batters[[#All],[PID]],0)),INDEX(Table3[[#All],[MOV P]],MATCH(Table5[[#This Row],[PID]],Table3[[#All],[PID]],0)))</f>
        <v>2</v>
      </c>
      <c r="N438" s="58">
        <f>IF($C438="B",INDEX(Batters[[#All],[POW P]],MATCH(Table5[[#This Row],[PID]],Batters[[#All],[PID]],0)),INDEX(Table3[[#All],[CON P]],MATCH(Table5[[#This Row],[PID]],Table3[[#All],[PID]],0)))</f>
        <v>3</v>
      </c>
      <c r="O438" s="58">
        <f>IF($C438="B",INDEX(Batters[[#All],[EYE P]],MATCH(Table5[[#This Row],[PID]],Batters[[#All],[PID]],0)),INDEX(Table3[[#All],[VELO]],MATCH(Table5[[#This Row],[PID]],Table3[[#All],[PID]],0)))</f>
        <v>4</v>
      </c>
      <c r="P438" s="58">
        <f>IF($C438="B",INDEX(Batters[[#All],[K P]],MATCH(Table5[[#This Row],[PID]],Batters[[#All],[PID]],0)),INDEX(Table3[[#All],[STM]],MATCH(Table5[[#This Row],[PID]],Table3[[#All],[PID]],0)))</f>
        <v>2</v>
      </c>
      <c r="Q438" s="63">
        <f>IF($C438="B",INDEX(Batters[[#All],[Tot]],MATCH(Table5[[#This Row],[PID]],Batters[[#All],[PID]],0)),INDEX(Table3[[#All],[Tot]],MATCH(Table5[[#This Row],[PID]],Table3[[#All],[PID]],0)))</f>
        <v>40.34502597550096</v>
      </c>
      <c r="R438" s="54">
        <f>IF($C438="B",INDEX(Batters[[#All],[zScore]],MATCH(Table5[[#This Row],[PID]],Batters[[#All],[PID]],0)),INDEX(Table3[[#All],[zScore]],MATCH(Table5[[#This Row],[PID]],Table3[[#All],[PID]],0)))</f>
        <v>-5.6678086941212152E-4</v>
      </c>
      <c r="S438" s="60" t="str">
        <f>IF($C438="B",INDEX(Batters[[#All],[DEM]],MATCH(Table5[[#This Row],[PID]],Batters[[#All],[PID]],0)),INDEX(Table3[[#All],[DEM]],MATCH(Table5[[#This Row],[PID]],Table3[[#All],[PID]],0)))</f>
        <v>$200k</v>
      </c>
      <c r="T438" s="64">
        <f>IF($C438="B",VLOOKUP($A438,Bat!$A$4:$AU$1417,46,FALSE),VLOOKUP($A438,Pit!$A$4:$BD$570,55,FALSE))</f>
        <v>0</v>
      </c>
      <c r="U438" s="52">
        <f>IF($C438="B",VLOOKUP($A438,Bat!$A$4:$BA$1417,47,FALSE),VLOOKUP($A438,Pit!$A$4:$BF$570,56,FALSE))</f>
        <v>0</v>
      </c>
      <c r="V438" s="52">
        <f>IF($C438="B",VLOOKUP($A438,Bat!$A$4:$BA$1417,48,FALSE),VLOOKUP($A438,Pit!$A$4:$BF$570,57,FALSE))</f>
        <v>0</v>
      </c>
      <c r="W438" s="52">
        <f>Table5[[#This Row],[posRnk]]+Table5[[#This Row],[zRnk]]+IF($W$3&lt;&gt;Table5[[#This Row],[Type]],50,0)</f>
        <v>484</v>
      </c>
      <c r="X438" s="53">
        <f>RANK(Table5[[#This Row],[zScore]],Table5[[#All],[zScore]])</f>
        <v>434</v>
      </c>
      <c r="Y438" s="52" t="str">
        <f>IFERROR(INDEX(DraftResults[[#All],[OVR]],MATCH(Table5[[#This Row],[PID]],DraftResults[[#All],[Player ID]],0)),"")</f>
        <v/>
      </c>
      <c r="Z4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8" s="52" t="str">
        <f>IFERROR(INDEX(DraftResults[[#All],[Pick in Round]],MATCH(Table5[[#This Row],[PID]],DraftResults[[#All],[Player ID]],0)),"")</f>
        <v/>
      </c>
      <c r="AB438" s="52" t="str">
        <f>IFERROR(INDEX(DraftResults[[#All],[Team Name]],MATCH(Table5[[#This Row],[PID]],DraftResults[[#All],[Player ID]],0)),"")</f>
        <v/>
      </c>
      <c r="AC438" s="52" t="str">
        <f>IF(Table5[[#This Row],[Ovr]]="","",IF(Table5[[#This Row],[cmbList]]="","",Table5[[#This Row],[cmbList]]-Table5[[#This Row],[Ovr]]))</f>
        <v/>
      </c>
      <c r="AD438" s="56" t="str">
        <f>IF(ISERROR(VLOOKUP($AB438&amp;"-"&amp;$E438&amp;" "&amp;F438,Bonuses!$B$1:$G$1006,4,FALSE)),"",INT(VLOOKUP($AB438&amp;"-"&amp;$E438&amp;" "&amp;$F438,Bonuses!$B$1:$G$1006,4,FALSE)))</f>
        <v/>
      </c>
      <c r="AE4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9" spans="1:31" s="52" customFormat="1" x14ac:dyDescent="0.25">
      <c r="A439" s="52">
        <v>8991</v>
      </c>
      <c r="B439" s="52">
        <f>COUNTIF(Table5[PID],A439)</f>
        <v>1</v>
      </c>
      <c r="C439" s="52" t="str">
        <f>IF(COUNTIF(Table3[[#All],[PID]],A439)&gt;0,"P","B")</f>
        <v>B</v>
      </c>
      <c r="D439" s="61" t="str">
        <f>IF($C439="B",INDEX(Batters[[#All],[POS]],MATCH(Table5[[#This Row],[PID]],Batters[[#All],[PID]],0)),INDEX(Table3[[#All],[POS]],MATCH(Table5[[#This Row],[PID]],Table3[[#All],[PID]],0)))</f>
        <v>LF</v>
      </c>
      <c r="E439" s="54" t="str">
        <f>IF($C439="B",INDEX(Batters[[#All],[First]],MATCH(Table5[[#This Row],[PID]],Batters[[#All],[PID]],0)),INDEX(Table3[[#All],[First]],MATCH(Table5[[#This Row],[PID]],Table3[[#All],[PID]],0)))</f>
        <v>Joe</v>
      </c>
      <c r="F439" s="52" t="str">
        <f>IF($C439="B",INDEX(Batters[[#All],[Last]],MATCH(A439,Batters[[#All],[PID]],0)),INDEX(Table3[[#All],[Last]],MATCH(A439,Table3[[#All],[PID]],0)))</f>
        <v>Cole</v>
      </c>
      <c r="G439" s="58">
        <f>IF($C439="B",INDEX(Batters[[#All],[Age]],MATCH(Table5[[#This Row],[PID]],Batters[[#All],[PID]],0)),INDEX(Table3[[#All],[Age]],MATCH(Table5[[#This Row],[PID]],Table3[[#All],[PID]],0)))</f>
        <v>18</v>
      </c>
      <c r="H439" s="54" t="str">
        <f>IF($C439="B",INDEX(Batters[[#All],[B]],MATCH(Table5[[#This Row],[PID]],Batters[[#All],[PID]],0)),INDEX(Table3[[#All],[B]],MATCH(Table5[[#This Row],[PID]],Table3[[#All],[PID]],0)))</f>
        <v>L</v>
      </c>
      <c r="I439" s="54" t="str">
        <f>IF($C439="B",INDEX(Batters[[#All],[T]],MATCH(Table5[[#This Row],[PID]],Batters[[#All],[PID]],0)),INDEX(Table3[[#All],[T]],MATCH(Table5[[#This Row],[PID]],Table3[[#All],[PID]],0)))</f>
        <v>L</v>
      </c>
      <c r="J439" s="54" t="str">
        <f>IF($C439="B",INDEX(Batters[[#All],[WE]],MATCH(Table5[[#This Row],[PID]],Batters[[#All],[PID]],0)),INDEX(Table3[[#All],[WE]],MATCH(Table5[[#This Row],[PID]],Table3[[#All],[PID]],0)))</f>
        <v>Normal</v>
      </c>
      <c r="K439" s="54" t="str">
        <f>IF($C439="B",INDEX(Batters[[#All],[INT]],MATCH(Table5[[#This Row],[PID]],Batters[[#All],[PID]],0)),INDEX(Table3[[#All],[INT]],MATCH(Table5[[#This Row],[PID]],Table3[[#All],[PID]],0)))</f>
        <v>Normal</v>
      </c>
      <c r="L439" s="62">
        <f>IF($C439="B",INDEX(Batters[[#All],[CON P]],MATCH(Table5[[#This Row],[PID]],Batters[[#All],[PID]],0)),INDEX(Table3[[#All],[STU P]],MATCH(Table5[[#This Row],[PID]],Table3[[#All],[PID]],0)))</f>
        <v>3</v>
      </c>
      <c r="M439" s="58">
        <f>IF($C439="B",INDEX(Batters[[#All],[GAP P]],MATCH(Table5[[#This Row],[PID]],Batters[[#All],[PID]],0)),INDEX(Table3[[#All],[MOV P]],MATCH(Table5[[#This Row],[PID]],Table3[[#All],[PID]],0)))</f>
        <v>3</v>
      </c>
      <c r="N439" s="58">
        <f>IF($C439="B",INDEX(Batters[[#All],[POW P]],MATCH(Table5[[#This Row],[PID]],Batters[[#All],[PID]],0)),INDEX(Table3[[#All],[CON P]],MATCH(Table5[[#This Row],[PID]],Table3[[#All],[PID]],0)))</f>
        <v>4</v>
      </c>
      <c r="O439" s="58">
        <f>IF($C439="B",INDEX(Batters[[#All],[EYE P]],MATCH(Table5[[#This Row],[PID]],Batters[[#All],[PID]],0)),INDEX(Table3[[#All],[VELO]],MATCH(Table5[[#This Row],[PID]],Table3[[#All],[PID]],0)))</f>
        <v>3</v>
      </c>
      <c r="P439" s="58">
        <f>IF($C439="B",INDEX(Batters[[#All],[K P]],MATCH(Table5[[#This Row],[PID]],Batters[[#All],[PID]],0)),INDEX(Table3[[#All],[STM]],MATCH(Table5[[#This Row],[PID]],Table3[[#All],[PID]],0)))</f>
        <v>4</v>
      </c>
      <c r="Q439" s="63">
        <f>IF($C439="B",INDEX(Batters[[#All],[Tot]],MATCH(Table5[[#This Row],[PID]],Batters[[#All],[PID]],0)),INDEX(Table3[[#All],[Tot]],MATCH(Table5[[#This Row],[PID]],Table3[[#All],[PID]],0)))</f>
        <v>40.338360014707249</v>
      </c>
      <c r="R439" s="54">
        <f>IF($C439="B",INDEX(Batters[[#All],[zScore]],MATCH(Table5[[#This Row],[PID]],Batters[[#All],[PID]],0)),INDEX(Table3[[#All],[zScore]],MATCH(Table5[[#This Row],[PID]],Table3[[#All],[PID]],0)))</f>
        <v>-1.7396123670678657E-3</v>
      </c>
      <c r="S439" s="60" t="str">
        <f>IF($C439="B",INDEX(Batters[[#All],[DEM]],MATCH(Table5[[#This Row],[PID]],Batters[[#All],[PID]],0)),INDEX(Table3[[#All],[DEM]],MATCH(Table5[[#This Row],[PID]],Table3[[#All],[PID]],0)))</f>
        <v>$75k</v>
      </c>
      <c r="T439" s="64">
        <f>IF($C439="B",VLOOKUP($A439,Bat!$A$4:$AU$1417,46,FALSE),VLOOKUP($A439,Pit!$A$4:$BD$570,55,FALSE))</f>
        <v>0</v>
      </c>
      <c r="U439" s="52">
        <f>IF($C439="B",VLOOKUP($A439,Bat!$A$4:$BA$1417,47,FALSE),VLOOKUP($A439,Pit!$A$4:$BF$570,56,FALSE))</f>
        <v>0</v>
      </c>
      <c r="V439" s="52">
        <f>IF($C439="B",VLOOKUP($A439,Bat!$A$4:$BA$1417,48,FALSE),VLOOKUP($A439,Pit!$A$4:$BF$570,57,FALSE))</f>
        <v>0</v>
      </c>
      <c r="W439" s="52">
        <f>Table5[[#This Row],[posRnk]]+Table5[[#This Row],[zRnk]]+IF($W$3&lt;&gt;Table5[[#This Row],[Type]],50,0)</f>
        <v>485</v>
      </c>
      <c r="X439" s="53">
        <f>RANK(Table5[[#This Row],[zScore]],Table5[[#All],[zScore]])</f>
        <v>435</v>
      </c>
      <c r="Y439" s="52" t="str">
        <f>IFERROR(INDEX(DraftResults[[#All],[OVR]],MATCH(Table5[[#This Row],[PID]],DraftResults[[#All],[Player ID]],0)),"")</f>
        <v/>
      </c>
      <c r="Z4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9" s="52" t="str">
        <f>IFERROR(INDEX(DraftResults[[#All],[Pick in Round]],MATCH(Table5[[#This Row],[PID]],DraftResults[[#All],[Player ID]],0)),"")</f>
        <v/>
      </c>
      <c r="AB439" s="52" t="str">
        <f>IFERROR(INDEX(DraftResults[[#All],[Team Name]],MATCH(Table5[[#This Row],[PID]],DraftResults[[#All],[Player ID]],0)),"")</f>
        <v/>
      </c>
      <c r="AC439" s="52" t="str">
        <f>IF(Table5[[#This Row],[Ovr]]="","",IF(Table5[[#This Row],[cmbList]]="","",Table5[[#This Row],[cmbList]]-Table5[[#This Row],[Ovr]]))</f>
        <v/>
      </c>
      <c r="AD439" s="56" t="str">
        <f>IF(ISERROR(VLOOKUP($AB439&amp;"-"&amp;$E439&amp;" "&amp;F439,Bonuses!$B$1:$G$1006,4,FALSE)),"",INT(VLOOKUP($AB439&amp;"-"&amp;$E439&amp;" "&amp;$F439,Bonuses!$B$1:$G$1006,4,FALSE)))</f>
        <v/>
      </c>
      <c r="AE4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0" spans="1:31" s="52" customFormat="1" x14ac:dyDescent="0.25">
      <c r="A440" s="52">
        <v>17632</v>
      </c>
      <c r="B440" s="57">
        <f>COUNTIF(Table5[PID],A440)</f>
        <v>1</v>
      </c>
      <c r="C440" s="57" t="str">
        <f>IF(COUNTIF(Table3[[#All],[PID]],A440)&gt;0,"P","B")</f>
        <v>B</v>
      </c>
      <c r="D440" s="61" t="str">
        <f>IF($C440="B",INDEX(Batters[[#All],[POS]],MATCH(Table5[[#This Row],[PID]],Batters[[#All],[PID]],0)),INDEX(Table3[[#All],[POS]],MATCH(Table5[[#This Row],[PID]],Table3[[#All],[PID]],0)))</f>
        <v>SS</v>
      </c>
      <c r="E440" s="54" t="str">
        <f>IF($C440="B",INDEX(Batters[[#All],[First]],MATCH(Table5[[#This Row],[PID]],Batters[[#All],[PID]],0)),INDEX(Table3[[#All],[First]],MATCH(Table5[[#This Row],[PID]],Table3[[#All],[PID]],0)))</f>
        <v>Ken</v>
      </c>
      <c r="F440" s="52" t="str">
        <f>IF($C440="B",INDEX(Batters[[#All],[Last]],MATCH(A440,Batters[[#All],[PID]],0)),INDEX(Table3[[#All],[Last]],MATCH(A440,Table3[[#All],[PID]],0)))</f>
        <v>Ward</v>
      </c>
      <c r="G440" s="58">
        <f>IF($C440="B",INDEX(Batters[[#All],[Age]],MATCH(Table5[[#This Row],[PID]],Batters[[#All],[PID]],0)),INDEX(Table3[[#All],[Age]],MATCH(Table5[[#This Row],[PID]],Table3[[#All],[PID]],0)))</f>
        <v>18</v>
      </c>
      <c r="H440" s="54" t="str">
        <f>IF($C440="B",INDEX(Batters[[#All],[B]],MATCH(Table5[[#This Row],[PID]],Batters[[#All],[PID]],0)),INDEX(Table3[[#All],[B]],MATCH(Table5[[#This Row],[PID]],Table3[[#All],[PID]],0)))</f>
        <v>R</v>
      </c>
      <c r="I440" s="54" t="str">
        <f>IF($C440="B",INDEX(Batters[[#All],[T]],MATCH(Table5[[#This Row],[PID]],Batters[[#All],[PID]],0)),INDEX(Table3[[#All],[T]],MATCH(Table5[[#This Row],[PID]],Table3[[#All],[PID]],0)))</f>
        <v>R</v>
      </c>
      <c r="J440" s="54" t="str">
        <f>IF($C440="B",INDEX(Batters[[#All],[WE]],MATCH(Table5[[#This Row],[PID]],Batters[[#All],[PID]],0)),INDEX(Table3[[#All],[WE]],MATCH(Table5[[#This Row],[PID]],Table3[[#All],[PID]],0)))</f>
        <v>Normal</v>
      </c>
      <c r="K440" s="54" t="str">
        <f>IF($C440="B",INDEX(Batters[[#All],[INT]],MATCH(Table5[[#This Row],[PID]],Batters[[#All],[PID]],0)),INDEX(Table3[[#All],[INT]],MATCH(Table5[[#This Row],[PID]],Table3[[#All],[PID]],0)))</f>
        <v>Low</v>
      </c>
      <c r="L440" s="62">
        <f>IF($C440="B",INDEX(Batters[[#All],[CON P]],MATCH(Table5[[#This Row],[PID]],Batters[[#All],[PID]],0)),INDEX(Table3[[#All],[STU P]],MATCH(Table5[[#This Row],[PID]],Table3[[#All],[PID]],0)))</f>
        <v>3</v>
      </c>
      <c r="M440" s="58">
        <f>IF($C440="B",INDEX(Batters[[#All],[GAP P]],MATCH(Table5[[#This Row],[PID]],Batters[[#All],[PID]],0)),INDEX(Table3[[#All],[MOV P]],MATCH(Table5[[#This Row],[PID]],Table3[[#All],[PID]],0)))</f>
        <v>4</v>
      </c>
      <c r="N440" s="58">
        <f>IF($C440="B",INDEX(Batters[[#All],[POW P]],MATCH(Table5[[#This Row],[PID]],Batters[[#All],[PID]],0)),INDEX(Table3[[#All],[CON P]],MATCH(Table5[[#This Row],[PID]],Table3[[#All],[PID]],0)))</f>
        <v>2</v>
      </c>
      <c r="O440" s="58">
        <f>IF($C440="B",INDEX(Batters[[#All],[EYE P]],MATCH(Table5[[#This Row],[PID]],Batters[[#All],[PID]],0)),INDEX(Table3[[#All],[VELO]],MATCH(Table5[[#This Row],[PID]],Table3[[#All],[PID]],0)))</f>
        <v>5</v>
      </c>
      <c r="P440" s="58">
        <f>IF($C440="B",INDEX(Batters[[#All],[K P]],MATCH(Table5[[#This Row],[PID]],Batters[[#All],[PID]],0)),INDEX(Table3[[#All],[STM]],MATCH(Table5[[#This Row],[PID]],Table3[[#All],[PID]],0)))</f>
        <v>3</v>
      </c>
      <c r="Q440" s="63">
        <f>IF($C440="B",INDEX(Batters[[#All],[Tot]],MATCH(Table5[[#This Row],[PID]],Batters[[#All],[PID]],0)),INDEX(Table3[[#All],[Tot]],MATCH(Table5[[#This Row],[PID]],Table3[[#All],[PID]],0)))</f>
        <v>40.330435835982996</v>
      </c>
      <c r="R440" s="54">
        <f>IF($C440="B",INDEX(Batters[[#All],[zScore]],MATCH(Table5[[#This Row],[PID]],Batters[[#All],[PID]],0)),INDEX(Table3[[#All],[zScore]],MATCH(Table5[[#This Row],[PID]],Table3[[#All],[PID]],0)))</f>
        <v>-3.1338189471042436E-3</v>
      </c>
      <c r="S440" s="60" t="str">
        <f>IF($C440="B",INDEX(Batters[[#All],[DEM]],MATCH(Table5[[#This Row],[PID]],Batters[[#All],[PID]],0)),INDEX(Table3[[#All],[DEM]],MATCH(Table5[[#This Row],[PID]],Table3[[#All],[PID]],0)))</f>
        <v>$200k</v>
      </c>
      <c r="T440" s="64">
        <f>IF($C440="B",VLOOKUP($A440,Bat!$A$4:$AU$1417,46,FALSE),VLOOKUP($A440,Pit!$A$4:$BD$570,55,FALSE))</f>
        <v>0</v>
      </c>
      <c r="U440" s="52">
        <f>IF($C440="B",VLOOKUP($A440,Bat!$A$4:$BA$1417,47,FALSE),VLOOKUP($A440,Pit!$A$4:$BF$570,56,FALSE))</f>
        <v>0</v>
      </c>
      <c r="V440" s="52">
        <f>IF($C440="B",VLOOKUP($A440,Bat!$A$4:$BA$1417,48,FALSE),VLOOKUP($A440,Pit!$A$4:$BF$570,57,FALSE))</f>
        <v>0</v>
      </c>
      <c r="W440" s="52">
        <f>Table5[[#This Row],[posRnk]]+Table5[[#This Row],[zRnk]]+IF($W$3&lt;&gt;Table5[[#This Row],[Type]],50,0)</f>
        <v>486</v>
      </c>
      <c r="X440" s="53">
        <f>RANK(Table5[[#This Row],[zScore]],Table5[[#All],[zScore]])</f>
        <v>436</v>
      </c>
      <c r="Y440" s="52" t="str">
        <f>IFERROR(INDEX(DraftResults[[#All],[OVR]],MATCH(Table5[[#This Row],[PID]],DraftResults[[#All],[Player ID]],0)),"")</f>
        <v/>
      </c>
      <c r="Z4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0" s="52" t="str">
        <f>IFERROR(INDEX(DraftResults[[#All],[Pick in Round]],MATCH(Table5[[#This Row],[PID]],DraftResults[[#All],[Player ID]],0)),"")</f>
        <v/>
      </c>
      <c r="AB440" s="52" t="str">
        <f>IFERROR(INDEX(DraftResults[[#All],[Team Name]],MATCH(Table5[[#This Row],[PID]],DraftResults[[#All],[Player ID]],0)),"")</f>
        <v/>
      </c>
      <c r="AC440" s="52" t="str">
        <f>IF(Table5[[#This Row],[Ovr]]="","",IF(Table5[[#This Row],[cmbList]]="","",Table5[[#This Row],[cmbList]]-Table5[[#This Row],[Ovr]]))</f>
        <v/>
      </c>
      <c r="AD440" s="56" t="str">
        <f>IF(ISERROR(VLOOKUP($AB440&amp;"-"&amp;$E440&amp;" "&amp;F440,Bonuses!$B$1:$G$1006,4,FALSE)),"",INT(VLOOKUP($AB440&amp;"-"&amp;$E440&amp;" "&amp;$F440,Bonuses!$B$1:$G$1006,4,FALSE)))</f>
        <v/>
      </c>
      <c r="AE4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1" spans="1:31" s="52" customFormat="1" x14ac:dyDescent="0.25">
      <c r="A441" s="52">
        <v>8993</v>
      </c>
      <c r="B441" s="52">
        <f>COUNTIF(Table5[PID],A441)</f>
        <v>1</v>
      </c>
      <c r="C441" s="52" t="str">
        <f>IF(COUNTIF(Table3[[#All],[PID]],A441)&gt;0,"P","B")</f>
        <v>B</v>
      </c>
      <c r="D441" s="61" t="str">
        <f>IF($C441="B",INDEX(Batters[[#All],[POS]],MATCH(Table5[[#This Row],[PID]],Batters[[#All],[PID]],0)),INDEX(Table3[[#All],[POS]],MATCH(Table5[[#This Row],[PID]],Table3[[#All],[PID]],0)))</f>
        <v>1B</v>
      </c>
      <c r="E441" s="54" t="str">
        <f>IF($C441="B",INDEX(Batters[[#All],[First]],MATCH(Table5[[#This Row],[PID]],Batters[[#All],[PID]],0)),INDEX(Table3[[#All],[First]],MATCH(Table5[[#This Row],[PID]],Table3[[#All],[PID]],0)))</f>
        <v>Kenny</v>
      </c>
      <c r="F441" s="52" t="str">
        <f>IF($C441="B",INDEX(Batters[[#All],[Last]],MATCH(A441,Batters[[#All],[PID]],0)),INDEX(Table3[[#All],[Last]],MATCH(A441,Table3[[#All],[PID]],0)))</f>
        <v>Sanders</v>
      </c>
      <c r="G441" s="58">
        <f>IF($C441="B",INDEX(Batters[[#All],[Age]],MATCH(Table5[[#This Row],[PID]],Batters[[#All],[PID]],0)),INDEX(Table3[[#All],[Age]],MATCH(Table5[[#This Row],[PID]],Table3[[#All],[PID]],0)))</f>
        <v>18</v>
      </c>
      <c r="H441" s="54" t="str">
        <f>IF($C441="B",INDEX(Batters[[#All],[B]],MATCH(Table5[[#This Row],[PID]],Batters[[#All],[PID]],0)),INDEX(Table3[[#All],[B]],MATCH(Table5[[#This Row],[PID]],Table3[[#All],[PID]],0)))</f>
        <v>L</v>
      </c>
      <c r="I441" s="54" t="str">
        <f>IF($C441="B",INDEX(Batters[[#All],[T]],MATCH(Table5[[#This Row],[PID]],Batters[[#All],[PID]],0)),INDEX(Table3[[#All],[T]],MATCH(Table5[[#This Row],[PID]],Table3[[#All],[PID]],0)))</f>
        <v>R</v>
      </c>
      <c r="J441" s="54" t="str">
        <f>IF($C441="B",INDEX(Batters[[#All],[WE]],MATCH(Table5[[#This Row],[PID]],Batters[[#All],[PID]],0)),INDEX(Table3[[#All],[WE]],MATCH(Table5[[#This Row],[PID]],Table3[[#All],[PID]],0)))</f>
        <v>Normal</v>
      </c>
      <c r="K441" s="54" t="str">
        <f>IF($C441="B",INDEX(Batters[[#All],[INT]],MATCH(Table5[[#This Row],[PID]],Batters[[#All],[PID]],0)),INDEX(Table3[[#All],[INT]],MATCH(Table5[[#This Row],[PID]],Table3[[#All],[PID]],0)))</f>
        <v>Normal</v>
      </c>
      <c r="L441" s="62">
        <f>IF($C441="B",INDEX(Batters[[#All],[CON P]],MATCH(Table5[[#This Row],[PID]],Batters[[#All],[PID]],0)),INDEX(Table3[[#All],[STU P]],MATCH(Table5[[#This Row],[PID]],Table3[[#All],[PID]],0)))</f>
        <v>3</v>
      </c>
      <c r="M441" s="58">
        <f>IF($C441="B",INDEX(Batters[[#All],[GAP P]],MATCH(Table5[[#This Row],[PID]],Batters[[#All],[PID]],0)),INDEX(Table3[[#All],[MOV P]],MATCH(Table5[[#This Row],[PID]],Table3[[#All],[PID]],0)))</f>
        <v>4</v>
      </c>
      <c r="N441" s="58">
        <f>IF($C441="B",INDEX(Batters[[#All],[POW P]],MATCH(Table5[[#This Row],[PID]],Batters[[#All],[PID]],0)),INDEX(Table3[[#All],[CON P]],MATCH(Table5[[#This Row],[PID]],Table3[[#All],[PID]],0)))</f>
        <v>3</v>
      </c>
      <c r="O441" s="58">
        <f>IF($C441="B",INDEX(Batters[[#All],[EYE P]],MATCH(Table5[[#This Row],[PID]],Batters[[#All],[PID]],0)),INDEX(Table3[[#All],[VELO]],MATCH(Table5[[#This Row],[PID]],Table3[[#All],[PID]],0)))</f>
        <v>2</v>
      </c>
      <c r="P441" s="58">
        <f>IF($C441="B",INDEX(Batters[[#All],[K P]],MATCH(Table5[[#This Row],[PID]],Batters[[#All],[PID]],0)),INDEX(Table3[[#All],[STM]],MATCH(Table5[[#This Row],[PID]],Table3[[#All],[PID]],0)))</f>
        <v>7</v>
      </c>
      <c r="Q441" s="63">
        <f>IF($C441="B",INDEX(Batters[[#All],[Tot]],MATCH(Table5[[#This Row],[PID]],Batters[[#All],[PID]],0)),INDEX(Table3[[#All],[Tot]],MATCH(Table5[[#This Row],[PID]],Table3[[#All],[PID]],0)))</f>
        <v>40.318414275144903</v>
      </c>
      <c r="R441" s="54">
        <f>IF($C441="B",INDEX(Batters[[#All],[zScore]],MATCH(Table5[[#This Row],[PID]],Batters[[#All],[PID]],0)),INDEX(Table3[[#All],[zScore]],MATCH(Table5[[#This Row],[PID]],Table3[[#All],[PID]],0)))</f>
        <v>-5.2489326776263296E-3</v>
      </c>
      <c r="S441" s="60" t="str">
        <f>IF($C441="B",INDEX(Batters[[#All],[DEM]],MATCH(Table5[[#This Row],[PID]],Batters[[#All],[PID]],0)),INDEX(Table3[[#All],[DEM]],MATCH(Table5[[#This Row],[PID]],Table3[[#All],[PID]],0)))</f>
        <v>$38k</v>
      </c>
      <c r="T441" s="64">
        <f>IF($C441="B",VLOOKUP($A441,Bat!$A$4:$AU$1417,46,FALSE),VLOOKUP($A441,Pit!$A$4:$BD$570,55,FALSE))</f>
        <v>0</v>
      </c>
      <c r="U441" s="52">
        <f>IF($C441="B",VLOOKUP($A441,Bat!$A$4:$BA$1417,47,FALSE),VLOOKUP($A441,Pit!$A$4:$BF$570,56,FALSE))</f>
        <v>0</v>
      </c>
      <c r="V441" s="52">
        <f>IF($C441="B",VLOOKUP($A441,Bat!$A$4:$BA$1417,48,FALSE),VLOOKUP($A441,Pit!$A$4:$BF$570,57,FALSE))</f>
        <v>0</v>
      </c>
      <c r="W441" s="52">
        <f>Table5[[#This Row],[posRnk]]+Table5[[#This Row],[zRnk]]+IF($W$3&lt;&gt;Table5[[#This Row],[Type]],50,0)</f>
        <v>487</v>
      </c>
      <c r="X441" s="53">
        <f>RANK(Table5[[#This Row],[zScore]],Table5[[#All],[zScore]])</f>
        <v>437</v>
      </c>
      <c r="Y441" s="52" t="str">
        <f>IFERROR(INDEX(DraftResults[[#All],[OVR]],MATCH(Table5[[#This Row],[PID]],DraftResults[[#All],[Player ID]],0)),"")</f>
        <v/>
      </c>
      <c r="Z4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1" s="52" t="str">
        <f>IFERROR(INDEX(DraftResults[[#All],[Pick in Round]],MATCH(Table5[[#This Row],[PID]],DraftResults[[#All],[Player ID]],0)),"")</f>
        <v/>
      </c>
      <c r="AB441" s="52" t="str">
        <f>IFERROR(INDEX(DraftResults[[#All],[Team Name]],MATCH(Table5[[#This Row],[PID]],DraftResults[[#All],[Player ID]],0)),"")</f>
        <v/>
      </c>
      <c r="AC441" s="52" t="str">
        <f>IF(Table5[[#This Row],[Ovr]]="","",IF(Table5[[#This Row],[cmbList]]="","",Table5[[#This Row],[cmbList]]-Table5[[#This Row],[Ovr]]))</f>
        <v/>
      </c>
      <c r="AD441" s="56" t="str">
        <f>IF(ISERROR(VLOOKUP($AB441&amp;"-"&amp;$E441&amp;" "&amp;F441,Bonuses!$B$1:$G$1006,4,FALSE)),"",INT(VLOOKUP($AB441&amp;"-"&amp;$E441&amp;" "&amp;$F441,Bonuses!$B$1:$G$1006,4,FALSE)))</f>
        <v/>
      </c>
      <c r="AE4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2" spans="1:31" s="52" customFormat="1" x14ac:dyDescent="0.25">
      <c r="A442" s="52">
        <v>7235</v>
      </c>
      <c r="B442" s="52">
        <f>COUNTIF(Table5[PID],A442)</f>
        <v>1</v>
      </c>
      <c r="C442" s="52" t="str">
        <f>IF(COUNTIF(Table3[[#All],[PID]],A442)&gt;0,"P","B")</f>
        <v>P</v>
      </c>
      <c r="D442" s="61" t="str">
        <f>IF($C442="B",INDEX(Batters[[#All],[POS]],MATCH(Table5[[#This Row],[PID]],Batters[[#All],[PID]],0)),INDEX(Table3[[#All],[POS]],MATCH(Table5[[#This Row],[PID]],Table3[[#All],[PID]],0)))</f>
        <v>SP</v>
      </c>
      <c r="E442" s="54" t="str">
        <f>IF($C442="B",INDEX(Batters[[#All],[First]],MATCH(Table5[[#This Row],[PID]],Batters[[#All],[PID]],0)),INDEX(Table3[[#All],[First]],MATCH(Table5[[#This Row],[PID]],Table3[[#All],[PID]],0)))</f>
        <v>Yasushi</v>
      </c>
      <c r="F442" s="52" t="str">
        <f>IF($C442="B",INDEX(Batters[[#All],[Last]],MATCH(A442,Batters[[#All],[PID]],0)),INDEX(Table3[[#All],[Last]],MATCH(A442,Table3[[#All],[PID]],0)))</f>
        <v>Kino</v>
      </c>
      <c r="G442" s="58">
        <f>IF($C442="B",INDEX(Batters[[#All],[Age]],MATCH(Table5[[#This Row],[PID]],Batters[[#All],[PID]],0)),INDEX(Table3[[#All],[Age]],MATCH(Table5[[#This Row],[PID]],Table3[[#All],[PID]],0)))</f>
        <v>20</v>
      </c>
      <c r="H442" s="54" t="str">
        <f>IF($C442="B",INDEX(Batters[[#All],[B]],MATCH(Table5[[#This Row],[PID]],Batters[[#All],[PID]],0)),INDEX(Table3[[#All],[B]],MATCH(Table5[[#This Row],[PID]],Table3[[#All],[PID]],0)))</f>
        <v>R</v>
      </c>
      <c r="I442" s="54" t="str">
        <f>IF($C442="B",INDEX(Batters[[#All],[T]],MATCH(Table5[[#This Row],[PID]],Batters[[#All],[PID]],0)),INDEX(Table3[[#All],[T]],MATCH(Table5[[#This Row],[PID]],Table3[[#All],[PID]],0)))</f>
        <v>R</v>
      </c>
      <c r="J442" s="54" t="str">
        <f>IF($C442="B",INDEX(Batters[[#All],[WE]],MATCH(Table5[[#This Row],[PID]],Batters[[#All],[PID]],0)),INDEX(Table3[[#All],[WE]],MATCH(Table5[[#This Row],[PID]],Table3[[#All],[PID]],0)))</f>
        <v>High</v>
      </c>
      <c r="K442" s="54" t="str">
        <f>IF($C442="B",INDEX(Batters[[#All],[INT]],MATCH(Table5[[#This Row],[PID]],Batters[[#All],[PID]],0)),INDEX(Table3[[#All],[INT]],MATCH(Table5[[#This Row],[PID]],Table3[[#All],[PID]],0)))</f>
        <v>Normal</v>
      </c>
      <c r="L442" s="62">
        <f>IF($C442="B",INDEX(Batters[[#All],[CON P]],MATCH(Table5[[#This Row],[PID]],Batters[[#All],[PID]],0)),INDEX(Table3[[#All],[STU P]],MATCH(Table5[[#This Row],[PID]],Table3[[#All],[PID]],0)))</f>
        <v>5</v>
      </c>
      <c r="M442" s="58">
        <f>IF($C442="B",INDEX(Batters[[#All],[GAP P]],MATCH(Table5[[#This Row],[PID]],Batters[[#All],[PID]],0)),INDEX(Table3[[#All],[MOV P]],MATCH(Table5[[#This Row],[PID]],Table3[[#All],[PID]],0)))</f>
        <v>1</v>
      </c>
      <c r="N442" s="58">
        <f>IF($C442="B",INDEX(Batters[[#All],[POW P]],MATCH(Table5[[#This Row],[PID]],Batters[[#All],[PID]],0)),INDEX(Table3[[#All],[CON P]],MATCH(Table5[[#This Row],[PID]],Table3[[#All],[PID]],0)))</f>
        <v>3</v>
      </c>
      <c r="O442" s="58" t="str">
        <f>IF($C442="B",INDEX(Batters[[#All],[EYE P]],MATCH(Table5[[#This Row],[PID]],Batters[[#All],[PID]],0)),INDEX(Table3[[#All],[VELO]],MATCH(Table5[[#This Row],[PID]],Table3[[#All],[PID]],0)))</f>
        <v>92-94 Mph</v>
      </c>
      <c r="P442" s="58">
        <f>IF($C442="B",INDEX(Batters[[#All],[K P]],MATCH(Table5[[#This Row],[PID]],Batters[[#All],[PID]],0)),INDEX(Table3[[#All],[STM]],MATCH(Table5[[#This Row],[PID]],Table3[[#All],[PID]],0)))</f>
        <v>6</v>
      </c>
      <c r="Q442" s="63">
        <f>IF($C442="B",INDEX(Batters[[#All],[Tot]],MATCH(Table5[[#This Row],[PID]],Batters[[#All],[PID]],0)),INDEX(Table3[[#All],[Tot]],MATCH(Table5[[#This Row],[PID]],Table3[[#All],[PID]],0)))</f>
        <v>32.547737895645312</v>
      </c>
      <c r="R442" s="54">
        <f>IF($C442="B",INDEX(Batters[[#All],[zScore]],MATCH(Table5[[#This Row],[PID]],Batters[[#All],[PID]],0)),INDEX(Table3[[#All],[zScore]],MATCH(Table5[[#This Row],[PID]],Table3[[#All],[PID]],0)))</f>
        <v>-1.6003584170806703E-2</v>
      </c>
      <c r="S442" s="60" t="str">
        <f>IF($C442="B",INDEX(Batters[[#All],[DEM]],MATCH(Table5[[#This Row],[PID]],Batters[[#All],[PID]],0)),INDEX(Table3[[#All],[DEM]],MATCH(Table5[[#This Row],[PID]],Table3[[#All],[PID]],0)))</f>
        <v>-</v>
      </c>
      <c r="T442" s="64">
        <f>IF($C442="B",VLOOKUP($A442,Bat!$A$4:$AU$1417,46,FALSE),VLOOKUP($A442,Pit!$A$4:$BD$570,55,FALSE))</f>
        <v>0</v>
      </c>
      <c r="U442" s="52">
        <f>IF($C442="B",VLOOKUP($A442,Bat!$A$4:$BA$1417,47,FALSE),VLOOKUP($A442,Pit!$A$4:$BF$570,56,FALSE))</f>
        <v>0</v>
      </c>
      <c r="V442" s="52">
        <f>IF($C442="B",VLOOKUP($A442,Bat!$A$4:$BA$1417,48,FALSE),VLOOKUP($A442,Pit!$A$4:$BF$570,57,FALSE))</f>
        <v>0</v>
      </c>
      <c r="W442" s="52">
        <f>Table5[[#This Row],[posRnk]]+Table5[[#This Row],[zRnk]]+IF($W$3&lt;&gt;Table5[[#This Row],[Type]],50,0)</f>
        <v>488</v>
      </c>
      <c r="X442" s="53">
        <f>RANK(Table5[[#This Row],[zScore]],Table5[[#All],[zScore]])</f>
        <v>438</v>
      </c>
      <c r="Y442" s="52" t="str">
        <f>IFERROR(INDEX(DraftResults[[#All],[OVR]],MATCH(Table5[[#This Row],[PID]],DraftResults[[#All],[Player ID]],0)),"")</f>
        <v/>
      </c>
      <c r="Z4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2" s="52" t="str">
        <f>IFERROR(INDEX(DraftResults[[#All],[Pick in Round]],MATCH(Table5[[#This Row],[PID]],DraftResults[[#All],[Player ID]],0)),"")</f>
        <v/>
      </c>
      <c r="AB442" s="52" t="str">
        <f>IFERROR(INDEX(DraftResults[[#All],[Team Name]],MATCH(Table5[[#This Row],[PID]],DraftResults[[#All],[Player ID]],0)),"")</f>
        <v/>
      </c>
      <c r="AC442" s="52" t="str">
        <f>IF(Table5[[#This Row],[Ovr]]="","",IF(Table5[[#This Row],[cmbList]]="","",Table5[[#This Row],[cmbList]]-Table5[[#This Row],[Ovr]]))</f>
        <v/>
      </c>
      <c r="AD442" s="56" t="str">
        <f>IF(ISERROR(VLOOKUP($AB442&amp;"-"&amp;$E442&amp;" "&amp;F442,Bonuses!$B$1:$G$1006,4,FALSE)),"",INT(VLOOKUP($AB442&amp;"-"&amp;$E442&amp;" "&amp;$F442,Bonuses!$B$1:$G$1006,4,FALSE)))</f>
        <v/>
      </c>
      <c r="AE4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3" spans="1:31" s="52" customFormat="1" x14ac:dyDescent="0.25">
      <c r="A443" s="52">
        <v>6113</v>
      </c>
      <c r="B443" s="57">
        <f>COUNTIF(Table5[PID],A443)</f>
        <v>1</v>
      </c>
      <c r="C443" s="57" t="str">
        <f>IF(COUNTIF(Table3[[#All],[PID]],A443)&gt;0,"P","B")</f>
        <v>B</v>
      </c>
      <c r="D443" s="61" t="str">
        <f>IF($C443="B",INDEX(Batters[[#All],[POS]],MATCH(Table5[[#This Row],[PID]],Batters[[#All],[PID]],0)),INDEX(Table3[[#All],[POS]],MATCH(Table5[[#This Row],[PID]],Table3[[#All],[PID]],0)))</f>
        <v>SS</v>
      </c>
      <c r="E443" s="54" t="str">
        <f>IF($C443="B",INDEX(Batters[[#All],[First]],MATCH(Table5[[#This Row],[PID]],Batters[[#All],[PID]],0)),INDEX(Table3[[#All],[First]],MATCH(Table5[[#This Row],[PID]],Table3[[#All],[PID]],0)))</f>
        <v>Mario</v>
      </c>
      <c r="F443" s="52" t="str">
        <f>IF($C443="B",INDEX(Batters[[#All],[Last]],MATCH(A443,Batters[[#All],[PID]],0)),INDEX(Table3[[#All],[Last]],MATCH(A443,Table3[[#All],[PID]],0)))</f>
        <v>Ramírez</v>
      </c>
      <c r="G443" s="58">
        <f>IF($C443="B",INDEX(Batters[[#All],[Age]],MATCH(Table5[[#This Row],[PID]],Batters[[#All],[PID]],0)),INDEX(Table3[[#All],[Age]],MATCH(Table5[[#This Row],[PID]],Table3[[#All],[PID]],0)))</f>
        <v>18</v>
      </c>
      <c r="H443" s="54" t="str">
        <f>IF($C443="B",INDEX(Batters[[#All],[B]],MATCH(Table5[[#This Row],[PID]],Batters[[#All],[PID]],0)),INDEX(Table3[[#All],[B]],MATCH(Table5[[#This Row],[PID]],Table3[[#All],[PID]],0)))</f>
        <v>R</v>
      </c>
      <c r="I443" s="54" t="str">
        <f>IF($C443="B",INDEX(Batters[[#All],[T]],MATCH(Table5[[#This Row],[PID]],Batters[[#All],[PID]],0)),INDEX(Table3[[#All],[T]],MATCH(Table5[[#This Row],[PID]],Table3[[#All],[PID]],0)))</f>
        <v>R</v>
      </c>
      <c r="J443" s="54" t="str">
        <f>IF($C443="B",INDEX(Batters[[#All],[WE]],MATCH(Table5[[#This Row],[PID]],Batters[[#All],[PID]],0)),INDEX(Table3[[#All],[WE]],MATCH(Table5[[#This Row],[PID]],Table3[[#All],[PID]],0)))</f>
        <v>Normal</v>
      </c>
      <c r="K443" s="54" t="str">
        <f>IF($C443="B",INDEX(Batters[[#All],[INT]],MATCH(Table5[[#This Row],[PID]],Batters[[#All],[PID]],0)),INDEX(Table3[[#All],[INT]],MATCH(Table5[[#This Row],[PID]],Table3[[#All],[PID]],0)))</f>
        <v>Normal</v>
      </c>
      <c r="L443" s="62">
        <f>IF($C443="B",INDEX(Batters[[#All],[CON P]],MATCH(Table5[[#This Row],[PID]],Batters[[#All],[PID]],0)),INDEX(Table3[[#All],[STU P]],MATCH(Table5[[#This Row],[PID]],Table3[[#All],[PID]],0)))</f>
        <v>3</v>
      </c>
      <c r="M443" s="58">
        <f>IF($C443="B",INDEX(Batters[[#All],[GAP P]],MATCH(Table5[[#This Row],[PID]],Batters[[#All],[PID]],0)),INDEX(Table3[[#All],[MOV P]],MATCH(Table5[[#This Row],[PID]],Table3[[#All],[PID]],0)))</f>
        <v>3</v>
      </c>
      <c r="N443" s="58">
        <f>IF($C443="B",INDEX(Batters[[#All],[POW P]],MATCH(Table5[[#This Row],[PID]],Batters[[#All],[PID]],0)),INDEX(Table3[[#All],[CON P]],MATCH(Table5[[#This Row],[PID]],Table3[[#All],[PID]],0)))</f>
        <v>3</v>
      </c>
      <c r="O443" s="58">
        <f>IF($C443="B",INDEX(Batters[[#All],[EYE P]],MATCH(Table5[[#This Row],[PID]],Batters[[#All],[PID]],0)),INDEX(Table3[[#All],[VELO]],MATCH(Table5[[#This Row],[PID]],Table3[[#All],[PID]],0)))</f>
        <v>3</v>
      </c>
      <c r="P443" s="58">
        <f>IF($C443="B",INDEX(Batters[[#All],[K P]],MATCH(Table5[[#This Row],[PID]],Batters[[#All],[PID]],0)),INDEX(Table3[[#All],[STM]],MATCH(Table5[[#This Row],[PID]],Table3[[#All],[PID]],0)))</f>
        <v>3</v>
      </c>
      <c r="Q443" s="63">
        <f>IF($C443="B",INDEX(Batters[[#All],[Tot]],MATCH(Table5[[#This Row],[PID]],Batters[[#All],[PID]],0)),INDEX(Table3[[#All],[Tot]],MATCH(Table5[[#This Row],[PID]],Table3[[#All],[PID]],0)))</f>
        <v>40.25309267528209</v>
      </c>
      <c r="R443" s="54">
        <f>IF($C443="B",INDEX(Batters[[#All],[zScore]],MATCH(Table5[[#This Row],[PID]],Batters[[#All],[PID]],0)),INDEX(Table3[[#All],[zScore]],MATCH(Table5[[#This Row],[PID]],Table3[[#All],[PID]],0)))</f>
        <v>-1.6741834026318431E-2</v>
      </c>
      <c r="S443" s="60" t="str">
        <f>IF($C443="B",INDEX(Batters[[#All],[DEM]],MATCH(Table5[[#This Row],[PID]],Batters[[#All],[PID]],0)),INDEX(Table3[[#All],[DEM]],MATCH(Table5[[#This Row],[PID]],Table3[[#All],[PID]],0)))</f>
        <v>$200k</v>
      </c>
      <c r="T443" s="64">
        <f>IF($C443="B",VLOOKUP($A443,Bat!$A$4:$AU$1417,46,FALSE),VLOOKUP($A443,Pit!$A$4:$BD$570,55,FALSE))</f>
        <v>0</v>
      </c>
      <c r="U443" s="52">
        <f>IF($C443="B",VLOOKUP($A443,Bat!$A$4:$BA$1417,47,FALSE),VLOOKUP($A443,Pit!$A$4:$BF$570,56,FALSE))</f>
        <v>0</v>
      </c>
      <c r="V443" s="52">
        <f>IF($C443="B",VLOOKUP($A443,Bat!$A$4:$BA$1417,48,FALSE),VLOOKUP($A443,Pit!$A$4:$BF$570,57,FALSE))</f>
        <v>0</v>
      </c>
      <c r="W443" s="52">
        <f>Table5[[#This Row],[posRnk]]+Table5[[#This Row],[zRnk]]+IF($W$3&lt;&gt;Table5[[#This Row],[Type]],50,0)</f>
        <v>489</v>
      </c>
      <c r="X443" s="53">
        <f>RANK(Table5[[#This Row],[zScore]],Table5[[#All],[zScore]])</f>
        <v>439</v>
      </c>
      <c r="Y443" s="52" t="str">
        <f>IFERROR(INDEX(DraftResults[[#All],[OVR]],MATCH(Table5[[#This Row],[PID]],DraftResults[[#All],[Player ID]],0)),"")</f>
        <v/>
      </c>
      <c r="Z4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3" s="52" t="str">
        <f>IFERROR(INDEX(DraftResults[[#All],[Pick in Round]],MATCH(Table5[[#This Row],[PID]],DraftResults[[#All],[Player ID]],0)),"")</f>
        <v/>
      </c>
      <c r="AB443" s="52" t="str">
        <f>IFERROR(INDEX(DraftResults[[#All],[Team Name]],MATCH(Table5[[#This Row],[PID]],DraftResults[[#All],[Player ID]],0)),"")</f>
        <v/>
      </c>
      <c r="AC443" s="52" t="str">
        <f>IF(Table5[[#This Row],[Ovr]]="","",IF(Table5[[#This Row],[cmbList]]="","",Table5[[#This Row],[cmbList]]-Table5[[#This Row],[Ovr]]))</f>
        <v/>
      </c>
      <c r="AD443" s="56" t="str">
        <f>IF(ISERROR(VLOOKUP($AB443&amp;"-"&amp;$E443&amp;" "&amp;F443,Bonuses!$B$1:$G$1006,4,FALSE)),"",INT(VLOOKUP($AB443&amp;"-"&amp;$E443&amp;" "&amp;$F443,Bonuses!$B$1:$G$1006,4,FALSE)))</f>
        <v/>
      </c>
      <c r="AE4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4" spans="1:31" s="52" customFormat="1" x14ac:dyDescent="0.25">
      <c r="A444" s="52">
        <v>6576</v>
      </c>
      <c r="B444" s="52">
        <f>COUNTIF(Table5[PID],A444)</f>
        <v>1</v>
      </c>
      <c r="C444" s="52" t="str">
        <f>IF(COUNTIF(Table3[[#All],[PID]],A444)&gt;0,"P","B")</f>
        <v>B</v>
      </c>
      <c r="D444" s="61" t="str">
        <f>IF($C444="B",INDEX(Batters[[#All],[POS]],MATCH(Table5[[#This Row],[PID]],Batters[[#All],[PID]],0)),INDEX(Table3[[#All],[POS]],MATCH(Table5[[#This Row],[PID]],Table3[[#All],[PID]],0)))</f>
        <v>C</v>
      </c>
      <c r="E444" s="54" t="str">
        <f>IF($C444="B",INDEX(Batters[[#All],[First]],MATCH(Table5[[#This Row],[PID]],Batters[[#All],[PID]],0)),INDEX(Table3[[#All],[First]],MATCH(Table5[[#This Row],[PID]],Table3[[#All],[PID]],0)))</f>
        <v>Jonas</v>
      </c>
      <c r="F444" s="52" t="str">
        <f>IF($C444="B",INDEX(Batters[[#All],[Last]],MATCH(A444,Batters[[#All],[PID]],0)),INDEX(Table3[[#All],[Last]],MATCH(A444,Table3[[#All],[PID]],0)))</f>
        <v>Compagne</v>
      </c>
      <c r="G444" s="58">
        <f>IF($C444="B",INDEX(Batters[[#All],[Age]],MATCH(Table5[[#This Row],[PID]],Batters[[#All],[PID]],0)),INDEX(Table3[[#All],[Age]],MATCH(Table5[[#This Row],[PID]],Table3[[#All],[PID]],0)))</f>
        <v>18</v>
      </c>
      <c r="H444" s="54" t="str">
        <f>IF($C444="B",INDEX(Batters[[#All],[B]],MATCH(Table5[[#This Row],[PID]],Batters[[#All],[PID]],0)),INDEX(Table3[[#All],[B]],MATCH(Table5[[#This Row],[PID]],Table3[[#All],[PID]],0)))</f>
        <v>L</v>
      </c>
      <c r="I444" s="54" t="str">
        <f>IF($C444="B",INDEX(Batters[[#All],[T]],MATCH(Table5[[#This Row],[PID]],Batters[[#All],[PID]],0)),INDEX(Table3[[#All],[T]],MATCH(Table5[[#This Row],[PID]],Table3[[#All],[PID]],0)))</f>
        <v>R</v>
      </c>
      <c r="J444" s="54" t="str">
        <f>IF($C444="B",INDEX(Batters[[#All],[WE]],MATCH(Table5[[#This Row],[PID]],Batters[[#All],[PID]],0)),INDEX(Table3[[#All],[WE]],MATCH(Table5[[#This Row],[PID]],Table3[[#All],[PID]],0)))</f>
        <v>Low</v>
      </c>
      <c r="K444" s="54" t="str">
        <f>IF($C444="B",INDEX(Batters[[#All],[INT]],MATCH(Table5[[#This Row],[PID]],Batters[[#All],[PID]],0)),INDEX(Table3[[#All],[INT]],MATCH(Table5[[#This Row],[PID]],Table3[[#All],[PID]],0)))</f>
        <v>Normal</v>
      </c>
      <c r="L444" s="62">
        <f>IF($C444="B",INDEX(Batters[[#All],[CON P]],MATCH(Table5[[#This Row],[PID]],Batters[[#All],[PID]],0)),INDEX(Table3[[#All],[STU P]],MATCH(Table5[[#This Row],[PID]],Table3[[#All],[PID]],0)))</f>
        <v>3</v>
      </c>
      <c r="M444" s="58">
        <f>IF($C444="B",INDEX(Batters[[#All],[GAP P]],MATCH(Table5[[#This Row],[PID]],Batters[[#All],[PID]],0)),INDEX(Table3[[#All],[MOV P]],MATCH(Table5[[#This Row],[PID]],Table3[[#All],[PID]],0)))</f>
        <v>3</v>
      </c>
      <c r="N444" s="58">
        <f>IF($C444="B",INDEX(Batters[[#All],[POW P]],MATCH(Table5[[#This Row],[PID]],Batters[[#All],[PID]],0)),INDEX(Table3[[#All],[CON P]],MATCH(Table5[[#This Row],[PID]],Table3[[#All],[PID]],0)))</f>
        <v>3</v>
      </c>
      <c r="O444" s="58">
        <f>IF($C444="B",INDEX(Batters[[#All],[EYE P]],MATCH(Table5[[#This Row],[PID]],Batters[[#All],[PID]],0)),INDEX(Table3[[#All],[VELO]],MATCH(Table5[[#This Row],[PID]],Table3[[#All],[PID]],0)))</f>
        <v>5</v>
      </c>
      <c r="P444" s="58">
        <f>IF($C444="B",INDEX(Batters[[#All],[K P]],MATCH(Table5[[#This Row],[PID]],Batters[[#All],[PID]],0)),INDEX(Table3[[#All],[STM]],MATCH(Table5[[#This Row],[PID]],Table3[[#All],[PID]],0)))</f>
        <v>2</v>
      </c>
      <c r="Q444" s="63">
        <f>IF($C444="B",INDEX(Batters[[#All],[Tot]],MATCH(Table5[[#This Row],[PID]],Batters[[#All],[PID]],0)),INDEX(Table3[[#All],[Tot]],MATCH(Table5[[#This Row],[PID]],Table3[[#All],[PID]],0)))</f>
        <v>40.248336074003198</v>
      </c>
      <c r="R444" s="54">
        <f>IF($C444="B",INDEX(Batters[[#All],[zScore]],MATCH(Table5[[#This Row],[PID]],Batters[[#All],[PID]],0)),INDEX(Table3[[#All],[zScore]],MATCH(Table5[[#This Row],[PID]],Table3[[#All],[PID]],0)))</f>
        <v>-1.7578726407524333E-2</v>
      </c>
      <c r="S444" s="60" t="str">
        <f>IF($C444="B",INDEX(Batters[[#All],[DEM]],MATCH(Table5[[#This Row],[PID]],Batters[[#All],[PID]],0)),INDEX(Table3[[#All],[DEM]],MATCH(Table5[[#This Row],[PID]],Table3[[#All],[PID]],0)))</f>
        <v>-</v>
      </c>
      <c r="T444" s="64">
        <f>IF($C444="B",VLOOKUP($A444,Bat!$A$4:$AU$1417,46,FALSE),VLOOKUP($A444,Pit!$A$4:$BD$570,55,FALSE))</f>
        <v>0</v>
      </c>
      <c r="U444" s="52">
        <f>IF($C444="B",VLOOKUP($A444,Bat!$A$4:$BA$1417,47,FALSE),VLOOKUP($A444,Pit!$A$4:$BF$570,56,FALSE))</f>
        <v>0</v>
      </c>
      <c r="V444" s="52">
        <f>IF($C444="B",VLOOKUP($A444,Bat!$A$4:$BA$1417,48,FALSE),VLOOKUP($A444,Pit!$A$4:$BF$570,57,FALSE))</f>
        <v>0</v>
      </c>
      <c r="W444" s="52">
        <f>Table5[[#This Row],[posRnk]]+Table5[[#This Row],[zRnk]]+IF($W$3&lt;&gt;Table5[[#This Row],[Type]],50,0)</f>
        <v>490</v>
      </c>
      <c r="X444" s="53">
        <f>RANK(Table5[[#This Row],[zScore]],Table5[[#All],[zScore]])</f>
        <v>440</v>
      </c>
      <c r="Y444" s="52" t="str">
        <f>IFERROR(INDEX(DraftResults[[#All],[OVR]],MATCH(Table5[[#This Row],[PID]],DraftResults[[#All],[Player ID]],0)),"")</f>
        <v/>
      </c>
      <c r="Z4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4" s="52" t="str">
        <f>IFERROR(INDEX(DraftResults[[#All],[Pick in Round]],MATCH(Table5[[#This Row],[PID]],DraftResults[[#All],[Player ID]],0)),"")</f>
        <v/>
      </c>
      <c r="AB444" s="52" t="str">
        <f>IFERROR(INDEX(DraftResults[[#All],[Team Name]],MATCH(Table5[[#This Row],[PID]],DraftResults[[#All],[Player ID]],0)),"")</f>
        <v/>
      </c>
      <c r="AC444" s="52" t="str">
        <f>IF(Table5[[#This Row],[Ovr]]="","",IF(Table5[[#This Row],[cmbList]]="","",Table5[[#This Row],[cmbList]]-Table5[[#This Row],[Ovr]]))</f>
        <v/>
      </c>
      <c r="AD444" s="56" t="str">
        <f>IF(ISERROR(VLOOKUP($AB444&amp;"-"&amp;$E444&amp;" "&amp;F444,Bonuses!$B$1:$G$1006,4,FALSE)),"",INT(VLOOKUP($AB444&amp;"-"&amp;$E444&amp;" "&amp;$F444,Bonuses!$B$1:$G$1006,4,FALSE)))</f>
        <v/>
      </c>
      <c r="AE4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5" spans="1:31" s="52" customFormat="1" x14ac:dyDescent="0.25">
      <c r="A445" s="52">
        <v>6834</v>
      </c>
      <c r="B445" s="52">
        <f>COUNTIF(Table5[PID],A445)</f>
        <v>1</v>
      </c>
      <c r="C445" s="52" t="str">
        <f>IF(COUNTIF(Table3[[#All],[PID]],A445)&gt;0,"P","B")</f>
        <v>P</v>
      </c>
      <c r="D445" s="61" t="str">
        <f>IF($C445="B",INDEX(Batters[[#All],[POS]],MATCH(Table5[[#This Row],[PID]],Batters[[#All],[PID]],0)),INDEX(Table3[[#All],[POS]],MATCH(Table5[[#This Row],[PID]],Table3[[#All],[PID]],0)))</f>
        <v>RP</v>
      </c>
      <c r="E445" s="54" t="str">
        <f>IF($C445="B",INDEX(Batters[[#All],[First]],MATCH(Table5[[#This Row],[PID]],Batters[[#All],[PID]],0)),INDEX(Table3[[#All],[First]],MATCH(Table5[[#This Row],[PID]],Table3[[#All],[PID]],0)))</f>
        <v>Philip</v>
      </c>
      <c r="F445" s="52" t="str">
        <f>IF($C445="B",INDEX(Batters[[#All],[Last]],MATCH(A445,Batters[[#All],[PID]],0)),INDEX(Table3[[#All],[Last]],MATCH(A445,Table3[[#All],[PID]],0)))</f>
        <v>Gettingby</v>
      </c>
      <c r="G445" s="58">
        <f>IF($C445="B",INDEX(Batters[[#All],[Age]],MATCH(Table5[[#This Row],[PID]],Batters[[#All],[PID]],0)),INDEX(Table3[[#All],[Age]],MATCH(Table5[[#This Row],[PID]],Table3[[#All],[PID]],0)))</f>
        <v>21</v>
      </c>
      <c r="H445" s="54" t="str">
        <f>IF($C445="B",INDEX(Batters[[#All],[B]],MATCH(Table5[[#This Row],[PID]],Batters[[#All],[PID]],0)),INDEX(Table3[[#All],[B]],MATCH(Table5[[#This Row],[PID]],Table3[[#All],[PID]],0)))</f>
        <v>L</v>
      </c>
      <c r="I445" s="54" t="str">
        <f>IF($C445="B",INDEX(Batters[[#All],[T]],MATCH(Table5[[#This Row],[PID]],Batters[[#All],[PID]],0)),INDEX(Table3[[#All],[T]],MATCH(Table5[[#This Row],[PID]],Table3[[#All],[PID]],0)))</f>
        <v>L</v>
      </c>
      <c r="J445" s="54" t="str">
        <f>IF($C445="B",INDEX(Batters[[#All],[WE]],MATCH(Table5[[#This Row],[PID]],Batters[[#All],[PID]],0)),INDEX(Table3[[#All],[WE]],MATCH(Table5[[#This Row],[PID]],Table3[[#All],[PID]],0)))</f>
        <v>Normal</v>
      </c>
      <c r="K445" s="54" t="str">
        <f>IF($C445="B",INDEX(Batters[[#All],[INT]],MATCH(Table5[[#This Row],[PID]],Batters[[#All],[PID]],0)),INDEX(Table3[[#All],[INT]],MATCH(Table5[[#This Row],[PID]],Table3[[#All],[PID]],0)))</f>
        <v>Normal</v>
      </c>
      <c r="L445" s="62">
        <f>IF($C445="B",INDEX(Batters[[#All],[CON P]],MATCH(Table5[[#This Row],[PID]],Batters[[#All],[PID]],0)),INDEX(Table3[[#All],[STU P]],MATCH(Table5[[#This Row],[PID]],Table3[[#All],[PID]],0)))</f>
        <v>6</v>
      </c>
      <c r="M445" s="58">
        <f>IF($C445="B",INDEX(Batters[[#All],[GAP P]],MATCH(Table5[[#This Row],[PID]],Batters[[#All],[PID]],0)),INDEX(Table3[[#All],[MOV P]],MATCH(Table5[[#This Row],[PID]],Table3[[#All],[PID]],0)))</f>
        <v>2</v>
      </c>
      <c r="N445" s="58">
        <f>IF($C445="B",INDEX(Batters[[#All],[POW P]],MATCH(Table5[[#This Row],[PID]],Batters[[#All],[PID]],0)),INDEX(Table3[[#All],[CON P]],MATCH(Table5[[#This Row],[PID]],Table3[[#All],[PID]],0)))</f>
        <v>2</v>
      </c>
      <c r="O445" s="58" t="str">
        <f>IF($C445="B",INDEX(Batters[[#All],[EYE P]],MATCH(Table5[[#This Row],[PID]],Batters[[#All],[PID]],0)),INDEX(Table3[[#All],[VELO]],MATCH(Table5[[#This Row],[PID]],Table3[[#All],[PID]],0)))</f>
        <v>91-93 Mph</v>
      </c>
      <c r="P445" s="58">
        <f>IF($C445="B",INDEX(Batters[[#All],[K P]],MATCH(Table5[[#This Row],[PID]],Batters[[#All],[PID]],0)),INDEX(Table3[[#All],[STM]],MATCH(Table5[[#This Row],[PID]],Table3[[#All],[PID]],0)))</f>
        <v>3</v>
      </c>
      <c r="Q445" s="63">
        <f>IF($C445="B",INDEX(Batters[[#All],[Tot]],MATCH(Table5[[#This Row],[PID]],Batters[[#All],[PID]],0)),INDEX(Table3[[#All],[Tot]],MATCH(Table5[[#This Row],[PID]],Table3[[#All],[PID]],0)))</f>
        <v>32.467025273275752</v>
      </c>
      <c r="R445" s="54">
        <f>IF($C445="B",INDEX(Batters[[#All],[zScore]],MATCH(Table5[[#This Row],[PID]],Batters[[#All],[PID]],0)),INDEX(Table3[[#All],[zScore]],MATCH(Table5[[#This Row],[PID]],Table3[[#All],[PID]],0)))</f>
        <v>-2.3405276615093729E-2</v>
      </c>
      <c r="S445" s="60" t="str">
        <f>IF($C445="B",INDEX(Batters[[#All],[DEM]],MATCH(Table5[[#This Row],[PID]],Batters[[#All],[PID]],0)),INDEX(Table3[[#All],[DEM]],MATCH(Table5[[#This Row],[PID]],Table3[[#All],[PID]],0)))</f>
        <v>$36k</v>
      </c>
      <c r="T445" s="64">
        <f>IF($C445="B",VLOOKUP($A445,Bat!$A$4:$AU$1417,46,FALSE),VLOOKUP($A445,Pit!$A$4:$BD$570,55,FALSE))</f>
        <v>0</v>
      </c>
      <c r="U445" s="52">
        <f>IF($C445="B",VLOOKUP($A445,Bat!$A$4:$BA$1417,47,FALSE),VLOOKUP($A445,Pit!$A$4:$BF$570,56,FALSE))</f>
        <v>0</v>
      </c>
      <c r="V445" s="52">
        <f>IF($C445="B",VLOOKUP($A445,Bat!$A$4:$BA$1417,48,FALSE),VLOOKUP($A445,Pit!$A$4:$BF$570,57,FALSE))</f>
        <v>0</v>
      </c>
      <c r="W445" s="52">
        <f>Table5[[#This Row],[posRnk]]+Table5[[#This Row],[zRnk]]+IF($W$3&lt;&gt;Table5[[#This Row],[Type]],50,0)</f>
        <v>491</v>
      </c>
      <c r="X445" s="53">
        <f>RANK(Table5[[#This Row],[zScore]],Table5[[#All],[zScore]])</f>
        <v>441</v>
      </c>
      <c r="Y445" s="52" t="str">
        <f>IFERROR(INDEX(DraftResults[[#All],[OVR]],MATCH(Table5[[#This Row],[PID]],DraftResults[[#All],[Player ID]],0)),"")</f>
        <v/>
      </c>
      <c r="Z4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5" s="52" t="str">
        <f>IFERROR(INDEX(DraftResults[[#All],[Pick in Round]],MATCH(Table5[[#This Row],[PID]],DraftResults[[#All],[Player ID]],0)),"")</f>
        <v/>
      </c>
      <c r="AB445" s="52" t="str">
        <f>IFERROR(INDEX(DraftResults[[#All],[Team Name]],MATCH(Table5[[#This Row],[PID]],DraftResults[[#All],[Player ID]],0)),"")</f>
        <v/>
      </c>
      <c r="AC445" s="52" t="str">
        <f>IF(Table5[[#This Row],[Ovr]]="","",IF(Table5[[#This Row],[cmbList]]="","",Table5[[#This Row],[cmbList]]-Table5[[#This Row],[Ovr]]))</f>
        <v/>
      </c>
      <c r="AD445" s="56" t="str">
        <f>IF(ISERROR(VLOOKUP($AB445&amp;"-"&amp;$E445&amp;" "&amp;F445,Bonuses!$B$1:$G$1006,4,FALSE)),"",INT(VLOOKUP($AB445&amp;"-"&amp;$E445&amp;" "&amp;$F445,Bonuses!$B$1:$G$1006,4,FALSE)))</f>
        <v/>
      </c>
      <c r="AE4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6" spans="1:31" s="52" customFormat="1" x14ac:dyDescent="0.25">
      <c r="A446" s="52">
        <v>12045</v>
      </c>
      <c r="B446" s="57">
        <f>COUNTIF(Table5[PID],A446)</f>
        <v>1</v>
      </c>
      <c r="C446" s="57" t="str">
        <f>IF(COUNTIF(Table3[[#All],[PID]],A446)&gt;0,"P","B")</f>
        <v>B</v>
      </c>
      <c r="D446" s="61" t="str">
        <f>IF($C446="B",INDEX(Batters[[#All],[POS]],MATCH(Table5[[#This Row],[PID]],Batters[[#All],[PID]],0)),INDEX(Table3[[#All],[POS]],MATCH(Table5[[#This Row],[PID]],Table3[[#All],[PID]],0)))</f>
        <v>RF</v>
      </c>
      <c r="E446" s="54" t="str">
        <f>IF($C446="B",INDEX(Batters[[#All],[First]],MATCH(Table5[[#This Row],[PID]],Batters[[#All],[PID]],0)),INDEX(Table3[[#All],[First]],MATCH(Table5[[#This Row],[PID]],Table3[[#All],[PID]],0)))</f>
        <v>Mike</v>
      </c>
      <c r="F446" s="52" t="str">
        <f>IF($C446="B",INDEX(Batters[[#All],[Last]],MATCH(A446,Batters[[#All],[PID]],0)),INDEX(Table3[[#All],[Last]],MATCH(A446,Table3[[#All],[PID]],0)))</f>
        <v>Ballard</v>
      </c>
      <c r="G446" s="58">
        <f>IF($C446="B",INDEX(Batters[[#All],[Age]],MATCH(Table5[[#This Row],[PID]],Batters[[#All],[PID]],0)),INDEX(Table3[[#All],[Age]],MATCH(Table5[[#This Row],[PID]],Table3[[#All],[PID]],0)))</f>
        <v>20</v>
      </c>
      <c r="H446" s="54" t="str">
        <f>IF($C446="B",INDEX(Batters[[#All],[B]],MATCH(Table5[[#This Row],[PID]],Batters[[#All],[PID]],0)),INDEX(Table3[[#All],[B]],MATCH(Table5[[#This Row],[PID]],Table3[[#All],[PID]],0)))</f>
        <v>L</v>
      </c>
      <c r="I446" s="54" t="str">
        <f>IF($C446="B",INDEX(Batters[[#All],[T]],MATCH(Table5[[#This Row],[PID]],Batters[[#All],[PID]],0)),INDEX(Table3[[#All],[T]],MATCH(Table5[[#This Row],[PID]],Table3[[#All],[PID]],0)))</f>
        <v>L</v>
      </c>
      <c r="J446" s="54" t="str">
        <f>IF($C446="B",INDEX(Batters[[#All],[WE]],MATCH(Table5[[#This Row],[PID]],Batters[[#All],[PID]],0)),INDEX(Table3[[#All],[WE]],MATCH(Table5[[#This Row],[PID]],Table3[[#All],[PID]],0)))</f>
        <v>Normal</v>
      </c>
      <c r="K446" s="54" t="str">
        <f>IF($C446="B",INDEX(Batters[[#All],[INT]],MATCH(Table5[[#This Row],[PID]],Batters[[#All],[PID]],0)),INDEX(Table3[[#All],[INT]],MATCH(Table5[[#This Row],[PID]],Table3[[#All],[PID]],0)))</f>
        <v>Low</v>
      </c>
      <c r="L446" s="62">
        <f>IF($C446="B",INDEX(Batters[[#All],[CON P]],MATCH(Table5[[#This Row],[PID]],Batters[[#All],[PID]],0)),INDEX(Table3[[#All],[STU P]],MATCH(Table5[[#This Row],[PID]],Table3[[#All],[PID]],0)))</f>
        <v>4</v>
      </c>
      <c r="M446" s="58">
        <f>IF($C446="B",INDEX(Batters[[#All],[GAP P]],MATCH(Table5[[#This Row],[PID]],Batters[[#All],[PID]],0)),INDEX(Table3[[#All],[MOV P]],MATCH(Table5[[#This Row],[PID]],Table3[[#All],[PID]],0)))</f>
        <v>3</v>
      </c>
      <c r="N446" s="58">
        <f>IF($C446="B",INDEX(Batters[[#All],[POW P]],MATCH(Table5[[#This Row],[PID]],Batters[[#All],[PID]],0)),INDEX(Table3[[#All],[CON P]],MATCH(Table5[[#This Row],[PID]],Table3[[#All],[PID]],0)))</f>
        <v>4</v>
      </c>
      <c r="O446" s="58">
        <f>IF($C446="B",INDEX(Batters[[#All],[EYE P]],MATCH(Table5[[#This Row],[PID]],Batters[[#All],[PID]],0)),INDEX(Table3[[#All],[VELO]],MATCH(Table5[[#This Row],[PID]],Table3[[#All],[PID]],0)))</f>
        <v>4</v>
      </c>
      <c r="P446" s="58">
        <f>IF($C446="B",INDEX(Batters[[#All],[K P]],MATCH(Table5[[#This Row],[PID]],Batters[[#All],[PID]],0)),INDEX(Table3[[#All],[STM]],MATCH(Table5[[#This Row],[PID]],Table3[[#All],[PID]],0)))</f>
        <v>3</v>
      </c>
      <c r="Q446" s="63">
        <f>IF($C446="B",INDEX(Batters[[#All],[Tot]],MATCH(Table5[[#This Row],[PID]],Batters[[#All],[PID]],0)),INDEX(Table3[[#All],[Tot]],MATCH(Table5[[#This Row],[PID]],Table3[[#All],[PID]],0)))</f>
        <v>40.208882893454643</v>
      </c>
      <c r="R446" s="54">
        <f>IF($C446="B",INDEX(Batters[[#All],[zScore]],MATCH(Table5[[#This Row],[PID]],Batters[[#All],[PID]],0)),INDEX(Table3[[#All],[zScore]],MATCH(Table5[[#This Row],[PID]],Table3[[#All],[PID]],0)))</f>
        <v>-2.452025130723556E-2</v>
      </c>
      <c r="S446" s="60" t="str">
        <f>IF($C446="B",INDEX(Batters[[#All],[DEM]],MATCH(Table5[[#This Row],[PID]],Batters[[#All],[PID]],0)),INDEX(Table3[[#All],[DEM]],MATCH(Table5[[#This Row],[PID]],Table3[[#All],[PID]],0)))</f>
        <v>$110k</v>
      </c>
      <c r="T446" s="64">
        <f>IF($C446="B",VLOOKUP($A446,Bat!$A$4:$AU$1417,46,FALSE),VLOOKUP($A446,Pit!$A$4:$BD$570,55,FALSE))</f>
        <v>0</v>
      </c>
      <c r="U446" s="52">
        <f>IF($C446="B",VLOOKUP($A446,Bat!$A$4:$BA$1417,47,FALSE),VLOOKUP($A446,Pit!$A$4:$BF$570,56,FALSE))</f>
        <v>0</v>
      </c>
      <c r="V446" s="52">
        <f>IF($C446="B",VLOOKUP($A446,Bat!$A$4:$BA$1417,48,FALSE),VLOOKUP($A446,Pit!$A$4:$BF$570,57,FALSE))</f>
        <v>0</v>
      </c>
      <c r="W446" s="52">
        <f>Table5[[#This Row],[posRnk]]+Table5[[#This Row],[zRnk]]+IF($W$3&lt;&gt;Table5[[#This Row],[Type]],50,0)</f>
        <v>492</v>
      </c>
      <c r="X446" s="53">
        <f>RANK(Table5[[#This Row],[zScore]],Table5[[#All],[zScore]])</f>
        <v>442</v>
      </c>
      <c r="Y446" s="52" t="str">
        <f>IFERROR(INDEX(DraftResults[[#All],[OVR]],MATCH(Table5[[#This Row],[PID]],DraftResults[[#All],[Player ID]],0)),"")</f>
        <v/>
      </c>
      <c r="Z4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6" s="52" t="str">
        <f>IFERROR(INDEX(DraftResults[[#All],[Pick in Round]],MATCH(Table5[[#This Row],[PID]],DraftResults[[#All],[Player ID]],0)),"")</f>
        <v/>
      </c>
      <c r="AB446" s="52" t="str">
        <f>IFERROR(INDEX(DraftResults[[#All],[Team Name]],MATCH(Table5[[#This Row],[PID]],DraftResults[[#All],[Player ID]],0)),"")</f>
        <v/>
      </c>
      <c r="AC446" s="52" t="str">
        <f>IF(Table5[[#This Row],[Ovr]]="","",IF(Table5[[#This Row],[cmbList]]="","",Table5[[#This Row],[cmbList]]-Table5[[#This Row],[Ovr]]))</f>
        <v/>
      </c>
      <c r="AD446" s="56" t="str">
        <f>IF(ISERROR(VLOOKUP($AB446&amp;"-"&amp;$E446&amp;" "&amp;F446,Bonuses!$B$1:$G$1006,4,FALSE)),"",INT(VLOOKUP($AB446&amp;"-"&amp;$E446&amp;" "&amp;$F446,Bonuses!$B$1:$G$1006,4,FALSE)))</f>
        <v/>
      </c>
      <c r="AE4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7" spans="1:31" s="52" customFormat="1" x14ac:dyDescent="0.25">
      <c r="A447" s="52">
        <v>15261</v>
      </c>
      <c r="B447" s="52">
        <f>COUNTIF(Table5[PID],A447)</f>
        <v>1</v>
      </c>
      <c r="C447" s="52" t="str">
        <f>IF(COUNTIF(Table3[[#All],[PID]],A447)&gt;0,"P","B")</f>
        <v>P</v>
      </c>
      <c r="D447" s="61" t="str">
        <f>IF($C447="B",INDEX(Batters[[#All],[POS]],MATCH(Table5[[#This Row],[PID]],Batters[[#All],[PID]],0)),INDEX(Table3[[#All],[POS]],MATCH(Table5[[#This Row],[PID]],Table3[[#All],[PID]],0)))</f>
        <v>RP</v>
      </c>
      <c r="E447" s="54" t="str">
        <f>IF($C447="B",INDEX(Batters[[#All],[First]],MATCH(Table5[[#This Row],[PID]],Batters[[#All],[PID]],0)),INDEX(Table3[[#All],[First]],MATCH(Table5[[#This Row],[PID]],Table3[[#All],[PID]],0)))</f>
        <v>Josh</v>
      </c>
      <c r="F447" s="52" t="str">
        <f>IF($C447="B",INDEX(Batters[[#All],[Last]],MATCH(A447,Batters[[#All],[PID]],0)),INDEX(Table3[[#All],[Last]],MATCH(A447,Table3[[#All],[PID]],0)))</f>
        <v>MacCarlich</v>
      </c>
      <c r="G447" s="58">
        <f>IF($C447="B",INDEX(Batters[[#All],[Age]],MATCH(Table5[[#This Row],[PID]],Batters[[#All],[PID]],0)),INDEX(Table3[[#All],[Age]],MATCH(Table5[[#This Row],[PID]],Table3[[#All],[PID]],0)))</f>
        <v>18</v>
      </c>
      <c r="H447" s="54" t="str">
        <f>IF($C447="B",INDEX(Batters[[#All],[B]],MATCH(Table5[[#This Row],[PID]],Batters[[#All],[PID]],0)),INDEX(Table3[[#All],[B]],MATCH(Table5[[#This Row],[PID]],Table3[[#All],[PID]],0)))</f>
        <v>L</v>
      </c>
      <c r="I447" s="54" t="str">
        <f>IF($C447="B",INDEX(Batters[[#All],[T]],MATCH(Table5[[#This Row],[PID]],Batters[[#All],[PID]],0)),INDEX(Table3[[#All],[T]],MATCH(Table5[[#This Row],[PID]],Table3[[#All],[PID]],0)))</f>
        <v>L</v>
      </c>
      <c r="J447" s="54" t="str">
        <f>IF($C447="B",INDEX(Batters[[#All],[WE]],MATCH(Table5[[#This Row],[PID]],Batters[[#All],[PID]],0)),INDEX(Table3[[#All],[WE]],MATCH(Table5[[#This Row],[PID]],Table3[[#All],[PID]],0)))</f>
        <v>Normal</v>
      </c>
      <c r="K447" s="54" t="str">
        <f>IF($C447="B",INDEX(Batters[[#All],[INT]],MATCH(Table5[[#This Row],[PID]],Batters[[#All],[PID]],0)),INDEX(Table3[[#All],[INT]],MATCH(Table5[[#This Row],[PID]],Table3[[#All],[PID]],0)))</f>
        <v>Normal</v>
      </c>
      <c r="L447" s="62">
        <f>IF($C447="B",INDEX(Batters[[#All],[CON P]],MATCH(Table5[[#This Row],[PID]],Batters[[#All],[PID]],0)),INDEX(Table3[[#All],[STU P]],MATCH(Table5[[#This Row],[PID]],Table3[[#All],[PID]],0)))</f>
        <v>5</v>
      </c>
      <c r="M447" s="58">
        <f>IF($C447="B",INDEX(Batters[[#All],[GAP P]],MATCH(Table5[[#This Row],[PID]],Batters[[#All],[PID]],0)),INDEX(Table3[[#All],[MOV P]],MATCH(Table5[[#This Row],[PID]],Table3[[#All],[PID]],0)))</f>
        <v>2</v>
      </c>
      <c r="N447" s="58">
        <f>IF($C447="B",INDEX(Batters[[#All],[POW P]],MATCH(Table5[[#This Row],[PID]],Batters[[#All],[PID]],0)),INDEX(Table3[[#All],[CON P]],MATCH(Table5[[#This Row],[PID]],Table3[[#All],[PID]],0)))</f>
        <v>2</v>
      </c>
      <c r="O447" s="58" t="str">
        <f>IF($C447="B",INDEX(Batters[[#All],[EYE P]],MATCH(Table5[[#This Row],[PID]],Batters[[#All],[PID]],0)),INDEX(Table3[[#All],[VELO]],MATCH(Table5[[#This Row],[PID]],Table3[[#All],[PID]],0)))</f>
        <v>89-91 Mph</v>
      </c>
      <c r="P447" s="58">
        <f>IF($C447="B",INDEX(Batters[[#All],[K P]],MATCH(Table5[[#This Row],[PID]],Batters[[#All],[PID]],0)),INDEX(Table3[[#All],[STM]],MATCH(Table5[[#This Row],[PID]],Table3[[#All],[PID]],0)))</f>
        <v>4</v>
      </c>
      <c r="Q447" s="63">
        <f>IF($C447="B",INDEX(Batters[[#All],[Tot]],MATCH(Table5[[#This Row],[PID]],Batters[[#All],[PID]],0)),INDEX(Table3[[#All],[Tot]],MATCH(Table5[[#This Row],[PID]],Table3[[#All],[PID]],0)))</f>
        <v>32.423375145080939</v>
      </c>
      <c r="R447" s="54">
        <f>IF($C447="B",INDEX(Batters[[#All],[zScore]],MATCH(Table5[[#This Row],[PID]],Batters[[#All],[PID]],0)),INDEX(Table3[[#All],[zScore]],MATCH(Table5[[#This Row],[PID]],Table3[[#All],[PID]],0)))</f>
        <v>-2.7408179935126984E-2</v>
      </c>
      <c r="S447" s="60" t="str">
        <f>IF($C447="B",INDEX(Batters[[#All],[DEM]],MATCH(Table5[[#This Row],[PID]],Batters[[#All],[PID]],0)),INDEX(Table3[[#All],[DEM]],MATCH(Table5[[#This Row],[PID]],Table3[[#All],[PID]],0)))</f>
        <v>$100k</v>
      </c>
      <c r="T447" s="64">
        <f>IF($C447="B",VLOOKUP($A447,Bat!$A$4:$AU$1417,46,FALSE),VLOOKUP($A447,Pit!$A$4:$BD$570,55,FALSE))</f>
        <v>0</v>
      </c>
      <c r="U447" s="52">
        <f>IF($C447="B",VLOOKUP($A447,Bat!$A$4:$BA$1417,47,FALSE),VLOOKUP($A447,Pit!$A$4:$BF$570,56,FALSE))</f>
        <v>0</v>
      </c>
      <c r="V447" s="52">
        <f>IF($C447="B",VLOOKUP($A447,Bat!$A$4:$BA$1417,48,FALSE),VLOOKUP($A447,Pit!$A$4:$BF$570,57,FALSE))</f>
        <v>0</v>
      </c>
      <c r="W447" s="52">
        <f>Table5[[#This Row],[posRnk]]+Table5[[#This Row],[zRnk]]+IF($W$3&lt;&gt;Table5[[#This Row],[Type]],50,0)</f>
        <v>493</v>
      </c>
      <c r="X447" s="53">
        <f>RANK(Table5[[#This Row],[zScore]],Table5[[#All],[zScore]])</f>
        <v>443</v>
      </c>
      <c r="Y447" s="52" t="str">
        <f>IFERROR(INDEX(DraftResults[[#All],[OVR]],MATCH(Table5[[#This Row],[PID]],DraftResults[[#All],[Player ID]],0)),"")</f>
        <v/>
      </c>
      <c r="Z4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7" s="52" t="str">
        <f>IFERROR(INDEX(DraftResults[[#All],[Pick in Round]],MATCH(Table5[[#This Row],[PID]],DraftResults[[#All],[Player ID]],0)),"")</f>
        <v/>
      </c>
      <c r="AB447" s="52" t="str">
        <f>IFERROR(INDEX(DraftResults[[#All],[Team Name]],MATCH(Table5[[#This Row],[PID]],DraftResults[[#All],[Player ID]],0)),"")</f>
        <v/>
      </c>
      <c r="AC447" s="52" t="str">
        <f>IF(Table5[[#This Row],[Ovr]]="","",IF(Table5[[#This Row],[cmbList]]="","",Table5[[#This Row],[cmbList]]-Table5[[#This Row],[Ovr]]))</f>
        <v/>
      </c>
      <c r="AD447" s="56" t="str">
        <f>IF(ISERROR(VLOOKUP($AB447&amp;"-"&amp;$E447&amp;" "&amp;F447,Bonuses!$B$1:$G$1006,4,FALSE)),"",INT(VLOOKUP($AB447&amp;"-"&amp;$E447&amp;" "&amp;$F447,Bonuses!$B$1:$G$1006,4,FALSE)))</f>
        <v/>
      </c>
      <c r="AE4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8" spans="1:31" s="52" customFormat="1" x14ac:dyDescent="0.25">
      <c r="A448" s="52">
        <v>7796</v>
      </c>
      <c r="B448" s="52">
        <f>COUNTIF(Table5[PID],A448)</f>
        <v>1</v>
      </c>
      <c r="C448" s="52" t="str">
        <f>IF(COUNTIF(Table3[[#All],[PID]],A448)&gt;0,"P","B")</f>
        <v>P</v>
      </c>
      <c r="D448" s="61" t="str">
        <f>IF($C448="B",INDEX(Batters[[#All],[POS]],MATCH(Table5[[#This Row],[PID]],Batters[[#All],[PID]],0)),INDEX(Table3[[#All],[POS]],MATCH(Table5[[#This Row],[PID]],Table3[[#All],[PID]],0)))</f>
        <v>RP</v>
      </c>
      <c r="E448" s="54" t="str">
        <f>IF($C448="B",INDEX(Batters[[#All],[First]],MATCH(Table5[[#This Row],[PID]],Batters[[#All],[PID]],0)),INDEX(Table3[[#All],[First]],MATCH(Table5[[#This Row],[PID]],Table3[[#All],[PID]],0)))</f>
        <v>Bob</v>
      </c>
      <c r="F448" s="52" t="str">
        <f>IF($C448="B",INDEX(Batters[[#All],[Last]],MATCH(A448,Batters[[#All],[PID]],0)),INDEX(Table3[[#All],[Last]],MATCH(A448,Table3[[#All],[PID]],0)))</f>
        <v>Connolly</v>
      </c>
      <c r="G448" s="58">
        <f>IF($C448="B",INDEX(Batters[[#All],[Age]],MATCH(Table5[[#This Row],[PID]],Batters[[#All],[PID]],0)),INDEX(Table3[[#All],[Age]],MATCH(Table5[[#This Row],[PID]],Table3[[#All],[PID]],0)))</f>
        <v>18</v>
      </c>
      <c r="H448" s="54" t="str">
        <f>IF($C448="B",INDEX(Batters[[#All],[B]],MATCH(Table5[[#This Row],[PID]],Batters[[#All],[PID]],0)),INDEX(Table3[[#All],[B]],MATCH(Table5[[#This Row],[PID]],Table3[[#All],[PID]],0)))</f>
        <v>R</v>
      </c>
      <c r="I448" s="54" t="str">
        <f>IF($C448="B",INDEX(Batters[[#All],[T]],MATCH(Table5[[#This Row],[PID]],Batters[[#All],[PID]],0)),INDEX(Table3[[#All],[T]],MATCH(Table5[[#This Row],[PID]],Table3[[#All],[PID]],0)))</f>
        <v>R</v>
      </c>
      <c r="J448" s="54" t="str">
        <f>IF($C448="B",INDEX(Batters[[#All],[WE]],MATCH(Table5[[#This Row],[PID]],Batters[[#All],[PID]],0)),INDEX(Table3[[#All],[WE]],MATCH(Table5[[#This Row],[PID]],Table3[[#All],[PID]],0)))</f>
        <v>Low</v>
      </c>
      <c r="K448" s="54" t="str">
        <f>IF($C448="B",INDEX(Batters[[#All],[INT]],MATCH(Table5[[#This Row],[PID]],Batters[[#All],[PID]],0)),INDEX(Table3[[#All],[INT]],MATCH(Table5[[#This Row],[PID]],Table3[[#All],[PID]],0)))</f>
        <v>Normal</v>
      </c>
      <c r="L448" s="62">
        <f>IF($C448="B",INDEX(Batters[[#All],[CON P]],MATCH(Table5[[#This Row],[PID]],Batters[[#All],[PID]],0)),INDEX(Table3[[#All],[STU P]],MATCH(Table5[[#This Row],[PID]],Table3[[#All],[PID]],0)))</f>
        <v>4</v>
      </c>
      <c r="M448" s="58">
        <f>IF($C448="B",INDEX(Batters[[#All],[GAP P]],MATCH(Table5[[#This Row],[PID]],Batters[[#All],[PID]],0)),INDEX(Table3[[#All],[MOV P]],MATCH(Table5[[#This Row],[PID]],Table3[[#All],[PID]],0)))</f>
        <v>2</v>
      </c>
      <c r="N448" s="58">
        <f>IF($C448="B",INDEX(Batters[[#All],[POW P]],MATCH(Table5[[#This Row],[PID]],Batters[[#All],[PID]],0)),INDEX(Table3[[#All],[CON P]],MATCH(Table5[[#This Row],[PID]],Table3[[#All],[PID]],0)))</f>
        <v>3</v>
      </c>
      <c r="O448" s="58" t="str">
        <f>IF($C448="B",INDEX(Batters[[#All],[EYE P]],MATCH(Table5[[#This Row],[PID]],Batters[[#All],[PID]],0)),INDEX(Table3[[#All],[VELO]],MATCH(Table5[[#This Row],[PID]],Table3[[#All],[PID]],0)))</f>
        <v>88-90 Mph</v>
      </c>
      <c r="P448" s="58">
        <f>IF($C448="B",INDEX(Batters[[#All],[K P]],MATCH(Table5[[#This Row],[PID]],Batters[[#All],[PID]],0)),INDEX(Table3[[#All],[STM]],MATCH(Table5[[#This Row],[PID]],Table3[[#All],[PID]],0)))</f>
        <v>2</v>
      </c>
      <c r="Q448" s="63">
        <f>IF($C448="B",INDEX(Batters[[#All],[Tot]],MATCH(Table5[[#This Row],[PID]],Batters[[#All],[PID]],0)),INDEX(Table3[[#All],[Tot]],MATCH(Table5[[#This Row],[PID]],Table3[[#All],[PID]],0)))</f>
        <v>32.315830734434741</v>
      </c>
      <c r="R448" s="54">
        <f>IF($C448="B",INDEX(Batters[[#All],[zScore]],MATCH(Table5[[#This Row],[PID]],Batters[[#All],[PID]],0)),INDEX(Table3[[#All],[zScore]],MATCH(Table5[[#This Row],[PID]],Table3[[#All],[PID]],0)))</f>
        <v>-3.7270462045855095E-2</v>
      </c>
      <c r="S448" s="60" t="str">
        <f>IF($C448="B",INDEX(Batters[[#All],[DEM]],MATCH(Table5[[#This Row],[PID]],Batters[[#All],[PID]],0)),INDEX(Table3[[#All],[DEM]],MATCH(Table5[[#This Row],[PID]],Table3[[#All],[PID]],0)))</f>
        <v>$70k</v>
      </c>
      <c r="T448" s="64">
        <f>IF($C448="B",VLOOKUP($A448,Bat!$A$4:$AU$1417,46,FALSE),VLOOKUP($A448,Pit!$A$4:$BD$570,55,FALSE))</f>
        <v>0</v>
      </c>
      <c r="U448" s="52">
        <f>IF($C448="B",VLOOKUP($A448,Bat!$A$4:$BA$1417,47,FALSE),VLOOKUP($A448,Pit!$A$4:$BF$570,56,FALSE))</f>
        <v>0</v>
      </c>
      <c r="V448" s="52">
        <f>IF($C448="B",VLOOKUP($A448,Bat!$A$4:$BA$1417,48,FALSE),VLOOKUP($A448,Pit!$A$4:$BF$570,57,FALSE))</f>
        <v>0</v>
      </c>
      <c r="W448" s="52">
        <f>Table5[[#This Row],[posRnk]]+Table5[[#This Row],[zRnk]]+IF($W$3&lt;&gt;Table5[[#This Row],[Type]],50,0)</f>
        <v>494</v>
      </c>
      <c r="X448" s="53">
        <f>RANK(Table5[[#This Row],[zScore]],Table5[[#All],[zScore]])</f>
        <v>444</v>
      </c>
      <c r="Y448" s="52" t="str">
        <f>IFERROR(INDEX(DraftResults[[#All],[OVR]],MATCH(Table5[[#This Row],[PID]],DraftResults[[#All],[Player ID]],0)),"")</f>
        <v/>
      </c>
      <c r="Z4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8" s="52" t="str">
        <f>IFERROR(INDEX(DraftResults[[#All],[Pick in Round]],MATCH(Table5[[#This Row],[PID]],DraftResults[[#All],[Player ID]],0)),"")</f>
        <v/>
      </c>
      <c r="AB448" s="52" t="str">
        <f>IFERROR(INDEX(DraftResults[[#All],[Team Name]],MATCH(Table5[[#This Row],[PID]],DraftResults[[#All],[Player ID]],0)),"")</f>
        <v/>
      </c>
      <c r="AC448" s="52" t="str">
        <f>IF(Table5[[#This Row],[Ovr]]="","",IF(Table5[[#This Row],[cmbList]]="","",Table5[[#This Row],[cmbList]]-Table5[[#This Row],[Ovr]]))</f>
        <v/>
      </c>
      <c r="AD448" s="56" t="str">
        <f>IF(ISERROR(VLOOKUP($AB448&amp;"-"&amp;$E448&amp;" "&amp;F448,Bonuses!$B$1:$G$1006,4,FALSE)),"",INT(VLOOKUP($AB448&amp;"-"&amp;$E448&amp;" "&amp;$F448,Bonuses!$B$1:$G$1006,4,FALSE)))</f>
        <v/>
      </c>
      <c r="AE4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9" spans="1:31" s="52" customFormat="1" x14ac:dyDescent="0.25">
      <c r="A449" s="52">
        <v>9300</v>
      </c>
      <c r="B449" s="52">
        <f>COUNTIF(Table5[PID],A449)</f>
        <v>1</v>
      </c>
      <c r="C449" s="52" t="str">
        <f>IF(COUNTIF(Table3[[#All],[PID]],A449)&gt;0,"P","B")</f>
        <v>B</v>
      </c>
      <c r="D449" s="61" t="str">
        <f>IF($C449="B",INDEX(Batters[[#All],[POS]],MATCH(Table5[[#This Row],[PID]],Batters[[#All],[PID]],0)),INDEX(Table3[[#All],[POS]],MATCH(Table5[[#This Row],[PID]],Table3[[#All],[PID]],0)))</f>
        <v>CF</v>
      </c>
      <c r="E449" s="54" t="str">
        <f>IF($C449="B",INDEX(Batters[[#All],[First]],MATCH(Table5[[#This Row],[PID]],Batters[[#All],[PID]],0)),INDEX(Table3[[#All],[First]],MATCH(Table5[[#This Row],[PID]],Table3[[#All],[PID]],0)))</f>
        <v>Roberto</v>
      </c>
      <c r="F449" s="52" t="str">
        <f>IF($C449="B",INDEX(Batters[[#All],[Last]],MATCH(A449,Batters[[#All],[PID]],0)),INDEX(Table3[[#All],[Last]],MATCH(A449,Table3[[#All],[PID]],0)))</f>
        <v>Padilla</v>
      </c>
      <c r="G449" s="58">
        <f>IF($C449="B",INDEX(Batters[[#All],[Age]],MATCH(Table5[[#This Row],[PID]],Batters[[#All],[PID]],0)),INDEX(Table3[[#All],[Age]],MATCH(Table5[[#This Row],[PID]],Table3[[#All],[PID]],0)))</f>
        <v>21</v>
      </c>
      <c r="H449" s="54" t="str">
        <f>IF($C449="B",INDEX(Batters[[#All],[B]],MATCH(Table5[[#This Row],[PID]],Batters[[#All],[PID]],0)),INDEX(Table3[[#All],[B]],MATCH(Table5[[#This Row],[PID]],Table3[[#All],[PID]],0)))</f>
        <v>L</v>
      </c>
      <c r="I449" s="54" t="str">
        <f>IF($C449="B",INDEX(Batters[[#All],[T]],MATCH(Table5[[#This Row],[PID]],Batters[[#All],[PID]],0)),INDEX(Table3[[#All],[T]],MATCH(Table5[[#This Row],[PID]],Table3[[#All],[PID]],0)))</f>
        <v>R</v>
      </c>
      <c r="J449" s="54" t="str">
        <f>IF($C449="B",INDEX(Batters[[#All],[WE]],MATCH(Table5[[#This Row],[PID]],Batters[[#All],[PID]],0)),INDEX(Table3[[#All],[WE]],MATCH(Table5[[#This Row],[PID]],Table3[[#All],[PID]],0)))</f>
        <v>Low</v>
      </c>
      <c r="K449" s="54" t="str">
        <f>IF($C449="B",INDEX(Batters[[#All],[INT]],MATCH(Table5[[#This Row],[PID]],Batters[[#All],[PID]],0)),INDEX(Table3[[#All],[INT]],MATCH(Table5[[#This Row],[PID]],Table3[[#All],[PID]],0)))</f>
        <v>Low</v>
      </c>
      <c r="L449" s="62">
        <f>IF($C449="B",INDEX(Batters[[#All],[CON P]],MATCH(Table5[[#This Row],[PID]],Batters[[#All],[PID]],0)),INDEX(Table3[[#All],[STU P]],MATCH(Table5[[#This Row],[PID]],Table3[[#All],[PID]],0)))</f>
        <v>4</v>
      </c>
      <c r="M449" s="58">
        <f>IF($C449="B",INDEX(Batters[[#All],[GAP P]],MATCH(Table5[[#This Row],[PID]],Batters[[#All],[PID]],0)),INDEX(Table3[[#All],[MOV P]],MATCH(Table5[[#This Row],[PID]],Table3[[#All],[PID]],0)))</f>
        <v>4</v>
      </c>
      <c r="N449" s="58">
        <f>IF($C449="B",INDEX(Batters[[#All],[POW P]],MATCH(Table5[[#This Row],[PID]],Batters[[#All],[PID]],0)),INDEX(Table3[[#All],[CON P]],MATCH(Table5[[#This Row],[PID]],Table3[[#All],[PID]],0)))</f>
        <v>2</v>
      </c>
      <c r="O449" s="58">
        <f>IF($C449="B",INDEX(Batters[[#All],[EYE P]],MATCH(Table5[[#This Row],[PID]],Batters[[#All],[PID]],0)),INDEX(Table3[[#All],[VELO]],MATCH(Table5[[#This Row],[PID]],Table3[[#All],[PID]],0)))</f>
        <v>4</v>
      </c>
      <c r="P449" s="58">
        <f>IF($C449="B",INDEX(Batters[[#All],[K P]],MATCH(Table5[[#This Row],[PID]],Batters[[#All],[PID]],0)),INDEX(Table3[[#All],[STM]],MATCH(Table5[[#This Row],[PID]],Table3[[#All],[PID]],0)))</f>
        <v>4</v>
      </c>
      <c r="Q449" s="63">
        <f>IF($C449="B",INDEX(Batters[[#All],[Tot]],MATCH(Table5[[#This Row],[PID]],Batters[[#All],[PID]],0)),INDEX(Table3[[#All],[Tot]],MATCH(Table5[[#This Row],[PID]],Table3[[#All],[PID]],0)))</f>
        <v>40.13476076431926</v>
      </c>
      <c r="R449" s="54">
        <f>IF($C449="B",INDEX(Batters[[#All],[zScore]],MATCH(Table5[[#This Row],[PID]],Batters[[#All],[PID]],0)),INDEX(Table3[[#All],[zScore]],MATCH(Table5[[#This Row],[PID]],Table3[[#All],[PID]],0)))</f>
        <v>-3.7561547290448867E-2</v>
      </c>
      <c r="S449" s="60" t="str">
        <f>IF($C449="B",INDEX(Batters[[#All],[DEM]],MATCH(Table5[[#This Row],[PID]],Batters[[#All],[PID]],0)),INDEX(Table3[[#All],[DEM]],MATCH(Table5[[#This Row],[PID]],Table3[[#All],[PID]],0)))</f>
        <v>$160k</v>
      </c>
      <c r="T449" s="64">
        <f>IF($C449="B",VLOOKUP($A449,Bat!$A$4:$AU$1417,46,FALSE),VLOOKUP($A449,Pit!$A$4:$BD$570,55,FALSE))</f>
        <v>0</v>
      </c>
      <c r="U449" s="52">
        <f>IF($C449="B",VLOOKUP($A449,Bat!$A$4:$BA$1417,47,FALSE),VLOOKUP($A449,Pit!$A$4:$BF$570,56,FALSE))</f>
        <v>0</v>
      </c>
      <c r="V449" s="52">
        <f>IF($C449="B",VLOOKUP($A449,Bat!$A$4:$BA$1417,48,FALSE),VLOOKUP($A449,Pit!$A$4:$BF$570,57,FALSE))</f>
        <v>0</v>
      </c>
      <c r="W449" s="52">
        <f>Table5[[#This Row],[posRnk]]+Table5[[#This Row],[zRnk]]+IF($W$3&lt;&gt;Table5[[#This Row],[Type]],50,0)</f>
        <v>495</v>
      </c>
      <c r="X449" s="53">
        <f>RANK(Table5[[#This Row],[zScore]],Table5[[#All],[zScore]])</f>
        <v>445</v>
      </c>
      <c r="Y449" s="52" t="str">
        <f>IFERROR(INDEX(DraftResults[[#All],[OVR]],MATCH(Table5[[#This Row],[PID]],DraftResults[[#All],[Player ID]],0)),"")</f>
        <v/>
      </c>
      <c r="Z4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9" s="52" t="str">
        <f>IFERROR(INDEX(DraftResults[[#All],[Pick in Round]],MATCH(Table5[[#This Row],[PID]],DraftResults[[#All],[Player ID]],0)),"")</f>
        <v/>
      </c>
      <c r="AB449" s="52" t="str">
        <f>IFERROR(INDEX(DraftResults[[#All],[Team Name]],MATCH(Table5[[#This Row],[PID]],DraftResults[[#All],[Player ID]],0)),"")</f>
        <v/>
      </c>
      <c r="AC449" s="52" t="str">
        <f>IF(Table5[[#This Row],[Ovr]]="","",IF(Table5[[#This Row],[cmbList]]="","",Table5[[#This Row],[cmbList]]-Table5[[#This Row],[Ovr]]))</f>
        <v/>
      </c>
      <c r="AD449" s="56" t="str">
        <f>IF(ISERROR(VLOOKUP($AB449&amp;"-"&amp;$E449&amp;" "&amp;F449,Bonuses!$B$1:$G$1006,4,FALSE)),"",INT(VLOOKUP($AB449&amp;"-"&amp;$E449&amp;" "&amp;$F449,Bonuses!$B$1:$G$1006,4,FALSE)))</f>
        <v/>
      </c>
      <c r="AE4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0" spans="1:31" s="52" customFormat="1" x14ac:dyDescent="0.25">
      <c r="A450" s="52">
        <v>9352</v>
      </c>
      <c r="B450" s="52">
        <f>COUNTIF(Table5[PID],A450)</f>
        <v>1</v>
      </c>
      <c r="C450" s="52" t="str">
        <f>IF(COUNTIF(Table3[[#All],[PID]],A450)&gt;0,"P","B")</f>
        <v>B</v>
      </c>
      <c r="D450" s="61" t="str">
        <f>IF($C450="B",INDEX(Batters[[#All],[POS]],MATCH(Table5[[#This Row],[PID]],Batters[[#All],[PID]],0)),INDEX(Table3[[#All],[POS]],MATCH(Table5[[#This Row],[PID]],Table3[[#All],[PID]],0)))</f>
        <v>LF</v>
      </c>
      <c r="E450" s="54" t="str">
        <f>IF($C450="B",INDEX(Batters[[#All],[First]],MATCH(Table5[[#This Row],[PID]],Batters[[#All],[PID]],0)),INDEX(Table3[[#All],[First]],MATCH(Table5[[#This Row],[PID]],Table3[[#All],[PID]],0)))</f>
        <v>Jamie</v>
      </c>
      <c r="F450" s="52" t="str">
        <f>IF($C450="B",INDEX(Batters[[#All],[Last]],MATCH(A450,Batters[[#All],[PID]],0)),INDEX(Table3[[#All],[Last]],MATCH(A450,Table3[[#All],[PID]],0)))</f>
        <v>Benjamin</v>
      </c>
      <c r="G450" s="58">
        <f>IF($C450="B",INDEX(Batters[[#All],[Age]],MATCH(Table5[[#This Row],[PID]],Batters[[#All],[PID]],0)),INDEX(Table3[[#All],[Age]],MATCH(Table5[[#This Row],[PID]],Table3[[#All],[PID]],0)))</f>
        <v>21</v>
      </c>
      <c r="H450" s="54" t="str">
        <f>IF($C450="B",INDEX(Batters[[#All],[B]],MATCH(Table5[[#This Row],[PID]],Batters[[#All],[PID]],0)),INDEX(Table3[[#All],[B]],MATCH(Table5[[#This Row],[PID]],Table3[[#All],[PID]],0)))</f>
        <v>R</v>
      </c>
      <c r="I450" s="54" t="str">
        <f>IF($C450="B",INDEX(Batters[[#All],[T]],MATCH(Table5[[#This Row],[PID]],Batters[[#All],[PID]],0)),INDEX(Table3[[#All],[T]],MATCH(Table5[[#This Row],[PID]],Table3[[#All],[PID]],0)))</f>
        <v>R</v>
      </c>
      <c r="J450" s="54" t="str">
        <f>IF($C450="B",INDEX(Batters[[#All],[WE]],MATCH(Table5[[#This Row],[PID]],Batters[[#All],[PID]],0)),INDEX(Table3[[#All],[WE]],MATCH(Table5[[#This Row],[PID]],Table3[[#All],[PID]],0)))</f>
        <v>Low</v>
      </c>
      <c r="K450" s="54" t="str">
        <f>IF($C450="B",INDEX(Batters[[#All],[INT]],MATCH(Table5[[#This Row],[PID]],Batters[[#All],[PID]],0)),INDEX(Table3[[#All],[INT]],MATCH(Table5[[#This Row],[PID]],Table3[[#All],[PID]],0)))</f>
        <v>Normal</v>
      </c>
      <c r="L450" s="62">
        <f>IF($C450="B",INDEX(Batters[[#All],[CON P]],MATCH(Table5[[#This Row],[PID]],Batters[[#All],[PID]],0)),INDEX(Table3[[#All],[STU P]],MATCH(Table5[[#This Row],[PID]],Table3[[#All],[PID]],0)))</f>
        <v>4</v>
      </c>
      <c r="M450" s="58">
        <f>IF($C450="B",INDEX(Batters[[#All],[GAP P]],MATCH(Table5[[#This Row],[PID]],Batters[[#All],[PID]],0)),INDEX(Table3[[#All],[MOV P]],MATCH(Table5[[#This Row],[PID]],Table3[[#All],[PID]],0)))</f>
        <v>3</v>
      </c>
      <c r="N450" s="58">
        <f>IF($C450="B",INDEX(Batters[[#All],[POW P]],MATCH(Table5[[#This Row],[PID]],Batters[[#All],[PID]],0)),INDEX(Table3[[#All],[CON P]],MATCH(Table5[[#This Row],[PID]],Table3[[#All],[PID]],0)))</f>
        <v>3</v>
      </c>
      <c r="O450" s="58">
        <f>IF($C450="B",INDEX(Batters[[#All],[EYE P]],MATCH(Table5[[#This Row],[PID]],Batters[[#All],[PID]],0)),INDEX(Table3[[#All],[VELO]],MATCH(Table5[[#This Row],[PID]],Table3[[#All],[PID]],0)))</f>
        <v>5</v>
      </c>
      <c r="P450" s="58">
        <f>IF($C450="B",INDEX(Batters[[#All],[K P]],MATCH(Table5[[#This Row],[PID]],Batters[[#All],[PID]],0)),INDEX(Table3[[#All],[STM]],MATCH(Table5[[#This Row],[PID]],Table3[[#All],[PID]],0)))</f>
        <v>4</v>
      </c>
      <c r="Q450" s="63">
        <f>IF($C450="B",INDEX(Batters[[#All],[Tot]],MATCH(Table5[[#This Row],[PID]],Batters[[#All],[PID]],0)),INDEX(Table3[[#All],[Tot]],MATCH(Table5[[#This Row],[PID]],Table3[[#All],[PID]],0)))</f>
        <v>40.132185481371323</v>
      </c>
      <c r="R450" s="54">
        <f>IF($C450="B",INDEX(Batters[[#All],[zScore]],MATCH(Table5[[#This Row],[PID]],Batters[[#All],[PID]],0)),INDEX(Table3[[#All],[zScore]],MATCH(Table5[[#This Row],[PID]],Table3[[#All],[PID]],0)))</f>
        <v>-3.8014651209026681E-2</v>
      </c>
      <c r="S450" s="60" t="str">
        <f>IF($C450="B",INDEX(Batters[[#All],[DEM]],MATCH(Table5[[#This Row],[PID]],Batters[[#All],[PID]],0)),INDEX(Table3[[#All],[DEM]],MATCH(Table5[[#This Row],[PID]],Table3[[#All],[PID]],0)))</f>
        <v>-</v>
      </c>
      <c r="T450" s="64">
        <f>IF($C450="B",VLOOKUP($A450,Bat!$A$4:$AU$1417,46,FALSE),VLOOKUP($A450,Pit!$A$4:$BD$570,55,FALSE))</f>
        <v>0</v>
      </c>
      <c r="U450" s="52">
        <f>IF($C450="B",VLOOKUP($A450,Bat!$A$4:$BA$1417,47,FALSE),VLOOKUP($A450,Pit!$A$4:$BF$570,56,FALSE))</f>
        <v>0</v>
      </c>
      <c r="V450" s="52">
        <f>IF($C450="B",VLOOKUP($A450,Bat!$A$4:$BA$1417,48,FALSE),VLOOKUP($A450,Pit!$A$4:$BF$570,57,FALSE))</f>
        <v>0</v>
      </c>
      <c r="W450" s="52">
        <f>Table5[[#This Row],[posRnk]]+Table5[[#This Row],[zRnk]]+IF($W$3&lt;&gt;Table5[[#This Row],[Type]],50,0)</f>
        <v>496</v>
      </c>
      <c r="X450" s="53">
        <f>RANK(Table5[[#This Row],[zScore]],Table5[[#All],[zScore]])</f>
        <v>446</v>
      </c>
      <c r="Y450" s="52" t="str">
        <f>IFERROR(INDEX(DraftResults[[#All],[OVR]],MATCH(Table5[[#This Row],[PID]],DraftResults[[#All],[Player ID]],0)),"")</f>
        <v/>
      </c>
      <c r="Z4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0" s="52" t="str">
        <f>IFERROR(INDEX(DraftResults[[#All],[Pick in Round]],MATCH(Table5[[#This Row],[PID]],DraftResults[[#All],[Player ID]],0)),"")</f>
        <v/>
      </c>
      <c r="AB450" s="52" t="str">
        <f>IFERROR(INDEX(DraftResults[[#All],[Team Name]],MATCH(Table5[[#This Row],[PID]],DraftResults[[#All],[Player ID]],0)),"")</f>
        <v/>
      </c>
      <c r="AC450" s="52" t="str">
        <f>IF(Table5[[#This Row],[Ovr]]="","",IF(Table5[[#This Row],[cmbList]]="","",Table5[[#This Row],[cmbList]]-Table5[[#This Row],[Ovr]]))</f>
        <v/>
      </c>
      <c r="AD450" s="56" t="str">
        <f>IF(ISERROR(VLOOKUP($AB450&amp;"-"&amp;$E450&amp;" "&amp;F450,Bonuses!$B$1:$G$1006,4,FALSE)),"",INT(VLOOKUP($AB450&amp;"-"&amp;$E450&amp;" "&amp;$F450,Bonuses!$B$1:$G$1006,4,FALSE)))</f>
        <v/>
      </c>
      <c r="AE4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1" spans="1:31" s="52" customFormat="1" x14ac:dyDescent="0.25">
      <c r="A451" s="52">
        <v>12447</v>
      </c>
      <c r="B451" s="52">
        <f>COUNTIF(Table5[PID],A451)</f>
        <v>1</v>
      </c>
      <c r="C451" s="52" t="str">
        <f>IF(COUNTIF(Table3[[#All],[PID]],A451)&gt;0,"P","B")</f>
        <v>B</v>
      </c>
      <c r="D451" s="61" t="str">
        <f>IF($C451="B",INDEX(Batters[[#All],[POS]],MATCH(Table5[[#This Row],[PID]],Batters[[#All],[PID]],0)),INDEX(Table3[[#All],[POS]],MATCH(Table5[[#This Row],[PID]],Table3[[#All],[PID]],0)))</f>
        <v>CF</v>
      </c>
      <c r="E451" s="54" t="str">
        <f>IF($C451="B",INDEX(Batters[[#All],[First]],MATCH(Table5[[#This Row],[PID]],Batters[[#All],[PID]],0)),INDEX(Table3[[#All],[First]],MATCH(Table5[[#This Row],[PID]],Table3[[#All],[PID]],0)))</f>
        <v>Felipe</v>
      </c>
      <c r="F451" s="52" t="str">
        <f>IF($C451="B",INDEX(Batters[[#All],[Last]],MATCH(A451,Batters[[#All],[PID]],0)),INDEX(Table3[[#All],[Last]],MATCH(A451,Table3[[#All],[PID]],0)))</f>
        <v>Ramírez</v>
      </c>
      <c r="G451" s="58">
        <f>IF($C451="B",INDEX(Batters[[#All],[Age]],MATCH(Table5[[#This Row],[PID]],Batters[[#All],[PID]],0)),INDEX(Table3[[#All],[Age]],MATCH(Table5[[#This Row],[PID]],Table3[[#All],[PID]],0)))</f>
        <v>21</v>
      </c>
      <c r="H451" s="54" t="str">
        <f>IF($C451="B",INDEX(Batters[[#All],[B]],MATCH(Table5[[#This Row],[PID]],Batters[[#All],[PID]],0)),INDEX(Table3[[#All],[B]],MATCH(Table5[[#This Row],[PID]],Table3[[#All],[PID]],0)))</f>
        <v>S</v>
      </c>
      <c r="I451" s="54" t="str">
        <f>IF($C451="B",INDEX(Batters[[#All],[T]],MATCH(Table5[[#This Row],[PID]],Batters[[#All],[PID]],0)),INDEX(Table3[[#All],[T]],MATCH(Table5[[#This Row],[PID]],Table3[[#All],[PID]],0)))</f>
        <v>R</v>
      </c>
      <c r="J451" s="54" t="str">
        <f>IF($C451="B",INDEX(Batters[[#All],[WE]],MATCH(Table5[[#This Row],[PID]],Batters[[#All],[PID]],0)),INDEX(Table3[[#All],[WE]],MATCH(Table5[[#This Row],[PID]],Table3[[#All],[PID]],0)))</f>
        <v>Low</v>
      </c>
      <c r="K451" s="54" t="str">
        <f>IF($C451="B",INDEX(Batters[[#All],[INT]],MATCH(Table5[[#This Row],[PID]],Batters[[#All],[PID]],0)),INDEX(Table3[[#All],[INT]],MATCH(Table5[[#This Row],[PID]],Table3[[#All],[PID]],0)))</f>
        <v>Normal</v>
      </c>
      <c r="L451" s="62">
        <f>IF($C451="B",INDEX(Batters[[#All],[CON P]],MATCH(Table5[[#This Row],[PID]],Batters[[#All],[PID]],0)),INDEX(Table3[[#All],[STU P]],MATCH(Table5[[#This Row],[PID]],Table3[[#All],[PID]],0)))</f>
        <v>4</v>
      </c>
      <c r="M451" s="58">
        <f>IF($C451="B",INDEX(Batters[[#All],[GAP P]],MATCH(Table5[[#This Row],[PID]],Batters[[#All],[PID]],0)),INDEX(Table3[[#All],[MOV P]],MATCH(Table5[[#This Row],[PID]],Table3[[#All],[PID]],0)))</f>
        <v>3</v>
      </c>
      <c r="N451" s="58">
        <f>IF($C451="B",INDEX(Batters[[#All],[POW P]],MATCH(Table5[[#This Row],[PID]],Batters[[#All],[PID]],0)),INDEX(Table3[[#All],[CON P]],MATCH(Table5[[#This Row],[PID]],Table3[[#All],[PID]],0)))</f>
        <v>2</v>
      </c>
      <c r="O451" s="58">
        <f>IF($C451="B",INDEX(Batters[[#All],[EYE P]],MATCH(Table5[[#This Row],[PID]],Batters[[#All],[PID]],0)),INDEX(Table3[[#All],[VELO]],MATCH(Table5[[#This Row],[PID]],Table3[[#All],[PID]],0)))</f>
        <v>5</v>
      </c>
      <c r="P451" s="58">
        <f>IF($C451="B",INDEX(Batters[[#All],[K P]],MATCH(Table5[[#This Row],[PID]],Batters[[#All],[PID]],0)),INDEX(Table3[[#All],[STM]],MATCH(Table5[[#This Row],[PID]],Table3[[#All],[PID]],0)))</f>
        <v>4</v>
      </c>
      <c r="Q451" s="63">
        <f>IF($C451="B",INDEX(Batters[[#All],[Tot]],MATCH(Table5[[#This Row],[PID]],Batters[[#All],[PID]],0)),INDEX(Table3[[#All],[Tot]],MATCH(Table5[[#This Row],[PID]],Table3[[#All],[PID]],0)))</f>
        <v>40.094889335592889</v>
      </c>
      <c r="R451" s="54">
        <f>IF($C451="B",INDEX(Batters[[#All],[zScore]],MATCH(Table5[[#This Row],[PID]],Batters[[#All],[PID]],0)),INDEX(Table3[[#All],[zScore]],MATCH(Table5[[#This Row],[PID]],Table3[[#All],[PID]],0)))</f>
        <v>-4.4576660177242523E-2</v>
      </c>
      <c r="S451" s="60" t="str">
        <f>IF($C451="B",INDEX(Batters[[#All],[DEM]],MATCH(Table5[[#This Row],[PID]],Batters[[#All],[PID]],0)),INDEX(Table3[[#All],[DEM]],MATCH(Table5[[#This Row],[PID]],Table3[[#All],[PID]],0)))</f>
        <v>-</v>
      </c>
      <c r="T451" s="64">
        <f>IF($C451="B",VLOOKUP($A451,Bat!$A$4:$AU$1417,46,FALSE),VLOOKUP($A451,Pit!$A$4:$BD$570,55,FALSE))</f>
        <v>0</v>
      </c>
      <c r="U451" s="52">
        <f>IF($C451="B",VLOOKUP($A451,Bat!$A$4:$BA$1417,47,FALSE),VLOOKUP($A451,Pit!$A$4:$BF$570,56,FALSE))</f>
        <v>0</v>
      </c>
      <c r="V451" s="52">
        <f>IF($C451="B",VLOOKUP($A451,Bat!$A$4:$BA$1417,48,FALSE),VLOOKUP($A451,Pit!$A$4:$BF$570,57,FALSE))</f>
        <v>0</v>
      </c>
      <c r="W451" s="52">
        <f>Table5[[#This Row],[posRnk]]+Table5[[#This Row],[zRnk]]+IF($W$3&lt;&gt;Table5[[#This Row],[Type]],50,0)</f>
        <v>497</v>
      </c>
      <c r="X451" s="53">
        <f>RANK(Table5[[#This Row],[zScore]],Table5[[#All],[zScore]])</f>
        <v>447</v>
      </c>
      <c r="Y451" s="52" t="str">
        <f>IFERROR(INDEX(DraftResults[[#All],[OVR]],MATCH(Table5[[#This Row],[PID]],DraftResults[[#All],[Player ID]],0)),"")</f>
        <v/>
      </c>
      <c r="Z4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1" s="52" t="str">
        <f>IFERROR(INDEX(DraftResults[[#All],[Pick in Round]],MATCH(Table5[[#This Row],[PID]],DraftResults[[#All],[Player ID]],0)),"")</f>
        <v/>
      </c>
      <c r="AB451" s="52" t="str">
        <f>IFERROR(INDEX(DraftResults[[#All],[Team Name]],MATCH(Table5[[#This Row],[PID]],DraftResults[[#All],[Player ID]],0)),"")</f>
        <v/>
      </c>
      <c r="AC451" s="52" t="str">
        <f>IF(Table5[[#This Row],[Ovr]]="","",IF(Table5[[#This Row],[cmbList]]="","",Table5[[#This Row],[cmbList]]-Table5[[#This Row],[Ovr]]))</f>
        <v/>
      </c>
      <c r="AD451" s="56" t="str">
        <f>IF(ISERROR(VLOOKUP($AB451&amp;"-"&amp;$E451&amp;" "&amp;F451,Bonuses!$B$1:$G$1006,4,FALSE)),"",INT(VLOOKUP($AB451&amp;"-"&amp;$E451&amp;" "&amp;$F451,Bonuses!$B$1:$G$1006,4,FALSE)))</f>
        <v/>
      </c>
      <c r="AE4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2" spans="1:31" s="52" customFormat="1" x14ac:dyDescent="0.25">
      <c r="A452" s="52">
        <v>8013</v>
      </c>
      <c r="B452" s="52">
        <f>COUNTIF(Table5[PID],A452)</f>
        <v>1</v>
      </c>
      <c r="C452" s="52" t="str">
        <f>IF(COUNTIF(Table3[[#All],[PID]],A452)&gt;0,"P","B")</f>
        <v>B</v>
      </c>
      <c r="D452" s="61" t="str">
        <f>IF($C452="B",INDEX(Batters[[#All],[POS]],MATCH(Table5[[#This Row],[PID]],Batters[[#All],[PID]],0)),INDEX(Table3[[#All],[POS]],MATCH(Table5[[#This Row],[PID]],Table3[[#All],[PID]],0)))</f>
        <v>1B</v>
      </c>
      <c r="E452" s="54" t="str">
        <f>IF($C452="B",INDEX(Batters[[#All],[First]],MATCH(Table5[[#This Row],[PID]],Batters[[#All],[PID]],0)),INDEX(Table3[[#All],[First]],MATCH(Table5[[#This Row],[PID]],Table3[[#All],[PID]],0)))</f>
        <v>John</v>
      </c>
      <c r="F452" s="52" t="str">
        <f>IF($C452="B",INDEX(Batters[[#All],[Last]],MATCH(A452,Batters[[#All],[PID]],0)),INDEX(Table3[[#All],[Last]],MATCH(A452,Table3[[#All],[PID]],0)))</f>
        <v>Mason</v>
      </c>
      <c r="G452" s="58">
        <f>IF($C452="B",INDEX(Batters[[#All],[Age]],MATCH(Table5[[#This Row],[PID]],Batters[[#All],[PID]],0)),INDEX(Table3[[#All],[Age]],MATCH(Table5[[#This Row],[PID]],Table3[[#All],[PID]],0)))</f>
        <v>18</v>
      </c>
      <c r="H452" s="54" t="str">
        <f>IF($C452="B",INDEX(Batters[[#All],[B]],MATCH(Table5[[#This Row],[PID]],Batters[[#All],[PID]],0)),INDEX(Table3[[#All],[B]],MATCH(Table5[[#This Row],[PID]],Table3[[#All],[PID]],0)))</f>
        <v>R</v>
      </c>
      <c r="I452" s="54" t="str">
        <f>IF($C452="B",INDEX(Batters[[#All],[T]],MATCH(Table5[[#This Row],[PID]],Batters[[#All],[PID]],0)),INDEX(Table3[[#All],[T]],MATCH(Table5[[#This Row],[PID]],Table3[[#All],[PID]],0)))</f>
        <v>R</v>
      </c>
      <c r="J452" s="54" t="str">
        <f>IF($C452="B",INDEX(Batters[[#All],[WE]],MATCH(Table5[[#This Row],[PID]],Batters[[#All],[PID]],0)),INDEX(Table3[[#All],[WE]],MATCH(Table5[[#This Row],[PID]],Table3[[#All],[PID]],0)))</f>
        <v>Normal</v>
      </c>
      <c r="K452" s="54" t="str">
        <f>IF($C452="B",INDEX(Batters[[#All],[INT]],MATCH(Table5[[#This Row],[PID]],Batters[[#All],[PID]],0)),INDEX(Table3[[#All],[INT]],MATCH(Table5[[#This Row],[PID]],Table3[[#All],[PID]],0)))</f>
        <v>Normal</v>
      </c>
      <c r="L452" s="62">
        <f>IF($C452="B",INDEX(Batters[[#All],[CON P]],MATCH(Table5[[#This Row],[PID]],Batters[[#All],[PID]],0)),INDEX(Table3[[#All],[STU P]],MATCH(Table5[[#This Row],[PID]],Table3[[#All],[PID]],0)))</f>
        <v>3</v>
      </c>
      <c r="M452" s="58">
        <f>IF($C452="B",INDEX(Batters[[#All],[GAP P]],MATCH(Table5[[#This Row],[PID]],Batters[[#All],[PID]],0)),INDEX(Table3[[#All],[MOV P]],MATCH(Table5[[#This Row],[PID]],Table3[[#All],[PID]],0)))</f>
        <v>4</v>
      </c>
      <c r="N452" s="58">
        <f>IF($C452="B",INDEX(Batters[[#All],[POW P]],MATCH(Table5[[#This Row],[PID]],Batters[[#All],[PID]],0)),INDEX(Table3[[#All],[CON P]],MATCH(Table5[[#This Row],[PID]],Table3[[#All],[PID]],0)))</f>
        <v>3</v>
      </c>
      <c r="O452" s="58">
        <f>IF($C452="B",INDEX(Batters[[#All],[EYE P]],MATCH(Table5[[#This Row],[PID]],Batters[[#All],[PID]],0)),INDEX(Table3[[#All],[VELO]],MATCH(Table5[[#This Row],[PID]],Table3[[#All],[PID]],0)))</f>
        <v>4</v>
      </c>
      <c r="P452" s="58">
        <f>IF($C452="B",INDEX(Batters[[#All],[K P]],MATCH(Table5[[#This Row],[PID]],Batters[[#All],[PID]],0)),INDEX(Table3[[#All],[STM]],MATCH(Table5[[#This Row],[PID]],Table3[[#All],[PID]],0)))</f>
        <v>2</v>
      </c>
      <c r="Q452" s="63">
        <f>IF($C452="B",INDEX(Batters[[#All],[Tot]],MATCH(Table5[[#This Row],[PID]],Batters[[#All],[PID]],0)),INDEX(Table3[[#All],[Tot]],MATCH(Table5[[#This Row],[PID]],Table3[[#All],[PID]],0)))</f>
        <v>40.070463086349847</v>
      </c>
      <c r="R452" s="54">
        <f>IF($C452="B",INDEX(Batters[[#All],[zScore]],MATCH(Table5[[#This Row],[PID]],Batters[[#All],[PID]],0)),INDEX(Table3[[#All],[zScore]],MATCH(Table5[[#This Row],[PID]],Table3[[#All],[PID]],0)))</f>
        <v>-4.8874296387292966E-2</v>
      </c>
      <c r="S452" s="60" t="str">
        <f>IF($C452="B",INDEX(Batters[[#All],[DEM]],MATCH(Table5[[#This Row],[PID]],Batters[[#All],[PID]],0)),INDEX(Table3[[#All],[DEM]],MATCH(Table5[[#This Row],[PID]],Table3[[#All],[PID]],0)))</f>
        <v>$85k</v>
      </c>
      <c r="T452" s="64">
        <f>IF($C452="B",VLOOKUP($A452,Bat!$A$4:$AU$1417,46,FALSE),VLOOKUP($A452,Pit!$A$4:$BD$570,55,FALSE))</f>
        <v>0</v>
      </c>
      <c r="U452" s="52">
        <f>IF($C452="B",VLOOKUP($A452,Bat!$A$4:$BA$1417,47,FALSE),VLOOKUP($A452,Pit!$A$4:$BF$570,56,FALSE))</f>
        <v>0</v>
      </c>
      <c r="V452" s="52">
        <f>IF($C452="B",VLOOKUP($A452,Bat!$A$4:$BA$1417,48,FALSE),VLOOKUP($A452,Pit!$A$4:$BF$570,57,FALSE))</f>
        <v>0</v>
      </c>
      <c r="W452" s="52">
        <f>Table5[[#This Row],[posRnk]]+Table5[[#This Row],[zRnk]]+IF($W$3&lt;&gt;Table5[[#This Row],[Type]],50,0)</f>
        <v>498</v>
      </c>
      <c r="X452" s="53">
        <f>RANK(Table5[[#This Row],[zScore]],Table5[[#All],[zScore]])</f>
        <v>448</v>
      </c>
      <c r="Y452" s="52" t="str">
        <f>IFERROR(INDEX(DraftResults[[#All],[OVR]],MATCH(Table5[[#This Row],[PID]],DraftResults[[#All],[Player ID]],0)),"")</f>
        <v/>
      </c>
      <c r="Z4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2" s="52" t="str">
        <f>IFERROR(INDEX(DraftResults[[#All],[Pick in Round]],MATCH(Table5[[#This Row],[PID]],DraftResults[[#All],[Player ID]],0)),"")</f>
        <v/>
      </c>
      <c r="AB452" s="52" t="str">
        <f>IFERROR(INDEX(DraftResults[[#All],[Team Name]],MATCH(Table5[[#This Row],[PID]],DraftResults[[#All],[Player ID]],0)),"")</f>
        <v/>
      </c>
      <c r="AC452" s="52" t="str">
        <f>IF(Table5[[#This Row],[Ovr]]="","",IF(Table5[[#This Row],[cmbList]]="","",Table5[[#This Row],[cmbList]]-Table5[[#This Row],[Ovr]]))</f>
        <v/>
      </c>
      <c r="AD452" s="56" t="str">
        <f>IF(ISERROR(VLOOKUP($AB452&amp;"-"&amp;$E452&amp;" "&amp;F452,Bonuses!$B$1:$G$1006,4,FALSE)),"",INT(VLOOKUP($AB452&amp;"-"&amp;$E452&amp;" "&amp;$F452,Bonuses!$B$1:$G$1006,4,FALSE)))</f>
        <v/>
      </c>
      <c r="AE4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3" spans="1:31" s="52" customFormat="1" x14ac:dyDescent="0.25">
      <c r="A453" s="52">
        <v>6925</v>
      </c>
      <c r="B453" s="52">
        <f>COUNTIF(Table5[PID],A453)</f>
        <v>1</v>
      </c>
      <c r="C453" s="52" t="str">
        <f>IF(COUNTIF(Table3[[#All],[PID]],A453)&gt;0,"P","B")</f>
        <v>P</v>
      </c>
      <c r="D453" s="61" t="str">
        <f>IF($C453="B",INDEX(Batters[[#All],[POS]],MATCH(Table5[[#This Row],[PID]],Batters[[#All],[PID]],0)),INDEX(Table3[[#All],[POS]],MATCH(Table5[[#This Row],[PID]],Table3[[#All],[PID]],0)))</f>
        <v>SP</v>
      </c>
      <c r="E453" s="54" t="str">
        <f>IF($C453="B",INDEX(Batters[[#All],[First]],MATCH(Table5[[#This Row],[PID]],Batters[[#All],[PID]],0)),INDEX(Table3[[#All],[First]],MATCH(Table5[[#This Row],[PID]],Table3[[#All],[PID]],0)))</f>
        <v>Shintaro</v>
      </c>
      <c r="F453" s="52" t="str">
        <f>IF($C453="B",INDEX(Batters[[#All],[Last]],MATCH(A453,Batters[[#All],[PID]],0)),INDEX(Table3[[#All],[Last]],MATCH(A453,Table3[[#All],[PID]],0)))</f>
        <v>Kichida</v>
      </c>
      <c r="G453" s="58">
        <f>IF($C453="B",INDEX(Batters[[#All],[Age]],MATCH(Table5[[#This Row],[PID]],Batters[[#All],[PID]],0)),INDEX(Table3[[#All],[Age]],MATCH(Table5[[#This Row],[PID]],Table3[[#All],[PID]],0)))</f>
        <v>21</v>
      </c>
      <c r="H453" s="54" t="str">
        <f>IF($C453="B",INDEX(Batters[[#All],[B]],MATCH(Table5[[#This Row],[PID]],Batters[[#All],[PID]],0)),INDEX(Table3[[#All],[B]],MATCH(Table5[[#This Row],[PID]],Table3[[#All],[PID]],0)))</f>
        <v>R</v>
      </c>
      <c r="I453" s="54" t="str">
        <f>IF($C453="B",INDEX(Batters[[#All],[T]],MATCH(Table5[[#This Row],[PID]],Batters[[#All],[PID]],0)),INDEX(Table3[[#All],[T]],MATCH(Table5[[#This Row],[PID]],Table3[[#All],[PID]],0)))</f>
        <v>R</v>
      </c>
      <c r="J453" s="54" t="str">
        <f>IF($C453="B",INDEX(Batters[[#All],[WE]],MATCH(Table5[[#This Row],[PID]],Batters[[#All],[PID]],0)),INDEX(Table3[[#All],[WE]],MATCH(Table5[[#This Row],[PID]],Table3[[#All],[PID]],0)))</f>
        <v>Normal</v>
      </c>
      <c r="K453" s="54" t="str">
        <f>IF($C453="B",INDEX(Batters[[#All],[INT]],MATCH(Table5[[#This Row],[PID]],Batters[[#All],[PID]],0)),INDEX(Table3[[#All],[INT]],MATCH(Table5[[#This Row],[PID]],Table3[[#All],[PID]],0)))</f>
        <v>Normal</v>
      </c>
      <c r="L453" s="62">
        <f>IF($C453="B",INDEX(Batters[[#All],[CON P]],MATCH(Table5[[#This Row],[PID]],Batters[[#All],[PID]],0)),INDEX(Table3[[#All],[STU P]],MATCH(Table5[[#This Row],[PID]],Table3[[#All],[PID]],0)))</f>
        <v>4</v>
      </c>
      <c r="M453" s="58">
        <f>IF($C453="B",INDEX(Batters[[#All],[GAP P]],MATCH(Table5[[#This Row],[PID]],Batters[[#All],[PID]],0)),INDEX(Table3[[#All],[MOV P]],MATCH(Table5[[#This Row],[PID]],Table3[[#All],[PID]],0)))</f>
        <v>3</v>
      </c>
      <c r="N453" s="58">
        <f>IF($C453="B",INDEX(Batters[[#All],[POW P]],MATCH(Table5[[#This Row],[PID]],Batters[[#All],[PID]],0)),INDEX(Table3[[#All],[CON P]],MATCH(Table5[[#This Row],[PID]],Table3[[#All],[PID]],0)))</f>
        <v>3</v>
      </c>
      <c r="O453" s="58" t="str">
        <f>IF($C453="B",INDEX(Batters[[#All],[EYE P]],MATCH(Table5[[#This Row],[PID]],Batters[[#All],[PID]],0)),INDEX(Table3[[#All],[VELO]],MATCH(Table5[[#This Row],[PID]],Table3[[#All],[PID]],0)))</f>
        <v>91-93 Mph</v>
      </c>
      <c r="P453" s="58">
        <f>IF($C453="B",INDEX(Batters[[#All],[K P]],MATCH(Table5[[#This Row],[PID]],Batters[[#All],[PID]],0)),INDEX(Table3[[#All],[STM]],MATCH(Table5[[#This Row],[PID]],Table3[[#All],[PID]],0)))</f>
        <v>4</v>
      </c>
      <c r="Q453" s="63">
        <f>IF($C453="B",INDEX(Batters[[#All],[Tot]],MATCH(Table5[[#This Row],[PID]],Batters[[#All],[PID]],0)),INDEX(Table3[[#All],[Tot]],MATCH(Table5[[#This Row],[PID]],Table3[[#All],[PID]],0)))</f>
        <v>32.170606513363104</v>
      </c>
      <c r="R453" s="54">
        <f>IF($C453="B",INDEX(Batters[[#All],[zScore]],MATCH(Table5[[#This Row],[PID]],Batters[[#All],[PID]],0)),INDEX(Table3[[#All],[zScore]],MATCH(Table5[[#This Row],[PID]],Table3[[#All],[PID]],0)))</f>
        <v>-5.0588143819490339E-2</v>
      </c>
      <c r="S453" s="60" t="str">
        <f>IF($C453="B",INDEX(Batters[[#All],[DEM]],MATCH(Table5[[#This Row],[PID]],Batters[[#All],[PID]],0)),INDEX(Table3[[#All],[DEM]],MATCH(Table5[[#This Row],[PID]],Table3[[#All],[PID]],0)))</f>
        <v>$20k</v>
      </c>
      <c r="T453" s="64">
        <f>IF($C453="B",VLOOKUP($A453,Bat!$A$4:$AU$1417,46,FALSE),VLOOKUP($A453,Pit!$A$4:$BD$570,55,FALSE))</f>
        <v>0</v>
      </c>
      <c r="U453" s="52">
        <f>IF($C453="B",VLOOKUP($A453,Bat!$A$4:$BA$1417,47,FALSE),VLOOKUP($A453,Pit!$A$4:$BF$570,56,FALSE))</f>
        <v>0</v>
      </c>
      <c r="V453" s="52">
        <f>IF($C453="B",VLOOKUP($A453,Bat!$A$4:$BA$1417,48,FALSE),VLOOKUP($A453,Pit!$A$4:$BF$570,57,FALSE))</f>
        <v>0</v>
      </c>
      <c r="W453" s="52">
        <f>Table5[[#This Row],[posRnk]]+Table5[[#This Row],[zRnk]]+IF($W$3&lt;&gt;Table5[[#This Row],[Type]],50,0)</f>
        <v>499</v>
      </c>
      <c r="X453" s="53">
        <f>RANK(Table5[[#This Row],[zScore]],Table5[[#All],[zScore]])</f>
        <v>449</v>
      </c>
      <c r="Y453" s="52" t="str">
        <f>IFERROR(INDEX(DraftResults[[#All],[OVR]],MATCH(Table5[[#This Row],[PID]],DraftResults[[#All],[Player ID]],0)),"")</f>
        <v/>
      </c>
      <c r="Z4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3" s="52" t="str">
        <f>IFERROR(INDEX(DraftResults[[#All],[Pick in Round]],MATCH(Table5[[#This Row],[PID]],DraftResults[[#All],[Player ID]],0)),"")</f>
        <v/>
      </c>
      <c r="AB453" s="52" t="str">
        <f>IFERROR(INDEX(DraftResults[[#All],[Team Name]],MATCH(Table5[[#This Row],[PID]],DraftResults[[#All],[Player ID]],0)),"")</f>
        <v/>
      </c>
      <c r="AC453" s="52" t="str">
        <f>IF(Table5[[#This Row],[Ovr]]="","",IF(Table5[[#This Row],[cmbList]]="","",Table5[[#This Row],[cmbList]]-Table5[[#This Row],[Ovr]]))</f>
        <v/>
      </c>
      <c r="AD453" s="56" t="str">
        <f>IF(ISERROR(VLOOKUP($AB453&amp;"-"&amp;$E453&amp;" "&amp;F453,Bonuses!$B$1:$G$1006,4,FALSE)),"",INT(VLOOKUP($AB453&amp;"-"&amp;$E453&amp;" "&amp;$F453,Bonuses!$B$1:$G$1006,4,FALSE)))</f>
        <v/>
      </c>
      <c r="AE4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4" spans="1:31" s="52" customFormat="1" x14ac:dyDescent="0.25">
      <c r="A454" s="52">
        <v>6061</v>
      </c>
      <c r="B454" s="57">
        <f>COUNTIF(Table5[PID],A454)</f>
        <v>1</v>
      </c>
      <c r="C454" s="57" t="str">
        <f>IF(COUNTIF(Table3[[#All],[PID]],A454)&gt;0,"P","B")</f>
        <v>B</v>
      </c>
      <c r="D454" s="61" t="str">
        <f>IF($C454="B",INDEX(Batters[[#All],[POS]],MATCH(Table5[[#This Row],[PID]],Batters[[#All],[PID]],0)),INDEX(Table3[[#All],[POS]],MATCH(Table5[[#This Row],[PID]],Table3[[#All],[PID]],0)))</f>
        <v>RF</v>
      </c>
      <c r="E454" s="54" t="str">
        <f>IF($C454="B",INDEX(Batters[[#All],[First]],MATCH(Table5[[#This Row],[PID]],Batters[[#All],[PID]],0)),INDEX(Table3[[#All],[First]],MATCH(Table5[[#This Row],[PID]],Table3[[#All],[PID]],0)))</f>
        <v>Owen</v>
      </c>
      <c r="F454" s="52" t="str">
        <f>IF($C454="B",INDEX(Batters[[#All],[Last]],MATCH(A454,Batters[[#All],[PID]],0)),INDEX(Table3[[#All],[Last]],MATCH(A454,Table3[[#All],[PID]],0)))</f>
        <v>Dorsey</v>
      </c>
      <c r="G454" s="58">
        <f>IF($C454="B",INDEX(Batters[[#All],[Age]],MATCH(Table5[[#This Row],[PID]],Batters[[#All],[PID]],0)),INDEX(Table3[[#All],[Age]],MATCH(Table5[[#This Row],[PID]],Table3[[#All],[PID]],0)))</f>
        <v>18</v>
      </c>
      <c r="H454" s="54" t="str">
        <f>IF($C454="B",INDEX(Batters[[#All],[B]],MATCH(Table5[[#This Row],[PID]],Batters[[#All],[PID]],0)),INDEX(Table3[[#All],[B]],MATCH(Table5[[#This Row],[PID]],Table3[[#All],[PID]],0)))</f>
        <v>R</v>
      </c>
      <c r="I454" s="54" t="str">
        <f>IF($C454="B",INDEX(Batters[[#All],[T]],MATCH(Table5[[#This Row],[PID]],Batters[[#All],[PID]],0)),INDEX(Table3[[#All],[T]],MATCH(Table5[[#This Row],[PID]],Table3[[#All],[PID]],0)))</f>
        <v>L</v>
      </c>
      <c r="J454" s="54" t="str">
        <f>IF($C454="B",INDEX(Batters[[#All],[WE]],MATCH(Table5[[#This Row],[PID]],Batters[[#All],[PID]],0)),INDEX(Table3[[#All],[WE]],MATCH(Table5[[#This Row],[PID]],Table3[[#All],[PID]],0)))</f>
        <v>Normal</v>
      </c>
      <c r="K454" s="54" t="str">
        <f>IF($C454="B",INDEX(Batters[[#All],[INT]],MATCH(Table5[[#This Row],[PID]],Batters[[#All],[PID]],0)),INDEX(Table3[[#All],[INT]],MATCH(Table5[[#This Row],[PID]],Table3[[#All],[PID]],0)))</f>
        <v>Normal</v>
      </c>
      <c r="L454" s="62">
        <f>IF($C454="B",INDEX(Batters[[#All],[CON P]],MATCH(Table5[[#This Row],[PID]],Batters[[#All],[PID]],0)),INDEX(Table3[[#All],[STU P]],MATCH(Table5[[#This Row],[PID]],Table3[[#All],[PID]],0)))</f>
        <v>3</v>
      </c>
      <c r="M454" s="58">
        <f>IF($C454="B",INDEX(Batters[[#All],[GAP P]],MATCH(Table5[[#This Row],[PID]],Batters[[#All],[PID]],0)),INDEX(Table3[[#All],[MOV P]],MATCH(Table5[[#This Row],[PID]],Table3[[#All],[PID]],0)))</f>
        <v>3</v>
      </c>
      <c r="N454" s="58">
        <f>IF($C454="B",INDEX(Batters[[#All],[POW P]],MATCH(Table5[[#This Row],[PID]],Batters[[#All],[PID]],0)),INDEX(Table3[[#All],[CON P]],MATCH(Table5[[#This Row],[PID]],Table3[[#All],[PID]],0)))</f>
        <v>2</v>
      </c>
      <c r="O454" s="58">
        <f>IF($C454="B",INDEX(Batters[[#All],[EYE P]],MATCH(Table5[[#This Row],[PID]],Batters[[#All],[PID]],0)),INDEX(Table3[[#All],[VELO]],MATCH(Table5[[#This Row],[PID]],Table3[[#All],[PID]],0)))</f>
        <v>3</v>
      </c>
      <c r="P454" s="58">
        <f>IF($C454="B",INDEX(Batters[[#All],[K P]],MATCH(Table5[[#This Row],[PID]],Batters[[#All],[PID]],0)),INDEX(Table3[[#All],[STM]],MATCH(Table5[[#This Row],[PID]],Table3[[#All],[PID]],0)))</f>
        <v>4</v>
      </c>
      <c r="Q454" s="63">
        <f>IF($C454="B",INDEX(Batters[[#All],[Tot]],MATCH(Table5[[#This Row],[PID]],Batters[[#All],[PID]],0)),INDEX(Table3[[#All],[Tot]],MATCH(Table5[[#This Row],[PID]],Table3[[#All],[PID]],0)))</f>
        <v>40.053217491466945</v>
      </c>
      <c r="R454" s="54">
        <f>IF($C454="B",INDEX(Batters[[#All],[zScore]],MATCH(Table5[[#This Row],[PID]],Batters[[#All],[PID]],0)),INDEX(Table3[[#All],[zScore]],MATCH(Table5[[#This Row],[PID]],Table3[[#All],[PID]],0)))</f>
        <v>-5.1908544187483897E-2</v>
      </c>
      <c r="S454" s="60" t="str">
        <f>IF($C454="B",INDEX(Batters[[#All],[DEM]],MATCH(Table5[[#This Row],[PID]],Batters[[#All],[PID]],0)),INDEX(Table3[[#All],[DEM]],MATCH(Table5[[#This Row],[PID]],Table3[[#All],[PID]],0)))</f>
        <v>$65k</v>
      </c>
      <c r="T454" s="64">
        <f>IF($C454="B",VLOOKUP($A454,Bat!$A$4:$AU$1417,46,FALSE),VLOOKUP($A454,Pit!$A$4:$BD$570,55,FALSE))</f>
        <v>0</v>
      </c>
      <c r="U454" s="52">
        <f>IF($C454="B",VLOOKUP($A454,Bat!$A$4:$BA$1417,47,FALSE),VLOOKUP($A454,Pit!$A$4:$BF$570,56,FALSE))</f>
        <v>0</v>
      </c>
      <c r="V454" s="52">
        <f>IF($C454="B",VLOOKUP($A454,Bat!$A$4:$BA$1417,48,FALSE),VLOOKUP($A454,Pit!$A$4:$BF$570,57,FALSE))</f>
        <v>0</v>
      </c>
      <c r="W454" s="52">
        <f>Table5[[#This Row],[posRnk]]+Table5[[#This Row],[zRnk]]+IF($W$3&lt;&gt;Table5[[#This Row],[Type]],50,0)</f>
        <v>500</v>
      </c>
      <c r="X454" s="53">
        <f>RANK(Table5[[#This Row],[zScore]],Table5[[#All],[zScore]])</f>
        <v>450</v>
      </c>
      <c r="Y454" s="52" t="str">
        <f>IFERROR(INDEX(DraftResults[[#All],[OVR]],MATCH(Table5[[#This Row],[PID]],DraftResults[[#All],[Player ID]],0)),"")</f>
        <v/>
      </c>
      <c r="Z4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4" s="52" t="str">
        <f>IFERROR(INDEX(DraftResults[[#All],[Pick in Round]],MATCH(Table5[[#This Row],[PID]],DraftResults[[#All],[Player ID]],0)),"")</f>
        <v/>
      </c>
      <c r="AB454" s="52" t="str">
        <f>IFERROR(INDEX(DraftResults[[#All],[Team Name]],MATCH(Table5[[#This Row],[PID]],DraftResults[[#All],[Player ID]],0)),"")</f>
        <v/>
      </c>
      <c r="AC454" s="52" t="str">
        <f>IF(Table5[[#This Row],[Ovr]]="","",IF(Table5[[#This Row],[cmbList]]="","",Table5[[#This Row],[cmbList]]-Table5[[#This Row],[Ovr]]))</f>
        <v/>
      </c>
      <c r="AD454" s="56" t="str">
        <f>IF(ISERROR(VLOOKUP($AB454&amp;"-"&amp;$E454&amp;" "&amp;F454,Bonuses!$B$1:$G$1006,4,FALSE)),"",INT(VLOOKUP($AB454&amp;"-"&amp;$E454&amp;" "&amp;$F454,Bonuses!$B$1:$G$1006,4,FALSE)))</f>
        <v/>
      </c>
      <c r="AE4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5" spans="1:31" s="52" customFormat="1" x14ac:dyDescent="0.25">
      <c r="A455" s="52">
        <v>7408</v>
      </c>
      <c r="B455" s="52">
        <f>COUNTIF(Table5[PID],A455)</f>
        <v>1</v>
      </c>
      <c r="C455" s="52" t="str">
        <f>IF(COUNTIF(Table3[[#All],[PID]],A455)&gt;0,"P","B")</f>
        <v>B</v>
      </c>
      <c r="D455" s="61" t="str">
        <f>IF($C455="B",INDEX(Batters[[#All],[POS]],MATCH(Table5[[#This Row],[PID]],Batters[[#All],[PID]],0)),INDEX(Table3[[#All],[POS]],MATCH(Table5[[#This Row],[PID]],Table3[[#All],[PID]],0)))</f>
        <v>C</v>
      </c>
      <c r="E455" s="54" t="str">
        <f>IF($C455="B",INDEX(Batters[[#All],[First]],MATCH(Table5[[#This Row],[PID]],Batters[[#All],[PID]],0)),INDEX(Table3[[#All],[First]],MATCH(Table5[[#This Row],[PID]],Table3[[#All],[PID]],0)))</f>
        <v>Shojiro</v>
      </c>
      <c r="F455" s="52" t="str">
        <f>IF($C455="B",INDEX(Batters[[#All],[Last]],MATCH(A455,Batters[[#All],[PID]],0)),INDEX(Table3[[#All],[Last]],MATCH(A455,Table3[[#All],[PID]],0)))</f>
        <v>Ando</v>
      </c>
      <c r="G455" s="58">
        <f>IF($C455="B",INDEX(Batters[[#All],[Age]],MATCH(Table5[[#This Row],[PID]],Batters[[#All],[PID]],0)),INDEX(Table3[[#All],[Age]],MATCH(Table5[[#This Row],[PID]],Table3[[#All],[PID]],0)))</f>
        <v>21</v>
      </c>
      <c r="H455" s="54" t="str">
        <f>IF($C455="B",INDEX(Batters[[#All],[B]],MATCH(Table5[[#This Row],[PID]],Batters[[#All],[PID]],0)),INDEX(Table3[[#All],[B]],MATCH(Table5[[#This Row],[PID]],Table3[[#All],[PID]],0)))</f>
        <v>L</v>
      </c>
      <c r="I455" s="54" t="str">
        <f>IF($C455="B",INDEX(Batters[[#All],[T]],MATCH(Table5[[#This Row],[PID]],Batters[[#All],[PID]],0)),INDEX(Table3[[#All],[T]],MATCH(Table5[[#This Row],[PID]],Table3[[#All],[PID]],0)))</f>
        <v>R</v>
      </c>
      <c r="J455" s="54" t="str">
        <f>IF($C455="B",INDEX(Batters[[#All],[WE]],MATCH(Table5[[#This Row],[PID]],Batters[[#All],[PID]],0)),INDEX(Table3[[#All],[WE]],MATCH(Table5[[#This Row],[PID]],Table3[[#All],[PID]],0)))</f>
        <v>Low</v>
      </c>
      <c r="K455" s="54" t="str">
        <f>IF($C455="B",INDEX(Batters[[#All],[INT]],MATCH(Table5[[#This Row],[PID]],Batters[[#All],[PID]],0)),INDEX(Table3[[#All],[INT]],MATCH(Table5[[#This Row],[PID]],Table3[[#All],[PID]],0)))</f>
        <v>Normal</v>
      </c>
      <c r="L455" s="62">
        <f>IF($C455="B",INDEX(Batters[[#All],[CON P]],MATCH(Table5[[#This Row],[PID]],Batters[[#All],[PID]],0)),INDEX(Table3[[#All],[STU P]],MATCH(Table5[[#This Row],[PID]],Table3[[#All],[PID]],0)))</f>
        <v>3</v>
      </c>
      <c r="M455" s="58">
        <f>IF($C455="B",INDEX(Batters[[#All],[GAP P]],MATCH(Table5[[#This Row],[PID]],Batters[[#All],[PID]],0)),INDEX(Table3[[#All],[MOV P]],MATCH(Table5[[#This Row],[PID]],Table3[[#All],[PID]],0)))</f>
        <v>5</v>
      </c>
      <c r="N455" s="58">
        <f>IF($C455="B",INDEX(Batters[[#All],[POW P]],MATCH(Table5[[#This Row],[PID]],Batters[[#All],[PID]],0)),INDEX(Table3[[#All],[CON P]],MATCH(Table5[[#This Row],[PID]],Table3[[#All],[PID]],0)))</f>
        <v>3</v>
      </c>
      <c r="O455" s="58">
        <f>IF($C455="B",INDEX(Batters[[#All],[EYE P]],MATCH(Table5[[#This Row],[PID]],Batters[[#All],[PID]],0)),INDEX(Table3[[#All],[VELO]],MATCH(Table5[[#This Row],[PID]],Table3[[#All],[PID]],0)))</f>
        <v>7</v>
      </c>
      <c r="P455" s="58">
        <f>IF($C455="B",INDEX(Batters[[#All],[K P]],MATCH(Table5[[#This Row],[PID]],Batters[[#All],[PID]],0)),INDEX(Table3[[#All],[STM]],MATCH(Table5[[#This Row],[PID]],Table3[[#All],[PID]],0)))</f>
        <v>2</v>
      </c>
      <c r="Q455" s="63">
        <f>IF($C455="B",INDEX(Batters[[#All],[Tot]],MATCH(Table5[[#This Row],[PID]],Batters[[#All],[PID]],0)),INDEX(Table3[[#All],[Tot]],MATCH(Table5[[#This Row],[PID]],Table3[[#All],[PID]],0)))</f>
        <v>40.037211854627955</v>
      </c>
      <c r="R455" s="54">
        <f>IF($C455="B",INDEX(Batters[[#All],[zScore]],MATCH(Table5[[#This Row],[PID]],Batters[[#All],[PID]],0)),INDEX(Table3[[#All],[zScore]],MATCH(Table5[[#This Row],[PID]],Table3[[#All],[PID]],0)))</f>
        <v>-5.472462961098605E-2</v>
      </c>
      <c r="S455" s="60" t="str">
        <f>IF($C455="B",INDEX(Batters[[#All],[DEM]],MATCH(Table5[[#This Row],[PID]],Batters[[#All],[PID]],0)),INDEX(Table3[[#All],[DEM]],MATCH(Table5[[#This Row],[PID]],Table3[[#All],[PID]],0)))</f>
        <v>-</v>
      </c>
      <c r="T455" s="64">
        <f>IF($C455="B",VLOOKUP($A455,Bat!$A$4:$AU$1417,46,FALSE),VLOOKUP($A455,Pit!$A$4:$BD$570,55,FALSE))</f>
        <v>0</v>
      </c>
      <c r="U455" s="52">
        <f>IF($C455="B",VLOOKUP($A455,Bat!$A$4:$BA$1417,47,FALSE),VLOOKUP($A455,Pit!$A$4:$BF$570,56,FALSE))</f>
        <v>0</v>
      </c>
      <c r="V455" s="52">
        <f>IF($C455="B",VLOOKUP($A455,Bat!$A$4:$BA$1417,48,FALSE),VLOOKUP($A455,Pit!$A$4:$BF$570,57,FALSE))</f>
        <v>0</v>
      </c>
      <c r="W455" s="52">
        <f>Table5[[#This Row],[posRnk]]+Table5[[#This Row],[zRnk]]+IF($W$3&lt;&gt;Table5[[#This Row],[Type]],50,0)</f>
        <v>501</v>
      </c>
      <c r="X455" s="53">
        <f>RANK(Table5[[#This Row],[zScore]],Table5[[#All],[zScore]])</f>
        <v>451</v>
      </c>
      <c r="Y455" s="52" t="str">
        <f>IFERROR(INDEX(DraftResults[[#All],[OVR]],MATCH(Table5[[#This Row],[PID]],DraftResults[[#All],[Player ID]],0)),"")</f>
        <v/>
      </c>
      <c r="Z4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5" s="52" t="str">
        <f>IFERROR(INDEX(DraftResults[[#All],[Pick in Round]],MATCH(Table5[[#This Row],[PID]],DraftResults[[#All],[Player ID]],0)),"")</f>
        <v/>
      </c>
      <c r="AB455" s="52" t="str">
        <f>IFERROR(INDEX(DraftResults[[#All],[Team Name]],MATCH(Table5[[#This Row],[PID]],DraftResults[[#All],[Player ID]],0)),"")</f>
        <v/>
      </c>
      <c r="AC455" s="52" t="str">
        <f>IF(Table5[[#This Row],[Ovr]]="","",IF(Table5[[#This Row],[cmbList]]="","",Table5[[#This Row],[cmbList]]-Table5[[#This Row],[Ovr]]))</f>
        <v/>
      </c>
      <c r="AD455" s="56" t="str">
        <f>IF(ISERROR(VLOOKUP($AB455&amp;"-"&amp;$E455&amp;" "&amp;F455,Bonuses!$B$1:$G$1006,4,FALSE)),"",INT(VLOOKUP($AB455&amp;"-"&amp;$E455&amp;" "&amp;$F455,Bonuses!$B$1:$G$1006,4,FALSE)))</f>
        <v/>
      </c>
      <c r="AE4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6" spans="1:31" s="52" customFormat="1" x14ac:dyDescent="0.25">
      <c r="A456" s="52">
        <v>5176</v>
      </c>
      <c r="B456" s="52">
        <f>COUNTIF(Table5[PID],A456)</f>
        <v>1</v>
      </c>
      <c r="C456" s="52" t="str">
        <f>IF(COUNTIF(Table3[[#All],[PID]],A456)&gt;0,"P","B")</f>
        <v>P</v>
      </c>
      <c r="D456" s="61" t="str">
        <f>IF($C456="B",INDEX(Batters[[#All],[POS]],MATCH(Table5[[#This Row],[PID]],Batters[[#All],[PID]],0)),INDEX(Table3[[#All],[POS]],MATCH(Table5[[#This Row],[PID]],Table3[[#All],[PID]],0)))</f>
        <v>RP</v>
      </c>
      <c r="E456" s="54" t="str">
        <f>IF($C456="B",INDEX(Batters[[#All],[First]],MATCH(Table5[[#This Row],[PID]],Batters[[#All],[PID]],0)),INDEX(Table3[[#All],[First]],MATCH(Table5[[#This Row],[PID]],Table3[[#All],[PID]],0)))</f>
        <v>Nate</v>
      </c>
      <c r="F456" s="52" t="str">
        <f>IF($C456="B",INDEX(Batters[[#All],[Last]],MATCH(A456,Batters[[#All],[PID]],0)),INDEX(Table3[[#All],[Last]],MATCH(A456,Table3[[#All],[PID]],0)))</f>
        <v>Hall</v>
      </c>
      <c r="G456" s="58">
        <f>IF($C456="B",INDEX(Batters[[#All],[Age]],MATCH(Table5[[#This Row],[PID]],Batters[[#All],[PID]],0)),INDEX(Table3[[#All],[Age]],MATCH(Table5[[#This Row],[PID]],Table3[[#All],[PID]],0)))</f>
        <v>18</v>
      </c>
      <c r="H456" s="54" t="str">
        <f>IF($C456="B",INDEX(Batters[[#All],[B]],MATCH(Table5[[#This Row],[PID]],Batters[[#All],[PID]],0)),INDEX(Table3[[#All],[B]],MATCH(Table5[[#This Row],[PID]],Table3[[#All],[PID]],0)))</f>
        <v>R</v>
      </c>
      <c r="I456" s="54" t="str">
        <f>IF($C456="B",INDEX(Batters[[#All],[T]],MATCH(Table5[[#This Row],[PID]],Batters[[#All],[PID]],0)),INDEX(Table3[[#All],[T]],MATCH(Table5[[#This Row],[PID]],Table3[[#All],[PID]],0)))</f>
        <v>R</v>
      </c>
      <c r="J456" s="54" t="str">
        <f>IF($C456="B",INDEX(Batters[[#All],[WE]],MATCH(Table5[[#This Row],[PID]],Batters[[#All],[PID]],0)),INDEX(Table3[[#All],[WE]],MATCH(Table5[[#This Row],[PID]],Table3[[#All],[PID]],0)))</f>
        <v>Normal</v>
      </c>
      <c r="K456" s="54" t="str">
        <f>IF($C456="B",INDEX(Batters[[#All],[INT]],MATCH(Table5[[#This Row],[PID]],Batters[[#All],[PID]],0)),INDEX(Table3[[#All],[INT]],MATCH(Table5[[#This Row],[PID]],Table3[[#All],[PID]],0)))</f>
        <v>Normal</v>
      </c>
      <c r="L456" s="62">
        <f>IF($C456="B",INDEX(Batters[[#All],[CON P]],MATCH(Table5[[#This Row],[PID]],Batters[[#All],[PID]],0)),INDEX(Table3[[#All],[STU P]],MATCH(Table5[[#This Row],[PID]],Table3[[#All],[PID]],0)))</f>
        <v>3</v>
      </c>
      <c r="M456" s="58">
        <f>IF($C456="B",INDEX(Batters[[#All],[GAP P]],MATCH(Table5[[#This Row],[PID]],Batters[[#All],[PID]],0)),INDEX(Table3[[#All],[MOV P]],MATCH(Table5[[#This Row],[PID]],Table3[[#All],[PID]],0)))</f>
        <v>2</v>
      </c>
      <c r="N456" s="58">
        <f>IF($C456="B",INDEX(Batters[[#All],[POW P]],MATCH(Table5[[#This Row],[PID]],Batters[[#All],[PID]],0)),INDEX(Table3[[#All],[CON P]],MATCH(Table5[[#This Row],[PID]],Table3[[#All],[PID]],0)))</f>
        <v>3</v>
      </c>
      <c r="O456" s="58" t="str">
        <f>IF($C456="B",INDEX(Batters[[#All],[EYE P]],MATCH(Table5[[#This Row],[PID]],Batters[[#All],[PID]],0)),INDEX(Table3[[#All],[VELO]],MATCH(Table5[[#This Row],[PID]],Table3[[#All],[PID]],0)))</f>
        <v>87-89 Mph</v>
      </c>
      <c r="P456" s="58">
        <f>IF($C456="B",INDEX(Batters[[#All],[K P]],MATCH(Table5[[#This Row],[PID]],Batters[[#All],[PID]],0)),INDEX(Table3[[#All],[STM]],MATCH(Table5[[#This Row],[PID]],Table3[[#All],[PID]],0)))</f>
        <v>9</v>
      </c>
      <c r="Q456" s="63">
        <f>IF($C456="B",INDEX(Batters[[#All],[Tot]],MATCH(Table5[[#This Row],[PID]],Batters[[#All],[PID]],0)),INDEX(Table3[[#All],[Tot]],MATCH(Table5[[#This Row],[PID]],Table3[[#All],[PID]],0)))</f>
        <v>29.768109702214431</v>
      </c>
      <c r="R456" s="54">
        <f>IF($C456="B",INDEX(Batters[[#All],[zScore]],MATCH(Table5[[#This Row],[PID]],Batters[[#All],[PID]],0)),INDEX(Table3[[#All],[zScore]],MATCH(Table5[[#This Row],[PID]],Table3[[#All],[PID]],0)))</f>
        <v>-5.4963749159199542E-2</v>
      </c>
      <c r="S456" s="60" t="str">
        <f>IF($C456="B",INDEX(Batters[[#All],[DEM]],MATCH(Table5[[#This Row],[PID]],Batters[[#All],[PID]],0)),INDEX(Table3[[#All],[DEM]],MATCH(Table5[[#This Row],[PID]],Table3[[#All],[PID]],0)))</f>
        <v>$38k</v>
      </c>
      <c r="T456" s="64">
        <f>IF($C456="B",VLOOKUP($A456,Bat!$A$4:$AU$1417,46,FALSE),VLOOKUP($A456,Pit!$A$4:$BD$570,55,FALSE))</f>
        <v>0</v>
      </c>
      <c r="U456" s="52">
        <f>IF($C456="B",VLOOKUP($A456,Bat!$A$4:$BA$1417,47,FALSE),VLOOKUP($A456,Pit!$A$4:$BF$570,56,FALSE))</f>
        <v>0</v>
      </c>
      <c r="V456" s="52">
        <f>IF($C456="B",VLOOKUP($A456,Bat!$A$4:$BA$1417,48,FALSE),VLOOKUP($A456,Pit!$A$4:$BF$570,57,FALSE))</f>
        <v>0</v>
      </c>
      <c r="W456" s="52">
        <f>Table5[[#This Row],[posRnk]]+Table5[[#This Row],[zRnk]]+IF($W$3&lt;&gt;Table5[[#This Row],[Type]],50,0)</f>
        <v>502</v>
      </c>
      <c r="X456" s="53">
        <f>RANK(Table5[[#This Row],[zScore]],Table5[[#All],[zScore]])</f>
        <v>452</v>
      </c>
      <c r="Y456" s="52" t="str">
        <f>IFERROR(INDEX(DraftResults[[#All],[OVR]],MATCH(Table5[[#This Row],[PID]],DraftResults[[#All],[Player ID]],0)),"")</f>
        <v/>
      </c>
      <c r="Z4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6" s="52" t="str">
        <f>IFERROR(INDEX(DraftResults[[#All],[Pick in Round]],MATCH(Table5[[#This Row],[PID]],DraftResults[[#All],[Player ID]],0)),"")</f>
        <v/>
      </c>
      <c r="AB456" s="52" t="str">
        <f>IFERROR(INDEX(DraftResults[[#All],[Team Name]],MATCH(Table5[[#This Row],[PID]],DraftResults[[#All],[Player ID]],0)),"")</f>
        <v/>
      </c>
      <c r="AC456" s="52" t="str">
        <f>IF(Table5[[#This Row],[Ovr]]="","",IF(Table5[[#This Row],[cmbList]]="","",Table5[[#This Row],[cmbList]]-Table5[[#This Row],[Ovr]]))</f>
        <v/>
      </c>
      <c r="AD456" s="56" t="str">
        <f>IF(ISERROR(VLOOKUP($AB456&amp;"-"&amp;$E456&amp;" "&amp;F456,Bonuses!$B$1:$G$1006,4,FALSE)),"",INT(VLOOKUP($AB456&amp;"-"&amp;$E456&amp;" "&amp;$F456,Bonuses!$B$1:$G$1006,4,FALSE)))</f>
        <v/>
      </c>
      <c r="AE4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7" spans="1:31" s="52" customFormat="1" x14ac:dyDescent="0.25">
      <c r="A457" s="52">
        <v>7735</v>
      </c>
      <c r="B457" s="52">
        <f>COUNTIF(Table5[PID],A457)</f>
        <v>1</v>
      </c>
      <c r="C457" s="52" t="str">
        <f>IF(COUNTIF(Table3[[#All],[PID]],A457)&gt;0,"P","B")</f>
        <v>B</v>
      </c>
      <c r="D457" s="61" t="str">
        <f>IF($C457="B",INDEX(Batters[[#All],[POS]],MATCH(Table5[[#This Row],[PID]],Batters[[#All],[PID]],0)),INDEX(Table3[[#All],[POS]],MATCH(Table5[[#This Row],[PID]],Table3[[#All],[PID]],0)))</f>
        <v>2B</v>
      </c>
      <c r="E457" s="54" t="str">
        <f>IF($C457="B",INDEX(Batters[[#All],[First]],MATCH(Table5[[#This Row],[PID]],Batters[[#All],[PID]],0)),INDEX(Table3[[#All],[First]],MATCH(Table5[[#This Row],[PID]],Table3[[#All],[PID]],0)))</f>
        <v>Alejandro</v>
      </c>
      <c r="F457" s="52" t="str">
        <f>IF($C457="B",INDEX(Batters[[#All],[Last]],MATCH(A457,Batters[[#All],[PID]],0)),INDEX(Table3[[#All],[Last]],MATCH(A457,Table3[[#All],[PID]],0)))</f>
        <v>Gómez</v>
      </c>
      <c r="G457" s="58">
        <f>IF($C457="B",INDEX(Batters[[#All],[Age]],MATCH(Table5[[#This Row],[PID]],Batters[[#All],[PID]],0)),INDEX(Table3[[#All],[Age]],MATCH(Table5[[#This Row],[PID]],Table3[[#All],[PID]],0)))</f>
        <v>18</v>
      </c>
      <c r="H457" s="54" t="str">
        <f>IF($C457="B",INDEX(Batters[[#All],[B]],MATCH(Table5[[#This Row],[PID]],Batters[[#All],[PID]],0)),INDEX(Table3[[#All],[B]],MATCH(Table5[[#This Row],[PID]],Table3[[#All],[PID]],0)))</f>
        <v>R</v>
      </c>
      <c r="I457" s="54" t="str">
        <f>IF($C457="B",INDEX(Batters[[#All],[T]],MATCH(Table5[[#This Row],[PID]],Batters[[#All],[PID]],0)),INDEX(Table3[[#All],[T]],MATCH(Table5[[#This Row],[PID]],Table3[[#All],[PID]],0)))</f>
        <v>R</v>
      </c>
      <c r="J457" s="54" t="str">
        <f>IF($C457="B",INDEX(Batters[[#All],[WE]],MATCH(Table5[[#This Row],[PID]],Batters[[#All],[PID]],0)),INDEX(Table3[[#All],[WE]],MATCH(Table5[[#This Row],[PID]],Table3[[#All],[PID]],0)))</f>
        <v>Low</v>
      </c>
      <c r="K457" s="54" t="str">
        <f>IF($C457="B",INDEX(Batters[[#All],[INT]],MATCH(Table5[[#This Row],[PID]],Batters[[#All],[PID]],0)),INDEX(Table3[[#All],[INT]],MATCH(Table5[[#This Row],[PID]],Table3[[#All],[PID]],0)))</f>
        <v>Normal</v>
      </c>
      <c r="L457" s="62">
        <f>IF($C457="B",INDEX(Batters[[#All],[CON P]],MATCH(Table5[[#This Row],[PID]],Batters[[#All],[PID]],0)),INDEX(Table3[[#All],[STU P]],MATCH(Table5[[#This Row],[PID]],Table3[[#All],[PID]],0)))</f>
        <v>3</v>
      </c>
      <c r="M457" s="58">
        <f>IF($C457="B",INDEX(Batters[[#All],[GAP P]],MATCH(Table5[[#This Row],[PID]],Batters[[#All],[PID]],0)),INDEX(Table3[[#All],[MOV P]],MATCH(Table5[[#This Row],[PID]],Table3[[#All],[PID]],0)))</f>
        <v>3</v>
      </c>
      <c r="N457" s="58">
        <f>IF($C457="B",INDEX(Batters[[#All],[POW P]],MATCH(Table5[[#This Row],[PID]],Batters[[#All],[PID]],0)),INDEX(Table3[[#All],[CON P]],MATCH(Table5[[#This Row],[PID]],Table3[[#All],[PID]],0)))</f>
        <v>3</v>
      </c>
      <c r="O457" s="58">
        <f>IF($C457="B",INDEX(Batters[[#All],[EYE P]],MATCH(Table5[[#This Row],[PID]],Batters[[#All],[PID]],0)),INDEX(Table3[[#All],[VELO]],MATCH(Table5[[#This Row],[PID]],Table3[[#All],[PID]],0)))</f>
        <v>4</v>
      </c>
      <c r="P457" s="58">
        <f>IF($C457="B",INDEX(Batters[[#All],[K P]],MATCH(Table5[[#This Row],[PID]],Batters[[#All],[PID]],0)),INDEX(Table3[[#All],[STM]],MATCH(Table5[[#This Row],[PID]],Table3[[#All],[PID]],0)))</f>
        <v>3</v>
      </c>
      <c r="Q457" s="63">
        <f>IF($C457="B",INDEX(Batters[[#All],[Tot]],MATCH(Table5[[#This Row],[PID]],Batters[[#All],[PID]],0)),INDEX(Table3[[#All],[Tot]],MATCH(Table5[[#This Row],[PID]],Table3[[#All],[PID]],0)))</f>
        <v>39.996911563731359</v>
      </c>
      <c r="R457" s="54">
        <f>IF($C457="B",INDEX(Batters[[#All],[zScore]],MATCH(Table5[[#This Row],[PID]],Batters[[#All],[PID]],0)),INDEX(Table3[[#All],[zScore]],MATCH(Table5[[#This Row],[PID]],Table3[[#All],[PID]],0)))</f>
        <v>-6.1815197946282603E-2</v>
      </c>
      <c r="S457" s="60" t="str">
        <f>IF($C457="B",INDEX(Batters[[#All],[DEM]],MATCH(Table5[[#This Row],[PID]],Batters[[#All],[PID]],0)),INDEX(Table3[[#All],[DEM]],MATCH(Table5[[#This Row],[PID]],Table3[[#All],[PID]],0)))</f>
        <v>$3.0m</v>
      </c>
      <c r="T457" s="64">
        <f>IF($C457="B",VLOOKUP($A457,Bat!$A$4:$AU$1417,46,FALSE),VLOOKUP($A457,Pit!$A$4:$BD$570,55,FALSE))</f>
        <v>0</v>
      </c>
      <c r="U457" s="52">
        <f>IF($C457="B",VLOOKUP($A457,Bat!$A$4:$BA$1417,47,FALSE),VLOOKUP($A457,Pit!$A$4:$BF$570,56,FALSE))</f>
        <v>0</v>
      </c>
      <c r="V457" s="52">
        <f>IF($C457="B",VLOOKUP($A457,Bat!$A$4:$BA$1417,48,FALSE),VLOOKUP($A457,Pit!$A$4:$BF$570,57,FALSE))</f>
        <v>0</v>
      </c>
      <c r="W457" s="52">
        <f>Table5[[#This Row],[posRnk]]+Table5[[#This Row],[zRnk]]+IF($W$3&lt;&gt;Table5[[#This Row],[Type]],50,0)</f>
        <v>503</v>
      </c>
      <c r="X457" s="53">
        <f>RANK(Table5[[#This Row],[zScore]],Table5[[#All],[zScore]])</f>
        <v>453</v>
      </c>
      <c r="Y457" s="52" t="str">
        <f>IFERROR(INDEX(DraftResults[[#All],[OVR]],MATCH(Table5[[#This Row],[PID]],DraftResults[[#All],[Player ID]],0)),"")</f>
        <v/>
      </c>
      <c r="Z4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7" s="52" t="str">
        <f>IFERROR(INDEX(DraftResults[[#All],[Pick in Round]],MATCH(Table5[[#This Row],[PID]],DraftResults[[#All],[Player ID]],0)),"")</f>
        <v/>
      </c>
      <c r="AB457" s="52" t="str">
        <f>IFERROR(INDEX(DraftResults[[#All],[Team Name]],MATCH(Table5[[#This Row],[PID]],DraftResults[[#All],[Player ID]],0)),"")</f>
        <v/>
      </c>
      <c r="AC457" s="52" t="str">
        <f>IF(Table5[[#This Row],[Ovr]]="","",IF(Table5[[#This Row],[cmbList]]="","",Table5[[#This Row],[cmbList]]-Table5[[#This Row],[Ovr]]))</f>
        <v/>
      </c>
      <c r="AD457" s="56" t="str">
        <f>IF(ISERROR(VLOOKUP($AB457&amp;"-"&amp;$E457&amp;" "&amp;F457,Bonuses!$B$1:$G$1006,4,FALSE)),"",INT(VLOOKUP($AB457&amp;"-"&amp;$E457&amp;" "&amp;$F457,Bonuses!$B$1:$G$1006,4,FALSE)))</f>
        <v/>
      </c>
      <c r="AE4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8" spans="1:31" s="52" customFormat="1" x14ac:dyDescent="0.25">
      <c r="A458" s="52">
        <v>7252</v>
      </c>
      <c r="B458" s="52">
        <f>COUNTIF(Table5[PID],A458)</f>
        <v>1</v>
      </c>
      <c r="C458" s="52" t="str">
        <f>IF(COUNTIF(Table3[[#All],[PID]],A458)&gt;0,"P","B")</f>
        <v>B</v>
      </c>
      <c r="D458" s="61" t="str">
        <f>IF($C458="B",INDEX(Batters[[#All],[POS]],MATCH(Table5[[#This Row],[PID]],Batters[[#All],[PID]],0)),INDEX(Table3[[#All],[POS]],MATCH(Table5[[#This Row],[PID]],Table3[[#All],[PID]],0)))</f>
        <v>2B</v>
      </c>
      <c r="E458" s="54" t="str">
        <f>IF($C458="B",INDEX(Batters[[#All],[First]],MATCH(Table5[[#This Row],[PID]],Batters[[#All],[PID]],0)),INDEX(Table3[[#All],[First]],MATCH(Table5[[#This Row],[PID]],Table3[[#All],[PID]],0)))</f>
        <v>Willie</v>
      </c>
      <c r="F458" s="52" t="str">
        <f>IF($C458="B",INDEX(Batters[[#All],[Last]],MATCH(A458,Batters[[#All],[PID]],0)),INDEX(Table3[[#All],[Last]],MATCH(A458,Table3[[#All],[PID]],0)))</f>
        <v>Burke</v>
      </c>
      <c r="G458" s="58">
        <f>IF($C458="B",INDEX(Batters[[#All],[Age]],MATCH(Table5[[#This Row],[PID]],Batters[[#All],[PID]],0)),INDEX(Table3[[#All],[Age]],MATCH(Table5[[#This Row],[PID]],Table3[[#All],[PID]],0)))</f>
        <v>18</v>
      </c>
      <c r="H458" s="54" t="str">
        <f>IF($C458="B",INDEX(Batters[[#All],[B]],MATCH(Table5[[#This Row],[PID]],Batters[[#All],[PID]],0)),INDEX(Table3[[#All],[B]],MATCH(Table5[[#This Row],[PID]],Table3[[#All],[PID]],0)))</f>
        <v>R</v>
      </c>
      <c r="I458" s="54" t="str">
        <f>IF($C458="B",INDEX(Batters[[#All],[T]],MATCH(Table5[[#This Row],[PID]],Batters[[#All],[PID]],0)),INDEX(Table3[[#All],[T]],MATCH(Table5[[#This Row],[PID]],Table3[[#All],[PID]],0)))</f>
        <v>R</v>
      </c>
      <c r="J458" s="54" t="str">
        <f>IF($C458="B",INDEX(Batters[[#All],[WE]],MATCH(Table5[[#This Row],[PID]],Batters[[#All],[PID]],0)),INDEX(Table3[[#All],[WE]],MATCH(Table5[[#This Row],[PID]],Table3[[#All],[PID]],0)))</f>
        <v>Normal</v>
      </c>
      <c r="K458" s="54" t="str">
        <f>IF($C458="B",INDEX(Batters[[#All],[INT]],MATCH(Table5[[#This Row],[PID]],Batters[[#All],[PID]],0)),INDEX(Table3[[#All],[INT]],MATCH(Table5[[#This Row],[PID]],Table3[[#All],[PID]],0)))</f>
        <v>Low</v>
      </c>
      <c r="L458" s="62">
        <f>IF($C458="B",INDEX(Batters[[#All],[CON P]],MATCH(Table5[[#This Row],[PID]],Batters[[#All],[PID]],0)),INDEX(Table3[[#All],[STU P]],MATCH(Table5[[#This Row],[PID]],Table3[[#All],[PID]],0)))</f>
        <v>3</v>
      </c>
      <c r="M458" s="58">
        <f>IF($C458="B",INDEX(Batters[[#All],[GAP P]],MATCH(Table5[[#This Row],[PID]],Batters[[#All],[PID]],0)),INDEX(Table3[[#All],[MOV P]],MATCH(Table5[[#This Row],[PID]],Table3[[#All],[PID]],0)))</f>
        <v>2</v>
      </c>
      <c r="N458" s="58">
        <f>IF($C458="B",INDEX(Batters[[#All],[POW P]],MATCH(Table5[[#This Row],[PID]],Batters[[#All],[PID]],0)),INDEX(Table3[[#All],[CON P]],MATCH(Table5[[#This Row],[PID]],Table3[[#All],[PID]],0)))</f>
        <v>2</v>
      </c>
      <c r="O458" s="58">
        <f>IF($C458="B",INDEX(Batters[[#All],[EYE P]],MATCH(Table5[[#This Row],[PID]],Batters[[#All],[PID]],0)),INDEX(Table3[[#All],[VELO]],MATCH(Table5[[#This Row],[PID]],Table3[[#All],[PID]],0)))</f>
        <v>4</v>
      </c>
      <c r="P458" s="58">
        <f>IF($C458="B",INDEX(Batters[[#All],[K P]],MATCH(Table5[[#This Row],[PID]],Batters[[#All],[PID]],0)),INDEX(Table3[[#All],[STM]],MATCH(Table5[[#This Row],[PID]],Table3[[#All],[PID]],0)))</f>
        <v>6</v>
      </c>
      <c r="Q458" s="63">
        <f>IF($C458="B",INDEX(Batters[[#All],[Tot]],MATCH(Table5[[#This Row],[PID]],Batters[[#All],[PID]],0)),INDEX(Table3[[#All],[Tot]],MATCH(Table5[[#This Row],[PID]],Table3[[#All],[PID]],0)))</f>
        <v>39.977075626397564</v>
      </c>
      <c r="R458" s="54">
        <f>IF($C458="B",INDEX(Batters[[#All],[zScore]],MATCH(Table5[[#This Row],[PID]],Batters[[#All],[PID]],0)),INDEX(Table3[[#All],[zScore]],MATCH(Table5[[#This Row],[PID]],Table3[[#All],[PID]],0)))</f>
        <v>-6.5305199284506552E-2</v>
      </c>
      <c r="S458" s="60" t="str">
        <f>IF($C458="B",INDEX(Batters[[#All],[DEM]],MATCH(Table5[[#This Row],[PID]],Batters[[#All],[PID]],0)),INDEX(Table3[[#All],[DEM]],MATCH(Table5[[#This Row],[PID]],Table3[[#All],[PID]],0)))</f>
        <v>$65k</v>
      </c>
      <c r="T458" s="64">
        <f>IF($C458="B",VLOOKUP($A458,Bat!$A$4:$AU$1417,46,FALSE),VLOOKUP($A458,Pit!$A$4:$BD$570,55,FALSE))</f>
        <v>0</v>
      </c>
      <c r="U458" s="52">
        <f>IF($C458="B",VLOOKUP($A458,Bat!$A$4:$BA$1417,47,FALSE),VLOOKUP($A458,Pit!$A$4:$BF$570,56,FALSE))</f>
        <v>0</v>
      </c>
      <c r="V458" s="52">
        <f>IF($C458="B",VLOOKUP($A458,Bat!$A$4:$BA$1417,48,FALSE),VLOOKUP($A458,Pit!$A$4:$BF$570,57,FALSE))</f>
        <v>0</v>
      </c>
      <c r="W458" s="52">
        <f>Table5[[#This Row],[posRnk]]+Table5[[#This Row],[zRnk]]+IF($W$3&lt;&gt;Table5[[#This Row],[Type]],50,0)</f>
        <v>504</v>
      </c>
      <c r="X458" s="53">
        <f>RANK(Table5[[#This Row],[zScore]],Table5[[#All],[zScore]])</f>
        <v>454</v>
      </c>
      <c r="Y458" s="52" t="str">
        <f>IFERROR(INDEX(DraftResults[[#All],[OVR]],MATCH(Table5[[#This Row],[PID]],DraftResults[[#All],[Player ID]],0)),"")</f>
        <v/>
      </c>
      <c r="Z4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8" s="52" t="str">
        <f>IFERROR(INDEX(DraftResults[[#All],[Pick in Round]],MATCH(Table5[[#This Row],[PID]],DraftResults[[#All],[Player ID]],0)),"")</f>
        <v/>
      </c>
      <c r="AB458" s="52" t="str">
        <f>IFERROR(INDEX(DraftResults[[#All],[Team Name]],MATCH(Table5[[#This Row],[PID]],DraftResults[[#All],[Player ID]],0)),"")</f>
        <v/>
      </c>
      <c r="AC458" s="52" t="str">
        <f>IF(Table5[[#This Row],[Ovr]]="","",IF(Table5[[#This Row],[cmbList]]="","",Table5[[#This Row],[cmbList]]-Table5[[#This Row],[Ovr]]))</f>
        <v/>
      </c>
      <c r="AD458" s="56" t="str">
        <f>IF(ISERROR(VLOOKUP($AB458&amp;"-"&amp;$E458&amp;" "&amp;F458,Bonuses!$B$1:$G$1006,4,FALSE)),"",INT(VLOOKUP($AB458&amp;"-"&amp;$E458&amp;" "&amp;$F458,Bonuses!$B$1:$G$1006,4,FALSE)))</f>
        <v/>
      </c>
      <c r="AE4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9" spans="1:31" s="52" customFormat="1" x14ac:dyDescent="0.25">
      <c r="A459" s="52">
        <v>17633</v>
      </c>
      <c r="B459" s="52">
        <f>COUNTIF(Table5[PID],A459)</f>
        <v>1</v>
      </c>
      <c r="C459" s="52" t="str">
        <f>IF(COUNTIF(Table3[[#All],[PID]],A459)&gt;0,"P","B")</f>
        <v>B</v>
      </c>
      <c r="D459" s="61" t="str">
        <f>IF($C459="B",INDEX(Batters[[#All],[POS]],MATCH(Table5[[#This Row],[PID]],Batters[[#All],[PID]],0)),INDEX(Table3[[#All],[POS]],MATCH(Table5[[#This Row],[PID]],Table3[[#All],[PID]],0)))</f>
        <v>C</v>
      </c>
      <c r="E459" s="54" t="str">
        <f>IF($C459="B",INDEX(Batters[[#All],[First]],MATCH(Table5[[#This Row],[PID]],Batters[[#All],[PID]],0)),INDEX(Table3[[#All],[First]],MATCH(Table5[[#This Row],[PID]],Table3[[#All],[PID]],0)))</f>
        <v>Mike</v>
      </c>
      <c r="F459" s="52" t="str">
        <f>IF($C459="B",INDEX(Batters[[#All],[Last]],MATCH(A459,Batters[[#All],[PID]],0)),INDEX(Table3[[#All],[Last]],MATCH(A459,Table3[[#All],[PID]],0)))</f>
        <v>Hardin</v>
      </c>
      <c r="G459" s="58">
        <f>IF($C459="B",INDEX(Batters[[#All],[Age]],MATCH(Table5[[#This Row],[PID]],Batters[[#All],[PID]],0)),INDEX(Table3[[#All],[Age]],MATCH(Table5[[#This Row],[PID]],Table3[[#All],[PID]],0)))</f>
        <v>18</v>
      </c>
      <c r="H459" s="54" t="str">
        <f>IF($C459="B",INDEX(Batters[[#All],[B]],MATCH(Table5[[#This Row],[PID]],Batters[[#All],[PID]],0)),INDEX(Table3[[#All],[B]],MATCH(Table5[[#This Row],[PID]],Table3[[#All],[PID]],0)))</f>
        <v>R</v>
      </c>
      <c r="I459" s="54" t="str">
        <f>IF($C459="B",INDEX(Batters[[#All],[T]],MATCH(Table5[[#This Row],[PID]],Batters[[#All],[PID]],0)),INDEX(Table3[[#All],[T]],MATCH(Table5[[#This Row],[PID]],Table3[[#All],[PID]],0)))</f>
        <v>R</v>
      </c>
      <c r="J459" s="54" t="str">
        <f>IF($C459="B",INDEX(Batters[[#All],[WE]],MATCH(Table5[[#This Row],[PID]],Batters[[#All],[PID]],0)),INDEX(Table3[[#All],[WE]],MATCH(Table5[[#This Row],[PID]],Table3[[#All],[PID]],0)))</f>
        <v>Low</v>
      </c>
      <c r="K459" s="54" t="str">
        <f>IF($C459="B",INDEX(Batters[[#All],[INT]],MATCH(Table5[[#This Row],[PID]],Batters[[#All],[PID]],0)),INDEX(Table3[[#All],[INT]],MATCH(Table5[[#This Row],[PID]],Table3[[#All],[PID]],0)))</f>
        <v>Normal</v>
      </c>
      <c r="L459" s="62">
        <f>IF($C459="B",INDEX(Batters[[#All],[CON P]],MATCH(Table5[[#This Row],[PID]],Batters[[#All],[PID]],0)),INDEX(Table3[[#All],[STU P]],MATCH(Table5[[#This Row],[PID]],Table3[[#All],[PID]],0)))</f>
        <v>3</v>
      </c>
      <c r="M459" s="58">
        <f>IF($C459="B",INDEX(Batters[[#All],[GAP P]],MATCH(Table5[[#This Row],[PID]],Batters[[#All],[PID]],0)),INDEX(Table3[[#All],[MOV P]],MATCH(Table5[[#This Row],[PID]],Table3[[#All],[PID]],0)))</f>
        <v>3</v>
      </c>
      <c r="N459" s="58">
        <f>IF($C459="B",INDEX(Batters[[#All],[POW P]],MATCH(Table5[[#This Row],[PID]],Batters[[#All],[PID]],0)),INDEX(Table3[[#All],[CON P]],MATCH(Table5[[#This Row],[PID]],Table3[[#All],[PID]],0)))</f>
        <v>3</v>
      </c>
      <c r="O459" s="58">
        <f>IF($C459="B",INDEX(Batters[[#All],[EYE P]],MATCH(Table5[[#This Row],[PID]],Batters[[#All],[PID]],0)),INDEX(Table3[[#All],[VELO]],MATCH(Table5[[#This Row],[PID]],Table3[[#All],[PID]],0)))</f>
        <v>4</v>
      </c>
      <c r="P459" s="58">
        <f>IF($C459="B",INDEX(Batters[[#All],[K P]],MATCH(Table5[[#This Row],[PID]],Batters[[#All],[PID]],0)),INDEX(Table3[[#All],[STM]],MATCH(Table5[[#This Row],[PID]],Table3[[#All],[PID]],0)))</f>
        <v>4</v>
      </c>
      <c r="Q459" s="63">
        <f>IF($C459="B",INDEX(Batters[[#All],[Tot]],MATCH(Table5[[#This Row],[PID]],Batters[[#All],[PID]],0)),INDEX(Table3[[#All],[Tot]],MATCH(Table5[[#This Row],[PID]],Table3[[#All],[PID]],0)))</f>
        <v>39.968136686535402</v>
      </c>
      <c r="R459" s="54">
        <f>IF($C459="B",INDEX(Batters[[#All],[zScore]],MATCH(Table5[[#This Row],[PID]],Batters[[#All],[PID]],0)),INDEX(Table3[[#All],[zScore]],MATCH(Table5[[#This Row],[PID]],Table3[[#All],[PID]],0)))</f>
        <v>-6.6877946342347755E-2</v>
      </c>
      <c r="S459" s="60" t="str">
        <f>IF($C459="B",INDEX(Batters[[#All],[DEM]],MATCH(Table5[[#This Row],[PID]],Batters[[#All],[PID]],0)),INDEX(Table3[[#All],[DEM]],MATCH(Table5[[#This Row],[PID]],Table3[[#All],[PID]],0)))</f>
        <v>$2.4m</v>
      </c>
      <c r="T459" s="64">
        <f>IF($C459="B",VLOOKUP($A459,Bat!$A$4:$AU$1417,46,FALSE),VLOOKUP($A459,Pit!$A$4:$BD$570,55,FALSE))</f>
        <v>0</v>
      </c>
      <c r="U459" s="52">
        <f>IF($C459="B",VLOOKUP($A459,Bat!$A$4:$BA$1417,47,FALSE),VLOOKUP($A459,Pit!$A$4:$BF$570,56,FALSE))</f>
        <v>0</v>
      </c>
      <c r="V459" s="52">
        <f>IF($C459="B",VLOOKUP($A459,Bat!$A$4:$BA$1417,48,FALSE),VLOOKUP($A459,Pit!$A$4:$BF$570,57,FALSE))</f>
        <v>0</v>
      </c>
      <c r="W459" s="52">
        <f>Table5[[#This Row],[posRnk]]+Table5[[#This Row],[zRnk]]+IF($W$3&lt;&gt;Table5[[#This Row],[Type]],50,0)</f>
        <v>505</v>
      </c>
      <c r="X459" s="53">
        <f>RANK(Table5[[#This Row],[zScore]],Table5[[#All],[zScore]])</f>
        <v>455</v>
      </c>
      <c r="Y459" s="52" t="str">
        <f>IFERROR(INDEX(DraftResults[[#All],[OVR]],MATCH(Table5[[#This Row],[PID]],DraftResults[[#All],[Player ID]],0)),"")</f>
        <v/>
      </c>
      <c r="Z4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9" s="52" t="str">
        <f>IFERROR(INDEX(DraftResults[[#All],[Pick in Round]],MATCH(Table5[[#This Row],[PID]],DraftResults[[#All],[Player ID]],0)),"")</f>
        <v/>
      </c>
      <c r="AB459" s="52" t="str">
        <f>IFERROR(INDEX(DraftResults[[#All],[Team Name]],MATCH(Table5[[#This Row],[PID]],DraftResults[[#All],[Player ID]],0)),"")</f>
        <v/>
      </c>
      <c r="AC459" s="52" t="str">
        <f>IF(Table5[[#This Row],[Ovr]]="","",IF(Table5[[#This Row],[cmbList]]="","",Table5[[#This Row],[cmbList]]-Table5[[#This Row],[Ovr]]))</f>
        <v/>
      </c>
      <c r="AD459" s="56" t="str">
        <f>IF(ISERROR(VLOOKUP($AB459&amp;"-"&amp;$E459&amp;" "&amp;F459,Bonuses!$B$1:$G$1006,4,FALSE)),"",INT(VLOOKUP($AB459&amp;"-"&amp;$E459&amp;" "&amp;$F459,Bonuses!$B$1:$G$1006,4,FALSE)))</f>
        <v/>
      </c>
      <c r="AE4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0" spans="1:31" s="52" customFormat="1" x14ac:dyDescent="0.25">
      <c r="A460" s="52">
        <v>9113</v>
      </c>
      <c r="B460" s="52">
        <f>COUNTIF(Table5[PID],A460)</f>
        <v>1</v>
      </c>
      <c r="C460" s="52" t="str">
        <f>IF(COUNTIF(Table3[[#All],[PID]],A460)&gt;0,"P","B")</f>
        <v>P</v>
      </c>
      <c r="D460" s="61" t="str">
        <f>IF($C460="B",INDEX(Batters[[#All],[POS]],MATCH(Table5[[#This Row],[PID]],Batters[[#All],[PID]],0)),INDEX(Table3[[#All],[POS]],MATCH(Table5[[#This Row],[PID]],Table3[[#All],[PID]],0)))</f>
        <v>RP</v>
      </c>
      <c r="E460" s="54" t="str">
        <f>IF($C460="B",INDEX(Batters[[#All],[First]],MATCH(Table5[[#This Row],[PID]],Batters[[#All],[PID]],0)),INDEX(Table3[[#All],[First]],MATCH(Table5[[#This Row],[PID]],Table3[[#All],[PID]],0)))</f>
        <v>Bo</v>
      </c>
      <c r="F460" s="52" t="str">
        <f>IF($C460="B",INDEX(Batters[[#All],[Last]],MATCH(A460,Batters[[#All],[PID]],0)),INDEX(Table3[[#All],[Last]],MATCH(A460,Table3[[#All],[PID]],0)))</f>
        <v>Stevens</v>
      </c>
      <c r="G460" s="58">
        <f>IF($C460="B",INDEX(Batters[[#All],[Age]],MATCH(Table5[[#This Row],[PID]],Batters[[#All],[PID]],0)),INDEX(Table3[[#All],[Age]],MATCH(Table5[[#This Row],[PID]],Table3[[#All],[PID]],0)))</f>
        <v>18</v>
      </c>
      <c r="H460" s="54" t="str">
        <f>IF($C460="B",INDEX(Batters[[#All],[B]],MATCH(Table5[[#This Row],[PID]],Batters[[#All],[PID]],0)),INDEX(Table3[[#All],[B]],MATCH(Table5[[#This Row],[PID]],Table3[[#All],[PID]],0)))</f>
        <v>R</v>
      </c>
      <c r="I460" s="54" t="str">
        <f>IF($C460="B",INDEX(Batters[[#All],[T]],MATCH(Table5[[#This Row],[PID]],Batters[[#All],[PID]],0)),INDEX(Table3[[#All],[T]],MATCH(Table5[[#This Row],[PID]],Table3[[#All],[PID]],0)))</f>
        <v>L</v>
      </c>
      <c r="J460" s="54" t="str">
        <f>IF($C460="B",INDEX(Batters[[#All],[WE]],MATCH(Table5[[#This Row],[PID]],Batters[[#All],[PID]],0)),INDEX(Table3[[#All],[WE]],MATCH(Table5[[#This Row],[PID]],Table3[[#All],[PID]],0)))</f>
        <v>Normal</v>
      </c>
      <c r="K460" s="54" t="str">
        <f>IF($C460="B",INDEX(Batters[[#All],[INT]],MATCH(Table5[[#This Row],[PID]],Batters[[#All],[PID]],0)),INDEX(Table3[[#All],[INT]],MATCH(Table5[[#This Row],[PID]],Table3[[#All],[PID]],0)))</f>
        <v>High</v>
      </c>
      <c r="L460" s="62">
        <f>IF($C460="B",INDEX(Batters[[#All],[CON P]],MATCH(Table5[[#This Row],[PID]],Batters[[#All],[PID]],0)),INDEX(Table3[[#All],[STU P]],MATCH(Table5[[#This Row],[PID]],Table3[[#All],[PID]],0)))</f>
        <v>4</v>
      </c>
      <c r="M460" s="58">
        <f>IF($C460="B",INDEX(Batters[[#All],[GAP P]],MATCH(Table5[[#This Row],[PID]],Batters[[#All],[PID]],0)),INDEX(Table3[[#All],[MOV P]],MATCH(Table5[[#This Row],[PID]],Table3[[#All],[PID]],0)))</f>
        <v>2</v>
      </c>
      <c r="N460" s="58">
        <f>IF($C460="B",INDEX(Batters[[#All],[POW P]],MATCH(Table5[[#This Row],[PID]],Batters[[#All],[PID]],0)),INDEX(Table3[[#All],[CON P]],MATCH(Table5[[#This Row],[PID]],Table3[[#All],[PID]],0)))</f>
        <v>2</v>
      </c>
      <c r="O460" s="58" t="str">
        <f>IF($C460="B",INDEX(Batters[[#All],[EYE P]],MATCH(Table5[[#This Row],[PID]],Batters[[#All],[PID]],0)),INDEX(Table3[[#All],[VELO]],MATCH(Table5[[#This Row],[PID]],Table3[[#All],[PID]],0)))</f>
        <v>86-88 Mph</v>
      </c>
      <c r="P460" s="58">
        <f>IF($C460="B",INDEX(Batters[[#All],[K P]],MATCH(Table5[[#This Row],[PID]],Batters[[#All],[PID]],0)),INDEX(Table3[[#All],[STM]],MATCH(Table5[[#This Row],[PID]],Table3[[#All],[PID]],0)))</f>
        <v>6</v>
      </c>
      <c r="Q460" s="63">
        <f>IF($C460="B",INDEX(Batters[[#All],[Tot]],MATCH(Table5[[#This Row],[PID]],Batters[[#All],[PID]],0)),INDEX(Table3[[#All],[Tot]],MATCH(Table5[[#This Row],[PID]],Table3[[#All],[PID]],0)))</f>
        <v>31.983192412056162</v>
      </c>
      <c r="R460" s="54">
        <f>IF($C460="B",INDEX(Batters[[#All],[zScore]],MATCH(Table5[[#This Row],[PID]],Batters[[#All],[PID]],0)),INDEX(Table3[[#All],[zScore]],MATCH(Table5[[#This Row],[PID]],Table3[[#All],[PID]],0)))</f>
        <v>-6.7774817934041096E-2</v>
      </c>
      <c r="S460" s="60" t="str">
        <f>IF($C460="B",INDEX(Batters[[#All],[DEM]],MATCH(Table5[[#This Row],[PID]],Batters[[#All],[PID]],0)),INDEX(Table3[[#All],[DEM]],MATCH(Table5[[#This Row],[PID]],Table3[[#All],[PID]],0)))</f>
        <v>$95k</v>
      </c>
      <c r="T460" s="64">
        <f>IF($C460="B",VLOOKUP($A460,Bat!$A$4:$AU$1417,46,FALSE),VLOOKUP($A460,Pit!$A$4:$BD$570,55,FALSE))</f>
        <v>0</v>
      </c>
      <c r="U460" s="52">
        <f>IF($C460="B",VLOOKUP($A460,Bat!$A$4:$BA$1417,47,FALSE),VLOOKUP($A460,Pit!$A$4:$BF$570,56,FALSE))</f>
        <v>0</v>
      </c>
      <c r="V460" s="52">
        <f>IF($C460="B",VLOOKUP($A460,Bat!$A$4:$BA$1417,48,FALSE),VLOOKUP($A460,Pit!$A$4:$BF$570,57,FALSE))</f>
        <v>0</v>
      </c>
      <c r="W460" s="52">
        <f>Table5[[#This Row],[posRnk]]+Table5[[#This Row],[zRnk]]+IF($W$3&lt;&gt;Table5[[#This Row],[Type]],50,0)</f>
        <v>506</v>
      </c>
      <c r="X460" s="53">
        <f>RANK(Table5[[#This Row],[zScore]],Table5[[#All],[zScore]])</f>
        <v>456</v>
      </c>
      <c r="Y460" s="52" t="str">
        <f>IFERROR(INDEX(DraftResults[[#All],[OVR]],MATCH(Table5[[#This Row],[PID]],DraftResults[[#All],[Player ID]],0)),"")</f>
        <v/>
      </c>
      <c r="Z4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0" s="52" t="str">
        <f>IFERROR(INDEX(DraftResults[[#All],[Pick in Round]],MATCH(Table5[[#This Row],[PID]],DraftResults[[#All],[Player ID]],0)),"")</f>
        <v/>
      </c>
      <c r="AB460" s="52" t="str">
        <f>IFERROR(INDEX(DraftResults[[#All],[Team Name]],MATCH(Table5[[#This Row],[PID]],DraftResults[[#All],[Player ID]],0)),"")</f>
        <v/>
      </c>
      <c r="AC460" s="52" t="str">
        <f>IF(Table5[[#This Row],[Ovr]]="","",IF(Table5[[#This Row],[cmbList]]="","",Table5[[#This Row],[cmbList]]-Table5[[#This Row],[Ovr]]))</f>
        <v/>
      </c>
      <c r="AD460" s="56" t="str">
        <f>IF(ISERROR(VLOOKUP($AB460&amp;"-"&amp;$E460&amp;" "&amp;F460,Bonuses!$B$1:$G$1006,4,FALSE)),"",INT(VLOOKUP($AB460&amp;"-"&amp;$E460&amp;" "&amp;$F460,Bonuses!$B$1:$G$1006,4,FALSE)))</f>
        <v/>
      </c>
      <c r="AE4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1" spans="1:31" s="52" customFormat="1" x14ac:dyDescent="0.25">
      <c r="A461" s="52">
        <v>9695</v>
      </c>
      <c r="B461" s="52">
        <f>COUNTIF(Table5[PID],A461)</f>
        <v>1</v>
      </c>
      <c r="C461" s="52" t="str">
        <f>IF(COUNTIF(Table3[[#All],[PID]],A461)&gt;0,"P","B")</f>
        <v>B</v>
      </c>
      <c r="D461" s="61" t="str">
        <f>IF($C461="B",INDEX(Batters[[#All],[POS]],MATCH(Table5[[#This Row],[PID]],Batters[[#All],[PID]],0)),INDEX(Table3[[#All],[POS]],MATCH(Table5[[#This Row],[PID]],Table3[[#All],[PID]],0)))</f>
        <v>CF</v>
      </c>
      <c r="E461" s="54" t="str">
        <f>IF($C461="B",INDEX(Batters[[#All],[First]],MATCH(Table5[[#This Row],[PID]],Batters[[#All],[PID]],0)),INDEX(Table3[[#All],[First]],MATCH(Table5[[#This Row],[PID]],Table3[[#All],[PID]],0)))</f>
        <v>Tommy</v>
      </c>
      <c r="F461" s="52" t="str">
        <f>IF($C461="B",INDEX(Batters[[#All],[Last]],MATCH(A461,Batters[[#All],[PID]],0)),INDEX(Table3[[#All],[Last]],MATCH(A461,Table3[[#All],[PID]],0)))</f>
        <v>Murdoch</v>
      </c>
      <c r="G461" s="58">
        <f>IF($C461="B",INDEX(Batters[[#All],[Age]],MATCH(Table5[[#This Row],[PID]],Batters[[#All],[PID]],0)),INDEX(Table3[[#All],[Age]],MATCH(Table5[[#This Row],[PID]],Table3[[#All],[PID]],0)))</f>
        <v>21</v>
      </c>
      <c r="H461" s="54" t="str">
        <f>IF($C461="B",INDEX(Batters[[#All],[B]],MATCH(Table5[[#This Row],[PID]],Batters[[#All],[PID]],0)),INDEX(Table3[[#All],[B]],MATCH(Table5[[#This Row],[PID]],Table3[[#All],[PID]],0)))</f>
        <v>R</v>
      </c>
      <c r="I461" s="54" t="str">
        <f>IF($C461="B",INDEX(Batters[[#All],[T]],MATCH(Table5[[#This Row],[PID]],Batters[[#All],[PID]],0)),INDEX(Table3[[#All],[T]],MATCH(Table5[[#This Row],[PID]],Table3[[#All],[PID]],0)))</f>
        <v>R</v>
      </c>
      <c r="J461" s="54" t="str">
        <f>IF($C461="B",INDEX(Batters[[#All],[WE]],MATCH(Table5[[#This Row],[PID]],Batters[[#All],[PID]],0)),INDEX(Table3[[#All],[WE]],MATCH(Table5[[#This Row],[PID]],Table3[[#All],[PID]],0)))</f>
        <v>High</v>
      </c>
      <c r="K461" s="54" t="str">
        <f>IF($C461="B",INDEX(Batters[[#All],[INT]],MATCH(Table5[[#This Row],[PID]],Batters[[#All],[PID]],0)),INDEX(Table3[[#All],[INT]],MATCH(Table5[[#This Row],[PID]],Table3[[#All],[PID]],0)))</f>
        <v>Normal</v>
      </c>
      <c r="L461" s="62">
        <f>IF($C461="B",INDEX(Batters[[#All],[CON P]],MATCH(Table5[[#This Row],[PID]],Batters[[#All],[PID]],0)),INDEX(Table3[[#All],[STU P]],MATCH(Table5[[#This Row],[PID]],Table3[[#All],[PID]],0)))</f>
        <v>3</v>
      </c>
      <c r="M461" s="58">
        <f>IF($C461="B",INDEX(Batters[[#All],[GAP P]],MATCH(Table5[[#This Row],[PID]],Batters[[#All],[PID]],0)),INDEX(Table3[[#All],[MOV P]],MATCH(Table5[[#This Row],[PID]],Table3[[#All],[PID]],0)))</f>
        <v>4</v>
      </c>
      <c r="N461" s="58">
        <f>IF($C461="B",INDEX(Batters[[#All],[POW P]],MATCH(Table5[[#This Row],[PID]],Batters[[#All],[PID]],0)),INDEX(Table3[[#All],[CON P]],MATCH(Table5[[#This Row],[PID]],Table3[[#All],[PID]],0)))</f>
        <v>4</v>
      </c>
      <c r="O461" s="58">
        <f>IF($C461="B",INDEX(Batters[[#All],[EYE P]],MATCH(Table5[[#This Row],[PID]],Batters[[#All],[PID]],0)),INDEX(Table3[[#All],[VELO]],MATCH(Table5[[#This Row],[PID]],Table3[[#All],[PID]],0)))</f>
        <v>4</v>
      </c>
      <c r="P461" s="58">
        <f>IF($C461="B",INDEX(Batters[[#All],[K P]],MATCH(Table5[[#This Row],[PID]],Batters[[#All],[PID]],0)),INDEX(Table3[[#All],[STM]],MATCH(Table5[[#This Row],[PID]],Table3[[#All],[PID]],0)))</f>
        <v>5</v>
      </c>
      <c r="Q461" s="63">
        <f>IF($C461="B",INDEX(Batters[[#All],[Tot]],MATCH(Table5[[#This Row],[PID]],Batters[[#All],[PID]],0)),INDEX(Table3[[#All],[Tot]],MATCH(Table5[[#This Row],[PID]],Table3[[#All],[PID]],0)))</f>
        <v>39.950564363893378</v>
      </c>
      <c r="R461" s="54">
        <f>IF($C461="B",INDEX(Batters[[#All],[zScore]],MATCH(Table5[[#This Row],[PID]],Batters[[#All],[PID]],0)),INDEX(Table3[[#All],[zScore]],MATCH(Table5[[#This Row],[PID]],Table3[[#All],[PID]],0)))</f>
        <v>-6.9969679720224651E-2</v>
      </c>
      <c r="S461" s="60" t="str">
        <f>IF($C461="B",INDEX(Batters[[#All],[DEM]],MATCH(Table5[[#This Row],[PID]],Batters[[#All],[PID]],0)),INDEX(Table3[[#All],[DEM]],MATCH(Table5[[#This Row],[PID]],Table3[[#All],[PID]],0)))</f>
        <v>$80k</v>
      </c>
      <c r="T461" s="64">
        <f>IF($C461="B",VLOOKUP($A461,Bat!$A$4:$AU$1417,46,FALSE),VLOOKUP($A461,Pit!$A$4:$BD$570,55,FALSE))</f>
        <v>0</v>
      </c>
      <c r="U461" s="52">
        <f>IF($C461="B",VLOOKUP($A461,Bat!$A$4:$BA$1417,47,FALSE),VLOOKUP($A461,Pit!$A$4:$BF$570,56,FALSE))</f>
        <v>0</v>
      </c>
      <c r="V461" s="52">
        <f>IF($C461="B",VLOOKUP($A461,Bat!$A$4:$BA$1417,48,FALSE),VLOOKUP($A461,Pit!$A$4:$BF$570,57,FALSE))</f>
        <v>0</v>
      </c>
      <c r="W461" s="52">
        <f>Table5[[#This Row],[posRnk]]+Table5[[#This Row],[zRnk]]+IF($W$3&lt;&gt;Table5[[#This Row],[Type]],50,0)</f>
        <v>507</v>
      </c>
      <c r="X461" s="53">
        <f>RANK(Table5[[#This Row],[zScore]],Table5[[#All],[zScore]])</f>
        <v>457</v>
      </c>
      <c r="Y461" s="52" t="str">
        <f>IFERROR(INDEX(DraftResults[[#All],[OVR]],MATCH(Table5[[#This Row],[PID]],DraftResults[[#All],[Player ID]],0)),"")</f>
        <v/>
      </c>
      <c r="Z4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1" s="52" t="str">
        <f>IFERROR(INDEX(DraftResults[[#All],[Pick in Round]],MATCH(Table5[[#This Row],[PID]],DraftResults[[#All],[Player ID]],0)),"")</f>
        <v/>
      </c>
      <c r="AB461" s="52" t="str">
        <f>IFERROR(INDEX(DraftResults[[#All],[Team Name]],MATCH(Table5[[#This Row],[PID]],DraftResults[[#All],[Player ID]],0)),"")</f>
        <v/>
      </c>
      <c r="AC461" s="52" t="str">
        <f>IF(Table5[[#This Row],[Ovr]]="","",IF(Table5[[#This Row],[cmbList]]="","",Table5[[#This Row],[cmbList]]-Table5[[#This Row],[Ovr]]))</f>
        <v/>
      </c>
      <c r="AD461" s="56" t="str">
        <f>IF(ISERROR(VLOOKUP($AB461&amp;"-"&amp;$E461&amp;" "&amp;F461,Bonuses!$B$1:$G$1006,4,FALSE)),"",INT(VLOOKUP($AB461&amp;"-"&amp;$E461&amp;" "&amp;$F461,Bonuses!$B$1:$G$1006,4,FALSE)))</f>
        <v/>
      </c>
      <c r="AE4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2" spans="1:31" s="52" customFormat="1" x14ac:dyDescent="0.25">
      <c r="A462" s="52">
        <v>9705</v>
      </c>
      <c r="B462" s="57">
        <f>COUNTIF(Table5[PID],A462)</f>
        <v>1</v>
      </c>
      <c r="C462" s="57" t="str">
        <f>IF(COUNTIF(Table3[[#All],[PID]],A462)&gt;0,"P","B")</f>
        <v>B</v>
      </c>
      <c r="D462" s="61" t="str">
        <f>IF($C462="B",INDEX(Batters[[#All],[POS]],MATCH(Table5[[#This Row],[PID]],Batters[[#All],[PID]],0)),INDEX(Table3[[#All],[POS]],MATCH(Table5[[#This Row],[PID]],Table3[[#All],[PID]],0)))</f>
        <v>SS</v>
      </c>
      <c r="E462" s="54" t="str">
        <f>IF($C462="B",INDEX(Batters[[#All],[First]],MATCH(Table5[[#This Row],[PID]],Batters[[#All],[PID]],0)),INDEX(Table3[[#All],[First]],MATCH(Table5[[#This Row],[PID]],Table3[[#All],[PID]],0)))</f>
        <v>Billy</v>
      </c>
      <c r="F462" s="52" t="str">
        <f>IF($C462="B",INDEX(Batters[[#All],[Last]],MATCH(A462,Batters[[#All],[PID]],0)),INDEX(Table3[[#All],[Last]],MATCH(A462,Table3[[#All],[PID]],0)))</f>
        <v>Stewart</v>
      </c>
      <c r="G462" s="58">
        <f>IF($C462="B",INDEX(Batters[[#All],[Age]],MATCH(Table5[[#This Row],[PID]],Batters[[#All],[PID]],0)),INDEX(Table3[[#All],[Age]],MATCH(Table5[[#This Row],[PID]],Table3[[#All],[PID]],0)))</f>
        <v>21</v>
      </c>
      <c r="H462" s="54" t="str">
        <f>IF($C462="B",INDEX(Batters[[#All],[B]],MATCH(Table5[[#This Row],[PID]],Batters[[#All],[PID]],0)),INDEX(Table3[[#All],[B]],MATCH(Table5[[#This Row],[PID]],Table3[[#All],[PID]],0)))</f>
        <v>R</v>
      </c>
      <c r="I462" s="54" t="str">
        <f>IF($C462="B",INDEX(Batters[[#All],[T]],MATCH(Table5[[#This Row],[PID]],Batters[[#All],[PID]],0)),INDEX(Table3[[#All],[T]],MATCH(Table5[[#This Row],[PID]],Table3[[#All],[PID]],0)))</f>
        <v>R</v>
      </c>
      <c r="J462" s="54" t="str">
        <f>IF($C462="B",INDEX(Batters[[#All],[WE]],MATCH(Table5[[#This Row],[PID]],Batters[[#All],[PID]],0)),INDEX(Table3[[#All],[WE]],MATCH(Table5[[#This Row],[PID]],Table3[[#All],[PID]],0)))</f>
        <v>Normal</v>
      </c>
      <c r="K462" s="54" t="str">
        <f>IF($C462="B",INDEX(Batters[[#All],[INT]],MATCH(Table5[[#This Row],[PID]],Batters[[#All],[PID]],0)),INDEX(Table3[[#All],[INT]],MATCH(Table5[[#This Row],[PID]],Table3[[#All],[PID]],0)))</f>
        <v>Normal</v>
      </c>
      <c r="L462" s="62">
        <f>IF($C462="B",INDEX(Batters[[#All],[CON P]],MATCH(Table5[[#This Row],[PID]],Batters[[#All],[PID]],0)),INDEX(Table3[[#All],[STU P]],MATCH(Table5[[#This Row],[PID]],Table3[[#All],[PID]],0)))</f>
        <v>4</v>
      </c>
      <c r="M462" s="58">
        <f>IF($C462="B",INDEX(Batters[[#All],[GAP P]],MATCH(Table5[[#This Row],[PID]],Batters[[#All],[PID]],0)),INDEX(Table3[[#All],[MOV P]],MATCH(Table5[[#This Row],[PID]],Table3[[#All],[PID]],0)))</f>
        <v>4</v>
      </c>
      <c r="N462" s="58">
        <f>IF($C462="B",INDEX(Batters[[#All],[POW P]],MATCH(Table5[[#This Row],[PID]],Batters[[#All],[PID]],0)),INDEX(Table3[[#All],[CON P]],MATCH(Table5[[#This Row],[PID]],Table3[[#All],[PID]],0)))</f>
        <v>2</v>
      </c>
      <c r="O462" s="58">
        <f>IF($C462="B",INDEX(Batters[[#All],[EYE P]],MATCH(Table5[[#This Row],[PID]],Batters[[#All],[PID]],0)),INDEX(Table3[[#All],[VELO]],MATCH(Table5[[#This Row],[PID]],Table3[[#All],[PID]],0)))</f>
        <v>5</v>
      </c>
      <c r="P462" s="58">
        <f>IF($C462="B",INDEX(Batters[[#All],[K P]],MATCH(Table5[[#This Row],[PID]],Batters[[#All],[PID]],0)),INDEX(Table3[[#All],[STM]],MATCH(Table5[[#This Row],[PID]],Table3[[#All],[PID]],0)))</f>
        <v>4</v>
      </c>
      <c r="Q462" s="63">
        <f>IF($C462="B",INDEX(Batters[[#All],[Tot]],MATCH(Table5[[#This Row],[PID]],Batters[[#All],[PID]],0)),INDEX(Table3[[#All],[Tot]],MATCH(Table5[[#This Row],[PID]],Table3[[#All],[PID]],0)))</f>
        <v>39.922862647406127</v>
      </c>
      <c r="R462" s="54">
        <f>IF($C462="B",INDEX(Batters[[#All],[zScore]],MATCH(Table5[[#This Row],[PID]],Batters[[#All],[PID]],0)),INDEX(Table3[[#All],[zScore]],MATCH(Table5[[#This Row],[PID]],Table3[[#All],[PID]],0)))</f>
        <v>-7.4843612622144506E-2</v>
      </c>
      <c r="S462" s="60" t="str">
        <f>IF($C462="B",INDEX(Batters[[#All],[DEM]],MATCH(Table5[[#This Row],[PID]],Batters[[#All],[PID]],0)),INDEX(Table3[[#All],[DEM]],MATCH(Table5[[#This Row],[PID]],Table3[[#All],[PID]],0)))</f>
        <v>-</v>
      </c>
      <c r="T462" s="64">
        <f>IF($C462="B",VLOOKUP($A462,Bat!$A$4:$AU$1417,46,FALSE),VLOOKUP($A462,Pit!$A$4:$BD$570,55,FALSE))</f>
        <v>0</v>
      </c>
      <c r="U462" s="52">
        <f>IF($C462="B",VLOOKUP($A462,Bat!$A$4:$BA$1417,47,FALSE),VLOOKUP($A462,Pit!$A$4:$BF$570,56,FALSE))</f>
        <v>0</v>
      </c>
      <c r="V462" s="52">
        <f>IF($C462="B",VLOOKUP($A462,Bat!$A$4:$BA$1417,48,FALSE),VLOOKUP($A462,Pit!$A$4:$BF$570,57,FALSE))</f>
        <v>0</v>
      </c>
      <c r="W462" s="52">
        <f>Table5[[#This Row],[posRnk]]+Table5[[#This Row],[zRnk]]+IF($W$3&lt;&gt;Table5[[#This Row],[Type]],50,0)</f>
        <v>508</v>
      </c>
      <c r="X462" s="53">
        <f>RANK(Table5[[#This Row],[zScore]],Table5[[#All],[zScore]])</f>
        <v>458</v>
      </c>
      <c r="Y462" s="52" t="str">
        <f>IFERROR(INDEX(DraftResults[[#All],[OVR]],MATCH(Table5[[#This Row],[PID]],DraftResults[[#All],[Player ID]],0)),"")</f>
        <v/>
      </c>
      <c r="Z4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2" s="52" t="str">
        <f>IFERROR(INDEX(DraftResults[[#All],[Pick in Round]],MATCH(Table5[[#This Row],[PID]],DraftResults[[#All],[Player ID]],0)),"")</f>
        <v/>
      </c>
      <c r="AB462" s="52" t="str">
        <f>IFERROR(INDEX(DraftResults[[#All],[Team Name]],MATCH(Table5[[#This Row],[PID]],DraftResults[[#All],[Player ID]],0)),"")</f>
        <v/>
      </c>
      <c r="AC462" s="52" t="str">
        <f>IF(Table5[[#This Row],[Ovr]]="","",IF(Table5[[#This Row],[cmbList]]="","",Table5[[#This Row],[cmbList]]-Table5[[#This Row],[Ovr]]))</f>
        <v/>
      </c>
      <c r="AD462" s="56" t="str">
        <f>IF(ISERROR(VLOOKUP($AB462&amp;"-"&amp;$E462&amp;" "&amp;F462,Bonuses!$B$1:$G$1006,4,FALSE)),"",INT(VLOOKUP($AB462&amp;"-"&amp;$E462&amp;" "&amp;$F462,Bonuses!$B$1:$G$1006,4,FALSE)))</f>
        <v/>
      </c>
      <c r="AE4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3" spans="1:31" s="52" customFormat="1" x14ac:dyDescent="0.25">
      <c r="A463" s="52">
        <v>17906</v>
      </c>
      <c r="B463" s="52">
        <f>COUNTIF(Table5[PID],A463)</f>
        <v>1</v>
      </c>
      <c r="C463" s="52" t="str">
        <f>IF(COUNTIF(Table3[[#All],[PID]],A463)&gt;0,"P","B")</f>
        <v>B</v>
      </c>
      <c r="D463" s="61" t="str">
        <f>IF($C463="B",INDEX(Batters[[#All],[POS]],MATCH(Table5[[#This Row],[PID]],Batters[[#All],[PID]],0)),INDEX(Table3[[#All],[POS]],MATCH(Table5[[#This Row],[PID]],Table3[[#All],[PID]],0)))</f>
        <v>3B</v>
      </c>
      <c r="E463" s="54" t="str">
        <f>IF($C463="B",INDEX(Batters[[#All],[First]],MATCH(Table5[[#This Row],[PID]],Batters[[#All],[PID]],0)),INDEX(Table3[[#All],[First]],MATCH(Table5[[#This Row],[PID]],Table3[[#All],[PID]],0)))</f>
        <v>Axel</v>
      </c>
      <c r="F463" s="52" t="str">
        <f>IF($C463="B",INDEX(Batters[[#All],[Last]],MATCH(A463,Batters[[#All],[PID]],0)),INDEX(Table3[[#All],[Last]],MATCH(A463,Table3[[#All],[PID]],0)))</f>
        <v>Tillett</v>
      </c>
      <c r="G463" s="58">
        <f>IF($C463="B",INDEX(Batters[[#All],[Age]],MATCH(Table5[[#This Row],[PID]],Batters[[#All],[PID]],0)),INDEX(Table3[[#All],[Age]],MATCH(Table5[[#This Row],[PID]],Table3[[#All],[PID]],0)))</f>
        <v>18</v>
      </c>
      <c r="H463" s="54" t="str">
        <f>IF($C463="B",INDEX(Batters[[#All],[B]],MATCH(Table5[[#This Row],[PID]],Batters[[#All],[PID]],0)),INDEX(Table3[[#All],[B]],MATCH(Table5[[#This Row],[PID]],Table3[[#All],[PID]],0)))</f>
        <v>R</v>
      </c>
      <c r="I463" s="54" t="str">
        <f>IF($C463="B",INDEX(Batters[[#All],[T]],MATCH(Table5[[#This Row],[PID]],Batters[[#All],[PID]],0)),INDEX(Table3[[#All],[T]],MATCH(Table5[[#This Row],[PID]],Table3[[#All],[PID]],0)))</f>
        <v>R</v>
      </c>
      <c r="J463" s="54" t="str">
        <f>IF($C463="B",INDEX(Batters[[#All],[WE]],MATCH(Table5[[#This Row],[PID]],Batters[[#All],[PID]],0)),INDEX(Table3[[#All],[WE]],MATCH(Table5[[#This Row],[PID]],Table3[[#All],[PID]],0)))</f>
        <v>Normal</v>
      </c>
      <c r="K463" s="54" t="str">
        <f>IF($C463="B",INDEX(Batters[[#All],[INT]],MATCH(Table5[[#This Row],[PID]],Batters[[#All],[PID]],0)),INDEX(Table3[[#All],[INT]],MATCH(Table5[[#This Row],[PID]],Table3[[#All],[PID]],0)))</f>
        <v>Normal</v>
      </c>
      <c r="L463" s="62">
        <f>IF($C463="B",INDEX(Batters[[#All],[CON P]],MATCH(Table5[[#This Row],[PID]],Batters[[#All],[PID]],0)),INDEX(Table3[[#All],[STU P]],MATCH(Table5[[#This Row],[PID]],Table3[[#All],[PID]],0)))</f>
        <v>3</v>
      </c>
      <c r="M463" s="58">
        <f>IF($C463="B",INDEX(Batters[[#All],[GAP P]],MATCH(Table5[[#This Row],[PID]],Batters[[#All],[PID]],0)),INDEX(Table3[[#All],[MOV P]],MATCH(Table5[[#This Row],[PID]],Table3[[#All],[PID]],0)))</f>
        <v>4</v>
      </c>
      <c r="N463" s="58">
        <f>IF($C463="B",INDEX(Batters[[#All],[POW P]],MATCH(Table5[[#This Row],[PID]],Batters[[#All],[PID]],0)),INDEX(Table3[[#All],[CON P]],MATCH(Table5[[#This Row],[PID]],Table3[[#All],[PID]],0)))</f>
        <v>2</v>
      </c>
      <c r="O463" s="58">
        <f>IF($C463="B",INDEX(Batters[[#All],[EYE P]],MATCH(Table5[[#This Row],[PID]],Batters[[#All],[PID]],0)),INDEX(Table3[[#All],[VELO]],MATCH(Table5[[#This Row],[PID]],Table3[[#All],[PID]],0)))</f>
        <v>4</v>
      </c>
      <c r="P463" s="58">
        <f>IF($C463="B",INDEX(Batters[[#All],[K P]],MATCH(Table5[[#This Row],[PID]],Batters[[#All],[PID]],0)),INDEX(Table3[[#All],[STM]],MATCH(Table5[[#This Row],[PID]],Table3[[#All],[PID]],0)))</f>
        <v>4</v>
      </c>
      <c r="Q463" s="63">
        <f>IF($C463="B",INDEX(Batters[[#All],[Tot]],MATCH(Table5[[#This Row],[PID]],Batters[[#All],[PID]],0)),INDEX(Table3[[#All],[Tot]],MATCH(Table5[[#This Row],[PID]],Table3[[#All],[PID]],0)))</f>
        <v>39.893224935616608</v>
      </c>
      <c r="R463" s="54">
        <f>IF($C463="B",INDEX(Batters[[#All],[zScore]],MATCH(Table5[[#This Row],[PID]],Batters[[#All],[PID]],0)),INDEX(Table3[[#All],[zScore]],MATCH(Table5[[#This Row],[PID]],Table3[[#All],[PID]],0)))</f>
        <v>-8.0058171030286396E-2</v>
      </c>
      <c r="S463" s="60" t="str">
        <f>IF($C463="B",INDEX(Batters[[#All],[DEM]],MATCH(Table5[[#This Row],[PID]],Batters[[#All],[PID]],0)),INDEX(Table3[[#All],[DEM]],MATCH(Table5[[#This Row],[PID]],Table3[[#All],[PID]],0)))</f>
        <v>$110k</v>
      </c>
      <c r="T463" s="64">
        <f>IF($C463="B",VLOOKUP($A463,Bat!$A$4:$AU$1417,46,FALSE),VLOOKUP($A463,Pit!$A$4:$BD$570,55,FALSE))</f>
        <v>0</v>
      </c>
      <c r="U463" s="52">
        <f>IF($C463="B",VLOOKUP($A463,Bat!$A$4:$BA$1417,47,FALSE),VLOOKUP($A463,Pit!$A$4:$BF$570,56,FALSE))</f>
        <v>0</v>
      </c>
      <c r="V463" s="52">
        <f>IF($C463="B",VLOOKUP($A463,Bat!$A$4:$BA$1417,48,FALSE),VLOOKUP($A463,Pit!$A$4:$BF$570,57,FALSE))</f>
        <v>0</v>
      </c>
      <c r="W463" s="52">
        <f>Table5[[#This Row],[posRnk]]+Table5[[#This Row],[zRnk]]+IF($W$3&lt;&gt;Table5[[#This Row],[Type]],50,0)</f>
        <v>509</v>
      </c>
      <c r="X463" s="53">
        <f>RANK(Table5[[#This Row],[zScore]],Table5[[#All],[zScore]])</f>
        <v>459</v>
      </c>
      <c r="Y463" s="52" t="str">
        <f>IFERROR(INDEX(DraftResults[[#All],[OVR]],MATCH(Table5[[#This Row],[PID]],DraftResults[[#All],[Player ID]],0)),"")</f>
        <v/>
      </c>
      <c r="Z4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3" s="52" t="str">
        <f>IFERROR(INDEX(DraftResults[[#All],[Pick in Round]],MATCH(Table5[[#This Row],[PID]],DraftResults[[#All],[Player ID]],0)),"")</f>
        <v/>
      </c>
      <c r="AB463" s="52" t="str">
        <f>IFERROR(INDEX(DraftResults[[#All],[Team Name]],MATCH(Table5[[#This Row],[PID]],DraftResults[[#All],[Player ID]],0)),"")</f>
        <v/>
      </c>
      <c r="AC463" s="52" t="str">
        <f>IF(Table5[[#This Row],[Ovr]]="","",IF(Table5[[#This Row],[cmbList]]="","",Table5[[#This Row],[cmbList]]-Table5[[#This Row],[Ovr]]))</f>
        <v/>
      </c>
      <c r="AD463" s="56" t="str">
        <f>IF(ISERROR(VLOOKUP($AB463&amp;"-"&amp;$E463&amp;" "&amp;F463,Bonuses!$B$1:$G$1006,4,FALSE)),"",INT(VLOOKUP($AB463&amp;"-"&amp;$E463&amp;" "&amp;$F463,Bonuses!$B$1:$G$1006,4,FALSE)))</f>
        <v/>
      </c>
      <c r="AE4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4" spans="1:31" s="52" customFormat="1" x14ac:dyDescent="0.25">
      <c r="A464" s="52">
        <v>9241</v>
      </c>
      <c r="B464" s="57">
        <f>COUNTIF(Table5[PID],A464)</f>
        <v>1</v>
      </c>
      <c r="C464" s="57" t="str">
        <f>IF(COUNTIF(Table3[[#All],[PID]],A464)&gt;0,"P","B")</f>
        <v>B</v>
      </c>
      <c r="D464" s="61" t="str">
        <f>IF($C464="B",INDEX(Batters[[#All],[POS]],MATCH(Table5[[#This Row],[PID]],Batters[[#All],[PID]],0)),INDEX(Table3[[#All],[POS]],MATCH(Table5[[#This Row],[PID]],Table3[[#All],[PID]],0)))</f>
        <v>LF</v>
      </c>
      <c r="E464" s="54" t="str">
        <f>IF($C464="B",INDEX(Batters[[#All],[First]],MATCH(Table5[[#This Row],[PID]],Batters[[#All],[PID]],0)),INDEX(Table3[[#All],[First]],MATCH(Table5[[#This Row],[PID]],Table3[[#All],[PID]],0)))</f>
        <v>Ken</v>
      </c>
      <c r="F464" s="52" t="str">
        <f>IF($C464="B",INDEX(Batters[[#All],[Last]],MATCH(A464,Batters[[#All],[PID]],0)),INDEX(Table3[[#All],[Last]],MATCH(A464,Table3[[#All],[PID]],0)))</f>
        <v>Neal</v>
      </c>
      <c r="G464" s="58">
        <f>IF($C464="B",INDEX(Batters[[#All],[Age]],MATCH(Table5[[#This Row],[PID]],Batters[[#All],[PID]],0)),INDEX(Table3[[#All],[Age]],MATCH(Table5[[#This Row],[PID]],Table3[[#All],[PID]],0)))</f>
        <v>21</v>
      </c>
      <c r="H464" s="54" t="str">
        <f>IF($C464="B",INDEX(Batters[[#All],[B]],MATCH(Table5[[#This Row],[PID]],Batters[[#All],[PID]],0)),INDEX(Table3[[#All],[B]],MATCH(Table5[[#This Row],[PID]],Table3[[#All],[PID]],0)))</f>
        <v>R</v>
      </c>
      <c r="I464" s="54" t="str">
        <f>IF($C464="B",INDEX(Batters[[#All],[T]],MATCH(Table5[[#This Row],[PID]],Batters[[#All],[PID]],0)),INDEX(Table3[[#All],[T]],MATCH(Table5[[#This Row],[PID]],Table3[[#All],[PID]],0)))</f>
        <v>R</v>
      </c>
      <c r="J464" s="54" t="str">
        <f>IF($C464="B",INDEX(Batters[[#All],[WE]],MATCH(Table5[[#This Row],[PID]],Batters[[#All],[PID]],0)),INDEX(Table3[[#All],[WE]],MATCH(Table5[[#This Row],[PID]],Table3[[#All],[PID]],0)))</f>
        <v>Normal</v>
      </c>
      <c r="K464" s="54" t="str">
        <f>IF($C464="B",INDEX(Batters[[#All],[INT]],MATCH(Table5[[#This Row],[PID]],Batters[[#All],[PID]],0)),INDEX(Table3[[#All],[INT]],MATCH(Table5[[#This Row],[PID]],Table3[[#All],[PID]],0)))</f>
        <v>Low</v>
      </c>
      <c r="L464" s="62">
        <f>IF($C464="B",INDEX(Batters[[#All],[CON P]],MATCH(Table5[[#This Row],[PID]],Batters[[#All],[PID]],0)),INDEX(Table3[[#All],[STU P]],MATCH(Table5[[#This Row],[PID]],Table3[[#All],[PID]],0)))</f>
        <v>4</v>
      </c>
      <c r="M464" s="58">
        <f>IF($C464="B",INDEX(Batters[[#All],[GAP P]],MATCH(Table5[[#This Row],[PID]],Batters[[#All],[PID]],0)),INDEX(Table3[[#All],[MOV P]],MATCH(Table5[[#This Row],[PID]],Table3[[#All],[PID]],0)))</f>
        <v>3</v>
      </c>
      <c r="N464" s="58">
        <f>IF($C464="B",INDEX(Batters[[#All],[POW P]],MATCH(Table5[[#This Row],[PID]],Batters[[#All],[PID]],0)),INDEX(Table3[[#All],[CON P]],MATCH(Table5[[#This Row],[PID]],Table3[[#All],[PID]],0)))</f>
        <v>3</v>
      </c>
      <c r="O464" s="58">
        <f>IF($C464="B",INDEX(Batters[[#All],[EYE P]],MATCH(Table5[[#This Row],[PID]],Batters[[#All],[PID]],0)),INDEX(Table3[[#All],[VELO]],MATCH(Table5[[#This Row],[PID]],Table3[[#All],[PID]],0)))</f>
        <v>4</v>
      </c>
      <c r="P464" s="58">
        <f>IF($C464="B",INDEX(Batters[[#All],[K P]],MATCH(Table5[[#This Row],[PID]],Batters[[#All],[PID]],0)),INDEX(Table3[[#All],[STM]],MATCH(Table5[[#This Row],[PID]],Table3[[#All],[PID]],0)))</f>
        <v>4</v>
      </c>
      <c r="Q464" s="63">
        <f>IF($C464="B",INDEX(Batters[[#All],[Tot]],MATCH(Table5[[#This Row],[PID]],Batters[[#All],[PID]],0)),INDEX(Table3[[#All],[Tot]],MATCH(Table5[[#This Row],[PID]],Table3[[#All],[PID]],0)))</f>
        <v>39.876475848847349</v>
      </c>
      <c r="R464" s="54">
        <f>IF($C464="B",INDEX(Batters[[#All],[zScore]],MATCH(Table5[[#This Row],[PID]],Batters[[#All],[PID]],0)),INDEX(Table3[[#All],[zScore]],MATCH(Table5[[#This Row],[PID]],Table3[[#All],[PID]],0)))</f>
        <v>-8.3005061527825594E-2</v>
      </c>
      <c r="S464" s="60" t="str">
        <f>IF($C464="B",INDEX(Batters[[#All],[DEM]],MATCH(Table5[[#This Row],[PID]],Batters[[#All],[PID]],0)),INDEX(Table3[[#All],[DEM]],MATCH(Table5[[#This Row],[PID]],Table3[[#All],[PID]],0)))</f>
        <v>-</v>
      </c>
      <c r="T464" s="64">
        <f>IF($C464="B",VLOOKUP($A464,Bat!$A$4:$AU$1417,46,FALSE),VLOOKUP($A464,Pit!$A$4:$BD$570,55,FALSE))</f>
        <v>0</v>
      </c>
      <c r="U464" s="52">
        <f>IF($C464="B",VLOOKUP($A464,Bat!$A$4:$BA$1417,47,FALSE),VLOOKUP($A464,Pit!$A$4:$BF$570,56,FALSE))</f>
        <v>0</v>
      </c>
      <c r="V464" s="52">
        <f>IF($C464="B",VLOOKUP($A464,Bat!$A$4:$BA$1417,48,FALSE),VLOOKUP($A464,Pit!$A$4:$BF$570,57,FALSE))</f>
        <v>0</v>
      </c>
      <c r="W464" s="52">
        <f>Table5[[#This Row],[posRnk]]+Table5[[#This Row],[zRnk]]+IF($W$3&lt;&gt;Table5[[#This Row],[Type]],50,0)</f>
        <v>510</v>
      </c>
      <c r="X464" s="53">
        <f>RANK(Table5[[#This Row],[zScore]],Table5[[#All],[zScore]])</f>
        <v>460</v>
      </c>
      <c r="Y464" s="52" t="str">
        <f>IFERROR(INDEX(DraftResults[[#All],[OVR]],MATCH(Table5[[#This Row],[PID]],DraftResults[[#All],[Player ID]],0)),"")</f>
        <v/>
      </c>
      <c r="Z4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4" s="52" t="str">
        <f>IFERROR(INDEX(DraftResults[[#All],[Pick in Round]],MATCH(Table5[[#This Row],[PID]],DraftResults[[#All],[Player ID]],0)),"")</f>
        <v/>
      </c>
      <c r="AB464" s="52" t="str">
        <f>IFERROR(INDEX(DraftResults[[#All],[Team Name]],MATCH(Table5[[#This Row],[PID]],DraftResults[[#All],[Player ID]],0)),"")</f>
        <v/>
      </c>
      <c r="AC464" s="52" t="str">
        <f>IF(Table5[[#This Row],[Ovr]]="","",IF(Table5[[#This Row],[cmbList]]="","",Table5[[#This Row],[cmbList]]-Table5[[#This Row],[Ovr]]))</f>
        <v/>
      </c>
      <c r="AD464" s="56" t="str">
        <f>IF(ISERROR(VLOOKUP($AB464&amp;"-"&amp;$E464&amp;" "&amp;F464,Bonuses!$B$1:$G$1006,4,FALSE)),"",INT(VLOOKUP($AB464&amp;"-"&amp;$E464&amp;" "&amp;$F464,Bonuses!$B$1:$G$1006,4,FALSE)))</f>
        <v/>
      </c>
      <c r="AE4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5" spans="1:31" s="52" customFormat="1" x14ac:dyDescent="0.25">
      <c r="A465" s="52">
        <v>17804</v>
      </c>
      <c r="B465" s="52">
        <f>COUNTIF(Table5[PID],A465)</f>
        <v>1</v>
      </c>
      <c r="C465" s="52" t="str">
        <f>IF(COUNTIF(Table3[[#All],[PID]],A465)&gt;0,"P","B")</f>
        <v>P</v>
      </c>
      <c r="D465" s="61" t="str">
        <f>IF($C465="B",INDEX(Batters[[#All],[POS]],MATCH(Table5[[#This Row],[PID]],Batters[[#All],[PID]],0)),INDEX(Table3[[#All],[POS]],MATCH(Table5[[#This Row],[PID]],Table3[[#All],[PID]],0)))</f>
        <v>RP</v>
      </c>
      <c r="E465" s="54" t="str">
        <f>IF($C465="B",INDEX(Batters[[#All],[First]],MATCH(Table5[[#This Row],[PID]],Batters[[#All],[PID]],0)),INDEX(Table3[[#All],[First]],MATCH(Table5[[#This Row],[PID]],Table3[[#All],[PID]],0)))</f>
        <v>Moromao</v>
      </c>
      <c r="F465" s="52" t="str">
        <f>IF($C465="B",INDEX(Batters[[#All],[Last]],MATCH(A465,Batters[[#All],[PID]],0)),INDEX(Table3[[#All],[Last]],MATCH(A465,Table3[[#All],[PID]],0)))</f>
        <v>Kono</v>
      </c>
      <c r="G465" s="58">
        <f>IF($C465="B",INDEX(Batters[[#All],[Age]],MATCH(Table5[[#This Row],[PID]],Batters[[#All],[PID]],0)),INDEX(Table3[[#All],[Age]],MATCH(Table5[[#This Row],[PID]],Table3[[#All],[PID]],0)))</f>
        <v>21</v>
      </c>
      <c r="H465" s="54" t="str">
        <f>IF($C465="B",INDEX(Batters[[#All],[B]],MATCH(Table5[[#This Row],[PID]],Batters[[#All],[PID]],0)),INDEX(Table3[[#All],[B]],MATCH(Table5[[#This Row],[PID]],Table3[[#All],[PID]],0)))</f>
        <v>R</v>
      </c>
      <c r="I465" s="54" t="str">
        <f>IF($C465="B",INDEX(Batters[[#All],[T]],MATCH(Table5[[#This Row],[PID]],Batters[[#All],[PID]],0)),INDEX(Table3[[#All],[T]],MATCH(Table5[[#This Row],[PID]],Table3[[#All],[PID]],0)))</f>
        <v>L</v>
      </c>
      <c r="J465" s="54" t="str">
        <f>IF($C465="B",INDEX(Batters[[#All],[WE]],MATCH(Table5[[#This Row],[PID]],Batters[[#All],[PID]],0)),INDEX(Table3[[#All],[WE]],MATCH(Table5[[#This Row],[PID]],Table3[[#All],[PID]],0)))</f>
        <v>Low</v>
      </c>
      <c r="K465" s="54" t="str">
        <f>IF($C465="B",INDEX(Batters[[#All],[INT]],MATCH(Table5[[#This Row],[PID]],Batters[[#All],[PID]],0)),INDEX(Table3[[#All],[INT]],MATCH(Table5[[#This Row],[PID]],Table3[[#All],[PID]],0)))</f>
        <v>Normal</v>
      </c>
      <c r="L465" s="62">
        <f>IF($C465="B",INDEX(Batters[[#All],[CON P]],MATCH(Table5[[#This Row],[PID]],Batters[[#All],[PID]],0)),INDEX(Table3[[#All],[STU P]],MATCH(Table5[[#This Row],[PID]],Table3[[#All],[PID]],0)))</f>
        <v>5</v>
      </c>
      <c r="M465" s="58">
        <f>IF($C465="B",INDEX(Batters[[#All],[GAP P]],MATCH(Table5[[#This Row],[PID]],Batters[[#All],[PID]],0)),INDEX(Table3[[#All],[MOV P]],MATCH(Table5[[#This Row],[PID]],Table3[[#All],[PID]],0)))</f>
        <v>2</v>
      </c>
      <c r="N465" s="58">
        <f>IF($C465="B",INDEX(Batters[[#All],[POW P]],MATCH(Table5[[#This Row],[PID]],Batters[[#All],[PID]],0)),INDEX(Table3[[#All],[CON P]],MATCH(Table5[[#This Row],[PID]],Table3[[#All],[PID]],0)))</f>
        <v>3</v>
      </c>
      <c r="O465" s="58" t="str">
        <f>IF($C465="B",INDEX(Batters[[#All],[EYE P]],MATCH(Table5[[#This Row],[PID]],Batters[[#All],[PID]],0)),INDEX(Table3[[#All],[VELO]],MATCH(Table5[[#This Row],[PID]],Table3[[#All],[PID]],0)))</f>
        <v>88-90 Mph</v>
      </c>
      <c r="P465" s="58">
        <f>IF($C465="B",INDEX(Batters[[#All],[K P]],MATCH(Table5[[#This Row],[PID]],Batters[[#All],[PID]],0)),INDEX(Table3[[#All],[STM]],MATCH(Table5[[#This Row],[PID]],Table3[[#All],[PID]],0)))</f>
        <v>4</v>
      </c>
      <c r="Q465" s="63">
        <f>IF($C465="B",INDEX(Batters[[#All],[Tot]],MATCH(Table5[[#This Row],[PID]],Batters[[#All],[PID]],0)),INDEX(Table3[[#All],[Tot]],MATCH(Table5[[#This Row],[PID]],Table3[[#All],[PID]],0)))</f>
        <v>31.810498159316069</v>
      </c>
      <c r="R465" s="54">
        <f>IF($C465="B",INDEX(Batters[[#All],[zScore]],MATCH(Table5[[#This Row],[PID]],Batters[[#All],[PID]],0)),INDEX(Table3[[#All],[zScore]],MATCH(Table5[[#This Row],[PID]],Table3[[#All],[PID]],0)))</f>
        <v>-8.3611619021056821E-2</v>
      </c>
      <c r="S465" s="60" t="str">
        <f>IF($C465="B",INDEX(Batters[[#All],[DEM]],MATCH(Table5[[#This Row],[PID]],Batters[[#All],[PID]],0)),INDEX(Table3[[#All],[DEM]],MATCH(Table5[[#This Row],[PID]],Table3[[#All],[PID]],0)))</f>
        <v>$34k</v>
      </c>
      <c r="T465" s="64">
        <f>IF($C465="B",VLOOKUP($A465,Bat!$A$4:$AU$1417,46,FALSE),VLOOKUP($A465,Pit!$A$4:$BD$570,55,FALSE))</f>
        <v>0</v>
      </c>
      <c r="U465" s="52">
        <f>IF($C465="B",VLOOKUP($A465,Bat!$A$4:$BA$1417,47,FALSE),VLOOKUP($A465,Pit!$A$4:$BF$570,56,FALSE))</f>
        <v>0</v>
      </c>
      <c r="V465" s="52">
        <f>IF($C465="B",VLOOKUP($A465,Bat!$A$4:$BA$1417,48,FALSE),VLOOKUP($A465,Pit!$A$4:$BF$570,57,FALSE))</f>
        <v>0</v>
      </c>
      <c r="W465" s="52">
        <f>Table5[[#This Row],[posRnk]]+Table5[[#This Row],[zRnk]]+IF($W$3&lt;&gt;Table5[[#This Row],[Type]],50,0)</f>
        <v>511</v>
      </c>
      <c r="X465" s="53">
        <f>RANK(Table5[[#This Row],[zScore]],Table5[[#All],[zScore]])</f>
        <v>461</v>
      </c>
      <c r="Y465" s="52" t="str">
        <f>IFERROR(INDEX(DraftResults[[#All],[OVR]],MATCH(Table5[[#This Row],[PID]],DraftResults[[#All],[Player ID]],0)),"")</f>
        <v/>
      </c>
      <c r="Z4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5" s="52" t="str">
        <f>IFERROR(INDEX(DraftResults[[#All],[Pick in Round]],MATCH(Table5[[#This Row],[PID]],DraftResults[[#All],[Player ID]],0)),"")</f>
        <v/>
      </c>
      <c r="AB465" s="52" t="str">
        <f>IFERROR(INDEX(DraftResults[[#All],[Team Name]],MATCH(Table5[[#This Row],[PID]],DraftResults[[#All],[Player ID]],0)),"")</f>
        <v/>
      </c>
      <c r="AC465" s="52" t="str">
        <f>IF(Table5[[#This Row],[Ovr]]="","",IF(Table5[[#This Row],[cmbList]]="","",Table5[[#This Row],[cmbList]]-Table5[[#This Row],[Ovr]]))</f>
        <v/>
      </c>
      <c r="AD465" s="56" t="str">
        <f>IF(ISERROR(VLOOKUP($AB465&amp;"-"&amp;$E465&amp;" "&amp;F465,Bonuses!$B$1:$G$1006,4,FALSE)),"",INT(VLOOKUP($AB465&amp;"-"&amp;$E465&amp;" "&amp;$F465,Bonuses!$B$1:$G$1006,4,FALSE)))</f>
        <v/>
      </c>
      <c r="AE4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6" spans="1:31" s="52" customFormat="1" x14ac:dyDescent="0.25">
      <c r="A466" s="52">
        <v>17913</v>
      </c>
      <c r="B466" s="52">
        <f>COUNTIF(Table5[PID],A466)</f>
        <v>1</v>
      </c>
      <c r="C466" s="52" t="str">
        <f>IF(COUNTIF(Table3[[#All],[PID]],A466)&gt;0,"P","B")</f>
        <v>P</v>
      </c>
      <c r="D466" s="61" t="str">
        <f>IF($C466="B",INDEX(Batters[[#All],[POS]],MATCH(Table5[[#This Row],[PID]],Batters[[#All],[PID]],0)),INDEX(Table3[[#All],[POS]],MATCH(Table5[[#This Row],[PID]],Table3[[#All],[PID]],0)))</f>
        <v>RP</v>
      </c>
      <c r="E466" s="54" t="str">
        <f>IF($C466="B",INDEX(Batters[[#All],[First]],MATCH(Table5[[#This Row],[PID]],Batters[[#All],[PID]],0)),INDEX(Table3[[#All],[First]],MATCH(Table5[[#This Row],[PID]],Table3[[#All],[PID]],0)))</f>
        <v>Tom</v>
      </c>
      <c r="F466" s="52" t="str">
        <f>IF($C466="B",INDEX(Batters[[#All],[Last]],MATCH(A466,Batters[[#All],[PID]],0)),INDEX(Table3[[#All],[Last]],MATCH(A466,Table3[[#All],[PID]],0)))</f>
        <v>Bijl</v>
      </c>
      <c r="G466" s="58">
        <f>IF($C466="B",INDEX(Batters[[#All],[Age]],MATCH(Table5[[#This Row],[PID]],Batters[[#All],[PID]],0)),INDEX(Table3[[#All],[Age]],MATCH(Table5[[#This Row],[PID]],Table3[[#All],[PID]],0)))</f>
        <v>18</v>
      </c>
      <c r="H466" s="54" t="str">
        <f>IF($C466="B",INDEX(Batters[[#All],[B]],MATCH(Table5[[#This Row],[PID]],Batters[[#All],[PID]],0)),INDEX(Table3[[#All],[B]],MATCH(Table5[[#This Row],[PID]],Table3[[#All],[PID]],0)))</f>
        <v>L</v>
      </c>
      <c r="I466" s="54" t="str">
        <f>IF($C466="B",INDEX(Batters[[#All],[T]],MATCH(Table5[[#This Row],[PID]],Batters[[#All],[PID]],0)),INDEX(Table3[[#All],[T]],MATCH(Table5[[#This Row],[PID]],Table3[[#All],[PID]],0)))</f>
        <v>L</v>
      </c>
      <c r="J466" s="54" t="str">
        <f>IF($C466="B",INDEX(Batters[[#All],[WE]],MATCH(Table5[[#This Row],[PID]],Batters[[#All],[PID]],0)),INDEX(Table3[[#All],[WE]],MATCH(Table5[[#This Row],[PID]],Table3[[#All],[PID]],0)))</f>
        <v>Normal</v>
      </c>
      <c r="K466" s="54" t="str">
        <f>IF($C466="B",INDEX(Batters[[#All],[INT]],MATCH(Table5[[#This Row],[PID]],Batters[[#All],[PID]],0)),INDEX(Table3[[#All],[INT]],MATCH(Table5[[#This Row],[PID]],Table3[[#All],[PID]],0)))</f>
        <v>Normal</v>
      </c>
      <c r="L466" s="62">
        <f>IF($C466="B",INDEX(Batters[[#All],[CON P]],MATCH(Table5[[#This Row],[PID]],Batters[[#All],[PID]],0)),INDEX(Table3[[#All],[STU P]],MATCH(Table5[[#This Row],[PID]],Table3[[#All],[PID]],0)))</f>
        <v>4</v>
      </c>
      <c r="M466" s="58">
        <f>IF($C466="B",INDEX(Batters[[#All],[GAP P]],MATCH(Table5[[#This Row],[PID]],Batters[[#All],[PID]],0)),INDEX(Table3[[#All],[MOV P]],MATCH(Table5[[#This Row],[PID]],Table3[[#All],[PID]],0)))</f>
        <v>2</v>
      </c>
      <c r="N466" s="58">
        <f>IF($C466="B",INDEX(Batters[[#All],[POW P]],MATCH(Table5[[#This Row],[PID]],Batters[[#All],[PID]],0)),INDEX(Table3[[#All],[CON P]],MATCH(Table5[[#This Row],[PID]],Table3[[#All],[PID]],0)))</f>
        <v>2</v>
      </c>
      <c r="O466" s="58" t="str">
        <f>IF($C466="B",INDEX(Batters[[#All],[EYE P]],MATCH(Table5[[#This Row],[PID]],Batters[[#All],[PID]],0)),INDEX(Table3[[#All],[VELO]],MATCH(Table5[[#This Row],[PID]],Table3[[#All],[PID]],0)))</f>
        <v>84-86 Mph</v>
      </c>
      <c r="P466" s="58">
        <f>IF($C466="B",INDEX(Batters[[#All],[K P]],MATCH(Table5[[#This Row],[PID]],Batters[[#All],[PID]],0)),INDEX(Table3[[#All],[STM]],MATCH(Table5[[#This Row],[PID]],Table3[[#All],[PID]],0)))</f>
        <v>8</v>
      </c>
      <c r="Q466" s="63">
        <f>IF($C466="B",INDEX(Batters[[#All],[Tot]],MATCH(Table5[[#This Row],[PID]],Batters[[#All],[PID]],0)),INDEX(Table3[[#All],[Tot]],MATCH(Table5[[#This Row],[PID]],Table3[[#All],[PID]],0)))</f>
        <v>31.808972384184123</v>
      </c>
      <c r="R466" s="54">
        <f>IF($C466="B",INDEX(Batters[[#All],[zScore]],MATCH(Table5[[#This Row],[PID]],Batters[[#All],[PID]],0)),INDEX(Table3[[#All],[zScore]],MATCH(Table5[[#This Row],[PID]],Table3[[#All],[PID]],0)))</f>
        <v>-8.3751539121956181E-2</v>
      </c>
      <c r="S466" s="60" t="str">
        <f>IF($C466="B",INDEX(Batters[[#All],[DEM]],MATCH(Table5[[#This Row],[PID]],Batters[[#All],[PID]],0)),INDEX(Table3[[#All],[DEM]],MATCH(Table5[[#This Row],[PID]],Table3[[#All],[PID]],0)))</f>
        <v>$65k</v>
      </c>
      <c r="T466" s="64">
        <f>IF($C466="B",VLOOKUP($A466,Bat!$A$4:$AU$1417,46,FALSE),VLOOKUP($A466,Pit!$A$4:$BD$570,55,FALSE))</f>
        <v>0</v>
      </c>
      <c r="U466" s="52">
        <f>IF($C466="B",VLOOKUP($A466,Bat!$A$4:$BA$1417,47,FALSE),VLOOKUP($A466,Pit!$A$4:$BF$570,56,FALSE))</f>
        <v>0</v>
      </c>
      <c r="V466" s="52">
        <f>IF($C466="B",VLOOKUP($A466,Bat!$A$4:$BA$1417,48,FALSE),VLOOKUP($A466,Pit!$A$4:$BF$570,57,FALSE))</f>
        <v>0</v>
      </c>
      <c r="W466" s="52">
        <f>Table5[[#This Row],[posRnk]]+Table5[[#This Row],[zRnk]]+IF($W$3&lt;&gt;Table5[[#This Row],[Type]],50,0)</f>
        <v>512</v>
      </c>
      <c r="X466" s="53">
        <f>RANK(Table5[[#This Row],[zScore]],Table5[[#All],[zScore]])</f>
        <v>462</v>
      </c>
      <c r="Y466" s="52" t="str">
        <f>IFERROR(INDEX(DraftResults[[#All],[OVR]],MATCH(Table5[[#This Row],[PID]],DraftResults[[#All],[Player ID]],0)),"")</f>
        <v/>
      </c>
      <c r="Z4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6" s="52" t="str">
        <f>IFERROR(INDEX(DraftResults[[#All],[Pick in Round]],MATCH(Table5[[#This Row],[PID]],DraftResults[[#All],[Player ID]],0)),"")</f>
        <v/>
      </c>
      <c r="AB466" s="52" t="str">
        <f>IFERROR(INDEX(DraftResults[[#All],[Team Name]],MATCH(Table5[[#This Row],[PID]],DraftResults[[#All],[Player ID]],0)),"")</f>
        <v/>
      </c>
      <c r="AC466" s="52" t="str">
        <f>IF(Table5[[#This Row],[Ovr]]="","",IF(Table5[[#This Row],[cmbList]]="","",Table5[[#This Row],[cmbList]]-Table5[[#This Row],[Ovr]]))</f>
        <v/>
      </c>
      <c r="AD466" s="56" t="str">
        <f>IF(ISERROR(VLOOKUP($AB466&amp;"-"&amp;$E466&amp;" "&amp;F466,Bonuses!$B$1:$G$1006,4,FALSE)),"",INT(VLOOKUP($AB466&amp;"-"&amp;$E466&amp;" "&amp;$F466,Bonuses!$B$1:$G$1006,4,FALSE)))</f>
        <v/>
      </c>
      <c r="AE4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7" spans="1:31" s="52" customFormat="1" x14ac:dyDescent="0.25">
      <c r="A467" s="52">
        <v>6606</v>
      </c>
      <c r="B467" s="52">
        <f>COUNTIF(Table5[PID],A467)</f>
        <v>1</v>
      </c>
      <c r="C467" s="52" t="str">
        <f>IF(COUNTIF(Table3[[#All],[PID]],A467)&gt;0,"P","B")</f>
        <v>P</v>
      </c>
      <c r="D467" s="61" t="str">
        <f>IF($C467="B",INDEX(Batters[[#All],[POS]],MATCH(Table5[[#This Row],[PID]],Batters[[#All],[PID]],0)),INDEX(Table3[[#All],[POS]],MATCH(Table5[[#This Row],[PID]],Table3[[#All],[PID]],0)))</f>
        <v>SP</v>
      </c>
      <c r="E467" s="54" t="str">
        <f>IF($C467="B",INDEX(Batters[[#All],[First]],MATCH(Table5[[#This Row],[PID]],Batters[[#All],[PID]],0)),INDEX(Table3[[#All],[First]],MATCH(Table5[[#This Row],[PID]],Table3[[#All],[PID]],0)))</f>
        <v>Dave</v>
      </c>
      <c r="F467" s="52" t="str">
        <f>IF($C467="B",INDEX(Batters[[#All],[Last]],MATCH(A467,Batters[[#All],[PID]],0)),INDEX(Table3[[#All],[Last]],MATCH(A467,Table3[[#All],[PID]],0)))</f>
        <v>Cleare</v>
      </c>
      <c r="G467" s="58">
        <f>IF($C467="B",INDEX(Batters[[#All],[Age]],MATCH(Table5[[#This Row],[PID]],Batters[[#All],[PID]],0)),INDEX(Table3[[#All],[Age]],MATCH(Table5[[#This Row],[PID]],Table3[[#All],[PID]],0)))</f>
        <v>18</v>
      </c>
      <c r="H467" s="54" t="str">
        <f>IF($C467="B",INDEX(Batters[[#All],[B]],MATCH(Table5[[#This Row],[PID]],Batters[[#All],[PID]],0)),INDEX(Table3[[#All],[B]],MATCH(Table5[[#This Row],[PID]],Table3[[#All],[PID]],0)))</f>
        <v>R</v>
      </c>
      <c r="I467" s="54" t="str">
        <f>IF($C467="B",INDEX(Batters[[#All],[T]],MATCH(Table5[[#This Row],[PID]],Batters[[#All],[PID]],0)),INDEX(Table3[[#All],[T]],MATCH(Table5[[#This Row],[PID]],Table3[[#All],[PID]],0)))</f>
        <v>R</v>
      </c>
      <c r="J467" s="54" t="str">
        <f>IF($C467="B",INDEX(Batters[[#All],[WE]],MATCH(Table5[[#This Row],[PID]],Batters[[#All],[PID]],0)),INDEX(Table3[[#All],[WE]],MATCH(Table5[[#This Row],[PID]],Table3[[#All],[PID]],0)))</f>
        <v>Low</v>
      </c>
      <c r="K467" s="54" t="str">
        <f>IF($C467="B",INDEX(Batters[[#All],[INT]],MATCH(Table5[[#This Row],[PID]],Batters[[#All],[PID]],0)),INDEX(Table3[[#All],[INT]],MATCH(Table5[[#This Row],[PID]],Table3[[#All],[PID]],0)))</f>
        <v>Normal</v>
      </c>
      <c r="L467" s="62">
        <f>IF($C467="B",INDEX(Batters[[#All],[CON P]],MATCH(Table5[[#This Row],[PID]],Batters[[#All],[PID]],0)),INDEX(Table3[[#All],[STU P]],MATCH(Table5[[#This Row],[PID]],Table3[[#All],[PID]],0)))</f>
        <v>4</v>
      </c>
      <c r="M467" s="58">
        <f>IF($C467="B",INDEX(Batters[[#All],[GAP P]],MATCH(Table5[[#This Row],[PID]],Batters[[#All],[PID]],0)),INDEX(Table3[[#All],[MOV P]],MATCH(Table5[[#This Row],[PID]],Table3[[#All],[PID]],0)))</f>
        <v>2</v>
      </c>
      <c r="N467" s="58">
        <f>IF($C467="B",INDEX(Batters[[#All],[POW P]],MATCH(Table5[[#This Row],[PID]],Batters[[#All],[PID]],0)),INDEX(Table3[[#All],[CON P]],MATCH(Table5[[#This Row],[PID]],Table3[[#All],[PID]],0)))</f>
        <v>2</v>
      </c>
      <c r="O467" s="58" t="str">
        <f>IF($C467="B",INDEX(Batters[[#All],[EYE P]],MATCH(Table5[[#This Row],[PID]],Batters[[#All],[PID]],0)),INDEX(Table3[[#All],[VELO]],MATCH(Table5[[#This Row],[PID]],Table3[[#All],[PID]],0)))</f>
        <v>92-94 Mph</v>
      </c>
      <c r="P467" s="58">
        <f>IF($C467="B",INDEX(Batters[[#All],[K P]],MATCH(Table5[[#This Row],[PID]],Batters[[#All],[PID]],0)),INDEX(Table3[[#All],[STM]],MATCH(Table5[[#This Row],[PID]],Table3[[#All],[PID]],0)))</f>
        <v>8</v>
      </c>
      <c r="Q467" s="63">
        <f>IF($C467="B",INDEX(Batters[[#All],[Tot]],MATCH(Table5[[#This Row],[PID]],Batters[[#All],[PID]],0)),INDEX(Table3[[#All],[Tot]],MATCH(Table5[[#This Row],[PID]],Table3[[#All],[PID]],0)))</f>
        <v>31.804463136217525</v>
      </c>
      <c r="R467" s="54">
        <f>IF($C467="B",INDEX(Batters[[#All],[zScore]],MATCH(Table5[[#This Row],[PID]],Batters[[#All],[PID]],0)),INDEX(Table3[[#All],[zScore]],MATCH(Table5[[#This Row],[PID]],Table3[[#All],[PID]],0)))</f>
        <v>-8.4165056433424174E-2</v>
      </c>
      <c r="S467" s="60" t="str">
        <f>IF($C467="B",INDEX(Batters[[#All],[DEM]],MATCH(Table5[[#This Row],[PID]],Batters[[#All],[PID]],0)),INDEX(Table3[[#All],[DEM]],MATCH(Table5[[#This Row],[PID]],Table3[[#All],[PID]],0)))</f>
        <v>$65k</v>
      </c>
      <c r="T467" s="64">
        <f>IF($C467="B",VLOOKUP($A467,Bat!$A$4:$AU$1417,46,FALSE),VLOOKUP($A467,Pit!$A$4:$BD$570,55,FALSE))</f>
        <v>0</v>
      </c>
      <c r="U467" s="52">
        <f>IF($C467="B",VLOOKUP($A467,Bat!$A$4:$BA$1417,47,FALSE),VLOOKUP($A467,Pit!$A$4:$BF$570,56,FALSE))</f>
        <v>0</v>
      </c>
      <c r="V467" s="52">
        <f>IF($C467="B",VLOOKUP($A467,Bat!$A$4:$BA$1417,48,FALSE),VLOOKUP($A467,Pit!$A$4:$BF$570,57,FALSE))</f>
        <v>0</v>
      </c>
      <c r="W467" s="52">
        <f>Table5[[#This Row],[posRnk]]+Table5[[#This Row],[zRnk]]+IF($W$3&lt;&gt;Table5[[#This Row],[Type]],50,0)</f>
        <v>513</v>
      </c>
      <c r="X467" s="53">
        <f>RANK(Table5[[#This Row],[zScore]],Table5[[#All],[zScore]])</f>
        <v>463</v>
      </c>
      <c r="Y467" s="52" t="str">
        <f>IFERROR(INDEX(DraftResults[[#All],[OVR]],MATCH(Table5[[#This Row],[PID]],DraftResults[[#All],[Player ID]],0)),"")</f>
        <v/>
      </c>
      <c r="Z4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7" s="52" t="str">
        <f>IFERROR(INDEX(DraftResults[[#All],[Pick in Round]],MATCH(Table5[[#This Row],[PID]],DraftResults[[#All],[Player ID]],0)),"")</f>
        <v/>
      </c>
      <c r="AB467" s="52" t="str">
        <f>IFERROR(INDEX(DraftResults[[#All],[Team Name]],MATCH(Table5[[#This Row],[PID]],DraftResults[[#All],[Player ID]],0)),"")</f>
        <v/>
      </c>
      <c r="AC467" s="52" t="str">
        <f>IF(Table5[[#This Row],[Ovr]]="","",IF(Table5[[#This Row],[cmbList]]="","",Table5[[#This Row],[cmbList]]-Table5[[#This Row],[Ovr]]))</f>
        <v/>
      </c>
      <c r="AD467" s="56" t="str">
        <f>IF(ISERROR(VLOOKUP($AB467&amp;"-"&amp;$E467&amp;" "&amp;F467,Bonuses!$B$1:$G$1006,4,FALSE)),"",INT(VLOOKUP($AB467&amp;"-"&amp;$E467&amp;" "&amp;$F467,Bonuses!$B$1:$G$1006,4,FALSE)))</f>
        <v/>
      </c>
      <c r="AE4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8" spans="1:31" s="52" customFormat="1" x14ac:dyDescent="0.25">
      <c r="A468" s="52">
        <v>17599</v>
      </c>
      <c r="B468" s="52">
        <f>COUNTIF(Table5[PID],A468)</f>
        <v>1</v>
      </c>
      <c r="C468" s="52" t="str">
        <f>IF(COUNTIF(Table3[[#All],[PID]],A468)&gt;0,"P","B")</f>
        <v>P</v>
      </c>
      <c r="D468" s="61" t="str">
        <f>IF($C468="B",INDEX(Batters[[#All],[POS]],MATCH(Table5[[#This Row],[PID]],Batters[[#All],[PID]],0)),INDEX(Table3[[#All],[POS]],MATCH(Table5[[#This Row],[PID]],Table3[[#All],[PID]],0)))</f>
        <v>RP</v>
      </c>
      <c r="E468" s="54" t="str">
        <f>IF($C468="B",INDEX(Batters[[#All],[First]],MATCH(Table5[[#This Row],[PID]],Batters[[#All],[PID]],0)),INDEX(Table3[[#All],[First]],MATCH(Table5[[#This Row],[PID]],Table3[[#All],[PID]],0)))</f>
        <v>Ray</v>
      </c>
      <c r="F468" s="52" t="str">
        <f>IF($C468="B",INDEX(Batters[[#All],[Last]],MATCH(A468,Batters[[#All],[PID]],0)),INDEX(Table3[[#All],[Last]],MATCH(A468,Table3[[#All],[PID]],0)))</f>
        <v>Schultz</v>
      </c>
      <c r="G468" s="58">
        <f>IF($C468="B",INDEX(Batters[[#All],[Age]],MATCH(Table5[[#This Row],[PID]],Batters[[#All],[PID]],0)),INDEX(Table3[[#All],[Age]],MATCH(Table5[[#This Row],[PID]],Table3[[#All],[PID]],0)))</f>
        <v>18</v>
      </c>
      <c r="H468" s="54" t="str">
        <f>IF($C468="B",INDEX(Batters[[#All],[B]],MATCH(Table5[[#This Row],[PID]],Batters[[#All],[PID]],0)),INDEX(Table3[[#All],[B]],MATCH(Table5[[#This Row],[PID]],Table3[[#All],[PID]],0)))</f>
        <v>R</v>
      </c>
      <c r="I468" s="54" t="str">
        <f>IF($C468="B",INDEX(Batters[[#All],[T]],MATCH(Table5[[#This Row],[PID]],Batters[[#All],[PID]],0)),INDEX(Table3[[#All],[T]],MATCH(Table5[[#This Row],[PID]],Table3[[#All],[PID]],0)))</f>
        <v>R</v>
      </c>
      <c r="J468" s="54" t="str">
        <f>IF($C468="B",INDEX(Batters[[#All],[WE]],MATCH(Table5[[#This Row],[PID]],Batters[[#All],[PID]],0)),INDEX(Table3[[#All],[WE]],MATCH(Table5[[#This Row],[PID]],Table3[[#All],[PID]],0)))</f>
        <v>Normal</v>
      </c>
      <c r="K468" s="54" t="str">
        <f>IF($C468="B",INDEX(Batters[[#All],[INT]],MATCH(Table5[[#This Row],[PID]],Batters[[#All],[PID]],0)),INDEX(Table3[[#All],[INT]],MATCH(Table5[[#This Row],[PID]],Table3[[#All],[PID]],0)))</f>
        <v>Low</v>
      </c>
      <c r="L468" s="62">
        <f>IF($C468="B",INDEX(Batters[[#All],[CON P]],MATCH(Table5[[#This Row],[PID]],Batters[[#All],[PID]],0)),INDEX(Table3[[#All],[STU P]],MATCH(Table5[[#This Row],[PID]],Table3[[#All],[PID]],0)))</f>
        <v>3</v>
      </c>
      <c r="M468" s="58">
        <f>IF($C468="B",INDEX(Batters[[#All],[GAP P]],MATCH(Table5[[#This Row],[PID]],Batters[[#All],[PID]],0)),INDEX(Table3[[#All],[MOV P]],MATCH(Table5[[#This Row],[PID]],Table3[[#All],[PID]],0)))</f>
        <v>1</v>
      </c>
      <c r="N468" s="58">
        <f>IF($C468="B",INDEX(Batters[[#All],[POW P]],MATCH(Table5[[#This Row],[PID]],Batters[[#All],[PID]],0)),INDEX(Table3[[#All],[CON P]],MATCH(Table5[[#This Row],[PID]],Table3[[#All],[PID]],0)))</f>
        <v>3</v>
      </c>
      <c r="O468" s="58" t="str">
        <f>IF($C468="B",INDEX(Batters[[#All],[EYE P]],MATCH(Table5[[#This Row],[PID]],Batters[[#All],[PID]],0)),INDEX(Table3[[#All],[VELO]],MATCH(Table5[[#This Row],[PID]],Table3[[#All],[PID]],0)))</f>
        <v>84-86 Mph</v>
      </c>
      <c r="P468" s="58">
        <f>IF($C468="B",INDEX(Batters[[#All],[K P]],MATCH(Table5[[#This Row],[PID]],Batters[[#All],[PID]],0)),INDEX(Table3[[#All],[STM]],MATCH(Table5[[#This Row],[PID]],Table3[[#All],[PID]],0)))</f>
        <v>5</v>
      </c>
      <c r="Q468" s="63">
        <f>IF($C468="B",INDEX(Batters[[#All],[Tot]],MATCH(Table5[[#This Row],[PID]],Batters[[#All],[PID]],0)),INDEX(Table3[[#All],[Tot]],MATCH(Table5[[#This Row],[PID]],Table3[[#All],[PID]],0)))</f>
        <v>29.385516374112214</v>
      </c>
      <c r="R468" s="54">
        <f>IF($C468="B",INDEX(Batters[[#All],[zScore]],MATCH(Table5[[#This Row],[PID]],Batters[[#All],[PID]],0)),INDEX(Table3[[#All],[zScore]],MATCH(Table5[[#This Row],[PID]],Table3[[#All],[PID]],0)))</f>
        <v>-8.8495223818361626E-2</v>
      </c>
      <c r="S468" s="60" t="str">
        <f>IF($C468="B",INDEX(Batters[[#All],[DEM]],MATCH(Table5[[#This Row],[PID]],Batters[[#All],[PID]],0)),INDEX(Table3[[#All],[DEM]],MATCH(Table5[[#This Row],[PID]],Table3[[#All],[PID]],0)))</f>
        <v>$80k</v>
      </c>
      <c r="T468" s="64">
        <f>IF($C468="B",VLOOKUP($A468,Bat!$A$4:$AU$1417,46,FALSE),VLOOKUP($A468,Pit!$A$4:$BD$570,55,FALSE))</f>
        <v>0</v>
      </c>
      <c r="U468" s="52">
        <f>IF($C468="B",VLOOKUP($A468,Bat!$A$4:$BA$1417,47,FALSE),VLOOKUP($A468,Pit!$A$4:$BF$570,56,FALSE))</f>
        <v>0</v>
      </c>
      <c r="V468" s="52">
        <f>IF($C468="B",VLOOKUP($A468,Bat!$A$4:$BA$1417,48,FALSE),VLOOKUP($A468,Pit!$A$4:$BF$570,57,FALSE))</f>
        <v>0</v>
      </c>
      <c r="W468" s="52">
        <f>Table5[[#This Row],[posRnk]]+Table5[[#This Row],[zRnk]]+IF($W$3&lt;&gt;Table5[[#This Row],[Type]],50,0)</f>
        <v>514</v>
      </c>
      <c r="X468" s="53">
        <f>RANK(Table5[[#This Row],[zScore]],Table5[[#All],[zScore]])</f>
        <v>464</v>
      </c>
      <c r="Y468" s="52" t="str">
        <f>IFERROR(INDEX(DraftResults[[#All],[OVR]],MATCH(Table5[[#This Row],[PID]],DraftResults[[#All],[Player ID]],0)),"")</f>
        <v/>
      </c>
      <c r="Z4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8" s="52" t="str">
        <f>IFERROR(INDEX(DraftResults[[#All],[Pick in Round]],MATCH(Table5[[#This Row],[PID]],DraftResults[[#All],[Player ID]],0)),"")</f>
        <v/>
      </c>
      <c r="AB468" s="52" t="str">
        <f>IFERROR(INDEX(DraftResults[[#All],[Team Name]],MATCH(Table5[[#This Row],[PID]],DraftResults[[#All],[Player ID]],0)),"")</f>
        <v/>
      </c>
      <c r="AC468" s="52" t="str">
        <f>IF(Table5[[#This Row],[Ovr]]="","",IF(Table5[[#This Row],[cmbList]]="","",Table5[[#This Row],[cmbList]]-Table5[[#This Row],[Ovr]]))</f>
        <v/>
      </c>
      <c r="AD468" s="56" t="str">
        <f>IF(ISERROR(VLOOKUP($AB468&amp;"-"&amp;$E468&amp;" "&amp;F468,Bonuses!$B$1:$G$1006,4,FALSE)),"",INT(VLOOKUP($AB468&amp;"-"&amp;$E468&amp;" "&amp;$F468,Bonuses!$B$1:$G$1006,4,FALSE)))</f>
        <v/>
      </c>
      <c r="AE4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9" spans="1:31" s="52" customFormat="1" x14ac:dyDescent="0.25">
      <c r="A469" s="52">
        <v>15288</v>
      </c>
      <c r="B469" s="52">
        <f>COUNTIF(Table5[PID],A469)</f>
        <v>1</v>
      </c>
      <c r="C469" s="52" t="str">
        <f>IF(COUNTIF(Table3[[#All],[PID]],A469)&gt;0,"P","B")</f>
        <v>B</v>
      </c>
      <c r="D469" s="61" t="str">
        <f>IF($C469="B",INDEX(Batters[[#All],[POS]],MATCH(Table5[[#This Row],[PID]],Batters[[#All],[PID]],0)),INDEX(Table3[[#All],[POS]],MATCH(Table5[[#This Row],[PID]],Table3[[#All],[PID]],0)))</f>
        <v>LF</v>
      </c>
      <c r="E469" s="54" t="str">
        <f>IF($C469="B",INDEX(Batters[[#All],[First]],MATCH(Table5[[#This Row],[PID]],Batters[[#All],[PID]],0)),INDEX(Table3[[#All],[First]],MATCH(Table5[[#This Row],[PID]],Table3[[#All],[PID]],0)))</f>
        <v>Toshiro</v>
      </c>
      <c r="F469" s="52" t="str">
        <f>IF($C469="B",INDEX(Batters[[#All],[Last]],MATCH(A469,Batters[[#All],[PID]],0)),INDEX(Table3[[#All],[Last]],MATCH(A469,Table3[[#All],[PID]],0)))</f>
        <v>Miyamoto</v>
      </c>
      <c r="G469" s="58">
        <f>IF($C469="B",INDEX(Batters[[#All],[Age]],MATCH(Table5[[#This Row],[PID]],Batters[[#All],[PID]],0)),INDEX(Table3[[#All],[Age]],MATCH(Table5[[#This Row],[PID]],Table3[[#All],[PID]],0)))</f>
        <v>18</v>
      </c>
      <c r="H469" s="54" t="str">
        <f>IF($C469="B",INDEX(Batters[[#All],[B]],MATCH(Table5[[#This Row],[PID]],Batters[[#All],[PID]],0)),INDEX(Table3[[#All],[B]],MATCH(Table5[[#This Row],[PID]],Table3[[#All],[PID]],0)))</f>
        <v>L</v>
      </c>
      <c r="I469" s="54" t="str">
        <f>IF($C469="B",INDEX(Batters[[#All],[T]],MATCH(Table5[[#This Row],[PID]],Batters[[#All],[PID]],0)),INDEX(Table3[[#All],[T]],MATCH(Table5[[#This Row],[PID]],Table3[[#All],[PID]],0)))</f>
        <v>L</v>
      </c>
      <c r="J469" s="54" t="str">
        <f>IF($C469="B",INDEX(Batters[[#All],[WE]],MATCH(Table5[[#This Row],[PID]],Batters[[#All],[PID]],0)),INDEX(Table3[[#All],[WE]],MATCH(Table5[[#This Row],[PID]],Table3[[#All],[PID]],0)))</f>
        <v>Low</v>
      </c>
      <c r="K469" s="54" t="str">
        <f>IF($C469="B",INDEX(Batters[[#All],[INT]],MATCH(Table5[[#This Row],[PID]],Batters[[#All],[PID]],0)),INDEX(Table3[[#All],[INT]],MATCH(Table5[[#This Row],[PID]],Table3[[#All],[PID]],0)))</f>
        <v>Low</v>
      </c>
      <c r="L469" s="62">
        <f>IF($C469="B",INDEX(Batters[[#All],[CON P]],MATCH(Table5[[#This Row],[PID]],Batters[[#All],[PID]],0)),INDEX(Table3[[#All],[STU P]],MATCH(Table5[[#This Row],[PID]],Table3[[#All],[PID]],0)))</f>
        <v>3</v>
      </c>
      <c r="M469" s="58">
        <f>IF($C469="B",INDEX(Batters[[#All],[GAP P]],MATCH(Table5[[#This Row],[PID]],Batters[[#All],[PID]],0)),INDEX(Table3[[#All],[MOV P]],MATCH(Table5[[#This Row],[PID]],Table3[[#All],[PID]],0)))</f>
        <v>3</v>
      </c>
      <c r="N469" s="58">
        <f>IF($C469="B",INDEX(Batters[[#All],[POW P]],MATCH(Table5[[#This Row],[PID]],Batters[[#All],[PID]],0)),INDEX(Table3[[#All],[CON P]],MATCH(Table5[[#This Row],[PID]],Table3[[#All],[PID]],0)))</f>
        <v>3</v>
      </c>
      <c r="O469" s="58">
        <f>IF($C469="B",INDEX(Batters[[#All],[EYE P]],MATCH(Table5[[#This Row],[PID]],Batters[[#All],[PID]],0)),INDEX(Table3[[#All],[VELO]],MATCH(Table5[[#This Row],[PID]],Table3[[#All],[PID]],0)))</f>
        <v>4</v>
      </c>
      <c r="P469" s="58">
        <f>IF($C469="B",INDEX(Batters[[#All],[K P]],MATCH(Table5[[#This Row],[PID]],Batters[[#All],[PID]],0)),INDEX(Table3[[#All],[STM]],MATCH(Table5[[#This Row],[PID]],Table3[[#All],[PID]],0)))</f>
        <v>4</v>
      </c>
      <c r="Q469" s="63">
        <f>IF($C469="B",INDEX(Batters[[#All],[Tot]],MATCH(Table5[[#This Row],[PID]],Batters[[#All],[PID]],0)),INDEX(Table3[[#All],[Tot]],MATCH(Table5[[#This Row],[PID]],Table3[[#All],[PID]],0)))</f>
        <v>39.827244308478981</v>
      </c>
      <c r="R469" s="54">
        <f>IF($C469="B",INDEX(Batters[[#All],[zScore]],MATCH(Table5[[#This Row],[PID]],Batters[[#All],[PID]],0)),INDEX(Table3[[#All],[zScore]],MATCH(Table5[[#This Row],[PID]],Table3[[#All],[PID]],0)))</f>
        <v>-9.1667023847886844E-2</v>
      </c>
      <c r="S469" s="60" t="str">
        <f>IF($C469="B",INDEX(Batters[[#All],[DEM]],MATCH(Table5[[#This Row],[PID]],Batters[[#All],[PID]],0)),INDEX(Table3[[#All],[DEM]],MATCH(Table5[[#This Row],[PID]],Table3[[#All],[PID]],0)))</f>
        <v>$65k</v>
      </c>
      <c r="T469" s="64">
        <f>IF($C469="B",VLOOKUP($A469,Bat!$A$4:$AU$1417,46,FALSE),VLOOKUP($A469,Pit!$A$4:$BD$570,55,FALSE))</f>
        <v>0</v>
      </c>
      <c r="U469" s="52">
        <f>IF($C469="B",VLOOKUP($A469,Bat!$A$4:$BA$1417,47,FALSE),VLOOKUP($A469,Pit!$A$4:$BF$570,56,FALSE))</f>
        <v>0</v>
      </c>
      <c r="V469" s="52">
        <f>IF($C469="B",VLOOKUP($A469,Bat!$A$4:$BA$1417,48,FALSE),VLOOKUP($A469,Pit!$A$4:$BF$570,57,FALSE))</f>
        <v>0</v>
      </c>
      <c r="W469" s="52">
        <f>Table5[[#This Row],[posRnk]]+Table5[[#This Row],[zRnk]]+IF($W$3&lt;&gt;Table5[[#This Row],[Type]],50,0)</f>
        <v>515</v>
      </c>
      <c r="X469" s="53">
        <f>RANK(Table5[[#This Row],[zScore]],Table5[[#All],[zScore]])</f>
        <v>465</v>
      </c>
      <c r="Y469" s="52" t="str">
        <f>IFERROR(INDEX(DraftResults[[#All],[OVR]],MATCH(Table5[[#This Row],[PID]],DraftResults[[#All],[Player ID]],0)),"")</f>
        <v/>
      </c>
      <c r="Z4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9" s="52" t="str">
        <f>IFERROR(INDEX(DraftResults[[#All],[Pick in Round]],MATCH(Table5[[#This Row],[PID]],DraftResults[[#All],[Player ID]],0)),"")</f>
        <v/>
      </c>
      <c r="AB469" s="52" t="str">
        <f>IFERROR(INDEX(DraftResults[[#All],[Team Name]],MATCH(Table5[[#This Row],[PID]],DraftResults[[#All],[Player ID]],0)),"")</f>
        <v/>
      </c>
      <c r="AC469" s="52" t="str">
        <f>IF(Table5[[#This Row],[Ovr]]="","",IF(Table5[[#This Row],[cmbList]]="","",Table5[[#This Row],[cmbList]]-Table5[[#This Row],[Ovr]]))</f>
        <v/>
      </c>
      <c r="AD469" s="56" t="str">
        <f>IF(ISERROR(VLOOKUP($AB469&amp;"-"&amp;$E469&amp;" "&amp;F469,Bonuses!$B$1:$G$1006,4,FALSE)),"",INT(VLOOKUP($AB469&amp;"-"&amp;$E469&amp;" "&amp;$F469,Bonuses!$B$1:$G$1006,4,FALSE)))</f>
        <v/>
      </c>
      <c r="AE4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0" spans="1:31" s="52" customFormat="1" x14ac:dyDescent="0.25">
      <c r="A470" s="52">
        <v>17900</v>
      </c>
      <c r="B470" s="52">
        <f>COUNTIF(Table5[PID],A470)</f>
        <v>1</v>
      </c>
      <c r="C470" s="52" t="str">
        <f>IF(COUNTIF(Table3[[#All],[PID]],A470)&gt;0,"P","B")</f>
        <v>P</v>
      </c>
      <c r="D470" s="61" t="str">
        <f>IF($C470="B",INDEX(Batters[[#All],[POS]],MATCH(Table5[[#This Row],[PID]],Batters[[#All],[PID]],0)),INDEX(Table3[[#All],[POS]],MATCH(Table5[[#This Row],[PID]],Table3[[#All],[PID]],0)))</f>
        <v>SP</v>
      </c>
      <c r="E470" s="54" t="str">
        <f>IF($C470="B",INDEX(Batters[[#All],[First]],MATCH(Table5[[#This Row],[PID]],Batters[[#All],[PID]],0)),INDEX(Table3[[#All],[First]],MATCH(Table5[[#This Row],[PID]],Table3[[#All],[PID]],0)))</f>
        <v>Sukejuro</v>
      </c>
      <c r="F470" s="52" t="str">
        <f>IF($C470="B",INDEX(Batters[[#All],[Last]],MATCH(A470,Batters[[#All],[PID]],0)),INDEX(Table3[[#All],[Last]],MATCH(A470,Table3[[#All],[PID]],0)))</f>
        <v>Abe</v>
      </c>
      <c r="G470" s="58">
        <f>IF($C470="B",INDEX(Batters[[#All],[Age]],MATCH(Table5[[#This Row],[PID]],Batters[[#All],[PID]],0)),INDEX(Table3[[#All],[Age]],MATCH(Table5[[#This Row],[PID]],Table3[[#All],[PID]],0)))</f>
        <v>18</v>
      </c>
      <c r="H470" s="54" t="str">
        <f>IF($C470="B",INDEX(Batters[[#All],[B]],MATCH(Table5[[#This Row],[PID]],Batters[[#All],[PID]],0)),INDEX(Table3[[#All],[B]],MATCH(Table5[[#This Row],[PID]],Table3[[#All],[PID]],0)))</f>
        <v>R</v>
      </c>
      <c r="I470" s="54" t="str">
        <f>IF($C470="B",INDEX(Batters[[#All],[T]],MATCH(Table5[[#This Row],[PID]],Batters[[#All],[PID]],0)),INDEX(Table3[[#All],[T]],MATCH(Table5[[#This Row],[PID]],Table3[[#All],[PID]],0)))</f>
        <v>R</v>
      </c>
      <c r="J470" s="54" t="str">
        <f>IF($C470="B",INDEX(Batters[[#All],[WE]],MATCH(Table5[[#This Row],[PID]],Batters[[#All],[PID]],0)),INDEX(Table3[[#All],[WE]],MATCH(Table5[[#This Row],[PID]],Table3[[#All],[PID]],0)))</f>
        <v>High</v>
      </c>
      <c r="K470" s="54" t="str">
        <f>IF($C470="B",INDEX(Batters[[#All],[INT]],MATCH(Table5[[#This Row],[PID]],Batters[[#All],[PID]],0)),INDEX(Table3[[#All],[INT]],MATCH(Table5[[#This Row],[PID]],Table3[[#All],[PID]],0)))</f>
        <v>High</v>
      </c>
      <c r="L470" s="62">
        <f>IF($C470="B",INDEX(Batters[[#All],[CON P]],MATCH(Table5[[#This Row],[PID]],Batters[[#All],[PID]],0)),INDEX(Table3[[#All],[STU P]],MATCH(Table5[[#This Row],[PID]],Table3[[#All],[PID]],0)))</f>
        <v>4</v>
      </c>
      <c r="M470" s="58">
        <f>IF($C470="B",INDEX(Batters[[#All],[GAP P]],MATCH(Table5[[#This Row],[PID]],Batters[[#All],[PID]],0)),INDEX(Table3[[#All],[MOV P]],MATCH(Table5[[#This Row],[PID]],Table3[[#All],[PID]],0)))</f>
        <v>2</v>
      </c>
      <c r="N470" s="58">
        <f>IF($C470="B",INDEX(Batters[[#All],[POW P]],MATCH(Table5[[#This Row],[PID]],Batters[[#All],[PID]],0)),INDEX(Table3[[#All],[CON P]],MATCH(Table5[[#This Row],[PID]],Table3[[#All],[PID]],0)))</f>
        <v>2</v>
      </c>
      <c r="O470" s="58" t="str">
        <f>IF($C470="B",INDEX(Batters[[#All],[EYE P]],MATCH(Table5[[#This Row],[PID]],Batters[[#All],[PID]],0)),INDEX(Table3[[#All],[VELO]],MATCH(Table5[[#This Row],[PID]],Table3[[#All],[PID]],0)))</f>
        <v>91-93 Mph</v>
      </c>
      <c r="P470" s="58">
        <f>IF($C470="B",INDEX(Batters[[#All],[K P]],MATCH(Table5[[#This Row],[PID]],Batters[[#All],[PID]],0)),INDEX(Table3[[#All],[STM]],MATCH(Table5[[#This Row],[PID]],Table3[[#All],[PID]],0)))</f>
        <v>8</v>
      </c>
      <c r="Q470" s="63">
        <f>IF($C470="B",INDEX(Batters[[#All],[Tot]],MATCH(Table5[[#This Row],[PID]],Batters[[#All],[PID]],0)),INDEX(Table3[[#All],[Tot]],MATCH(Table5[[#This Row],[PID]],Table3[[#All],[PID]],0)))</f>
        <v>31.704463136217527</v>
      </c>
      <c r="R470" s="54">
        <f>IF($C470="B",INDEX(Batters[[#All],[zScore]],MATCH(Table5[[#This Row],[PID]],Batters[[#All],[PID]],0)),INDEX(Table3[[#All],[zScore]],MATCH(Table5[[#This Row],[PID]],Table3[[#All],[PID]],0)))</f>
        <v>-9.3335483842406863E-2</v>
      </c>
      <c r="S470" s="60" t="str">
        <f>IF($C470="B",INDEX(Batters[[#All],[DEM]],MATCH(Table5[[#This Row],[PID]],Batters[[#All],[PID]],0)),INDEX(Table3[[#All],[DEM]],MATCH(Table5[[#This Row],[PID]],Table3[[#All],[PID]],0)))</f>
        <v>$65k</v>
      </c>
      <c r="T470" s="64">
        <f>IF($C470="B",VLOOKUP($A470,Bat!$A$4:$AU$1417,46,FALSE),VLOOKUP($A470,Pit!$A$4:$BD$570,55,FALSE))</f>
        <v>0</v>
      </c>
      <c r="U470" s="52">
        <f>IF($C470="B",VLOOKUP($A470,Bat!$A$4:$BA$1417,47,FALSE),VLOOKUP($A470,Pit!$A$4:$BF$570,56,FALSE))</f>
        <v>0</v>
      </c>
      <c r="V470" s="52">
        <f>IF($C470="B",VLOOKUP($A470,Bat!$A$4:$BA$1417,48,FALSE),VLOOKUP($A470,Pit!$A$4:$BF$570,57,FALSE))</f>
        <v>0</v>
      </c>
      <c r="W470" s="52">
        <f>Table5[[#This Row],[posRnk]]+Table5[[#This Row],[zRnk]]+IF($W$3&lt;&gt;Table5[[#This Row],[Type]],50,0)</f>
        <v>516</v>
      </c>
      <c r="X470" s="53">
        <f>RANK(Table5[[#This Row],[zScore]],Table5[[#All],[zScore]])</f>
        <v>466</v>
      </c>
      <c r="Y470" s="52" t="str">
        <f>IFERROR(INDEX(DraftResults[[#All],[OVR]],MATCH(Table5[[#This Row],[PID]],DraftResults[[#All],[Player ID]],0)),"")</f>
        <v/>
      </c>
      <c r="Z4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0" s="52" t="str">
        <f>IFERROR(INDEX(DraftResults[[#All],[Pick in Round]],MATCH(Table5[[#This Row],[PID]],DraftResults[[#All],[Player ID]],0)),"")</f>
        <v/>
      </c>
      <c r="AB470" s="52" t="str">
        <f>IFERROR(INDEX(DraftResults[[#All],[Team Name]],MATCH(Table5[[#This Row],[PID]],DraftResults[[#All],[Player ID]],0)),"")</f>
        <v/>
      </c>
      <c r="AC470" s="52" t="str">
        <f>IF(Table5[[#This Row],[Ovr]]="","",IF(Table5[[#This Row],[cmbList]]="","",Table5[[#This Row],[cmbList]]-Table5[[#This Row],[Ovr]]))</f>
        <v/>
      </c>
      <c r="AD470" s="56" t="str">
        <f>IF(ISERROR(VLOOKUP($AB470&amp;"-"&amp;$E470&amp;" "&amp;F470,Bonuses!$B$1:$G$1006,4,FALSE)),"",INT(VLOOKUP($AB470&amp;"-"&amp;$E470&amp;" "&amp;$F470,Bonuses!$B$1:$G$1006,4,FALSE)))</f>
        <v/>
      </c>
      <c r="AE4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1" spans="1:31" s="52" customFormat="1" x14ac:dyDescent="0.25">
      <c r="A471" s="52">
        <v>8043</v>
      </c>
      <c r="B471" s="52">
        <f>COUNTIF(Table5[PID],A471)</f>
        <v>1</v>
      </c>
      <c r="C471" s="52" t="str">
        <f>IF(COUNTIF(Table3[[#All],[PID]],A471)&gt;0,"P","B")</f>
        <v>B</v>
      </c>
      <c r="D471" s="61" t="str">
        <f>IF($C471="B",INDEX(Batters[[#All],[POS]],MATCH(Table5[[#This Row],[PID]],Batters[[#All],[PID]],0)),INDEX(Table3[[#All],[POS]],MATCH(Table5[[#This Row],[PID]],Table3[[#All],[PID]],0)))</f>
        <v>1B</v>
      </c>
      <c r="E471" s="54" t="str">
        <f>IF($C471="B",INDEX(Batters[[#All],[First]],MATCH(Table5[[#This Row],[PID]],Batters[[#All],[PID]],0)),INDEX(Table3[[#All],[First]],MATCH(Table5[[#This Row],[PID]],Table3[[#All],[PID]],0)))</f>
        <v>Juan</v>
      </c>
      <c r="F471" s="52" t="str">
        <f>IF($C471="B",INDEX(Batters[[#All],[Last]],MATCH(A471,Batters[[#All],[PID]],0)),INDEX(Table3[[#All],[Last]],MATCH(A471,Table3[[#All],[PID]],0)))</f>
        <v>Salazar</v>
      </c>
      <c r="G471" s="58">
        <f>IF($C471="B",INDEX(Batters[[#All],[Age]],MATCH(Table5[[#This Row],[PID]],Batters[[#All],[PID]],0)),INDEX(Table3[[#All],[Age]],MATCH(Table5[[#This Row],[PID]],Table3[[#All],[PID]],0)))</f>
        <v>18</v>
      </c>
      <c r="H471" s="54" t="str">
        <f>IF($C471="B",INDEX(Batters[[#All],[B]],MATCH(Table5[[#This Row],[PID]],Batters[[#All],[PID]],0)),INDEX(Table3[[#All],[B]],MATCH(Table5[[#This Row],[PID]],Table3[[#All],[PID]],0)))</f>
        <v>R</v>
      </c>
      <c r="I471" s="54" t="str">
        <f>IF($C471="B",INDEX(Batters[[#All],[T]],MATCH(Table5[[#This Row],[PID]],Batters[[#All],[PID]],0)),INDEX(Table3[[#All],[T]],MATCH(Table5[[#This Row],[PID]],Table3[[#All],[PID]],0)))</f>
        <v>R</v>
      </c>
      <c r="J471" s="54" t="str">
        <f>IF($C471="B",INDEX(Batters[[#All],[WE]],MATCH(Table5[[#This Row],[PID]],Batters[[#All],[PID]],0)),INDEX(Table3[[#All],[WE]],MATCH(Table5[[#This Row],[PID]],Table3[[#All],[PID]],0)))</f>
        <v>Normal</v>
      </c>
      <c r="K471" s="54" t="str">
        <f>IF($C471="B",INDEX(Batters[[#All],[INT]],MATCH(Table5[[#This Row],[PID]],Batters[[#All],[PID]],0)),INDEX(Table3[[#All],[INT]],MATCH(Table5[[#This Row],[PID]],Table3[[#All],[PID]],0)))</f>
        <v>Normal</v>
      </c>
      <c r="L471" s="62">
        <f>IF($C471="B",INDEX(Batters[[#All],[CON P]],MATCH(Table5[[#This Row],[PID]],Batters[[#All],[PID]],0)),INDEX(Table3[[#All],[STU P]],MATCH(Table5[[#This Row],[PID]],Table3[[#All],[PID]],0)))</f>
        <v>3</v>
      </c>
      <c r="M471" s="58">
        <f>IF($C471="B",INDEX(Batters[[#All],[GAP P]],MATCH(Table5[[#This Row],[PID]],Batters[[#All],[PID]],0)),INDEX(Table3[[#All],[MOV P]],MATCH(Table5[[#This Row],[PID]],Table3[[#All],[PID]],0)))</f>
        <v>4</v>
      </c>
      <c r="N471" s="58">
        <f>IF($C471="B",INDEX(Batters[[#All],[POW P]],MATCH(Table5[[#This Row],[PID]],Batters[[#All],[PID]],0)),INDEX(Table3[[#All],[CON P]],MATCH(Table5[[#This Row],[PID]],Table3[[#All],[PID]],0)))</f>
        <v>3</v>
      </c>
      <c r="O471" s="58">
        <f>IF($C471="B",INDEX(Batters[[#All],[EYE P]],MATCH(Table5[[#This Row],[PID]],Batters[[#All],[PID]],0)),INDEX(Table3[[#All],[VELO]],MATCH(Table5[[#This Row],[PID]],Table3[[#All],[PID]],0)))</f>
        <v>3</v>
      </c>
      <c r="P471" s="58">
        <f>IF($C471="B",INDEX(Batters[[#All],[K P]],MATCH(Table5[[#This Row],[PID]],Batters[[#All],[PID]],0)),INDEX(Table3[[#All],[STM]],MATCH(Table5[[#This Row],[PID]],Table3[[#All],[PID]],0)))</f>
        <v>4</v>
      </c>
      <c r="Q471" s="63">
        <f>IF($C471="B",INDEX(Batters[[#All],[Tot]],MATCH(Table5[[#This Row],[PID]],Batters[[#All],[PID]],0)),INDEX(Table3[[#All],[Tot]],MATCH(Table5[[#This Row],[PID]],Table3[[#All],[PID]],0)))</f>
        <v>39.804340641844874</v>
      </c>
      <c r="R471" s="54">
        <f>IF($C471="B",INDEX(Batters[[#All],[zScore]],MATCH(Table5[[#This Row],[PID]],Batters[[#All],[PID]],0)),INDEX(Table3[[#All],[zScore]],MATCH(Table5[[#This Row],[PID]],Table3[[#All],[PID]],0)))</f>
        <v>-9.5696771767441138E-2</v>
      </c>
      <c r="S471" s="60" t="str">
        <f>IF($C471="B",INDEX(Batters[[#All],[DEM]],MATCH(Table5[[#This Row],[PID]],Batters[[#All],[PID]],0)),INDEX(Table3[[#All],[DEM]],MATCH(Table5[[#This Row],[PID]],Table3[[#All],[PID]],0)))</f>
        <v>$110k</v>
      </c>
      <c r="T471" s="64">
        <f>IF($C471="B",VLOOKUP($A471,Bat!$A$4:$AU$1417,46,FALSE),VLOOKUP($A471,Pit!$A$4:$BD$570,55,FALSE))</f>
        <v>0</v>
      </c>
      <c r="U471" s="52">
        <f>IF($C471="B",VLOOKUP($A471,Bat!$A$4:$BA$1417,47,FALSE),VLOOKUP($A471,Pit!$A$4:$BF$570,56,FALSE))</f>
        <v>0</v>
      </c>
      <c r="V471" s="52">
        <f>IF($C471="B",VLOOKUP($A471,Bat!$A$4:$BA$1417,48,FALSE),VLOOKUP($A471,Pit!$A$4:$BF$570,57,FALSE))</f>
        <v>0</v>
      </c>
      <c r="W471" s="52">
        <f>Table5[[#This Row],[posRnk]]+Table5[[#This Row],[zRnk]]+IF($W$3&lt;&gt;Table5[[#This Row],[Type]],50,0)</f>
        <v>517</v>
      </c>
      <c r="X471" s="53">
        <f>RANK(Table5[[#This Row],[zScore]],Table5[[#All],[zScore]])</f>
        <v>467</v>
      </c>
      <c r="Y471" s="52" t="str">
        <f>IFERROR(INDEX(DraftResults[[#All],[OVR]],MATCH(Table5[[#This Row],[PID]],DraftResults[[#All],[Player ID]],0)),"")</f>
        <v/>
      </c>
      <c r="Z4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1" s="52" t="str">
        <f>IFERROR(INDEX(DraftResults[[#All],[Pick in Round]],MATCH(Table5[[#This Row],[PID]],DraftResults[[#All],[Player ID]],0)),"")</f>
        <v/>
      </c>
      <c r="AB471" s="52" t="str">
        <f>IFERROR(INDEX(DraftResults[[#All],[Team Name]],MATCH(Table5[[#This Row],[PID]],DraftResults[[#All],[Player ID]],0)),"")</f>
        <v/>
      </c>
      <c r="AC471" s="52" t="str">
        <f>IF(Table5[[#This Row],[Ovr]]="","",IF(Table5[[#This Row],[cmbList]]="","",Table5[[#This Row],[cmbList]]-Table5[[#This Row],[Ovr]]))</f>
        <v/>
      </c>
      <c r="AD471" s="56" t="str">
        <f>IF(ISERROR(VLOOKUP($AB471&amp;"-"&amp;$E471&amp;" "&amp;F471,Bonuses!$B$1:$G$1006,4,FALSE)),"",INT(VLOOKUP($AB471&amp;"-"&amp;$E471&amp;" "&amp;$F471,Bonuses!$B$1:$G$1006,4,FALSE)))</f>
        <v/>
      </c>
      <c r="AE4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2" spans="1:31" s="52" customFormat="1" x14ac:dyDescent="0.25">
      <c r="A472" s="52">
        <v>9206</v>
      </c>
      <c r="B472" s="52">
        <f>COUNTIF(Table5[PID],A472)</f>
        <v>1</v>
      </c>
      <c r="C472" s="52" t="str">
        <f>IF(COUNTIF(Table3[[#All],[PID]],A472)&gt;0,"P","B")</f>
        <v>P</v>
      </c>
      <c r="D472" s="61" t="str">
        <f>IF($C472="B",INDEX(Batters[[#All],[POS]],MATCH(Table5[[#This Row],[PID]],Batters[[#All],[PID]],0)),INDEX(Table3[[#All],[POS]],MATCH(Table5[[#This Row],[PID]],Table3[[#All],[PID]],0)))</f>
        <v>SP</v>
      </c>
      <c r="E472" s="54" t="str">
        <f>IF($C472="B",INDEX(Batters[[#All],[First]],MATCH(Table5[[#This Row],[PID]],Batters[[#All],[PID]],0)),INDEX(Table3[[#All],[First]],MATCH(Table5[[#This Row],[PID]],Table3[[#All],[PID]],0)))</f>
        <v>Tommy</v>
      </c>
      <c r="F472" s="52" t="str">
        <f>IF($C472="B",INDEX(Batters[[#All],[Last]],MATCH(A472,Batters[[#All],[PID]],0)),INDEX(Table3[[#All],[Last]],MATCH(A472,Table3[[#All],[PID]],0)))</f>
        <v>Bryant</v>
      </c>
      <c r="G472" s="58">
        <f>IF($C472="B",INDEX(Batters[[#All],[Age]],MATCH(Table5[[#This Row],[PID]],Batters[[#All],[PID]],0)),INDEX(Table3[[#All],[Age]],MATCH(Table5[[#This Row],[PID]],Table3[[#All],[PID]],0)))</f>
        <v>18</v>
      </c>
      <c r="H472" s="54" t="str">
        <f>IF($C472="B",INDEX(Batters[[#All],[B]],MATCH(Table5[[#This Row],[PID]],Batters[[#All],[PID]],0)),INDEX(Table3[[#All],[B]],MATCH(Table5[[#This Row],[PID]],Table3[[#All],[PID]],0)))</f>
        <v>L</v>
      </c>
      <c r="I472" s="54" t="str">
        <f>IF($C472="B",INDEX(Batters[[#All],[T]],MATCH(Table5[[#This Row],[PID]],Batters[[#All],[PID]],0)),INDEX(Table3[[#All],[T]],MATCH(Table5[[#This Row],[PID]],Table3[[#All],[PID]],0)))</f>
        <v>L</v>
      </c>
      <c r="J472" s="54" t="str">
        <f>IF($C472="B",INDEX(Batters[[#All],[WE]],MATCH(Table5[[#This Row],[PID]],Batters[[#All],[PID]],0)),INDEX(Table3[[#All],[WE]],MATCH(Table5[[#This Row],[PID]],Table3[[#All],[PID]],0)))</f>
        <v>High</v>
      </c>
      <c r="K472" s="54" t="str">
        <f>IF($C472="B",INDEX(Batters[[#All],[INT]],MATCH(Table5[[#This Row],[PID]],Batters[[#All],[PID]],0)),INDEX(Table3[[#All],[INT]],MATCH(Table5[[#This Row],[PID]],Table3[[#All],[PID]],0)))</f>
        <v>Normal</v>
      </c>
      <c r="L472" s="62">
        <f>IF($C472="B",INDEX(Batters[[#All],[CON P]],MATCH(Table5[[#This Row],[PID]],Batters[[#All],[PID]],0)),INDEX(Table3[[#All],[STU P]],MATCH(Table5[[#This Row],[PID]],Table3[[#All],[PID]],0)))</f>
        <v>4</v>
      </c>
      <c r="M472" s="58">
        <f>IF($C472="B",INDEX(Batters[[#All],[GAP P]],MATCH(Table5[[#This Row],[PID]],Batters[[#All],[PID]],0)),INDEX(Table3[[#All],[MOV P]],MATCH(Table5[[#This Row],[PID]],Table3[[#All],[PID]],0)))</f>
        <v>2</v>
      </c>
      <c r="N472" s="58">
        <f>IF($C472="B",INDEX(Batters[[#All],[POW P]],MATCH(Table5[[#This Row],[PID]],Batters[[#All],[PID]],0)),INDEX(Table3[[#All],[CON P]],MATCH(Table5[[#This Row],[PID]],Table3[[#All],[PID]],0)))</f>
        <v>2</v>
      </c>
      <c r="O472" s="58" t="str">
        <f>IF($C472="B",INDEX(Batters[[#All],[EYE P]],MATCH(Table5[[#This Row],[PID]],Batters[[#All],[PID]],0)),INDEX(Table3[[#All],[VELO]],MATCH(Table5[[#This Row],[PID]],Table3[[#All],[PID]],0)))</f>
        <v>87-89 Mph</v>
      </c>
      <c r="P472" s="58">
        <f>IF($C472="B",INDEX(Batters[[#All],[K P]],MATCH(Table5[[#This Row],[PID]],Batters[[#All],[PID]],0)),INDEX(Table3[[#All],[STM]],MATCH(Table5[[#This Row],[PID]],Table3[[#All],[PID]],0)))</f>
        <v>8</v>
      </c>
      <c r="Q472" s="63">
        <f>IF($C472="B",INDEX(Batters[[#All],[Tot]],MATCH(Table5[[#This Row],[PID]],Batters[[#All],[PID]],0)),INDEX(Table3[[#All],[Tot]],MATCH(Table5[[#This Row],[PID]],Table3[[#All],[PID]],0)))</f>
        <v>31.615524871315692</v>
      </c>
      <c r="R472" s="54">
        <f>IF($C472="B",INDEX(Batters[[#All],[zScore]],MATCH(Table5[[#This Row],[PID]],Batters[[#All],[PID]],0)),INDEX(Table3[[#All],[zScore]],MATCH(Table5[[#This Row],[PID]],Table3[[#All],[PID]],0)))</f>
        <v>-0.10149150286403849</v>
      </c>
      <c r="S472" s="60" t="str">
        <f>IF($C472="B",INDEX(Batters[[#All],[DEM]],MATCH(Table5[[#This Row],[PID]],Batters[[#All],[PID]],0)),INDEX(Table3[[#All],[DEM]],MATCH(Table5[[#This Row],[PID]],Table3[[#All],[PID]],0)))</f>
        <v>$65k</v>
      </c>
      <c r="T472" s="64">
        <f>IF($C472="B",VLOOKUP($A472,Bat!$A$4:$AU$1417,46,FALSE),VLOOKUP($A472,Pit!$A$4:$BD$570,55,FALSE))</f>
        <v>0</v>
      </c>
      <c r="U472" s="52">
        <f>IF($C472="B",VLOOKUP($A472,Bat!$A$4:$BA$1417,47,FALSE),VLOOKUP($A472,Pit!$A$4:$BF$570,56,FALSE))</f>
        <v>0</v>
      </c>
      <c r="V472" s="52">
        <f>IF($C472="B",VLOOKUP($A472,Bat!$A$4:$BA$1417,48,FALSE),VLOOKUP($A472,Pit!$A$4:$BF$570,57,FALSE))</f>
        <v>0</v>
      </c>
      <c r="W472" s="52">
        <f>Table5[[#This Row],[posRnk]]+Table5[[#This Row],[zRnk]]+IF($W$3&lt;&gt;Table5[[#This Row],[Type]],50,0)</f>
        <v>518</v>
      </c>
      <c r="X472" s="53">
        <f>RANK(Table5[[#This Row],[zScore]],Table5[[#All],[zScore]])</f>
        <v>468</v>
      </c>
      <c r="Y472" s="52" t="str">
        <f>IFERROR(INDEX(DraftResults[[#All],[OVR]],MATCH(Table5[[#This Row],[PID]],DraftResults[[#All],[Player ID]],0)),"")</f>
        <v/>
      </c>
      <c r="Z4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2" s="52" t="str">
        <f>IFERROR(INDEX(DraftResults[[#All],[Pick in Round]],MATCH(Table5[[#This Row],[PID]],DraftResults[[#All],[Player ID]],0)),"")</f>
        <v/>
      </c>
      <c r="AB472" s="52" t="str">
        <f>IFERROR(INDEX(DraftResults[[#All],[Team Name]],MATCH(Table5[[#This Row],[PID]],DraftResults[[#All],[Player ID]],0)),"")</f>
        <v/>
      </c>
      <c r="AC472" s="52" t="str">
        <f>IF(Table5[[#This Row],[Ovr]]="","",IF(Table5[[#This Row],[cmbList]]="","",Table5[[#This Row],[cmbList]]-Table5[[#This Row],[Ovr]]))</f>
        <v/>
      </c>
      <c r="AD472" s="56" t="str">
        <f>IF(ISERROR(VLOOKUP($AB472&amp;"-"&amp;$E472&amp;" "&amp;F472,Bonuses!$B$1:$G$1006,4,FALSE)),"",INT(VLOOKUP($AB472&amp;"-"&amp;$E472&amp;" "&amp;$F472,Bonuses!$B$1:$G$1006,4,FALSE)))</f>
        <v/>
      </c>
      <c r="AE4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3" spans="1:31" s="52" customFormat="1" x14ac:dyDescent="0.25">
      <c r="A473" s="52">
        <v>17813</v>
      </c>
      <c r="B473" s="52">
        <f>COUNTIF(Table5[PID],A473)</f>
        <v>1</v>
      </c>
      <c r="C473" s="52" t="str">
        <f>IF(COUNTIF(Table3[[#All],[PID]],A473)&gt;0,"P","B")</f>
        <v>P</v>
      </c>
      <c r="D473" s="61" t="str">
        <f>IF($C473="B",INDEX(Batters[[#All],[POS]],MATCH(Table5[[#This Row],[PID]],Batters[[#All],[PID]],0)),INDEX(Table3[[#All],[POS]],MATCH(Table5[[#This Row],[PID]],Table3[[#All],[PID]],0)))</f>
        <v>RP</v>
      </c>
      <c r="E473" s="54" t="str">
        <f>IF($C473="B",INDEX(Batters[[#All],[First]],MATCH(Table5[[#This Row],[PID]],Batters[[#All],[PID]],0)),INDEX(Table3[[#All],[First]],MATCH(Table5[[#This Row],[PID]],Table3[[#All],[PID]],0)))</f>
        <v>Yoshii</v>
      </c>
      <c r="F473" s="52" t="str">
        <f>IF($C473="B",INDEX(Batters[[#All],[Last]],MATCH(A473,Batters[[#All],[PID]],0)),INDEX(Table3[[#All],[Last]],MATCH(A473,Table3[[#All],[PID]],0)))</f>
        <v>Yamamoto</v>
      </c>
      <c r="G473" s="58">
        <f>IF($C473="B",INDEX(Batters[[#All],[Age]],MATCH(Table5[[#This Row],[PID]],Batters[[#All],[PID]],0)),INDEX(Table3[[#All],[Age]],MATCH(Table5[[#This Row],[PID]],Table3[[#All],[PID]],0)))</f>
        <v>21</v>
      </c>
      <c r="H473" s="54" t="str">
        <f>IF($C473="B",INDEX(Batters[[#All],[B]],MATCH(Table5[[#This Row],[PID]],Batters[[#All],[PID]],0)),INDEX(Table3[[#All],[B]],MATCH(Table5[[#This Row],[PID]],Table3[[#All],[PID]],0)))</f>
        <v>R</v>
      </c>
      <c r="I473" s="54" t="str">
        <f>IF($C473="B",INDEX(Batters[[#All],[T]],MATCH(Table5[[#This Row],[PID]],Batters[[#All],[PID]],0)),INDEX(Table3[[#All],[T]],MATCH(Table5[[#This Row],[PID]],Table3[[#All],[PID]],0)))</f>
        <v>R</v>
      </c>
      <c r="J473" s="54" t="str">
        <f>IF($C473="B",INDEX(Batters[[#All],[WE]],MATCH(Table5[[#This Row],[PID]],Batters[[#All],[PID]],0)),INDEX(Table3[[#All],[WE]],MATCH(Table5[[#This Row],[PID]],Table3[[#All],[PID]],0)))</f>
        <v>Normal</v>
      </c>
      <c r="K473" s="54" t="str">
        <f>IF($C473="B",INDEX(Batters[[#All],[INT]],MATCH(Table5[[#This Row],[PID]],Batters[[#All],[PID]],0)),INDEX(Table3[[#All],[INT]],MATCH(Table5[[#This Row],[PID]],Table3[[#All],[PID]],0)))</f>
        <v>Normal</v>
      </c>
      <c r="L473" s="62">
        <f>IF($C473="B",INDEX(Batters[[#All],[CON P]],MATCH(Table5[[#This Row],[PID]],Batters[[#All],[PID]],0)),INDEX(Table3[[#All],[STU P]],MATCH(Table5[[#This Row],[PID]],Table3[[#All],[PID]],0)))</f>
        <v>5</v>
      </c>
      <c r="M473" s="58">
        <f>IF($C473="B",INDEX(Batters[[#All],[GAP P]],MATCH(Table5[[#This Row],[PID]],Batters[[#All],[PID]],0)),INDEX(Table3[[#All],[MOV P]],MATCH(Table5[[#This Row],[PID]],Table3[[#All],[PID]],0)))</f>
        <v>2</v>
      </c>
      <c r="N473" s="58">
        <f>IF($C473="B",INDEX(Batters[[#All],[POW P]],MATCH(Table5[[#This Row],[PID]],Batters[[#All],[PID]],0)),INDEX(Table3[[#All],[CON P]],MATCH(Table5[[#This Row],[PID]],Table3[[#All],[PID]],0)))</f>
        <v>2</v>
      </c>
      <c r="O473" s="58" t="str">
        <f>IF($C473="B",INDEX(Batters[[#All],[EYE P]],MATCH(Table5[[#This Row],[PID]],Batters[[#All],[PID]],0)),INDEX(Table3[[#All],[VELO]],MATCH(Table5[[#This Row],[PID]],Table3[[#All],[PID]],0)))</f>
        <v>90-92 Mph</v>
      </c>
      <c r="P473" s="58">
        <f>IF($C473="B",INDEX(Batters[[#All],[K P]],MATCH(Table5[[#This Row],[PID]],Batters[[#All],[PID]],0)),INDEX(Table3[[#All],[STM]],MATCH(Table5[[#This Row],[PID]],Table3[[#All],[PID]],0)))</f>
        <v>8</v>
      </c>
      <c r="Q473" s="63">
        <f>IF($C473="B",INDEX(Batters[[#All],[Tot]],MATCH(Table5[[#This Row],[PID]],Batters[[#All],[PID]],0)),INDEX(Table3[[#All],[Tot]],MATCH(Table5[[#This Row],[PID]],Table3[[#All],[PID]],0)))</f>
        <v>31.537227891302827</v>
      </c>
      <c r="R473" s="54">
        <f>IF($C473="B",INDEX(Batters[[#All],[zScore]],MATCH(Table5[[#This Row],[PID]],Batters[[#All],[PID]],0)),INDEX(Table3[[#All],[zScore]],MATCH(Table5[[#This Row],[PID]],Table3[[#All],[PID]],0)))</f>
        <v>-0.10867167057954416</v>
      </c>
      <c r="S473" s="60" t="str">
        <f>IF($C473="B",INDEX(Batters[[#All],[DEM]],MATCH(Table5[[#This Row],[PID]],Batters[[#All],[PID]],0)),INDEX(Table3[[#All],[DEM]],MATCH(Table5[[#This Row],[PID]],Table3[[#All],[PID]],0)))</f>
        <v>$20k</v>
      </c>
      <c r="T473" s="64">
        <f>IF($C473="B",VLOOKUP($A473,Bat!$A$4:$AU$1417,46,FALSE),VLOOKUP($A473,Pit!$A$4:$BD$570,55,FALSE))</f>
        <v>0</v>
      </c>
      <c r="U473" s="52">
        <f>IF($C473="B",VLOOKUP($A473,Bat!$A$4:$BA$1417,47,FALSE),VLOOKUP($A473,Pit!$A$4:$BF$570,56,FALSE))</f>
        <v>0</v>
      </c>
      <c r="V473" s="52">
        <f>IF($C473="B",VLOOKUP($A473,Bat!$A$4:$BA$1417,48,FALSE),VLOOKUP($A473,Pit!$A$4:$BF$570,57,FALSE))</f>
        <v>0</v>
      </c>
      <c r="W473" s="52">
        <f>Table5[[#This Row],[posRnk]]+Table5[[#This Row],[zRnk]]+IF($W$3&lt;&gt;Table5[[#This Row],[Type]],50,0)</f>
        <v>519</v>
      </c>
      <c r="X473" s="53">
        <f>RANK(Table5[[#This Row],[zScore]],Table5[[#All],[zScore]])</f>
        <v>469</v>
      </c>
      <c r="Y473" s="52" t="str">
        <f>IFERROR(INDEX(DraftResults[[#All],[OVR]],MATCH(Table5[[#This Row],[PID]],DraftResults[[#All],[Player ID]],0)),"")</f>
        <v/>
      </c>
      <c r="Z4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3" s="52" t="str">
        <f>IFERROR(INDEX(DraftResults[[#All],[Pick in Round]],MATCH(Table5[[#This Row],[PID]],DraftResults[[#All],[Player ID]],0)),"")</f>
        <v/>
      </c>
      <c r="AB473" s="52" t="str">
        <f>IFERROR(INDEX(DraftResults[[#All],[Team Name]],MATCH(Table5[[#This Row],[PID]],DraftResults[[#All],[Player ID]],0)),"")</f>
        <v/>
      </c>
      <c r="AC473" s="52" t="str">
        <f>IF(Table5[[#This Row],[Ovr]]="","",IF(Table5[[#This Row],[cmbList]]="","",Table5[[#This Row],[cmbList]]-Table5[[#This Row],[Ovr]]))</f>
        <v/>
      </c>
      <c r="AD473" s="56" t="str">
        <f>IF(ISERROR(VLOOKUP($AB473&amp;"-"&amp;$E473&amp;" "&amp;F473,Bonuses!$B$1:$G$1006,4,FALSE)),"",INT(VLOOKUP($AB473&amp;"-"&amp;$E473&amp;" "&amp;$F473,Bonuses!$B$1:$G$1006,4,FALSE)))</f>
        <v/>
      </c>
      <c r="AE4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4" spans="1:31" s="52" customFormat="1" x14ac:dyDescent="0.25">
      <c r="A474" s="52">
        <v>7046</v>
      </c>
      <c r="B474" s="52">
        <f>COUNTIF(Table5[PID],A474)</f>
        <v>1</v>
      </c>
      <c r="C474" s="52" t="str">
        <f>IF(COUNTIF(Table3[[#All],[PID]],A474)&gt;0,"P","B")</f>
        <v>B</v>
      </c>
      <c r="D474" s="61" t="str">
        <f>IF($C474="B",INDEX(Batters[[#All],[POS]],MATCH(Table5[[#This Row],[PID]],Batters[[#All],[PID]],0)),INDEX(Table3[[#All],[POS]],MATCH(Table5[[#This Row],[PID]],Table3[[#All],[PID]],0)))</f>
        <v>1B</v>
      </c>
      <c r="E474" s="54" t="str">
        <f>IF($C474="B",INDEX(Batters[[#All],[First]],MATCH(Table5[[#This Row],[PID]],Batters[[#All],[PID]],0)),INDEX(Table3[[#All],[First]],MATCH(Table5[[#This Row],[PID]],Table3[[#All],[PID]],0)))</f>
        <v>Motoyuki</v>
      </c>
      <c r="F474" s="52" t="str">
        <f>IF($C474="B",INDEX(Batters[[#All],[Last]],MATCH(A474,Batters[[#All],[PID]],0)),INDEX(Table3[[#All],[Last]],MATCH(A474,Table3[[#All],[PID]],0)))</f>
        <v>Sanu</v>
      </c>
      <c r="G474" s="58">
        <f>IF($C474="B",INDEX(Batters[[#All],[Age]],MATCH(Table5[[#This Row],[PID]],Batters[[#All],[PID]],0)),INDEX(Table3[[#All],[Age]],MATCH(Table5[[#This Row],[PID]],Table3[[#All],[PID]],0)))</f>
        <v>21</v>
      </c>
      <c r="H474" s="54" t="str">
        <f>IF($C474="B",INDEX(Batters[[#All],[B]],MATCH(Table5[[#This Row],[PID]],Batters[[#All],[PID]],0)),INDEX(Table3[[#All],[B]],MATCH(Table5[[#This Row],[PID]],Table3[[#All],[PID]],0)))</f>
        <v>R</v>
      </c>
      <c r="I474" s="54" t="str">
        <f>IF($C474="B",INDEX(Batters[[#All],[T]],MATCH(Table5[[#This Row],[PID]],Batters[[#All],[PID]],0)),INDEX(Table3[[#All],[T]],MATCH(Table5[[#This Row],[PID]],Table3[[#All],[PID]],0)))</f>
        <v>R</v>
      </c>
      <c r="J474" s="54" t="str">
        <f>IF($C474="B",INDEX(Batters[[#All],[WE]],MATCH(Table5[[#This Row],[PID]],Batters[[#All],[PID]],0)),INDEX(Table3[[#All],[WE]],MATCH(Table5[[#This Row],[PID]],Table3[[#All],[PID]],0)))</f>
        <v>Normal</v>
      </c>
      <c r="K474" s="54" t="str">
        <f>IF($C474="B",INDEX(Batters[[#All],[INT]],MATCH(Table5[[#This Row],[PID]],Batters[[#All],[PID]],0)),INDEX(Table3[[#All],[INT]],MATCH(Table5[[#This Row],[PID]],Table3[[#All],[PID]],0)))</f>
        <v>High</v>
      </c>
      <c r="L474" s="62">
        <f>IF($C474="B",INDEX(Batters[[#All],[CON P]],MATCH(Table5[[#This Row],[PID]],Batters[[#All],[PID]],0)),INDEX(Table3[[#All],[STU P]],MATCH(Table5[[#This Row],[PID]],Table3[[#All],[PID]],0)))</f>
        <v>3</v>
      </c>
      <c r="M474" s="58">
        <f>IF($C474="B",INDEX(Batters[[#All],[GAP P]],MATCH(Table5[[#This Row],[PID]],Batters[[#All],[PID]],0)),INDEX(Table3[[#All],[MOV P]],MATCH(Table5[[#This Row],[PID]],Table3[[#All],[PID]],0)))</f>
        <v>5</v>
      </c>
      <c r="N474" s="58">
        <f>IF($C474="B",INDEX(Batters[[#All],[POW P]],MATCH(Table5[[#This Row],[PID]],Batters[[#All],[PID]],0)),INDEX(Table3[[#All],[CON P]],MATCH(Table5[[#This Row],[PID]],Table3[[#All],[PID]],0)))</f>
        <v>4</v>
      </c>
      <c r="O474" s="58">
        <f>IF($C474="B",INDEX(Batters[[#All],[EYE P]],MATCH(Table5[[#This Row],[PID]],Batters[[#All],[PID]],0)),INDEX(Table3[[#All],[VELO]],MATCH(Table5[[#This Row],[PID]],Table3[[#All],[PID]],0)))</f>
        <v>6</v>
      </c>
      <c r="P474" s="58">
        <f>IF($C474="B",INDEX(Batters[[#All],[K P]],MATCH(Table5[[#This Row],[PID]],Batters[[#All],[PID]],0)),INDEX(Table3[[#All],[STM]],MATCH(Table5[[#This Row],[PID]],Table3[[#All],[PID]],0)))</f>
        <v>3</v>
      </c>
      <c r="Q474" s="63">
        <f>IF($C474="B",INDEX(Batters[[#All],[Tot]],MATCH(Table5[[#This Row],[PID]],Batters[[#All],[PID]],0)),INDEX(Table3[[#All],[Tot]],MATCH(Table5[[#This Row],[PID]],Table3[[#All],[PID]],0)))</f>
        <v>39.704908365008151</v>
      </c>
      <c r="R474" s="54">
        <f>IF($C474="B",INDEX(Batters[[#All],[zScore]],MATCH(Table5[[#This Row],[PID]],Batters[[#All],[PID]],0)),INDEX(Table3[[#All],[zScore]],MATCH(Table5[[#This Row],[PID]],Table3[[#All],[PID]],0)))</f>
        <v>-0.1131912200197851</v>
      </c>
      <c r="S474" s="60" t="str">
        <f>IF($C474="B",INDEX(Batters[[#All],[DEM]],MATCH(Table5[[#This Row],[PID]],Batters[[#All],[PID]],0)),INDEX(Table3[[#All],[DEM]],MATCH(Table5[[#This Row],[PID]],Table3[[#All],[PID]],0)))</f>
        <v>-</v>
      </c>
      <c r="T474" s="64">
        <f>IF($C474="B",VLOOKUP($A474,Bat!$A$4:$AU$1417,46,FALSE),VLOOKUP($A474,Pit!$A$4:$BD$570,55,FALSE))</f>
        <v>0</v>
      </c>
      <c r="U474" s="52">
        <f>IF($C474="B",VLOOKUP($A474,Bat!$A$4:$BA$1417,47,FALSE),VLOOKUP($A474,Pit!$A$4:$BF$570,56,FALSE))</f>
        <v>0</v>
      </c>
      <c r="V474" s="52">
        <f>IF($C474="B",VLOOKUP($A474,Bat!$A$4:$BA$1417,48,FALSE),VLOOKUP($A474,Pit!$A$4:$BF$570,57,FALSE))</f>
        <v>0</v>
      </c>
      <c r="W474" s="52">
        <f>Table5[[#This Row],[posRnk]]+Table5[[#This Row],[zRnk]]+IF($W$3&lt;&gt;Table5[[#This Row],[Type]],50,0)</f>
        <v>520</v>
      </c>
      <c r="X474" s="53">
        <f>RANK(Table5[[#This Row],[zScore]],Table5[[#All],[zScore]])</f>
        <v>470</v>
      </c>
      <c r="Y474" s="52" t="str">
        <f>IFERROR(INDEX(DraftResults[[#All],[OVR]],MATCH(Table5[[#This Row],[PID]],DraftResults[[#All],[Player ID]],0)),"")</f>
        <v/>
      </c>
      <c r="Z4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4" s="52" t="str">
        <f>IFERROR(INDEX(DraftResults[[#All],[Pick in Round]],MATCH(Table5[[#This Row],[PID]],DraftResults[[#All],[Player ID]],0)),"")</f>
        <v/>
      </c>
      <c r="AB474" s="52" t="str">
        <f>IFERROR(INDEX(DraftResults[[#All],[Team Name]],MATCH(Table5[[#This Row],[PID]],DraftResults[[#All],[Player ID]],0)),"")</f>
        <v/>
      </c>
      <c r="AC474" s="52" t="str">
        <f>IF(Table5[[#This Row],[Ovr]]="","",IF(Table5[[#This Row],[cmbList]]="","",Table5[[#This Row],[cmbList]]-Table5[[#This Row],[Ovr]]))</f>
        <v/>
      </c>
      <c r="AD474" s="56" t="str">
        <f>IF(ISERROR(VLOOKUP($AB474&amp;"-"&amp;$E474&amp;" "&amp;F474,Bonuses!$B$1:$G$1006,4,FALSE)),"",INT(VLOOKUP($AB474&amp;"-"&amp;$E474&amp;" "&amp;$F474,Bonuses!$B$1:$G$1006,4,FALSE)))</f>
        <v/>
      </c>
      <c r="AE4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5" spans="1:31" s="52" customFormat="1" x14ac:dyDescent="0.25">
      <c r="A475" s="52">
        <v>9532</v>
      </c>
      <c r="B475" s="52">
        <f>COUNTIF(Table5[PID],A475)</f>
        <v>1</v>
      </c>
      <c r="C475" s="52" t="str">
        <f>IF(COUNTIF(Table3[[#All],[PID]],A475)&gt;0,"P","B")</f>
        <v>B</v>
      </c>
      <c r="D475" s="61" t="str">
        <f>IF($C475="B",INDEX(Batters[[#All],[POS]],MATCH(Table5[[#This Row],[PID]],Batters[[#All],[PID]],0)),INDEX(Table3[[#All],[POS]],MATCH(Table5[[#This Row],[PID]],Table3[[#All],[PID]],0)))</f>
        <v>LF</v>
      </c>
      <c r="E475" s="54" t="str">
        <f>IF($C475="B",INDEX(Batters[[#All],[First]],MATCH(Table5[[#This Row],[PID]],Batters[[#All],[PID]],0)),INDEX(Table3[[#All],[First]],MATCH(Table5[[#This Row],[PID]],Table3[[#All],[PID]],0)))</f>
        <v>Lynn</v>
      </c>
      <c r="F475" s="52" t="str">
        <f>IF($C475="B",INDEX(Batters[[#All],[Last]],MATCH(A475,Batters[[#All],[PID]],0)),INDEX(Table3[[#All],[Last]],MATCH(A475,Table3[[#All],[PID]],0)))</f>
        <v>Greene</v>
      </c>
      <c r="G475" s="58">
        <f>IF($C475="B",INDEX(Batters[[#All],[Age]],MATCH(Table5[[#This Row],[PID]],Batters[[#All],[PID]],0)),INDEX(Table3[[#All],[Age]],MATCH(Table5[[#This Row],[PID]],Table3[[#All],[PID]],0)))</f>
        <v>21</v>
      </c>
      <c r="H475" s="54" t="str">
        <f>IF($C475="B",INDEX(Batters[[#All],[B]],MATCH(Table5[[#This Row],[PID]],Batters[[#All],[PID]],0)),INDEX(Table3[[#All],[B]],MATCH(Table5[[#This Row],[PID]],Table3[[#All],[PID]],0)))</f>
        <v>R</v>
      </c>
      <c r="I475" s="54" t="str">
        <f>IF($C475="B",INDEX(Batters[[#All],[T]],MATCH(Table5[[#This Row],[PID]],Batters[[#All],[PID]],0)),INDEX(Table3[[#All],[T]],MATCH(Table5[[#This Row],[PID]],Table3[[#All],[PID]],0)))</f>
        <v>L</v>
      </c>
      <c r="J475" s="54" t="str">
        <f>IF($C475="B",INDEX(Batters[[#All],[WE]],MATCH(Table5[[#This Row],[PID]],Batters[[#All],[PID]],0)),INDEX(Table3[[#All],[WE]],MATCH(Table5[[#This Row],[PID]],Table3[[#All],[PID]],0)))</f>
        <v>High</v>
      </c>
      <c r="K475" s="54" t="str">
        <f>IF($C475="B",INDEX(Batters[[#All],[INT]],MATCH(Table5[[#This Row],[PID]],Batters[[#All],[PID]],0)),INDEX(Table3[[#All],[INT]],MATCH(Table5[[#This Row],[PID]],Table3[[#All],[PID]],0)))</f>
        <v>Normal</v>
      </c>
      <c r="L475" s="62">
        <f>IF($C475="B",INDEX(Batters[[#All],[CON P]],MATCH(Table5[[#This Row],[PID]],Batters[[#All],[PID]],0)),INDEX(Table3[[#All],[STU P]],MATCH(Table5[[#This Row],[PID]],Table3[[#All],[PID]],0)))</f>
        <v>4</v>
      </c>
      <c r="M475" s="58">
        <f>IF($C475="B",INDEX(Batters[[#All],[GAP P]],MATCH(Table5[[#This Row],[PID]],Batters[[#All],[PID]],0)),INDEX(Table3[[#All],[MOV P]],MATCH(Table5[[#This Row],[PID]],Table3[[#All],[PID]],0)))</f>
        <v>3</v>
      </c>
      <c r="N475" s="58">
        <f>IF($C475="B",INDEX(Batters[[#All],[POW P]],MATCH(Table5[[#This Row],[PID]],Batters[[#All],[PID]],0)),INDEX(Table3[[#All],[CON P]],MATCH(Table5[[#This Row],[PID]],Table3[[#All],[PID]],0)))</f>
        <v>3</v>
      </c>
      <c r="O475" s="58">
        <f>IF($C475="B",INDEX(Batters[[#All],[EYE P]],MATCH(Table5[[#This Row],[PID]],Batters[[#All],[PID]],0)),INDEX(Table3[[#All],[VELO]],MATCH(Table5[[#This Row],[PID]],Table3[[#All],[PID]],0)))</f>
        <v>3</v>
      </c>
      <c r="P475" s="58">
        <f>IF($C475="B",INDEX(Batters[[#All],[K P]],MATCH(Table5[[#This Row],[PID]],Batters[[#All],[PID]],0)),INDEX(Table3[[#All],[STM]],MATCH(Table5[[#This Row],[PID]],Table3[[#All],[PID]],0)))</f>
        <v>5</v>
      </c>
      <c r="Q475" s="63">
        <f>IF($C475="B",INDEX(Batters[[#All],[Tot]],MATCH(Table5[[#This Row],[PID]],Batters[[#All],[PID]],0)),INDEX(Table3[[#All],[Tot]],MATCH(Table5[[#This Row],[PID]],Table3[[#All],[PID]],0)))</f>
        <v>39.638463475939766</v>
      </c>
      <c r="R475" s="54">
        <f>IF($C475="B",INDEX(Batters[[#All],[zScore]],MATCH(Table5[[#This Row],[PID]],Batters[[#All],[PID]],0)),INDEX(Table3[[#All],[zScore]],MATCH(Table5[[#This Row],[PID]],Table3[[#All],[PID]],0)))</f>
        <v>-0.12488175663847693</v>
      </c>
      <c r="S475" s="60" t="str">
        <f>IF($C475="B",INDEX(Batters[[#All],[DEM]],MATCH(Table5[[#This Row],[PID]],Batters[[#All],[PID]],0)),INDEX(Table3[[#All],[DEM]],MATCH(Table5[[#This Row],[PID]],Table3[[#All],[PID]],0)))</f>
        <v>-</v>
      </c>
      <c r="T475" s="64">
        <f>IF($C475="B",VLOOKUP($A475,Bat!$A$4:$AU$1417,46,FALSE),VLOOKUP($A475,Pit!$A$4:$BD$570,55,FALSE))</f>
        <v>0</v>
      </c>
      <c r="U475" s="52">
        <f>IF($C475="B",VLOOKUP($A475,Bat!$A$4:$BA$1417,47,FALSE),VLOOKUP($A475,Pit!$A$4:$BF$570,56,FALSE))</f>
        <v>0</v>
      </c>
      <c r="V475" s="52">
        <f>IF($C475="B",VLOOKUP($A475,Bat!$A$4:$BA$1417,48,FALSE),VLOOKUP($A475,Pit!$A$4:$BF$570,57,FALSE))</f>
        <v>0</v>
      </c>
      <c r="W475" s="52">
        <f>Table5[[#This Row],[posRnk]]+Table5[[#This Row],[zRnk]]+IF($W$3&lt;&gt;Table5[[#This Row],[Type]],50,0)</f>
        <v>521</v>
      </c>
      <c r="X475" s="53">
        <f>RANK(Table5[[#This Row],[zScore]],Table5[[#All],[zScore]])</f>
        <v>471</v>
      </c>
      <c r="Y475" s="52" t="str">
        <f>IFERROR(INDEX(DraftResults[[#All],[OVR]],MATCH(Table5[[#This Row],[PID]],DraftResults[[#All],[Player ID]],0)),"")</f>
        <v/>
      </c>
      <c r="Z4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5" s="52" t="str">
        <f>IFERROR(INDEX(DraftResults[[#All],[Pick in Round]],MATCH(Table5[[#This Row],[PID]],DraftResults[[#All],[Player ID]],0)),"")</f>
        <v/>
      </c>
      <c r="AB475" s="52" t="str">
        <f>IFERROR(INDEX(DraftResults[[#All],[Team Name]],MATCH(Table5[[#This Row],[PID]],DraftResults[[#All],[Player ID]],0)),"")</f>
        <v/>
      </c>
      <c r="AC475" s="52" t="str">
        <f>IF(Table5[[#This Row],[Ovr]]="","",IF(Table5[[#This Row],[cmbList]]="","",Table5[[#This Row],[cmbList]]-Table5[[#This Row],[Ovr]]))</f>
        <v/>
      </c>
      <c r="AD475" s="56" t="str">
        <f>IF(ISERROR(VLOOKUP($AB475&amp;"-"&amp;$E475&amp;" "&amp;F475,Bonuses!$B$1:$G$1006,4,FALSE)),"",INT(VLOOKUP($AB475&amp;"-"&amp;$E475&amp;" "&amp;$F475,Bonuses!$B$1:$G$1006,4,FALSE)))</f>
        <v/>
      </c>
      <c r="AE4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6" spans="1:31" s="52" customFormat="1" x14ac:dyDescent="0.25">
      <c r="A476" s="52">
        <v>8573</v>
      </c>
      <c r="B476" s="52">
        <f>COUNTIF(Table5[PID],A476)</f>
        <v>1</v>
      </c>
      <c r="C476" s="52" t="str">
        <f>IF(COUNTIF(Table3[[#All],[PID]],A476)&gt;0,"P","B")</f>
        <v>B</v>
      </c>
      <c r="D476" s="61" t="str">
        <f>IF($C476="B",INDEX(Batters[[#All],[POS]],MATCH(Table5[[#This Row],[PID]],Batters[[#All],[PID]],0)),INDEX(Table3[[#All],[POS]],MATCH(Table5[[#This Row],[PID]],Table3[[#All],[PID]],0)))</f>
        <v>3B</v>
      </c>
      <c r="E476" s="54" t="str">
        <f>IF($C476="B",INDEX(Batters[[#All],[First]],MATCH(Table5[[#This Row],[PID]],Batters[[#All],[PID]],0)),INDEX(Table3[[#All],[First]],MATCH(Table5[[#This Row],[PID]],Table3[[#All],[PID]],0)))</f>
        <v>David</v>
      </c>
      <c r="F476" s="52" t="str">
        <f>IF($C476="B",INDEX(Batters[[#All],[Last]],MATCH(A476,Batters[[#All],[PID]],0)),INDEX(Table3[[#All],[Last]],MATCH(A476,Table3[[#All],[PID]],0)))</f>
        <v>Morín</v>
      </c>
      <c r="G476" s="58">
        <f>IF($C476="B",INDEX(Batters[[#All],[Age]],MATCH(Table5[[#This Row],[PID]],Batters[[#All],[PID]],0)),INDEX(Table3[[#All],[Age]],MATCH(Table5[[#This Row],[PID]],Table3[[#All],[PID]],0)))</f>
        <v>18</v>
      </c>
      <c r="H476" s="54" t="str">
        <f>IF($C476="B",INDEX(Batters[[#All],[B]],MATCH(Table5[[#This Row],[PID]],Batters[[#All],[PID]],0)),INDEX(Table3[[#All],[B]],MATCH(Table5[[#This Row],[PID]],Table3[[#All],[PID]],0)))</f>
        <v>L</v>
      </c>
      <c r="I476" s="54" t="str">
        <f>IF($C476="B",INDEX(Batters[[#All],[T]],MATCH(Table5[[#This Row],[PID]],Batters[[#All],[PID]],0)),INDEX(Table3[[#All],[T]],MATCH(Table5[[#This Row],[PID]],Table3[[#All],[PID]],0)))</f>
        <v>R</v>
      </c>
      <c r="J476" s="54" t="str">
        <f>IF($C476="B",INDEX(Batters[[#All],[WE]],MATCH(Table5[[#This Row],[PID]],Batters[[#All],[PID]],0)),INDEX(Table3[[#All],[WE]],MATCH(Table5[[#This Row],[PID]],Table3[[#All],[PID]],0)))</f>
        <v>High</v>
      </c>
      <c r="K476" s="54" t="str">
        <f>IF($C476="B",INDEX(Batters[[#All],[INT]],MATCH(Table5[[#This Row],[PID]],Batters[[#All],[PID]],0)),INDEX(Table3[[#All],[INT]],MATCH(Table5[[#This Row],[PID]],Table3[[#All],[PID]],0)))</f>
        <v>Normal</v>
      </c>
      <c r="L476" s="62">
        <f>IF($C476="B",INDEX(Batters[[#All],[CON P]],MATCH(Table5[[#This Row],[PID]],Batters[[#All],[PID]],0)),INDEX(Table3[[#All],[STU P]],MATCH(Table5[[#This Row],[PID]],Table3[[#All],[PID]],0)))</f>
        <v>3</v>
      </c>
      <c r="M476" s="58">
        <f>IF($C476="B",INDEX(Batters[[#All],[GAP P]],MATCH(Table5[[#This Row],[PID]],Batters[[#All],[PID]],0)),INDEX(Table3[[#All],[MOV P]],MATCH(Table5[[#This Row],[PID]],Table3[[#All],[PID]],0)))</f>
        <v>4</v>
      </c>
      <c r="N476" s="58">
        <f>IF($C476="B",INDEX(Batters[[#All],[POW P]],MATCH(Table5[[#This Row],[PID]],Batters[[#All],[PID]],0)),INDEX(Table3[[#All],[CON P]],MATCH(Table5[[#This Row],[PID]],Table3[[#All],[PID]],0)))</f>
        <v>3</v>
      </c>
      <c r="O476" s="58">
        <f>IF($C476="B",INDEX(Batters[[#All],[EYE P]],MATCH(Table5[[#This Row],[PID]],Batters[[#All],[PID]],0)),INDEX(Table3[[#All],[VELO]],MATCH(Table5[[#This Row],[PID]],Table3[[#All],[PID]],0)))</f>
        <v>1</v>
      </c>
      <c r="P476" s="58">
        <f>IF($C476="B",INDEX(Batters[[#All],[K P]],MATCH(Table5[[#This Row],[PID]],Batters[[#All],[PID]],0)),INDEX(Table3[[#All],[STM]],MATCH(Table5[[#This Row],[PID]],Table3[[#All],[PID]],0)))</f>
        <v>6</v>
      </c>
      <c r="Q476" s="63">
        <f>IF($C476="B",INDEX(Batters[[#All],[Tot]],MATCH(Table5[[#This Row],[PID]],Batters[[#All],[PID]],0)),INDEX(Table3[[#All],[Tot]],MATCH(Table5[[#This Row],[PID]],Table3[[#All],[PID]],0)))</f>
        <v>39.628040198521681</v>
      </c>
      <c r="R476" s="54">
        <f>IF($C476="B",INDEX(Batters[[#All],[zScore]],MATCH(Table5[[#This Row],[PID]],Batters[[#All],[PID]],0)),INDEX(Table3[[#All],[zScore]],MATCH(Table5[[#This Row],[PID]],Table3[[#All],[PID]],0)))</f>
        <v>-0.12671566302392498</v>
      </c>
      <c r="S476" s="60" t="str">
        <f>IF($C476="B",INDEX(Batters[[#All],[DEM]],MATCH(Table5[[#This Row],[PID]],Batters[[#All],[PID]],0)),INDEX(Table3[[#All],[DEM]],MATCH(Table5[[#This Row],[PID]],Table3[[#All],[PID]],0)))</f>
        <v>$70k</v>
      </c>
      <c r="T476" s="64">
        <f>IF($C476="B",VLOOKUP($A476,Bat!$A$4:$AU$1417,46,FALSE),VLOOKUP($A476,Pit!$A$4:$BD$570,55,FALSE))</f>
        <v>0</v>
      </c>
      <c r="U476" s="52">
        <f>IF($C476="B",VLOOKUP($A476,Bat!$A$4:$BA$1417,47,FALSE),VLOOKUP($A476,Pit!$A$4:$BF$570,56,FALSE))</f>
        <v>0</v>
      </c>
      <c r="V476" s="52">
        <f>IF($C476="B",VLOOKUP($A476,Bat!$A$4:$BA$1417,48,FALSE),VLOOKUP($A476,Pit!$A$4:$BF$570,57,FALSE))</f>
        <v>0</v>
      </c>
      <c r="W476" s="52">
        <f>Table5[[#This Row],[posRnk]]+Table5[[#This Row],[zRnk]]+IF($W$3&lt;&gt;Table5[[#This Row],[Type]],50,0)</f>
        <v>522</v>
      </c>
      <c r="X476" s="53">
        <f>RANK(Table5[[#This Row],[zScore]],Table5[[#All],[zScore]])</f>
        <v>472</v>
      </c>
      <c r="Y476" s="52" t="str">
        <f>IFERROR(INDEX(DraftResults[[#All],[OVR]],MATCH(Table5[[#This Row],[PID]],DraftResults[[#All],[Player ID]],0)),"")</f>
        <v/>
      </c>
      <c r="Z4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6" s="52" t="str">
        <f>IFERROR(INDEX(DraftResults[[#All],[Pick in Round]],MATCH(Table5[[#This Row],[PID]],DraftResults[[#All],[Player ID]],0)),"")</f>
        <v/>
      </c>
      <c r="AB476" s="52" t="str">
        <f>IFERROR(INDEX(DraftResults[[#All],[Team Name]],MATCH(Table5[[#This Row],[PID]],DraftResults[[#All],[Player ID]],0)),"")</f>
        <v/>
      </c>
      <c r="AC476" s="52" t="str">
        <f>IF(Table5[[#This Row],[Ovr]]="","",IF(Table5[[#This Row],[cmbList]]="","",Table5[[#This Row],[cmbList]]-Table5[[#This Row],[Ovr]]))</f>
        <v/>
      </c>
      <c r="AD476" s="56" t="str">
        <f>IF(ISERROR(VLOOKUP($AB476&amp;"-"&amp;$E476&amp;" "&amp;F476,Bonuses!$B$1:$G$1006,4,FALSE)),"",INT(VLOOKUP($AB476&amp;"-"&amp;$E476&amp;" "&amp;$F476,Bonuses!$B$1:$G$1006,4,FALSE)))</f>
        <v/>
      </c>
      <c r="AE4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7" spans="1:31" s="52" customFormat="1" x14ac:dyDescent="0.25">
      <c r="A477" s="52">
        <v>12418</v>
      </c>
      <c r="B477" s="52">
        <f>COUNTIF(Table5[PID],A477)</f>
        <v>1</v>
      </c>
      <c r="C477" s="52" t="str">
        <f>IF(COUNTIF(Table3[[#All],[PID]],A477)&gt;0,"P","B")</f>
        <v>P</v>
      </c>
      <c r="D477" s="61" t="str">
        <f>IF($C477="B",INDEX(Batters[[#All],[POS]],MATCH(Table5[[#This Row],[PID]],Batters[[#All],[PID]],0)),INDEX(Table3[[#All],[POS]],MATCH(Table5[[#This Row],[PID]],Table3[[#All],[PID]],0)))</f>
        <v>SP</v>
      </c>
      <c r="E477" s="54" t="str">
        <f>IF($C477="B",INDEX(Batters[[#All],[First]],MATCH(Table5[[#This Row],[PID]],Batters[[#All],[PID]],0)),INDEX(Table3[[#All],[First]],MATCH(Table5[[#This Row],[PID]],Table3[[#All],[PID]],0)))</f>
        <v>Zak</v>
      </c>
      <c r="F477" s="52" t="str">
        <f>IF($C477="B",INDEX(Batters[[#All],[Last]],MATCH(A477,Batters[[#All],[PID]],0)),INDEX(Table3[[#All],[Last]],MATCH(A477,Table3[[#All],[PID]],0)))</f>
        <v>Filmer</v>
      </c>
      <c r="G477" s="58">
        <f>IF($C477="B",INDEX(Batters[[#All],[Age]],MATCH(Table5[[#This Row],[PID]],Batters[[#All],[PID]],0)),INDEX(Table3[[#All],[Age]],MATCH(Table5[[#This Row],[PID]],Table3[[#All],[PID]],0)))</f>
        <v>22</v>
      </c>
      <c r="H477" s="54" t="str">
        <f>IF($C477="B",INDEX(Batters[[#All],[B]],MATCH(Table5[[#This Row],[PID]],Batters[[#All],[PID]],0)),INDEX(Table3[[#All],[B]],MATCH(Table5[[#This Row],[PID]],Table3[[#All],[PID]],0)))</f>
        <v>R</v>
      </c>
      <c r="I477" s="54" t="str">
        <f>IF($C477="B",INDEX(Batters[[#All],[T]],MATCH(Table5[[#This Row],[PID]],Batters[[#All],[PID]],0)),INDEX(Table3[[#All],[T]],MATCH(Table5[[#This Row],[PID]],Table3[[#All],[PID]],0)))</f>
        <v>R</v>
      </c>
      <c r="J477" s="54" t="str">
        <f>IF($C477="B",INDEX(Batters[[#All],[WE]],MATCH(Table5[[#This Row],[PID]],Batters[[#All],[PID]],0)),INDEX(Table3[[#All],[WE]],MATCH(Table5[[#This Row],[PID]],Table3[[#All],[PID]],0)))</f>
        <v>Low</v>
      </c>
      <c r="K477" s="54" t="str">
        <f>IF($C477="B",INDEX(Batters[[#All],[INT]],MATCH(Table5[[#This Row],[PID]],Batters[[#All],[PID]],0)),INDEX(Table3[[#All],[INT]],MATCH(Table5[[#This Row],[PID]],Table3[[#All],[PID]],0)))</f>
        <v>Normal</v>
      </c>
      <c r="L477" s="62">
        <f>IF($C477="B",INDEX(Batters[[#All],[CON P]],MATCH(Table5[[#This Row],[PID]],Batters[[#All],[PID]],0)),INDEX(Table3[[#All],[STU P]],MATCH(Table5[[#This Row],[PID]],Table3[[#All],[PID]],0)))</f>
        <v>4</v>
      </c>
      <c r="M477" s="58">
        <f>IF($C477="B",INDEX(Batters[[#All],[GAP P]],MATCH(Table5[[#This Row],[PID]],Batters[[#All],[PID]],0)),INDEX(Table3[[#All],[MOV P]],MATCH(Table5[[#This Row],[PID]],Table3[[#All],[PID]],0)))</f>
        <v>1</v>
      </c>
      <c r="N477" s="58">
        <f>IF($C477="B",INDEX(Batters[[#All],[POW P]],MATCH(Table5[[#This Row],[PID]],Batters[[#All],[PID]],0)),INDEX(Table3[[#All],[CON P]],MATCH(Table5[[#This Row],[PID]],Table3[[#All],[PID]],0)))</f>
        <v>4</v>
      </c>
      <c r="O477" s="58" t="str">
        <f>IF($C477="B",INDEX(Batters[[#All],[EYE P]],MATCH(Table5[[#This Row],[PID]],Batters[[#All],[PID]],0)),INDEX(Table3[[#All],[VELO]],MATCH(Table5[[#This Row],[PID]],Table3[[#All],[PID]],0)))</f>
        <v>91-93 Mph</v>
      </c>
      <c r="P477" s="58">
        <f>IF($C477="B",INDEX(Batters[[#All],[K P]],MATCH(Table5[[#This Row],[PID]],Batters[[#All],[PID]],0)),INDEX(Table3[[#All],[STM]],MATCH(Table5[[#This Row],[PID]],Table3[[#All],[PID]],0)))</f>
        <v>9</v>
      </c>
      <c r="Q477" s="63">
        <f>IF($C477="B",INDEX(Batters[[#All],[Tot]],MATCH(Table5[[#This Row],[PID]],Batters[[#All],[PID]],0)),INDEX(Table3[[#All],[Tot]],MATCH(Table5[[#This Row],[PID]],Table3[[#All],[PID]],0)))</f>
        <v>31.333895711029122</v>
      </c>
      <c r="R477" s="54">
        <f>IF($C477="B",INDEX(Batters[[#All],[zScore]],MATCH(Table5[[#This Row],[PID]],Batters[[#All],[PID]],0)),INDEX(Table3[[#All],[zScore]],MATCH(Table5[[#This Row],[PID]],Table3[[#All],[PID]],0)))</f>
        <v>-0.12731810057064649</v>
      </c>
      <c r="S477" s="60" t="str">
        <f>IF($C477="B",INDEX(Batters[[#All],[DEM]],MATCH(Table5[[#This Row],[PID]],Batters[[#All],[PID]],0)),INDEX(Table3[[#All],[DEM]],MATCH(Table5[[#This Row],[PID]],Table3[[#All],[PID]],0)))</f>
        <v>-</v>
      </c>
      <c r="T477" s="64">
        <f>IF($C477="B",VLOOKUP($A477,Bat!$A$4:$AU$1417,46,FALSE),VLOOKUP($A477,Pit!$A$4:$BD$570,55,FALSE))</f>
        <v>0</v>
      </c>
      <c r="U477" s="52">
        <f>IF($C477="B",VLOOKUP($A477,Bat!$A$4:$BA$1417,47,FALSE),VLOOKUP($A477,Pit!$A$4:$BF$570,56,FALSE))</f>
        <v>0</v>
      </c>
      <c r="V477" s="52">
        <f>IF($C477="B",VLOOKUP($A477,Bat!$A$4:$BA$1417,48,FALSE),VLOOKUP($A477,Pit!$A$4:$BF$570,57,FALSE))</f>
        <v>0</v>
      </c>
      <c r="W477" s="52">
        <f>Table5[[#This Row],[posRnk]]+Table5[[#This Row],[zRnk]]+IF($W$3&lt;&gt;Table5[[#This Row],[Type]],50,0)</f>
        <v>523</v>
      </c>
      <c r="X477" s="53">
        <f>RANK(Table5[[#This Row],[zScore]],Table5[[#All],[zScore]])</f>
        <v>473</v>
      </c>
      <c r="Y477" s="52" t="str">
        <f>IFERROR(INDEX(DraftResults[[#All],[OVR]],MATCH(Table5[[#This Row],[PID]],DraftResults[[#All],[Player ID]],0)),"")</f>
        <v/>
      </c>
      <c r="Z4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7" s="52" t="str">
        <f>IFERROR(INDEX(DraftResults[[#All],[Pick in Round]],MATCH(Table5[[#This Row],[PID]],DraftResults[[#All],[Player ID]],0)),"")</f>
        <v/>
      </c>
      <c r="AB477" s="52" t="str">
        <f>IFERROR(INDEX(DraftResults[[#All],[Team Name]],MATCH(Table5[[#This Row],[PID]],DraftResults[[#All],[Player ID]],0)),"")</f>
        <v/>
      </c>
      <c r="AC477" s="52" t="str">
        <f>IF(Table5[[#This Row],[Ovr]]="","",IF(Table5[[#This Row],[cmbList]]="","",Table5[[#This Row],[cmbList]]-Table5[[#This Row],[Ovr]]))</f>
        <v/>
      </c>
      <c r="AD477" s="56" t="str">
        <f>IF(ISERROR(VLOOKUP($AB477&amp;"-"&amp;$E477&amp;" "&amp;F477,Bonuses!$B$1:$G$1006,4,FALSE)),"",INT(VLOOKUP($AB477&amp;"-"&amp;$E477&amp;" "&amp;$F477,Bonuses!$B$1:$G$1006,4,FALSE)))</f>
        <v/>
      </c>
      <c r="AE4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8" spans="1:31" s="52" customFormat="1" x14ac:dyDescent="0.25">
      <c r="A478" s="52">
        <v>10448</v>
      </c>
      <c r="B478" s="52">
        <f>COUNTIF(Table5[PID],A478)</f>
        <v>1</v>
      </c>
      <c r="C478" s="52" t="str">
        <f>IF(COUNTIF(Table3[[#All],[PID]],A478)&gt;0,"P","B")</f>
        <v>P</v>
      </c>
      <c r="D478" s="61" t="str">
        <f>IF($C478="B",INDEX(Batters[[#All],[POS]],MATCH(Table5[[#This Row],[PID]],Batters[[#All],[PID]],0)),INDEX(Table3[[#All],[POS]],MATCH(Table5[[#This Row],[PID]],Table3[[#All],[PID]],0)))</f>
        <v>SP</v>
      </c>
      <c r="E478" s="54" t="str">
        <f>IF($C478="B",INDEX(Batters[[#All],[First]],MATCH(Table5[[#This Row],[PID]],Batters[[#All],[PID]],0)),INDEX(Table3[[#All],[First]],MATCH(Table5[[#This Row],[PID]],Table3[[#All],[PID]],0)))</f>
        <v>Ben</v>
      </c>
      <c r="F478" s="52" t="str">
        <f>IF($C478="B",INDEX(Batters[[#All],[Last]],MATCH(A478,Batters[[#All],[PID]],0)),INDEX(Table3[[#All],[Last]],MATCH(A478,Table3[[#All],[PID]],0)))</f>
        <v>Williams</v>
      </c>
      <c r="G478" s="58">
        <f>IF($C478="B",INDEX(Batters[[#All],[Age]],MATCH(Table5[[#This Row],[PID]],Batters[[#All],[PID]],0)),INDEX(Table3[[#All],[Age]],MATCH(Table5[[#This Row],[PID]],Table3[[#All],[PID]],0)))</f>
        <v>21</v>
      </c>
      <c r="H478" s="54" t="str">
        <f>IF($C478="B",INDEX(Batters[[#All],[B]],MATCH(Table5[[#This Row],[PID]],Batters[[#All],[PID]],0)),INDEX(Table3[[#All],[B]],MATCH(Table5[[#This Row],[PID]],Table3[[#All],[PID]],0)))</f>
        <v>R</v>
      </c>
      <c r="I478" s="54" t="str">
        <f>IF($C478="B",INDEX(Batters[[#All],[T]],MATCH(Table5[[#This Row],[PID]],Batters[[#All],[PID]],0)),INDEX(Table3[[#All],[T]],MATCH(Table5[[#This Row],[PID]],Table3[[#All],[PID]],0)))</f>
        <v>R</v>
      </c>
      <c r="J478" s="54" t="str">
        <f>IF($C478="B",INDEX(Batters[[#All],[WE]],MATCH(Table5[[#This Row],[PID]],Batters[[#All],[PID]],0)),INDEX(Table3[[#All],[WE]],MATCH(Table5[[#This Row],[PID]],Table3[[#All],[PID]],0)))</f>
        <v>Low</v>
      </c>
      <c r="K478" s="54" t="str">
        <f>IF($C478="B",INDEX(Batters[[#All],[INT]],MATCH(Table5[[#This Row],[PID]],Batters[[#All],[PID]],0)),INDEX(Table3[[#All],[INT]],MATCH(Table5[[#This Row],[PID]],Table3[[#All],[PID]],0)))</f>
        <v>Normal</v>
      </c>
      <c r="L478" s="62">
        <f>IF($C478="B",INDEX(Batters[[#All],[CON P]],MATCH(Table5[[#This Row],[PID]],Batters[[#All],[PID]],0)),INDEX(Table3[[#All],[STU P]],MATCH(Table5[[#This Row],[PID]],Table3[[#All],[PID]],0)))</f>
        <v>4</v>
      </c>
      <c r="M478" s="58">
        <f>IF($C478="B",INDEX(Batters[[#All],[GAP P]],MATCH(Table5[[#This Row],[PID]],Batters[[#All],[PID]],0)),INDEX(Table3[[#All],[MOV P]],MATCH(Table5[[#This Row],[PID]],Table3[[#All],[PID]],0)))</f>
        <v>2</v>
      </c>
      <c r="N478" s="58">
        <f>IF($C478="B",INDEX(Batters[[#All],[POW P]],MATCH(Table5[[#This Row],[PID]],Batters[[#All],[PID]],0)),INDEX(Table3[[#All],[CON P]],MATCH(Table5[[#This Row],[PID]],Table3[[#All],[PID]],0)))</f>
        <v>3</v>
      </c>
      <c r="O478" s="58" t="str">
        <f>IF($C478="B",INDEX(Batters[[#All],[EYE P]],MATCH(Table5[[#This Row],[PID]],Batters[[#All],[PID]],0)),INDEX(Table3[[#All],[VELO]],MATCH(Table5[[#This Row],[PID]],Table3[[#All],[PID]],0)))</f>
        <v>93-95 Mph</v>
      </c>
      <c r="P478" s="58">
        <f>IF($C478="B",INDEX(Batters[[#All],[K P]],MATCH(Table5[[#This Row],[PID]],Batters[[#All],[PID]],0)),INDEX(Table3[[#All],[STM]],MATCH(Table5[[#This Row],[PID]],Table3[[#All],[PID]],0)))</f>
        <v>8</v>
      </c>
      <c r="Q478" s="63">
        <f>IF($C478="B",INDEX(Batters[[#All],[Tot]],MATCH(Table5[[#This Row],[PID]],Batters[[#All],[PID]],0)),INDEX(Table3[[#All],[Tot]],MATCH(Table5[[#This Row],[PID]],Table3[[#All],[PID]],0)))</f>
        <v>31.324170254429532</v>
      </c>
      <c r="R478" s="54">
        <f>IF($C478="B",INDEX(Batters[[#All],[zScore]],MATCH(Table5[[#This Row],[PID]],Batters[[#All],[PID]],0)),INDEX(Table3[[#All],[zScore]],MATCH(Table5[[#This Row],[PID]],Table3[[#All],[PID]],0)))</f>
        <v>-0.12820996650830399</v>
      </c>
      <c r="S478" s="60" t="str">
        <f>IF($C478="B",INDEX(Batters[[#All],[DEM]],MATCH(Table5[[#This Row],[PID]],Batters[[#All],[PID]],0)),INDEX(Table3[[#All],[DEM]],MATCH(Table5[[#This Row],[PID]],Table3[[#All],[PID]],0)))</f>
        <v>-</v>
      </c>
      <c r="T478" s="64">
        <f>IF($C478="B",VLOOKUP($A478,Bat!$A$4:$AU$1417,46,FALSE),VLOOKUP($A478,Pit!$A$4:$BD$570,55,FALSE))</f>
        <v>0</v>
      </c>
      <c r="U478" s="52">
        <f>IF($C478="B",VLOOKUP($A478,Bat!$A$4:$BA$1417,47,FALSE),VLOOKUP($A478,Pit!$A$4:$BF$570,56,FALSE))</f>
        <v>0</v>
      </c>
      <c r="V478" s="52">
        <f>IF($C478="B",VLOOKUP($A478,Bat!$A$4:$BA$1417,48,FALSE),VLOOKUP($A478,Pit!$A$4:$BF$570,57,FALSE))</f>
        <v>0</v>
      </c>
      <c r="W478" s="52">
        <f>Table5[[#This Row],[posRnk]]+Table5[[#This Row],[zRnk]]+IF($W$3&lt;&gt;Table5[[#This Row],[Type]],50,0)</f>
        <v>524</v>
      </c>
      <c r="X478" s="53">
        <f>RANK(Table5[[#This Row],[zScore]],Table5[[#All],[zScore]])</f>
        <v>474</v>
      </c>
      <c r="Y478" s="52" t="str">
        <f>IFERROR(INDEX(DraftResults[[#All],[OVR]],MATCH(Table5[[#This Row],[PID]],DraftResults[[#All],[Player ID]],0)),"")</f>
        <v/>
      </c>
      <c r="Z4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8" s="52" t="str">
        <f>IFERROR(INDEX(DraftResults[[#All],[Pick in Round]],MATCH(Table5[[#This Row],[PID]],DraftResults[[#All],[Player ID]],0)),"")</f>
        <v/>
      </c>
      <c r="AB478" s="52" t="str">
        <f>IFERROR(INDEX(DraftResults[[#All],[Team Name]],MATCH(Table5[[#This Row],[PID]],DraftResults[[#All],[Player ID]],0)),"")</f>
        <v/>
      </c>
      <c r="AC478" s="52" t="str">
        <f>IF(Table5[[#This Row],[Ovr]]="","",IF(Table5[[#This Row],[cmbList]]="","",Table5[[#This Row],[cmbList]]-Table5[[#This Row],[Ovr]]))</f>
        <v/>
      </c>
      <c r="AD478" s="56" t="str">
        <f>IF(ISERROR(VLOOKUP($AB478&amp;"-"&amp;$E478&amp;" "&amp;F478,Bonuses!$B$1:$G$1006,4,FALSE)),"",INT(VLOOKUP($AB478&amp;"-"&amp;$E478&amp;" "&amp;$F478,Bonuses!$B$1:$G$1006,4,FALSE)))</f>
        <v/>
      </c>
      <c r="AE4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9" spans="1:31" s="52" customFormat="1" x14ac:dyDescent="0.25">
      <c r="A479" s="52">
        <v>9564</v>
      </c>
      <c r="B479" s="52">
        <f>COUNTIF(Table5[PID],A479)</f>
        <v>1</v>
      </c>
      <c r="C479" s="52" t="str">
        <f>IF(COUNTIF(Table3[[#All],[PID]],A479)&gt;0,"P","B")</f>
        <v>P</v>
      </c>
      <c r="D479" s="61" t="str">
        <f>IF($C479="B",INDEX(Batters[[#All],[POS]],MATCH(Table5[[#This Row],[PID]],Batters[[#All],[PID]],0)),INDEX(Table3[[#All],[POS]],MATCH(Table5[[#This Row],[PID]],Table3[[#All],[PID]],0)))</f>
        <v>CL</v>
      </c>
      <c r="E479" s="54" t="str">
        <f>IF($C479="B",INDEX(Batters[[#All],[First]],MATCH(Table5[[#This Row],[PID]],Batters[[#All],[PID]],0)),INDEX(Table3[[#All],[First]],MATCH(Table5[[#This Row],[PID]],Table3[[#All],[PID]],0)))</f>
        <v>Todd</v>
      </c>
      <c r="F479" s="52" t="str">
        <f>IF($C479="B",INDEX(Batters[[#All],[Last]],MATCH(A479,Batters[[#All],[PID]],0)),INDEX(Table3[[#All],[Last]],MATCH(A479,Table3[[#All],[PID]],0)))</f>
        <v>Webber</v>
      </c>
      <c r="G479" s="58">
        <f>IF($C479="B",INDEX(Batters[[#All],[Age]],MATCH(Table5[[#This Row],[PID]],Batters[[#All],[PID]],0)),INDEX(Table3[[#All],[Age]],MATCH(Table5[[#This Row],[PID]],Table3[[#All],[PID]],0)))</f>
        <v>21</v>
      </c>
      <c r="H479" s="54" t="str">
        <f>IF($C479="B",INDEX(Batters[[#All],[B]],MATCH(Table5[[#This Row],[PID]],Batters[[#All],[PID]],0)),INDEX(Table3[[#All],[B]],MATCH(Table5[[#This Row],[PID]],Table3[[#All],[PID]],0)))</f>
        <v>S</v>
      </c>
      <c r="I479" s="54" t="str">
        <f>IF($C479="B",INDEX(Batters[[#All],[T]],MATCH(Table5[[#This Row],[PID]],Batters[[#All],[PID]],0)),INDEX(Table3[[#All],[T]],MATCH(Table5[[#This Row],[PID]],Table3[[#All],[PID]],0)))</f>
        <v>R</v>
      </c>
      <c r="J479" s="54" t="str">
        <f>IF($C479="B",INDEX(Batters[[#All],[WE]],MATCH(Table5[[#This Row],[PID]],Batters[[#All],[PID]],0)),INDEX(Table3[[#All],[WE]],MATCH(Table5[[#This Row],[PID]],Table3[[#All],[PID]],0)))</f>
        <v>Low</v>
      </c>
      <c r="K479" s="54" t="str">
        <f>IF($C479="B",INDEX(Batters[[#All],[INT]],MATCH(Table5[[#This Row],[PID]],Batters[[#All],[PID]],0)),INDEX(Table3[[#All],[INT]],MATCH(Table5[[#This Row],[PID]],Table3[[#All],[PID]],0)))</f>
        <v>Normal</v>
      </c>
      <c r="L479" s="62">
        <f>IF($C479="B",INDEX(Batters[[#All],[CON P]],MATCH(Table5[[#This Row],[PID]],Batters[[#All],[PID]],0)),INDEX(Table3[[#All],[STU P]],MATCH(Table5[[#This Row],[PID]],Table3[[#All],[PID]],0)))</f>
        <v>6</v>
      </c>
      <c r="M479" s="58">
        <f>IF($C479="B",INDEX(Batters[[#All],[GAP P]],MATCH(Table5[[#This Row],[PID]],Batters[[#All],[PID]],0)),INDEX(Table3[[#All],[MOV P]],MATCH(Table5[[#This Row],[PID]],Table3[[#All],[PID]],0)))</f>
        <v>2</v>
      </c>
      <c r="N479" s="58">
        <f>IF($C479="B",INDEX(Batters[[#All],[POW P]],MATCH(Table5[[#This Row],[PID]],Batters[[#All],[PID]],0)),INDEX(Table3[[#All],[CON P]],MATCH(Table5[[#This Row],[PID]],Table3[[#All],[PID]],0)))</f>
        <v>2</v>
      </c>
      <c r="O479" s="58" t="str">
        <f>IF($C479="B",INDEX(Batters[[#All],[EYE P]],MATCH(Table5[[#This Row],[PID]],Batters[[#All],[PID]],0)),INDEX(Table3[[#All],[VELO]],MATCH(Table5[[#This Row],[PID]],Table3[[#All],[PID]],0)))</f>
        <v>95-97 Mph</v>
      </c>
      <c r="P479" s="58">
        <f>IF($C479="B",INDEX(Batters[[#All],[K P]],MATCH(Table5[[#This Row],[PID]],Batters[[#All],[PID]],0)),INDEX(Table3[[#All],[STM]],MATCH(Table5[[#This Row],[PID]],Table3[[#All],[PID]],0)))</f>
        <v>4</v>
      </c>
      <c r="Q479" s="63">
        <f>IF($C479="B",INDEX(Batters[[#All],[Tot]],MATCH(Table5[[#This Row],[PID]],Batters[[#All],[PID]],0)),INDEX(Table3[[#All],[Tot]],MATCH(Table5[[#This Row],[PID]],Table3[[#All],[PID]],0)))</f>
        <v>31.303192664772165</v>
      </c>
      <c r="R479" s="54">
        <f>IF($C479="B",INDEX(Batters[[#All],[zScore]],MATCH(Table5[[#This Row],[PID]],Batters[[#All],[PID]],0)),INDEX(Table3[[#All],[zScore]],MATCH(Table5[[#This Row],[PID]],Table3[[#All],[PID]],0)))</f>
        <v>-0.13013370113998712</v>
      </c>
      <c r="S479" s="60" t="str">
        <f>IF($C479="B",INDEX(Batters[[#All],[DEM]],MATCH(Table5[[#This Row],[PID]],Batters[[#All],[PID]],0)),INDEX(Table3[[#All],[DEM]],MATCH(Table5[[#This Row],[PID]],Table3[[#All],[PID]],0)))</f>
        <v>$34k</v>
      </c>
      <c r="T479" s="64">
        <f>IF($C479="B",VLOOKUP($A479,Bat!$A$4:$AU$1417,46,FALSE),VLOOKUP($A479,Pit!$A$4:$BD$570,55,FALSE))</f>
        <v>0</v>
      </c>
      <c r="U479" s="52">
        <f>IF($C479="B",VLOOKUP($A479,Bat!$A$4:$BA$1417,47,FALSE),VLOOKUP($A479,Pit!$A$4:$BF$570,56,FALSE))</f>
        <v>0</v>
      </c>
      <c r="V479" s="52">
        <f>IF($C479="B",VLOOKUP($A479,Bat!$A$4:$BA$1417,48,FALSE),VLOOKUP($A479,Pit!$A$4:$BF$570,57,FALSE))</f>
        <v>0</v>
      </c>
      <c r="W479" s="52">
        <f>Table5[[#This Row],[posRnk]]+Table5[[#This Row],[zRnk]]+IF($W$3&lt;&gt;Table5[[#This Row],[Type]],50,0)</f>
        <v>525</v>
      </c>
      <c r="X479" s="53">
        <f>RANK(Table5[[#This Row],[zScore]],Table5[[#All],[zScore]])</f>
        <v>475</v>
      </c>
      <c r="Y479" s="52" t="str">
        <f>IFERROR(INDEX(DraftResults[[#All],[OVR]],MATCH(Table5[[#This Row],[PID]],DraftResults[[#All],[Player ID]],0)),"")</f>
        <v/>
      </c>
      <c r="Z4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9" s="52" t="str">
        <f>IFERROR(INDEX(DraftResults[[#All],[Pick in Round]],MATCH(Table5[[#This Row],[PID]],DraftResults[[#All],[Player ID]],0)),"")</f>
        <v/>
      </c>
      <c r="AB479" s="52" t="str">
        <f>IFERROR(INDEX(DraftResults[[#All],[Team Name]],MATCH(Table5[[#This Row],[PID]],DraftResults[[#All],[Player ID]],0)),"")</f>
        <v/>
      </c>
      <c r="AC479" s="52" t="str">
        <f>IF(Table5[[#This Row],[Ovr]]="","",IF(Table5[[#This Row],[cmbList]]="","",Table5[[#This Row],[cmbList]]-Table5[[#This Row],[Ovr]]))</f>
        <v/>
      </c>
      <c r="AD479" s="56" t="str">
        <f>IF(ISERROR(VLOOKUP($AB479&amp;"-"&amp;$E479&amp;" "&amp;F479,Bonuses!$B$1:$G$1006,4,FALSE)),"",INT(VLOOKUP($AB479&amp;"-"&amp;$E479&amp;" "&amp;$F479,Bonuses!$B$1:$G$1006,4,FALSE)))</f>
        <v/>
      </c>
      <c r="AE4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0" spans="1:31" s="52" customFormat="1" x14ac:dyDescent="0.25">
      <c r="A480" s="52">
        <v>17619</v>
      </c>
      <c r="B480" s="52">
        <f>COUNTIF(Table5[PID],A480)</f>
        <v>1</v>
      </c>
      <c r="C480" s="52" t="str">
        <f>IF(COUNTIF(Table3[[#All],[PID]],A480)&gt;0,"P","B")</f>
        <v>P</v>
      </c>
      <c r="D480" s="61" t="str">
        <f>IF($C480="B",INDEX(Batters[[#All],[POS]],MATCH(Table5[[#This Row],[PID]],Batters[[#All],[PID]],0)),INDEX(Table3[[#All],[POS]],MATCH(Table5[[#This Row],[PID]],Table3[[#All],[PID]],0)))</f>
        <v>RP</v>
      </c>
      <c r="E480" s="54" t="str">
        <f>IF($C480="B",INDEX(Batters[[#All],[First]],MATCH(Table5[[#This Row],[PID]],Batters[[#All],[PID]],0)),INDEX(Table3[[#All],[First]],MATCH(Table5[[#This Row],[PID]],Table3[[#All],[PID]],0)))</f>
        <v>Bert</v>
      </c>
      <c r="F480" s="52" t="str">
        <f>IF($C480="B",INDEX(Batters[[#All],[Last]],MATCH(A480,Batters[[#All],[PID]],0)),INDEX(Table3[[#All],[Last]],MATCH(A480,Table3[[#All],[PID]],0)))</f>
        <v>James</v>
      </c>
      <c r="G480" s="58">
        <f>IF($C480="B",INDEX(Batters[[#All],[Age]],MATCH(Table5[[#This Row],[PID]],Batters[[#All],[PID]],0)),INDEX(Table3[[#All],[Age]],MATCH(Table5[[#This Row],[PID]],Table3[[#All],[PID]],0)))</f>
        <v>18</v>
      </c>
      <c r="H480" s="54" t="str">
        <f>IF($C480="B",INDEX(Batters[[#All],[B]],MATCH(Table5[[#This Row],[PID]],Batters[[#All],[PID]],0)),INDEX(Table3[[#All],[B]],MATCH(Table5[[#This Row],[PID]],Table3[[#All],[PID]],0)))</f>
        <v>S</v>
      </c>
      <c r="I480" s="54" t="str">
        <f>IF($C480="B",INDEX(Batters[[#All],[T]],MATCH(Table5[[#This Row],[PID]],Batters[[#All],[PID]],0)),INDEX(Table3[[#All],[T]],MATCH(Table5[[#This Row],[PID]],Table3[[#All],[PID]],0)))</f>
        <v>R</v>
      </c>
      <c r="J480" s="54" t="str">
        <f>IF($C480="B",INDEX(Batters[[#All],[WE]],MATCH(Table5[[#This Row],[PID]],Batters[[#All],[PID]],0)),INDEX(Table3[[#All],[WE]],MATCH(Table5[[#This Row],[PID]],Table3[[#All],[PID]],0)))</f>
        <v>Normal</v>
      </c>
      <c r="K480" s="54" t="str">
        <f>IF($C480="B",INDEX(Batters[[#All],[INT]],MATCH(Table5[[#This Row],[PID]],Batters[[#All],[PID]],0)),INDEX(Table3[[#All],[INT]],MATCH(Table5[[#This Row],[PID]],Table3[[#All],[PID]],0)))</f>
        <v>Normal</v>
      </c>
      <c r="L480" s="62">
        <f>IF($C480="B",INDEX(Batters[[#All],[CON P]],MATCH(Table5[[#This Row],[PID]],Batters[[#All],[PID]],0)),INDEX(Table3[[#All],[STU P]],MATCH(Table5[[#This Row],[PID]],Table3[[#All],[PID]],0)))</f>
        <v>5</v>
      </c>
      <c r="M480" s="58">
        <f>IF($C480="B",INDEX(Batters[[#All],[GAP P]],MATCH(Table5[[#This Row],[PID]],Batters[[#All],[PID]],0)),INDEX(Table3[[#All],[MOV P]],MATCH(Table5[[#This Row],[PID]],Table3[[#All],[PID]],0)))</f>
        <v>1</v>
      </c>
      <c r="N480" s="58">
        <f>IF($C480="B",INDEX(Batters[[#All],[POW P]],MATCH(Table5[[#This Row],[PID]],Batters[[#All],[PID]],0)),INDEX(Table3[[#All],[CON P]],MATCH(Table5[[#This Row],[PID]],Table3[[#All],[PID]],0)))</f>
        <v>2</v>
      </c>
      <c r="O480" s="58" t="str">
        <f>IF($C480="B",INDEX(Batters[[#All],[EYE P]],MATCH(Table5[[#This Row],[PID]],Batters[[#All],[PID]],0)),INDEX(Table3[[#All],[VELO]],MATCH(Table5[[#This Row],[PID]],Table3[[#All],[PID]],0)))</f>
        <v>88-90 Mph</v>
      </c>
      <c r="P480" s="58">
        <f>IF($C480="B",INDEX(Batters[[#All],[K P]],MATCH(Table5[[#This Row],[PID]],Batters[[#All],[PID]],0)),INDEX(Table3[[#All],[STM]],MATCH(Table5[[#This Row],[PID]],Table3[[#All],[PID]],0)))</f>
        <v>6</v>
      </c>
      <c r="Q480" s="63">
        <f>IF($C480="B",INDEX(Batters[[#All],[Tot]],MATCH(Table5[[#This Row],[PID]],Batters[[#All],[PID]],0)),INDEX(Table3[[#All],[Tot]],MATCH(Table5[[#This Row],[PID]],Table3[[#All],[PID]],0)))</f>
        <v>31.292589922371739</v>
      </c>
      <c r="R480" s="54">
        <f>IF($C480="B",INDEX(Batters[[#All],[zScore]],MATCH(Table5[[#This Row],[PID]],Batters[[#All],[PID]],0)),INDEX(Table3[[#All],[zScore]],MATCH(Table5[[#This Row],[PID]],Table3[[#All],[PID]],0)))</f>
        <v>-0.13110601793517965</v>
      </c>
      <c r="S480" s="60" t="str">
        <f>IF($C480="B",INDEX(Batters[[#All],[DEM]],MATCH(Table5[[#This Row],[PID]],Batters[[#All],[PID]],0)),INDEX(Table3[[#All],[DEM]],MATCH(Table5[[#This Row],[PID]],Table3[[#All],[PID]],0)))</f>
        <v>$65k</v>
      </c>
      <c r="T480" s="64">
        <f>IF($C480="B",VLOOKUP($A480,Bat!$A$4:$AU$1417,46,FALSE),VLOOKUP($A480,Pit!$A$4:$BD$570,55,FALSE))</f>
        <v>0</v>
      </c>
      <c r="U480" s="52">
        <f>IF($C480="B",VLOOKUP($A480,Bat!$A$4:$BA$1417,47,FALSE),VLOOKUP($A480,Pit!$A$4:$BF$570,56,FALSE))</f>
        <v>0</v>
      </c>
      <c r="V480" s="52">
        <f>IF($C480="B",VLOOKUP($A480,Bat!$A$4:$BA$1417,48,FALSE),VLOOKUP($A480,Pit!$A$4:$BF$570,57,FALSE))</f>
        <v>0</v>
      </c>
      <c r="W480" s="52">
        <f>Table5[[#This Row],[posRnk]]+Table5[[#This Row],[zRnk]]+IF($W$3&lt;&gt;Table5[[#This Row],[Type]],50,0)</f>
        <v>526</v>
      </c>
      <c r="X480" s="53">
        <f>RANK(Table5[[#This Row],[zScore]],Table5[[#All],[zScore]])</f>
        <v>476</v>
      </c>
      <c r="Y480" s="52" t="str">
        <f>IFERROR(INDEX(DraftResults[[#All],[OVR]],MATCH(Table5[[#This Row],[PID]],DraftResults[[#All],[Player ID]],0)),"")</f>
        <v/>
      </c>
      <c r="Z4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0" s="52" t="str">
        <f>IFERROR(INDEX(DraftResults[[#All],[Pick in Round]],MATCH(Table5[[#This Row],[PID]],DraftResults[[#All],[Player ID]],0)),"")</f>
        <v/>
      </c>
      <c r="AB480" s="52" t="str">
        <f>IFERROR(INDEX(DraftResults[[#All],[Team Name]],MATCH(Table5[[#This Row],[PID]],DraftResults[[#All],[Player ID]],0)),"")</f>
        <v/>
      </c>
      <c r="AC480" s="52" t="str">
        <f>IF(Table5[[#This Row],[Ovr]]="","",IF(Table5[[#This Row],[cmbList]]="","",Table5[[#This Row],[cmbList]]-Table5[[#This Row],[Ovr]]))</f>
        <v/>
      </c>
      <c r="AD480" s="56" t="str">
        <f>IF(ISERROR(VLOOKUP($AB480&amp;"-"&amp;$E480&amp;" "&amp;F480,Bonuses!$B$1:$G$1006,4,FALSE)),"",INT(VLOOKUP($AB480&amp;"-"&amp;$E480&amp;" "&amp;$F480,Bonuses!$B$1:$G$1006,4,FALSE)))</f>
        <v/>
      </c>
      <c r="AE4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1" spans="1:31" s="52" customFormat="1" x14ac:dyDescent="0.25">
      <c r="A481" s="52">
        <v>10069</v>
      </c>
      <c r="B481" s="57">
        <f>COUNTIF(Table5[PID],A481)</f>
        <v>1</v>
      </c>
      <c r="C481" s="57" t="str">
        <f>IF(COUNTIF(Table3[[#All],[PID]],A481)&gt;0,"P","B")</f>
        <v>B</v>
      </c>
      <c r="D481" s="61" t="str">
        <f>IF($C481="B",INDEX(Batters[[#All],[POS]],MATCH(Table5[[#This Row],[PID]],Batters[[#All],[PID]],0)),INDEX(Table3[[#All],[POS]],MATCH(Table5[[#This Row],[PID]],Table3[[#All],[PID]],0)))</f>
        <v>RF</v>
      </c>
      <c r="E481" s="54" t="str">
        <f>IF($C481="B",INDEX(Batters[[#All],[First]],MATCH(Table5[[#This Row],[PID]],Batters[[#All],[PID]],0)),INDEX(Table3[[#All],[First]],MATCH(Table5[[#This Row],[PID]],Table3[[#All],[PID]],0)))</f>
        <v>Herman</v>
      </c>
      <c r="F481" s="52" t="str">
        <f>IF($C481="B",INDEX(Batters[[#All],[Last]],MATCH(A481,Batters[[#All],[PID]],0)),INDEX(Table3[[#All],[Last]],MATCH(A481,Table3[[#All],[PID]],0)))</f>
        <v>Martin</v>
      </c>
      <c r="G481" s="58">
        <f>IF($C481="B",INDEX(Batters[[#All],[Age]],MATCH(Table5[[#This Row],[PID]],Batters[[#All],[PID]],0)),INDEX(Table3[[#All],[Age]],MATCH(Table5[[#This Row],[PID]],Table3[[#All],[PID]],0)))</f>
        <v>21</v>
      </c>
      <c r="H481" s="54" t="str">
        <f>IF($C481="B",INDEX(Batters[[#All],[B]],MATCH(Table5[[#This Row],[PID]],Batters[[#All],[PID]],0)),INDEX(Table3[[#All],[B]],MATCH(Table5[[#This Row],[PID]],Table3[[#All],[PID]],0)))</f>
        <v>L</v>
      </c>
      <c r="I481" s="54" t="str">
        <f>IF($C481="B",INDEX(Batters[[#All],[T]],MATCH(Table5[[#This Row],[PID]],Batters[[#All],[PID]],0)),INDEX(Table3[[#All],[T]],MATCH(Table5[[#This Row],[PID]],Table3[[#All],[PID]],0)))</f>
        <v>L</v>
      </c>
      <c r="J481" s="54" t="str">
        <f>IF($C481="B",INDEX(Batters[[#All],[WE]],MATCH(Table5[[#This Row],[PID]],Batters[[#All],[PID]],0)),INDEX(Table3[[#All],[WE]],MATCH(Table5[[#This Row],[PID]],Table3[[#All],[PID]],0)))</f>
        <v>Normal</v>
      </c>
      <c r="K481" s="54" t="str">
        <f>IF($C481="B",INDEX(Batters[[#All],[INT]],MATCH(Table5[[#This Row],[PID]],Batters[[#All],[PID]],0)),INDEX(Table3[[#All],[INT]],MATCH(Table5[[#This Row],[PID]],Table3[[#All],[PID]],0)))</f>
        <v>Low</v>
      </c>
      <c r="L481" s="62">
        <f>IF($C481="B",INDEX(Batters[[#All],[CON P]],MATCH(Table5[[#This Row],[PID]],Batters[[#All],[PID]],0)),INDEX(Table3[[#All],[STU P]],MATCH(Table5[[#This Row],[PID]],Table3[[#All],[PID]],0)))</f>
        <v>3</v>
      </c>
      <c r="M481" s="58">
        <f>IF($C481="B",INDEX(Batters[[#All],[GAP P]],MATCH(Table5[[#This Row],[PID]],Batters[[#All],[PID]],0)),INDEX(Table3[[#All],[MOV P]],MATCH(Table5[[#This Row],[PID]],Table3[[#All],[PID]],0)))</f>
        <v>4</v>
      </c>
      <c r="N481" s="58">
        <f>IF($C481="B",INDEX(Batters[[#All],[POW P]],MATCH(Table5[[#This Row],[PID]],Batters[[#All],[PID]],0)),INDEX(Table3[[#All],[CON P]],MATCH(Table5[[#This Row],[PID]],Table3[[#All],[PID]],0)))</f>
        <v>6</v>
      </c>
      <c r="O481" s="58">
        <f>IF($C481="B",INDEX(Batters[[#All],[EYE P]],MATCH(Table5[[#This Row],[PID]],Batters[[#All],[PID]],0)),INDEX(Table3[[#All],[VELO]],MATCH(Table5[[#This Row],[PID]],Table3[[#All],[PID]],0)))</f>
        <v>4</v>
      </c>
      <c r="P481" s="58">
        <f>IF($C481="B",INDEX(Batters[[#All],[K P]],MATCH(Table5[[#This Row],[PID]],Batters[[#All],[PID]],0)),INDEX(Table3[[#All],[STM]],MATCH(Table5[[#This Row],[PID]],Table3[[#All],[PID]],0)))</f>
        <v>4</v>
      </c>
      <c r="Q481" s="63">
        <f>IF($C481="B",INDEX(Batters[[#All],[Tot]],MATCH(Table5[[#This Row],[PID]],Batters[[#All],[PID]],0)),INDEX(Table3[[#All],[Tot]],MATCH(Table5[[#This Row],[PID]],Table3[[#All],[PID]],0)))</f>
        <v>39.600680518874839</v>
      </c>
      <c r="R481" s="54">
        <f>IF($C481="B",INDEX(Batters[[#All],[zScore]],MATCH(Table5[[#This Row],[PID]],Batters[[#All],[PID]],0)),INDEX(Table3[[#All],[zScore]],MATCH(Table5[[#This Row],[PID]],Table3[[#All],[PID]],0)))</f>
        <v>-0.13152941681705566</v>
      </c>
      <c r="S481" s="60" t="str">
        <f>IF($C481="B",INDEX(Batters[[#All],[DEM]],MATCH(Table5[[#This Row],[PID]],Batters[[#All],[PID]],0)),INDEX(Table3[[#All],[DEM]],MATCH(Table5[[#This Row],[PID]],Table3[[#All],[PID]],0)))</f>
        <v>$100k</v>
      </c>
      <c r="T481" s="64">
        <f>IF($C481="B",VLOOKUP($A481,Bat!$A$4:$AU$1417,46,FALSE),VLOOKUP($A481,Pit!$A$4:$BD$570,55,FALSE))</f>
        <v>0</v>
      </c>
      <c r="U481" s="52">
        <f>IF($C481="B",VLOOKUP($A481,Bat!$A$4:$BA$1417,47,FALSE),VLOOKUP($A481,Pit!$A$4:$BF$570,56,FALSE))</f>
        <v>0</v>
      </c>
      <c r="V481" s="52">
        <f>IF($C481="B",VLOOKUP($A481,Bat!$A$4:$BA$1417,48,FALSE),VLOOKUP($A481,Pit!$A$4:$BF$570,57,FALSE))</f>
        <v>0</v>
      </c>
      <c r="W481" s="52">
        <f>Table5[[#This Row],[posRnk]]+Table5[[#This Row],[zRnk]]+IF($W$3&lt;&gt;Table5[[#This Row],[Type]],50,0)</f>
        <v>527</v>
      </c>
      <c r="X481" s="53">
        <f>RANK(Table5[[#This Row],[zScore]],Table5[[#All],[zScore]])</f>
        <v>477</v>
      </c>
      <c r="Y481" s="52" t="str">
        <f>IFERROR(INDEX(DraftResults[[#All],[OVR]],MATCH(Table5[[#This Row],[PID]],DraftResults[[#All],[Player ID]],0)),"")</f>
        <v/>
      </c>
      <c r="Z4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1" s="52" t="str">
        <f>IFERROR(INDEX(DraftResults[[#All],[Pick in Round]],MATCH(Table5[[#This Row],[PID]],DraftResults[[#All],[Player ID]],0)),"")</f>
        <v/>
      </c>
      <c r="AB481" s="52" t="str">
        <f>IFERROR(INDEX(DraftResults[[#All],[Team Name]],MATCH(Table5[[#This Row],[PID]],DraftResults[[#All],[Player ID]],0)),"")</f>
        <v/>
      </c>
      <c r="AC481" s="52" t="str">
        <f>IF(Table5[[#This Row],[Ovr]]="","",IF(Table5[[#This Row],[cmbList]]="","",Table5[[#This Row],[cmbList]]-Table5[[#This Row],[Ovr]]))</f>
        <v/>
      </c>
      <c r="AD481" s="56" t="str">
        <f>IF(ISERROR(VLOOKUP($AB481&amp;"-"&amp;$E481&amp;" "&amp;F481,Bonuses!$B$1:$G$1006,4,FALSE)),"",INT(VLOOKUP($AB481&amp;"-"&amp;$E481&amp;" "&amp;$F481,Bonuses!$B$1:$G$1006,4,FALSE)))</f>
        <v/>
      </c>
      <c r="AE4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2" spans="1:31" s="52" customFormat="1" x14ac:dyDescent="0.25">
      <c r="A482" s="52">
        <v>7936</v>
      </c>
      <c r="B482" s="52">
        <f>COUNTIF(Table5[PID],A482)</f>
        <v>1</v>
      </c>
      <c r="C482" s="52" t="str">
        <f>IF(COUNTIF(Table3[[#All],[PID]],A482)&gt;0,"P","B")</f>
        <v>P</v>
      </c>
      <c r="D482" s="61" t="str">
        <f>IF($C482="B",INDEX(Batters[[#All],[POS]],MATCH(Table5[[#This Row],[PID]],Batters[[#All],[PID]],0)),INDEX(Table3[[#All],[POS]],MATCH(Table5[[#This Row],[PID]],Table3[[#All],[PID]],0)))</f>
        <v>RP</v>
      </c>
      <c r="E482" s="54" t="str">
        <f>IF($C482="B",INDEX(Batters[[#All],[First]],MATCH(Table5[[#This Row],[PID]],Batters[[#All],[PID]],0)),INDEX(Table3[[#All],[First]],MATCH(Table5[[#This Row],[PID]],Table3[[#All],[PID]],0)))</f>
        <v>Raúl</v>
      </c>
      <c r="F482" s="52" t="str">
        <f>IF($C482="B",INDEX(Batters[[#All],[Last]],MATCH(A482,Batters[[#All],[PID]],0)),INDEX(Table3[[#All],[Last]],MATCH(A482,Table3[[#All],[PID]],0)))</f>
        <v>Reyes</v>
      </c>
      <c r="G482" s="58">
        <f>IF($C482="B",INDEX(Batters[[#All],[Age]],MATCH(Table5[[#This Row],[PID]],Batters[[#All],[PID]],0)),INDEX(Table3[[#All],[Age]],MATCH(Table5[[#This Row],[PID]],Table3[[#All],[PID]],0)))</f>
        <v>18</v>
      </c>
      <c r="H482" s="54" t="str">
        <f>IF($C482="B",INDEX(Batters[[#All],[B]],MATCH(Table5[[#This Row],[PID]],Batters[[#All],[PID]],0)),INDEX(Table3[[#All],[B]],MATCH(Table5[[#This Row],[PID]],Table3[[#All],[PID]],0)))</f>
        <v>R</v>
      </c>
      <c r="I482" s="54" t="str">
        <f>IF($C482="B",INDEX(Batters[[#All],[T]],MATCH(Table5[[#This Row],[PID]],Batters[[#All],[PID]],0)),INDEX(Table3[[#All],[T]],MATCH(Table5[[#This Row],[PID]],Table3[[#All],[PID]],0)))</f>
        <v>R</v>
      </c>
      <c r="J482" s="54" t="str">
        <f>IF($C482="B",INDEX(Batters[[#All],[WE]],MATCH(Table5[[#This Row],[PID]],Batters[[#All],[PID]],0)),INDEX(Table3[[#All],[WE]],MATCH(Table5[[#This Row],[PID]],Table3[[#All],[PID]],0)))</f>
        <v>Low</v>
      </c>
      <c r="K482" s="54" t="str">
        <f>IF($C482="B",INDEX(Batters[[#All],[INT]],MATCH(Table5[[#This Row],[PID]],Batters[[#All],[PID]],0)),INDEX(Table3[[#All],[INT]],MATCH(Table5[[#This Row],[PID]],Table3[[#All],[PID]],0)))</f>
        <v>Normal</v>
      </c>
      <c r="L482" s="62">
        <f>IF($C482="B",INDEX(Batters[[#All],[CON P]],MATCH(Table5[[#This Row],[PID]],Batters[[#All],[PID]],0)),INDEX(Table3[[#All],[STU P]],MATCH(Table5[[#This Row],[PID]],Table3[[#All],[PID]],0)))</f>
        <v>3</v>
      </c>
      <c r="M482" s="58">
        <f>IF($C482="B",INDEX(Batters[[#All],[GAP P]],MATCH(Table5[[#This Row],[PID]],Batters[[#All],[PID]],0)),INDEX(Table3[[#All],[MOV P]],MATCH(Table5[[#This Row],[PID]],Table3[[#All],[PID]],0)))</f>
        <v>1</v>
      </c>
      <c r="N482" s="58">
        <f>IF($C482="B",INDEX(Batters[[#All],[POW P]],MATCH(Table5[[#This Row],[PID]],Batters[[#All],[PID]],0)),INDEX(Table3[[#All],[CON P]],MATCH(Table5[[#This Row],[PID]],Table3[[#All],[PID]],0)))</f>
        <v>3</v>
      </c>
      <c r="O482" s="58" t="str">
        <f>IF($C482="B",INDEX(Batters[[#All],[EYE P]],MATCH(Table5[[#This Row],[PID]],Batters[[#All],[PID]],0)),INDEX(Table3[[#All],[VELO]],MATCH(Table5[[#This Row],[PID]],Table3[[#All],[PID]],0)))</f>
        <v>83-85 Mph</v>
      </c>
      <c r="P482" s="58">
        <f>IF($C482="B",INDEX(Batters[[#All],[K P]],MATCH(Table5[[#This Row],[PID]],Batters[[#All],[PID]],0)),INDEX(Table3[[#All],[STM]],MATCH(Table5[[#This Row],[PID]],Table3[[#All],[PID]],0)))</f>
        <v>7</v>
      </c>
      <c r="Q482" s="63">
        <f>IF($C482="B",INDEX(Batters[[#All],[Tot]],MATCH(Table5[[#This Row],[PID]],Batters[[#All],[PID]],0)),INDEX(Table3[[#All],[Tot]],MATCH(Table5[[#This Row],[PID]],Table3[[#All],[PID]],0)))</f>
        <v>28.813350127294576</v>
      </c>
      <c r="R482" s="54">
        <f>IF($C482="B",INDEX(Batters[[#All],[zScore]],MATCH(Table5[[#This Row],[PID]],Batters[[#All],[PID]],0)),INDEX(Table3[[#All],[zScore]],MATCH(Table5[[#This Row],[PID]],Table3[[#All],[PID]],0)))</f>
        <v>-0.13864136228125634</v>
      </c>
      <c r="S482" s="60" t="str">
        <f>IF($C482="B",INDEX(Batters[[#All],[DEM]],MATCH(Table5[[#This Row],[PID]],Batters[[#All],[PID]],0)),INDEX(Table3[[#All],[DEM]],MATCH(Table5[[#This Row],[PID]],Table3[[#All],[PID]],0)))</f>
        <v>$38k</v>
      </c>
      <c r="T482" s="64">
        <f>IF($C482="B",VLOOKUP($A482,Bat!$A$4:$AU$1417,46,FALSE),VLOOKUP($A482,Pit!$A$4:$BD$570,55,FALSE))</f>
        <v>0</v>
      </c>
      <c r="U482" s="52">
        <f>IF($C482="B",VLOOKUP($A482,Bat!$A$4:$BA$1417,47,FALSE),VLOOKUP($A482,Pit!$A$4:$BF$570,56,FALSE))</f>
        <v>0</v>
      </c>
      <c r="V482" s="52">
        <f>IF($C482="B",VLOOKUP($A482,Bat!$A$4:$BA$1417,48,FALSE),VLOOKUP($A482,Pit!$A$4:$BF$570,57,FALSE))</f>
        <v>0</v>
      </c>
      <c r="W482" s="52">
        <f>Table5[[#This Row],[posRnk]]+Table5[[#This Row],[zRnk]]+IF($W$3&lt;&gt;Table5[[#This Row],[Type]],50,0)</f>
        <v>528</v>
      </c>
      <c r="X482" s="53">
        <f>RANK(Table5[[#This Row],[zScore]],Table5[[#All],[zScore]])</f>
        <v>478</v>
      </c>
      <c r="Y482" s="52" t="str">
        <f>IFERROR(INDEX(DraftResults[[#All],[OVR]],MATCH(Table5[[#This Row],[PID]],DraftResults[[#All],[Player ID]],0)),"")</f>
        <v/>
      </c>
      <c r="Z4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2" s="52" t="str">
        <f>IFERROR(INDEX(DraftResults[[#All],[Pick in Round]],MATCH(Table5[[#This Row],[PID]],DraftResults[[#All],[Player ID]],0)),"")</f>
        <v/>
      </c>
      <c r="AB482" s="52" t="str">
        <f>IFERROR(INDEX(DraftResults[[#All],[Team Name]],MATCH(Table5[[#This Row],[PID]],DraftResults[[#All],[Player ID]],0)),"")</f>
        <v/>
      </c>
      <c r="AC482" s="52" t="str">
        <f>IF(Table5[[#This Row],[Ovr]]="","",IF(Table5[[#This Row],[cmbList]]="","",Table5[[#This Row],[cmbList]]-Table5[[#This Row],[Ovr]]))</f>
        <v/>
      </c>
      <c r="AD482" s="56" t="str">
        <f>IF(ISERROR(VLOOKUP($AB482&amp;"-"&amp;$E482&amp;" "&amp;F482,Bonuses!$B$1:$G$1006,4,FALSE)),"",INT(VLOOKUP($AB482&amp;"-"&amp;$E482&amp;" "&amp;$F482,Bonuses!$B$1:$G$1006,4,FALSE)))</f>
        <v/>
      </c>
      <c r="AE4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3" spans="1:31" s="52" customFormat="1" x14ac:dyDescent="0.25">
      <c r="A483" s="52">
        <v>11907</v>
      </c>
      <c r="B483" s="52">
        <f>COUNTIF(Table5[PID],A483)</f>
        <v>1</v>
      </c>
      <c r="C483" s="52" t="str">
        <f>IF(COUNTIF(Table3[[#All],[PID]],A483)&gt;0,"P","B")</f>
        <v>P</v>
      </c>
      <c r="D483" s="61" t="str">
        <f>IF($C483="B",INDEX(Batters[[#All],[POS]],MATCH(Table5[[#This Row],[PID]],Batters[[#All],[PID]],0)),INDEX(Table3[[#All],[POS]],MATCH(Table5[[#This Row],[PID]],Table3[[#All],[PID]],0)))</f>
        <v>SP</v>
      </c>
      <c r="E483" s="54" t="str">
        <f>IF($C483="B",INDEX(Batters[[#All],[First]],MATCH(Table5[[#This Row],[PID]],Batters[[#All],[PID]],0)),INDEX(Table3[[#All],[First]],MATCH(Table5[[#This Row],[PID]],Table3[[#All],[PID]],0)))</f>
        <v>Tim</v>
      </c>
      <c r="F483" s="52" t="str">
        <f>IF($C483="B",INDEX(Batters[[#All],[Last]],MATCH(A483,Batters[[#All],[PID]],0)),INDEX(Table3[[#All],[Last]],MATCH(A483,Table3[[#All],[PID]],0)))</f>
        <v>Parker</v>
      </c>
      <c r="G483" s="58">
        <f>IF($C483="B",INDEX(Batters[[#All],[Age]],MATCH(Table5[[#This Row],[PID]],Batters[[#All],[PID]],0)),INDEX(Table3[[#All],[Age]],MATCH(Table5[[#This Row],[PID]],Table3[[#All],[PID]],0)))</f>
        <v>21</v>
      </c>
      <c r="H483" s="54" t="str">
        <f>IF($C483="B",INDEX(Batters[[#All],[B]],MATCH(Table5[[#This Row],[PID]],Batters[[#All],[PID]],0)),INDEX(Table3[[#All],[B]],MATCH(Table5[[#This Row],[PID]],Table3[[#All],[PID]],0)))</f>
        <v>R</v>
      </c>
      <c r="I483" s="54" t="str">
        <f>IF($C483="B",INDEX(Batters[[#All],[T]],MATCH(Table5[[#This Row],[PID]],Batters[[#All],[PID]],0)),INDEX(Table3[[#All],[T]],MATCH(Table5[[#This Row],[PID]],Table3[[#All],[PID]],0)))</f>
        <v>R</v>
      </c>
      <c r="J483" s="54" t="str">
        <f>IF($C483="B",INDEX(Batters[[#All],[WE]],MATCH(Table5[[#This Row],[PID]],Batters[[#All],[PID]],0)),INDEX(Table3[[#All],[WE]],MATCH(Table5[[#This Row],[PID]],Table3[[#All],[PID]],0)))</f>
        <v>High</v>
      </c>
      <c r="K483" s="54" t="str">
        <f>IF($C483="B",INDEX(Batters[[#All],[INT]],MATCH(Table5[[#This Row],[PID]],Batters[[#All],[PID]],0)),INDEX(Table3[[#All],[INT]],MATCH(Table5[[#This Row],[PID]],Table3[[#All],[PID]],0)))</f>
        <v>Normal</v>
      </c>
      <c r="L483" s="62">
        <f>IF($C483="B",INDEX(Batters[[#All],[CON P]],MATCH(Table5[[#This Row],[PID]],Batters[[#All],[PID]],0)),INDEX(Table3[[#All],[STU P]],MATCH(Table5[[#This Row],[PID]],Table3[[#All],[PID]],0)))</f>
        <v>5</v>
      </c>
      <c r="M483" s="58">
        <f>IF($C483="B",INDEX(Batters[[#All],[GAP P]],MATCH(Table5[[#This Row],[PID]],Batters[[#All],[PID]],0)),INDEX(Table3[[#All],[MOV P]],MATCH(Table5[[#This Row],[PID]],Table3[[#All],[PID]],0)))</f>
        <v>2</v>
      </c>
      <c r="N483" s="58">
        <f>IF($C483="B",INDEX(Batters[[#All],[POW P]],MATCH(Table5[[#This Row],[PID]],Batters[[#All],[PID]],0)),INDEX(Table3[[#All],[CON P]],MATCH(Table5[[#This Row],[PID]],Table3[[#All],[PID]],0)))</f>
        <v>2</v>
      </c>
      <c r="O483" s="58" t="str">
        <f>IF($C483="B",INDEX(Batters[[#All],[EYE P]],MATCH(Table5[[#This Row],[PID]],Batters[[#All],[PID]],0)),INDEX(Table3[[#All],[VELO]],MATCH(Table5[[#This Row],[PID]],Table3[[#All],[PID]],0)))</f>
        <v>91-93 Mph</v>
      </c>
      <c r="P483" s="58">
        <f>IF($C483="B",INDEX(Batters[[#All],[K P]],MATCH(Table5[[#This Row],[PID]],Batters[[#All],[PID]],0)),INDEX(Table3[[#All],[STM]],MATCH(Table5[[#This Row],[PID]],Table3[[#All],[PID]],0)))</f>
        <v>5</v>
      </c>
      <c r="Q483" s="63">
        <f>IF($C483="B",INDEX(Batters[[#All],[Tot]],MATCH(Table5[[#This Row],[PID]],Batters[[#All],[PID]],0)),INDEX(Table3[[#All],[Tot]],MATCH(Table5[[#This Row],[PID]],Table3[[#All],[PID]],0)))</f>
        <v>31.192082385740967</v>
      </c>
      <c r="R483" s="54">
        <f>IF($C483="B",INDEX(Batters[[#All],[zScore]],MATCH(Table5[[#This Row],[PID]],Batters[[#All],[PID]],0)),INDEX(Table3[[#All],[zScore]],MATCH(Table5[[#This Row],[PID]],Table3[[#All],[PID]],0)))</f>
        <v>-0.14032298862246148</v>
      </c>
      <c r="S483" s="60" t="str">
        <f>IF($C483="B",INDEX(Batters[[#All],[DEM]],MATCH(Table5[[#This Row],[PID]],Batters[[#All],[PID]],0)),INDEX(Table3[[#All],[DEM]],MATCH(Table5[[#This Row],[PID]],Table3[[#All],[PID]],0)))</f>
        <v>$20k</v>
      </c>
      <c r="T483" s="64">
        <f>IF($C483="B",VLOOKUP($A483,Bat!$A$4:$AU$1417,46,FALSE),VLOOKUP($A483,Pit!$A$4:$BD$570,55,FALSE))</f>
        <v>0</v>
      </c>
      <c r="U483" s="52">
        <f>IF($C483="B",VLOOKUP($A483,Bat!$A$4:$BA$1417,47,FALSE),VLOOKUP($A483,Pit!$A$4:$BF$570,56,FALSE))</f>
        <v>0</v>
      </c>
      <c r="V483" s="52">
        <f>IF($C483="B",VLOOKUP($A483,Bat!$A$4:$BA$1417,48,FALSE),VLOOKUP($A483,Pit!$A$4:$BF$570,57,FALSE))</f>
        <v>0</v>
      </c>
      <c r="W483" s="52">
        <f>Table5[[#This Row],[posRnk]]+Table5[[#This Row],[zRnk]]+IF($W$3&lt;&gt;Table5[[#This Row],[Type]],50,0)</f>
        <v>529</v>
      </c>
      <c r="X483" s="53">
        <f>RANK(Table5[[#This Row],[zScore]],Table5[[#All],[zScore]])</f>
        <v>479</v>
      </c>
      <c r="Y483" s="52" t="str">
        <f>IFERROR(INDEX(DraftResults[[#All],[OVR]],MATCH(Table5[[#This Row],[PID]],DraftResults[[#All],[Player ID]],0)),"")</f>
        <v/>
      </c>
      <c r="Z4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3" s="52" t="str">
        <f>IFERROR(INDEX(DraftResults[[#All],[Pick in Round]],MATCH(Table5[[#This Row],[PID]],DraftResults[[#All],[Player ID]],0)),"")</f>
        <v/>
      </c>
      <c r="AB483" s="52" t="str">
        <f>IFERROR(INDEX(DraftResults[[#All],[Team Name]],MATCH(Table5[[#This Row],[PID]],DraftResults[[#All],[Player ID]],0)),"")</f>
        <v/>
      </c>
      <c r="AC483" s="52" t="str">
        <f>IF(Table5[[#This Row],[Ovr]]="","",IF(Table5[[#This Row],[cmbList]]="","",Table5[[#This Row],[cmbList]]-Table5[[#This Row],[Ovr]]))</f>
        <v/>
      </c>
      <c r="AD483" s="56" t="str">
        <f>IF(ISERROR(VLOOKUP($AB483&amp;"-"&amp;$E483&amp;" "&amp;F483,Bonuses!$B$1:$G$1006,4,FALSE)),"",INT(VLOOKUP($AB483&amp;"-"&amp;$E483&amp;" "&amp;$F483,Bonuses!$B$1:$G$1006,4,FALSE)))</f>
        <v/>
      </c>
      <c r="AE4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4" spans="1:31" s="52" customFormat="1" x14ac:dyDescent="0.25">
      <c r="A484" s="52">
        <v>8421</v>
      </c>
      <c r="B484" s="52">
        <f>COUNTIF(Table5[PID],A484)</f>
        <v>1</v>
      </c>
      <c r="C484" s="52" t="str">
        <f>IF(COUNTIF(Table3[[#All],[PID]],A484)&gt;0,"P","B")</f>
        <v>P</v>
      </c>
      <c r="D484" s="61" t="str">
        <f>IF($C484="B",INDEX(Batters[[#All],[POS]],MATCH(Table5[[#This Row],[PID]],Batters[[#All],[PID]],0)),INDEX(Table3[[#All],[POS]],MATCH(Table5[[#This Row],[PID]],Table3[[#All],[PID]],0)))</f>
        <v>RP</v>
      </c>
      <c r="E484" s="54" t="str">
        <f>IF($C484="B",INDEX(Batters[[#All],[First]],MATCH(Table5[[#This Row],[PID]],Batters[[#All],[PID]],0)),INDEX(Table3[[#All],[First]],MATCH(Table5[[#This Row],[PID]],Table3[[#All],[PID]],0)))</f>
        <v>James</v>
      </c>
      <c r="F484" s="52" t="str">
        <f>IF($C484="B",INDEX(Batters[[#All],[Last]],MATCH(A484,Batters[[#All],[PID]],0)),INDEX(Table3[[#All],[Last]],MATCH(A484,Table3[[#All],[PID]],0)))</f>
        <v>Boyd</v>
      </c>
      <c r="G484" s="58">
        <f>IF($C484="B",INDEX(Batters[[#All],[Age]],MATCH(Table5[[#This Row],[PID]],Batters[[#All],[PID]],0)),INDEX(Table3[[#All],[Age]],MATCH(Table5[[#This Row],[PID]],Table3[[#All],[PID]],0)))</f>
        <v>18</v>
      </c>
      <c r="H484" s="54" t="str">
        <f>IF($C484="B",INDEX(Batters[[#All],[B]],MATCH(Table5[[#This Row],[PID]],Batters[[#All],[PID]],0)),INDEX(Table3[[#All],[B]],MATCH(Table5[[#This Row],[PID]],Table3[[#All],[PID]],0)))</f>
        <v>S</v>
      </c>
      <c r="I484" s="54" t="str">
        <f>IF($C484="B",INDEX(Batters[[#All],[T]],MATCH(Table5[[#This Row],[PID]],Batters[[#All],[PID]],0)),INDEX(Table3[[#All],[T]],MATCH(Table5[[#This Row],[PID]],Table3[[#All],[PID]],0)))</f>
        <v>R</v>
      </c>
      <c r="J484" s="54" t="str">
        <f>IF($C484="B",INDEX(Batters[[#All],[WE]],MATCH(Table5[[#This Row],[PID]],Batters[[#All],[PID]],0)),INDEX(Table3[[#All],[WE]],MATCH(Table5[[#This Row],[PID]],Table3[[#All],[PID]],0)))</f>
        <v>Low</v>
      </c>
      <c r="K484" s="54" t="str">
        <f>IF($C484="B",INDEX(Batters[[#All],[INT]],MATCH(Table5[[#This Row],[PID]],Batters[[#All],[PID]],0)),INDEX(Table3[[#All],[INT]],MATCH(Table5[[#This Row],[PID]],Table3[[#All],[PID]],0)))</f>
        <v>High</v>
      </c>
      <c r="L484" s="62">
        <f>IF($C484="B",INDEX(Batters[[#All],[CON P]],MATCH(Table5[[#This Row],[PID]],Batters[[#All],[PID]],0)),INDEX(Table3[[#All],[STU P]],MATCH(Table5[[#This Row],[PID]],Table3[[#All],[PID]],0)))</f>
        <v>5</v>
      </c>
      <c r="M484" s="58">
        <f>IF($C484="B",INDEX(Batters[[#All],[GAP P]],MATCH(Table5[[#This Row],[PID]],Batters[[#All],[PID]],0)),INDEX(Table3[[#All],[MOV P]],MATCH(Table5[[#This Row],[PID]],Table3[[#All],[PID]],0)))</f>
        <v>1</v>
      </c>
      <c r="N484" s="58">
        <f>IF($C484="B",INDEX(Batters[[#All],[POW P]],MATCH(Table5[[#This Row],[PID]],Batters[[#All],[PID]],0)),INDEX(Table3[[#All],[CON P]],MATCH(Table5[[#This Row],[PID]],Table3[[#All],[PID]],0)))</f>
        <v>2</v>
      </c>
      <c r="O484" s="58" t="str">
        <f>IF($C484="B",INDEX(Batters[[#All],[EYE P]],MATCH(Table5[[#This Row],[PID]],Batters[[#All],[PID]],0)),INDEX(Table3[[#All],[VELO]],MATCH(Table5[[#This Row],[PID]],Table3[[#All],[PID]],0)))</f>
        <v>92-94 Mph</v>
      </c>
      <c r="P484" s="58">
        <f>IF($C484="B",INDEX(Batters[[#All],[K P]],MATCH(Table5[[#This Row],[PID]],Batters[[#All],[PID]],0)),INDEX(Table3[[#All],[STM]],MATCH(Table5[[#This Row],[PID]],Table3[[#All],[PID]],0)))</f>
        <v>6</v>
      </c>
      <c r="Q484" s="63">
        <f>IF($C484="B",INDEX(Batters[[#All],[Tot]],MATCH(Table5[[#This Row],[PID]],Batters[[#All],[PID]],0)),INDEX(Table3[[#All],[Tot]],MATCH(Table5[[#This Row],[PID]],Table3[[#All],[PID]],0)))</f>
        <v>31.180554730651025</v>
      </c>
      <c r="R484" s="54">
        <f>IF($C484="B",INDEX(Batters[[#All],[zScore]],MATCH(Table5[[#This Row],[PID]],Batters[[#All],[PID]],0)),INDEX(Table3[[#All],[zScore]],MATCH(Table5[[#This Row],[PID]],Table3[[#All],[PID]],0)))</f>
        <v>-0.14138012386444257</v>
      </c>
      <c r="S484" s="60" t="str">
        <f>IF($C484="B",INDEX(Batters[[#All],[DEM]],MATCH(Table5[[#This Row],[PID]],Batters[[#All],[PID]],0)),INDEX(Table3[[#All],[DEM]],MATCH(Table5[[#This Row],[PID]],Table3[[#All],[PID]],0)))</f>
        <v>$2.8m</v>
      </c>
      <c r="T484" s="64">
        <f>IF($C484="B",VLOOKUP($A484,Bat!$A$4:$AU$1417,46,FALSE),VLOOKUP($A484,Pit!$A$4:$BD$570,55,FALSE))</f>
        <v>0</v>
      </c>
      <c r="U484" s="52">
        <f>IF($C484="B",VLOOKUP($A484,Bat!$A$4:$BA$1417,47,FALSE),VLOOKUP($A484,Pit!$A$4:$BF$570,56,FALSE))</f>
        <v>0</v>
      </c>
      <c r="V484" s="52">
        <f>IF($C484="B",VLOOKUP($A484,Bat!$A$4:$BA$1417,48,FALSE),VLOOKUP($A484,Pit!$A$4:$BF$570,57,FALSE))</f>
        <v>0</v>
      </c>
      <c r="W484" s="52">
        <f>Table5[[#This Row],[posRnk]]+Table5[[#This Row],[zRnk]]+IF($W$3&lt;&gt;Table5[[#This Row],[Type]],50,0)</f>
        <v>530</v>
      </c>
      <c r="X484" s="53">
        <f>RANK(Table5[[#This Row],[zScore]],Table5[[#All],[zScore]])</f>
        <v>480</v>
      </c>
      <c r="Y484" s="52" t="str">
        <f>IFERROR(INDEX(DraftResults[[#All],[OVR]],MATCH(Table5[[#This Row],[PID]],DraftResults[[#All],[Player ID]],0)),"")</f>
        <v/>
      </c>
      <c r="Z4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4" s="52" t="str">
        <f>IFERROR(INDEX(DraftResults[[#All],[Pick in Round]],MATCH(Table5[[#This Row],[PID]],DraftResults[[#All],[Player ID]],0)),"")</f>
        <v/>
      </c>
      <c r="AB484" s="52" t="str">
        <f>IFERROR(INDEX(DraftResults[[#All],[Team Name]],MATCH(Table5[[#This Row],[PID]],DraftResults[[#All],[Player ID]],0)),"")</f>
        <v/>
      </c>
      <c r="AC484" s="52" t="str">
        <f>IF(Table5[[#This Row],[Ovr]]="","",IF(Table5[[#This Row],[cmbList]]="","",Table5[[#This Row],[cmbList]]-Table5[[#This Row],[Ovr]]))</f>
        <v/>
      </c>
      <c r="AD484" s="56" t="str">
        <f>IF(ISERROR(VLOOKUP($AB484&amp;"-"&amp;$E484&amp;" "&amp;F484,Bonuses!$B$1:$G$1006,4,FALSE)),"",INT(VLOOKUP($AB484&amp;"-"&amp;$E484&amp;" "&amp;$F484,Bonuses!$B$1:$G$1006,4,FALSE)))</f>
        <v/>
      </c>
      <c r="AE4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5" spans="1:31" s="52" customFormat="1" x14ac:dyDescent="0.25">
      <c r="A485" s="52">
        <v>13959</v>
      </c>
      <c r="B485" s="52">
        <f>COUNTIF(Table5[PID],A485)</f>
        <v>1</v>
      </c>
      <c r="C485" s="52" t="str">
        <f>IF(COUNTIF(Table3[[#All],[PID]],A485)&gt;0,"P","B")</f>
        <v>P</v>
      </c>
      <c r="D485" s="61" t="str">
        <f>IF($C485="B",INDEX(Batters[[#All],[POS]],MATCH(Table5[[#This Row],[PID]],Batters[[#All],[PID]],0)),INDEX(Table3[[#All],[POS]],MATCH(Table5[[#This Row],[PID]],Table3[[#All],[PID]],0)))</f>
        <v>SP</v>
      </c>
      <c r="E485" s="54" t="str">
        <f>IF($C485="B",INDEX(Batters[[#All],[First]],MATCH(Table5[[#This Row],[PID]],Batters[[#All],[PID]],0)),INDEX(Table3[[#All],[First]],MATCH(Table5[[#This Row],[PID]],Table3[[#All],[PID]],0)))</f>
        <v>Nikita</v>
      </c>
      <c r="F485" s="52" t="str">
        <f>IF($C485="B",INDEX(Batters[[#All],[Last]],MATCH(A485,Batters[[#All],[PID]],0)),INDEX(Table3[[#All],[Last]],MATCH(A485,Table3[[#All],[PID]],0)))</f>
        <v>Stroo</v>
      </c>
      <c r="G485" s="58">
        <f>IF($C485="B",INDEX(Batters[[#All],[Age]],MATCH(Table5[[#This Row],[PID]],Batters[[#All],[PID]],0)),INDEX(Table3[[#All],[Age]],MATCH(Table5[[#This Row],[PID]],Table3[[#All],[PID]],0)))</f>
        <v>21</v>
      </c>
      <c r="H485" s="54" t="str">
        <f>IF($C485="B",INDEX(Batters[[#All],[B]],MATCH(Table5[[#This Row],[PID]],Batters[[#All],[PID]],0)),INDEX(Table3[[#All],[B]],MATCH(Table5[[#This Row],[PID]],Table3[[#All],[PID]],0)))</f>
        <v>R</v>
      </c>
      <c r="I485" s="54" t="str">
        <f>IF($C485="B",INDEX(Batters[[#All],[T]],MATCH(Table5[[#This Row],[PID]],Batters[[#All],[PID]],0)),INDEX(Table3[[#All],[T]],MATCH(Table5[[#This Row],[PID]],Table3[[#All],[PID]],0)))</f>
        <v>R</v>
      </c>
      <c r="J485" s="54" t="str">
        <f>IF($C485="B",INDEX(Batters[[#All],[WE]],MATCH(Table5[[#This Row],[PID]],Batters[[#All],[PID]],0)),INDEX(Table3[[#All],[WE]],MATCH(Table5[[#This Row],[PID]],Table3[[#All],[PID]],0)))</f>
        <v>Low</v>
      </c>
      <c r="K485" s="54" t="str">
        <f>IF($C485="B",INDEX(Batters[[#All],[INT]],MATCH(Table5[[#This Row],[PID]],Batters[[#All],[PID]],0)),INDEX(Table3[[#All],[INT]],MATCH(Table5[[#This Row],[PID]],Table3[[#All],[PID]],0)))</f>
        <v>Normal</v>
      </c>
      <c r="L485" s="62">
        <f>IF($C485="B",INDEX(Batters[[#All],[CON P]],MATCH(Table5[[#This Row],[PID]],Batters[[#All],[PID]],0)),INDEX(Table3[[#All],[STU P]],MATCH(Table5[[#This Row],[PID]],Table3[[#All],[PID]],0)))</f>
        <v>4</v>
      </c>
      <c r="M485" s="58">
        <f>IF($C485="B",INDEX(Batters[[#All],[GAP P]],MATCH(Table5[[#This Row],[PID]],Batters[[#All],[PID]],0)),INDEX(Table3[[#All],[MOV P]],MATCH(Table5[[#This Row],[PID]],Table3[[#All],[PID]],0)))</f>
        <v>2</v>
      </c>
      <c r="N485" s="58">
        <f>IF($C485="B",INDEX(Batters[[#All],[POW P]],MATCH(Table5[[#This Row],[PID]],Batters[[#All],[PID]],0)),INDEX(Table3[[#All],[CON P]],MATCH(Table5[[#This Row],[PID]],Table3[[#All],[PID]],0)))</f>
        <v>3</v>
      </c>
      <c r="O485" s="58" t="str">
        <f>IF($C485="B",INDEX(Batters[[#All],[EYE P]],MATCH(Table5[[#This Row],[PID]],Batters[[#All],[PID]],0)),INDEX(Table3[[#All],[VELO]],MATCH(Table5[[#This Row],[PID]],Table3[[#All],[PID]],0)))</f>
        <v>86-88 Mph</v>
      </c>
      <c r="P485" s="58">
        <f>IF($C485="B",INDEX(Batters[[#All],[K P]],MATCH(Table5[[#This Row],[PID]],Batters[[#All],[PID]],0)),INDEX(Table3[[#All],[STM]],MATCH(Table5[[#This Row],[PID]],Table3[[#All],[PID]],0)))</f>
        <v>8</v>
      </c>
      <c r="Q485" s="63">
        <f>IF($C485="B",INDEX(Batters[[#All],[Tot]],MATCH(Table5[[#This Row],[PID]],Batters[[#All],[PID]],0)),INDEX(Table3[[#All],[Tot]],MATCH(Table5[[#This Row],[PID]],Table3[[#All],[PID]],0)))</f>
        <v>31.178839382778001</v>
      </c>
      <c r="R485" s="54">
        <f>IF($C485="B",INDEX(Batters[[#All],[zScore]],MATCH(Table5[[#This Row],[PID]],Batters[[#All],[PID]],0)),INDEX(Table3[[#All],[zScore]],MATCH(Table5[[#This Row],[PID]],Table3[[#All],[PID]],0)))</f>
        <v>-0.14153742859594973</v>
      </c>
      <c r="S485" s="60" t="str">
        <f>IF($C485="B",INDEX(Batters[[#All],[DEM]],MATCH(Table5[[#This Row],[PID]],Batters[[#All],[PID]],0)),INDEX(Table3[[#All],[DEM]],MATCH(Table5[[#This Row],[PID]],Table3[[#All],[PID]],0)))</f>
        <v>$35k</v>
      </c>
      <c r="T485" s="64">
        <f>IF($C485="B",VLOOKUP($A485,Bat!$A$4:$AU$1417,46,FALSE),VLOOKUP($A485,Pit!$A$4:$BD$570,55,FALSE))</f>
        <v>0</v>
      </c>
      <c r="U485" s="52">
        <f>IF($C485="B",VLOOKUP($A485,Bat!$A$4:$BA$1417,47,FALSE),VLOOKUP($A485,Pit!$A$4:$BF$570,56,FALSE))</f>
        <v>0</v>
      </c>
      <c r="V485" s="52">
        <f>IF($C485="B",VLOOKUP($A485,Bat!$A$4:$BA$1417,48,FALSE),VLOOKUP($A485,Pit!$A$4:$BF$570,57,FALSE))</f>
        <v>0</v>
      </c>
      <c r="W485" s="52">
        <f>Table5[[#This Row],[posRnk]]+Table5[[#This Row],[zRnk]]+IF($W$3&lt;&gt;Table5[[#This Row],[Type]],50,0)</f>
        <v>531</v>
      </c>
      <c r="X485" s="53">
        <f>RANK(Table5[[#This Row],[zScore]],Table5[[#All],[zScore]])</f>
        <v>481</v>
      </c>
      <c r="Y485" s="52" t="str">
        <f>IFERROR(INDEX(DraftResults[[#All],[OVR]],MATCH(Table5[[#This Row],[PID]],DraftResults[[#All],[Player ID]],0)),"")</f>
        <v/>
      </c>
      <c r="Z4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5" s="52" t="str">
        <f>IFERROR(INDEX(DraftResults[[#All],[Pick in Round]],MATCH(Table5[[#This Row],[PID]],DraftResults[[#All],[Player ID]],0)),"")</f>
        <v/>
      </c>
      <c r="AB485" s="52" t="str">
        <f>IFERROR(INDEX(DraftResults[[#All],[Team Name]],MATCH(Table5[[#This Row],[PID]],DraftResults[[#All],[Player ID]],0)),"")</f>
        <v/>
      </c>
      <c r="AC485" s="52" t="str">
        <f>IF(Table5[[#This Row],[Ovr]]="","",IF(Table5[[#This Row],[cmbList]]="","",Table5[[#This Row],[cmbList]]-Table5[[#This Row],[Ovr]]))</f>
        <v/>
      </c>
      <c r="AD485" s="56" t="str">
        <f>IF(ISERROR(VLOOKUP($AB485&amp;"-"&amp;$E485&amp;" "&amp;F485,Bonuses!$B$1:$G$1006,4,FALSE)),"",INT(VLOOKUP($AB485&amp;"-"&amp;$E485&amp;" "&amp;$F485,Bonuses!$B$1:$G$1006,4,FALSE)))</f>
        <v/>
      </c>
      <c r="AE4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6" spans="1:31" s="52" customFormat="1" x14ac:dyDescent="0.25">
      <c r="A486" s="52">
        <v>11032</v>
      </c>
      <c r="B486" s="52">
        <f>COUNTIF(Table5[PID],A486)</f>
        <v>1</v>
      </c>
      <c r="C486" s="52" t="str">
        <f>IF(COUNTIF(Table3[[#All],[PID]],A486)&gt;0,"P","B")</f>
        <v>B</v>
      </c>
      <c r="D486" s="61" t="str">
        <f>IF($C486="B",INDEX(Batters[[#All],[POS]],MATCH(Table5[[#This Row],[PID]],Batters[[#All],[PID]],0)),INDEX(Table3[[#All],[POS]],MATCH(Table5[[#This Row],[PID]],Table3[[#All],[PID]],0)))</f>
        <v>1B</v>
      </c>
      <c r="E486" s="54" t="str">
        <f>IF($C486="B",INDEX(Batters[[#All],[First]],MATCH(Table5[[#This Row],[PID]],Batters[[#All],[PID]],0)),INDEX(Table3[[#All],[First]],MATCH(Table5[[#This Row],[PID]],Table3[[#All],[PID]],0)))</f>
        <v>Zi-xing</v>
      </c>
      <c r="F486" s="52" t="str">
        <f>IF($C486="B",INDEX(Batters[[#All],[Last]],MATCH(A486,Batters[[#All],[PID]],0)),INDEX(Table3[[#All],[Last]],MATCH(A486,Table3[[#All],[PID]],0)))</f>
        <v>See-to</v>
      </c>
      <c r="G486" s="58">
        <f>IF($C486="B",INDEX(Batters[[#All],[Age]],MATCH(Table5[[#This Row],[PID]],Batters[[#All],[PID]],0)),INDEX(Table3[[#All],[Age]],MATCH(Table5[[#This Row],[PID]],Table3[[#All],[PID]],0)))</f>
        <v>18</v>
      </c>
      <c r="H486" s="54" t="str">
        <f>IF($C486="B",INDEX(Batters[[#All],[B]],MATCH(Table5[[#This Row],[PID]],Batters[[#All],[PID]],0)),INDEX(Table3[[#All],[B]],MATCH(Table5[[#This Row],[PID]],Table3[[#All],[PID]],0)))</f>
        <v>L</v>
      </c>
      <c r="I486" s="54" t="str">
        <f>IF($C486="B",INDEX(Batters[[#All],[T]],MATCH(Table5[[#This Row],[PID]],Batters[[#All],[PID]],0)),INDEX(Table3[[#All],[T]],MATCH(Table5[[#This Row],[PID]],Table3[[#All],[PID]],0)))</f>
        <v>L</v>
      </c>
      <c r="J486" s="54" t="str">
        <f>IF($C486="B",INDEX(Batters[[#All],[WE]],MATCH(Table5[[#This Row],[PID]],Batters[[#All],[PID]],0)),INDEX(Table3[[#All],[WE]],MATCH(Table5[[#This Row],[PID]],Table3[[#All],[PID]],0)))</f>
        <v>Low</v>
      </c>
      <c r="K486" s="54" t="str">
        <f>IF($C486="B",INDEX(Batters[[#All],[INT]],MATCH(Table5[[#This Row],[PID]],Batters[[#All],[PID]],0)),INDEX(Table3[[#All],[INT]],MATCH(Table5[[#This Row],[PID]],Table3[[#All],[PID]],0)))</f>
        <v>Normal</v>
      </c>
      <c r="L486" s="62">
        <f>IF($C486="B",INDEX(Batters[[#All],[CON P]],MATCH(Table5[[#This Row],[PID]],Batters[[#All],[PID]],0)),INDEX(Table3[[#All],[STU P]],MATCH(Table5[[#This Row],[PID]],Table3[[#All],[PID]],0)))</f>
        <v>3</v>
      </c>
      <c r="M486" s="58">
        <f>IF($C486="B",INDEX(Batters[[#All],[GAP P]],MATCH(Table5[[#This Row],[PID]],Batters[[#All],[PID]],0)),INDEX(Table3[[#All],[MOV P]],MATCH(Table5[[#This Row],[PID]],Table3[[#All],[PID]],0)))</f>
        <v>2</v>
      </c>
      <c r="N486" s="58">
        <f>IF($C486="B",INDEX(Batters[[#All],[POW P]],MATCH(Table5[[#This Row],[PID]],Batters[[#All],[PID]],0)),INDEX(Table3[[#All],[CON P]],MATCH(Table5[[#This Row],[PID]],Table3[[#All],[PID]],0)))</f>
        <v>4</v>
      </c>
      <c r="O486" s="58">
        <f>IF($C486="B",INDEX(Batters[[#All],[EYE P]],MATCH(Table5[[#This Row],[PID]],Batters[[#All],[PID]],0)),INDEX(Table3[[#All],[VELO]],MATCH(Table5[[#This Row],[PID]],Table3[[#All],[PID]],0)))</f>
        <v>4</v>
      </c>
      <c r="P486" s="58">
        <f>IF($C486="B",INDEX(Batters[[#All],[K P]],MATCH(Table5[[#This Row],[PID]],Batters[[#All],[PID]],0)),INDEX(Table3[[#All],[STM]],MATCH(Table5[[#This Row],[PID]],Table3[[#All],[PID]],0)))</f>
        <v>2</v>
      </c>
      <c r="Q486" s="63">
        <f>IF($C486="B",INDEX(Batters[[#All],[Tot]],MATCH(Table5[[#This Row],[PID]],Batters[[#All],[PID]],0)),INDEX(Table3[[#All],[Tot]],MATCH(Table5[[#This Row],[PID]],Table3[[#All],[PID]],0)))</f>
        <v>39.541763903787775</v>
      </c>
      <c r="R486" s="54">
        <f>IF($C486="B",INDEX(Batters[[#All],[zScore]],MATCH(Table5[[#This Row],[PID]],Batters[[#All],[PID]],0)),INDEX(Table3[[#All],[zScore]],MATCH(Table5[[#This Row],[PID]],Table3[[#All],[PID]],0)))</f>
        <v>-0.14189540366392672</v>
      </c>
      <c r="S486" s="60" t="str">
        <f>IF($C486="B",INDEX(Batters[[#All],[DEM]],MATCH(Table5[[#This Row],[PID]],Batters[[#All],[PID]],0)),INDEX(Table3[[#All],[DEM]],MATCH(Table5[[#This Row],[PID]],Table3[[#All],[PID]],0)))</f>
        <v>$65k</v>
      </c>
      <c r="T486" s="64">
        <f>IF($C486="B",VLOOKUP($A486,Bat!$A$4:$AU$1417,46,FALSE),VLOOKUP($A486,Pit!$A$4:$BD$570,55,FALSE))</f>
        <v>0</v>
      </c>
      <c r="U486" s="52">
        <f>IF($C486="B",VLOOKUP($A486,Bat!$A$4:$BA$1417,47,FALSE),VLOOKUP($A486,Pit!$A$4:$BF$570,56,FALSE))</f>
        <v>0</v>
      </c>
      <c r="V486" s="52">
        <f>IF($C486="B",VLOOKUP($A486,Bat!$A$4:$BA$1417,48,FALSE),VLOOKUP($A486,Pit!$A$4:$BF$570,57,FALSE))</f>
        <v>0</v>
      </c>
      <c r="W486" s="52">
        <f>Table5[[#This Row],[posRnk]]+Table5[[#This Row],[zRnk]]+IF($W$3&lt;&gt;Table5[[#This Row],[Type]],50,0)</f>
        <v>532</v>
      </c>
      <c r="X486" s="53">
        <f>RANK(Table5[[#This Row],[zScore]],Table5[[#All],[zScore]])</f>
        <v>482</v>
      </c>
      <c r="Y486" s="52" t="str">
        <f>IFERROR(INDEX(DraftResults[[#All],[OVR]],MATCH(Table5[[#This Row],[PID]],DraftResults[[#All],[Player ID]],0)),"")</f>
        <v/>
      </c>
      <c r="Z4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6" s="52" t="str">
        <f>IFERROR(INDEX(DraftResults[[#All],[Pick in Round]],MATCH(Table5[[#This Row],[PID]],DraftResults[[#All],[Player ID]],0)),"")</f>
        <v/>
      </c>
      <c r="AB486" s="52" t="str">
        <f>IFERROR(INDEX(DraftResults[[#All],[Team Name]],MATCH(Table5[[#This Row],[PID]],DraftResults[[#All],[Player ID]],0)),"")</f>
        <v/>
      </c>
      <c r="AC486" s="52" t="str">
        <f>IF(Table5[[#This Row],[Ovr]]="","",IF(Table5[[#This Row],[cmbList]]="","",Table5[[#This Row],[cmbList]]-Table5[[#This Row],[Ovr]]))</f>
        <v/>
      </c>
      <c r="AD486" s="56" t="str">
        <f>IF(ISERROR(VLOOKUP($AB486&amp;"-"&amp;$E486&amp;" "&amp;F486,Bonuses!$B$1:$G$1006,4,FALSE)),"",INT(VLOOKUP($AB486&amp;"-"&amp;$E486&amp;" "&amp;$F486,Bonuses!$B$1:$G$1006,4,FALSE)))</f>
        <v/>
      </c>
      <c r="AE4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7" spans="1:31" s="52" customFormat="1" x14ac:dyDescent="0.25">
      <c r="A487" s="52">
        <v>9688</v>
      </c>
      <c r="B487" s="52">
        <f>COUNTIF(Table5[PID],A487)</f>
        <v>1</v>
      </c>
      <c r="C487" s="52" t="str">
        <f>IF(COUNTIF(Table3[[#All],[PID]],A487)&gt;0,"P","B")</f>
        <v>P</v>
      </c>
      <c r="D487" s="61" t="str">
        <f>IF($C487="B",INDEX(Batters[[#All],[POS]],MATCH(Table5[[#This Row],[PID]],Batters[[#All],[PID]],0)),INDEX(Table3[[#All],[POS]],MATCH(Table5[[#This Row],[PID]],Table3[[#All],[PID]],0)))</f>
        <v>SP</v>
      </c>
      <c r="E487" s="54" t="str">
        <f>IF($C487="B",INDEX(Batters[[#All],[First]],MATCH(Table5[[#This Row],[PID]],Batters[[#All],[PID]],0)),INDEX(Table3[[#All],[First]],MATCH(Table5[[#This Row],[PID]],Table3[[#All],[PID]],0)))</f>
        <v>Jesús</v>
      </c>
      <c r="F487" s="52" t="str">
        <f>IF($C487="B",INDEX(Batters[[#All],[Last]],MATCH(A487,Batters[[#All],[PID]],0)),INDEX(Table3[[#All],[Last]],MATCH(A487,Table3[[#All],[PID]],0)))</f>
        <v>Franco</v>
      </c>
      <c r="G487" s="58">
        <f>IF($C487="B",INDEX(Batters[[#All],[Age]],MATCH(Table5[[#This Row],[PID]],Batters[[#All],[PID]],0)),INDEX(Table3[[#All],[Age]],MATCH(Table5[[#This Row],[PID]],Table3[[#All],[PID]],0)))</f>
        <v>22</v>
      </c>
      <c r="H487" s="54" t="str">
        <f>IF($C487="B",INDEX(Batters[[#All],[B]],MATCH(Table5[[#This Row],[PID]],Batters[[#All],[PID]],0)),INDEX(Table3[[#All],[B]],MATCH(Table5[[#This Row],[PID]],Table3[[#All],[PID]],0)))</f>
        <v>R</v>
      </c>
      <c r="I487" s="54" t="str">
        <f>IF($C487="B",INDEX(Batters[[#All],[T]],MATCH(Table5[[#This Row],[PID]],Batters[[#All],[PID]],0)),INDEX(Table3[[#All],[T]],MATCH(Table5[[#This Row],[PID]],Table3[[#All],[PID]],0)))</f>
        <v>R</v>
      </c>
      <c r="J487" s="54" t="str">
        <f>IF($C487="B",INDEX(Batters[[#All],[WE]],MATCH(Table5[[#This Row],[PID]],Batters[[#All],[PID]],0)),INDEX(Table3[[#All],[WE]],MATCH(Table5[[#This Row],[PID]],Table3[[#All],[PID]],0)))</f>
        <v>Normal</v>
      </c>
      <c r="K487" s="54" t="str">
        <f>IF($C487="B",INDEX(Batters[[#All],[INT]],MATCH(Table5[[#This Row],[PID]],Batters[[#All],[PID]],0)),INDEX(Table3[[#All],[INT]],MATCH(Table5[[#This Row],[PID]],Table3[[#All],[PID]],0)))</f>
        <v>Normal</v>
      </c>
      <c r="L487" s="62">
        <f>IF($C487="B",INDEX(Batters[[#All],[CON P]],MATCH(Table5[[#This Row],[PID]],Batters[[#All],[PID]],0)),INDEX(Table3[[#All],[STU P]],MATCH(Table5[[#This Row],[PID]],Table3[[#All],[PID]],0)))</f>
        <v>4</v>
      </c>
      <c r="M487" s="58">
        <f>IF($C487="B",INDEX(Batters[[#All],[GAP P]],MATCH(Table5[[#This Row],[PID]],Batters[[#All],[PID]],0)),INDEX(Table3[[#All],[MOV P]],MATCH(Table5[[#This Row],[PID]],Table3[[#All],[PID]],0)))</f>
        <v>2</v>
      </c>
      <c r="N487" s="58">
        <f>IF($C487="B",INDEX(Batters[[#All],[POW P]],MATCH(Table5[[#This Row],[PID]],Batters[[#All],[PID]],0)),INDEX(Table3[[#All],[CON P]],MATCH(Table5[[#This Row],[PID]],Table3[[#All],[PID]],0)))</f>
        <v>3</v>
      </c>
      <c r="O487" s="58" t="str">
        <f>IF($C487="B",INDEX(Batters[[#All],[EYE P]],MATCH(Table5[[#This Row],[PID]],Batters[[#All],[PID]],0)),INDEX(Table3[[#All],[VELO]],MATCH(Table5[[#This Row],[PID]],Table3[[#All],[PID]],0)))</f>
        <v>91-93 Mph</v>
      </c>
      <c r="P487" s="58">
        <f>IF($C487="B",INDEX(Batters[[#All],[K P]],MATCH(Table5[[#This Row],[PID]],Batters[[#All],[PID]],0)),INDEX(Table3[[#All],[STM]],MATCH(Table5[[#This Row],[PID]],Table3[[#All],[PID]],0)))</f>
        <v>6</v>
      </c>
      <c r="Q487" s="63">
        <f>IF($C487="B",INDEX(Batters[[#All],[Tot]],MATCH(Table5[[#This Row],[PID]],Batters[[#All],[PID]],0)),INDEX(Table3[[#All],[Tot]],MATCH(Table5[[#This Row],[PID]],Table3[[#All],[PID]],0)))</f>
        <v>31.155605106247791</v>
      </c>
      <c r="R487" s="54">
        <f>IF($C487="B",INDEX(Batters[[#All],[zScore]],MATCH(Table5[[#This Row],[PID]],Batters[[#All],[PID]],0)),INDEX(Table3[[#All],[zScore]],MATCH(Table5[[#This Row],[PID]],Table3[[#All],[PID]],0)))</f>
        <v>-0.14366811105915506</v>
      </c>
      <c r="S487" s="60" t="str">
        <f>IF($C487="B",INDEX(Batters[[#All],[DEM]],MATCH(Table5[[#This Row],[PID]],Batters[[#All],[PID]],0)),INDEX(Table3[[#All],[DEM]],MATCH(Table5[[#This Row],[PID]],Table3[[#All],[PID]],0)))</f>
        <v>-</v>
      </c>
      <c r="T487" s="64">
        <f>IF($C487="B",VLOOKUP($A487,Bat!$A$4:$AU$1417,46,FALSE),VLOOKUP($A487,Pit!$A$4:$BD$570,55,FALSE))</f>
        <v>0</v>
      </c>
      <c r="U487" s="52">
        <f>IF($C487="B",VLOOKUP($A487,Bat!$A$4:$BA$1417,47,FALSE),VLOOKUP($A487,Pit!$A$4:$BF$570,56,FALSE))</f>
        <v>0</v>
      </c>
      <c r="V487" s="52">
        <f>IF($C487="B",VLOOKUP($A487,Bat!$A$4:$BA$1417,48,FALSE),VLOOKUP($A487,Pit!$A$4:$BF$570,57,FALSE))</f>
        <v>0</v>
      </c>
      <c r="W487" s="52">
        <f>Table5[[#This Row],[posRnk]]+Table5[[#This Row],[zRnk]]+IF($W$3&lt;&gt;Table5[[#This Row],[Type]],50,0)</f>
        <v>533</v>
      </c>
      <c r="X487" s="53">
        <f>RANK(Table5[[#This Row],[zScore]],Table5[[#All],[zScore]])</f>
        <v>483</v>
      </c>
      <c r="Y487" s="52" t="str">
        <f>IFERROR(INDEX(DraftResults[[#All],[OVR]],MATCH(Table5[[#This Row],[PID]],DraftResults[[#All],[Player ID]],0)),"")</f>
        <v/>
      </c>
      <c r="Z4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7" s="52" t="str">
        <f>IFERROR(INDEX(DraftResults[[#All],[Pick in Round]],MATCH(Table5[[#This Row],[PID]],DraftResults[[#All],[Player ID]],0)),"")</f>
        <v/>
      </c>
      <c r="AB487" s="52" t="str">
        <f>IFERROR(INDEX(DraftResults[[#All],[Team Name]],MATCH(Table5[[#This Row],[PID]],DraftResults[[#All],[Player ID]],0)),"")</f>
        <v/>
      </c>
      <c r="AC487" s="52" t="str">
        <f>IF(Table5[[#This Row],[Ovr]]="","",IF(Table5[[#This Row],[cmbList]]="","",Table5[[#This Row],[cmbList]]-Table5[[#This Row],[Ovr]]))</f>
        <v/>
      </c>
      <c r="AD487" s="56" t="str">
        <f>IF(ISERROR(VLOOKUP($AB487&amp;"-"&amp;$E487&amp;" "&amp;F487,Bonuses!$B$1:$G$1006,4,FALSE)),"",INT(VLOOKUP($AB487&amp;"-"&amp;$E487&amp;" "&amp;$F487,Bonuses!$B$1:$G$1006,4,FALSE)))</f>
        <v/>
      </c>
      <c r="AE4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8" spans="1:31" s="52" customFormat="1" x14ac:dyDescent="0.25">
      <c r="A488" s="52">
        <v>6181</v>
      </c>
      <c r="B488" s="52">
        <f>COUNTIF(Table5[PID],A488)</f>
        <v>1</v>
      </c>
      <c r="C488" s="52" t="str">
        <f>IF(COUNTIF(Table3[[#All],[PID]],A488)&gt;0,"P","B")</f>
        <v>P</v>
      </c>
      <c r="D488" s="61" t="str">
        <f>IF($C488="B",INDEX(Batters[[#All],[POS]],MATCH(Table5[[#This Row],[PID]],Batters[[#All],[PID]],0)),INDEX(Table3[[#All],[POS]],MATCH(Table5[[#This Row],[PID]],Table3[[#All],[PID]],0)))</f>
        <v>SP</v>
      </c>
      <c r="E488" s="54" t="str">
        <f>IF($C488="B",INDEX(Batters[[#All],[First]],MATCH(Table5[[#This Row],[PID]],Batters[[#All],[PID]],0)),INDEX(Table3[[#All],[First]],MATCH(Table5[[#This Row],[PID]],Table3[[#All],[PID]],0)))</f>
        <v>Lawrence</v>
      </c>
      <c r="F488" s="52" t="str">
        <f>IF($C488="B",INDEX(Batters[[#All],[Last]],MATCH(A488,Batters[[#All],[PID]],0)),INDEX(Table3[[#All],[Last]],MATCH(A488,Table3[[#All],[PID]],0)))</f>
        <v>Cantrell</v>
      </c>
      <c r="G488" s="58">
        <f>IF($C488="B",INDEX(Batters[[#All],[Age]],MATCH(Table5[[#This Row],[PID]],Batters[[#All],[PID]],0)),INDEX(Table3[[#All],[Age]],MATCH(Table5[[#This Row],[PID]],Table3[[#All],[PID]],0)))</f>
        <v>18</v>
      </c>
      <c r="H488" s="54" t="str">
        <f>IF($C488="B",INDEX(Batters[[#All],[B]],MATCH(Table5[[#This Row],[PID]],Batters[[#All],[PID]],0)),INDEX(Table3[[#All],[B]],MATCH(Table5[[#This Row],[PID]],Table3[[#All],[PID]],0)))</f>
        <v>R</v>
      </c>
      <c r="I488" s="54" t="str">
        <f>IF($C488="B",INDEX(Batters[[#All],[T]],MATCH(Table5[[#This Row],[PID]],Batters[[#All],[PID]],0)),INDEX(Table3[[#All],[T]],MATCH(Table5[[#This Row],[PID]],Table3[[#All],[PID]],0)))</f>
        <v>R</v>
      </c>
      <c r="J488" s="54" t="str">
        <f>IF($C488="B",INDEX(Batters[[#All],[WE]],MATCH(Table5[[#This Row],[PID]],Batters[[#All],[PID]],0)),INDEX(Table3[[#All],[WE]],MATCH(Table5[[#This Row],[PID]],Table3[[#All],[PID]],0)))</f>
        <v>Low</v>
      </c>
      <c r="K488" s="54" t="str">
        <f>IF($C488="B",INDEX(Batters[[#All],[INT]],MATCH(Table5[[#This Row],[PID]],Batters[[#All],[PID]],0)),INDEX(Table3[[#All],[INT]],MATCH(Table5[[#This Row],[PID]],Table3[[#All],[PID]],0)))</f>
        <v>High</v>
      </c>
      <c r="L488" s="62">
        <f>IF($C488="B",INDEX(Batters[[#All],[CON P]],MATCH(Table5[[#This Row],[PID]],Batters[[#All],[PID]],0)),INDEX(Table3[[#All],[STU P]],MATCH(Table5[[#This Row],[PID]],Table3[[#All],[PID]],0)))</f>
        <v>5</v>
      </c>
      <c r="M488" s="58">
        <f>IF($C488="B",INDEX(Batters[[#All],[GAP P]],MATCH(Table5[[#This Row],[PID]],Batters[[#All],[PID]],0)),INDEX(Table3[[#All],[MOV P]],MATCH(Table5[[#This Row],[PID]],Table3[[#All],[PID]],0)))</f>
        <v>2</v>
      </c>
      <c r="N488" s="58">
        <f>IF($C488="B",INDEX(Batters[[#All],[POW P]],MATCH(Table5[[#This Row],[PID]],Batters[[#All],[PID]],0)),INDEX(Table3[[#All],[CON P]],MATCH(Table5[[#This Row],[PID]],Table3[[#All],[PID]],0)))</f>
        <v>1</v>
      </c>
      <c r="O488" s="58" t="str">
        <f>IF($C488="B",INDEX(Batters[[#All],[EYE P]],MATCH(Table5[[#This Row],[PID]],Batters[[#All],[PID]],0)),INDEX(Table3[[#All],[VELO]],MATCH(Table5[[#This Row],[PID]],Table3[[#All],[PID]],0)))</f>
        <v>88-90 Mph</v>
      </c>
      <c r="P488" s="58">
        <f>IF($C488="B",INDEX(Batters[[#All],[K P]],MATCH(Table5[[#This Row],[PID]],Batters[[#All],[PID]],0)),INDEX(Table3[[#All],[STM]],MATCH(Table5[[#This Row],[PID]],Table3[[#All],[PID]],0)))</f>
        <v>8</v>
      </c>
      <c r="Q488" s="63">
        <f>IF($C488="B",INDEX(Batters[[#All],[Tot]],MATCH(Table5[[#This Row],[PID]],Batters[[#All],[PID]],0)),INDEX(Table3[[#All],[Tot]],MATCH(Table5[[#This Row],[PID]],Table3[[#All],[PID]],0)))</f>
        <v>31.112940040416952</v>
      </c>
      <c r="R488" s="54">
        <f>IF($C488="B",INDEX(Batters[[#All],[zScore]],MATCH(Table5[[#This Row],[PID]],Batters[[#All],[PID]],0)),INDEX(Table3[[#All],[zScore]],MATCH(Table5[[#This Row],[PID]],Table3[[#All],[PID]],0)))</f>
        <v>-0.14758067995016691</v>
      </c>
      <c r="S488" s="60" t="str">
        <f>IF($C488="B",INDEX(Batters[[#All],[DEM]],MATCH(Table5[[#This Row],[PID]],Batters[[#All],[PID]],0)),INDEX(Table3[[#All],[DEM]],MATCH(Table5[[#This Row],[PID]],Table3[[#All],[PID]],0)))</f>
        <v>$85k</v>
      </c>
      <c r="T488" s="64">
        <f>IF($C488="B",VLOOKUP($A488,Bat!$A$4:$AU$1417,46,FALSE),VLOOKUP($A488,Pit!$A$4:$BD$570,55,FALSE))</f>
        <v>0</v>
      </c>
      <c r="U488" s="52">
        <f>IF($C488="B",VLOOKUP($A488,Bat!$A$4:$BA$1417,47,FALSE),VLOOKUP($A488,Pit!$A$4:$BF$570,56,FALSE))</f>
        <v>0</v>
      </c>
      <c r="V488" s="52">
        <f>IF($C488="B",VLOOKUP($A488,Bat!$A$4:$BA$1417,48,FALSE),VLOOKUP($A488,Pit!$A$4:$BF$570,57,FALSE))</f>
        <v>0</v>
      </c>
      <c r="W488" s="52">
        <f>Table5[[#This Row],[posRnk]]+Table5[[#This Row],[zRnk]]+IF($W$3&lt;&gt;Table5[[#This Row],[Type]],50,0)</f>
        <v>534</v>
      </c>
      <c r="X488" s="53">
        <f>RANK(Table5[[#This Row],[zScore]],Table5[[#All],[zScore]])</f>
        <v>484</v>
      </c>
      <c r="Y488" s="52" t="str">
        <f>IFERROR(INDEX(DraftResults[[#All],[OVR]],MATCH(Table5[[#This Row],[PID]],DraftResults[[#All],[Player ID]],0)),"")</f>
        <v/>
      </c>
      <c r="Z4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8" s="52" t="str">
        <f>IFERROR(INDEX(DraftResults[[#All],[Pick in Round]],MATCH(Table5[[#This Row],[PID]],DraftResults[[#All],[Player ID]],0)),"")</f>
        <v/>
      </c>
      <c r="AB488" s="52" t="str">
        <f>IFERROR(INDEX(DraftResults[[#All],[Team Name]],MATCH(Table5[[#This Row],[PID]],DraftResults[[#All],[Player ID]],0)),"")</f>
        <v/>
      </c>
      <c r="AC488" s="52" t="str">
        <f>IF(Table5[[#This Row],[Ovr]]="","",IF(Table5[[#This Row],[cmbList]]="","",Table5[[#This Row],[cmbList]]-Table5[[#This Row],[Ovr]]))</f>
        <v/>
      </c>
      <c r="AD488" s="56" t="str">
        <f>IF(ISERROR(VLOOKUP($AB488&amp;"-"&amp;$E488&amp;" "&amp;F488,Bonuses!$B$1:$G$1006,4,FALSE)),"",INT(VLOOKUP($AB488&amp;"-"&amp;$E488&amp;" "&amp;$F488,Bonuses!$B$1:$G$1006,4,FALSE)))</f>
        <v/>
      </c>
      <c r="AE4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9" spans="1:31" s="52" customFormat="1" x14ac:dyDescent="0.25">
      <c r="A489" s="52">
        <v>17642</v>
      </c>
      <c r="B489" s="52">
        <f>COUNTIF(Table5[PID],A489)</f>
        <v>1</v>
      </c>
      <c r="C489" s="52" t="str">
        <f>IF(COUNTIF(Table3[[#All],[PID]],A489)&gt;0,"P","B")</f>
        <v>B</v>
      </c>
      <c r="D489" s="61" t="str">
        <f>IF($C489="B",INDEX(Batters[[#All],[POS]],MATCH(Table5[[#This Row],[PID]],Batters[[#All],[PID]],0)),INDEX(Table3[[#All],[POS]],MATCH(Table5[[#This Row],[PID]],Table3[[#All],[PID]],0)))</f>
        <v>CF</v>
      </c>
      <c r="E489" s="54" t="str">
        <f>IF($C489="B",INDEX(Batters[[#All],[First]],MATCH(Table5[[#This Row],[PID]],Batters[[#All],[PID]],0)),INDEX(Table3[[#All],[First]],MATCH(Table5[[#This Row],[PID]],Table3[[#All],[PID]],0)))</f>
        <v>Stu</v>
      </c>
      <c r="F489" s="52" t="str">
        <f>IF($C489="B",INDEX(Batters[[#All],[Last]],MATCH(A489,Batters[[#All],[PID]],0)),INDEX(Table3[[#All],[Last]],MATCH(A489,Table3[[#All],[PID]],0)))</f>
        <v>Groves</v>
      </c>
      <c r="G489" s="58">
        <f>IF($C489="B",INDEX(Batters[[#All],[Age]],MATCH(Table5[[#This Row],[PID]],Batters[[#All],[PID]],0)),INDEX(Table3[[#All],[Age]],MATCH(Table5[[#This Row],[PID]],Table3[[#All],[PID]],0)))</f>
        <v>18</v>
      </c>
      <c r="H489" s="54" t="str">
        <f>IF($C489="B",INDEX(Batters[[#All],[B]],MATCH(Table5[[#This Row],[PID]],Batters[[#All],[PID]],0)),INDEX(Table3[[#All],[B]],MATCH(Table5[[#This Row],[PID]],Table3[[#All],[PID]],0)))</f>
        <v>S</v>
      </c>
      <c r="I489" s="54" t="str">
        <f>IF($C489="B",INDEX(Batters[[#All],[T]],MATCH(Table5[[#This Row],[PID]],Batters[[#All],[PID]],0)),INDEX(Table3[[#All],[T]],MATCH(Table5[[#This Row],[PID]],Table3[[#All],[PID]],0)))</f>
        <v>L</v>
      </c>
      <c r="J489" s="54" t="str">
        <f>IF($C489="B",INDEX(Batters[[#All],[WE]],MATCH(Table5[[#This Row],[PID]],Batters[[#All],[PID]],0)),INDEX(Table3[[#All],[WE]],MATCH(Table5[[#This Row],[PID]],Table3[[#All],[PID]],0)))</f>
        <v>Normal</v>
      </c>
      <c r="K489" s="54" t="str">
        <f>IF($C489="B",INDEX(Batters[[#All],[INT]],MATCH(Table5[[#This Row],[PID]],Batters[[#All],[PID]],0)),INDEX(Table3[[#All],[INT]],MATCH(Table5[[#This Row],[PID]],Table3[[#All],[PID]],0)))</f>
        <v>Normal</v>
      </c>
      <c r="L489" s="62">
        <f>IF($C489="B",INDEX(Batters[[#All],[CON P]],MATCH(Table5[[#This Row],[PID]],Batters[[#All],[PID]],0)),INDEX(Table3[[#All],[STU P]],MATCH(Table5[[#This Row],[PID]],Table3[[#All],[PID]],0)))</f>
        <v>2</v>
      </c>
      <c r="M489" s="58">
        <f>IF($C489="B",INDEX(Batters[[#All],[GAP P]],MATCH(Table5[[#This Row],[PID]],Batters[[#All],[PID]],0)),INDEX(Table3[[#All],[MOV P]],MATCH(Table5[[#This Row],[PID]],Table3[[#All],[PID]],0)))</f>
        <v>4</v>
      </c>
      <c r="N489" s="58">
        <f>IF($C489="B",INDEX(Batters[[#All],[POW P]],MATCH(Table5[[#This Row],[PID]],Batters[[#All],[PID]],0)),INDEX(Table3[[#All],[CON P]],MATCH(Table5[[#This Row],[PID]],Table3[[#All],[PID]],0)))</f>
        <v>3</v>
      </c>
      <c r="O489" s="58">
        <f>IF($C489="B",INDEX(Batters[[#All],[EYE P]],MATCH(Table5[[#This Row],[PID]],Batters[[#All],[PID]],0)),INDEX(Table3[[#All],[VELO]],MATCH(Table5[[#This Row],[PID]],Table3[[#All],[PID]],0)))</f>
        <v>5</v>
      </c>
      <c r="P489" s="58">
        <f>IF($C489="B",INDEX(Batters[[#All],[K P]],MATCH(Table5[[#This Row],[PID]],Batters[[#All],[PID]],0)),INDEX(Table3[[#All],[STM]],MATCH(Table5[[#This Row],[PID]],Table3[[#All],[PID]],0)))</f>
        <v>3</v>
      </c>
      <c r="Q489" s="63">
        <f>IF($C489="B",INDEX(Batters[[#All],[Tot]],MATCH(Table5[[#This Row],[PID]],Batters[[#All],[PID]],0)),INDEX(Table3[[#All],[Tot]],MATCH(Table5[[#This Row],[PID]],Table3[[#All],[PID]],0)))</f>
        <v>39.506503729837718</v>
      </c>
      <c r="R489" s="54">
        <f>IF($C489="B",INDEX(Batters[[#All],[zScore]],MATCH(Table5[[#This Row],[PID]],Batters[[#All],[PID]],0)),INDEX(Table3[[#All],[zScore]],MATCH(Table5[[#This Row],[PID]],Table3[[#All],[PID]],0)))</f>
        <v>-0.14809919692062604</v>
      </c>
      <c r="S489" s="60" t="str">
        <f>IF($C489="B",INDEX(Batters[[#All],[DEM]],MATCH(Table5[[#This Row],[PID]],Batters[[#All],[PID]],0)),INDEX(Table3[[#All],[DEM]],MATCH(Table5[[#This Row],[PID]],Table3[[#All],[PID]],0)))</f>
        <v>$200k</v>
      </c>
      <c r="T489" s="64">
        <f>IF($C489="B",VLOOKUP($A489,Bat!$A$4:$AU$1417,46,FALSE),VLOOKUP($A489,Pit!$A$4:$BD$570,55,FALSE))</f>
        <v>0</v>
      </c>
      <c r="U489" s="52">
        <f>IF($C489="B",VLOOKUP($A489,Bat!$A$4:$BA$1417,47,FALSE),VLOOKUP($A489,Pit!$A$4:$BF$570,56,FALSE))</f>
        <v>0</v>
      </c>
      <c r="V489" s="52">
        <f>IF($C489="B",VLOOKUP($A489,Bat!$A$4:$BA$1417,48,FALSE),VLOOKUP($A489,Pit!$A$4:$BF$570,57,FALSE))</f>
        <v>0</v>
      </c>
      <c r="W489" s="52">
        <f>Table5[[#This Row],[posRnk]]+Table5[[#This Row],[zRnk]]+IF($W$3&lt;&gt;Table5[[#This Row],[Type]],50,0)</f>
        <v>535</v>
      </c>
      <c r="X489" s="53">
        <f>RANK(Table5[[#This Row],[zScore]],Table5[[#All],[zScore]])</f>
        <v>485</v>
      </c>
      <c r="Y489" s="52" t="str">
        <f>IFERROR(INDEX(DraftResults[[#All],[OVR]],MATCH(Table5[[#This Row],[PID]],DraftResults[[#All],[Player ID]],0)),"")</f>
        <v/>
      </c>
      <c r="Z4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9" s="52" t="str">
        <f>IFERROR(INDEX(DraftResults[[#All],[Pick in Round]],MATCH(Table5[[#This Row],[PID]],DraftResults[[#All],[Player ID]],0)),"")</f>
        <v/>
      </c>
      <c r="AB489" s="52" t="str">
        <f>IFERROR(INDEX(DraftResults[[#All],[Team Name]],MATCH(Table5[[#This Row],[PID]],DraftResults[[#All],[Player ID]],0)),"")</f>
        <v/>
      </c>
      <c r="AC489" s="52" t="str">
        <f>IF(Table5[[#This Row],[Ovr]]="","",IF(Table5[[#This Row],[cmbList]]="","",Table5[[#This Row],[cmbList]]-Table5[[#This Row],[Ovr]]))</f>
        <v/>
      </c>
      <c r="AD489" s="56" t="str">
        <f>IF(ISERROR(VLOOKUP($AB489&amp;"-"&amp;$E489&amp;" "&amp;F489,Bonuses!$B$1:$G$1006,4,FALSE)),"",INT(VLOOKUP($AB489&amp;"-"&amp;$E489&amp;" "&amp;$F489,Bonuses!$B$1:$G$1006,4,FALSE)))</f>
        <v/>
      </c>
      <c r="AE4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0" spans="1:31" s="52" customFormat="1" x14ac:dyDescent="0.25">
      <c r="A490" s="52">
        <v>5942</v>
      </c>
      <c r="B490" s="52">
        <f>COUNTIF(Table5[PID],A490)</f>
        <v>1</v>
      </c>
      <c r="C490" s="52" t="str">
        <f>IF(COUNTIF(Table3[[#All],[PID]],A490)&gt;0,"P","B")</f>
        <v>P</v>
      </c>
      <c r="D490" s="61" t="str">
        <f>IF($C490="B",INDEX(Batters[[#All],[POS]],MATCH(Table5[[#This Row],[PID]],Batters[[#All],[PID]],0)),INDEX(Table3[[#All],[POS]],MATCH(Table5[[#This Row],[PID]],Table3[[#All],[PID]],0)))</f>
        <v>RP</v>
      </c>
      <c r="E490" s="54" t="str">
        <f>IF($C490="B",INDEX(Batters[[#All],[First]],MATCH(Table5[[#This Row],[PID]],Batters[[#All],[PID]],0)),INDEX(Table3[[#All],[First]],MATCH(Table5[[#This Row],[PID]],Table3[[#All],[PID]],0)))</f>
        <v>Dale</v>
      </c>
      <c r="F490" s="52" t="str">
        <f>IF($C490="B",INDEX(Batters[[#All],[Last]],MATCH(A490,Batters[[#All],[PID]],0)),INDEX(Table3[[#All],[Last]],MATCH(A490,Table3[[#All],[PID]],0)))</f>
        <v>Márquez</v>
      </c>
      <c r="G490" s="58">
        <f>IF($C490="B",INDEX(Batters[[#All],[Age]],MATCH(Table5[[#This Row],[PID]],Batters[[#All],[PID]],0)),INDEX(Table3[[#All],[Age]],MATCH(Table5[[#This Row],[PID]],Table3[[#All],[PID]],0)))</f>
        <v>17</v>
      </c>
      <c r="H490" s="54" t="str">
        <f>IF($C490="B",INDEX(Batters[[#All],[B]],MATCH(Table5[[#This Row],[PID]],Batters[[#All],[PID]],0)),INDEX(Table3[[#All],[B]],MATCH(Table5[[#This Row],[PID]],Table3[[#All],[PID]],0)))</f>
        <v>S</v>
      </c>
      <c r="I490" s="54" t="str">
        <f>IF($C490="B",INDEX(Batters[[#All],[T]],MATCH(Table5[[#This Row],[PID]],Batters[[#All],[PID]],0)),INDEX(Table3[[#All],[T]],MATCH(Table5[[#This Row],[PID]],Table3[[#All],[PID]],0)))</f>
        <v>R</v>
      </c>
      <c r="J490" s="54" t="str">
        <f>IF($C490="B",INDEX(Batters[[#All],[WE]],MATCH(Table5[[#This Row],[PID]],Batters[[#All],[PID]],0)),INDEX(Table3[[#All],[WE]],MATCH(Table5[[#This Row],[PID]],Table3[[#All],[PID]],0)))</f>
        <v>Low</v>
      </c>
      <c r="K490" s="54" t="str">
        <f>IF($C490="B",INDEX(Batters[[#All],[INT]],MATCH(Table5[[#This Row],[PID]],Batters[[#All],[PID]],0)),INDEX(Table3[[#All],[INT]],MATCH(Table5[[#This Row],[PID]],Table3[[#All],[PID]],0)))</f>
        <v>Normal</v>
      </c>
      <c r="L490" s="62">
        <f>IF($C490="B",INDEX(Batters[[#All],[CON P]],MATCH(Table5[[#This Row],[PID]],Batters[[#All],[PID]],0)),INDEX(Table3[[#All],[STU P]],MATCH(Table5[[#This Row],[PID]],Table3[[#All],[PID]],0)))</f>
        <v>4</v>
      </c>
      <c r="M490" s="58">
        <f>IF($C490="B",INDEX(Batters[[#All],[GAP P]],MATCH(Table5[[#This Row],[PID]],Batters[[#All],[PID]],0)),INDEX(Table3[[#All],[MOV P]],MATCH(Table5[[#This Row],[PID]],Table3[[#All],[PID]],0)))</f>
        <v>2</v>
      </c>
      <c r="N490" s="58">
        <f>IF($C490="B",INDEX(Batters[[#All],[POW P]],MATCH(Table5[[#This Row],[PID]],Batters[[#All],[PID]],0)),INDEX(Table3[[#All],[CON P]],MATCH(Table5[[#This Row],[PID]],Table3[[#All],[PID]],0)))</f>
        <v>2</v>
      </c>
      <c r="O490" s="58" t="str">
        <f>IF($C490="B",INDEX(Batters[[#All],[EYE P]],MATCH(Table5[[#This Row],[PID]],Batters[[#All],[PID]],0)),INDEX(Table3[[#All],[VELO]],MATCH(Table5[[#This Row],[PID]],Table3[[#All],[PID]],0)))</f>
        <v>90-92 Mph</v>
      </c>
      <c r="P490" s="58">
        <f>IF($C490="B",INDEX(Batters[[#All],[K P]],MATCH(Table5[[#This Row],[PID]],Batters[[#All],[PID]],0)),INDEX(Table3[[#All],[STM]],MATCH(Table5[[#This Row],[PID]],Table3[[#All],[PID]],0)))</f>
        <v>6</v>
      </c>
      <c r="Q490" s="63">
        <f>IF($C490="B",INDEX(Batters[[#All],[Tot]],MATCH(Table5[[#This Row],[PID]],Batters[[#All],[PID]],0)),INDEX(Table3[[#All],[Tot]],MATCH(Table5[[#This Row],[PID]],Table3[[#All],[PID]],0)))</f>
        <v>31.083101557812086</v>
      </c>
      <c r="R490" s="54">
        <f>IF($C490="B",INDEX(Batters[[#All],[zScore]],MATCH(Table5[[#This Row],[PID]],Batters[[#All],[PID]],0)),INDEX(Table3[[#All],[zScore]],MATCH(Table5[[#This Row],[PID]],Table3[[#All],[PID]],0)))</f>
        <v>-0.15031699633738813</v>
      </c>
      <c r="S490" s="60" t="str">
        <f>IF($C490="B",INDEX(Batters[[#All],[DEM]],MATCH(Table5[[#This Row],[PID]],Batters[[#All],[PID]],0)),INDEX(Table3[[#All],[DEM]],MATCH(Table5[[#This Row],[PID]],Table3[[#All],[PID]],0)))</f>
        <v>$75k</v>
      </c>
      <c r="T490" s="64">
        <f>IF($C490="B",VLOOKUP($A490,Bat!$A$4:$AU$1417,46,FALSE),VLOOKUP($A490,Pit!$A$4:$BD$570,55,FALSE))</f>
        <v>0</v>
      </c>
      <c r="U490" s="52">
        <f>IF($C490="B",VLOOKUP($A490,Bat!$A$4:$BA$1417,47,FALSE),VLOOKUP($A490,Pit!$A$4:$BF$570,56,FALSE))</f>
        <v>0</v>
      </c>
      <c r="V490" s="52">
        <f>IF($C490="B",VLOOKUP($A490,Bat!$A$4:$BA$1417,48,FALSE),VLOOKUP($A490,Pit!$A$4:$BF$570,57,FALSE))</f>
        <v>0</v>
      </c>
      <c r="W490" s="52">
        <f>Table5[[#This Row],[posRnk]]+Table5[[#This Row],[zRnk]]+IF($W$3&lt;&gt;Table5[[#This Row],[Type]],50,0)</f>
        <v>536</v>
      </c>
      <c r="X490" s="53">
        <f>RANK(Table5[[#This Row],[zScore]],Table5[[#All],[zScore]])</f>
        <v>486</v>
      </c>
      <c r="Y490" s="52" t="str">
        <f>IFERROR(INDEX(DraftResults[[#All],[OVR]],MATCH(Table5[[#This Row],[PID]],DraftResults[[#All],[Player ID]],0)),"")</f>
        <v/>
      </c>
      <c r="Z4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0" s="52" t="str">
        <f>IFERROR(INDEX(DraftResults[[#All],[Pick in Round]],MATCH(Table5[[#This Row],[PID]],DraftResults[[#All],[Player ID]],0)),"")</f>
        <v/>
      </c>
      <c r="AB490" s="52" t="str">
        <f>IFERROR(INDEX(DraftResults[[#All],[Team Name]],MATCH(Table5[[#This Row],[PID]],DraftResults[[#All],[Player ID]],0)),"")</f>
        <v/>
      </c>
      <c r="AC490" s="52" t="str">
        <f>IF(Table5[[#This Row],[Ovr]]="","",IF(Table5[[#This Row],[cmbList]]="","",Table5[[#This Row],[cmbList]]-Table5[[#This Row],[Ovr]]))</f>
        <v/>
      </c>
      <c r="AD490" s="56" t="str">
        <f>IF(ISERROR(VLOOKUP($AB490&amp;"-"&amp;$E490&amp;" "&amp;F490,Bonuses!$B$1:$G$1006,4,FALSE)),"",INT(VLOOKUP($AB490&amp;"-"&amp;$E490&amp;" "&amp;$F490,Bonuses!$B$1:$G$1006,4,FALSE)))</f>
        <v/>
      </c>
      <c r="AE4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1" spans="1:31" s="52" customFormat="1" x14ac:dyDescent="0.25">
      <c r="A491" s="52">
        <v>17601</v>
      </c>
      <c r="B491" s="52">
        <f>COUNTIF(Table5[PID],A491)</f>
        <v>1</v>
      </c>
      <c r="C491" s="52" t="str">
        <f>IF(COUNTIF(Table3[[#All],[PID]],A491)&gt;0,"P","B")</f>
        <v>P</v>
      </c>
      <c r="D491" s="61" t="str">
        <f>IF($C491="B",INDEX(Batters[[#All],[POS]],MATCH(Table5[[#This Row],[PID]],Batters[[#All],[PID]],0)),INDEX(Table3[[#All],[POS]],MATCH(Table5[[#This Row],[PID]],Table3[[#All],[PID]],0)))</f>
        <v>RP</v>
      </c>
      <c r="E491" s="54" t="str">
        <f>IF($C491="B",INDEX(Batters[[#All],[First]],MATCH(Table5[[#This Row],[PID]],Batters[[#All],[PID]],0)),INDEX(Table3[[#All],[First]],MATCH(Table5[[#This Row],[PID]],Table3[[#All],[PID]],0)))</f>
        <v>Paul</v>
      </c>
      <c r="F491" s="52" t="str">
        <f>IF($C491="B",INDEX(Batters[[#All],[Last]],MATCH(A491,Batters[[#All],[PID]],0)),INDEX(Table3[[#All],[Last]],MATCH(A491,Table3[[#All],[PID]],0)))</f>
        <v>Nicholson</v>
      </c>
      <c r="G491" s="58">
        <f>IF($C491="B",INDEX(Batters[[#All],[Age]],MATCH(Table5[[#This Row],[PID]],Batters[[#All],[PID]],0)),INDEX(Table3[[#All],[Age]],MATCH(Table5[[#This Row],[PID]],Table3[[#All],[PID]],0)))</f>
        <v>18</v>
      </c>
      <c r="H491" s="54" t="str">
        <f>IF($C491="B",INDEX(Batters[[#All],[B]],MATCH(Table5[[#This Row],[PID]],Batters[[#All],[PID]],0)),INDEX(Table3[[#All],[B]],MATCH(Table5[[#This Row],[PID]],Table3[[#All],[PID]],0)))</f>
        <v>R</v>
      </c>
      <c r="I491" s="54" t="str">
        <f>IF($C491="B",INDEX(Batters[[#All],[T]],MATCH(Table5[[#This Row],[PID]],Batters[[#All],[PID]],0)),INDEX(Table3[[#All],[T]],MATCH(Table5[[#This Row],[PID]],Table3[[#All],[PID]],0)))</f>
        <v>R</v>
      </c>
      <c r="J491" s="54" t="str">
        <f>IF($C491="B",INDEX(Batters[[#All],[WE]],MATCH(Table5[[#This Row],[PID]],Batters[[#All],[PID]],0)),INDEX(Table3[[#All],[WE]],MATCH(Table5[[#This Row],[PID]],Table3[[#All],[PID]],0)))</f>
        <v>Low</v>
      </c>
      <c r="K491" s="54" t="str">
        <f>IF($C491="B",INDEX(Batters[[#All],[INT]],MATCH(Table5[[#This Row],[PID]],Batters[[#All],[PID]],0)),INDEX(Table3[[#All],[INT]],MATCH(Table5[[#This Row],[PID]],Table3[[#All],[PID]],0)))</f>
        <v>Normal</v>
      </c>
      <c r="L491" s="62">
        <f>IF($C491="B",INDEX(Batters[[#All],[CON P]],MATCH(Table5[[#This Row],[PID]],Batters[[#All],[PID]],0)),INDEX(Table3[[#All],[STU P]],MATCH(Table5[[#This Row],[PID]],Table3[[#All],[PID]],0)))</f>
        <v>4</v>
      </c>
      <c r="M491" s="58">
        <f>IF($C491="B",INDEX(Batters[[#All],[GAP P]],MATCH(Table5[[#This Row],[PID]],Batters[[#All],[PID]],0)),INDEX(Table3[[#All],[MOV P]],MATCH(Table5[[#This Row],[PID]],Table3[[#All],[PID]],0)))</f>
        <v>2</v>
      </c>
      <c r="N491" s="58">
        <f>IF($C491="B",INDEX(Batters[[#All],[POW P]],MATCH(Table5[[#This Row],[PID]],Batters[[#All],[PID]],0)),INDEX(Table3[[#All],[CON P]],MATCH(Table5[[#This Row],[PID]],Table3[[#All],[PID]],0)))</f>
        <v>2</v>
      </c>
      <c r="O491" s="58" t="str">
        <f>IF($C491="B",INDEX(Batters[[#All],[EYE P]],MATCH(Table5[[#This Row],[PID]],Batters[[#All],[PID]],0)),INDEX(Table3[[#All],[VELO]],MATCH(Table5[[#This Row],[PID]],Table3[[#All],[PID]],0)))</f>
        <v>89-91 Mph</v>
      </c>
      <c r="P491" s="58">
        <f>IF($C491="B",INDEX(Batters[[#All],[K P]],MATCH(Table5[[#This Row],[PID]],Batters[[#All],[PID]],0)),INDEX(Table3[[#All],[STM]],MATCH(Table5[[#This Row],[PID]],Table3[[#All],[PID]],0)))</f>
        <v>5</v>
      </c>
      <c r="Q491" s="63">
        <f>IF($C491="B",INDEX(Batters[[#All],[Tot]],MATCH(Table5[[#This Row],[PID]],Batters[[#All],[PID]],0)),INDEX(Table3[[#All],[Tot]],MATCH(Table5[[#This Row],[PID]],Table3[[#All],[PID]],0)))</f>
        <v>31.083101557812086</v>
      </c>
      <c r="R491" s="54">
        <f>IF($C491="B",INDEX(Batters[[#All],[zScore]],MATCH(Table5[[#This Row],[PID]],Batters[[#All],[PID]],0)),INDEX(Table3[[#All],[zScore]],MATCH(Table5[[#This Row],[PID]],Table3[[#All],[PID]],0)))</f>
        <v>-0.15031699633738813</v>
      </c>
      <c r="S491" s="60" t="str">
        <f>IF($C491="B",INDEX(Batters[[#All],[DEM]],MATCH(Table5[[#This Row],[PID]],Batters[[#All],[PID]],0)),INDEX(Table3[[#All],[DEM]],MATCH(Table5[[#This Row],[PID]],Table3[[#All],[PID]],0)))</f>
        <v>$75k</v>
      </c>
      <c r="T491" s="64">
        <f>IF($C491="B",VLOOKUP($A491,Bat!$A$4:$AU$1417,46,FALSE),VLOOKUP($A491,Pit!$A$4:$BD$570,55,FALSE))</f>
        <v>0</v>
      </c>
      <c r="U491" s="52">
        <f>IF($C491="B",VLOOKUP($A491,Bat!$A$4:$BA$1417,47,FALSE),VLOOKUP($A491,Pit!$A$4:$BF$570,56,FALSE))</f>
        <v>0</v>
      </c>
      <c r="V491" s="52">
        <f>IF($C491="B",VLOOKUP($A491,Bat!$A$4:$BA$1417,48,FALSE),VLOOKUP($A491,Pit!$A$4:$BF$570,57,FALSE))</f>
        <v>0</v>
      </c>
      <c r="W491" s="52">
        <f>Table5[[#This Row],[posRnk]]+Table5[[#This Row],[zRnk]]+IF($W$3&lt;&gt;Table5[[#This Row],[Type]],50,0)</f>
        <v>536</v>
      </c>
      <c r="X491" s="53">
        <f>RANK(Table5[[#This Row],[zScore]],Table5[[#All],[zScore]])</f>
        <v>486</v>
      </c>
      <c r="Y491" s="52" t="str">
        <f>IFERROR(INDEX(DraftResults[[#All],[OVR]],MATCH(Table5[[#This Row],[PID]],DraftResults[[#All],[Player ID]],0)),"")</f>
        <v/>
      </c>
      <c r="Z4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1" s="52" t="str">
        <f>IFERROR(INDEX(DraftResults[[#All],[Pick in Round]],MATCH(Table5[[#This Row],[PID]],DraftResults[[#All],[Player ID]],0)),"")</f>
        <v/>
      </c>
      <c r="AB491" s="52" t="str">
        <f>IFERROR(INDEX(DraftResults[[#All],[Team Name]],MATCH(Table5[[#This Row],[PID]],DraftResults[[#All],[Player ID]],0)),"")</f>
        <v/>
      </c>
      <c r="AC491" s="52" t="str">
        <f>IF(Table5[[#This Row],[Ovr]]="","",IF(Table5[[#This Row],[cmbList]]="","",Table5[[#This Row],[cmbList]]-Table5[[#This Row],[Ovr]]))</f>
        <v/>
      </c>
      <c r="AD491" s="56" t="str">
        <f>IF(ISERROR(VLOOKUP($AB491&amp;"-"&amp;$E491&amp;" "&amp;F491,Bonuses!$B$1:$G$1006,4,FALSE)),"",INT(VLOOKUP($AB491&amp;"-"&amp;$E491&amp;" "&amp;$F491,Bonuses!$B$1:$G$1006,4,FALSE)))</f>
        <v/>
      </c>
      <c r="AE4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2" spans="1:31" s="52" customFormat="1" x14ac:dyDescent="0.25">
      <c r="A492" s="52">
        <v>9039</v>
      </c>
      <c r="B492" s="52">
        <f>COUNTIF(Table5[PID],A492)</f>
        <v>1</v>
      </c>
      <c r="C492" s="52" t="str">
        <f>IF(COUNTIF(Table3[[#All],[PID]],A492)&gt;0,"P","B")</f>
        <v>B</v>
      </c>
      <c r="D492" s="61" t="str">
        <f>IF($C492="B",INDEX(Batters[[#All],[POS]],MATCH(Table5[[#This Row],[PID]],Batters[[#All],[PID]],0)),INDEX(Table3[[#All],[POS]],MATCH(Table5[[#This Row],[PID]],Table3[[#All],[PID]],0)))</f>
        <v>LF</v>
      </c>
      <c r="E492" s="54" t="str">
        <f>IF($C492="B",INDEX(Batters[[#All],[First]],MATCH(Table5[[#This Row],[PID]],Batters[[#All],[PID]],0)),INDEX(Table3[[#All],[First]],MATCH(Table5[[#This Row],[PID]],Table3[[#All],[PID]],0)))</f>
        <v>Harry</v>
      </c>
      <c r="F492" s="52" t="str">
        <f>IF($C492="B",INDEX(Batters[[#All],[Last]],MATCH(A492,Batters[[#All],[PID]],0)),INDEX(Table3[[#All],[Last]],MATCH(A492,Table3[[#All],[PID]],0)))</f>
        <v>Jenkins</v>
      </c>
      <c r="G492" s="58">
        <f>IF($C492="B",INDEX(Batters[[#All],[Age]],MATCH(Table5[[#This Row],[PID]],Batters[[#All],[PID]],0)),INDEX(Table3[[#All],[Age]],MATCH(Table5[[#This Row],[PID]],Table3[[#All],[PID]],0)))</f>
        <v>17</v>
      </c>
      <c r="H492" s="54" t="str">
        <f>IF($C492="B",INDEX(Batters[[#All],[B]],MATCH(Table5[[#This Row],[PID]],Batters[[#All],[PID]],0)),INDEX(Table3[[#All],[B]],MATCH(Table5[[#This Row],[PID]],Table3[[#All],[PID]],0)))</f>
        <v>R</v>
      </c>
      <c r="I492" s="54" t="str">
        <f>IF($C492="B",INDEX(Batters[[#All],[T]],MATCH(Table5[[#This Row],[PID]],Batters[[#All],[PID]],0)),INDEX(Table3[[#All],[T]],MATCH(Table5[[#This Row],[PID]],Table3[[#All],[PID]],0)))</f>
        <v>L</v>
      </c>
      <c r="J492" s="54" t="str">
        <f>IF($C492="B",INDEX(Batters[[#All],[WE]],MATCH(Table5[[#This Row],[PID]],Batters[[#All],[PID]],0)),INDEX(Table3[[#All],[WE]],MATCH(Table5[[#This Row],[PID]],Table3[[#All],[PID]],0)))</f>
        <v>High</v>
      </c>
      <c r="K492" s="54" t="str">
        <f>IF($C492="B",INDEX(Batters[[#All],[INT]],MATCH(Table5[[#This Row],[PID]],Batters[[#All],[PID]],0)),INDEX(Table3[[#All],[INT]],MATCH(Table5[[#This Row],[PID]],Table3[[#All],[PID]],0)))</f>
        <v>Normal</v>
      </c>
      <c r="L492" s="62">
        <f>IF($C492="B",INDEX(Batters[[#All],[CON P]],MATCH(Table5[[#This Row],[PID]],Batters[[#All],[PID]],0)),INDEX(Table3[[#All],[STU P]],MATCH(Table5[[#This Row],[PID]],Table3[[#All],[PID]],0)))</f>
        <v>2</v>
      </c>
      <c r="M492" s="58">
        <f>IF($C492="B",INDEX(Batters[[#All],[GAP P]],MATCH(Table5[[#This Row],[PID]],Batters[[#All],[PID]],0)),INDEX(Table3[[#All],[MOV P]],MATCH(Table5[[#This Row],[PID]],Table3[[#All],[PID]],0)))</f>
        <v>3</v>
      </c>
      <c r="N492" s="58">
        <f>IF($C492="B",INDEX(Batters[[#All],[POW P]],MATCH(Table5[[#This Row],[PID]],Batters[[#All],[PID]],0)),INDEX(Table3[[#All],[CON P]],MATCH(Table5[[#This Row],[PID]],Table3[[#All],[PID]],0)))</f>
        <v>5</v>
      </c>
      <c r="O492" s="58">
        <f>IF($C492="B",INDEX(Batters[[#All],[EYE P]],MATCH(Table5[[#This Row],[PID]],Batters[[#All],[PID]],0)),INDEX(Table3[[#All],[VELO]],MATCH(Table5[[#This Row],[PID]],Table3[[#All],[PID]],0)))</f>
        <v>5</v>
      </c>
      <c r="P492" s="58">
        <f>IF($C492="B",INDEX(Batters[[#All],[K P]],MATCH(Table5[[#This Row],[PID]],Batters[[#All],[PID]],0)),INDEX(Table3[[#All],[STM]],MATCH(Table5[[#This Row],[PID]],Table3[[#All],[PID]],0)))</f>
        <v>3</v>
      </c>
      <c r="Q492" s="63">
        <f>IF($C492="B",INDEX(Batters[[#All],[Tot]],MATCH(Table5[[#This Row],[PID]],Batters[[#All],[PID]],0)),INDEX(Table3[[#All],[Tot]],MATCH(Table5[[#This Row],[PID]],Table3[[#All],[PID]],0)))</f>
        <v>39.451337973949741</v>
      </c>
      <c r="R492" s="54">
        <f>IF($C492="B",INDEX(Batters[[#All],[zScore]],MATCH(Table5[[#This Row],[PID]],Batters[[#All],[PID]],0)),INDEX(Table3[[#All],[zScore]],MATCH(Table5[[#This Row],[PID]],Table3[[#All],[PID]],0)))</f>
        <v>-0.15780524502076587</v>
      </c>
      <c r="S492" s="60" t="str">
        <f>IF($C492="B",INDEX(Batters[[#All],[DEM]],MATCH(Table5[[#This Row],[PID]],Batters[[#All],[PID]],0)),INDEX(Table3[[#All],[DEM]],MATCH(Table5[[#This Row],[PID]],Table3[[#All],[PID]],0)))</f>
        <v>$65k</v>
      </c>
      <c r="T492" s="64">
        <f>IF($C492="B",VLOOKUP($A492,Bat!$A$4:$AU$1417,46,FALSE),VLOOKUP($A492,Pit!$A$4:$BD$570,55,FALSE))</f>
        <v>0</v>
      </c>
      <c r="U492" s="52">
        <f>IF($C492="B",VLOOKUP($A492,Bat!$A$4:$BA$1417,47,FALSE),VLOOKUP($A492,Pit!$A$4:$BF$570,56,FALSE))</f>
        <v>0</v>
      </c>
      <c r="V492" s="52">
        <f>IF($C492="B",VLOOKUP($A492,Bat!$A$4:$BA$1417,48,FALSE),VLOOKUP($A492,Pit!$A$4:$BF$570,57,FALSE))</f>
        <v>0</v>
      </c>
      <c r="W492" s="52">
        <f>Table5[[#This Row],[posRnk]]+Table5[[#This Row],[zRnk]]+IF($W$3&lt;&gt;Table5[[#This Row],[Type]],50,0)</f>
        <v>538</v>
      </c>
      <c r="X492" s="53">
        <f>RANK(Table5[[#This Row],[zScore]],Table5[[#All],[zScore]])</f>
        <v>488</v>
      </c>
      <c r="Y492" s="52" t="str">
        <f>IFERROR(INDEX(DraftResults[[#All],[OVR]],MATCH(Table5[[#This Row],[PID]],DraftResults[[#All],[Player ID]],0)),"")</f>
        <v/>
      </c>
      <c r="Z4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2" s="52" t="str">
        <f>IFERROR(INDEX(DraftResults[[#All],[Pick in Round]],MATCH(Table5[[#This Row],[PID]],DraftResults[[#All],[Player ID]],0)),"")</f>
        <v/>
      </c>
      <c r="AB492" s="52" t="str">
        <f>IFERROR(INDEX(DraftResults[[#All],[Team Name]],MATCH(Table5[[#This Row],[PID]],DraftResults[[#All],[Player ID]],0)),"")</f>
        <v/>
      </c>
      <c r="AC492" s="52" t="str">
        <f>IF(Table5[[#This Row],[Ovr]]="","",IF(Table5[[#This Row],[cmbList]]="","",Table5[[#This Row],[cmbList]]-Table5[[#This Row],[Ovr]]))</f>
        <v/>
      </c>
      <c r="AD492" s="56" t="str">
        <f>IF(ISERROR(VLOOKUP($AB492&amp;"-"&amp;$E492&amp;" "&amp;F492,Bonuses!$B$1:$G$1006,4,FALSE)),"",INT(VLOOKUP($AB492&amp;"-"&amp;$E492&amp;" "&amp;$F492,Bonuses!$B$1:$G$1006,4,FALSE)))</f>
        <v/>
      </c>
      <c r="AE4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3" spans="1:31" s="52" customFormat="1" x14ac:dyDescent="0.25">
      <c r="A493" s="52">
        <v>6559</v>
      </c>
      <c r="B493" s="52">
        <f>COUNTIF(Table5[PID],A493)</f>
        <v>1</v>
      </c>
      <c r="C493" s="52" t="str">
        <f>IF(COUNTIF(Table3[[#All],[PID]],A493)&gt;0,"P","B")</f>
        <v>P</v>
      </c>
      <c r="D493" s="61" t="str">
        <f>IF($C493="B",INDEX(Batters[[#All],[POS]],MATCH(Table5[[#This Row],[PID]],Batters[[#All],[PID]],0)),INDEX(Table3[[#All],[POS]],MATCH(Table5[[#This Row],[PID]],Table3[[#All],[PID]],0)))</f>
        <v>RP</v>
      </c>
      <c r="E493" s="54" t="str">
        <f>IF($C493="B",INDEX(Batters[[#All],[First]],MATCH(Table5[[#This Row],[PID]],Batters[[#All],[PID]],0)),INDEX(Table3[[#All],[First]],MATCH(Table5[[#This Row],[PID]],Table3[[#All],[PID]],0)))</f>
        <v>Dennis</v>
      </c>
      <c r="F493" s="52" t="str">
        <f>IF($C493="B",INDEX(Batters[[#All],[Last]],MATCH(A493,Batters[[#All],[PID]],0)),INDEX(Table3[[#All],[Last]],MATCH(A493,Table3[[#All],[PID]],0)))</f>
        <v>Jeoffrey</v>
      </c>
      <c r="G493" s="58">
        <f>IF($C493="B",INDEX(Batters[[#All],[Age]],MATCH(Table5[[#This Row],[PID]],Batters[[#All],[PID]],0)),INDEX(Table3[[#All],[Age]],MATCH(Table5[[#This Row],[PID]],Table3[[#All],[PID]],0)))</f>
        <v>18</v>
      </c>
      <c r="H493" s="54" t="str">
        <f>IF($C493="B",INDEX(Batters[[#All],[B]],MATCH(Table5[[#This Row],[PID]],Batters[[#All],[PID]],0)),INDEX(Table3[[#All],[B]],MATCH(Table5[[#This Row],[PID]],Table3[[#All],[PID]],0)))</f>
        <v>R</v>
      </c>
      <c r="I493" s="54" t="str">
        <f>IF($C493="B",INDEX(Batters[[#All],[T]],MATCH(Table5[[#This Row],[PID]],Batters[[#All],[PID]],0)),INDEX(Table3[[#All],[T]],MATCH(Table5[[#This Row],[PID]],Table3[[#All],[PID]],0)))</f>
        <v>R</v>
      </c>
      <c r="J493" s="54" t="str">
        <f>IF($C493="B",INDEX(Batters[[#All],[WE]],MATCH(Table5[[#This Row],[PID]],Batters[[#All],[PID]],0)),INDEX(Table3[[#All],[WE]],MATCH(Table5[[#This Row],[PID]],Table3[[#All],[PID]],0)))</f>
        <v>Normal</v>
      </c>
      <c r="K493" s="54" t="str">
        <f>IF($C493="B",INDEX(Batters[[#All],[INT]],MATCH(Table5[[#This Row],[PID]],Batters[[#All],[PID]],0)),INDEX(Table3[[#All],[INT]],MATCH(Table5[[#This Row],[PID]],Table3[[#All],[PID]],0)))</f>
        <v>Normal</v>
      </c>
      <c r="L493" s="62">
        <f>IF($C493="B",INDEX(Batters[[#All],[CON P]],MATCH(Table5[[#This Row],[PID]],Batters[[#All],[PID]],0)),INDEX(Table3[[#All],[STU P]],MATCH(Table5[[#This Row],[PID]],Table3[[#All],[PID]],0)))</f>
        <v>4</v>
      </c>
      <c r="M493" s="58">
        <f>IF($C493="B",INDEX(Batters[[#All],[GAP P]],MATCH(Table5[[#This Row],[PID]],Batters[[#All],[PID]],0)),INDEX(Table3[[#All],[MOV P]],MATCH(Table5[[#This Row],[PID]],Table3[[#All],[PID]],0)))</f>
        <v>2</v>
      </c>
      <c r="N493" s="58">
        <f>IF($C493="B",INDEX(Batters[[#All],[POW P]],MATCH(Table5[[#This Row],[PID]],Batters[[#All],[PID]],0)),INDEX(Table3[[#All],[CON P]],MATCH(Table5[[#This Row],[PID]],Table3[[#All],[PID]],0)))</f>
        <v>2</v>
      </c>
      <c r="O493" s="58" t="str">
        <f>IF($C493="B",INDEX(Batters[[#All],[EYE P]],MATCH(Table5[[#This Row],[PID]],Batters[[#All],[PID]],0)),INDEX(Table3[[#All],[VELO]],MATCH(Table5[[#This Row],[PID]],Table3[[#All],[PID]],0)))</f>
        <v>86-88 Mph</v>
      </c>
      <c r="P493" s="58">
        <f>IF($C493="B",INDEX(Batters[[#All],[K P]],MATCH(Table5[[#This Row],[PID]],Batters[[#All],[PID]],0)),INDEX(Table3[[#All],[STM]],MATCH(Table5[[#This Row],[PID]],Table3[[#All],[PID]],0)))</f>
        <v>6</v>
      </c>
      <c r="Q493" s="63">
        <f>IF($C493="B",INDEX(Batters[[#All],[Tot]],MATCH(Table5[[#This Row],[PID]],Batters[[#All],[PID]],0)),INDEX(Table3[[#All],[Tot]],MATCH(Table5[[#This Row],[PID]],Table3[[#All],[PID]],0)))</f>
        <v>30.988504912056161</v>
      </c>
      <c r="R493" s="54">
        <f>IF($C493="B",INDEX(Batters[[#All],[zScore]],MATCH(Table5[[#This Row],[PID]],Batters[[#All],[PID]],0)),INDEX(Table3[[#All],[zScore]],MATCH(Table5[[#This Row],[PID]],Table3[[#All],[PID]],0)))</f>
        <v>-0.15899191306776789</v>
      </c>
      <c r="S493" s="60" t="str">
        <f>IF($C493="B",INDEX(Batters[[#All],[DEM]],MATCH(Table5[[#This Row],[PID]],Batters[[#All],[PID]],0)),INDEX(Table3[[#All],[DEM]],MATCH(Table5[[#This Row],[PID]],Table3[[#All],[PID]],0)))</f>
        <v>$75k</v>
      </c>
      <c r="T493" s="64">
        <f>IF($C493="B",VLOOKUP($A493,Bat!$A$4:$AU$1417,46,FALSE),VLOOKUP($A493,Pit!$A$4:$BD$570,55,FALSE))</f>
        <v>0</v>
      </c>
      <c r="U493" s="52">
        <f>IF($C493="B",VLOOKUP($A493,Bat!$A$4:$BA$1417,47,FALSE),VLOOKUP($A493,Pit!$A$4:$BF$570,56,FALSE))</f>
        <v>0</v>
      </c>
      <c r="V493" s="52">
        <f>IF($C493="B",VLOOKUP($A493,Bat!$A$4:$BA$1417,48,FALSE),VLOOKUP($A493,Pit!$A$4:$BF$570,57,FALSE))</f>
        <v>0</v>
      </c>
      <c r="W493" s="52">
        <f>Table5[[#This Row],[posRnk]]+Table5[[#This Row],[zRnk]]+IF($W$3&lt;&gt;Table5[[#This Row],[Type]],50,0)</f>
        <v>539</v>
      </c>
      <c r="X493" s="53">
        <f>RANK(Table5[[#This Row],[zScore]],Table5[[#All],[zScore]])</f>
        <v>489</v>
      </c>
      <c r="Y493" s="52" t="str">
        <f>IFERROR(INDEX(DraftResults[[#All],[OVR]],MATCH(Table5[[#This Row],[PID]],DraftResults[[#All],[Player ID]],0)),"")</f>
        <v/>
      </c>
      <c r="Z4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3" s="52" t="str">
        <f>IFERROR(INDEX(DraftResults[[#All],[Pick in Round]],MATCH(Table5[[#This Row],[PID]],DraftResults[[#All],[Player ID]],0)),"")</f>
        <v/>
      </c>
      <c r="AB493" s="52" t="str">
        <f>IFERROR(INDEX(DraftResults[[#All],[Team Name]],MATCH(Table5[[#This Row],[PID]],DraftResults[[#All],[Player ID]],0)),"")</f>
        <v/>
      </c>
      <c r="AC493" s="52" t="str">
        <f>IF(Table5[[#This Row],[Ovr]]="","",IF(Table5[[#This Row],[cmbList]]="","",Table5[[#This Row],[cmbList]]-Table5[[#This Row],[Ovr]]))</f>
        <v/>
      </c>
      <c r="AD493" s="56" t="str">
        <f>IF(ISERROR(VLOOKUP($AB493&amp;"-"&amp;$E493&amp;" "&amp;F493,Bonuses!$B$1:$G$1006,4,FALSE)),"",INT(VLOOKUP($AB493&amp;"-"&amp;$E493&amp;" "&amp;$F493,Bonuses!$B$1:$G$1006,4,FALSE)))</f>
        <v/>
      </c>
      <c r="AE4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4" spans="1:31" s="52" customFormat="1" x14ac:dyDescent="0.25">
      <c r="A494" s="52">
        <v>9184</v>
      </c>
      <c r="B494" s="52">
        <f>COUNTIF(Table5[PID],A494)</f>
        <v>1</v>
      </c>
      <c r="C494" s="52" t="str">
        <f>IF(COUNTIF(Table3[[#All],[PID]],A494)&gt;0,"P","B")</f>
        <v>P</v>
      </c>
      <c r="D494" s="61" t="str">
        <f>IF($C494="B",INDEX(Batters[[#All],[POS]],MATCH(Table5[[#This Row],[PID]],Batters[[#All],[PID]],0)),INDEX(Table3[[#All],[POS]],MATCH(Table5[[#This Row],[PID]],Table3[[#All],[PID]],0)))</f>
        <v>CL</v>
      </c>
      <c r="E494" s="54" t="str">
        <f>IF($C494="B",INDEX(Batters[[#All],[First]],MATCH(Table5[[#This Row],[PID]],Batters[[#All],[PID]],0)),INDEX(Table3[[#All],[First]],MATCH(Table5[[#This Row],[PID]],Table3[[#All],[PID]],0)))</f>
        <v>Bob</v>
      </c>
      <c r="F494" s="52" t="str">
        <f>IF($C494="B",INDEX(Batters[[#All],[Last]],MATCH(A494,Batters[[#All],[PID]],0)),INDEX(Table3[[#All],[Last]],MATCH(A494,Table3[[#All],[PID]],0)))</f>
        <v>Romero</v>
      </c>
      <c r="G494" s="58">
        <f>IF($C494="B",INDEX(Batters[[#All],[Age]],MATCH(Table5[[#This Row],[PID]],Batters[[#All],[PID]],0)),INDEX(Table3[[#All],[Age]],MATCH(Table5[[#This Row],[PID]],Table3[[#All],[PID]],0)))</f>
        <v>18</v>
      </c>
      <c r="H494" s="54" t="str">
        <f>IF($C494="B",INDEX(Batters[[#All],[B]],MATCH(Table5[[#This Row],[PID]],Batters[[#All],[PID]],0)),INDEX(Table3[[#All],[B]],MATCH(Table5[[#This Row],[PID]],Table3[[#All],[PID]],0)))</f>
        <v>S</v>
      </c>
      <c r="I494" s="54" t="str">
        <f>IF($C494="B",INDEX(Batters[[#All],[T]],MATCH(Table5[[#This Row],[PID]],Batters[[#All],[PID]],0)),INDEX(Table3[[#All],[T]],MATCH(Table5[[#This Row],[PID]],Table3[[#All],[PID]],0)))</f>
        <v>R</v>
      </c>
      <c r="J494" s="54" t="str">
        <f>IF($C494="B",INDEX(Batters[[#All],[WE]],MATCH(Table5[[#This Row],[PID]],Batters[[#All],[PID]],0)),INDEX(Table3[[#All],[WE]],MATCH(Table5[[#This Row],[PID]],Table3[[#All],[PID]],0)))</f>
        <v>Low</v>
      </c>
      <c r="K494" s="54" t="str">
        <f>IF($C494="B",INDEX(Batters[[#All],[INT]],MATCH(Table5[[#This Row],[PID]],Batters[[#All],[PID]],0)),INDEX(Table3[[#All],[INT]],MATCH(Table5[[#This Row],[PID]],Table3[[#All],[PID]],0)))</f>
        <v>Normal</v>
      </c>
      <c r="L494" s="62">
        <f>IF($C494="B",INDEX(Batters[[#All],[CON P]],MATCH(Table5[[#This Row],[PID]],Batters[[#All],[PID]],0)),INDEX(Table3[[#All],[STU P]],MATCH(Table5[[#This Row],[PID]],Table3[[#All],[PID]],0)))</f>
        <v>4</v>
      </c>
      <c r="M494" s="58">
        <f>IF($C494="B",INDEX(Batters[[#All],[GAP P]],MATCH(Table5[[#This Row],[PID]],Batters[[#All],[PID]],0)),INDEX(Table3[[#All],[MOV P]],MATCH(Table5[[#This Row],[PID]],Table3[[#All],[PID]],0)))</f>
        <v>2</v>
      </c>
      <c r="N494" s="58">
        <f>IF($C494="B",INDEX(Batters[[#All],[POW P]],MATCH(Table5[[#This Row],[PID]],Batters[[#All],[PID]],0)),INDEX(Table3[[#All],[CON P]],MATCH(Table5[[#This Row],[PID]],Table3[[#All],[PID]],0)))</f>
        <v>2</v>
      </c>
      <c r="O494" s="58" t="str">
        <f>IF($C494="B",INDEX(Batters[[#All],[EYE P]],MATCH(Table5[[#This Row],[PID]],Batters[[#All],[PID]],0)),INDEX(Table3[[#All],[VELO]],MATCH(Table5[[#This Row],[PID]],Table3[[#All],[PID]],0)))</f>
        <v>85-87 Mph</v>
      </c>
      <c r="P494" s="58">
        <f>IF($C494="B",INDEX(Batters[[#All],[K P]],MATCH(Table5[[#This Row],[PID]],Batters[[#All],[PID]],0)),INDEX(Table3[[#All],[STM]],MATCH(Table5[[#This Row],[PID]],Table3[[#All],[PID]],0)))</f>
        <v>6</v>
      </c>
      <c r="Q494" s="63">
        <f>IF($C494="B",INDEX(Batters[[#All],[Tot]],MATCH(Table5[[#This Row],[PID]],Batters[[#All],[PID]],0)),INDEX(Table3[[#All],[Tot]],MATCH(Table5[[#This Row],[PID]],Table3[[#All],[PID]],0)))</f>
        <v>30.920067412056163</v>
      </c>
      <c r="R494" s="54">
        <f>IF($C494="B",INDEX(Batters[[#All],[zScore]],MATCH(Table5[[#This Row],[PID]],Batters[[#All],[PID]],0)),INDEX(Table3[[#All],[zScore]],MATCH(Table5[[#This Row],[PID]],Table3[[#All],[PID]],0)))</f>
        <v>-0.16526792432579038</v>
      </c>
      <c r="S494" s="60" t="str">
        <f>IF($C494="B",INDEX(Batters[[#All],[DEM]],MATCH(Table5[[#This Row],[PID]],Batters[[#All],[PID]],0)),INDEX(Table3[[#All],[DEM]],MATCH(Table5[[#This Row],[PID]],Table3[[#All],[PID]],0)))</f>
        <v>$65k</v>
      </c>
      <c r="T494" s="64">
        <f>IF($C494="B",VLOOKUP($A494,Bat!$A$4:$AU$1417,46,FALSE),VLOOKUP($A494,Pit!$A$4:$BD$570,55,FALSE))</f>
        <v>0</v>
      </c>
      <c r="U494" s="52">
        <f>IF($C494="B",VLOOKUP($A494,Bat!$A$4:$BA$1417,47,FALSE),VLOOKUP($A494,Pit!$A$4:$BF$570,56,FALSE))</f>
        <v>0</v>
      </c>
      <c r="V494" s="52">
        <f>IF($C494="B",VLOOKUP($A494,Bat!$A$4:$BA$1417,48,FALSE),VLOOKUP($A494,Pit!$A$4:$BF$570,57,FALSE))</f>
        <v>0</v>
      </c>
      <c r="W494" s="52">
        <f>Table5[[#This Row],[posRnk]]+Table5[[#This Row],[zRnk]]+IF($W$3&lt;&gt;Table5[[#This Row],[Type]],50,0)</f>
        <v>540</v>
      </c>
      <c r="X494" s="53">
        <f>RANK(Table5[[#This Row],[zScore]],Table5[[#All],[zScore]])</f>
        <v>490</v>
      </c>
      <c r="Y494" s="52" t="str">
        <f>IFERROR(INDEX(DraftResults[[#All],[OVR]],MATCH(Table5[[#This Row],[PID]],DraftResults[[#All],[Player ID]],0)),"")</f>
        <v/>
      </c>
      <c r="Z4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4" s="52" t="str">
        <f>IFERROR(INDEX(DraftResults[[#All],[Pick in Round]],MATCH(Table5[[#This Row],[PID]],DraftResults[[#All],[Player ID]],0)),"")</f>
        <v/>
      </c>
      <c r="AB494" s="52" t="str">
        <f>IFERROR(INDEX(DraftResults[[#All],[Team Name]],MATCH(Table5[[#This Row],[PID]],DraftResults[[#All],[Player ID]],0)),"")</f>
        <v/>
      </c>
      <c r="AC494" s="52" t="str">
        <f>IF(Table5[[#This Row],[Ovr]]="","",IF(Table5[[#This Row],[cmbList]]="","",Table5[[#This Row],[cmbList]]-Table5[[#This Row],[Ovr]]))</f>
        <v/>
      </c>
      <c r="AD494" s="56" t="str">
        <f>IF(ISERROR(VLOOKUP($AB494&amp;"-"&amp;$E494&amp;" "&amp;F494,Bonuses!$B$1:$G$1006,4,FALSE)),"",INT(VLOOKUP($AB494&amp;"-"&amp;$E494&amp;" "&amp;$F494,Bonuses!$B$1:$G$1006,4,FALSE)))</f>
        <v/>
      </c>
      <c r="AE4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5" spans="1:31" s="52" customFormat="1" x14ac:dyDescent="0.25">
      <c r="A495" s="52">
        <v>6740</v>
      </c>
      <c r="B495" s="52">
        <f>COUNTIF(Table5[PID],A495)</f>
        <v>1</v>
      </c>
      <c r="C495" s="52" t="str">
        <f>IF(COUNTIF(Table3[[#All],[PID]],A495)&gt;0,"P","B")</f>
        <v>B</v>
      </c>
      <c r="D495" s="61" t="str">
        <f>IF($C495="B",INDEX(Batters[[#All],[POS]],MATCH(Table5[[#This Row],[PID]],Batters[[#All],[PID]],0)),INDEX(Table3[[#All],[POS]],MATCH(Table5[[#This Row],[PID]],Table3[[#All],[PID]],0)))</f>
        <v>C</v>
      </c>
      <c r="E495" s="54" t="str">
        <f>IF($C495="B",INDEX(Batters[[#All],[First]],MATCH(Table5[[#This Row],[PID]],Batters[[#All],[PID]],0)),INDEX(Table3[[#All],[First]],MATCH(Table5[[#This Row],[PID]],Table3[[#All],[PID]],0)))</f>
        <v>Kosaku</v>
      </c>
      <c r="F495" s="52" t="str">
        <f>IF($C495="B",INDEX(Batters[[#All],[Last]],MATCH(A495,Batters[[#All],[PID]],0)),INDEX(Table3[[#All],[Last]],MATCH(A495,Table3[[#All],[PID]],0)))</f>
        <v>Tanaka</v>
      </c>
      <c r="G495" s="58">
        <f>IF($C495="B",INDEX(Batters[[#All],[Age]],MATCH(Table5[[#This Row],[PID]],Batters[[#All],[PID]],0)),INDEX(Table3[[#All],[Age]],MATCH(Table5[[#This Row],[PID]],Table3[[#All],[PID]],0)))</f>
        <v>21</v>
      </c>
      <c r="H495" s="54" t="str">
        <f>IF($C495="B",INDEX(Batters[[#All],[B]],MATCH(Table5[[#This Row],[PID]],Batters[[#All],[PID]],0)),INDEX(Table3[[#All],[B]],MATCH(Table5[[#This Row],[PID]],Table3[[#All],[PID]],0)))</f>
        <v>R</v>
      </c>
      <c r="I495" s="54" t="str">
        <f>IF($C495="B",INDEX(Batters[[#All],[T]],MATCH(Table5[[#This Row],[PID]],Batters[[#All],[PID]],0)),INDEX(Table3[[#All],[T]],MATCH(Table5[[#This Row],[PID]],Table3[[#All],[PID]],0)))</f>
        <v>R</v>
      </c>
      <c r="J495" s="54" t="str">
        <f>IF($C495="B",INDEX(Batters[[#All],[WE]],MATCH(Table5[[#This Row],[PID]],Batters[[#All],[PID]],0)),INDEX(Table3[[#All],[WE]],MATCH(Table5[[#This Row],[PID]],Table3[[#All],[PID]],0)))</f>
        <v>Normal</v>
      </c>
      <c r="K495" s="54" t="str">
        <f>IF($C495="B",INDEX(Batters[[#All],[INT]],MATCH(Table5[[#This Row],[PID]],Batters[[#All],[PID]],0)),INDEX(Table3[[#All],[INT]],MATCH(Table5[[#This Row],[PID]],Table3[[#All],[PID]],0)))</f>
        <v>Normal</v>
      </c>
      <c r="L495" s="62">
        <f>IF($C495="B",INDEX(Batters[[#All],[CON P]],MATCH(Table5[[#This Row],[PID]],Batters[[#All],[PID]],0)),INDEX(Table3[[#All],[STU P]],MATCH(Table5[[#This Row],[PID]],Table3[[#All],[PID]],0)))</f>
        <v>3</v>
      </c>
      <c r="M495" s="58">
        <f>IF($C495="B",INDEX(Batters[[#All],[GAP P]],MATCH(Table5[[#This Row],[PID]],Batters[[#All],[PID]],0)),INDEX(Table3[[#All],[MOV P]],MATCH(Table5[[#This Row],[PID]],Table3[[#All],[PID]],0)))</f>
        <v>5</v>
      </c>
      <c r="N495" s="58">
        <f>IF($C495="B",INDEX(Batters[[#All],[POW P]],MATCH(Table5[[#This Row],[PID]],Batters[[#All],[PID]],0)),INDEX(Table3[[#All],[CON P]],MATCH(Table5[[#This Row],[PID]],Table3[[#All],[PID]],0)))</f>
        <v>3</v>
      </c>
      <c r="O495" s="58">
        <f>IF($C495="B",INDEX(Batters[[#All],[EYE P]],MATCH(Table5[[#This Row],[PID]],Batters[[#All],[PID]],0)),INDEX(Table3[[#All],[VELO]],MATCH(Table5[[#This Row],[PID]],Table3[[#All],[PID]],0)))</f>
        <v>6</v>
      </c>
      <c r="P495" s="58">
        <f>IF($C495="B",INDEX(Batters[[#All],[K P]],MATCH(Table5[[#This Row],[PID]],Batters[[#All],[PID]],0)),INDEX(Table3[[#All],[STM]],MATCH(Table5[[#This Row],[PID]],Table3[[#All],[PID]],0)))</f>
        <v>3</v>
      </c>
      <c r="Q495" s="63">
        <f>IF($C495="B",INDEX(Batters[[#All],[Tot]],MATCH(Table5[[#This Row],[PID]],Batters[[#All],[PID]],0)),INDEX(Table3[[#All],[Tot]],MATCH(Table5[[#This Row],[PID]],Table3[[#All],[PID]],0)))</f>
        <v>39.408170436721335</v>
      </c>
      <c r="R495" s="54">
        <f>IF($C495="B",INDEX(Batters[[#All],[zScore]],MATCH(Table5[[#This Row],[PID]],Batters[[#All],[PID]],0)),INDEX(Table3[[#All],[zScore]],MATCH(Table5[[#This Row],[PID]],Table3[[#All],[PID]],0)))</f>
        <v>-0.16540028629155545</v>
      </c>
      <c r="S495" s="60" t="str">
        <f>IF($C495="B",INDEX(Batters[[#All],[DEM]],MATCH(Table5[[#This Row],[PID]],Batters[[#All],[PID]],0)),INDEX(Table3[[#All],[DEM]],MATCH(Table5[[#This Row],[PID]],Table3[[#All],[PID]],0)))</f>
        <v>-</v>
      </c>
      <c r="T495" s="64">
        <f>IF($C495="B",VLOOKUP($A495,Bat!$A$4:$AU$1417,46,FALSE),VLOOKUP($A495,Pit!$A$4:$BD$570,55,FALSE))</f>
        <v>0</v>
      </c>
      <c r="U495" s="52">
        <f>IF($C495="B",VLOOKUP($A495,Bat!$A$4:$BA$1417,47,FALSE),VLOOKUP($A495,Pit!$A$4:$BF$570,56,FALSE))</f>
        <v>0</v>
      </c>
      <c r="V495" s="52">
        <f>IF($C495="B",VLOOKUP($A495,Bat!$A$4:$BA$1417,48,FALSE),VLOOKUP($A495,Pit!$A$4:$BF$570,57,FALSE))</f>
        <v>0</v>
      </c>
      <c r="W495" s="52">
        <f>Table5[[#This Row],[posRnk]]+Table5[[#This Row],[zRnk]]+IF($W$3&lt;&gt;Table5[[#This Row],[Type]],50,0)</f>
        <v>541</v>
      </c>
      <c r="X495" s="53">
        <f>RANK(Table5[[#This Row],[zScore]],Table5[[#All],[zScore]])</f>
        <v>491</v>
      </c>
      <c r="Y495" s="52" t="str">
        <f>IFERROR(INDEX(DraftResults[[#All],[OVR]],MATCH(Table5[[#This Row],[PID]],DraftResults[[#All],[Player ID]],0)),"")</f>
        <v/>
      </c>
      <c r="Z4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5" s="52" t="str">
        <f>IFERROR(INDEX(DraftResults[[#All],[Pick in Round]],MATCH(Table5[[#This Row],[PID]],DraftResults[[#All],[Player ID]],0)),"")</f>
        <v/>
      </c>
      <c r="AB495" s="52" t="str">
        <f>IFERROR(INDEX(DraftResults[[#All],[Team Name]],MATCH(Table5[[#This Row],[PID]],DraftResults[[#All],[Player ID]],0)),"")</f>
        <v/>
      </c>
      <c r="AC495" s="52" t="str">
        <f>IF(Table5[[#This Row],[Ovr]]="","",IF(Table5[[#This Row],[cmbList]]="","",Table5[[#This Row],[cmbList]]-Table5[[#This Row],[Ovr]]))</f>
        <v/>
      </c>
      <c r="AD495" s="56" t="str">
        <f>IF(ISERROR(VLOOKUP($AB495&amp;"-"&amp;$E495&amp;" "&amp;F495,Bonuses!$B$1:$G$1006,4,FALSE)),"",INT(VLOOKUP($AB495&amp;"-"&amp;$E495&amp;" "&amp;$F495,Bonuses!$B$1:$G$1006,4,FALSE)))</f>
        <v/>
      </c>
      <c r="AE4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6" spans="1:31" s="52" customFormat="1" x14ac:dyDescent="0.25">
      <c r="A496" s="52">
        <v>17878</v>
      </c>
      <c r="B496" s="52">
        <f>COUNTIF(Table5[PID],A496)</f>
        <v>1</v>
      </c>
      <c r="C496" s="52" t="str">
        <f>IF(COUNTIF(Table3[[#All],[PID]],A496)&gt;0,"P","B")</f>
        <v>P</v>
      </c>
      <c r="D496" s="61" t="str">
        <f>IF($C496="B",INDEX(Batters[[#All],[POS]],MATCH(Table5[[#This Row],[PID]],Batters[[#All],[PID]],0)),INDEX(Table3[[#All],[POS]],MATCH(Table5[[#This Row],[PID]],Table3[[#All],[PID]],0)))</f>
        <v>SP</v>
      </c>
      <c r="E496" s="54" t="str">
        <f>IF($C496="B",INDEX(Batters[[#All],[First]],MATCH(Table5[[#This Row],[PID]],Batters[[#All],[PID]],0)),INDEX(Table3[[#All],[First]],MATCH(Table5[[#This Row],[PID]],Table3[[#All],[PID]],0)))</f>
        <v>Yoshihiro</v>
      </c>
      <c r="F496" s="52" t="str">
        <f>IF($C496="B",INDEX(Batters[[#All],[Last]],MATCH(A496,Batters[[#All],[PID]],0)),INDEX(Table3[[#All],[Last]],MATCH(A496,Table3[[#All],[PID]],0)))</f>
        <v>Samurakami</v>
      </c>
      <c r="G496" s="58">
        <f>IF($C496="B",INDEX(Batters[[#All],[Age]],MATCH(Table5[[#This Row],[PID]],Batters[[#All],[PID]],0)),INDEX(Table3[[#All],[Age]],MATCH(Table5[[#This Row],[PID]],Table3[[#All],[PID]],0)))</f>
        <v>18</v>
      </c>
      <c r="H496" s="54" t="str">
        <f>IF($C496="B",INDEX(Batters[[#All],[B]],MATCH(Table5[[#This Row],[PID]],Batters[[#All],[PID]],0)),INDEX(Table3[[#All],[B]],MATCH(Table5[[#This Row],[PID]],Table3[[#All],[PID]],0)))</f>
        <v>L</v>
      </c>
      <c r="I496" s="54" t="str">
        <f>IF($C496="B",INDEX(Batters[[#All],[T]],MATCH(Table5[[#This Row],[PID]],Batters[[#All],[PID]],0)),INDEX(Table3[[#All],[T]],MATCH(Table5[[#This Row],[PID]],Table3[[#All],[PID]],0)))</f>
        <v>L</v>
      </c>
      <c r="J496" s="54" t="str">
        <f>IF($C496="B",INDEX(Batters[[#All],[WE]],MATCH(Table5[[#This Row],[PID]],Batters[[#All],[PID]],0)),INDEX(Table3[[#All],[WE]],MATCH(Table5[[#This Row],[PID]],Table3[[#All],[PID]],0)))</f>
        <v>Low</v>
      </c>
      <c r="K496" s="54" t="str">
        <f>IF($C496="B",INDEX(Batters[[#All],[INT]],MATCH(Table5[[#This Row],[PID]],Batters[[#All],[PID]],0)),INDEX(Table3[[#All],[INT]],MATCH(Table5[[#This Row],[PID]],Table3[[#All],[PID]],0)))</f>
        <v>Normal</v>
      </c>
      <c r="L496" s="62">
        <f>IF($C496="B",INDEX(Batters[[#All],[CON P]],MATCH(Table5[[#This Row],[PID]],Batters[[#All],[PID]],0)),INDEX(Table3[[#All],[STU P]],MATCH(Table5[[#This Row],[PID]],Table3[[#All],[PID]],0)))</f>
        <v>4</v>
      </c>
      <c r="M496" s="58">
        <f>IF($C496="B",INDEX(Batters[[#All],[GAP P]],MATCH(Table5[[#This Row],[PID]],Batters[[#All],[PID]],0)),INDEX(Table3[[#All],[MOV P]],MATCH(Table5[[#This Row],[PID]],Table3[[#All],[PID]],0)))</f>
        <v>2</v>
      </c>
      <c r="N496" s="58">
        <f>IF($C496="B",INDEX(Batters[[#All],[POW P]],MATCH(Table5[[#This Row],[PID]],Batters[[#All],[PID]],0)),INDEX(Table3[[#All],[CON P]],MATCH(Table5[[#This Row],[PID]],Table3[[#All],[PID]],0)))</f>
        <v>2</v>
      </c>
      <c r="O496" s="58" t="str">
        <f>IF($C496="B",INDEX(Batters[[#All],[EYE P]],MATCH(Table5[[#This Row],[PID]],Batters[[#All],[PID]],0)),INDEX(Table3[[#All],[VELO]],MATCH(Table5[[#This Row],[PID]],Table3[[#All],[PID]],0)))</f>
        <v>87-89 Mph</v>
      </c>
      <c r="P496" s="58">
        <f>IF($C496="B",INDEX(Batters[[#All],[K P]],MATCH(Table5[[#This Row],[PID]],Batters[[#All],[PID]],0)),INDEX(Table3[[#All],[STM]],MATCH(Table5[[#This Row],[PID]],Table3[[#All],[PID]],0)))</f>
        <v>5</v>
      </c>
      <c r="Q496" s="63">
        <f>IF($C496="B",INDEX(Batters[[#All],[Tot]],MATCH(Table5[[#This Row],[PID]],Batters[[#All],[PID]],0)),INDEX(Table3[[#All],[Tot]],MATCH(Table5[[#This Row],[PID]],Table3[[#All],[PID]],0)))</f>
        <v>30.895136749532796</v>
      </c>
      <c r="R496" s="54">
        <f>IF($C496="B",INDEX(Batters[[#All],[zScore]],MATCH(Table5[[#This Row],[PID]],Batters[[#All],[PID]],0)),INDEX(Table3[[#All],[zScore]],MATCH(Table5[[#This Row],[PID]],Table3[[#All],[PID]],0)))</f>
        <v>-0.16755417263507424</v>
      </c>
      <c r="S496" s="60" t="str">
        <f>IF($C496="B",INDEX(Batters[[#All],[DEM]],MATCH(Table5[[#This Row],[PID]],Batters[[#All],[PID]],0)),INDEX(Table3[[#All],[DEM]],MATCH(Table5[[#This Row],[PID]],Table3[[#All],[PID]],0)))</f>
        <v>$90k</v>
      </c>
      <c r="T496" s="64">
        <f>IF($C496="B",VLOOKUP($A496,Bat!$A$4:$AU$1417,46,FALSE),VLOOKUP($A496,Pit!$A$4:$BD$570,55,FALSE))</f>
        <v>0</v>
      </c>
      <c r="U496" s="52">
        <f>IF($C496="B",VLOOKUP($A496,Bat!$A$4:$BA$1417,47,FALSE),VLOOKUP($A496,Pit!$A$4:$BF$570,56,FALSE))</f>
        <v>0</v>
      </c>
      <c r="V496" s="52">
        <f>IF($C496="B",VLOOKUP($A496,Bat!$A$4:$BA$1417,48,FALSE),VLOOKUP($A496,Pit!$A$4:$BF$570,57,FALSE))</f>
        <v>0</v>
      </c>
      <c r="W496" s="52">
        <f>Table5[[#This Row],[posRnk]]+Table5[[#This Row],[zRnk]]+IF($W$3&lt;&gt;Table5[[#This Row],[Type]],50,0)</f>
        <v>542</v>
      </c>
      <c r="X496" s="53">
        <f>RANK(Table5[[#This Row],[zScore]],Table5[[#All],[zScore]])</f>
        <v>492</v>
      </c>
      <c r="Y496" s="52" t="str">
        <f>IFERROR(INDEX(DraftResults[[#All],[OVR]],MATCH(Table5[[#This Row],[PID]],DraftResults[[#All],[Player ID]],0)),"")</f>
        <v/>
      </c>
      <c r="Z4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6" s="52" t="str">
        <f>IFERROR(INDEX(DraftResults[[#All],[Pick in Round]],MATCH(Table5[[#This Row],[PID]],DraftResults[[#All],[Player ID]],0)),"")</f>
        <v/>
      </c>
      <c r="AB496" s="52" t="str">
        <f>IFERROR(INDEX(DraftResults[[#All],[Team Name]],MATCH(Table5[[#This Row],[PID]],DraftResults[[#All],[Player ID]],0)),"")</f>
        <v/>
      </c>
      <c r="AC496" s="52" t="str">
        <f>IF(Table5[[#This Row],[Ovr]]="","",IF(Table5[[#This Row],[cmbList]]="","",Table5[[#This Row],[cmbList]]-Table5[[#This Row],[Ovr]]))</f>
        <v/>
      </c>
      <c r="AD496" s="56" t="str">
        <f>IF(ISERROR(VLOOKUP($AB496&amp;"-"&amp;$E496&amp;" "&amp;F496,Bonuses!$B$1:$G$1006,4,FALSE)),"",INT(VLOOKUP($AB496&amp;"-"&amp;$E496&amp;" "&amp;$F496,Bonuses!$B$1:$G$1006,4,FALSE)))</f>
        <v/>
      </c>
      <c r="AE4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7" spans="1:31" s="52" customFormat="1" x14ac:dyDescent="0.25">
      <c r="A497" s="52">
        <v>8575</v>
      </c>
      <c r="B497" s="52">
        <f>COUNTIF(Table5[PID],A497)</f>
        <v>1</v>
      </c>
      <c r="C497" s="52" t="str">
        <f>IF(COUNTIF(Table3[[#All],[PID]],A497)&gt;0,"P","B")</f>
        <v>B</v>
      </c>
      <c r="D497" s="61" t="str">
        <f>IF($C497="B",INDEX(Batters[[#All],[POS]],MATCH(Table5[[#This Row],[PID]],Batters[[#All],[PID]],0)),INDEX(Table3[[#All],[POS]],MATCH(Table5[[#This Row],[PID]],Table3[[#All],[PID]],0)))</f>
        <v>1B</v>
      </c>
      <c r="E497" s="54" t="str">
        <f>IF($C497="B",INDEX(Batters[[#All],[First]],MATCH(Table5[[#This Row],[PID]],Batters[[#All],[PID]],0)),INDEX(Table3[[#All],[First]],MATCH(Table5[[#This Row],[PID]],Table3[[#All],[PID]],0)))</f>
        <v>Sergio</v>
      </c>
      <c r="F497" s="52" t="str">
        <f>IF($C497="B",INDEX(Batters[[#All],[Last]],MATCH(A497,Batters[[#All],[PID]],0)),INDEX(Table3[[#All],[Last]],MATCH(A497,Table3[[#All],[PID]],0)))</f>
        <v>Alarcon</v>
      </c>
      <c r="G497" s="58">
        <f>IF($C497="B",INDEX(Batters[[#All],[Age]],MATCH(Table5[[#This Row],[PID]],Batters[[#All],[PID]],0)),INDEX(Table3[[#All],[Age]],MATCH(Table5[[#This Row],[PID]],Table3[[#All],[PID]],0)))</f>
        <v>18</v>
      </c>
      <c r="H497" s="54" t="str">
        <f>IF($C497="B",INDEX(Batters[[#All],[B]],MATCH(Table5[[#This Row],[PID]],Batters[[#All],[PID]],0)),INDEX(Table3[[#All],[B]],MATCH(Table5[[#This Row],[PID]],Table3[[#All],[PID]],0)))</f>
        <v>R</v>
      </c>
      <c r="I497" s="54" t="str">
        <f>IF($C497="B",INDEX(Batters[[#All],[T]],MATCH(Table5[[#This Row],[PID]],Batters[[#All],[PID]],0)),INDEX(Table3[[#All],[T]],MATCH(Table5[[#This Row],[PID]],Table3[[#All],[PID]],0)))</f>
        <v>R</v>
      </c>
      <c r="J497" s="54" t="str">
        <f>IF($C497="B",INDEX(Batters[[#All],[WE]],MATCH(Table5[[#This Row],[PID]],Batters[[#All],[PID]],0)),INDEX(Table3[[#All],[WE]],MATCH(Table5[[#This Row],[PID]],Table3[[#All],[PID]],0)))</f>
        <v>Normal</v>
      </c>
      <c r="K497" s="54" t="str">
        <f>IF($C497="B",INDEX(Batters[[#All],[INT]],MATCH(Table5[[#This Row],[PID]],Batters[[#All],[PID]],0)),INDEX(Table3[[#All],[INT]],MATCH(Table5[[#This Row],[PID]],Table3[[#All],[PID]],0)))</f>
        <v>Normal</v>
      </c>
      <c r="L497" s="62">
        <f>IF($C497="B",INDEX(Batters[[#All],[CON P]],MATCH(Table5[[#This Row],[PID]],Batters[[#All],[PID]],0)),INDEX(Table3[[#All],[STU P]],MATCH(Table5[[#This Row],[PID]],Table3[[#All],[PID]],0)))</f>
        <v>3</v>
      </c>
      <c r="M497" s="58">
        <f>IF($C497="B",INDEX(Batters[[#All],[GAP P]],MATCH(Table5[[#This Row],[PID]],Batters[[#All],[PID]],0)),INDEX(Table3[[#All],[MOV P]],MATCH(Table5[[#This Row],[PID]],Table3[[#All],[PID]],0)))</f>
        <v>3</v>
      </c>
      <c r="N497" s="58">
        <f>IF($C497="B",INDEX(Batters[[#All],[POW P]],MATCH(Table5[[#This Row],[PID]],Batters[[#All],[PID]],0)),INDEX(Table3[[#All],[CON P]],MATCH(Table5[[#This Row],[PID]],Table3[[#All],[PID]],0)))</f>
        <v>5</v>
      </c>
      <c r="O497" s="58">
        <f>IF($C497="B",INDEX(Batters[[#All],[EYE P]],MATCH(Table5[[#This Row],[PID]],Batters[[#All],[PID]],0)),INDEX(Table3[[#All],[VELO]],MATCH(Table5[[#This Row],[PID]],Table3[[#All],[PID]],0)))</f>
        <v>1</v>
      </c>
      <c r="P497" s="58">
        <f>IF($C497="B",INDEX(Batters[[#All],[K P]],MATCH(Table5[[#This Row],[PID]],Batters[[#All],[PID]],0)),INDEX(Table3[[#All],[STM]],MATCH(Table5[[#This Row],[PID]],Table3[[#All],[PID]],0)))</f>
        <v>3</v>
      </c>
      <c r="Q497" s="63">
        <f>IF($C497="B",INDEX(Batters[[#All],[Tot]],MATCH(Table5[[#This Row],[PID]],Batters[[#All],[PID]],0)),INDEX(Table3[[#All],[Tot]],MATCH(Table5[[#This Row],[PID]],Table3[[#All],[PID]],0)))</f>
        <v>39.385205998292456</v>
      </c>
      <c r="R497" s="54">
        <f>IF($C497="B",INDEX(Batters[[#All],[zScore]],MATCH(Table5[[#This Row],[PID]],Batters[[#All],[PID]],0)),INDEX(Table3[[#All],[zScore]],MATCH(Table5[[#This Row],[PID]],Table3[[#All],[PID]],0)))</f>
        <v>-0.16944072660449203</v>
      </c>
      <c r="S497" s="60" t="str">
        <f>IF($C497="B",INDEX(Batters[[#All],[DEM]],MATCH(Table5[[#This Row],[PID]],Batters[[#All],[PID]],0)),INDEX(Table3[[#All],[DEM]],MATCH(Table5[[#This Row],[PID]],Table3[[#All],[PID]],0)))</f>
        <v>$100k</v>
      </c>
      <c r="T497" s="64">
        <f>IF($C497="B",VLOOKUP($A497,Bat!$A$4:$AU$1417,46,FALSE),VLOOKUP($A497,Pit!$A$4:$BD$570,55,FALSE))</f>
        <v>0</v>
      </c>
      <c r="U497" s="52">
        <f>IF($C497="B",VLOOKUP($A497,Bat!$A$4:$BA$1417,47,FALSE),VLOOKUP($A497,Pit!$A$4:$BF$570,56,FALSE))</f>
        <v>0</v>
      </c>
      <c r="V497" s="52">
        <f>IF($C497="B",VLOOKUP($A497,Bat!$A$4:$BA$1417,48,FALSE),VLOOKUP($A497,Pit!$A$4:$BF$570,57,FALSE))</f>
        <v>0</v>
      </c>
      <c r="W497" s="52">
        <f>Table5[[#This Row],[posRnk]]+Table5[[#This Row],[zRnk]]+IF($W$3&lt;&gt;Table5[[#This Row],[Type]],50,0)</f>
        <v>543</v>
      </c>
      <c r="X497" s="53">
        <f>RANK(Table5[[#This Row],[zScore]],Table5[[#All],[zScore]])</f>
        <v>493</v>
      </c>
      <c r="Y497" s="52" t="str">
        <f>IFERROR(INDEX(DraftResults[[#All],[OVR]],MATCH(Table5[[#This Row],[PID]],DraftResults[[#All],[Player ID]],0)),"")</f>
        <v/>
      </c>
      <c r="Z4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7" s="52" t="str">
        <f>IFERROR(INDEX(DraftResults[[#All],[Pick in Round]],MATCH(Table5[[#This Row],[PID]],DraftResults[[#All],[Player ID]],0)),"")</f>
        <v/>
      </c>
      <c r="AB497" s="52" t="str">
        <f>IFERROR(INDEX(DraftResults[[#All],[Team Name]],MATCH(Table5[[#This Row],[PID]],DraftResults[[#All],[Player ID]],0)),"")</f>
        <v/>
      </c>
      <c r="AC497" s="52" t="str">
        <f>IF(Table5[[#This Row],[Ovr]]="","",IF(Table5[[#This Row],[cmbList]]="","",Table5[[#This Row],[cmbList]]-Table5[[#This Row],[Ovr]]))</f>
        <v/>
      </c>
      <c r="AD497" s="56" t="str">
        <f>IF(ISERROR(VLOOKUP($AB497&amp;"-"&amp;$E497&amp;" "&amp;F497,Bonuses!$B$1:$G$1006,4,FALSE)),"",INT(VLOOKUP($AB497&amp;"-"&amp;$E497&amp;" "&amp;$F497,Bonuses!$B$1:$G$1006,4,FALSE)))</f>
        <v/>
      </c>
      <c r="AE4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8" spans="1:31" s="52" customFormat="1" x14ac:dyDescent="0.25">
      <c r="A498" s="52">
        <v>17609</v>
      </c>
      <c r="B498" s="52">
        <f>COUNTIF(Table5[PID],A498)</f>
        <v>1</v>
      </c>
      <c r="C498" s="52" t="str">
        <f>IF(COUNTIF(Table3[[#All],[PID]],A498)&gt;0,"P","B")</f>
        <v>P</v>
      </c>
      <c r="D498" s="61" t="str">
        <f>IF($C498="B",INDEX(Batters[[#All],[POS]],MATCH(Table5[[#This Row],[PID]],Batters[[#All],[PID]],0)),INDEX(Table3[[#All],[POS]],MATCH(Table5[[#This Row],[PID]],Table3[[#All],[PID]],0)))</f>
        <v>RP</v>
      </c>
      <c r="E498" s="54" t="str">
        <f>IF($C498="B",INDEX(Batters[[#All],[First]],MATCH(Table5[[#This Row],[PID]],Batters[[#All],[PID]],0)),INDEX(Table3[[#All],[First]],MATCH(Table5[[#This Row],[PID]],Table3[[#All],[PID]],0)))</f>
        <v>Gonzalo</v>
      </c>
      <c r="F498" s="52" t="str">
        <f>IF($C498="B",INDEX(Batters[[#All],[Last]],MATCH(A498,Batters[[#All],[PID]],0)),INDEX(Table3[[#All],[Last]],MATCH(A498,Table3[[#All],[PID]],0)))</f>
        <v>Meléndez</v>
      </c>
      <c r="G498" s="58">
        <f>IF($C498="B",INDEX(Batters[[#All],[Age]],MATCH(Table5[[#This Row],[PID]],Batters[[#All],[PID]],0)),INDEX(Table3[[#All],[Age]],MATCH(Table5[[#This Row],[PID]],Table3[[#All],[PID]],0)))</f>
        <v>18</v>
      </c>
      <c r="H498" s="54" t="str">
        <f>IF($C498="B",INDEX(Batters[[#All],[B]],MATCH(Table5[[#This Row],[PID]],Batters[[#All],[PID]],0)),INDEX(Table3[[#All],[B]],MATCH(Table5[[#This Row],[PID]],Table3[[#All],[PID]],0)))</f>
        <v>L</v>
      </c>
      <c r="I498" s="54" t="str">
        <f>IF($C498="B",INDEX(Batters[[#All],[T]],MATCH(Table5[[#This Row],[PID]],Batters[[#All],[PID]],0)),INDEX(Table3[[#All],[T]],MATCH(Table5[[#This Row],[PID]],Table3[[#All],[PID]],0)))</f>
        <v>L</v>
      </c>
      <c r="J498" s="54" t="str">
        <f>IF($C498="B",INDEX(Batters[[#All],[WE]],MATCH(Table5[[#This Row],[PID]],Batters[[#All],[PID]],0)),INDEX(Table3[[#All],[WE]],MATCH(Table5[[#This Row],[PID]],Table3[[#All],[PID]],0)))</f>
        <v>Normal</v>
      </c>
      <c r="K498" s="54" t="str">
        <f>IF($C498="B",INDEX(Batters[[#All],[INT]],MATCH(Table5[[#This Row],[PID]],Batters[[#All],[PID]],0)),INDEX(Table3[[#All],[INT]],MATCH(Table5[[#This Row],[PID]],Table3[[#All],[PID]],0)))</f>
        <v>Low</v>
      </c>
      <c r="L498" s="62">
        <f>IF($C498="B",INDEX(Batters[[#All],[CON P]],MATCH(Table5[[#This Row],[PID]],Batters[[#All],[PID]],0)),INDEX(Table3[[#All],[STU P]],MATCH(Table5[[#This Row],[PID]],Table3[[#All],[PID]],0)))</f>
        <v>5</v>
      </c>
      <c r="M498" s="58">
        <f>IF($C498="B",INDEX(Batters[[#All],[GAP P]],MATCH(Table5[[#This Row],[PID]],Batters[[#All],[PID]],0)),INDEX(Table3[[#All],[MOV P]],MATCH(Table5[[#This Row],[PID]],Table3[[#All],[PID]],0)))</f>
        <v>1</v>
      </c>
      <c r="N498" s="58">
        <f>IF($C498="B",INDEX(Batters[[#All],[POW P]],MATCH(Table5[[#This Row],[PID]],Batters[[#All],[PID]],0)),INDEX(Table3[[#All],[CON P]],MATCH(Table5[[#This Row],[PID]],Table3[[#All],[PID]],0)))</f>
        <v>2</v>
      </c>
      <c r="O498" s="58" t="str">
        <f>IF($C498="B",INDEX(Batters[[#All],[EYE P]],MATCH(Table5[[#This Row],[PID]],Batters[[#All],[PID]],0)),INDEX(Table3[[#All],[VELO]],MATCH(Table5[[#This Row],[PID]],Table3[[#All],[PID]],0)))</f>
        <v>86-88 Mph</v>
      </c>
      <c r="P498" s="58">
        <f>IF($C498="B",INDEX(Batters[[#All],[K P]],MATCH(Table5[[#This Row],[PID]],Batters[[#All],[PID]],0)),INDEX(Table3[[#All],[STM]],MATCH(Table5[[#This Row],[PID]],Table3[[#All],[PID]],0)))</f>
        <v>6</v>
      </c>
      <c r="Q498" s="63">
        <f>IF($C498="B",INDEX(Batters[[#All],[Tot]],MATCH(Table5[[#This Row],[PID]],Batters[[#All],[PID]],0)),INDEX(Table3[[#All],[Tot]],MATCH(Table5[[#This Row],[PID]],Table3[[#All],[PID]],0)))</f>
        <v>30.870147926253154</v>
      </c>
      <c r="R498" s="54">
        <f>IF($C498="B",INDEX(Batters[[#All],[zScore]],MATCH(Table5[[#This Row],[PID]],Batters[[#All],[PID]],0)),INDEX(Table3[[#All],[zScore]],MATCH(Table5[[#This Row],[PID]],Table3[[#All],[PID]],0)))</f>
        <v>-0.16984575453429288</v>
      </c>
      <c r="S498" s="60" t="str">
        <f>IF($C498="B",INDEX(Batters[[#All],[DEM]],MATCH(Table5[[#This Row],[PID]],Batters[[#All],[PID]],0)),INDEX(Table3[[#All],[DEM]],MATCH(Table5[[#This Row],[PID]],Table3[[#All],[PID]],0)))</f>
        <v>$70k</v>
      </c>
      <c r="T498" s="64">
        <f>IF($C498="B",VLOOKUP($A498,Bat!$A$4:$AU$1417,46,FALSE),VLOOKUP($A498,Pit!$A$4:$BD$570,55,FALSE))</f>
        <v>0</v>
      </c>
      <c r="U498" s="52">
        <f>IF($C498="B",VLOOKUP($A498,Bat!$A$4:$BA$1417,47,FALSE),VLOOKUP($A498,Pit!$A$4:$BF$570,56,FALSE))</f>
        <v>0</v>
      </c>
      <c r="V498" s="52">
        <f>IF($C498="B",VLOOKUP($A498,Bat!$A$4:$BA$1417,48,FALSE),VLOOKUP($A498,Pit!$A$4:$BF$570,57,FALSE))</f>
        <v>0</v>
      </c>
      <c r="W498" s="52">
        <f>Table5[[#This Row],[posRnk]]+Table5[[#This Row],[zRnk]]+IF($W$3&lt;&gt;Table5[[#This Row],[Type]],50,0)</f>
        <v>544</v>
      </c>
      <c r="X498" s="53">
        <f>RANK(Table5[[#This Row],[zScore]],Table5[[#All],[zScore]])</f>
        <v>494</v>
      </c>
      <c r="Y498" s="52" t="str">
        <f>IFERROR(INDEX(DraftResults[[#All],[OVR]],MATCH(Table5[[#This Row],[PID]],DraftResults[[#All],[Player ID]],0)),"")</f>
        <v/>
      </c>
      <c r="Z4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8" s="52" t="str">
        <f>IFERROR(INDEX(DraftResults[[#All],[Pick in Round]],MATCH(Table5[[#This Row],[PID]],DraftResults[[#All],[Player ID]],0)),"")</f>
        <v/>
      </c>
      <c r="AB498" s="52" t="str">
        <f>IFERROR(INDEX(DraftResults[[#All],[Team Name]],MATCH(Table5[[#This Row],[PID]],DraftResults[[#All],[Player ID]],0)),"")</f>
        <v/>
      </c>
      <c r="AC498" s="52" t="str">
        <f>IF(Table5[[#This Row],[Ovr]]="","",IF(Table5[[#This Row],[cmbList]]="","",Table5[[#This Row],[cmbList]]-Table5[[#This Row],[Ovr]]))</f>
        <v/>
      </c>
      <c r="AD498" s="56" t="str">
        <f>IF(ISERROR(VLOOKUP($AB498&amp;"-"&amp;$E498&amp;" "&amp;F498,Bonuses!$B$1:$G$1006,4,FALSE)),"",INT(VLOOKUP($AB498&amp;"-"&amp;$E498&amp;" "&amp;$F498,Bonuses!$B$1:$G$1006,4,FALSE)))</f>
        <v/>
      </c>
      <c r="AE4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9" spans="1:31" s="52" customFormat="1" x14ac:dyDescent="0.25">
      <c r="A499" s="52">
        <v>11675</v>
      </c>
      <c r="B499" s="52">
        <f>COUNTIF(Table5[PID],A499)</f>
        <v>1</v>
      </c>
      <c r="C499" s="52" t="str">
        <f>IF(COUNTIF(Table3[[#All],[PID]],A499)&gt;0,"P","B")</f>
        <v>P</v>
      </c>
      <c r="D499" s="61" t="str">
        <f>IF($C499="B",INDEX(Batters[[#All],[POS]],MATCH(Table5[[#This Row],[PID]],Batters[[#All],[PID]],0)),INDEX(Table3[[#All],[POS]],MATCH(Table5[[#This Row],[PID]],Table3[[#All],[PID]],0)))</f>
        <v>SP</v>
      </c>
      <c r="E499" s="54" t="str">
        <f>IF($C499="B",INDEX(Batters[[#All],[First]],MATCH(Table5[[#This Row],[PID]],Batters[[#All],[PID]],0)),INDEX(Table3[[#All],[First]],MATCH(Table5[[#This Row],[PID]],Table3[[#All],[PID]],0)))</f>
        <v>Miguel</v>
      </c>
      <c r="F499" s="52" t="str">
        <f>IF($C499="B",INDEX(Batters[[#All],[Last]],MATCH(A499,Batters[[#All],[PID]],0)),INDEX(Table3[[#All],[Last]],MATCH(A499,Table3[[#All],[PID]],0)))</f>
        <v>Hernández</v>
      </c>
      <c r="G499" s="58">
        <f>IF($C499="B",INDEX(Batters[[#All],[Age]],MATCH(Table5[[#This Row],[PID]],Batters[[#All],[PID]],0)),INDEX(Table3[[#All],[Age]],MATCH(Table5[[#This Row],[PID]],Table3[[#All],[PID]],0)))</f>
        <v>21</v>
      </c>
      <c r="H499" s="54" t="str">
        <f>IF($C499="B",INDEX(Batters[[#All],[B]],MATCH(Table5[[#This Row],[PID]],Batters[[#All],[PID]],0)),INDEX(Table3[[#All],[B]],MATCH(Table5[[#This Row],[PID]],Table3[[#All],[PID]],0)))</f>
        <v>R</v>
      </c>
      <c r="I499" s="54" t="str">
        <f>IF($C499="B",INDEX(Batters[[#All],[T]],MATCH(Table5[[#This Row],[PID]],Batters[[#All],[PID]],0)),INDEX(Table3[[#All],[T]],MATCH(Table5[[#This Row],[PID]],Table3[[#All],[PID]],0)))</f>
        <v>R</v>
      </c>
      <c r="J499" s="54" t="str">
        <f>IF($C499="B",INDEX(Batters[[#All],[WE]],MATCH(Table5[[#This Row],[PID]],Batters[[#All],[PID]],0)),INDEX(Table3[[#All],[WE]],MATCH(Table5[[#This Row],[PID]],Table3[[#All],[PID]],0)))</f>
        <v>Normal</v>
      </c>
      <c r="K499" s="54" t="str">
        <f>IF($C499="B",INDEX(Batters[[#All],[INT]],MATCH(Table5[[#This Row],[PID]],Batters[[#All],[PID]],0)),INDEX(Table3[[#All],[INT]],MATCH(Table5[[#This Row],[PID]],Table3[[#All],[PID]],0)))</f>
        <v>Normal</v>
      </c>
      <c r="L499" s="62">
        <f>IF($C499="B",INDEX(Batters[[#All],[CON P]],MATCH(Table5[[#This Row],[PID]],Batters[[#All],[PID]],0)),INDEX(Table3[[#All],[STU P]],MATCH(Table5[[#This Row],[PID]],Table3[[#All],[PID]],0)))</f>
        <v>4</v>
      </c>
      <c r="M499" s="58">
        <f>IF($C499="B",INDEX(Batters[[#All],[GAP P]],MATCH(Table5[[#This Row],[PID]],Batters[[#All],[PID]],0)),INDEX(Table3[[#All],[MOV P]],MATCH(Table5[[#This Row],[PID]],Table3[[#All],[PID]],0)))</f>
        <v>2</v>
      </c>
      <c r="N499" s="58">
        <f>IF($C499="B",INDEX(Batters[[#All],[POW P]],MATCH(Table5[[#This Row],[PID]],Batters[[#All],[PID]],0)),INDEX(Table3[[#All],[CON P]],MATCH(Table5[[#This Row],[PID]],Table3[[#All],[PID]],0)))</f>
        <v>3</v>
      </c>
      <c r="O499" s="58" t="str">
        <f>IF($C499="B",INDEX(Batters[[#All],[EYE P]],MATCH(Table5[[#This Row],[PID]],Batters[[#All],[PID]],0)),INDEX(Table3[[#All],[VELO]],MATCH(Table5[[#This Row],[PID]],Table3[[#All],[PID]],0)))</f>
        <v>94-96 Mph</v>
      </c>
      <c r="P499" s="58">
        <f>IF($C499="B",INDEX(Batters[[#All],[K P]],MATCH(Table5[[#This Row],[PID]],Batters[[#All],[PID]],0)),INDEX(Table3[[#All],[STM]],MATCH(Table5[[#This Row],[PID]],Table3[[#All],[PID]],0)))</f>
        <v>8</v>
      </c>
      <c r="Q499" s="63">
        <f>IF($C499="B",INDEX(Batters[[#All],[Tot]],MATCH(Table5[[#This Row],[PID]],Batters[[#All],[PID]],0)),INDEX(Table3[[#All],[Tot]],MATCH(Table5[[#This Row],[PID]],Table3[[#All],[PID]],0)))</f>
        <v>30.855572034773317</v>
      </c>
      <c r="R499" s="54">
        <f>IF($C499="B",INDEX(Batters[[#All],[zScore]],MATCH(Table5[[#This Row],[PID]],Batters[[#All],[PID]],0)),INDEX(Table3[[#All],[zScore]],MATCH(Table5[[#This Row],[PID]],Table3[[#All],[PID]],0)))</f>
        <v>-0.1711824260816634</v>
      </c>
      <c r="S499" s="60" t="str">
        <f>IF($C499="B",INDEX(Batters[[#All],[DEM]],MATCH(Table5[[#This Row],[PID]],Batters[[#All],[PID]],0)),INDEX(Table3[[#All],[DEM]],MATCH(Table5[[#This Row],[PID]],Table3[[#All],[PID]],0)))</f>
        <v>-</v>
      </c>
      <c r="T499" s="64">
        <f>IF($C499="B",VLOOKUP($A499,Bat!$A$4:$AU$1417,46,FALSE),VLOOKUP($A499,Pit!$A$4:$BD$570,55,FALSE))</f>
        <v>0</v>
      </c>
      <c r="U499" s="52">
        <f>IF($C499="B",VLOOKUP($A499,Bat!$A$4:$BA$1417,47,FALSE),VLOOKUP($A499,Pit!$A$4:$BF$570,56,FALSE))</f>
        <v>0</v>
      </c>
      <c r="V499" s="52">
        <f>IF($C499="B",VLOOKUP($A499,Bat!$A$4:$BA$1417,48,FALSE),VLOOKUP($A499,Pit!$A$4:$BF$570,57,FALSE))</f>
        <v>0</v>
      </c>
      <c r="W499" s="52">
        <f>Table5[[#This Row],[posRnk]]+Table5[[#This Row],[zRnk]]+IF($W$3&lt;&gt;Table5[[#This Row],[Type]],50,0)</f>
        <v>545</v>
      </c>
      <c r="X499" s="53">
        <f>RANK(Table5[[#This Row],[zScore]],Table5[[#All],[zScore]])</f>
        <v>495</v>
      </c>
      <c r="Y499" s="52" t="str">
        <f>IFERROR(INDEX(DraftResults[[#All],[OVR]],MATCH(Table5[[#This Row],[PID]],DraftResults[[#All],[Player ID]],0)),"")</f>
        <v/>
      </c>
      <c r="Z4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9" s="52" t="str">
        <f>IFERROR(INDEX(DraftResults[[#All],[Pick in Round]],MATCH(Table5[[#This Row],[PID]],DraftResults[[#All],[Player ID]],0)),"")</f>
        <v/>
      </c>
      <c r="AB499" s="52" t="str">
        <f>IFERROR(INDEX(DraftResults[[#All],[Team Name]],MATCH(Table5[[#This Row],[PID]],DraftResults[[#All],[Player ID]],0)),"")</f>
        <v/>
      </c>
      <c r="AC499" s="52" t="str">
        <f>IF(Table5[[#This Row],[Ovr]]="","",IF(Table5[[#This Row],[cmbList]]="","",Table5[[#This Row],[cmbList]]-Table5[[#This Row],[Ovr]]))</f>
        <v/>
      </c>
      <c r="AD499" s="56" t="str">
        <f>IF(ISERROR(VLOOKUP($AB499&amp;"-"&amp;$E499&amp;" "&amp;F499,Bonuses!$B$1:$G$1006,4,FALSE)),"",INT(VLOOKUP($AB499&amp;"-"&amp;$E499&amp;" "&amp;$F499,Bonuses!$B$1:$G$1006,4,FALSE)))</f>
        <v/>
      </c>
      <c r="AE4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0" spans="1:31" s="52" customFormat="1" x14ac:dyDescent="0.25">
      <c r="A500" s="52">
        <v>7393</v>
      </c>
      <c r="B500" s="52">
        <f>COUNTIF(Table5[PID],A500)</f>
        <v>1</v>
      </c>
      <c r="C500" s="52" t="str">
        <f>IF(COUNTIF(Table3[[#All],[PID]],A500)&gt;0,"P","B")</f>
        <v>P</v>
      </c>
      <c r="D500" s="61" t="str">
        <f>IF($C500="B",INDEX(Batters[[#All],[POS]],MATCH(Table5[[#This Row],[PID]],Batters[[#All],[PID]],0)),INDEX(Table3[[#All],[POS]],MATCH(Table5[[#This Row],[PID]],Table3[[#All],[PID]],0)))</f>
        <v>SP</v>
      </c>
      <c r="E500" s="54" t="str">
        <f>IF($C500="B",INDEX(Batters[[#All],[First]],MATCH(Table5[[#This Row],[PID]],Batters[[#All],[PID]],0)),INDEX(Table3[[#All],[First]],MATCH(Table5[[#This Row],[PID]],Table3[[#All],[PID]],0)))</f>
        <v>George</v>
      </c>
      <c r="F500" s="52" t="str">
        <f>IF($C500="B",INDEX(Batters[[#All],[Last]],MATCH(A500,Batters[[#All],[PID]],0)),INDEX(Table3[[#All],[Last]],MATCH(A500,Table3[[#All],[PID]],0)))</f>
        <v>Keijzer</v>
      </c>
      <c r="G500" s="58">
        <f>IF($C500="B",INDEX(Batters[[#All],[Age]],MATCH(Table5[[#This Row],[PID]],Batters[[#All],[PID]],0)),INDEX(Table3[[#All],[Age]],MATCH(Table5[[#This Row],[PID]],Table3[[#All],[PID]],0)))</f>
        <v>21</v>
      </c>
      <c r="H500" s="54" t="str">
        <f>IF($C500="B",INDEX(Batters[[#All],[B]],MATCH(Table5[[#This Row],[PID]],Batters[[#All],[PID]],0)),INDEX(Table3[[#All],[B]],MATCH(Table5[[#This Row],[PID]],Table3[[#All],[PID]],0)))</f>
        <v>R</v>
      </c>
      <c r="I500" s="54" t="str">
        <f>IF($C500="B",INDEX(Batters[[#All],[T]],MATCH(Table5[[#This Row],[PID]],Batters[[#All],[PID]],0)),INDEX(Table3[[#All],[T]],MATCH(Table5[[#This Row],[PID]],Table3[[#All],[PID]],0)))</f>
        <v>R</v>
      </c>
      <c r="J500" s="54" t="str">
        <f>IF($C500="B",INDEX(Batters[[#All],[WE]],MATCH(Table5[[#This Row],[PID]],Batters[[#All],[PID]],0)),INDEX(Table3[[#All],[WE]],MATCH(Table5[[#This Row],[PID]],Table3[[#All],[PID]],0)))</f>
        <v>High</v>
      </c>
      <c r="K500" s="54" t="str">
        <f>IF($C500="B",INDEX(Batters[[#All],[INT]],MATCH(Table5[[#This Row],[PID]],Batters[[#All],[PID]],0)),INDEX(Table3[[#All],[INT]],MATCH(Table5[[#This Row],[PID]],Table3[[#All],[PID]],0)))</f>
        <v>Normal</v>
      </c>
      <c r="L500" s="62">
        <f>IF($C500="B",INDEX(Batters[[#All],[CON P]],MATCH(Table5[[#This Row],[PID]],Batters[[#All],[PID]],0)),INDEX(Table3[[#All],[STU P]],MATCH(Table5[[#This Row],[PID]],Table3[[#All],[PID]],0)))</f>
        <v>5</v>
      </c>
      <c r="M500" s="58">
        <f>IF($C500="B",INDEX(Batters[[#All],[GAP P]],MATCH(Table5[[#This Row],[PID]],Batters[[#All],[PID]],0)),INDEX(Table3[[#All],[MOV P]],MATCH(Table5[[#This Row],[PID]],Table3[[#All],[PID]],0)))</f>
        <v>1</v>
      </c>
      <c r="N500" s="58">
        <f>IF($C500="B",INDEX(Batters[[#All],[POW P]],MATCH(Table5[[#This Row],[PID]],Batters[[#All],[PID]],0)),INDEX(Table3[[#All],[CON P]],MATCH(Table5[[#This Row],[PID]],Table3[[#All],[PID]],0)))</f>
        <v>3</v>
      </c>
      <c r="O500" s="58" t="str">
        <f>IF($C500="B",INDEX(Batters[[#All],[EYE P]],MATCH(Table5[[#This Row],[PID]],Batters[[#All],[PID]],0)),INDEX(Table3[[#All],[VELO]],MATCH(Table5[[#This Row],[PID]],Table3[[#All],[PID]],0)))</f>
        <v>95-97 Mph</v>
      </c>
      <c r="P500" s="58">
        <f>IF($C500="B",INDEX(Batters[[#All],[K P]],MATCH(Table5[[#This Row],[PID]],Batters[[#All],[PID]],0)),INDEX(Table3[[#All],[STM]],MATCH(Table5[[#This Row],[PID]],Table3[[#All],[PID]],0)))</f>
        <v>7</v>
      </c>
      <c r="Q500" s="63">
        <f>IF($C500="B",INDEX(Batters[[#All],[Tot]],MATCH(Table5[[#This Row],[PID]],Batters[[#All],[PID]],0)),INDEX(Table3[[#All],[Tot]],MATCH(Table5[[#This Row],[PID]],Table3[[#All],[PID]],0)))</f>
        <v>30.837874283412464</v>
      </c>
      <c r="R500" s="54">
        <f>IF($C500="B",INDEX(Batters[[#All],[zScore]],MATCH(Table5[[#This Row],[PID]],Batters[[#All],[PID]],0)),INDEX(Table3[[#All],[zScore]],MATCH(Table5[[#This Row],[PID]],Table3[[#All],[PID]],0)))</f>
        <v>-0.17280538552323266</v>
      </c>
      <c r="S500" s="60" t="str">
        <f>IF($C500="B",INDEX(Batters[[#All],[DEM]],MATCH(Table5[[#This Row],[PID]],Batters[[#All],[PID]],0)),INDEX(Table3[[#All],[DEM]],MATCH(Table5[[#This Row],[PID]],Table3[[#All],[PID]],0)))</f>
        <v>-</v>
      </c>
      <c r="T500" s="64">
        <f>IF($C500="B",VLOOKUP($A500,Bat!$A$4:$AU$1417,46,FALSE),VLOOKUP($A500,Pit!$A$4:$BD$570,55,FALSE))</f>
        <v>0</v>
      </c>
      <c r="U500" s="52">
        <f>IF($C500="B",VLOOKUP($A500,Bat!$A$4:$BA$1417,47,FALSE),VLOOKUP($A500,Pit!$A$4:$BF$570,56,FALSE))</f>
        <v>0</v>
      </c>
      <c r="V500" s="52">
        <f>IF($C500="B",VLOOKUP($A500,Bat!$A$4:$BA$1417,48,FALSE),VLOOKUP($A500,Pit!$A$4:$BF$570,57,FALSE))</f>
        <v>0</v>
      </c>
      <c r="W500" s="52">
        <f>Table5[[#This Row],[posRnk]]+Table5[[#This Row],[zRnk]]+IF($W$3&lt;&gt;Table5[[#This Row],[Type]],50,0)</f>
        <v>546</v>
      </c>
      <c r="X500" s="53">
        <f>RANK(Table5[[#This Row],[zScore]],Table5[[#All],[zScore]])</f>
        <v>496</v>
      </c>
      <c r="Y500" s="52" t="str">
        <f>IFERROR(INDEX(DraftResults[[#All],[OVR]],MATCH(Table5[[#This Row],[PID]],DraftResults[[#All],[Player ID]],0)),"")</f>
        <v/>
      </c>
      <c r="Z5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0" s="52" t="str">
        <f>IFERROR(INDEX(DraftResults[[#All],[Pick in Round]],MATCH(Table5[[#This Row],[PID]],DraftResults[[#All],[Player ID]],0)),"")</f>
        <v/>
      </c>
      <c r="AB500" s="52" t="str">
        <f>IFERROR(INDEX(DraftResults[[#All],[Team Name]],MATCH(Table5[[#This Row],[PID]],DraftResults[[#All],[Player ID]],0)),"")</f>
        <v/>
      </c>
      <c r="AC500" s="52" t="str">
        <f>IF(Table5[[#This Row],[Ovr]]="","",IF(Table5[[#This Row],[cmbList]]="","",Table5[[#This Row],[cmbList]]-Table5[[#This Row],[Ovr]]))</f>
        <v/>
      </c>
      <c r="AD500" s="56" t="str">
        <f>IF(ISERROR(VLOOKUP($AB500&amp;"-"&amp;$E500&amp;" "&amp;F500,Bonuses!$B$1:$G$1006,4,FALSE)),"",INT(VLOOKUP($AB500&amp;"-"&amp;$E500&amp;" "&amp;$F500,Bonuses!$B$1:$G$1006,4,FALSE)))</f>
        <v/>
      </c>
      <c r="AE5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1" spans="1:31" s="52" customFormat="1" x14ac:dyDescent="0.25">
      <c r="A501" s="52">
        <v>7254</v>
      </c>
      <c r="B501" s="52">
        <f>COUNTIF(Table5[PID],A501)</f>
        <v>1</v>
      </c>
      <c r="C501" s="52" t="str">
        <f>IF(COUNTIF(Table3[[#All],[PID]],A501)&gt;0,"P","B")</f>
        <v>P</v>
      </c>
      <c r="D501" s="61" t="str">
        <f>IF($C501="B",INDEX(Batters[[#All],[POS]],MATCH(Table5[[#This Row],[PID]],Batters[[#All],[PID]],0)),INDEX(Table3[[#All],[POS]],MATCH(Table5[[#This Row],[PID]],Table3[[#All],[PID]],0)))</f>
        <v>SP</v>
      </c>
      <c r="E501" s="54" t="str">
        <f>IF($C501="B",INDEX(Batters[[#All],[First]],MATCH(Table5[[#This Row],[PID]],Batters[[#All],[PID]],0)),INDEX(Table3[[#All],[First]],MATCH(Table5[[#This Row],[PID]],Table3[[#All],[PID]],0)))</f>
        <v>Aidan</v>
      </c>
      <c r="F501" s="52" t="str">
        <f>IF($C501="B",INDEX(Batters[[#All],[Last]],MATCH(A501,Batters[[#All],[PID]],0)),INDEX(Table3[[#All],[Last]],MATCH(A501,Table3[[#All],[PID]],0)))</f>
        <v>Moffat</v>
      </c>
      <c r="G501" s="58">
        <f>IF($C501="B",INDEX(Batters[[#All],[Age]],MATCH(Table5[[#This Row],[PID]],Batters[[#All],[PID]],0)),INDEX(Table3[[#All],[Age]],MATCH(Table5[[#This Row],[PID]],Table3[[#All],[PID]],0)))</f>
        <v>21</v>
      </c>
      <c r="H501" s="54" t="str">
        <f>IF($C501="B",INDEX(Batters[[#All],[B]],MATCH(Table5[[#This Row],[PID]],Batters[[#All],[PID]],0)),INDEX(Table3[[#All],[B]],MATCH(Table5[[#This Row],[PID]],Table3[[#All],[PID]],0)))</f>
        <v>S</v>
      </c>
      <c r="I501" s="54" t="str">
        <f>IF($C501="B",INDEX(Batters[[#All],[T]],MATCH(Table5[[#This Row],[PID]],Batters[[#All],[PID]],0)),INDEX(Table3[[#All],[T]],MATCH(Table5[[#This Row],[PID]],Table3[[#All],[PID]],0)))</f>
        <v>R</v>
      </c>
      <c r="J501" s="54" t="str">
        <f>IF($C501="B",INDEX(Batters[[#All],[WE]],MATCH(Table5[[#This Row],[PID]],Batters[[#All],[PID]],0)),INDEX(Table3[[#All],[WE]],MATCH(Table5[[#This Row],[PID]],Table3[[#All],[PID]],0)))</f>
        <v>Normal</v>
      </c>
      <c r="K501" s="54" t="str">
        <f>IF($C501="B",INDEX(Batters[[#All],[INT]],MATCH(Table5[[#This Row],[PID]],Batters[[#All],[PID]],0)),INDEX(Table3[[#All],[INT]],MATCH(Table5[[#This Row],[PID]],Table3[[#All],[PID]],0)))</f>
        <v>Normal</v>
      </c>
      <c r="L501" s="62">
        <f>IF($C501="B",INDEX(Batters[[#All],[CON P]],MATCH(Table5[[#This Row],[PID]],Batters[[#All],[PID]],0)),INDEX(Table3[[#All],[STU P]],MATCH(Table5[[#This Row],[PID]],Table3[[#All],[PID]],0)))</f>
        <v>4</v>
      </c>
      <c r="M501" s="58">
        <f>IF($C501="B",INDEX(Batters[[#All],[GAP P]],MATCH(Table5[[#This Row],[PID]],Batters[[#All],[PID]],0)),INDEX(Table3[[#All],[MOV P]],MATCH(Table5[[#This Row],[PID]],Table3[[#All],[PID]],0)))</f>
        <v>1</v>
      </c>
      <c r="N501" s="58">
        <f>IF($C501="B",INDEX(Batters[[#All],[POW P]],MATCH(Table5[[#This Row],[PID]],Batters[[#All],[PID]],0)),INDEX(Table3[[#All],[CON P]],MATCH(Table5[[#This Row],[PID]],Table3[[#All],[PID]],0)))</f>
        <v>4</v>
      </c>
      <c r="O501" s="58" t="str">
        <f>IF($C501="B",INDEX(Batters[[#All],[EYE P]],MATCH(Table5[[#This Row],[PID]],Batters[[#All],[PID]],0)),INDEX(Table3[[#All],[VELO]],MATCH(Table5[[#This Row],[PID]],Table3[[#All],[PID]],0)))</f>
        <v>91-93 Mph</v>
      </c>
      <c r="P501" s="58">
        <f>IF($C501="B",INDEX(Batters[[#All],[K P]],MATCH(Table5[[#This Row],[PID]],Batters[[#All],[PID]],0)),INDEX(Table3[[#All],[STM]],MATCH(Table5[[#This Row],[PID]],Table3[[#All],[PID]],0)))</f>
        <v>8</v>
      </c>
      <c r="Q501" s="63">
        <f>IF($C501="B",INDEX(Batters[[#All],[Tot]],MATCH(Table5[[#This Row],[PID]],Batters[[#All],[PID]],0)),INDEX(Table3[[#All],[Tot]],MATCH(Table5[[#This Row],[PID]],Table3[[#All],[PID]],0)))</f>
        <v>30.8354315978183</v>
      </c>
      <c r="R501" s="54">
        <f>IF($C501="B",INDEX(Batters[[#All],[zScore]],MATCH(Table5[[#This Row],[PID]],Batters[[#All],[PID]],0)),INDEX(Table3[[#All],[zScore]],MATCH(Table5[[#This Row],[PID]],Table3[[#All],[PID]],0)))</f>
        <v>-0.17302939023247524</v>
      </c>
      <c r="S501" s="60" t="str">
        <f>IF($C501="B",INDEX(Batters[[#All],[DEM]],MATCH(Table5[[#This Row],[PID]],Batters[[#All],[PID]],0)),INDEX(Table3[[#All],[DEM]],MATCH(Table5[[#This Row],[PID]],Table3[[#All],[PID]],0)))</f>
        <v>-</v>
      </c>
      <c r="T501" s="64">
        <f>IF($C501="B",VLOOKUP($A501,Bat!$A$4:$AU$1417,46,FALSE),VLOOKUP($A501,Pit!$A$4:$BD$570,55,FALSE))</f>
        <v>0</v>
      </c>
      <c r="U501" s="52">
        <f>IF($C501="B",VLOOKUP($A501,Bat!$A$4:$BA$1417,47,FALSE),VLOOKUP($A501,Pit!$A$4:$BF$570,56,FALSE))</f>
        <v>0</v>
      </c>
      <c r="V501" s="52">
        <f>IF($C501="B",VLOOKUP($A501,Bat!$A$4:$BA$1417,48,FALSE),VLOOKUP($A501,Pit!$A$4:$BF$570,57,FALSE))</f>
        <v>0</v>
      </c>
      <c r="W501" s="52">
        <f>Table5[[#This Row],[posRnk]]+Table5[[#This Row],[zRnk]]+IF($W$3&lt;&gt;Table5[[#This Row],[Type]],50,0)</f>
        <v>547</v>
      </c>
      <c r="X501" s="53">
        <f>RANK(Table5[[#This Row],[zScore]],Table5[[#All],[zScore]])</f>
        <v>497</v>
      </c>
      <c r="Y501" s="52" t="str">
        <f>IFERROR(INDEX(DraftResults[[#All],[OVR]],MATCH(Table5[[#This Row],[PID]],DraftResults[[#All],[Player ID]],0)),"")</f>
        <v/>
      </c>
      <c r="Z5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1" s="52" t="str">
        <f>IFERROR(INDEX(DraftResults[[#All],[Pick in Round]],MATCH(Table5[[#This Row],[PID]],DraftResults[[#All],[Player ID]],0)),"")</f>
        <v/>
      </c>
      <c r="AB501" s="52" t="str">
        <f>IFERROR(INDEX(DraftResults[[#All],[Team Name]],MATCH(Table5[[#This Row],[PID]],DraftResults[[#All],[Player ID]],0)),"")</f>
        <v/>
      </c>
      <c r="AC501" s="52" t="str">
        <f>IF(Table5[[#This Row],[Ovr]]="","",IF(Table5[[#This Row],[cmbList]]="","",Table5[[#This Row],[cmbList]]-Table5[[#This Row],[Ovr]]))</f>
        <v/>
      </c>
      <c r="AD501" s="56" t="str">
        <f>IF(ISERROR(VLOOKUP($AB501&amp;"-"&amp;$E501&amp;" "&amp;F501,Bonuses!$B$1:$G$1006,4,FALSE)),"",INT(VLOOKUP($AB501&amp;"-"&amp;$E501&amp;" "&amp;$F501,Bonuses!$B$1:$G$1006,4,FALSE)))</f>
        <v/>
      </c>
      <c r="AE5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2" spans="1:31" s="52" customFormat="1" x14ac:dyDescent="0.25">
      <c r="A502" s="52">
        <v>17806</v>
      </c>
      <c r="B502" s="57">
        <f>COUNTIF(Table5[PID],A502)</f>
        <v>1</v>
      </c>
      <c r="C502" s="57" t="str">
        <f>IF(COUNTIF(Table3[[#All],[PID]],A502)&gt;0,"P","B")</f>
        <v>B</v>
      </c>
      <c r="D502" s="61" t="str">
        <f>IF($C502="B",INDEX(Batters[[#All],[POS]],MATCH(Table5[[#This Row],[PID]],Batters[[#All],[PID]],0)),INDEX(Table3[[#All],[POS]],MATCH(Table5[[#This Row],[PID]],Table3[[#All],[PID]],0)))</f>
        <v>LF</v>
      </c>
      <c r="E502" s="54" t="str">
        <f>IF($C502="B",INDEX(Batters[[#All],[First]],MATCH(Table5[[#This Row],[PID]],Batters[[#All],[PID]],0)),INDEX(Table3[[#All],[First]],MATCH(Table5[[#This Row],[PID]],Table3[[#All],[PID]],0)))</f>
        <v>Takafumi</v>
      </c>
      <c r="F502" s="52" t="str">
        <f>IF($C502="B",INDEX(Batters[[#All],[Last]],MATCH(A502,Batters[[#All],[PID]],0)),INDEX(Table3[[#All],[Last]],MATCH(A502,Table3[[#All],[PID]],0)))</f>
        <v>Shimizu</v>
      </c>
      <c r="G502" s="58">
        <f>IF($C502="B",INDEX(Batters[[#All],[Age]],MATCH(Table5[[#This Row],[PID]],Batters[[#All],[PID]],0)),INDEX(Table3[[#All],[Age]],MATCH(Table5[[#This Row],[PID]],Table3[[#All],[PID]],0)))</f>
        <v>21</v>
      </c>
      <c r="H502" s="54" t="str">
        <f>IF($C502="B",INDEX(Batters[[#All],[B]],MATCH(Table5[[#This Row],[PID]],Batters[[#All],[PID]],0)),INDEX(Table3[[#All],[B]],MATCH(Table5[[#This Row],[PID]],Table3[[#All],[PID]],0)))</f>
        <v>L</v>
      </c>
      <c r="I502" s="54" t="str">
        <f>IF($C502="B",INDEX(Batters[[#All],[T]],MATCH(Table5[[#This Row],[PID]],Batters[[#All],[PID]],0)),INDEX(Table3[[#All],[T]],MATCH(Table5[[#This Row],[PID]],Table3[[#All],[PID]],0)))</f>
        <v>L</v>
      </c>
      <c r="J502" s="54" t="str">
        <f>IF($C502="B",INDEX(Batters[[#All],[WE]],MATCH(Table5[[#This Row],[PID]],Batters[[#All],[PID]],0)),INDEX(Table3[[#All],[WE]],MATCH(Table5[[#This Row],[PID]],Table3[[#All],[PID]],0)))</f>
        <v>Low</v>
      </c>
      <c r="K502" s="54" t="str">
        <f>IF($C502="B",INDEX(Batters[[#All],[INT]],MATCH(Table5[[#This Row],[PID]],Batters[[#All],[PID]],0)),INDEX(Table3[[#All],[INT]],MATCH(Table5[[#This Row],[PID]],Table3[[#All],[PID]],0)))</f>
        <v>High</v>
      </c>
      <c r="L502" s="62">
        <f>IF($C502="B",INDEX(Batters[[#All],[CON P]],MATCH(Table5[[#This Row],[PID]],Batters[[#All],[PID]],0)),INDEX(Table3[[#All],[STU P]],MATCH(Table5[[#This Row],[PID]],Table3[[#All],[PID]],0)))</f>
        <v>3</v>
      </c>
      <c r="M502" s="58">
        <f>IF($C502="B",INDEX(Batters[[#All],[GAP P]],MATCH(Table5[[#This Row],[PID]],Batters[[#All],[PID]],0)),INDEX(Table3[[#All],[MOV P]],MATCH(Table5[[#This Row],[PID]],Table3[[#All],[PID]],0)))</f>
        <v>4</v>
      </c>
      <c r="N502" s="58">
        <f>IF($C502="B",INDEX(Batters[[#All],[POW P]],MATCH(Table5[[#This Row],[PID]],Batters[[#All],[PID]],0)),INDEX(Table3[[#All],[CON P]],MATCH(Table5[[#This Row],[PID]],Table3[[#All],[PID]],0)))</f>
        <v>6</v>
      </c>
      <c r="O502" s="58">
        <f>IF($C502="B",INDEX(Batters[[#All],[EYE P]],MATCH(Table5[[#This Row],[PID]],Batters[[#All],[PID]],0)),INDEX(Table3[[#All],[VELO]],MATCH(Table5[[#This Row],[PID]],Table3[[#All],[PID]],0)))</f>
        <v>5</v>
      </c>
      <c r="P502" s="58">
        <f>IF($C502="B",INDEX(Batters[[#All],[K P]],MATCH(Table5[[#This Row],[PID]],Batters[[#All],[PID]],0)),INDEX(Table3[[#All],[STM]],MATCH(Table5[[#This Row],[PID]],Table3[[#All],[PID]],0)))</f>
        <v>2</v>
      </c>
      <c r="Q502" s="63">
        <f>IF($C502="B",INDEX(Batters[[#All],[Tot]],MATCH(Table5[[#This Row],[PID]],Batters[[#All],[PID]],0)),INDEX(Table3[[#All],[Tot]],MATCH(Table5[[#This Row],[PID]],Table3[[#All],[PID]],0)))</f>
        <v>39.348624322722372</v>
      </c>
      <c r="R502" s="54">
        <f>IF($C502="B",INDEX(Batters[[#All],[zScore]],MATCH(Table5[[#This Row],[PID]],Batters[[#All],[PID]],0)),INDEX(Table3[[#All],[zScore]],MATCH(Table5[[#This Row],[PID]],Table3[[#All],[PID]],0)))</f>
        <v>-0.17587702928813428</v>
      </c>
      <c r="S502" s="60" t="str">
        <f>IF($C502="B",INDEX(Batters[[#All],[DEM]],MATCH(Table5[[#This Row],[PID]],Batters[[#All],[PID]],0)),INDEX(Table3[[#All],[DEM]],MATCH(Table5[[#This Row],[PID]],Table3[[#All],[PID]],0)))</f>
        <v>-</v>
      </c>
      <c r="T502" s="64">
        <f>IF($C502="B",VLOOKUP($A502,Bat!$A$4:$AU$1417,46,FALSE),VLOOKUP($A502,Pit!$A$4:$BD$570,55,FALSE))</f>
        <v>0</v>
      </c>
      <c r="U502" s="52">
        <f>IF($C502="B",VLOOKUP($A502,Bat!$A$4:$BA$1417,47,FALSE),VLOOKUP($A502,Pit!$A$4:$BF$570,56,FALSE))</f>
        <v>0</v>
      </c>
      <c r="V502" s="52">
        <f>IF($C502="B",VLOOKUP($A502,Bat!$A$4:$BA$1417,48,FALSE),VLOOKUP($A502,Pit!$A$4:$BF$570,57,FALSE))</f>
        <v>0</v>
      </c>
      <c r="W502" s="52">
        <f>Table5[[#This Row],[posRnk]]+Table5[[#This Row],[zRnk]]+IF($W$3&lt;&gt;Table5[[#This Row],[Type]],50,0)</f>
        <v>548</v>
      </c>
      <c r="X502" s="53">
        <f>RANK(Table5[[#This Row],[zScore]],Table5[[#All],[zScore]])</f>
        <v>498</v>
      </c>
      <c r="Y502" s="52" t="str">
        <f>IFERROR(INDEX(DraftResults[[#All],[OVR]],MATCH(Table5[[#This Row],[PID]],DraftResults[[#All],[Player ID]],0)),"")</f>
        <v/>
      </c>
      <c r="Z5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2" s="52" t="str">
        <f>IFERROR(INDEX(DraftResults[[#All],[Pick in Round]],MATCH(Table5[[#This Row],[PID]],DraftResults[[#All],[Player ID]],0)),"")</f>
        <v/>
      </c>
      <c r="AB502" s="52" t="str">
        <f>IFERROR(INDEX(DraftResults[[#All],[Team Name]],MATCH(Table5[[#This Row],[PID]],DraftResults[[#All],[Player ID]],0)),"")</f>
        <v/>
      </c>
      <c r="AC502" s="52" t="str">
        <f>IF(Table5[[#This Row],[Ovr]]="","",IF(Table5[[#This Row],[cmbList]]="","",Table5[[#This Row],[cmbList]]-Table5[[#This Row],[Ovr]]))</f>
        <v/>
      </c>
      <c r="AD502" s="56" t="str">
        <f>IF(ISERROR(VLOOKUP($AB502&amp;"-"&amp;$E502&amp;" "&amp;F502,Bonuses!$B$1:$G$1006,4,FALSE)),"",INT(VLOOKUP($AB502&amp;"-"&amp;$E502&amp;" "&amp;$F502,Bonuses!$B$1:$G$1006,4,FALSE)))</f>
        <v/>
      </c>
      <c r="AE5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3" spans="1:31" s="52" customFormat="1" x14ac:dyDescent="0.25">
      <c r="A503" s="52">
        <v>12937</v>
      </c>
      <c r="B503" s="52">
        <f>COUNTIF(Table5[PID],A503)</f>
        <v>1</v>
      </c>
      <c r="C503" s="52" t="str">
        <f>IF(COUNTIF(Table3[[#All],[PID]],A503)&gt;0,"P","B")</f>
        <v>P</v>
      </c>
      <c r="D503" s="61" t="str">
        <f>IF($C503="B",INDEX(Batters[[#All],[POS]],MATCH(Table5[[#This Row],[PID]],Batters[[#All],[PID]],0)),INDEX(Table3[[#All],[POS]],MATCH(Table5[[#This Row],[PID]],Table3[[#All],[PID]],0)))</f>
        <v>SP</v>
      </c>
      <c r="E503" s="54" t="str">
        <f>IF($C503="B",INDEX(Batters[[#All],[First]],MATCH(Table5[[#This Row],[PID]],Batters[[#All],[PID]],0)),INDEX(Table3[[#All],[First]],MATCH(Table5[[#This Row],[PID]],Table3[[#All],[PID]],0)))</f>
        <v>Oscar</v>
      </c>
      <c r="F503" s="52" t="str">
        <f>IF($C503="B",INDEX(Batters[[#All],[Last]],MATCH(A503,Batters[[#All],[PID]],0)),INDEX(Table3[[#All],[Last]],MATCH(A503,Table3[[#All],[PID]],0)))</f>
        <v>Loder</v>
      </c>
      <c r="G503" s="58">
        <f>IF($C503="B",INDEX(Batters[[#All],[Age]],MATCH(Table5[[#This Row],[PID]],Batters[[#All],[PID]],0)),INDEX(Table3[[#All],[Age]],MATCH(Table5[[#This Row],[PID]],Table3[[#All],[PID]],0)))</f>
        <v>20</v>
      </c>
      <c r="H503" s="54" t="str">
        <f>IF($C503="B",INDEX(Batters[[#All],[B]],MATCH(Table5[[#This Row],[PID]],Batters[[#All],[PID]],0)),INDEX(Table3[[#All],[B]],MATCH(Table5[[#This Row],[PID]],Table3[[#All],[PID]],0)))</f>
        <v>R</v>
      </c>
      <c r="I503" s="54" t="str">
        <f>IF($C503="B",INDEX(Batters[[#All],[T]],MATCH(Table5[[#This Row],[PID]],Batters[[#All],[PID]],0)),INDEX(Table3[[#All],[T]],MATCH(Table5[[#This Row],[PID]],Table3[[#All],[PID]],0)))</f>
        <v>R</v>
      </c>
      <c r="J503" s="54" t="str">
        <f>IF($C503="B",INDEX(Batters[[#All],[WE]],MATCH(Table5[[#This Row],[PID]],Batters[[#All],[PID]],0)),INDEX(Table3[[#All],[WE]],MATCH(Table5[[#This Row],[PID]],Table3[[#All],[PID]],0)))</f>
        <v>Low</v>
      </c>
      <c r="K503" s="54" t="str">
        <f>IF($C503="B",INDEX(Batters[[#All],[INT]],MATCH(Table5[[#This Row],[PID]],Batters[[#All],[PID]],0)),INDEX(Table3[[#All],[INT]],MATCH(Table5[[#This Row],[PID]],Table3[[#All],[PID]],0)))</f>
        <v>Normal</v>
      </c>
      <c r="L503" s="62">
        <f>IF($C503="B",INDEX(Batters[[#All],[CON P]],MATCH(Table5[[#This Row],[PID]],Batters[[#All],[PID]],0)),INDEX(Table3[[#All],[STU P]],MATCH(Table5[[#This Row],[PID]],Table3[[#All],[PID]],0)))</f>
        <v>5</v>
      </c>
      <c r="M503" s="58">
        <f>IF($C503="B",INDEX(Batters[[#All],[GAP P]],MATCH(Table5[[#This Row],[PID]],Batters[[#All],[PID]],0)),INDEX(Table3[[#All],[MOV P]],MATCH(Table5[[#This Row],[PID]],Table3[[#All],[PID]],0)))</f>
        <v>1</v>
      </c>
      <c r="N503" s="58">
        <f>IF($C503="B",INDEX(Batters[[#All],[POW P]],MATCH(Table5[[#This Row],[PID]],Batters[[#All],[PID]],0)),INDEX(Table3[[#All],[CON P]],MATCH(Table5[[#This Row],[PID]],Table3[[#All],[PID]],0)))</f>
        <v>3</v>
      </c>
      <c r="O503" s="58" t="str">
        <f>IF($C503="B",INDEX(Batters[[#All],[EYE P]],MATCH(Table5[[#This Row],[PID]],Batters[[#All],[PID]],0)),INDEX(Table3[[#All],[VELO]],MATCH(Table5[[#This Row],[PID]],Table3[[#All],[PID]],0)))</f>
        <v>94-96 Mph</v>
      </c>
      <c r="P503" s="58">
        <f>IF($C503="B",INDEX(Batters[[#All],[K P]],MATCH(Table5[[#This Row],[PID]],Batters[[#All],[PID]],0)),INDEX(Table3[[#All],[STM]],MATCH(Table5[[#This Row],[PID]],Table3[[#All],[PID]],0)))</f>
        <v>6</v>
      </c>
      <c r="Q503" s="63">
        <f>IF($C503="B",INDEX(Batters[[#All],[Tot]],MATCH(Table5[[#This Row],[PID]],Batters[[#All],[PID]],0)),INDEX(Table3[[#All],[Tot]],MATCH(Table5[[#This Row],[PID]],Table3[[#All],[PID]],0)))</f>
        <v>30.794236164550167</v>
      </c>
      <c r="R503" s="54">
        <f>IF($C503="B",INDEX(Batters[[#All],[zScore]],MATCH(Table5[[#This Row],[PID]],Batters[[#All],[PID]],0)),INDEX(Table3[[#All],[zScore]],MATCH(Table5[[#This Row],[PID]],Table3[[#All],[PID]],0)))</f>
        <v>-0.17680718753614533</v>
      </c>
      <c r="S503" s="60" t="str">
        <f>IF($C503="B",INDEX(Batters[[#All],[DEM]],MATCH(Table5[[#This Row],[PID]],Batters[[#All],[PID]],0)),INDEX(Table3[[#All],[DEM]],MATCH(Table5[[#This Row],[PID]],Table3[[#All],[PID]],0)))</f>
        <v>$20k</v>
      </c>
      <c r="T503" s="64">
        <f>IF($C503="B",VLOOKUP($A503,Bat!$A$4:$AU$1417,46,FALSE),VLOOKUP($A503,Pit!$A$4:$BD$570,55,FALSE))</f>
        <v>0</v>
      </c>
      <c r="U503" s="52">
        <f>IF($C503="B",VLOOKUP($A503,Bat!$A$4:$BA$1417,47,FALSE),VLOOKUP($A503,Pit!$A$4:$BF$570,56,FALSE))</f>
        <v>0</v>
      </c>
      <c r="V503" s="52">
        <f>IF($C503="B",VLOOKUP($A503,Bat!$A$4:$BA$1417,48,FALSE),VLOOKUP($A503,Pit!$A$4:$BF$570,57,FALSE))</f>
        <v>0</v>
      </c>
      <c r="W503" s="52">
        <f>Table5[[#This Row],[posRnk]]+Table5[[#This Row],[zRnk]]+IF($W$3&lt;&gt;Table5[[#This Row],[Type]],50,0)</f>
        <v>549</v>
      </c>
      <c r="X503" s="53">
        <f>RANK(Table5[[#This Row],[zScore]],Table5[[#All],[zScore]])</f>
        <v>499</v>
      </c>
      <c r="Y503" s="52" t="str">
        <f>IFERROR(INDEX(DraftResults[[#All],[OVR]],MATCH(Table5[[#This Row],[PID]],DraftResults[[#All],[Player ID]],0)),"")</f>
        <v/>
      </c>
      <c r="Z5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3" s="52" t="str">
        <f>IFERROR(INDEX(DraftResults[[#All],[Pick in Round]],MATCH(Table5[[#This Row],[PID]],DraftResults[[#All],[Player ID]],0)),"")</f>
        <v/>
      </c>
      <c r="AB503" s="52" t="str">
        <f>IFERROR(INDEX(DraftResults[[#All],[Team Name]],MATCH(Table5[[#This Row],[PID]],DraftResults[[#All],[Player ID]],0)),"")</f>
        <v/>
      </c>
      <c r="AC503" s="52" t="str">
        <f>IF(Table5[[#This Row],[Ovr]]="","",IF(Table5[[#This Row],[cmbList]]="","",Table5[[#This Row],[cmbList]]-Table5[[#This Row],[Ovr]]))</f>
        <v/>
      </c>
      <c r="AD503" s="56" t="str">
        <f>IF(ISERROR(VLOOKUP($AB503&amp;"-"&amp;$E503&amp;" "&amp;F503,Bonuses!$B$1:$G$1006,4,FALSE)),"",INT(VLOOKUP($AB503&amp;"-"&amp;$E503&amp;" "&amp;$F503,Bonuses!$B$1:$G$1006,4,FALSE)))</f>
        <v/>
      </c>
      <c r="AE5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4" spans="1:31" s="52" customFormat="1" x14ac:dyDescent="0.25">
      <c r="A504" s="52">
        <v>12166</v>
      </c>
      <c r="B504" s="52">
        <f>COUNTIF(Table5[PID],A504)</f>
        <v>1</v>
      </c>
      <c r="C504" s="52" t="str">
        <f>IF(COUNTIF(Table3[[#All],[PID]],A504)&gt;0,"P","B")</f>
        <v>B</v>
      </c>
      <c r="D504" s="61" t="str">
        <f>IF($C504="B",INDEX(Batters[[#All],[POS]],MATCH(Table5[[#This Row],[PID]],Batters[[#All],[PID]],0)),INDEX(Table3[[#All],[POS]],MATCH(Table5[[#This Row],[PID]],Table3[[#All],[PID]],0)))</f>
        <v>1B</v>
      </c>
      <c r="E504" s="54" t="str">
        <f>IF($C504="B",INDEX(Batters[[#All],[First]],MATCH(Table5[[#This Row],[PID]],Batters[[#All],[PID]],0)),INDEX(Table3[[#All],[First]],MATCH(Table5[[#This Row],[PID]],Table3[[#All],[PID]],0)))</f>
        <v>Cam</v>
      </c>
      <c r="F504" s="52" t="str">
        <f>IF($C504="B",INDEX(Batters[[#All],[Last]],MATCH(A504,Batters[[#All],[PID]],0)),INDEX(Table3[[#All],[Last]],MATCH(A504,Table3[[#All],[PID]],0)))</f>
        <v>Howard</v>
      </c>
      <c r="G504" s="58">
        <f>IF($C504="B",INDEX(Batters[[#All],[Age]],MATCH(Table5[[#This Row],[PID]],Batters[[#All],[PID]],0)),INDEX(Table3[[#All],[Age]],MATCH(Table5[[#This Row],[PID]],Table3[[#All],[PID]],0)))</f>
        <v>18</v>
      </c>
      <c r="H504" s="54" t="str">
        <f>IF($C504="B",INDEX(Batters[[#All],[B]],MATCH(Table5[[#This Row],[PID]],Batters[[#All],[PID]],0)),INDEX(Table3[[#All],[B]],MATCH(Table5[[#This Row],[PID]],Table3[[#All],[PID]],0)))</f>
        <v>L</v>
      </c>
      <c r="I504" s="54" t="str">
        <f>IF($C504="B",INDEX(Batters[[#All],[T]],MATCH(Table5[[#This Row],[PID]],Batters[[#All],[PID]],0)),INDEX(Table3[[#All],[T]],MATCH(Table5[[#This Row],[PID]],Table3[[#All],[PID]],0)))</f>
        <v>R</v>
      </c>
      <c r="J504" s="54" t="str">
        <f>IF($C504="B",INDEX(Batters[[#All],[WE]],MATCH(Table5[[#This Row],[PID]],Batters[[#All],[PID]],0)),INDEX(Table3[[#All],[WE]],MATCH(Table5[[#This Row],[PID]],Table3[[#All],[PID]],0)))</f>
        <v>Low</v>
      </c>
      <c r="K504" s="54" t="str">
        <f>IF($C504="B",INDEX(Batters[[#All],[INT]],MATCH(Table5[[#This Row],[PID]],Batters[[#All],[PID]],0)),INDEX(Table3[[#All],[INT]],MATCH(Table5[[#This Row],[PID]],Table3[[#All],[PID]],0)))</f>
        <v>Low</v>
      </c>
      <c r="L504" s="62">
        <f>IF($C504="B",INDEX(Batters[[#All],[CON P]],MATCH(Table5[[#This Row],[PID]],Batters[[#All],[PID]],0)),INDEX(Table3[[#All],[STU P]],MATCH(Table5[[#This Row],[PID]],Table3[[#All],[PID]],0)))</f>
        <v>3</v>
      </c>
      <c r="M504" s="58">
        <f>IF($C504="B",INDEX(Batters[[#All],[GAP P]],MATCH(Table5[[#This Row],[PID]],Batters[[#All],[PID]],0)),INDEX(Table3[[#All],[MOV P]],MATCH(Table5[[#This Row],[PID]],Table3[[#All],[PID]],0)))</f>
        <v>2</v>
      </c>
      <c r="N504" s="58">
        <f>IF($C504="B",INDEX(Batters[[#All],[POW P]],MATCH(Table5[[#This Row],[PID]],Batters[[#All],[PID]],0)),INDEX(Table3[[#All],[CON P]],MATCH(Table5[[#This Row],[PID]],Table3[[#All],[PID]],0)))</f>
        <v>3</v>
      </c>
      <c r="O504" s="58">
        <f>IF($C504="B",INDEX(Batters[[#All],[EYE P]],MATCH(Table5[[#This Row],[PID]],Batters[[#All],[PID]],0)),INDEX(Table3[[#All],[VELO]],MATCH(Table5[[#This Row],[PID]],Table3[[#All],[PID]],0)))</f>
        <v>5</v>
      </c>
      <c r="P504" s="58">
        <f>IF($C504="B",INDEX(Batters[[#All],[K P]],MATCH(Table5[[#This Row],[PID]],Batters[[#All],[PID]],0)),INDEX(Table3[[#All],[STM]],MATCH(Table5[[#This Row],[PID]],Table3[[#All],[PID]],0)))</f>
        <v>2</v>
      </c>
      <c r="Q504" s="63">
        <f>IF($C504="B",INDEX(Batters[[#All],[Tot]],MATCH(Table5[[#This Row],[PID]],Batters[[#All],[PID]],0)),INDEX(Table3[[#All],[Tot]],MATCH(Table5[[#This Row],[PID]],Table3[[#All],[PID]],0)))</f>
        <v>39.321540575615927</v>
      </c>
      <c r="R504" s="54">
        <f>IF($C504="B",INDEX(Batters[[#All],[zScore]],MATCH(Table5[[#This Row],[PID]],Batters[[#All],[PID]],0)),INDEX(Table3[[#All],[zScore]],MATCH(Table5[[#This Row],[PID]],Table3[[#All],[PID]],0)))</f>
        <v>-0.18064223458471348</v>
      </c>
      <c r="S504" s="60" t="str">
        <f>IF($C504="B",INDEX(Batters[[#All],[DEM]],MATCH(Table5[[#This Row],[PID]],Batters[[#All],[PID]],0)),INDEX(Table3[[#All],[DEM]],MATCH(Table5[[#This Row],[PID]],Table3[[#All],[PID]],0)))</f>
        <v>$70k</v>
      </c>
      <c r="T504" s="64">
        <f>IF($C504="B",VLOOKUP($A504,Bat!$A$4:$AU$1417,46,FALSE),VLOOKUP($A504,Pit!$A$4:$BD$570,55,FALSE))</f>
        <v>0</v>
      </c>
      <c r="U504" s="52">
        <f>IF($C504="B",VLOOKUP($A504,Bat!$A$4:$BA$1417,47,FALSE),VLOOKUP($A504,Pit!$A$4:$BF$570,56,FALSE))</f>
        <v>0</v>
      </c>
      <c r="V504" s="52">
        <f>IF($C504="B",VLOOKUP($A504,Bat!$A$4:$BA$1417,48,FALSE),VLOOKUP($A504,Pit!$A$4:$BF$570,57,FALSE))</f>
        <v>0</v>
      </c>
      <c r="W504" s="52">
        <f>Table5[[#This Row],[posRnk]]+Table5[[#This Row],[zRnk]]+IF($W$3&lt;&gt;Table5[[#This Row],[Type]],50,0)</f>
        <v>550</v>
      </c>
      <c r="X504" s="53">
        <f>RANK(Table5[[#This Row],[zScore]],Table5[[#All],[zScore]])</f>
        <v>500</v>
      </c>
      <c r="Y504" s="52" t="str">
        <f>IFERROR(INDEX(DraftResults[[#All],[OVR]],MATCH(Table5[[#This Row],[PID]],DraftResults[[#All],[Player ID]],0)),"")</f>
        <v/>
      </c>
      <c r="Z5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4" s="52" t="str">
        <f>IFERROR(INDEX(DraftResults[[#All],[Pick in Round]],MATCH(Table5[[#This Row],[PID]],DraftResults[[#All],[Player ID]],0)),"")</f>
        <v/>
      </c>
      <c r="AB504" s="52" t="str">
        <f>IFERROR(INDEX(DraftResults[[#All],[Team Name]],MATCH(Table5[[#This Row],[PID]],DraftResults[[#All],[Player ID]],0)),"")</f>
        <v/>
      </c>
      <c r="AC504" s="52" t="str">
        <f>IF(Table5[[#This Row],[Ovr]]="","",IF(Table5[[#This Row],[cmbList]]="","",Table5[[#This Row],[cmbList]]-Table5[[#This Row],[Ovr]]))</f>
        <v/>
      </c>
      <c r="AD504" s="56" t="str">
        <f>IF(ISERROR(VLOOKUP($AB504&amp;"-"&amp;$E504&amp;" "&amp;F504,Bonuses!$B$1:$G$1006,4,FALSE)),"",INT(VLOOKUP($AB504&amp;"-"&amp;$E504&amp;" "&amp;$F504,Bonuses!$B$1:$G$1006,4,FALSE)))</f>
        <v/>
      </c>
      <c r="AE5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5" spans="1:31" s="52" customFormat="1" x14ac:dyDescent="0.25">
      <c r="A505" s="52">
        <v>17920</v>
      </c>
      <c r="B505" s="52">
        <f>COUNTIF(Table5[PID],A505)</f>
        <v>1</v>
      </c>
      <c r="C505" s="52" t="str">
        <f>IF(COUNTIF(Table3[[#All],[PID]],A505)&gt;0,"P","B")</f>
        <v>P</v>
      </c>
      <c r="D505" s="61" t="str">
        <f>IF($C505="B",INDEX(Batters[[#All],[POS]],MATCH(Table5[[#This Row],[PID]],Batters[[#All],[PID]],0)),INDEX(Table3[[#All],[POS]],MATCH(Table5[[#This Row],[PID]],Table3[[#All],[PID]],0)))</f>
        <v>SP</v>
      </c>
      <c r="E505" s="54" t="str">
        <f>IF($C505="B",INDEX(Batters[[#All],[First]],MATCH(Table5[[#This Row],[PID]],Batters[[#All],[PID]],0)),INDEX(Table3[[#All],[First]],MATCH(Table5[[#This Row],[PID]],Table3[[#All],[PID]],0)))</f>
        <v>Rafael</v>
      </c>
      <c r="F505" s="52" t="str">
        <f>IF($C505="B",INDEX(Batters[[#All],[Last]],MATCH(A505,Batters[[#All],[PID]],0)),INDEX(Table3[[#All],[Last]],MATCH(A505,Table3[[#All],[PID]],0)))</f>
        <v>Colón</v>
      </c>
      <c r="G505" s="58">
        <f>IF($C505="B",INDEX(Batters[[#All],[Age]],MATCH(Table5[[#This Row],[PID]],Batters[[#All],[PID]],0)),INDEX(Table3[[#All],[Age]],MATCH(Table5[[#This Row],[PID]],Table3[[#All],[PID]],0)))</f>
        <v>18</v>
      </c>
      <c r="H505" s="54" t="str">
        <f>IF($C505="B",INDEX(Batters[[#All],[B]],MATCH(Table5[[#This Row],[PID]],Batters[[#All],[PID]],0)),INDEX(Table3[[#All],[B]],MATCH(Table5[[#This Row],[PID]],Table3[[#All],[PID]],0)))</f>
        <v>S</v>
      </c>
      <c r="I505" s="54" t="str">
        <f>IF($C505="B",INDEX(Batters[[#All],[T]],MATCH(Table5[[#This Row],[PID]],Batters[[#All],[PID]],0)),INDEX(Table3[[#All],[T]],MATCH(Table5[[#This Row],[PID]],Table3[[#All],[PID]],0)))</f>
        <v>R</v>
      </c>
      <c r="J505" s="54" t="str">
        <f>IF($C505="B",INDEX(Batters[[#All],[WE]],MATCH(Table5[[#This Row],[PID]],Batters[[#All],[PID]],0)),INDEX(Table3[[#All],[WE]],MATCH(Table5[[#This Row],[PID]],Table3[[#All],[PID]],0)))</f>
        <v>Low</v>
      </c>
      <c r="K505" s="54" t="str">
        <f>IF($C505="B",INDEX(Batters[[#All],[INT]],MATCH(Table5[[#This Row],[PID]],Batters[[#All],[PID]],0)),INDEX(Table3[[#All],[INT]],MATCH(Table5[[#This Row],[PID]],Table3[[#All],[PID]],0)))</f>
        <v>Normal</v>
      </c>
      <c r="L505" s="62">
        <f>IF($C505="B",INDEX(Batters[[#All],[CON P]],MATCH(Table5[[#This Row],[PID]],Batters[[#All],[PID]],0)),INDEX(Table3[[#All],[STU P]],MATCH(Table5[[#This Row],[PID]],Table3[[#All],[PID]],0)))</f>
        <v>5</v>
      </c>
      <c r="M505" s="58">
        <f>IF($C505="B",INDEX(Batters[[#All],[GAP P]],MATCH(Table5[[#This Row],[PID]],Batters[[#All],[PID]],0)),INDEX(Table3[[#All],[MOV P]],MATCH(Table5[[#This Row],[PID]],Table3[[#All],[PID]],0)))</f>
        <v>1</v>
      </c>
      <c r="N505" s="58">
        <f>IF($C505="B",INDEX(Batters[[#All],[POW P]],MATCH(Table5[[#This Row],[PID]],Batters[[#All],[PID]],0)),INDEX(Table3[[#All],[CON P]],MATCH(Table5[[#This Row],[PID]],Table3[[#All],[PID]],0)))</f>
        <v>2</v>
      </c>
      <c r="O505" s="58" t="str">
        <f>IF($C505="B",INDEX(Batters[[#All],[EYE P]],MATCH(Table5[[#This Row],[PID]],Batters[[#All],[PID]],0)),INDEX(Table3[[#All],[VELO]],MATCH(Table5[[#This Row],[PID]],Table3[[#All],[PID]],0)))</f>
        <v>92-94 Mph</v>
      </c>
      <c r="P505" s="58">
        <f>IF($C505="B",INDEX(Batters[[#All],[K P]],MATCH(Table5[[#This Row],[PID]],Batters[[#All],[PID]],0)),INDEX(Table3[[#All],[STM]],MATCH(Table5[[#This Row],[PID]],Table3[[#All],[PID]],0)))</f>
        <v>4</v>
      </c>
      <c r="Q505" s="63">
        <f>IF($C505="B",INDEX(Batters[[#All],[Tot]],MATCH(Table5[[#This Row],[PID]],Batters[[#All],[PID]],0)),INDEX(Table3[[#All],[Tot]],MATCH(Table5[[#This Row],[PID]],Table3[[#All],[PID]],0)))</f>
        <v>30.748040506788179</v>
      </c>
      <c r="R505" s="54">
        <f>IF($C505="B",INDEX(Batters[[#All],[zScore]],MATCH(Table5[[#This Row],[PID]],Batters[[#All],[PID]],0)),INDEX(Table3[[#All],[zScore]],MATCH(Table5[[#This Row],[PID]],Table3[[#All],[PID]],0)))</f>
        <v>-0.18104352679731059</v>
      </c>
      <c r="S505" s="60" t="str">
        <f>IF($C505="B",INDEX(Batters[[#All],[DEM]],MATCH(Table5[[#This Row],[PID]],Batters[[#All],[PID]],0)),INDEX(Table3[[#All],[DEM]],MATCH(Table5[[#This Row],[PID]],Table3[[#All],[PID]],0)))</f>
        <v>$65k</v>
      </c>
      <c r="T505" s="64">
        <f>IF($C505="B",VLOOKUP($A505,Bat!$A$4:$AU$1417,46,FALSE),VLOOKUP($A505,Pit!$A$4:$BD$570,55,FALSE))</f>
        <v>0</v>
      </c>
      <c r="U505" s="52">
        <f>IF($C505="B",VLOOKUP($A505,Bat!$A$4:$BA$1417,47,FALSE),VLOOKUP($A505,Pit!$A$4:$BF$570,56,FALSE))</f>
        <v>0</v>
      </c>
      <c r="V505" s="52">
        <f>IF($C505="B",VLOOKUP($A505,Bat!$A$4:$BA$1417,48,FALSE),VLOOKUP($A505,Pit!$A$4:$BF$570,57,FALSE))</f>
        <v>0</v>
      </c>
      <c r="W505" s="52">
        <f>Table5[[#This Row],[posRnk]]+Table5[[#This Row],[zRnk]]+IF($W$3&lt;&gt;Table5[[#This Row],[Type]],50,0)</f>
        <v>551</v>
      </c>
      <c r="X505" s="53">
        <f>RANK(Table5[[#This Row],[zScore]],Table5[[#All],[zScore]])</f>
        <v>501</v>
      </c>
      <c r="Y505" s="52" t="str">
        <f>IFERROR(INDEX(DraftResults[[#All],[OVR]],MATCH(Table5[[#This Row],[PID]],DraftResults[[#All],[Player ID]],0)),"")</f>
        <v/>
      </c>
      <c r="Z5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5" s="52" t="str">
        <f>IFERROR(INDEX(DraftResults[[#All],[Pick in Round]],MATCH(Table5[[#This Row],[PID]],DraftResults[[#All],[Player ID]],0)),"")</f>
        <v/>
      </c>
      <c r="AB505" s="52" t="str">
        <f>IFERROR(INDEX(DraftResults[[#All],[Team Name]],MATCH(Table5[[#This Row],[PID]],DraftResults[[#All],[Player ID]],0)),"")</f>
        <v/>
      </c>
      <c r="AC505" s="52" t="str">
        <f>IF(Table5[[#This Row],[Ovr]]="","",IF(Table5[[#This Row],[cmbList]]="","",Table5[[#This Row],[cmbList]]-Table5[[#This Row],[Ovr]]))</f>
        <v/>
      </c>
      <c r="AD505" s="56" t="str">
        <f>IF(ISERROR(VLOOKUP($AB505&amp;"-"&amp;$E505&amp;" "&amp;F505,Bonuses!$B$1:$G$1006,4,FALSE)),"",INT(VLOOKUP($AB505&amp;"-"&amp;$E505&amp;" "&amp;$F505,Bonuses!$B$1:$G$1006,4,FALSE)))</f>
        <v/>
      </c>
      <c r="AE5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6" spans="1:31" s="52" customFormat="1" x14ac:dyDescent="0.25">
      <c r="A506" s="52">
        <v>8681</v>
      </c>
      <c r="B506" s="52">
        <f>COUNTIF(Table5[PID],A506)</f>
        <v>1</v>
      </c>
      <c r="C506" s="52" t="str">
        <f>IF(COUNTIF(Table3[[#All],[PID]],A506)&gt;0,"P","B")</f>
        <v>P</v>
      </c>
      <c r="D506" s="61" t="str">
        <f>IF($C506="B",INDEX(Batters[[#All],[POS]],MATCH(Table5[[#This Row],[PID]],Batters[[#All],[PID]],0)),INDEX(Table3[[#All],[POS]],MATCH(Table5[[#This Row],[PID]],Table3[[#All],[PID]],0)))</f>
        <v>RP</v>
      </c>
      <c r="E506" s="54" t="str">
        <f>IF($C506="B",INDEX(Batters[[#All],[First]],MATCH(Table5[[#This Row],[PID]],Batters[[#All],[PID]],0)),INDEX(Table3[[#All],[First]],MATCH(Table5[[#This Row],[PID]],Table3[[#All],[PID]],0)))</f>
        <v>Kelly</v>
      </c>
      <c r="F506" s="52" t="str">
        <f>IF($C506="B",INDEX(Batters[[#All],[Last]],MATCH(A506,Batters[[#All],[PID]],0)),INDEX(Table3[[#All],[Last]],MATCH(A506,Table3[[#All],[PID]],0)))</f>
        <v>Simpson</v>
      </c>
      <c r="G506" s="58">
        <f>IF($C506="B",INDEX(Batters[[#All],[Age]],MATCH(Table5[[#This Row],[PID]],Batters[[#All],[PID]],0)),INDEX(Table3[[#All],[Age]],MATCH(Table5[[#This Row],[PID]],Table3[[#All],[PID]],0)))</f>
        <v>18</v>
      </c>
      <c r="H506" s="54" t="str">
        <f>IF($C506="B",INDEX(Batters[[#All],[B]],MATCH(Table5[[#This Row],[PID]],Batters[[#All],[PID]],0)),INDEX(Table3[[#All],[B]],MATCH(Table5[[#This Row],[PID]],Table3[[#All],[PID]],0)))</f>
        <v>L</v>
      </c>
      <c r="I506" s="54" t="str">
        <f>IF($C506="B",INDEX(Batters[[#All],[T]],MATCH(Table5[[#This Row],[PID]],Batters[[#All],[PID]],0)),INDEX(Table3[[#All],[T]],MATCH(Table5[[#This Row],[PID]],Table3[[#All],[PID]],0)))</f>
        <v>L</v>
      </c>
      <c r="J506" s="54" t="str">
        <f>IF($C506="B",INDEX(Batters[[#All],[WE]],MATCH(Table5[[#This Row],[PID]],Batters[[#All],[PID]],0)),INDEX(Table3[[#All],[WE]],MATCH(Table5[[#This Row],[PID]],Table3[[#All],[PID]],0)))</f>
        <v>Low</v>
      </c>
      <c r="K506" s="54" t="str">
        <f>IF($C506="B",INDEX(Batters[[#All],[INT]],MATCH(Table5[[#This Row],[PID]],Batters[[#All],[PID]],0)),INDEX(Table3[[#All],[INT]],MATCH(Table5[[#This Row],[PID]],Table3[[#All],[PID]],0)))</f>
        <v>Low</v>
      </c>
      <c r="L506" s="62">
        <f>IF($C506="B",INDEX(Batters[[#All],[CON P]],MATCH(Table5[[#This Row],[PID]],Batters[[#All],[PID]],0)),INDEX(Table3[[#All],[STU P]],MATCH(Table5[[#This Row],[PID]],Table3[[#All],[PID]],0)))</f>
        <v>3</v>
      </c>
      <c r="M506" s="58">
        <f>IF($C506="B",INDEX(Batters[[#All],[GAP P]],MATCH(Table5[[#This Row],[PID]],Batters[[#All],[PID]],0)),INDEX(Table3[[#All],[MOV P]],MATCH(Table5[[#This Row],[PID]],Table3[[#All],[PID]],0)))</f>
        <v>2</v>
      </c>
      <c r="N506" s="58">
        <f>IF($C506="B",INDEX(Batters[[#All],[POW P]],MATCH(Table5[[#This Row],[PID]],Batters[[#All],[PID]],0)),INDEX(Table3[[#All],[CON P]],MATCH(Table5[[#This Row],[PID]],Table3[[#All],[PID]],0)))</f>
        <v>2</v>
      </c>
      <c r="O506" s="58" t="str">
        <f>IF($C506="B",INDEX(Batters[[#All],[EYE P]],MATCH(Table5[[#This Row],[PID]],Batters[[#All],[PID]],0)),INDEX(Table3[[#All],[VELO]],MATCH(Table5[[#This Row],[PID]],Table3[[#All],[PID]],0)))</f>
        <v>84-86 Mph</v>
      </c>
      <c r="P506" s="58">
        <f>IF($C506="B",INDEX(Batters[[#All],[K P]],MATCH(Table5[[#This Row],[PID]],Batters[[#All],[PID]],0)),INDEX(Table3[[#All],[STM]],MATCH(Table5[[#This Row],[PID]],Table3[[#All],[PID]],0)))</f>
        <v>6</v>
      </c>
      <c r="Q506" s="63">
        <f>IF($C506="B",INDEX(Batters[[#All],[Tot]],MATCH(Table5[[#This Row],[PID]],Batters[[#All],[PID]],0)),INDEX(Table3[[#All],[Tot]],MATCH(Table5[[#This Row],[PID]],Table3[[#All],[PID]],0)))</f>
        <v>28.296915329443525</v>
      </c>
      <c r="R506" s="54">
        <f>IF($C506="B",INDEX(Batters[[#All],[zScore]],MATCH(Table5[[#This Row],[PID]],Batters[[#All],[PID]],0)),INDEX(Table3[[#All],[zScore]],MATCH(Table5[[#This Row],[PID]],Table3[[#All],[PID]],0)))</f>
        <v>-0.18390305156148731</v>
      </c>
      <c r="S506" s="60" t="str">
        <f>IF($C506="B",INDEX(Batters[[#All],[DEM]],MATCH(Table5[[#This Row],[PID]],Batters[[#All],[PID]],0)),INDEX(Table3[[#All],[DEM]],MATCH(Table5[[#This Row],[PID]],Table3[[#All],[PID]],0)))</f>
        <v>$65k</v>
      </c>
      <c r="T506" s="64">
        <f>IF($C506="B",VLOOKUP($A506,Bat!$A$4:$AU$1417,46,FALSE),VLOOKUP($A506,Pit!$A$4:$BD$570,55,FALSE))</f>
        <v>0</v>
      </c>
      <c r="U506" s="52">
        <f>IF($C506="B",VLOOKUP($A506,Bat!$A$4:$BA$1417,47,FALSE),VLOOKUP($A506,Pit!$A$4:$BF$570,56,FALSE))</f>
        <v>0</v>
      </c>
      <c r="V506" s="52">
        <f>IF($C506="B",VLOOKUP($A506,Bat!$A$4:$BA$1417,48,FALSE),VLOOKUP($A506,Pit!$A$4:$BF$570,57,FALSE))</f>
        <v>0</v>
      </c>
      <c r="W506" s="52">
        <f>Table5[[#This Row],[posRnk]]+Table5[[#This Row],[zRnk]]+IF($W$3&lt;&gt;Table5[[#This Row],[Type]],50,0)</f>
        <v>552</v>
      </c>
      <c r="X506" s="53">
        <f>RANK(Table5[[#This Row],[zScore]],Table5[[#All],[zScore]])</f>
        <v>502</v>
      </c>
      <c r="Y506" s="52" t="str">
        <f>IFERROR(INDEX(DraftResults[[#All],[OVR]],MATCH(Table5[[#This Row],[PID]],DraftResults[[#All],[Player ID]],0)),"")</f>
        <v/>
      </c>
      <c r="Z5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6" s="52" t="str">
        <f>IFERROR(INDEX(DraftResults[[#All],[Pick in Round]],MATCH(Table5[[#This Row],[PID]],DraftResults[[#All],[Player ID]],0)),"")</f>
        <v/>
      </c>
      <c r="AB506" s="52" t="str">
        <f>IFERROR(INDEX(DraftResults[[#All],[Team Name]],MATCH(Table5[[#This Row],[PID]],DraftResults[[#All],[Player ID]],0)),"")</f>
        <v/>
      </c>
      <c r="AC506" s="52" t="str">
        <f>IF(Table5[[#This Row],[Ovr]]="","",IF(Table5[[#This Row],[cmbList]]="","",Table5[[#This Row],[cmbList]]-Table5[[#This Row],[Ovr]]))</f>
        <v/>
      </c>
      <c r="AD506" s="56" t="str">
        <f>IF(ISERROR(VLOOKUP($AB506&amp;"-"&amp;$E506&amp;" "&amp;F506,Bonuses!$B$1:$G$1006,4,FALSE)),"",INT(VLOOKUP($AB506&amp;"-"&amp;$E506&amp;" "&amp;$F506,Bonuses!$B$1:$G$1006,4,FALSE)))</f>
        <v/>
      </c>
      <c r="AE5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7" spans="1:31" s="52" customFormat="1" x14ac:dyDescent="0.25">
      <c r="A507" s="52">
        <v>17915</v>
      </c>
      <c r="B507" s="52">
        <f>COUNTIF(Table5[PID],A507)</f>
        <v>1</v>
      </c>
      <c r="C507" s="52" t="str">
        <f>IF(COUNTIF(Table3[[#All],[PID]],A507)&gt;0,"P","B")</f>
        <v>P</v>
      </c>
      <c r="D507" s="61" t="str">
        <f>IF($C507="B",INDEX(Batters[[#All],[POS]],MATCH(Table5[[#This Row],[PID]],Batters[[#All],[PID]],0)),INDEX(Table3[[#All],[POS]],MATCH(Table5[[#This Row],[PID]],Table3[[#All],[PID]],0)))</f>
        <v>RP</v>
      </c>
      <c r="E507" s="54" t="str">
        <f>IF($C507="B",INDEX(Batters[[#All],[First]],MATCH(Table5[[#This Row],[PID]],Batters[[#All],[PID]],0)),INDEX(Table3[[#All],[First]],MATCH(Table5[[#This Row],[PID]],Table3[[#All],[PID]],0)))</f>
        <v>Lorenzo</v>
      </c>
      <c r="F507" s="52" t="str">
        <f>IF($C507="B",INDEX(Batters[[#All],[Last]],MATCH(A507,Batters[[#All],[PID]],0)),INDEX(Table3[[#All],[Last]],MATCH(A507,Table3[[#All],[PID]],0)))</f>
        <v>Cruz</v>
      </c>
      <c r="G507" s="58">
        <f>IF($C507="B",INDEX(Batters[[#All],[Age]],MATCH(Table5[[#This Row],[PID]],Batters[[#All],[PID]],0)),INDEX(Table3[[#All],[Age]],MATCH(Table5[[#This Row],[PID]],Table3[[#All],[PID]],0)))</f>
        <v>18</v>
      </c>
      <c r="H507" s="54" t="str">
        <f>IF($C507="B",INDEX(Batters[[#All],[B]],MATCH(Table5[[#This Row],[PID]],Batters[[#All],[PID]],0)),INDEX(Table3[[#All],[B]],MATCH(Table5[[#This Row],[PID]],Table3[[#All],[PID]],0)))</f>
        <v>R</v>
      </c>
      <c r="I507" s="54" t="str">
        <f>IF($C507="B",INDEX(Batters[[#All],[T]],MATCH(Table5[[#This Row],[PID]],Batters[[#All],[PID]],0)),INDEX(Table3[[#All],[T]],MATCH(Table5[[#This Row],[PID]],Table3[[#All],[PID]],0)))</f>
        <v>R</v>
      </c>
      <c r="J507" s="54" t="str">
        <f>IF($C507="B",INDEX(Batters[[#All],[WE]],MATCH(Table5[[#This Row],[PID]],Batters[[#All],[PID]],0)),INDEX(Table3[[#All],[WE]],MATCH(Table5[[#This Row],[PID]],Table3[[#All],[PID]],0)))</f>
        <v>High</v>
      </c>
      <c r="K507" s="54" t="str">
        <f>IF($C507="B",INDEX(Batters[[#All],[INT]],MATCH(Table5[[#This Row],[PID]],Batters[[#All],[PID]],0)),INDEX(Table3[[#All],[INT]],MATCH(Table5[[#This Row],[PID]],Table3[[#All],[PID]],0)))</f>
        <v>Normal</v>
      </c>
      <c r="L507" s="62">
        <f>IF($C507="B",INDEX(Batters[[#All],[CON P]],MATCH(Table5[[#This Row],[PID]],Batters[[#All],[PID]],0)),INDEX(Table3[[#All],[STU P]],MATCH(Table5[[#This Row],[PID]],Table3[[#All],[PID]],0)))</f>
        <v>3</v>
      </c>
      <c r="M507" s="58">
        <f>IF($C507="B",INDEX(Batters[[#All],[GAP P]],MATCH(Table5[[#This Row],[PID]],Batters[[#All],[PID]],0)),INDEX(Table3[[#All],[MOV P]],MATCH(Table5[[#This Row],[PID]],Table3[[#All],[PID]],0)))</f>
        <v>2</v>
      </c>
      <c r="N507" s="58">
        <f>IF($C507="B",INDEX(Batters[[#All],[POW P]],MATCH(Table5[[#This Row],[PID]],Batters[[#All],[PID]],0)),INDEX(Table3[[#All],[CON P]],MATCH(Table5[[#This Row],[PID]],Table3[[#All],[PID]],0)))</f>
        <v>3</v>
      </c>
      <c r="O507" s="58" t="str">
        <f>IF($C507="B",INDEX(Batters[[#All],[EYE P]],MATCH(Table5[[#This Row],[PID]],Batters[[#All],[PID]],0)),INDEX(Table3[[#All],[VELO]],MATCH(Table5[[#This Row],[PID]],Table3[[#All],[PID]],0)))</f>
        <v>86-88 Mph</v>
      </c>
      <c r="P507" s="58">
        <f>IF($C507="B",INDEX(Batters[[#All],[K P]],MATCH(Table5[[#This Row],[PID]],Batters[[#All],[PID]],0)),INDEX(Table3[[#All],[STM]],MATCH(Table5[[#This Row],[PID]],Table3[[#All],[PID]],0)))</f>
        <v>7</v>
      </c>
      <c r="Q507" s="63">
        <f>IF($C507="B",INDEX(Batters[[#All],[Tot]],MATCH(Table5[[#This Row],[PID]],Batters[[#All],[PID]],0)),INDEX(Table3[[#All],[Tot]],MATCH(Table5[[#This Row],[PID]],Table3[[#All],[PID]],0)))</f>
        <v>30.704704217103711</v>
      </c>
      <c r="R507" s="54">
        <f>IF($C507="B",INDEX(Batters[[#All],[zScore]],MATCH(Table5[[#This Row],[PID]],Batters[[#All],[PID]],0)),INDEX(Table3[[#All],[zScore]],MATCH(Table5[[#This Row],[PID]],Table3[[#All],[PID]],0)))</f>
        <v>-0.1850176497845713</v>
      </c>
      <c r="S507" s="60" t="str">
        <f>IF($C507="B",INDEX(Batters[[#All],[DEM]],MATCH(Table5[[#This Row],[PID]],Batters[[#All],[PID]],0)),INDEX(Table3[[#All],[DEM]],MATCH(Table5[[#This Row],[PID]],Table3[[#All],[PID]],0)))</f>
        <v>$65k</v>
      </c>
      <c r="T507" s="64">
        <f>IF($C507="B",VLOOKUP($A507,Bat!$A$4:$AU$1417,46,FALSE),VLOOKUP($A507,Pit!$A$4:$BD$570,55,FALSE))</f>
        <v>0</v>
      </c>
      <c r="U507" s="52">
        <f>IF($C507="B",VLOOKUP($A507,Bat!$A$4:$BA$1417,47,FALSE),VLOOKUP($A507,Pit!$A$4:$BF$570,56,FALSE))</f>
        <v>0</v>
      </c>
      <c r="V507" s="52">
        <f>IF($C507="B",VLOOKUP($A507,Bat!$A$4:$BA$1417,48,FALSE),VLOOKUP($A507,Pit!$A$4:$BF$570,57,FALSE))</f>
        <v>0</v>
      </c>
      <c r="W507" s="52">
        <f>Table5[[#This Row],[posRnk]]+Table5[[#This Row],[zRnk]]+IF($W$3&lt;&gt;Table5[[#This Row],[Type]],50,0)</f>
        <v>553</v>
      </c>
      <c r="X507" s="53">
        <f>RANK(Table5[[#This Row],[zScore]],Table5[[#All],[zScore]])</f>
        <v>503</v>
      </c>
      <c r="Y507" s="52" t="str">
        <f>IFERROR(INDEX(DraftResults[[#All],[OVR]],MATCH(Table5[[#This Row],[PID]],DraftResults[[#All],[Player ID]],0)),"")</f>
        <v/>
      </c>
      <c r="Z5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7" s="52" t="str">
        <f>IFERROR(INDEX(DraftResults[[#All],[Pick in Round]],MATCH(Table5[[#This Row],[PID]],DraftResults[[#All],[Player ID]],0)),"")</f>
        <v/>
      </c>
      <c r="AB507" s="52" t="str">
        <f>IFERROR(INDEX(DraftResults[[#All],[Team Name]],MATCH(Table5[[#This Row],[PID]],DraftResults[[#All],[Player ID]],0)),"")</f>
        <v/>
      </c>
      <c r="AC507" s="52" t="str">
        <f>IF(Table5[[#This Row],[Ovr]]="","",IF(Table5[[#This Row],[cmbList]]="","",Table5[[#This Row],[cmbList]]-Table5[[#This Row],[Ovr]]))</f>
        <v/>
      </c>
      <c r="AD507" s="56" t="str">
        <f>IF(ISERROR(VLOOKUP($AB507&amp;"-"&amp;$E507&amp;" "&amp;F507,Bonuses!$B$1:$G$1006,4,FALSE)),"",INT(VLOOKUP($AB507&amp;"-"&amp;$E507&amp;" "&amp;$F507,Bonuses!$B$1:$G$1006,4,FALSE)))</f>
        <v/>
      </c>
      <c r="AE5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8" spans="1:31" s="52" customFormat="1" x14ac:dyDescent="0.25">
      <c r="A508" s="52">
        <v>6096</v>
      </c>
      <c r="B508" s="52">
        <f>COUNTIF(Table5[PID],A508)</f>
        <v>1</v>
      </c>
      <c r="C508" s="52" t="str">
        <f>IF(COUNTIF(Table3[[#All],[PID]],A508)&gt;0,"P","B")</f>
        <v>P</v>
      </c>
      <c r="D508" s="61" t="str">
        <f>IF($C508="B",INDEX(Batters[[#All],[POS]],MATCH(Table5[[#This Row],[PID]],Batters[[#All],[PID]],0)),INDEX(Table3[[#All],[POS]],MATCH(Table5[[#This Row],[PID]],Table3[[#All],[PID]],0)))</f>
        <v>RP</v>
      </c>
      <c r="E508" s="54" t="str">
        <f>IF($C508="B",INDEX(Batters[[#All],[First]],MATCH(Table5[[#This Row],[PID]],Batters[[#All],[PID]],0)),INDEX(Table3[[#All],[First]],MATCH(Table5[[#This Row],[PID]],Table3[[#All],[PID]],0)))</f>
        <v>Juan</v>
      </c>
      <c r="F508" s="52" t="str">
        <f>IF($C508="B",INDEX(Batters[[#All],[Last]],MATCH(A508,Batters[[#All],[PID]],0)),INDEX(Table3[[#All],[Last]],MATCH(A508,Table3[[#All],[PID]],0)))</f>
        <v>Deleón</v>
      </c>
      <c r="G508" s="58">
        <f>IF($C508="B",INDEX(Batters[[#All],[Age]],MATCH(Table5[[#This Row],[PID]],Batters[[#All],[PID]],0)),INDEX(Table3[[#All],[Age]],MATCH(Table5[[#This Row],[PID]],Table3[[#All],[PID]],0)))</f>
        <v>18</v>
      </c>
      <c r="H508" s="54" t="str">
        <f>IF($C508="B",INDEX(Batters[[#All],[B]],MATCH(Table5[[#This Row],[PID]],Batters[[#All],[PID]],0)),INDEX(Table3[[#All],[B]],MATCH(Table5[[#This Row],[PID]],Table3[[#All],[PID]],0)))</f>
        <v>R</v>
      </c>
      <c r="I508" s="54" t="str">
        <f>IF($C508="B",INDEX(Batters[[#All],[T]],MATCH(Table5[[#This Row],[PID]],Batters[[#All],[PID]],0)),INDEX(Table3[[#All],[T]],MATCH(Table5[[#This Row],[PID]],Table3[[#All],[PID]],0)))</f>
        <v>R</v>
      </c>
      <c r="J508" s="54" t="str">
        <f>IF($C508="B",INDEX(Batters[[#All],[WE]],MATCH(Table5[[#This Row],[PID]],Batters[[#All],[PID]],0)),INDEX(Table3[[#All],[WE]],MATCH(Table5[[#This Row],[PID]],Table3[[#All],[PID]],0)))</f>
        <v>Low</v>
      </c>
      <c r="K508" s="54" t="str">
        <f>IF($C508="B",INDEX(Batters[[#All],[INT]],MATCH(Table5[[#This Row],[PID]],Batters[[#All],[PID]],0)),INDEX(Table3[[#All],[INT]],MATCH(Table5[[#This Row],[PID]],Table3[[#All],[PID]],0)))</f>
        <v>High</v>
      </c>
      <c r="L508" s="62">
        <f>IF($C508="B",INDEX(Batters[[#All],[CON P]],MATCH(Table5[[#This Row],[PID]],Batters[[#All],[PID]],0)),INDEX(Table3[[#All],[STU P]],MATCH(Table5[[#This Row],[PID]],Table3[[#All],[PID]],0)))</f>
        <v>4</v>
      </c>
      <c r="M508" s="58">
        <f>IF($C508="B",INDEX(Batters[[#All],[GAP P]],MATCH(Table5[[#This Row],[PID]],Batters[[#All],[PID]],0)),INDEX(Table3[[#All],[MOV P]],MATCH(Table5[[#This Row],[PID]],Table3[[#All],[PID]],0)))</f>
        <v>2</v>
      </c>
      <c r="N508" s="58">
        <f>IF($C508="B",INDEX(Batters[[#All],[POW P]],MATCH(Table5[[#This Row],[PID]],Batters[[#All],[PID]],0)),INDEX(Table3[[#All],[CON P]],MATCH(Table5[[#This Row],[PID]],Table3[[#All],[PID]],0)))</f>
        <v>2</v>
      </c>
      <c r="O508" s="58" t="str">
        <f>IF($C508="B",INDEX(Batters[[#All],[EYE P]],MATCH(Table5[[#This Row],[PID]],Batters[[#All],[PID]],0)),INDEX(Table3[[#All],[VELO]],MATCH(Table5[[#This Row],[PID]],Table3[[#All],[PID]],0)))</f>
        <v>85-87 Mph</v>
      </c>
      <c r="P508" s="58">
        <f>IF($C508="B",INDEX(Batters[[#All],[K P]],MATCH(Table5[[#This Row],[PID]],Batters[[#All],[PID]],0)),INDEX(Table3[[#All],[STM]],MATCH(Table5[[#This Row],[PID]],Table3[[#All],[PID]],0)))</f>
        <v>7</v>
      </c>
      <c r="Q508" s="63">
        <f>IF($C508="B",INDEX(Batters[[#All],[Tot]],MATCH(Table5[[#This Row],[PID]],Batters[[#All],[PID]],0)),INDEX(Table3[[#All],[Tot]],MATCH(Table5[[#This Row],[PID]],Table3[[#All],[PID]],0)))</f>
        <v>30.687248627749909</v>
      </c>
      <c r="R508" s="54">
        <f>IF($C508="B",INDEX(Batters[[#All],[zScore]],MATCH(Table5[[#This Row],[PID]],Batters[[#All],[PID]],0)),INDEX(Table3[[#All],[zScore]],MATCH(Table5[[#This Row],[PID]],Table3[[#All],[PID]],0)))</f>
        <v>-0.18661840193507181</v>
      </c>
      <c r="S508" s="60" t="str">
        <f>IF($C508="B",INDEX(Batters[[#All],[DEM]],MATCH(Table5[[#This Row],[PID]],Batters[[#All],[PID]],0)),INDEX(Table3[[#All],[DEM]],MATCH(Table5[[#This Row],[PID]],Table3[[#All],[PID]],0)))</f>
        <v>$70k</v>
      </c>
      <c r="T508" s="64">
        <f>IF($C508="B",VLOOKUP($A508,Bat!$A$4:$AU$1417,46,FALSE),VLOOKUP($A508,Pit!$A$4:$BD$570,55,FALSE))</f>
        <v>0</v>
      </c>
      <c r="U508" s="52">
        <f>IF($C508="B",VLOOKUP($A508,Bat!$A$4:$BA$1417,47,FALSE),VLOOKUP($A508,Pit!$A$4:$BF$570,56,FALSE))</f>
        <v>0</v>
      </c>
      <c r="V508" s="52">
        <f>IF($C508="B",VLOOKUP($A508,Bat!$A$4:$BA$1417,48,FALSE),VLOOKUP($A508,Pit!$A$4:$BF$570,57,FALSE))</f>
        <v>0</v>
      </c>
      <c r="W508" s="52">
        <f>Table5[[#This Row],[posRnk]]+Table5[[#This Row],[zRnk]]+IF($W$3&lt;&gt;Table5[[#This Row],[Type]],50,0)</f>
        <v>554</v>
      </c>
      <c r="X508" s="53">
        <f>RANK(Table5[[#This Row],[zScore]],Table5[[#All],[zScore]])</f>
        <v>504</v>
      </c>
      <c r="Y508" s="52" t="str">
        <f>IFERROR(INDEX(DraftResults[[#All],[OVR]],MATCH(Table5[[#This Row],[PID]],DraftResults[[#All],[Player ID]],0)),"")</f>
        <v/>
      </c>
      <c r="Z5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8" s="52" t="str">
        <f>IFERROR(INDEX(DraftResults[[#All],[Pick in Round]],MATCH(Table5[[#This Row],[PID]],DraftResults[[#All],[Player ID]],0)),"")</f>
        <v/>
      </c>
      <c r="AB508" s="52" t="str">
        <f>IFERROR(INDEX(DraftResults[[#All],[Team Name]],MATCH(Table5[[#This Row],[PID]],DraftResults[[#All],[Player ID]],0)),"")</f>
        <v/>
      </c>
      <c r="AC508" s="52" t="str">
        <f>IF(Table5[[#This Row],[Ovr]]="","",IF(Table5[[#This Row],[cmbList]]="","",Table5[[#This Row],[cmbList]]-Table5[[#This Row],[Ovr]]))</f>
        <v/>
      </c>
      <c r="AD508" s="56" t="str">
        <f>IF(ISERROR(VLOOKUP($AB508&amp;"-"&amp;$E508&amp;" "&amp;F508,Bonuses!$B$1:$G$1006,4,FALSE)),"",INT(VLOOKUP($AB508&amp;"-"&amp;$E508&amp;" "&amp;$F508,Bonuses!$B$1:$G$1006,4,FALSE)))</f>
        <v/>
      </c>
      <c r="AE5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9" spans="1:31" s="52" customFormat="1" x14ac:dyDescent="0.25">
      <c r="A509" s="52">
        <v>13238</v>
      </c>
      <c r="B509" s="52">
        <f>COUNTIF(Table5[PID],A509)</f>
        <v>1</v>
      </c>
      <c r="C509" s="52" t="str">
        <f>IF(COUNTIF(Table3[[#All],[PID]],A509)&gt;0,"P","B")</f>
        <v>P</v>
      </c>
      <c r="D509" s="61" t="str">
        <f>IF($C509="B",INDEX(Batters[[#All],[POS]],MATCH(Table5[[#This Row],[PID]],Batters[[#All],[PID]],0)),INDEX(Table3[[#All],[POS]],MATCH(Table5[[#This Row],[PID]],Table3[[#All],[PID]],0)))</f>
        <v>RP</v>
      </c>
      <c r="E509" s="54" t="str">
        <f>IF($C509="B",INDEX(Batters[[#All],[First]],MATCH(Table5[[#This Row],[PID]],Batters[[#All],[PID]],0)),INDEX(Table3[[#All],[First]],MATCH(Table5[[#This Row],[PID]],Table3[[#All],[PID]],0)))</f>
        <v>Sotan</v>
      </c>
      <c r="F509" s="52" t="str">
        <f>IF($C509="B",INDEX(Batters[[#All],[Last]],MATCH(A509,Batters[[#All],[PID]],0)),INDEX(Table3[[#All],[Last]],MATCH(A509,Table3[[#All],[PID]],0)))</f>
        <v>Tanabe</v>
      </c>
      <c r="G509" s="58">
        <f>IF($C509="B",INDEX(Batters[[#All],[Age]],MATCH(Table5[[#This Row],[PID]],Batters[[#All],[PID]],0)),INDEX(Table3[[#All],[Age]],MATCH(Table5[[#This Row],[PID]],Table3[[#All],[PID]],0)))</f>
        <v>21</v>
      </c>
      <c r="H509" s="54" t="str">
        <f>IF($C509="B",INDEX(Batters[[#All],[B]],MATCH(Table5[[#This Row],[PID]],Batters[[#All],[PID]],0)),INDEX(Table3[[#All],[B]],MATCH(Table5[[#This Row],[PID]],Table3[[#All],[PID]],0)))</f>
        <v>R</v>
      </c>
      <c r="I509" s="54" t="str">
        <f>IF($C509="B",INDEX(Batters[[#All],[T]],MATCH(Table5[[#This Row],[PID]],Batters[[#All],[PID]],0)),INDEX(Table3[[#All],[T]],MATCH(Table5[[#This Row],[PID]],Table3[[#All],[PID]],0)))</f>
        <v>R</v>
      </c>
      <c r="J509" s="54" t="str">
        <f>IF($C509="B",INDEX(Batters[[#All],[WE]],MATCH(Table5[[#This Row],[PID]],Batters[[#All],[PID]],0)),INDEX(Table3[[#All],[WE]],MATCH(Table5[[#This Row],[PID]],Table3[[#All],[PID]],0)))</f>
        <v>Low</v>
      </c>
      <c r="K509" s="54" t="str">
        <f>IF($C509="B",INDEX(Batters[[#All],[INT]],MATCH(Table5[[#This Row],[PID]],Batters[[#All],[PID]],0)),INDEX(Table3[[#All],[INT]],MATCH(Table5[[#This Row],[PID]],Table3[[#All],[PID]],0)))</f>
        <v>Normal</v>
      </c>
      <c r="L509" s="62">
        <f>IF($C509="B",INDEX(Batters[[#All],[CON P]],MATCH(Table5[[#This Row],[PID]],Batters[[#All],[PID]],0)),INDEX(Table3[[#All],[STU P]],MATCH(Table5[[#This Row],[PID]],Table3[[#All],[PID]],0)))</f>
        <v>5</v>
      </c>
      <c r="M509" s="58">
        <f>IF($C509="B",INDEX(Batters[[#All],[GAP P]],MATCH(Table5[[#This Row],[PID]],Batters[[#All],[PID]],0)),INDEX(Table3[[#All],[MOV P]],MATCH(Table5[[#This Row],[PID]],Table3[[#All],[PID]],0)))</f>
        <v>2</v>
      </c>
      <c r="N509" s="58">
        <f>IF($C509="B",INDEX(Batters[[#All],[POW P]],MATCH(Table5[[#This Row],[PID]],Batters[[#All],[PID]],0)),INDEX(Table3[[#All],[CON P]],MATCH(Table5[[#This Row],[PID]],Table3[[#All],[PID]],0)))</f>
        <v>2</v>
      </c>
      <c r="O509" s="58" t="str">
        <f>IF($C509="B",INDEX(Batters[[#All],[EYE P]],MATCH(Table5[[#This Row],[PID]],Batters[[#All],[PID]],0)),INDEX(Table3[[#All],[VELO]],MATCH(Table5[[#This Row],[PID]],Table3[[#All],[PID]],0)))</f>
        <v>85-87 Mph</v>
      </c>
      <c r="P509" s="58">
        <f>IF($C509="B",INDEX(Batters[[#All],[K P]],MATCH(Table5[[#This Row],[PID]],Batters[[#All],[PID]],0)),INDEX(Table3[[#All],[STM]],MATCH(Table5[[#This Row],[PID]],Table3[[#All],[PID]],0)))</f>
        <v>6</v>
      </c>
      <c r="Q509" s="63">
        <f>IF($C509="B",INDEX(Batters[[#All],[Tot]],MATCH(Table5[[#This Row],[PID]],Batters[[#All],[PID]],0)),INDEX(Table3[[#All],[Tot]],MATCH(Table5[[#This Row],[PID]],Table3[[#All],[PID]],0)))</f>
        <v>30.68439954098525</v>
      </c>
      <c r="R509" s="54">
        <f>IF($C509="B",INDEX(Batters[[#All],[zScore]],MATCH(Table5[[#This Row],[PID]],Batters[[#All],[PID]],0)),INDEX(Table3[[#All],[zScore]],MATCH(Table5[[#This Row],[PID]],Table3[[#All],[PID]],0)))</f>
        <v>-0.18687967536864378</v>
      </c>
      <c r="S509" s="60" t="str">
        <f>IF($C509="B",INDEX(Batters[[#All],[DEM]],MATCH(Table5[[#This Row],[PID]],Batters[[#All],[PID]],0)),INDEX(Table3[[#All],[DEM]],MATCH(Table5[[#This Row],[PID]],Table3[[#All],[PID]],0)))</f>
        <v>-</v>
      </c>
      <c r="T509" s="64">
        <f>IF($C509="B",VLOOKUP($A509,Bat!$A$4:$AU$1417,46,FALSE),VLOOKUP($A509,Pit!$A$4:$BD$570,55,FALSE))</f>
        <v>0</v>
      </c>
      <c r="U509" s="52">
        <f>IF($C509="B",VLOOKUP($A509,Bat!$A$4:$BA$1417,47,FALSE),VLOOKUP($A509,Pit!$A$4:$BF$570,56,FALSE))</f>
        <v>0</v>
      </c>
      <c r="V509" s="52">
        <f>IF($C509="B",VLOOKUP($A509,Bat!$A$4:$BA$1417,48,FALSE),VLOOKUP($A509,Pit!$A$4:$BF$570,57,FALSE))</f>
        <v>0</v>
      </c>
      <c r="W509" s="52">
        <f>Table5[[#This Row],[posRnk]]+Table5[[#This Row],[zRnk]]+IF($W$3&lt;&gt;Table5[[#This Row],[Type]],50,0)</f>
        <v>555</v>
      </c>
      <c r="X509" s="53">
        <f>RANK(Table5[[#This Row],[zScore]],Table5[[#All],[zScore]])</f>
        <v>505</v>
      </c>
      <c r="Y509" s="52" t="str">
        <f>IFERROR(INDEX(DraftResults[[#All],[OVR]],MATCH(Table5[[#This Row],[PID]],DraftResults[[#All],[Player ID]],0)),"")</f>
        <v/>
      </c>
      <c r="Z5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9" s="52" t="str">
        <f>IFERROR(INDEX(DraftResults[[#All],[Pick in Round]],MATCH(Table5[[#This Row],[PID]],DraftResults[[#All],[Player ID]],0)),"")</f>
        <v/>
      </c>
      <c r="AB509" s="52" t="str">
        <f>IFERROR(INDEX(DraftResults[[#All],[Team Name]],MATCH(Table5[[#This Row],[PID]],DraftResults[[#All],[Player ID]],0)),"")</f>
        <v/>
      </c>
      <c r="AC509" s="52" t="str">
        <f>IF(Table5[[#This Row],[Ovr]]="","",IF(Table5[[#This Row],[cmbList]]="","",Table5[[#This Row],[cmbList]]-Table5[[#This Row],[Ovr]]))</f>
        <v/>
      </c>
      <c r="AD509" s="56" t="str">
        <f>IF(ISERROR(VLOOKUP($AB509&amp;"-"&amp;$E509&amp;" "&amp;F509,Bonuses!$B$1:$G$1006,4,FALSE)),"",INT(VLOOKUP($AB509&amp;"-"&amp;$E509&amp;" "&amp;$F509,Bonuses!$B$1:$G$1006,4,FALSE)))</f>
        <v/>
      </c>
      <c r="AE5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0" spans="1:31" s="52" customFormat="1" x14ac:dyDescent="0.25">
      <c r="A510" s="52">
        <v>6650</v>
      </c>
      <c r="B510" s="52">
        <f>COUNTIF(Table5[PID],A510)</f>
        <v>1</v>
      </c>
      <c r="C510" s="52" t="str">
        <f>IF(COUNTIF(Table3[[#All],[PID]],A510)&gt;0,"P","B")</f>
        <v>P</v>
      </c>
      <c r="D510" s="61" t="str">
        <f>IF($C510="B",INDEX(Batters[[#All],[POS]],MATCH(Table5[[#This Row],[PID]],Batters[[#All],[PID]],0)),INDEX(Table3[[#All],[POS]],MATCH(Table5[[#This Row],[PID]],Table3[[#All],[PID]],0)))</f>
        <v>RP</v>
      </c>
      <c r="E510" s="54" t="str">
        <f>IF($C510="B",INDEX(Batters[[#All],[First]],MATCH(Table5[[#This Row],[PID]],Batters[[#All],[PID]],0)),INDEX(Table3[[#All],[First]],MATCH(Table5[[#This Row],[PID]],Table3[[#All],[PID]],0)))</f>
        <v>James</v>
      </c>
      <c r="F510" s="52" t="str">
        <f>IF($C510="B",INDEX(Batters[[#All],[Last]],MATCH(A510,Batters[[#All],[PID]],0)),INDEX(Table3[[#All],[Last]],MATCH(A510,Table3[[#All],[PID]],0)))</f>
        <v>Tosh</v>
      </c>
      <c r="G510" s="58">
        <f>IF($C510="B",INDEX(Batters[[#All],[Age]],MATCH(Table5[[#This Row],[PID]],Batters[[#All],[PID]],0)),INDEX(Table3[[#All],[Age]],MATCH(Table5[[#This Row],[PID]],Table3[[#All],[PID]],0)))</f>
        <v>18</v>
      </c>
      <c r="H510" s="54" t="str">
        <f>IF($C510="B",INDEX(Batters[[#All],[B]],MATCH(Table5[[#This Row],[PID]],Batters[[#All],[PID]],0)),INDEX(Table3[[#All],[B]],MATCH(Table5[[#This Row],[PID]],Table3[[#All],[PID]],0)))</f>
        <v>S</v>
      </c>
      <c r="I510" s="54" t="str">
        <f>IF($C510="B",INDEX(Batters[[#All],[T]],MATCH(Table5[[#This Row],[PID]],Batters[[#All],[PID]],0)),INDEX(Table3[[#All],[T]],MATCH(Table5[[#This Row],[PID]],Table3[[#All],[PID]],0)))</f>
        <v>R</v>
      </c>
      <c r="J510" s="54" t="str">
        <f>IF($C510="B",INDEX(Batters[[#All],[WE]],MATCH(Table5[[#This Row],[PID]],Batters[[#All],[PID]],0)),INDEX(Table3[[#All],[WE]],MATCH(Table5[[#This Row],[PID]],Table3[[#All],[PID]],0)))</f>
        <v>Low</v>
      </c>
      <c r="K510" s="54" t="str">
        <f>IF($C510="B",INDEX(Batters[[#All],[INT]],MATCH(Table5[[#This Row],[PID]],Batters[[#All],[PID]],0)),INDEX(Table3[[#All],[INT]],MATCH(Table5[[#This Row],[PID]],Table3[[#All],[PID]],0)))</f>
        <v>Low</v>
      </c>
      <c r="L510" s="62">
        <f>IF($C510="B",INDEX(Batters[[#All],[CON P]],MATCH(Table5[[#This Row],[PID]],Batters[[#All],[PID]],0)),INDEX(Table3[[#All],[STU P]],MATCH(Table5[[#This Row],[PID]],Table3[[#All],[PID]],0)))</f>
        <v>4</v>
      </c>
      <c r="M510" s="58">
        <f>IF($C510="B",INDEX(Batters[[#All],[GAP P]],MATCH(Table5[[#This Row],[PID]],Batters[[#All],[PID]],0)),INDEX(Table3[[#All],[MOV P]],MATCH(Table5[[#This Row],[PID]],Table3[[#All],[PID]],0)))</f>
        <v>2</v>
      </c>
      <c r="N510" s="58">
        <f>IF($C510="B",INDEX(Batters[[#All],[POW P]],MATCH(Table5[[#This Row],[PID]],Batters[[#All],[PID]],0)),INDEX(Table3[[#All],[CON P]],MATCH(Table5[[#This Row],[PID]],Table3[[#All],[PID]],0)))</f>
        <v>2</v>
      </c>
      <c r="O510" s="58" t="str">
        <f>IF($C510="B",INDEX(Batters[[#All],[EYE P]],MATCH(Table5[[#This Row],[PID]],Batters[[#All],[PID]],0)),INDEX(Table3[[#All],[VELO]],MATCH(Table5[[#This Row],[PID]],Table3[[#All],[PID]],0)))</f>
        <v>85-87 Mph</v>
      </c>
      <c r="P510" s="58">
        <f>IF($C510="B",INDEX(Batters[[#All],[K P]],MATCH(Table5[[#This Row],[PID]],Batters[[#All],[PID]],0)),INDEX(Table3[[#All],[STM]],MATCH(Table5[[#This Row],[PID]],Table3[[#All],[PID]],0)))</f>
        <v>6</v>
      </c>
      <c r="Q510" s="63">
        <f>IF($C510="B",INDEX(Batters[[#All],[Tot]],MATCH(Table5[[#This Row],[PID]],Batters[[#All],[PID]],0)),INDEX(Table3[[#All],[Tot]],MATCH(Table5[[#This Row],[PID]],Table3[[#All],[PID]],0)))</f>
        <v>30.620067412056162</v>
      </c>
      <c r="R510" s="54">
        <f>IF($C510="B",INDEX(Batters[[#All],[zScore]],MATCH(Table5[[#This Row],[PID]],Batters[[#All],[PID]],0)),INDEX(Table3[[#All],[zScore]],MATCH(Table5[[#This Row],[PID]],Table3[[#All],[PID]],0)))</f>
        <v>-0.19277920655273909</v>
      </c>
      <c r="S510" s="60" t="str">
        <f>IF($C510="B",INDEX(Batters[[#All],[DEM]],MATCH(Table5[[#This Row],[PID]],Batters[[#All],[PID]],0)),INDEX(Table3[[#All],[DEM]],MATCH(Table5[[#This Row],[PID]],Table3[[#All],[PID]],0)))</f>
        <v>$65k</v>
      </c>
      <c r="T510" s="64">
        <f>IF($C510="B",VLOOKUP($A510,Bat!$A$4:$AU$1417,46,FALSE),VLOOKUP($A510,Pit!$A$4:$BD$570,55,FALSE))</f>
        <v>0</v>
      </c>
      <c r="U510" s="52">
        <f>IF($C510="B",VLOOKUP($A510,Bat!$A$4:$BA$1417,47,FALSE),VLOOKUP($A510,Pit!$A$4:$BF$570,56,FALSE))</f>
        <v>0</v>
      </c>
      <c r="V510" s="52">
        <f>IF($C510="B",VLOOKUP($A510,Bat!$A$4:$BA$1417,48,FALSE),VLOOKUP($A510,Pit!$A$4:$BF$570,57,FALSE))</f>
        <v>0</v>
      </c>
      <c r="W510" s="52">
        <f>Table5[[#This Row],[posRnk]]+Table5[[#This Row],[zRnk]]+IF($W$3&lt;&gt;Table5[[#This Row],[Type]],50,0)</f>
        <v>556</v>
      </c>
      <c r="X510" s="53">
        <f>RANK(Table5[[#This Row],[zScore]],Table5[[#All],[zScore]])</f>
        <v>506</v>
      </c>
      <c r="Y510" s="52" t="str">
        <f>IFERROR(INDEX(DraftResults[[#All],[OVR]],MATCH(Table5[[#This Row],[PID]],DraftResults[[#All],[Player ID]],0)),"")</f>
        <v/>
      </c>
      <c r="Z5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0" s="52" t="str">
        <f>IFERROR(INDEX(DraftResults[[#All],[Pick in Round]],MATCH(Table5[[#This Row],[PID]],DraftResults[[#All],[Player ID]],0)),"")</f>
        <v/>
      </c>
      <c r="AB510" s="52" t="str">
        <f>IFERROR(INDEX(DraftResults[[#All],[Team Name]],MATCH(Table5[[#This Row],[PID]],DraftResults[[#All],[Player ID]],0)),"")</f>
        <v/>
      </c>
      <c r="AC510" s="52" t="str">
        <f>IF(Table5[[#This Row],[Ovr]]="","",IF(Table5[[#This Row],[cmbList]]="","",Table5[[#This Row],[cmbList]]-Table5[[#This Row],[Ovr]]))</f>
        <v/>
      </c>
      <c r="AD510" s="56" t="str">
        <f>IF(ISERROR(VLOOKUP($AB510&amp;"-"&amp;$E510&amp;" "&amp;F510,Bonuses!$B$1:$G$1006,4,FALSE)),"",INT(VLOOKUP($AB510&amp;"-"&amp;$E510&amp;" "&amp;$F510,Bonuses!$B$1:$G$1006,4,FALSE)))</f>
        <v/>
      </c>
      <c r="AE5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1" spans="1:31" s="52" customFormat="1" x14ac:dyDescent="0.25">
      <c r="A511" s="52">
        <v>17628</v>
      </c>
      <c r="B511" s="52">
        <f>COUNTIF(Table5[PID],A511)</f>
        <v>1</v>
      </c>
      <c r="C511" s="52" t="str">
        <f>IF(COUNTIF(Table3[[#All],[PID]],A511)&gt;0,"P","B")</f>
        <v>P</v>
      </c>
      <c r="D511" s="61" t="str">
        <f>IF($C511="B",INDEX(Batters[[#All],[POS]],MATCH(Table5[[#This Row],[PID]],Batters[[#All],[PID]],0)),INDEX(Table3[[#All],[POS]],MATCH(Table5[[#This Row],[PID]],Table3[[#All],[PID]],0)))</f>
        <v>RP</v>
      </c>
      <c r="E511" s="54" t="str">
        <f>IF($C511="B",INDEX(Batters[[#All],[First]],MATCH(Table5[[#This Row],[PID]],Batters[[#All],[PID]],0)),INDEX(Table3[[#All],[First]],MATCH(Table5[[#This Row],[PID]],Table3[[#All],[PID]],0)))</f>
        <v>Tim</v>
      </c>
      <c r="F511" s="52" t="str">
        <f>IF($C511="B",INDEX(Batters[[#All],[Last]],MATCH(A511,Batters[[#All],[PID]],0)),INDEX(Table3[[#All],[Last]],MATCH(A511,Table3[[#All],[PID]],0)))</f>
        <v>Vance</v>
      </c>
      <c r="G511" s="58">
        <f>IF($C511="B",INDEX(Batters[[#All],[Age]],MATCH(Table5[[#This Row],[PID]],Batters[[#All],[PID]],0)),INDEX(Table3[[#All],[Age]],MATCH(Table5[[#This Row],[PID]],Table3[[#All],[PID]],0)))</f>
        <v>18</v>
      </c>
      <c r="H511" s="54" t="str">
        <f>IF($C511="B",INDEX(Batters[[#All],[B]],MATCH(Table5[[#This Row],[PID]],Batters[[#All],[PID]],0)),INDEX(Table3[[#All],[B]],MATCH(Table5[[#This Row],[PID]],Table3[[#All],[PID]],0)))</f>
        <v>L</v>
      </c>
      <c r="I511" s="54" t="str">
        <f>IF($C511="B",INDEX(Batters[[#All],[T]],MATCH(Table5[[#This Row],[PID]],Batters[[#All],[PID]],0)),INDEX(Table3[[#All],[T]],MATCH(Table5[[#This Row],[PID]],Table3[[#All],[PID]],0)))</f>
        <v>R</v>
      </c>
      <c r="J511" s="54" t="str">
        <f>IF($C511="B",INDEX(Batters[[#All],[WE]],MATCH(Table5[[#This Row],[PID]],Batters[[#All],[PID]],0)),INDEX(Table3[[#All],[WE]],MATCH(Table5[[#This Row],[PID]],Table3[[#All],[PID]],0)))</f>
        <v>Low</v>
      </c>
      <c r="K511" s="54" t="str">
        <f>IF($C511="B",INDEX(Batters[[#All],[INT]],MATCH(Table5[[#This Row],[PID]],Batters[[#All],[PID]],0)),INDEX(Table3[[#All],[INT]],MATCH(Table5[[#This Row],[PID]],Table3[[#All],[PID]],0)))</f>
        <v>Normal</v>
      </c>
      <c r="L511" s="62">
        <f>IF($C511="B",INDEX(Batters[[#All],[CON P]],MATCH(Table5[[#This Row],[PID]],Batters[[#All],[PID]],0)),INDEX(Table3[[#All],[STU P]],MATCH(Table5[[#This Row],[PID]],Table3[[#All],[PID]],0)))</f>
        <v>4</v>
      </c>
      <c r="M511" s="58">
        <f>IF($C511="B",INDEX(Batters[[#All],[GAP P]],MATCH(Table5[[#This Row],[PID]],Batters[[#All],[PID]],0)),INDEX(Table3[[#All],[MOV P]],MATCH(Table5[[#This Row],[PID]],Table3[[#All],[PID]],0)))</f>
        <v>2</v>
      </c>
      <c r="N511" s="58">
        <f>IF($C511="B",INDEX(Batters[[#All],[POW P]],MATCH(Table5[[#This Row],[PID]],Batters[[#All],[PID]],0)),INDEX(Table3[[#All],[CON P]],MATCH(Table5[[#This Row],[PID]],Table3[[#All],[PID]],0)))</f>
        <v>2</v>
      </c>
      <c r="O511" s="58" t="str">
        <f>IF($C511="B",INDEX(Batters[[#All],[EYE P]],MATCH(Table5[[#This Row],[PID]],Batters[[#All],[PID]],0)),INDEX(Table3[[#All],[VELO]],MATCH(Table5[[#This Row],[PID]],Table3[[#All],[PID]],0)))</f>
        <v>91-93 Mph</v>
      </c>
      <c r="P511" s="58">
        <f>IF($C511="B",INDEX(Batters[[#All],[K P]],MATCH(Table5[[#This Row],[PID]],Batters[[#All],[PID]],0)),INDEX(Table3[[#All],[STM]],MATCH(Table5[[#This Row],[PID]],Table3[[#All],[PID]],0)))</f>
        <v>7</v>
      </c>
      <c r="Q511" s="63">
        <f>IF($C511="B",INDEX(Batters[[#All],[Tot]],MATCH(Table5[[#This Row],[PID]],Batters[[#All],[PID]],0)),INDEX(Table3[[#All],[Tot]],MATCH(Table5[[#This Row],[PID]],Table3[[#All],[PID]],0)))</f>
        <v>30.554463136217525</v>
      </c>
      <c r="R511" s="54">
        <f>IF($C511="B",INDEX(Batters[[#All],[zScore]],MATCH(Table5[[#This Row],[PID]],Batters[[#All],[PID]],0)),INDEX(Table3[[#All],[zScore]],MATCH(Table5[[#This Row],[PID]],Table3[[#All],[PID]],0)))</f>
        <v>-0.19879539904571028</v>
      </c>
      <c r="S511" s="60" t="str">
        <f>IF($C511="B",INDEX(Batters[[#All],[DEM]],MATCH(Table5[[#This Row],[PID]],Batters[[#All],[PID]],0)),INDEX(Table3[[#All],[DEM]],MATCH(Table5[[#This Row],[PID]],Table3[[#All],[PID]],0)))</f>
        <v>$65k</v>
      </c>
      <c r="T511" s="64">
        <f>IF($C511="B",VLOOKUP($A511,Bat!$A$4:$AU$1417,46,FALSE),VLOOKUP($A511,Pit!$A$4:$BD$570,55,FALSE))</f>
        <v>0</v>
      </c>
      <c r="U511" s="52">
        <f>IF($C511="B",VLOOKUP($A511,Bat!$A$4:$BA$1417,47,FALSE),VLOOKUP($A511,Pit!$A$4:$BF$570,56,FALSE))</f>
        <v>0</v>
      </c>
      <c r="V511" s="52">
        <f>IF($C511="B",VLOOKUP($A511,Bat!$A$4:$BA$1417,48,FALSE),VLOOKUP($A511,Pit!$A$4:$BF$570,57,FALSE))</f>
        <v>0</v>
      </c>
      <c r="W511" s="52">
        <f>Table5[[#This Row],[posRnk]]+Table5[[#This Row],[zRnk]]+IF($W$3&lt;&gt;Table5[[#This Row],[Type]],50,0)</f>
        <v>557</v>
      </c>
      <c r="X511" s="53">
        <f>RANK(Table5[[#This Row],[zScore]],Table5[[#All],[zScore]])</f>
        <v>507</v>
      </c>
      <c r="Y511" s="52" t="str">
        <f>IFERROR(INDEX(DraftResults[[#All],[OVR]],MATCH(Table5[[#This Row],[PID]],DraftResults[[#All],[Player ID]],0)),"")</f>
        <v/>
      </c>
      <c r="Z5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1" s="52" t="str">
        <f>IFERROR(INDEX(DraftResults[[#All],[Pick in Round]],MATCH(Table5[[#This Row],[PID]],DraftResults[[#All],[Player ID]],0)),"")</f>
        <v/>
      </c>
      <c r="AB511" s="52" t="str">
        <f>IFERROR(INDEX(DraftResults[[#All],[Team Name]],MATCH(Table5[[#This Row],[PID]],DraftResults[[#All],[Player ID]],0)),"")</f>
        <v/>
      </c>
      <c r="AC511" s="52" t="str">
        <f>IF(Table5[[#This Row],[Ovr]]="","",IF(Table5[[#This Row],[cmbList]]="","",Table5[[#This Row],[cmbList]]-Table5[[#This Row],[Ovr]]))</f>
        <v/>
      </c>
      <c r="AD511" s="56" t="str">
        <f>IF(ISERROR(VLOOKUP($AB511&amp;"-"&amp;$E511&amp;" "&amp;F511,Bonuses!$B$1:$G$1006,4,FALSE)),"",INT(VLOOKUP($AB511&amp;"-"&amp;$E511&amp;" "&amp;$F511,Bonuses!$B$1:$G$1006,4,FALSE)))</f>
        <v/>
      </c>
      <c r="AE5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2" spans="1:31" s="52" customFormat="1" x14ac:dyDescent="0.25">
      <c r="A512" s="52">
        <v>17614</v>
      </c>
      <c r="B512" s="52">
        <f>COUNTIF(Table5[PID],A512)</f>
        <v>1</v>
      </c>
      <c r="C512" s="52" t="str">
        <f>IF(COUNTIF(Table3[[#All],[PID]],A512)&gt;0,"P","B")</f>
        <v>P</v>
      </c>
      <c r="D512" s="61" t="str">
        <f>IF($C512="B",INDEX(Batters[[#All],[POS]],MATCH(Table5[[#This Row],[PID]],Batters[[#All],[PID]],0)),INDEX(Table3[[#All],[POS]],MATCH(Table5[[#This Row],[PID]],Table3[[#All],[PID]],0)))</f>
        <v>RP</v>
      </c>
      <c r="E512" s="54" t="str">
        <f>IF($C512="B",INDEX(Batters[[#All],[First]],MATCH(Table5[[#This Row],[PID]],Batters[[#All],[PID]],0)),INDEX(Table3[[#All],[First]],MATCH(Table5[[#This Row],[PID]],Table3[[#All],[PID]],0)))</f>
        <v>Mike</v>
      </c>
      <c r="F512" s="52" t="str">
        <f>IF($C512="B",INDEX(Batters[[#All],[Last]],MATCH(A512,Batters[[#All],[PID]],0)),INDEX(Table3[[#All],[Last]],MATCH(A512,Table3[[#All],[PID]],0)))</f>
        <v>John</v>
      </c>
      <c r="G512" s="58">
        <f>IF($C512="B",INDEX(Batters[[#All],[Age]],MATCH(Table5[[#This Row],[PID]],Batters[[#All],[PID]],0)),INDEX(Table3[[#All],[Age]],MATCH(Table5[[#This Row],[PID]],Table3[[#All],[PID]],0)))</f>
        <v>18</v>
      </c>
      <c r="H512" s="54" t="str">
        <f>IF($C512="B",INDEX(Batters[[#All],[B]],MATCH(Table5[[#This Row],[PID]],Batters[[#All],[PID]],0)),INDEX(Table3[[#All],[B]],MATCH(Table5[[#This Row],[PID]],Table3[[#All],[PID]],0)))</f>
        <v>L</v>
      </c>
      <c r="I512" s="54" t="str">
        <f>IF($C512="B",INDEX(Batters[[#All],[T]],MATCH(Table5[[#This Row],[PID]],Batters[[#All],[PID]],0)),INDEX(Table3[[#All],[T]],MATCH(Table5[[#This Row],[PID]],Table3[[#All],[PID]],0)))</f>
        <v>L</v>
      </c>
      <c r="J512" s="54" t="str">
        <f>IF($C512="B",INDEX(Batters[[#All],[WE]],MATCH(Table5[[#This Row],[PID]],Batters[[#All],[PID]],0)),INDEX(Table3[[#All],[WE]],MATCH(Table5[[#This Row],[PID]],Table3[[#All],[PID]],0)))</f>
        <v>High</v>
      </c>
      <c r="K512" s="54" t="str">
        <f>IF($C512="B",INDEX(Batters[[#All],[INT]],MATCH(Table5[[#This Row],[PID]],Batters[[#All],[PID]],0)),INDEX(Table3[[#All],[INT]],MATCH(Table5[[#This Row],[PID]],Table3[[#All],[PID]],0)))</f>
        <v>Normal</v>
      </c>
      <c r="L512" s="62">
        <f>IF($C512="B",INDEX(Batters[[#All],[CON P]],MATCH(Table5[[#This Row],[PID]],Batters[[#All],[PID]],0)),INDEX(Table3[[#All],[STU P]],MATCH(Table5[[#This Row],[PID]],Table3[[#All],[PID]],0)))</f>
        <v>3</v>
      </c>
      <c r="M512" s="58">
        <f>IF($C512="B",INDEX(Batters[[#All],[GAP P]],MATCH(Table5[[#This Row],[PID]],Batters[[#All],[PID]],0)),INDEX(Table3[[#All],[MOV P]],MATCH(Table5[[#This Row],[PID]],Table3[[#All],[PID]],0)))</f>
        <v>2</v>
      </c>
      <c r="N512" s="58">
        <f>IF($C512="B",INDEX(Batters[[#All],[POW P]],MATCH(Table5[[#This Row],[PID]],Batters[[#All],[PID]],0)),INDEX(Table3[[#All],[CON P]],MATCH(Table5[[#This Row],[PID]],Table3[[#All],[PID]],0)))</f>
        <v>2</v>
      </c>
      <c r="O512" s="58" t="str">
        <f>IF($C512="B",INDEX(Batters[[#All],[EYE P]],MATCH(Table5[[#This Row],[PID]],Batters[[#All],[PID]],0)),INDEX(Table3[[#All],[VELO]],MATCH(Table5[[#This Row],[PID]],Table3[[#All],[PID]],0)))</f>
        <v>84-86 Mph</v>
      </c>
      <c r="P512" s="58">
        <f>IF($C512="B",INDEX(Batters[[#All],[K P]],MATCH(Table5[[#This Row],[PID]],Batters[[#All],[PID]],0)),INDEX(Table3[[#All],[STM]],MATCH(Table5[[#This Row],[PID]],Table3[[#All],[PID]],0)))</f>
        <v>6</v>
      </c>
      <c r="Q512" s="63">
        <f>IF($C512="B",INDEX(Batters[[#All],[Tot]],MATCH(Table5[[#This Row],[PID]],Batters[[#All],[PID]],0)),INDEX(Table3[[#All],[Tot]],MATCH(Table5[[#This Row],[PID]],Table3[[#All],[PID]],0)))</f>
        <v>28.100040329443527</v>
      </c>
      <c r="R512" s="54">
        <f>IF($C512="B",INDEX(Batters[[#All],[zScore]],MATCH(Table5[[#This Row],[PID]],Batters[[#All],[PID]],0)),INDEX(Table3[[#All],[zScore]],MATCH(Table5[[#This Row],[PID]],Table3[[#All],[PID]],0)))</f>
        <v>-0.20115768876665771</v>
      </c>
      <c r="S512" s="60" t="str">
        <f>IF($C512="B",INDEX(Batters[[#All],[DEM]],MATCH(Table5[[#This Row],[PID]],Batters[[#All],[PID]],0)),INDEX(Table3[[#All],[DEM]],MATCH(Table5[[#This Row],[PID]],Table3[[#All],[PID]],0)))</f>
        <v>$38k</v>
      </c>
      <c r="T512" s="64">
        <f>IF($C512="B",VLOOKUP($A512,Bat!$A$4:$AU$1417,46,FALSE),VLOOKUP($A512,Pit!$A$4:$BD$570,55,FALSE))</f>
        <v>0</v>
      </c>
      <c r="U512" s="52">
        <f>IF($C512="B",VLOOKUP($A512,Bat!$A$4:$BA$1417,47,FALSE),VLOOKUP($A512,Pit!$A$4:$BF$570,56,FALSE))</f>
        <v>0</v>
      </c>
      <c r="V512" s="52">
        <f>IF($C512="B",VLOOKUP($A512,Bat!$A$4:$BA$1417,48,FALSE),VLOOKUP($A512,Pit!$A$4:$BF$570,57,FALSE))</f>
        <v>0</v>
      </c>
      <c r="W512" s="52">
        <f>Table5[[#This Row],[posRnk]]+Table5[[#This Row],[zRnk]]+IF($W$3&lt;&gt;Table5[[#This Row],[Type]],50,0)</f>
        <v>558</v>
      </c>
      <c r="X512" s="53">
        <f>RANK(Table5[[#This Row],[zScore]],Table5[[#All],[zScore]])</f>
        <v>508</v>
      </c>
      <c r="Y512" s="52" t="str">
        <f>IFERROR(INDEX(DraftResults[[#All],[OVR]],MATCH(Table5[[#This Row],[PID]],DraftResults[[#All],[Player ID]],0)),"")</f>
        <v/>
      </c>
      <c r="Z5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2" s="52" t="str">
        <f>IFERROR(INDEX(DraftResults[[#All],[Pick in Round]],MATCH(Table5[[#This Row],[PID]],DraftResults[[#All],[Player ID]],0)),"")</f>
        <v/>
      </c>
      <c r="AB512" s="52" t="str">
        <f>IFERROR(INDEX(DraftResults[[#All],[Team Name]],MATCH(Table5[[#This Row],[PID]],DraftResults[[#All],[Player ID]],0)),"")</f>
        <v/>
      </c>
      <c r="AC512" s="52" t="str">
        <f>IF(Table5[[#This Row],[Ovr]]="","",IF(Table5[[#This Row],[cmbList]]="","",Table5[[#This Row],[cmbList]]-Table5[[#This Row],[Ovr]]))</f>
        <v/>
      </c>
      <c r="AD512" s="56" t="str">
        <f>IF(ISERROR(VLOOKUP($AB512&amp;"-"&amp;$E512&amp;" "&amp;F512,Bonuses!$B$1:$G$1006,4,FALSE)),"",INT(VLOOKUP($AB512&amp;"-"&amp;$E512&amp;" "&amp;$F512,Bonuses!$B$1:$G$1006,4,FALSE)))</f>
        <v/>
      </c>
      <c r="AE5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3" spans="1:31" s="52" customFormat="1" x14ac:dyDescent="0.25">
      <c r="A513" s="52">
        <v>12828</v>
      </c>
      <c r="B513" s="52">
        <f>COUNTIF(Table5[PID],A513)</f>
        <v>1</v>
      </c>
      <c r="C513" s="52" t="str">
        <f>IF(COUNTIF(Table3[[#All],[PID]],A513)&gt;0,"P","B")</f>
        <v>P</v>
      </c>
      <c r="D513" s="61" t="str">
        <f>IF($C513="B",INDEX(Batters[[#All],[POS]],MATCH(Table5[[#This Row],[PID]],Batters[[#All],[PID]],0)),INDEX(Table3[[#All],[POS]],MATCH(Table5[[#This Row],[PID]],Table3[[#All],[PID]],0)))</f>
        <v>CL</v>
      </c>
      <c r="E513" s="54" t="str">
        <f>IF($C513="B",INDEX(Batters[[#All],[First]],MATCH(Table5[[#This Row],[PID]],Batters[[#All],[PID]],0)),INDEX(Table3[[#All],[First]],MATCH(Table5[[#This Row],[PID]],Table3[[#All],[PID]],0)))</f>
        <v>Muneyaki</v>
      </c>
      <c r="F513" s="52" t="str">
        <f>IF($C513="B",INDEX(Batters[[#All],[Last]],MATCH(A513,Batters[[#All],[PID]],0)),INDEX(Table3[[#All],[Last]],MATCH(A513,Table3[[#All],[PID]],0)))</f>
        <v>Okabe</v>
      </c>
      <c r="G513" s="58">
        <f>IF($C513="B",INDEX(Batters[[#All],[Age]],MATCH(Table5[[#This Row],[PID]],Batters[[#All],[PID]],0)),INDEX(Table3[[#All],[Age]],MATCH(Table5[[#This Row],[PID]],Table3[[#All],[PID]],0)))</f>
        <v>20</v>
      </c>
      <c r="H513" s="54" t="str">
        <f>IF($C513="B",INDEX(Batters[[#All],[B]],MATCH(Table5[[#This Row],[PID]],Batters[[#All],[PID]],0)),INDEX(Table3[[#All],[B]],MATCH(Table5[[#This Row],[PID]],Table3[[#All],[PID]],0)))</f>
        <v>R</v>
      </c>
      <c r="I513" s="54" t="str">
        <f>IF($C513="B",INDEX(Batters[[#All],[T]],MATCH(Table5[[#This Row],[PID]],Batters[[#All],[PID]],0)),INDEX(Table3[[#All],[T]],MATCH(Table5[[#This Row],[PID]],Table3[[#All],[PID]],0)))</f>
        <v>R</v>
      </c>
      <c r="J513" s="54" t="str">
        <f>IF($C513="B",INDEX(Batters[[#All],[WE]],MATCH(Table5[[#This Row],[PID]],Batters[[#All],[PID]],0)),INDEX(Table3[[#All],[WE]],MATCH(Table5[[#This Row],[PID]],Table3[[#All],[PID]],0)))</f>
        <v>Normal</v>
      </c>
      <c r="K513" s="54" t="str">
        <f>IF($C513="B",INDEX(Batters[[#All],[INT]],MATCH(Table5[[#This Row],[PID]],Batters[[#All],[PID]],0)),INDEX(Table3[[#All],[INT]],MATCH(Table5[[#This Row],[PID]],Table3[[#All],[PID]],0)))</f>
        <v>High</v>
      </c>
      <c r="L513" s="62">
        <f>IF($C513="B",INDEX(Batters[[#All],[CON P]],MATCH(Table5[[#This Row],[PID]],Batters[[#All],[PID]],0)),INDEX(Table3[[#All],[STU P]],MATCH(Table5[[#This Row],[PID]],Table3[[#All],[PID]],0)))</f>
        <v>7</v>
      </c>
      <c r="M513" s="58">
        <f>IF($C513="B",INDEX(Batters[[#All],[GAP P]],MATCH(Table5[[#This Row],[PID]],Batters[[#All],[PID]],0)),INDEX(Table3[[#All],[MOV P]],MATCH(Table5[[#This Row],[PID]],Table3[[#All],[PID]],0)))</f>
        <v>2</v>
      </c>
      <c r="N513" s="58">
        <f>IF($C513="B",INDEX(Batters[[#All],[POW P]],MATCH(Table5[[#This Row],[PID]],Batters[[#All],[PID]],0)),INDEX(Table3[[#All],[CON P]],MATCH(Table5[[#This Row],[PID]],Table3[[#All],[PID]],0)))</f>
        <v>2</v>
      </c>
      <c r="O513" s="58" t="str">
        <f>IF($C513="B",INDEX(Batters[[#All],[EYE P]],MATCH(Table5[[#This Row],[PID]],Batters[[#All],[PID]],0)),INDEX(Table3[[#All],[VELO]],MATCH(Table5[[#This Row],[PID]],Table3[[#All],[PID]],0)))</f>
        <v>97-99 Mph</v>
      </c>
      <c r="P513" s="58">
        <f>IF($C513="B",INDEX(Batters[[#All],[K P]],MATCH(Table5[[#This Row],[PID]],Batters[[#All],[PID]],0)),INDEX(Table3[[#All],[STM]],MATCH(Table5[[#This Row],[PID]],Table3[[#All],[PID]],0)))</f>
        <v>2</v>
      </c>
      <c r="Q513" s="63">
        <f>IF($C513="B",INDEX(Batters[[#All],[Tot]],MATCH(Table5[[#This Row],[PID]],Batters[[#All],[PID]],0)),INDEX(Table3[[#All],[Tot]],MATCH(Table5[[#This Row],[PID]],Table3[[#All],[PID]],0)))</f>
        <v>30.438534588730178</v>
      </c>
      <c r="R513" s="54">
        <f>IF($C513="B",INDEX(Batters[[#All],[zScore]],MATCH(Table5[[#This Row],[PID]],Batters[[#All],[PID]],0)),INDEX(Table3[[#All],[zScore]],MATCH(Table5[[#This Row],[PID]],Table3[[#All],[PID]],0)))</f>
        <v>-0.20942654233932562</v>
      </c>
      <c r="S513" s="60" t="str">
        <f>IF($C513="B",INDEX(Batters[[#All],[DEM]],MATCH(Table5[[#This Row],[PID]],Batters[[#All],[PID]],0)),INDEX(Table3[[#All],[DEM]],MATCH(Table5[[#This Row],[PID]],Table3[[#All],[PID]],0)))</f>
        <v>-</v>
      </c>
      <c r="T513" s="64">
        <f>IF($C513="B",VLOOKUP($A513,Bat!$A$4:$AU$1417,46,FALSE),VLOOKUP($A513,Pit!$A$4:$BD$570,55,FALSE))</f>
        <v>0</v>
      </c>
      <c r="U513" s="52">
        <f>IF($C513="B",VLOOKUP($A513,Bat!$A$4:$BA$1417,47,FALSE),VLOOKUP($A513,Pit!$A$4:$BF$570,56,FALSE))</f>
        <v>0</v>
      </c>
      <c r="V513" s="52">
        <f>IF($C513="B",VLOOKUP($A513,Bat!$A$4:$BA$1417,48,FALSE),VLOOKUP($A513,Pit!$A$4:$BF$570,57,FALSE))</f>
        <v>0</v>
      </c>
      <c r="W513" s="52">
        <f>Table5[[#This Row],[posRnk]]+Table5[[#This Row],[zRnk]]+IF($W$3&lt;&gt;Table5[[#This Row],[Type]],50,0)</f>
        <v>559</v>
      </c>
      <c r="X513" s="53">
        <f>RANK(Table5[[#This Row],[zScore]],Table5[[#All],[zScore]])</f>
        <v>509</v>
      </c>
      <c r="Y513" s="52" t="str">
        <f>IFERROR(INDEX(DraftResults[[#All],[OVR]],MATCH(Table5[[#This Row],[PID]],DraftResults[[#All],[Player ID]],0)),"")</f>
        <v/>
      </c>
      <c r="Z5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3" s="52" t="str">
        <f>IFERROR(INDEX(DraftResults[[#All],[Pick in Round]],MATCH(Table5[[#This Row],[PID]],DraftResults[[#All],[Player ID]],0)),"")</f>
        <v/>
      </c>
      <c r="AB513" s="52" t="str">
        <f>IFERROR(INDEX(DraftResults[[#All],[Team Name]],MATCH(Table5[[#This Row],[PID]],DraftResults[[#All],[Player ID]],0)),"")</f>
        <v/>
      </c>
      <c r="AC513" s="52" t="str">
        <f>IF(Table5[[#This Row],[Ovr]]="","",IF(Table5[[#This Row],[cmbList]]="","",Table5[[#This Row],[cmbList]]-Table5[[#This Row],[Ovr]]))</f>
        <v/>
      </c>
      <c r="AD513" s="56" t="str">
        <f>IF(ISERROR(VLOOKUP($AB513&amp;"-"&amp;$E513&amp;" "&amp;F513,Bonuses!$B$1:$G$1006,4,FALSE)),"",INT(VLOOKUP($AB513&amp;"-"&amp;$E513&amp;" "&amp;$F513,Bonuses!$B$1:$G$1006,4,FALSE)))</f>
        <v/>
      </c>
      <c r="AE5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4" spans="1:31" s="52" customFormat="1" x14ac:dyDescent="0.25">
      <c r="A514" s="52">
        <v>7204</v>
      </c>
      <c r="B514" s="57">
        <f>COUNTIF(Table5[PID],A514)</f>
        <v>1</v>
      </c>
      <c r="C514" s="57" t="str">
        <f>IF(COUNTIF(Table3[[#All],[PID]],A514)&gt;0,"P","B")</f>
        <v>B</v>
      </c>
      <c r="D514" s="61" t="str">
        <f>IF($C514="B",INDEX(Batters[[#All],[POS]],MATCH(Table5[[#This Row],[PID]],Batters[[#All],[PID]],0)),INDEX(Table3[[#All],[POS]],MATCH(Table5[[#This Row],[PID]],Table3[[#All],[PID]],0)))</f>
        <v>SS</v>
      </c>
      <c r="E514" s="54" t="str">
        <f>IF($C514="B",INDEX(Batters[[#All],[First]],MATCH(Table5[[#This Row],[PID]],Batters[[#All],[PID]],0)),INDEX(Table3[[#All],[First]],MATCH(Table5[[#This Row],[PID]],Table3[[#All],[PID]],0)))</f>
        <v>Inejiro</v>
      </c>
      <c r="F514" s="52" t="str">
        <f>IF($C514="B",INDEX(Batters[[#All],[Last]],MATCH(A514,Batters[[#All],[PID]],0)),INDEX(Table3[[#All],[Last]],MATCH(A514,Table3[[#All],[PID]],0)))</f>
        <v>Hayashi</v>
      </c>
      <c r="G514" s="58">
        <f>IF($C514="B",INDEX(Batters[[#All],[Age]],MATCH(Table5[[#This Row],[PID]],Batters[[#All],[PID]],0)),INDEX(Table3[[#All],[Age]],MATCH(Table5[[#This Row],[PID]],Table3[[#All],[PID]],0)))</f>
        <v>21</v>
      </c>
      <c r="H514" s="54" t="str">
        <f>IF($C514="B",INDEX(Batters[[#All],[B]],MATCH(Table5[[#This Row],[PID]],Batters[[#All],[PID]],0)),INDEX(Table3[[#All],[B]],MATCH(Table5[[#This Row],[PID]],Table3[[#All],[PID]],0)))</f>
        <v>R</v>
      </c>
      <c r="I514" s="54" t="str">
        <f>IF($C514="B",INDEX(Batters[[#All],[T]],MATCH(Table5[[#This Row],[PID]],Batters[[#All],[PID]],0)),INDEX(Table3[[#All],[T]],MATCH(Table5[[#This Row],[PID]],Table3[[#All],[PID]],0)))</f>
        <v>R</v>
      </c>
      <c r="J514" s="54" t="str">
        <f>IF($C514="B",INDEX(Batters[[#All],[WE]],MATCH(Table5[[#This Row],[PID]],Batters[[#All],[PID]],0)),INDEX(Table3[[#All],[WE]],MATCH(Table5[[#This Row],[PID]],Table3[[#All],[PID]],0)))</f>
        <v>Normal</v>
      </c>
      <c r="K514" s="54" t="str">
        <f>IF($C514="B",INDEX(Batters[[#All],[INT]],MATCH(Table5[[#This Row],[PID]],Batters[[#All],[PID]],0)),INDEX(Table3[[#All],[INT]],MATCH(Table5[[#This Row],[PID]],Table3[[#All],[PID]],0)))</f>
        <v>Normal</v>
      </c>
      <c r="L514" s="62">
        <f>IF($C514="B",INDEX(Batters[[#All],[CON P]],MATCH(Table5[[#This Row],[PID]],Batters[[#All],[PID]],0)),INDEX(Table3[[#All],[STU P]],MATCH(Table5[[#This Row],[PID]],Table3[[#All],[PID]],0)))</f>
        <v>3</v>
      </c>
      <c r="M514" s="58">
        <f>IF($C514="B",INDEX(Batters[[#All],[GAP P]],MATCH(Table5[[#This Row],[PID]],Batters[[#All],[PID]],0)),INDEX(Table3[[#All],[MOV P]],MATCH(Table5[[#This Row],[PID]],Table3[[#All],[PID]],0)))</f>
        <v>5</v>
      </c>
      <c r="N514" s="58">
        <f>IF($C514="B",INDEX(Batters[[#All],[POW P]],MATCH(Table5[[#This Row],[PID]],Batters[[#All],[PID]],0)),INDEX(Table3[[#All],[CON P]],MATCH(Table5[[#This Row],[PID]],Table3[[#All],[PID]],0)))</f>
        <v>3</v>
      </c>
      <c r="O514" s="58">
        <f>IF($C514="B",INDEX(Batters[[#All],[EYE P]],MATCH(Table5[[#This Row],[PID]],Batters[[#All],[PID]],0)),INDEX(Table3[[#All],[VELO]],MATCH(Table5[[#This Row],[PID]],Table3[[#All],[PID]],0)))</f>
        <v>5</v>
      </c>
      <c r="P514" s="58">
        <f>IF($C514="B",INDEX(Batters[[#All],[K P]],MATCH(Table5[[#This Row],[PID]],Batters[[#All],[PID]],0)),INDEX(Table3[[#All],[STM]],MATCH(Table5[[#This Row],[PID]],Table3[[#All],[PID]],0)))</f>
        <v>3</v>
      </c>
      <c r="Q514" s="63">
        <f>IF($C514="B",INDEX(Batters[[#All],[Tot]],MATCH(Table5[[#This Row],[PID]],Batters[[#All],[PID]],0)),INDEX(Table3[[#All],[Tot]],MATCH(Table5[[#This Row],[PID]],Table3[[#All],[PID]],0)))</f>
        <v>39.147047259937779</v>
      </c>
      <c r="R514" s="54">
        <f>IF($C514="B",INDEX(Batters[[#All],[zScore]],MATCH(Table5[[#This Row],[PID]],Batters[[#All],[PID]],0)),INDEX(Table3[[#All],[zScore]],MATCH(Table5[[#This Row],[PID]],Table3[[#All],[PID]],0)))</f>
        <v>-0.21134317374277037</v>
      </c>
      <c r="S514" s="60" t="str">
        <f>IF($C514="B",INDEX(Batters[[#All],[DEM]],MATCH(Table5[[#This Row],[PID]],Batters[[#All],[PID]],0)),INDEX(Table3[[#All],[DEM]],MATCH(Table5[[#This Row],[PID]],Table3[[#All],[PID]],0)))</f>
        <v>$110k</v>
      </c>
      <c r="T514" s="64">
        <f>IF($C514="B",VLOOKUP($A514,Bat!$A$4:$AU$1417,46,FALSE),VLOOKUP($A514,Pit!$A$4:$BD$570,55,FALSE))</f>
        <v>0</v>
      </c>
      <c r="U514" s="52">
        <f>IF($C514="B",VLOOKUP($A514,Bat!$A$4:$BA$1417,47,FALSE),VLOOKUP($A514,Pit!$A$4:$BF$570,56,FALSE))</f>
        <v>0</v>
      </c>
      <c r="V514" s="52">
        <f>IF($C514="B",VLOOKUP($A514,Bat!$A$4:$BA$1417,48,FALSE),VLOOKUP($A514,Pit!$A$4:$BF$570,57,FALSE))</f>
        <v>0</v>
      </c>
      <c r="W514" s="52">
        <f>Table5[[#This Row],[posRnk]]+Table5[[#This Row],[zRnk]]+IF($W$3&lt;&gt;Table5[[#This Row],[Type]],50,0)</f>
        <v>560</v>
      </c>
      <c r="X514" s="53">
        <f>RANK(Table5[[#This Row],[zScore]],Table5[[#All],[zScore]])</f>
        <v>510</v>
      </c>
      <c r="Y514" s="52" t="str">
        <f>IFERROR(INDEX(DraftResults[[#All],[OVR]],MATCH(Table5[[#This Row],[PID]],DraftResults[[#All],[Player ID]],0)),"")</f>
        <v/>
      </c>
      <c r="Z5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4" s="52" t="str">
        <f>IFERROR(INDEX(DraftResults[[#All],[Pick in Round]],MATCH(Table5[[#This Row],[PID]],DraftResults[[#All],[Player ID]],0)),"")</f>
        <v/>
      </c>
      <c r="AB514" s="52" t="str">
        <f>IFERROR(INDEX(DraftResults[[#All],[Team Name]],MATCH(Table5[[#This Row],[PID]],DraftResults[[#All],[Player ID]],0)),"")</f>
        <v/>
      </c>
      <c r="AC514" s="52" t="str">
        <f>IF(Table5[[#This Row],[Ovr]]="","",IF(Table5[[#This Row],[cmbList]]="","",Table5[[#This Row],[cmbList]]-Table5[[#This Row],[Ovr]]))</f>
        <v/>
      </c>
      <c r="AD514" s="56" t="str">
        <f>IF(ISERROR(VLOOKUP($AB514&amp;"-"&amp;$E514&amp;" "&amp;F514,Bonuses!$B$1:$G$1006,4,FALSE)),"",INT(VLOOKUP($AB514&amp;"-"&amp;$E514&amp;" "&amp;$F514,Bonuses!$B$1:$G$1006,4,FALSE)))</f>
        <v/>
      </c>
      <c r="AE5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5" spans="1:31" s="52" customFormat="1" x14ac:dyDescent="0.25">
      <c r="A515" s="52">
        <v>9303</v>
      </c>
      <c r="B515" s="52">
        <f>COUNTIF(Table5[PID],A515)</f>
        <v>1</v>
      </c>
      <c r="C515" s="52" t="str">
        <f>IF(COUNTIF(Table3[[#All],[PID]],A515)&gt;0,"P","B")</f>
        <v>P</v>
      </c>
      <c r="D515" s="61" t="str">
        <f>IF($C515="B",INDEX(Batters[[#All],[POS]],MATCH(Table5[[#This Row],[PID]],Batters[[#All],[PID]],0)),INDEX(Table3[[#All],[POS]],MATCH(Table5[[#This Row],[PID]],Table3[[#All],[PID]],0)))</f>
        <v>SP</v>
      </c>
      <c r="E515" s="54" t="str">
        <f>IF($C515="B",INDEX(Batters[[#All],[First]],MATCH(Table5[[#This Row],[PID]],Batters[[#All],[PID]],0)),INDEX(Table3[[#All],[First]],MATCH(Table5[[#This Row],[PID]],Table3[[#All],[PID]],0)))</f>
        <v>Enrique</v>
      </c>
      <c r="F515" s="52" t="str">
        <f>IF($C515="B",INDEX(Batters[[#All],[Last]],MATCH(A515,Batters[[#All],[PID]],0)),INDEX(Table3[[#All],[Last]],MATCH(A515,Table3[[#All],[PID]],0)))</f>
        <v>Hernández</v>
      </c>
      <c r="G515" s="58">
        <f>IF($C515="B",INDEX(Batters[[#All],[Age]],MATCH(Table5[[#This Row],[PID]],Batters[[#All],[PID]],0)),INDEX(Table3[[#All],[Age]],MATCH(Table5[[#This Row],[PID]],Table3[[#All],[PID]],0)))</f>
        <v>21</v>
      </c>
      <c r="H515" s="54" t="str">
        <f>IF($C515="B",INDEX(Batters[[#All],[B]],MATCH(Table5[[#This Row],[PID]],Batters[[#All],[PID]],0)),INDEX(Table3[[#All],[B]],MATCH(Table5[[#This Row],[PID]],Table3[[#All],[PID]],0)))</f>
        <v>L</v>
      </c>
      <c r="I515" s="54" t="str">
        <f>IF($C515="B",INDEX(Batters[[#All],[T]],MATCH(Table5[[#This Row],[PID]],Batters[[#All],[PID]],0)),INDEX(Table3[[#All],[T]],MATCH(Table5[[#This Row],[PID]],Table3[[#All],[PID]],0)))</f>
        <v>L</v>
      </c>
      <c r="J515" s="54" t="str">
        <f>IF($C515="B",INDEX(Batters[[#All],[WE]],MATCH(Table5[[#This Row],[PID]],Batters[[#All],[PID]],0)),INDEX(Table3[[#All],[WE]],MATCH(Table5[[#This Row],[PID]],Table3[[#All],[PID]],0)))</f>
        <v>Normal</v>
      </c>
      <c r="K515" s="54" t="str">
        <f>IF($C515="B",INDEX(Batters[[#All],[INT]],MATCH(Table5[[#This Row],[PID]],Batters[[#All],[PID]],0)),INDEX(Table3[[#All],[INT]],MATCH(Table5[[#This Row],[PID]],Table3[[#All],[PID]],0)))</f>
        <v>Normal</v>
      </c>
      <c r="L515" s="62">
        <f>IF($C515="B",INDEX(Batters[[#All],[CON P]],MATCH(Table5[[#This Row],[PID]],Batters[[#All],[PID]],0)),INDEX(Table3[[#All],[STU P]],MATCH(Table5[[#This Row],[PID]],Table3[[#All],[PID]],0)))</f>
        <v>4</v>
      </c>
      <c r="M515" s="58">
        <f>IF($C515="B",INDEX(Batters[[#All],[GAP P]],MATCH(Table5[[#This Row],[PID]],Batters[[#All],[PID]],0)),INDEX(Table3[[#All],[MOV P]],MATCH(Table5[[#This Row],[PID]],Table3[[#All],[PID]],0)))</f>
        <v>1</v>
      </c>
      <c r="N515" s="58">
        <f>IF($C515="B",INDEX(Batters[[#All],[POW P]],MATCH(Table5[[#This Row],[PID]],Batters[[#All],[PID]],0)),INDEX(Table3[[#All],[CON P]],MATCH(Table5[[#This Row],[PID]],Table3[[#All],[PID]],0)))</f>
        <v>4</v>
      </c>
      <c r="O515" s="58" t="str">
        <f>IF($C515="B",INDEX(Batters[[#All],[EYE P]],MATCH(Table5[[#This Row],[PID]],Batters[[#All],[PID]],0)),INDEX(Table3[[#All],[VELO]],MATCH(Table5[[#This Row],[PID]],Table3[[#All],[PID]],0)))</f>
        <v>89-91 Mph</v>
      </c>
      <c r="P515" s="58">
        <f>IF($C515="B",INDEX(Batters[[#All],[K P]],MATCH(Table5[[#This Row],[PID]],Batters[[#All],[PID]],0)),INDEX(Table3[[#All],[STM]],MATCH(Table5[[#This Row],[PID]],Table3[[#All],[PID]],0)))</f>
        <v>10</v>
      </c>
      <c r="Q515" s="63">
        <f>IF($C515="B",INDEX(Batters[[#All],[Tot]],MATCH(Table5[[#This Row],[PID]],Batters[[#All],[PID]],0)),INDEX(Table3[[#All],[Tot]],MATCH(Table5[[#This Row],[PID]],Table3[[#All],[PID]],0)))</f>
        <v>30.398029219705641</v>
      </c>
      <c r="R515" s="54">
        <f>IF($C515="B",INDEX(Batters[[#All],[zScore]],MATCH(Table5[[#This Row],[PID]],Batters[[#All],[PID]],0)),INDEX(Table3[[#All],[zScore]],MATCH(Table5[[#This Row],[PID]],Table3[[#All],[PID]],0)))</f>
        <v>-0.2131410578024614</v>
      </c>
      <c r="S515" s="60" t="str">
        <f>IF($C515="B",INDEX(Batters[[#All],[DEM]],MATCH(Table5[[#This Row],[PID]],Batters[[#All],[PID]],0)),INDEX(Table3[[#All],[DEM]],MATCH(Table5[[#This Row],[PID]],Table3[[#All],[PID]],0)))</f>
        <v>-</v>
      </c>
      <c r="T515" s="64">
        <f>IF($C515="B",VLOOKUP($A515,Bat!$A$4:$AU$1417,46,FALSE),VLOOKUP($A515,Pit!$A$4:$BD$570,55,FALSE))</f>
        <v>0</v>
      </c>
      <c r="U515" s="52">
        <f>IF($C515="B",VLOOKUP($A515,Bat!$A$4:$BA$1417,47,FALSE),VLOOKUP($A515,Pit!$A$4:$BF$570,56,FALSE))</f>
        <v>0</v>
      </c>
      <c r="V515" s="52">
        <f>IF($C515="B",VLOOKUP($A515,Bat!$A$4:$BA$1417,48,FALSE),VLOOKUP($A515,Pit!$A$4:$BF$570,57,FALSE))</f>
        <v>0</v>
      </c>
      <c r="W515" s="52">
        <f>Table5[[#This Row],[posRnk]]+Table5[[#This Row],[zRnk]]+IF($W$3&lt;&gt;Table5[[#This Row],[Type]],50,0)</f>
        <v>561</v>
      </c>
      <c r="X515" s="53">
        <f>RANK(Table5[[#This Row],[zScore]],Table5[[#All],[zScore]])</f>
        <v>511</v>
      </c>
      <c r="Y515" s="52" t="str">
        <f>IFERROR(INDEX(DraftResults[[#All],[OVR]],MATCH(Table5[[#This Row],[PID]],DraftResults[[#All],[Player ID]],0)),"")</f>
        <v/>
      </c>
      <c r="Z5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5" s="52" t="str">
        <f>IFERROR(INDEX(DraftResults[[#All],[Pick in Round]],MATCH(Table5[[#This Row],[PID]],DraftResults[[#All],[Player ID]],0)),"")</f>
        <v/>
      </c>
      <c r="AB515" s="52" t="str">
        <f>IFERROR(INDEX(DraftResults[[#All],[Team Name]],MATCH(Table5[[#This Row],[PID]],DraftResults[[#All],[Player ID]],0)),"")</f>
        <v/>
      </c>
      <c r="AC515" s="52" t="str">
        <f>IF(Table5[[#This Row],[Ovr]]="","",IF(Table5[[#This Row],[cmbList]]="","",Table5[[#This Row],[cmbList]]-Table5[[#This Row],[Ovr]]))</f>
        <v/>
      </c>
      <c r="AD515" s="56" t="str">
        <f>IF(ISERROR(VLOOKUP($AB515&amp;"-"&amp;$E515&amp;" "&amp;F515,Bonuses!$B$1:$G$1006,4,FALSE)),"",INT(VLOOKUP($AB515&amp;"-"&amp;$E515&amp;" "&amp;$F515,Bonuses!$B$1:$G$1006,4,FALSE)))</f>
        <v/>
      </c>
      <c r="AE5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6" spans="1:31" s="52" customFormat="1" x14ac:dyDescent="0.25">
      <c r="A516" s="52">
        <v>12402</v>
      </c>
      <c r="B516" s="52">
        <f>COUNTIF(Table5[PID],A516)</f>
        <v>1</v>
      </c>
      <c r="C516" s="52" t="str">
        <f>IF(COUNTIF(Table3[[#All],[PID]],A516)&gt;0,"P","B")</f>
        <v>P</v>
      </c>
      <c r="D516" s="61" t="str">
        <f>IF($C516="B",INDEX(Batters[[#All],[POS]],MATCH(Table5[[#This Row],[PID]],Batters[[#All],[PID]],0)),INDEX(Table3[[#All],[POS]],MATCH(Table5[[#This Row],[PID]],Table3[[#All],[PID]],0)))</f>
        <v>RP</v>
      </c>
      <c r="E516" s="54" t="str">
        <f>IF($C516="B",INDEX(Batters[[#All],[First]],MATCH(Table5[[#This Row],[PID]],Batters[[#All],[PID]],0)),INDEX(Table3[[#All],[First]],MATCH(Table5[[#This Row],[PID]],Table3[[#All],[PID]],0)))</f>
        <v>Kimi</v>
      </c>
      <c r="F516" s="52" t="str">
        <f>IF($C516="B",INDEX(Batters[[#All],[Last]],MATCH(A516,Batters[[#All],[PID]],0)),INDEX(Table3[[#All],[Last]],MATCH(A516,Table3[[#All],[PID]],0)))</f>
        <v>Yamasaki</v>
      </c>
      <c r="G516" s="58">
        <f>IF($C516="B",INDEX(Batters[[#All],[Age]],MATCH(Table5[[#This Row],[PID]],Batters[[#All],[PID]],0)),INDEX(Table3[[#All],[Age]],MATCH(Table5[[#This Row],[PID]],Table3[[#All],[PID]],0)))</f>
        <v>22</v>
      </c>
      <c r="H516" s="54" t="str">
        <f>IF($C516="B",INDEX(Batters[[#All],[B]],MATCH(Table5[[#This Row],[PID]],Batters[[#All],[PID]],0)),INDEX(Table3[[#All],[B]],MATCH(Table5[[#This Row],[PID]],Table3[[#All],[PID]],0)))</f>
        <v>R</v>
      </c>
      <c r="I516" s="54" t="str">
        <f>IF($C516="B",INDEX(Batters[[#All],[T]],MATCH(Table5[[#This Row],[PID]],Batters[[#All],[PID]],0)),INDEX(Table3[[#All],[T]],MATCH(Table5[[#This Row],[PID]],Table3[[#All],[PID]],0)))</f>
        <v>R</v>
      </c>
      <c r="J516" s="54" t="str">
        <f>IF($C516="B",INDEX(Batters[[#All],[WE]],MATCH(Table5[[#This Row],[PID]],Batters[[#All],[PID]],0)),INDEX(Table3[[#All],[WE]],MATCH(Table5[[#This Row],[PID]],Table3[[#All],[PID]],0)))</f>
        <v>High</v>
      </c>
      <c r="K516" s="54" t="str">
        <f>IF($C516="B",INDEX(Batters[[#All],[INT]],MATCH(Table5[[#This Row],[PID]],Batters[[#All],[PID]],0)),INDEX(Table3[[#All],[INT]],MATCH(Table5[[#This Row],[PID]],Table3[[#All],[PID]],0)))</f>
        <v>Normal</v>
      </c>
      <c r="L516" s="62">
        <f>IF($C516="B",INDEX(Batters[[#All],[CON P]],MATCH(Table5[[#This Row],[PID]],Batters[[#All],[PID]],0)),INDEX(Table3[[#All],[STU P]],MATCH(Table5[[#This Row],[PID]],Table3[[#All],[PID]],0)))</f>
        <v>4</v>
      </c>
      <c r="M516" s="58">
        <f>IF($C516="B",INDEX(Batters[[#All],[GAP P]],MATCH(Table5[[#This Row],[PID]],Batters[[#All],[PID]],0)),INDEX(Table3[[#All],[MOV P]],MATCH(Table5[[#This Row],[PID]],Table3[[#All],[PID]],0)))</f>
        <v>2</v>
      </c>
      <c r="N516" s="58">
        <f>IF($C516="B",INDEX(Batters[[#All],[POW P]],MATCH(Table5[[#This Row],[PID]],Batters[[#All],[PID]],0)),INDEX(Table3[[#All],[CON P]],MATCH(Table5[[#This Row],[PID]],Table3[[#All],[PID]],0)))</f>
        <v>3</v>
      </c>
      <c r="O516" s="58" t="str">
        <f>IF($C516="B",INDEX(Batters[[#All],[EYE P]],MATCH(Table5[[#This Row],[PID]],Batters[[#All],[PID]],0)),INDEX(Table3[[#All],[VELO]],MATCH(Table5[[#This Row],[PID]],Table3[[#All],[PID]],0)))</f>
        <v>91-93 Mph</v>
      </c>
      <c r="P516" s="58">
        <f>IF($C516="B",INDEX(Batters[[#All],[K P]],MATCH(Table5[[#This Row],[PID]],Batters[[#All],[PID]],0)),INDEX(Table3[[#All],[STM]],MATCH(Table5[[#This Row],[PID]],Table3[[#All],[PID]],0)))</f>
        <v>7</v>
      </c>
      <c r="Q516" s="63">
        <f>IF($C516="B",INDEX(Batters[[#All],[Tot]],MATCH(Table5[[#This Row],[PID]],Batters[[#All],[PID]],0)),INDEX(Table3[[#All],[Tot]],MATCH(Table5[[#This Row],[PID]],Table3[[#All],[PID]],0)))</f>
        <v>30.38674094862321</v>
      </c>
      <c r="R516" s="54">
        <f>IF($C516="B",INDEX(Batters[[#All],[zScore]],MATCH(Table5[[#This Row],[PID]],Batters[[#All],[PID]],0)),INDEX(Table3[[#All],[zScore]],MATCH(Table5[[#This Row],[PID]],Table3[[#All],[PID]],0)))</f>
        <v>-0.21417624050780501</v>
      </c>
      <c r="S516" s="60" t="str">
        <f>IF($C516="B",INDEX(Batters[[#All],[DEM]],MATCH(Table5[[#This Row],[PID]],Batters[[#All],[PID]],0)),INDEX(Table3[[#All],[DEM]],MATCH(Table5[[#This Row],[PID]],Table3[[#All],[PID]],0)))</f>
        <v>-</v>
      </c>
      <c r="T516" s="64">
        <f>IF($C516="B",VLOOKUP($A516,Bat!$A$4:$AU$1417,46,FALSE),VLOOKUP($A516,Pit!$A$4:$BD$570,55,FALSE))</f>
        <v>0</v>
      </c>
      <c r="U516" s="52">
        <f>IF($C516="B",VLOOKUP($A516,Bat!$A$4:$BA$1417,47,FALSE),VLOOKUP($A516,Pit!$A$4:$BF$570,56,FALSE))</f>
        <v>0</v>
      </c>
      <c r="V516" s="52">
        <f>IF($C516="B",VLOOKUP($A516,Bat!$A$4:$BA$1417,48,FALSE),VLOOKUP($A516,Pit!$A$4:$BF$570,57,FALSE))</f>
        <v>0</v>
      </c>
      <c r="W516" s="52">
        <f>Table5[[#This Row],[posRnk]]+Table5[[#This Row],[zRnk]]+IF($W$3&lt;&gt;Table5[[#This Row],[Type]],50,0)</f>
        <v>562</v>
      </c>
      <c r="X516" s="53">
        <f>RANK(Table5[[#This Row],[zScore]],Table5[[#All],[zScore]])</f>
        <v>512</v>
      </c>
      <c r="Y516" s="52" t="str">
        <f>IFERROR(INDEX(DraftResults[[#All],[OVR]],MATCH(Table5[[#This Row],[PID]],DraftResults[[#All],[Player ID]],0)),"")</f>
        <v/>
      </c>
      <c r="Z5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6" s="52" t="str">
        <f>IFERROR(INDEX(DraftResults[[#All],[Pick in Round]],MATCH(Table5[[#This Row],[PID]],DraftResults[[#All],[Player ID]],0)),"")</f>
        <v/>
      </c>
      <c r="AB516" s="52" t="str">
        <f>IFERROR(INDEX(DraftResults[[#All],[Team Name]],MATCH(Table5[[#This Row],[PID]],DraftResults[[#All],[Player ID]],0)),"")</f>
        <v/>
      </c>
      <c r="AC516" s="52" t="str">
        <f>IF(Table5[[#This Row],[Ovr]]="","",IF(Table5[[#This Row],[cmbList]]="","",Table5[[#This Row],[cmbList]]-Table5[[#This Row],[Ovr]]))</f>
        <v/>
      </c>
      <c r="AD516" s="56" t="str">
        <f>IF(ISERROR(VLOOKUP($AB516&amp;"-"&amp;$E516&amp;" "&amp;F516,Bonuses!$B$1:$G$1006,4,FALSE)),"",INT(VLOOKUP($AB516&amp;"-"&amp;$E516&amp;" "&amp;$F516,Bonuses!$B$1:$G$1006,4,FALSE)))</f>
        <v/>
      </c>
      <c r="AE5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7" spans="1:31" s="52" customFormat="1" x14ac:dyDescent="0.25">
      <c r="A517" s="52">
        <v>13051</v>
      </c>
      <c r="B517" s="52">
        <f>COUNTIF(Table5[PID],A517)</f>
        <v>1</v>
      </c>
      <c r="C517" s="52" t="str">
        <f>IF(COUNTIF(Table3[[#All],[PID]],A517)&gt;0,"P","B")</f>
        <v>B</v>
      </c>
      <c r="D517" s="61" t="str">
        <f>IF($C517="B",INDEX(Batters[[#All],[POS]],MATCH(Table5[[#This Row],[PID]],Batters[[#All],[PID]],0)),INDEX(Table3[[#All],[POS]],MATCH(Table5[[#This Row],[PID]],Table3[[#All],[PID]],0)))</f>
        <v>C</v>
      </c>
      <c r="E517" s="54" t="str">
        <f>IF($C517="B",INDEX(Batters[[#All],[First]],MATCH(Table5[[#This Row],[PID]],Batters[[#All],[PID]],0)),INDEX(Table3[[#All],[First]],MATCH(Table5[[#This Row],[PID]],Table3[[#All],[PID]],0)))</f>
        <v>Walt</v>
      </c>
      <c r="F517" s="52" t="str">
        <f>IF($C517="B",INDEX(Batters[[#All],[Last]],MATCH(A517,Batters[[#All],[PID]],0)),INDEX(Table3[[#All],[Last]],MATCH(A517,Table3[[#All],[PID]],0)))</f>
        <v>Hill</v>
      </c>
      <c r="G517" s="58">
        <f>IF($C517="B",INDEX(Batters[[#All],[Age]],MATCH(Table5[[#This Row],[PID]],Batters[[#All],[PID]],0)),INDEX(Table3[[#All],[Age]],MATCH(Table5[[#This Row],[PID]],Table3[[#All],[PID]],0)))</f>
        <v>18</v>
      </c>
      <c r="H517" s="54" t="str">
        <f>IF($C517="B",INDEX(Batters[[#All],[B]],MATCH(Table5[[#This Row],[PID]],Batters[[#All],[PID]],0)),INDEX(Table3[[#All],[B]],MATCH(Table5[[#This Row],[PID]],Table3[[#All],[PID]],0)))</f>
        <v>R</v>
      </c>
      <c r="I517" s="54" t="str">
        <f>IF($C517="B",INDEX(Batters[[#All],[T]],MATCH(Table5[[#This Row],[PID]],Batters[[#All],[PID]],0)),INDEX(Table3[[#All],[T]],MATCH(Table5[[#This Row],[PID]],Table3[[#All],[PID]],0)))</f>
        <v>R</v>
      </c>
      <c r="J517" s="54" t="str">
        <f>IF($C517="B",INDEX(Batters[[#All],[WE]],MATCH(Table5[[#This Row],[PID]],Batters[[#All],[PID]],0)),INDEX(Table3[[#All],[WE]],MATCH(Table5[[#This Row],[PID]],Table3[[#All],[PID]],0)))</f>
        <v>Low</v>
      </c>
      <c r="K517" s="54" t="str">
        <f>IF($C517="B",INDEX(Batters[[#All],[INT]],MATCH(Table5[[#This Row],[PID]],Batters[[#All],[PID]],0)),INDEX(Table3[[#All],[INT]],MATCH(Table5[[#This Row],[PID]],Table3[[#All],[PID]],0)))</f>
        <v>Normal</v>
      </c>
      <c r="L517" s="62">
        <f>IF($C517="B",INDEX(Batters[[#All],[CON P]],MATCH(Table5[[#This Row],[PID]],Batters[[#All],[PID]],0)),INDEX(Table3[[#All],[STU P]],MATCH(Table5[[#This Row],[PID]],Table3[[#All],[PID]],0)))</f>
        <v>3</v>
      </c>
      <c r="M517" s="58">
        <f>IF($C517="B",INDEX(Batters[[#All],[GAP P]],MATCH(Table5[[#This Row],[PID]],Batters[[#All],[PID]],0)),INDEX(Table3[[#All],[MOV P]],MATCH(Table5[[#This Row],[PID]],Table3[[#All],[PID]],0)))</f>
        <v>3</v>
      </c>
      <c r="N517" s="58">
        <f>IF($C517="B",INDEX(Batters[[#All],[POW P]],MATCH(Table5[[#This Row],[PID]],Batters[[#All],[PID]],0)),INDEX(Table3[[#All],[CON P]],MATCH(Table5[[#This Row],[PID]],Table3[[#All],[PID]],0)))</f>
        <v>2</v>
      </c>
      <c r="O517" s="58">
        <f>IF($C517="B",INDEX(Batters[[#All],[EYE P]],MATCH(Table5[[#This Row],[PID]],Batters[[#All],[PID]],0)),INDEX(Table3[[#All],[VELO]],MATCH(Table5[[#This Row],[PID]],Table3[[#All],[PID]],0)))</f>
        <v>4</v>
      </c>
      <c r="P517" s="58">
        <f>IF($C517="B",INDEX(Batters[[#All],[K P]],MATCH(Table5[[#This Row],[PID]],Batters[[#All],[PID]],0)),INDEX(Table3[[#All],[STM]],MATCH(Table5[[#This Row],[PID]],Table3[[#All],[PID]],0)))</f>
        <v>4</v>
      </c>
      <c r="Q517" s="63">
        <f>IF($C517="B",INDEX(Batters[[#All],[Tot]],MATCH(Table5[[#This Row],[PID]],Batters[[#All],[PID]],0)),INDEX(Table3[[#All],[Tot]],MATCH(Table5[[#This Row],[PID]],Table3[[#All],[PID]],0)))</f>
        <v>39.126504746210458</v>
      </c>
      <c r="R517" s="54">
        <f>IF($C517="B",INDEX(Batters[[#All],[zScore]],MATCH(Table5[[#This Row],[PID]],Batters[[#All],[PID]],0)),INDEX(Table3[[#All],[zScore]],MATCH(Table5[[#This Row],[PID]],Table3[[#All],[PID]],0)))</f>
        <v>-0.2149574925013141</v>
      </c>
      <c r="S517" s="60" t="str">
        <f>IF($C517="B",INDEX(Batters[[#All],[DEM]],MATCH(Table5[[#This Row],[PID]],Batters[[#All],[PID]],0)),INDEX(Table3[[#All],[DEM]],MATCH(Table5[[#This Row],[PID]],Table3[[#All],[PID]],0)))</f>
        <v>$75k</v>
      </c>
      <c r="T517" s="64">
        <f>IF($C517="B",VLOOKUP($A517,Bat!$A$4:$AU$1417,46,FALSE),VLOOKUP($A517,Pit!$A$4:$BD$570,55,FALSE))</f>
        <v>0</v>
      </c>
      <c r="U517" s="52">
        <f>IF($C517="B",VLOOKUP($A517,Bat!$A$4:$BA$1417,47,FALSE),VLOOKUP($A517,Pit!$A$4:$BF$570,56,FALSE))</f>
        <v>0</v>
      </c>
      <c r="V517" s="52">
        <f>IF($C517="B",VLOOKUP($A517,Bat!$A$4:$BA$1417,48,FALSE),VLOOKUP($A517,Pit!$A$4:$BF$570,57,FALSE))</f>
        <v>0</v>
      </c>
      <c r="W517" s="52">
        <f>Table5[[#This Row],[posRnk]]+Table5[[#This Row],[zRnk]]+IF($W$3&lt;&gt;Table5[[#This Row],[Type]],50,0)</f>
        <v>563</v>
      </c>
      <c r="X517" s="53">
        <f>RANK(Table5[[#This Row],[zScore]],Table5[[#All],[zScore]])</f>
        <v>513</v>
      </c>
      <c r="Y517" s="52" t="str">
        <f>IFERROR(INDEX(DraftResults[[#All],[OVR]],MATCH(Table5[[#This Row],[PID]],DraftResults[[#All],[Player ID]],0)),"")</f>
        <v/>
      </c>
      <c r="Z5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7" s="52" t="str">
        <f>IFERROR(INDEX(DraftResults[[#All],[Pick in Round]],MATCH(Table5[[#This Row],[PID]],DraftResults[[#All],[Player ID]],0)),"")</f>
        <v/>
      </c>
      <c r="AB517" s="52" t="str">
        <f>IFERROR(INDEX(DraftResults[[#All],[Team Name]],MATCH(Table5[[#This Row],[PID]],DraftResults[[#All],[Player ID]],0)),"")</f>
        <v/>
      </c>
      <c r="AC517" s="52" t="str">
        <f>IF(Table5[[#This Row],[Ovr]]="","",IF(Table5[[#This Row],[cmbList]]="","",Table5[[#This Row],[cmbList]]-Table5[[#This Row],[Ovr]]))</f>
        <v/>
      </c>
      <c r="AD517" s="56" t="str">
        <f>IF(ISERROR(VLOOKUP($AB517&amp;"-"&amp;$E517&amp;" "&amp;F517,Bonuses!$B$1:$G$1006,4,FALSE)),"",INT(VLOOKUP($AB517&amp;"-"&amp;$E517&amp;" "&amp;$F517,Bonuses!$B$1:$G$1006,4,FALSE)))</f>
        <v/>
      </c>
      <c r="AE5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8" spans="1:31" s="52" customFormat="1" x14ac:dyDescent="0.25">
      <c r="A518" s="52">
        <v>5692</v>
      </c>
      <c r="B518" s="57">
        <f>COUNTIF(Table5[PID],A518)</f>
        <v>1</v>
      </c>
      <c r="C518" s="57" t="str">
        <f>IF(COUNTIF(Table3[[#All],[PID]],A518)&gt;0,"P","B")</f>
        <v>B</v>
      </c>
      <c r="D518" s="61" t="str">
        <f>IF($C518="B",INDEX(Batters[[#All],[POS]],MATCH(Table5[[#This Row],[PID]],Batters[[#All],[PID]],0)),INDEX(Table3[[#All],[POS]],MATCH(Table5[[#This Row],[PID]],Table3[[#All],[PID]],0)))</f>
        <v>RF</v>
      </c>
      <c r="E518" s="54" t="str">
        <f>IF($C518="B",INDEX(Batters[[#All],[First]],MATCH(Table5[[#This Row],[PID]],Batters[[#All],[PID]],0)),INDEX(Table3[[#All],[First]],MATCH(Table5[[#This Row],[PID]],Table3[[#All],[PID]],0)))</f>
        <v>Arthur</v>
      </c>
      <c r="F518" s="52" t="str">
        <f>IF($C518="B",INDEX(Batters[[#All],[Last]],MATCH(A518,Batters[[#All],[PID]],0)),INDEX(Table3[[#All],[Last]],MATCH(A518,Table3[[#All],[PID]],0)))</f>
        <v>Parker</v>
      </c>
      <c r="G518" s="58">
        <f>IF($C518="B",INDEX(Batters[[#All],[Age]],MATCH(Table5[[#This Row],[PID]],Batters[[#All],[PID]],0)),INDEX(Table3[[#All],[Age]],MATCH(Table5[[#This Row],[PID]],Table3[[#All],[PID]],0)))</f>
        <v>18</v>
      </c>
      <c r="H518" s="54" t="str">
        <f>IF($C518="B",INDEX(Batters[[#All],[B]],MATCH(Table5[[#This Row],[PID]],Batters[[#All],[PID]],0)),INDEX(Table3[[#All],[B]],MATCH(Table5[[#This Row],[PID]],Table3[[#All],[PID]],0)))</f>
        <v>L</v>
      </c>
      <c r="I518" s="54" t="str">
        <f>IF($C518="B",INDEX(Batters[[#All],[T]],MATCH(Table5[[#This Row],[PID]],Batters[[#All],[PID]],0)),INDEX(Table3[[#All],[T]],MATCH(Table5[[#This Row],[PID]],Table3[[#All],[PID]],0)))</f>
        <v>L</v>
      </c>
      <c r="J518" s="54" t="str">
        <f>IF($C518="B",INDEX(Batters[[#All],[WE]],MATCH(Table5[[#This Row],[PID]],Batters[[#All],[PID]],0)),INDEX(Table3[[#All],[WE]],MATCH(Table5[[#This Row],[PID]],Table3[[#All],[PID]],0)))</f>
        <v>Low</v>
      </c>
      <c r="K518" s="54" t="str">
        <f>IF($C518="B",INDEX(Batters[[#All],[INT]],MATCH(Table5[[#This Row],[PID]],Batters[[#All],[PID]],0)),INDEX(Table3[[#All],[INT]],MATCH(Table5[[#This Row],[PID]],Table3[[#All],[PID]],0)))</f>
        <v>Normal</v>
      </c>
      <c r="L518" s="62">
        <f>IF($C518="B",INDEX(Batters[[#All],[CON P]],MATCH(Table5[[#This Row],[PID]],Batters[[#All],[PID]],0)),INDEX(Table3[[#All],[STU P]],MATCH(Table5[[#This Row],[PID]],Table3[[#All],[PID]],0)))</f>
        <v>3</v>
      </c>
      <c r="M518" s="58">
        <f>IF($C518="B",INDEX(Batters[[#All],[GAP P]],MATCH(Table5[[#This Row],[PID]],Batters[[#All],[PID]],0)),INDEX(Table3[[#All],[MOV P]],MATCH(Table5[[#This Row],[PID]],Table3[[#All],[PID]],0)))</f>
        <v>3</v>
      </c>
      <c r="N518" s="58">
        <f>IF($C518="B",INDEX(Batters[[#All],[POW P]],MATCH(Table5[[#This Row],[PID]],Batters[[#All],[PID]],0)),INDEX(Table3[[#All],[CON P]],MATCH(Table5[[#This Row],[PID]],Table3[[#All],[PID]],0)))</f>
        <v>2</v>
      </c>
      <c r="O518" s="58">
        <f>IF($C518="B",INDEX(Batters[[#All],[EYE P]],MATCH(Table5[[#This Row],[PID]],Batters[[#All],[PID]],0)),INDEX(Table3[[#All],[VELO]],MATCH(Table5[[#This Row],[PID]],Table3[[#All],[PID]],0)))</f>
        <v>4</v>
      </c>
      <c r="P518" s="58">
        <f>IF($C518="B",INDEX(Batters[[#All],[K P]],MATCH(Table5[[#This Row],[PID]],Batters[[#All],[PID]],0)),INDEX(Table3[[#All],[STM]],MATCH(Table5[[#This Row],[PID]],Table3[[#All],[PID]],0)))</f>
        <v>4</v>
      </c>
      <c r="Q518" s="63">
        <f>IF($C518="B",INDEX(Batters[[#All],[Tot]],MATCH(Table5[[#This Row],[PID]],Batters[[#All],[PID]],0)),INDEX(Table3[[#All],[Tot]],MATCH(Table5[[#This Row],[PID]],Table3[[#All],[PID]],0)))</f>
        <v>39.121398758248588</v>
      </c>
      <c r="R518" s="54">
        <f>IF($C518="B",INDEX(Batters[[#All],[zScore]],MATCH(Table5[[#This Row],[PID]],Batters[[#All],[PID]],0)),INDEX(Table3[[#All],[zScore]],MATCH(Table5[[#This Row],[PID]],Table3[[#All],[PID]],0)))</f>
        <v>-0.21585585714725994</v>
      </c>
      <c r="S518" s="60" t="str">
        <f>IF($C518="B",INDEX(Batters[[#All],[DEM]],MATCH(Table5[[#This Row],[PID]],Batters[[#All],[PID]],0)),INDEX(Table3[[#All],[DEM]],MATCH(Table5[[#This Row],[PID]],Table3[[#All],[PID]],0)))</f>
        <v>$130k</v>
      </c>
      <c r="T518" s="64">
        <f>IF($C518="B",VLOOKUP($A518,Bat!$A$4:$AU$1417,46,FALSE),VLOOKUP($A518,Pit!$A$4:$BD$570,55,FALSE))</f>
        <v>0</v>
      </c>
      <c r="U518" s="52">
        <f>IF($C518="B",VLOOKUP($A518,Bat!$A$4:$BA$1417,47,FALSE),VLOOKUP($A518,Pit!$A$4:$BF$570,56,FALSE))</f>
        <v>0</v>
      </c>
      <c r="V518" s="52">
        <f>IF($C518="B",VLOOKUP($A518,Bat!$A$4:$BA$1417,48,FALSE),VLOOKUP($A518,Pit!$A$4:$BF$570,57,FALSE))</f>
        <v>0</v>
      </c>
      <c r="W518" s="52">
        <f>Table5[[#This Row],[posRnk]]+Table5[[#This Row],[zRnk]]+IF($W$3&lt;&gt;Table5[[#This Row],[Type]],50,0)</f>
        <v>564</v>
      </c>
      <c r="X518" s="53">
        <f>RANK(Table5[[#This Row],[zScore]],Table5[[#All],[zScore]])</f>
        <v>514</v>
      </c>
      <c r="Y518" s="52" t="str">
        <f>IFERROR(INDEX(DraftResults[[#All],[OVR]],MATCH(Table5[[#This Row],[PID]],DraftResults[[#All],[Player ID]],0)),"")</f>
        <v/>
      </c>
      <c r="Z5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8" s="52" t="str">
        <f>IFERROR(INDEX(DraftResults[[#All],[Pick in Round]],MATCH(Table5[[#This Row],[PID]],DraftResults[[#All],[Player ID]],0)),"")</f>
        <v/>
      </c>
      <c r="AB518" s="52" t="str">
        <f>IFERROR(INDEX(DraftResults[[#All],[Team Name]],MATCH(Table5[[#This Row],[PID]],DraftResults[[#All],[Player ID]],0)),"")</f>
        <v/>
      </c>
      <c r="AC518" s="52" t="str">
        <f>IF(Table5[[#This Row],[Ovr]]="","",IF(Table5[[#This Row],[cmbList]]="","",Table5[[#This Row],[cmbList]]-Table5[[#This Row],[Ovr]]))</f>
        <v/>
      </c>
      <c r="AD518" s="56" t="str">
        <f>IF(ISERROR(VLOOKUP($AB518&amp;"-"&amp;$E518&amp;" "&amp;F518,Bonuses!$B$1:$G$1006,4,FALSE)),"",INT(VLOOKUP($AB518&amp;"-"&amp;$E518&amp;" "&amp;$F518,Bonuses!$B$1:$G$1006,4,FALSE)))</f>
        <v/>
      </c>
      <c r="AE5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9" spans="1:31" s="52" customFormat="1" x14ac:dyDescent="0.25">
      <c r="A519" s="52">
        <v>6188</v>
      </c>
      <c r="B519" s="52">
        <f>COUNTIF(Table5[PID],A519)</f>
        <v>1</v>
      </c>
      <c r="C519" s="52" t="str">
        <f>IF(COUNTIF(Table3[[#All],[PID]],A519)&gt;0,"P","B")</f>
        <v>P</v>
      </c>
      <c r="D519" s="61" t="str">
        <f>IF($C519="B",INDEX(Batters[[#All],[POS]],MATCH(Table5[[#This Row],[PID]],Batters[[#All],[PID]],0)),INDEX(Table3[[#All],[POS]],MATCH(Table5[[#This Row],[PID]],Table3[[#All],[PID]],0)))</f>
        <v>RP</v>
      </c>
      <c r="E519" s="54" t="str">
        <f>IF($C519="B",INDEX(Batters[[#All],[First]],MATCH(Table5[[#This Row],[PID]],Batters[[#All],[PID]],0)),INDEX(Table3[[#All],[First]],MATCH(Table5[[#This Row],[PID]],Table3[[#All],[PID]],0)))</f>
        <v>Sidney</v>
      </c>
      <c r="F519" s="52" t="str">
        <f>IF($C519="B",INDEX(Batters[[#All],[Last]],MATCH(A519,Batters[[#All],[PID]],0)),INDEX(Table3[[#All],[Last]],MATCH(A519,Table3[[#All],[PID]],0)))</f>
        <v>Bailey</v>
      </c>
      <c r="G519" s="58">
        <f>IF($C519="B",INDEX(Batters[[#All],[Age]],MATCH(Table5[[#This Row],[PID]],Batters[[#All],[PID]],0)),INDEX(Table3[[#All],[Age]],MATCH(Table5[[#This Row],[PID]],Table3[[#All],[PID]],0)))</f>
        <v>18</v>
      </c>
      <c r="H519" s="54" t="str">
        <f>IF($C519="B",INDEX(Batters[[#All],[B]],MATCH(Table5[[#This Row],[PID]],Batters[[#All],[PID]],0)),INDEX(Table3[[#All],[B]],MATCH(Table5[[#This Row],[PID]],Table3[[#All],[PID]],0)))</f>
        <v>L</v>
      </c>
      <c r="I519" s="54" t="str">
        <f>IF($C519="B",INDEX(Batters[[#All],[T]],MATCH(Table5[[#This Row],[PID]],Batters[[#All],[PID]],0)),INDEX(Table3[[#All],[T]],MATCH(Table5[[#This Row],[PID]],Table3[[#All],[PID]],0)))</f>
        <v>L</v>
      </c>
      <c r="J519" s="54" t="str">
        <f>IF($C519="B",INDEX(Batters[[#All],[WE]],MATCH(Table5[[#This Row],[PID]],Batters[[#All],[PID]],0)),INDEX(Table3[[#All],[WE]],MATCH(Table5[[#This Row],[PID]],Table3[[#All],[PID]],0)))</f>
        <v>Low</v>
      </c>
      <c r="K519" s="54" t="str">
        <f>IF($C519="B",INDEX(Batters[[#All],[INT]],MATCH(Table5[[#This Row],[PID]],Batters[[#All],[PID]],0)),INDEX(Table3[[#All],[INT]],MATCH(Table5[[#This Row],[PID]],Table3[[#All],[PID]],0)))</f>
        <v>High</v>
      </c>
      <c r="L519" s="62">
        <f>IF($C519="B",INDEX(Batters[[#All],[CON P]],MATCH(Table5[[#This Row],[PID]],Batters[[#All],[PID]],0)),INDEX(Table3[[#All],[STU P]],MATCH(Table5[[#This Row],[PID]],Table3[[#All],[PID]],0)))</f>
        <v>3</v>
      </c>
      <c r="M519" s="58">
        <f>IF($C519="B",INDEX(Batters[[#All],[GAP P]],MATCH(Table5[[#This Row],[PID]],Batters[[#All],[PID]],0)),INDEX(Table3[[#All],[MOV P]],MATCH(Table5[[#This Row],[PID]],Table3[[#All],[PID]],0)))</f>
        <v>2</v>
      </c>
      <c r="N519" s="58">
        <f>IF($C519="B",INDEX(Batters[[#All],[POW P]],MATCH(Table5[[#This Row],[PID]],Batters[[#All],[PID]],0)),INDEX(Table3[[#All],[CON P]],MATCH(Table5[[#This Row],[PID]],Table3[[#All],[PID]],0)))</f>
        <v>3</v>
      </c>
      <c r="O519" s="58" t="str">
        <f>IF($C519="B",INDEX(Batters[[#All],[EYE P]],MATCH(Table5[[#This Row],[PID]],Batters[[#All],[PID]],0)),INDEX(Table3[[#All],[VELO]],MATCH(Table5[[#This Row],[PID]],Table3[[#All],[PID]],0)))</f>
        <v>86-88 Mph</v>
      </c>
      <c r="P519" s="58">
        <f>IF($C519="B",INDEX(Batters[[#All],[K P]],MATCH(Table5[[#This Row],[PID]],Batters[[#All],[PID]],0)),INDEX(Table3[[#All],[STM]],MATCH(Table5[[#This Row],[PID]],Table3[[#All],[PID]],0)))</f>
        <v>7</v>
      </c>
      <c r="Q519" s="63">
        <f>IF($C519="B",INDEX(Batters[[#All],[Tot]],MATCH(Table5[[#This Row],[PID]],Batters[[#All],[PID]],0)),INDEX(Table3[[#All],[Tot]],MATCH(Table5[[#This Row],[PID]],Table3[[#All],[PID]],0)))</f>
        <v>30.367572190981999</v>
      </c>
      <c r="R519" s="54">
        <f>IF($C519="B",INDEX(Batters[[#All],[zScore]],MATCH(Table5[[#This Row],[PID]],Batters[[#All],[PID]],0)),INDEX(Table3[[#All],[zScore]],MATCH(Table5[[#This Row],[PID]],Table3[[#All],[PID]],0)))</f>
        <v>-0.21593409751249609</v>
      </c>
      <c r="S519" s="60" t="str">
        <f>IF($C519="B",INDEX(Batters[[#All],[DEM]],MATCH(Table5[[#This Row],[PID]],Batters[[#All],[PID]],0)),INDEX(Table3[[#All],[DEM]],MATCH(Table5[[#This Row],[PID]],Table3[[#All],[PID]],0)))</f>
        <v>$75k</v>
      </c>
      <c r="T519" s="64">
        <f>IF($C519="B",VLOOKUP($A519,Bat!$A$4:$AU$1417,46,FALSE),VLOOKUP($A519,Pit!$A$4:$BD$570,55,FALSE))</f>
        <v>0</v>
      </c>
      <c r="U519" s="52">
        <f>IF($C519="B",VLOOKUP($A519,Bat!$A$4:$BA$1417,47,FALSE),VLOOKUP($A519,Pit!$A$4:$BF$570,56,FALSE))</f>
        <v>0</v>
      </c>
      <c r="V519" s="52">
        <f>IF($C519="B",VLOOKUP($A519,Bat!$A$4:$BA$1417,48,FALSE),VLOOKUP($A519,Pit!$A$4:$BF$570,57,FALSE))</f>
        <v>0</v>
      </c>
      <c r="W519" s="52">
        <f>Table5[[#This Row],[posRnk]]+Table5[[#This Row],[zRnk]]+IF($W$3&lt;&gt;Table5[[#This Row],[Type]],50,0)</f>
        <v>565</v>
      </c>
      <c r="X519" s="53">
        <f>RANK(Table5[[#This Row],[zScore]],Table5[[#All],[zScore]])</f>
        <v>515</v>
      </c>
      <c r="Y519" s="52" t="str">
        <f>IFERROR(INDEX(DraftResults[[#All],[OVR]],MATCH(Table5[[#This Row],[PID]],DraftResults[[#All],[Player ID]],0)),"")</f>
        <v/>
      </c>
      <c r="Z5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9" s="52" t="str">
        <f>IFERROR(INDEX(DraftResults[[#All],[Pick in Round]],MATCH(Table5[[#This Row],[PID]],DraftResults[[#All],[Player ID]],0)),"")</f>
        <v/>
      </c>
      <c r="AB519" s="52" t="str">
        <f>IFERROR(INDEX(DraftResults[[#All],[Team Name]],MATCH(Table5[[#This Row],[PID]],DraftResults[[#All],[Player ID]],0)),"")</f>
        <v/>
      </c>
      <c r="AC519" s="52" t="str">
        <f>IF(Table5[[#This Row],[Ovr]]="","",IF(Table5[[#This Row],[cmbList]]="","",Table5[[#This Row],[cmbList]]-Table5[[#This Row],[Ovr]]))</f>
        <v/>
      </c>
      <c r="AD519" s="56" t="str">
        <f>IF(ISERROR(VLOOKUP($AB519&amp;"-"&amp;$E519&amp;" "&amp;F519,Bonuses!$B$1:$G$1006,4,FALSE)),"",INT(VLOOKUP($AB519&amp;"-"&amp;$E519&amp;" "&amp;$F519,Bonuses!$B$1:$G$1006,4,FALSE)))</f>
        <v/>
      </c>
      <c r="AE5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0" spans="1:31" s="52" customFormat="1" x14ac:dyDescent="0.25">
      <c r="A520" s="52">
        <v>17608</v>
      </c>
      <c r="B520" s="52">
        <f>COUNTIF(Table5[PID],A520)</f>
        <v>1</v>
      </c>
      <c r="C520" s="52" t="str">
        <f>IF(COUNTIF(Table3[[#All],[PID]],A520)&gt;0,"P","B")</f>
        <v>P</v>
      </c>
      <c r="D520" s="61" t="str">
        <f>IF($C520="B",INDEX(Batters[[#All],[POS]],MATCH(Table5[[#This Row],[PID]],Batters[[#All],[PID]],0)),INDEX(Table3[[#All],[POS]],MATCH(Table5[[#This Row],[PID]],Table3[[#All],[PID]],0)))</f>
        <v>RP</v>
      </c>
      <c r="E520" s="54" t="str">
        <f>IF($C520="B",INDEX(Batters[[#All],[First]],MATCH(Table5[[#This Row],[PID]],Batters[[#All],[PID]],0)),INDEX(Table3[[#All],[First]],MATCH(Table5[[#This Row],[PID]],Table3[[#All],[PID]],0)))</f>
        <v>Albert</v>
      </c>
      <c r="F520" s="52" t="str">
        <f>IF($C520="B",INDEX(Batters[[#All],[Last]],MATCH(A520,Batters[[#All],[PID]],0)),INDEX(Table3[[#All],[Last]],MATCH(A520,Table3[[#All],[PID]],0)))</f>
        <v>Smith</v>
      </c>
      <c r="G520" s="58">
        <f>IF($C520="B",INDEX(Batters[[#All],[Age]],MATCH(Table5[[#This Row],[PID]],Batters[[#All],[PID]],0)),INDEX(Table3[[#All],[Age]],MATCH(Table5[[#This Row],[PID]],Table3[[#All],[PID]],0)))</f>
        <v>18</v>
      </c>
      <c r="H520" s="54" t="str">
        <f>IF($C520="B",INDEX(Batters[[#All],[B]],MATCH(Table5[[#This Row],[PID]],Batters[[#All],[PID]],0)),INDEX(Table3[[#All],[B]],MATCH(Table5[[#This Row],[PID]],Table3[[#All],[PID]],0)))</f>
        <v>R</v>
      </c>
      <c r="I520" s="54" t="str">
        <f>IF($C520="B",INDEX(Batters[[#All],[T]],MATCH(Table5[[#This Row],[PID]],Batters[[#All],[PID]],0)),INDEX(Table3[[#All],[T]],MATCH(Table5[[#This Row],[PID]],Table3[[#All],[PID]],0)))</f>
        <v>R</v>
      </c>
      <c r="J520" s="54" t="str">
        <f>IF($C520="B",INDEX(Batters[[#All],[WE]],MATCH(Table5[[#This Row],[PID]],Batters[[#All],[PID]],0)),INDEX(Table3[[#All],[WE]],MATCH(Table5[[#This Row],[PID]],Table3[[#All],[PID]],0)))</f>
        <v>High</v>
      </c>
      <c r="K520" s="54" t="str">
        <f>IF($C520="B",INDEX(Batters[[#All],[INT]],MATCH(Table5[[#This Row],[PID]],Batters[[#All],[PID]],0)),INDEX(Table3[[#All],[INT]],MATCH(Table5[[#This Row],[PID]],Table3[[#All],[PID]],0)))</f>
        <v>Normal</v>
      </c>
      <c r="L520" s="62">
        <f>IF($C520="B",INDEX(Batters[[#All],[CON P]],MATCH(Table5[[#This Row],[PID]],Batters[[#All],[PID]],0)),INDEX(Table3[[#All],[STU P]],MATCH(Table5[[#This Row],[PID]],Table3[[#All],[PID]],0)))</f>
        <v>4</v>
      </c>
      <c r="M520" s="58">
        <f>IF($C520="B",INDEX(Batters[[#All],[GAP P]],MATCH(Table5[[#This Row],[PID]],Batters[[#All],[PID]],0)),INDEX(Table3[[#All],[MOV P]],MATCH(Table5[[#This Row],[PID]],Table3[[#All],[PID]],0)))</f>
        <v>2</v>
      </c>
      <c r="N520" s="58">
        <f>IF($C520="B",INDEX(Batters[[#All],[POW P]],MATCH(Table5[[#This Row],[PID]],Batters[[#All],[PID]],0)),INDEX(Table3[[#All],[CON P]],MATCH(Table5[[#This Row],[PID]],Table3[[#All],[PID]],0)))</f>
        <v>2</v>
      </c>
      <c r="O520" s="58" t="str">
        <f>IF($C520="B",INDEX(Batters[[#All],[EYE P]],MATCH(Table5[[#This Row],[PID]],Batters[[#All],[PID]],0)),INDEX(Table3[[#All],[VELO]],MATCH(Table5[[#This Row],[PID]],Table3[[#All],[PID]],0)))</f>
        <v>86-88 Mph</v>
      </c>
      <c r="P520" s="58">
        <f>IF($C520="B",INDEX(Batters[[#All],[K P]],MATCH(Table5[[#This Row],[PID]],Batters[[#All],[PID]],0)),INDEX(Table3[[#All],[STM]],MATCH(Table5[[#This Row],[PID]],Table3[[#All],[PID]],0)))</f>
        <v>6</v>
      </c>
      <c r="Q520" s="63">
        <f>IF($C520="B",INDEX(Batters[[#All],[Tot]],MATCH(Table5[[#This Row],[PID]],Batters[[#All],[PID]],0)),INDEX(Table3[[#All],[Tot]],MATCH(Table5[[#This Row],[PID]],Table3[[#All],[PID]],0)))</f>
        <v>30.362254912056162</v>
      </c>
      <c r="R520" s="54">
        <f>IF($C520="B",INDEX(Batters[[#All],[zScore]],MATCH(Table5[[#This Row],[PID]],Batters[[#All],[PID]],0)),INDEX(Table3[[#All],[zScore]],MATCH(Table5[[#This Row],[PID]],Table3[[#All],[PID]],0)))</f>
        <v>-0.21642171471652311</v>
      </c>
      <c r="S520" s="60" t="str">
        <f>IF($C520="B",INDEX(Batters[[#All],[DEM]],MATCH(Table5[[#This Row],[PID]],Batters[[#All],[PID]],0)),INDEX(Table3[[#All],[DEM]],MATCH(Table5[[#This Row],[PID]],Table3[[#All],[PID]],0)))</f>
        <v>$65k</v>
      </c>
      <c r="T520" s="64">
        <f>IF($C520="B",VLOOKUP($A520,Bat!$A$4:$AU$1417,46,FALSE),VLOOKUP($A520,Pit!$A$4:$BD$570,55,FALSE))</f>
        <v>0</v>
      </c>
      <c r="U520" s="52">
        <f>IF($C520="B",VLOOKUP($A520,Bat!$A$4:$BA$1417,47,FALSE),VLOOKUP($A520,Pit!$A$4:$BF$570,56,FALSE))</f>
        <v>0</v>
      </c>
      <c r="V520" s="52">
        <f>IF($C520="B",VLOOKUP($A520,Bat!$A$4:$BA$1417,48,FALSE),VLOOKUP($A520,Pit!$A$4:$BF$570,57,FALSE))</f>
        <v>0</v>
      </c>
      <c r="W520" s="52">
        <f>Table5[[#This Row],[posRnk]]+Table5[[#This Row],[zRnk]]+IF($W$3&lt;&gt;Table5[[#This Row],[Type]],50,0)</f>
        <v>566</v>
      </c>
      <c r="X520" s="53">
        <f>RANK(Table5[[#This Row],[zScore]],Table5[[#All],[zScore]])</f>
        <v>516</v>
      </c>
      <c r="Y520" s="52" t="str">
        <f>IFERROR(INDEX(DraftResults[[#All],[OVR]],MATCH(Table5[[#This Row],[PID]],DraftResults[[#All],[Player ID]],0)),"")</f>
        <v/>
      </c>
      <c r="Z5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0" s="52" t="str">
        <f>IFERROR(INDEX(DraftResults[[#All],[Pick in Round]],MATCH(Table5[[#This Row],[PID]],DraftResults[[#All],[Player ID]],0)),"")</f>
        <v/>
      </c>
      <c r="AB520" s="52" t="str">
        <f>IFERROR(INDEX(DraftResults[[#All],[Team Name]],MATCH(Table5[[#This Row],[PID]],DraftResults[[#All],[Player ID]],0)),"")</f>
        <v/>
      </c>
      <c r="AC520" s="52" t="str">
        <f>IF(Table5[[#This Row],[Ovr]]="","",IF(Table5[[#This Row],[cmbList]]="","",Table5[[#This Row],[cmbList]]-Table5[[#This Row],[Ovr]]))</f>
        <v/>
      </c>
      <c r="AD520" s="56" t="str">
        <f>IF(ISERROR(VLOOKUP($AB520&amp;"-"&amp;$E520&amp;" "&amp;F520,Bonuses!$B$1:$G$1006,4,FALSE)),"",INT(VLOOKUP($AB520&amp;"-"&amp;$E520&amp;" "&amp;$F520,Bonuses!$B$1:$G$1006,4,FALSE)))</f>
        <v/>
      </c>
      <c r="AE5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1" spans="1:31" s="52" customFormat="1" x14ac:dyDescent="0.25">
      <c r="A521" s="52">
        <v>15643</v>
      </c>
      <c r="B521" s="52">
        <f>COUNTIF(Table5[PID],A521)</f>
        <v>1</v>
      </c>
      <c r="C521" s="52" t="str">
        <f>IF(COUNTIF(Table3[[#All],[PID]],A521)&gt;0,"P","B")</f>
        <v>P</v>
      </c>
      <c r="D521" s="61" t="str">
        <f>IF($C521="B",INDEX(Batters[[#All],[POS]],MATCH(Table5[[#This Row],[PID]],Batters[[#All],[PID]],0)),INDEX(Table3[[#All],[POS]],MATCH(Table5[[#This Row],[PID]],Table3[[#All],[PID]],0)))</f>
        <v>SP</v>
      </c>
      <c r="E521" s="54" t="str">
        <f>IF($C521="B",INDEX(Batters[[#All],[First]],MATCH(Table5[[#This Row],[PID]],Batters[[#All],[PID]],0)),INDEX(Table3[[#All],[First]],MATCH(Table5[[#This Row],[PID]],Table3[[#All],[PID]],0)))</f>
        <v>Liam</v>
      </c>
      <c r="F521" s="52" t="str">
        <f>IF($C521="B",INDEX(Batters[[#All],[Last]],MATCH(A521,Batters[[#All],[PID]],0)),INDEX(Table3[[#All],[Last]],MATCH(A521,Table3[[#All],[PID]],0)))</f>
        <v>MacDuff</v>
      </c>
      <c r="G521" s="58">
        <f>IF($C521="B",INDEX(Batters[[#All],[Age]],MATCH(Table5[[#This Row],[PID]],Batters[[#All],[PID]],0)),INDEX(Table3[[#All],[Age]],MATCH(Table5[[#This Row],[PID]],Table3[[#All],[PID]],0)))</f>
        <v>18</v>
      </c>
      <c r="H521" s="54" t="str">
        <f>IF($C521="B",INDEX(Batters[[#All],[B]],MATCH(Table5[[#This Row],[PID]],Batters[[#All],[PID]],0)),INDEX(Table3[[#All],[B]],MATCH(Table5[[#This Row],[PID]],Table3[[#All],[PID]],0)))</f>
        <v>R</v>
      </c>
      <c r="I521" s="54" t="str">
        <f>IF($C521="B",INDEX(Batters[[#All],[T]],MATCH(Table5[[#This Row],[PID]],Batters[[#All],[PID]],0)),INDEX(Table3[[#All],[T]],MATCH(Table5[[#This Row],[PID]],Table3[[#All],[PID]],0)))</f>
        <v>R</v>
      </c>
      <c r="J521" s="54" t="str">
        <f>IF($C521="B",INDEX(Batters[[#All],[WE]],MATCH(Table5[[#This Row],[PID]],Batters[[#All],[PID]],0)),INDEX(Table3[[#All],[WE]],MATCH(Table5[[#This Row],[PID]],Table3[[#All],[PID]],0)))</f>
        <v>Low</v>
      </c>
      <c r="K521" s="54" t="str">
        <f>IF($C521="B",INDEX(Batters[[#All],[INT]],MATCH(Table5[[#This Row],[PID]],Batters[[#All],[PID]],0)),INDEX(Table3[[#All],[INT]],MATCH(Table5[[#This Row],[PID]],Table3[[#All],[PID]],0)))</f>
        <v>Normal</v>
      </c>
      <c r="L521" s="62">
        <f>IF($C521="B",INDEX(Batters[[#All],[CON P]],MATCH(Table5[[#This Row],[PID]],Batters[[#All],[PID]],0)),INDEX(Table3[[#All],[STU P]],MATCH(Table5[[#This Row],[PID]],Table3[[#All],[PID]],0)))</f>
        <v>4</v>
      </c>
      <c r="M521" s="58">
        <f>IF($C521="B",INDEX(Batters[[#All],[GAP P]],MATCH(Table5[[#This Row],[PID]],Batters[[#All],[PID]],0)),INDEX(Table3[[#All],[MOV P]],MATCH(Table5[[#This Row],[PID]],Table3[[#All],[PID]],0)))</f>
        <v>2</v>
      </c>
      <c r="N521" s="58">
        <f>IF($C521="B",INDEX(Batters[[#All],[POW P]],MATCH(Table5[[#This Row],[PID]],Batters[[#All],[PID]],0)),INDEX(Table3[[#All],[CON P]],MATCH(Table5[[#This Row],[PID]],Table3[[#All],[PID]],0)))</f>
        <v>2</v>
      </c>
      <c r="O521" s="58" t="str">
        <f>IF($C521="B",INDEX(Batters[[#All],[EYE P]],MATCH(Table5[[#This Row],[PID]],Batters[[#All],[PID]],0)),INDEX(Table3[[#All],[VELO]],MATCH(Table5[[#This Row],[PID]],Table3[[#All],[PID]],0)))</f>
        <v>89-91 Mph</v>
      </c>
      <c r="P521" s="58">
        <f>IF($C521="B",INDEX(Batters[[#All],[K P]],MATCH(Table5[[#This Row],[PID]],Batters[[#All],[PID]],0)),INDEX(Table3[[#All],[STM]],MATCH(Table5[[#This Row],[PID]],Table3[[#All],[PID]],0)))</f>
        <v>6</v>
      </c>
      <c r="Q521" s="63">
        <f>IF($C521="B",INDEX(Batters[[#All],[Tot]],MATCH(Table5[[#This Row],[PID]],Batters[[#All],[PID]],0)),INDEX(Table3[[#All],[Tot]],MATCH(Table5[[#This Row],[PID]],Table3[[#All],[PID]],0)))</f>
        <v>30.313886749532799</v>
      </c>
      <c r="R521" s="54">
        <f>IF($C521="B",INDEX(Batters[[#All],[zScore]],MATCH(Table5[[#This Row],[PID]],Batters[[#All],[PID]],0)),INDEX(Table3[[#All],[zScore]],MATCH(Table5[[#This Row],[PID]],Table3[[#All],[PID]],0)))</f>
        <v>-0.22085728194978704</v>
      </c>
      <c r="S521" s="60" t="str">
        <f>IF($C521="B",INDEX(Batters[[#All],[DEM]],MATCH(Table5[[#This Row],[PID]],Batters[[#All],[PID]],0)),INDEX(Table3[[#All],[DEM]],MATCH(Table5[[#This Row],[PID]],Table3[[#All],[PID]],0)))</f>
        <v>$65k</v>
      </c>
      <c r="T521" s="64">
        <f>IF($C521="B",VLOOKUP($A521,Bat!$A$4:$AU$1417,46,FALSE),VLOOKUP($A521,Pit!$A$4:$BD$570,55,FALSE))</f>
        <v>0</v>
      </c>
      <c r="U521" s="52">
        <f>IF($C521="B",VLOOKUP($A521,Bat!$A$4:$BA$1417,47,FALSE),VLOOKUP($A521,Pit!$A$4:$BF$570,56,FALSE))</f>
        <v>0</v>
      </c>
      <c r="V521" s="52">
        <f>IF($C521="B",VLOOKUP($A521,Bat!$A$4:$BA$1417,48,FALSE),VLOOKUP($A521,Pit!$A$4:$BF$570,57,FALSE))</f>
        <v>0</v>
      </c>
      <c r="W521" s="52">
        <f>Table5[[#This Row],[posRnk]]+Table5[[#This Row],[zRnk]]+IF($W$3&lt;&gt;Table5[[#This Row],[Type]],50,0)</f>
        <v>567</v>
      </c>
      <c r="X521" s="53">
        <f>RANK(Table5[[#This Row],[zScore]],Table5[[#All],[zScore]])</f>
        <v>517</v>
      </c>
      <c r="Y521" s="52" t="str">
        <f>IFERROR(INDEX(DraftResults[[#All],[OVR]],MATCH(Table5[[#This Row],[PID]],DraftResults[[#All],[Player ID]],0)),"")</f>
        <v/>
      </c>
      <c r="Z5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1" s="52" t="str">
        <f>IFERROR(INDEX(DraftResults[[#All],[Pick in Round]],MATCH(Table5[[#This Row],[PID]],DraftResults[[#All],[Player ID]],0)),"")</f>
        <v/>
      </c>
      <c r="AB521" s="52" t="str">
        <f>IFERROR(INDEX(DraftResults[[#All],[Team Name]],MATCH(Table5[[#This Row],[PID]],DraftResults[[#All],[Player ID]],0)),"")</f>
        <v/>
      </c>
      <c r="AC521" s="52" t="str">
        <f>IF(Table5[[#This Row],[Ovr]]="","",IF(Table5[[#This Row],[cmbList]]="","",Table5[[#This Row],[cmbList]]-Table5[[#This Row],[Ovr]]))</f>
        <v/>
      </c>
      <c r="AD521" s="56" t="str">
        <f>IF(ISERROR(VLOOKUP($AB521&amp;"-"&amp;$E521&amp;" "&amp;F521,Bonuses!$B$1:$G$1006,4,FALSE)),"",INT(VLOOKUP($AB521&amp;"-"&amp;$E521&amp;" "&amp;$F521,Bonuses!$B$1:$G$1006,4,FALSE)))</f>
        <v/>
      </c>
      <c r="AE5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2" spans="1:31" s="52" customFormat="1" x14ac:dyDescent="0.25">
      <c r="A522" s="52">
        <v>17596</v>
      </c>
      <c r="B522" s="52">
        <f>COUNTIF(Table5[PID],A522)</f>
        <v>1</v>
      </c>
      <c r="C522" s="52" t="str">
        <f>IF(COUNTIF(Table3[[#All],[PID]],A522)&gt;0,"P","B")</f>
        <v>P</v>
      </c>
      <c r="D522" s="61" t="str">
        <f>IF($C522="B",INDEX(Batters[[#All],[POS]],MATCH(Table5[[#This Row],[PID]],Batters[[#All],[PID]],0)),INDEX(Table3[[#All],[POS]],MATCH(Table5[[#This Row],[PID]],Table3[[#All],[PID]],0)))</f>
        <v>RP</v>
      </c>
      <c r="E522" s="54" t="str">
        <f>IF($C522="B",INDEX(Batters[[#All],[First]],MATCH(Table5[[#This Row],[PID]],Batters[[#All],[PID]],0)),INDEX(Table3[[#All],[First]],MATCH(Table5[[#This Row],[PID]],Table3[[#All],[PID]],0)))</f>
        <v>Kieran</v>
      </c>
      <c r="F522" s="52" t="str">
        <f>IF($C522="B",INDEX(Batters[[#All],[Last]],MATCH(A522,Batters[[#All],[PID]],0)),INDEX(Table3[[#All],[Last]],MATCH(A522,Table3[[#All],[PID]],0)))</f>
        <v>Cunningham</v>
      </c>
      <c r="G522" s="58">
        <f>IF($C522="B",INDEX(Batters[[#All],[Age]],MATCH(Table5[[#This Row],[PID]],Batters[[#All],[PID]],0)),INDEX(Table3[[#All],[Age]],MATCH(Table5[[#This Row],[PID]],Table3[[#All],[PID]],0)))</f>
        <v>18</v>
      </c>
      <c r="H522" s="54" t="str">
        <f>IF($C522="B",INDEX(Batters[[#All],[B]],MATCH(Table5[[#This Row],[PID]],Batters[[#All],[PID]],0)),INDEX(Table3[[#All],[B]],MATCH(Table5[[#This Row],[PID]],Table3[[#All],[PID]],0)))</f>
        <v>L</v>
      </c>
      <c r="I522" s="54" t="str">
        <f>IF($C522="B",INDEX(Batters[[#All],[T]],MATCH(Table5[[#This Row],[PID]],Batters[[#All],[PID]],0)),INDEX(Table3[[#All],[T]],MATCH(Table5[[#This Row],[PID]],Table3[[#All],[PID]],0)))</f>
        <v>L</v>
      </c>
      <c r="J522" s="54" t="str">
        <f>IF($C522="B",INDEX(Batters[[#All],[WE]],MATCH(Table5[[#This Row],[PID]],Batters[[#All],[PID]],0)),INDEX(Table3[[#All],[WE]],MATCH(Table5[[#This Row],[PID]],Table3[[#All],[PID]],0)))</f>
        <v>High</v>
      </c>
      <c r="K522" s="54" t="str">
        <f>IF($C522="B",INDEX(Batters[[#All],[INT]],MATCH(Table5[[#This Row],[PID]],Batters[[#All],[PID]],0)),INDEX(Table3[[#All],[INT]],MATCH(Table5[[#This Row],[PID]],Table3[[#All],[PID]],0)))</f>
        <v>Normal</v>
      </c>
      <c r="L522" s="62">
        <f>IF($C522="B",INDEX(Batters[[#All],[CON P]],MATCH(Table5[[#This Row],[PID]],Batters[[#All],[PID]],0)),INDEX(Table3[[#All],[STU P]],MATCH(Table5[[#This Row],[PID]],Table3[[#All],[PID]],0)))</f>
        <v>5</v>
      </c>
      <c r="M522" s="58">
        <f>IF($C522="B",INDEX(Batters[[#All],[GAP P]],MATCH(Table5[[#This Row],[PID]],Batters[[#All],[PID]],0)),INDEX(Table3[[#All],[MOV P]],MATCH(Table5[[#This Row],[PID]],Table3[[#All],[PID]],0)))</f>
        <v>1</v>
      </c>
      <c r="N522" s="58">
        <f>IF($C522="B",INDEX(Batters[[#All],[POW P]],MATCH(Table5[[#This Row],[PID]],Batters[[#All],[PID]],0)),INDEX(Table3[[#All],[CON P]],MATCH(Table5[[#This Row],[PID]],Table3[[#All],[PID]],0)))</f>
        <v>2</v>
      </c>
      <c r="O522" s="58" t="str">
        <f>IF($C522="B",INDEX(Batters[[#All],[EYE P]],MATCH(Table5[[#This Row],[PID]],Batters[[#All],[PID]],0)),INDEX(Table3[[#All],[VELO]],MATCH(Table5[[#This Row],[PID]],Table3[[#All],[PID]],0)))</f>
        <v>86-88 Mph</v>
      </c>
      <c r="P522" s="58">
        <f>IF($C522="B",INDEX(Batters[[#All],[K P]],MATCH(Table5[[#This Row],[PID]],Batters[[#All],[PID]],0)),INDEX(Table3[[#All],[STM]],MATCH(Table5[[#This Row],[PID]],Table3[[#All],[PID]],0)))</f>
        <v>4</v>
      </c>
      <c r="Q522" s="63">
        <f>IF($C522="B",INDEX(Batters[[#All],[Tot]],MATCH(Table5[[#This Row],[PID]],Batters[[#All],[PID]],0)),INDEX(Table3[[#All],[Tot]],MATCH(Table5[[#This Row],[PID]],Table3[[#All],[PID]],0)))</f>
        <v>30.264388481448773</v>
      </c>
      <c r="R522" s="54">
        <f>IF($C522="B",INDEX(Batters[[#All],[zScore]],MATCH(Table5[[#This Row],[PID]],Batters[[#All],[PID]],0)),INDEX(Table3[[#All],[zScore]],MATCH(Table5[[#This Row],[PID]],Table3[[#All],[PID]],0)))</f>
        <v>-0.22539648469313636</v>
      </c>
      <c r="S522" s="60" t="str">
        <f>IF($C522="B",INDEX(Batters[[#All],[DEM]],MATCH(Table5[[#This Row],[PID]],Batters[[#All],[PID]],0)),INDEX(Table3[[#All],[DEM]],MATCH(Table5[[#This Row],[PID]],Table3[[#All],[PID]],0)))</f>
        <v>-</v>
      </c>
      <c r="T522" s="64">
        <f>IF($C522="B",VLOOKUP($A522,Bat!$A$4:$AU$1417,46,FALSE),VLOOKUP($A522,Pit!$A$4:$BD$570,55,FALSE))</f>
        <v>0</v>
      </c>
      <c r="U522" s="52">
        <f>IF($C522="B",VLOOKUP($A522,Bat!$A$4:$BA$1417,47,FALSE),VLOOKUP($A522,Pit!$A$4:$BF$570,56,FALSE))</f>
        <v>0</v>
      </c>
      <c r="V522" s="52">
        <f>IF($C522="B",VLOOKUP($A522,Bat!$A$4:$BA$1417,48,FALSE),VLOOKUP($A522,Pit!$A$4:$BF$570,57,FALSE))</f>
        <v>0</v>
      </c>
      <c r="W522" s="52">
        <f>Table5[[#This Row],[posRnk]]+Table5[[#This Row],[zRnk]]+IF($W$3&lt;&gt;Table5[[#This Row],[Type]],50,0)</f>
        <v>568</v>
      </c>
      <c r="X522" s="53">
        <f>RANK(Table5[[#This Row],[zScore]],Table5[[#All],[zScore]])</f>
        <v>518</v>
      </c>
      <c r="Y522" s="52" t="str">
        <f>IFERROR(INDEX(DraftResults[[#All],[OVR]],MATCH(Table5[[#This Row],[PID]],DraftResults[[#All],[Player ID]],0)),"")</f>
        <v/>
      </c>
      <c r="Z5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2" s="52" t="str">
        <f>IFERROR(INDEX(DraftResults[[#All],[Pick in Round]],MATCH(Table5[[#This Row],[PID]],DraftResults[[#All],[Player ID]],0)),"")</f>
        <v/>
      </c>
      <c r="AB522" s="52" t="str">
        <f>IFERROR(INDEX(DraftResults[[#All],[Team Name]],MATCH(Table5[[#This Row],[PID]],DraftResults[[#All],[Player ID]],0)),"")</f>
        <v/>
      </c>
      <c r="AC522" s="52" t="str">
        <f>IF(Table5[[#This Row],[Ovr]]="","",IF(Table5[[#This Row],[cmbList]]="","",Table5[[#This Row],[cmbList]]-Table5[[#This Row],[Ovr]]))</f>
        <v/>
      </c>
      <c r="AD522" s="56" t="str">
        <f>IF(ISERROR(VLOOKUP($AB522&amp;"-"&amp;$E522&amp;" "&amp;F522,Bonuses!$B$1:$G$1006,4,FALSE)),"",INT(VLOOKUP($AB522&amp;"-"&amp;$E522&amp;" "&amp;$F522,Bonuses!$B$1:$G$1006,4,FALSE)))</f>
        <v/>
      </c>
      <c r="AE5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3" spans="1:31" s="52" customFormat="1" x14ac:dyDescent="0.25">
      <c r="A523" s="52">
        <v>11216</v>
      </c>
      <c r="B523" s="52">
        <f>COUNTIF(Table5[PID],A523)</f>
        <v>1</v>
      </c>
      <c r="C523" s="52" t="str">
        <f>IF(COUNTIF(Table3[[#All],[PID]],A523)&gt;0,"P","B")</f>
        <v>P</v>
      </c>
      <c r="D523" s="61" t="str">
        <f>IF($C523="B",INDEX(Batters[[#All],[POS]],MATCH(Table5[[#This Row],[PID]],Batters[[#All],[PID]],0)),INDEX(Table3[[#All],[POS]],MATCH(Table5[[#This Row],[PID]],Table3[[#All],[PID]],0)))</f>
        <v>SP</v>
      </c>
      <c r="E523" s="54" t="str">
        <f>IF($C523="B",INDEX(Batters[[#All],[First]],MATCH(Table5[[#This Row],[PID]],Batters[[#All],[PID]],0)),INDEX(Table3[[#All],[First]],MATCH(Table5[[#This Row],[PID]],Table3[[#All],[PID]],0)))</f>
        <v>Kosaku</v>
      </c>
      <c r="F523" s="52" t="str">
        <f>IF($C523="B",INDEX(Batters[[#All],[Last]],MATCH(A523,Batters[[#All],[PID]],0)),INDEX(Table3[[#All],[Last]],MATCH(A523,Table3[[#All],[PID]],0)))</f>
        <v>Fujimoto</v>
      </c>
      <c r="G523" s="58">
        <f>IF($C523="B",INDEX(Batters[[#All],[Age]],MATCH(Table5[[#This Row],[PID]],Batters[[#All],[PID]],0)),INDEX(Table3[[#All],[Age]],MATCH(Table5[[#This Row],[PID]],Table3[[#All],[PID]],0)))</f>
        <v>18</v>
      </c>
      <c r="H523" s="54" t="str">
        <f>IF($C523="B",INDEX(Batters[[#All],[B]],MATCH(Table5[[#This Row],[PID]],Batters[[#All],[PID]],0)),INDEX(Table3[[#All],[B]],MATCH(Table5[[#This Row],[PID]],Table3[[#All],[PID]],0)))</f>
        <v>L</v>
      </c>
      <c r="I523" s="54" t="str">
        <f>IF($C523="B",INDEX(Batters[[#All],[T]],MATCH(Table5[[#This Row],[PID]],Batters[[#All],[PID]],0)),INDEX(Table3[[#All],[T]],MATCH(Table5[[#This Row],[PID]],Table3[[#All],[PID]],0)))</f>
        <v>R</v>
      </c>
      <c r="J523" s="54" t="str">
        <f>IF($C523="B",INDEX(Batters[[#All],[WE]],MATCH(Table5[[#This Row],[PID]],Batters[[#All],[PID]],0)),INDEX(Table3[[#All],[WE]],MATCH(Table5[[#This Row],[PID]],Table3[[#All],[PID]],0)))</f>
        <v>Normal</v>
      </c>
      <c r="K523" s="54" t="str">
        <f>IF($C523="B",INDEX(Batters[[#All],[INT]],MATCH(Table5[[#This Row],[PID]],Batters[[#All],[PID]],0)),INDEX(Table3[[#All],[INT]],MATCH(Table5[[#This Row],[PID]],Table3[[#All],[PID]],0)))</f>
        <v>Normal</v>
      </c>
      <c r="L523" s="62">
        <f>IF($C523="B",INDEX(Batters[[#All],[CON P]],MATCH(Table5[[#This Row],[PID]],Batters[[#All],[PID]],0)),INDEX(Table3[[#All],[STU P]],MATCH(Table5[[#This Row],[PID]],Table3[[#All],[PID]],0)))</f>
        <v>4</v>
      </c>
      <c r="M523" s="58">
        <f>IF($C523="B",INDEX(Batters[[#All],[GAP P]],MATCH(Table5[[#This Row],[PID]],Batters[[#All],[PID]],0)),INDEX(Table3[[#All],[MOV P]],MATCH(Table5[[#This Row],[PID]],Table3[[#All],[PID]],0)))</f>
        <v>2</v>
      </c>
      <c r="N523" s="58">
        <f>IF($C523="B",INDEX(Batters[[#All],[POW P]],MATCH(Table5[[#This Row],[PID]],Batters[[#All],[PID]],0)),INDEX(Table3[[#All],[CON P]],MATCH(Table5[[#This Row],[PID]],Table3[[#All],[PID]],0)))</f>
        <v>2</v>
      </c>
      <c r="O523" s="58" t="str">
        <f>IF($C523="B",INDEX(Batters[[#All],[EYE P]],MATCH(Table5[[#This Row],[PID]],Batters[[#All],[PID]],0)),INDEX(Table3[[#All],[VELO]],MATCH(Table5[[#This Row],[PID]],Table3[[#All],[PID]],0)))</f>
        <v>89-91 Mph</v>
      </c>
      <c r="P523" s="58">
        <f>IF($C523="B",INDEX(Batters[[#All],[K P]],MATCH(Table5[[#This Row],[PID]],Batters[[#All],[PID]],0)),INDEX(Table3[[#All],[STM]],MATCH(Table5[[#This Row],[PID]],Table3[[#All],[PID]],0)))</f>
        <v>7</v>
      </c>
      <c r="Q523" s="63">
        <f>IF($C523="B",INDEX(Batters[[#All],[Tot]],MATCH(Table5[[#This Row],[PID]],Batters[[#All],[PID]],0)),INDEX(Table3[[#All],[Tot]],MATCH(Table5[[#This Row],[PID]],Table3[[#All],[PID]],0)))</f>
        <v>30.251438528029677</v>
      </c>
      <c r="R523" s="54">
        <f>IF($C523="B",INDEX(Batters[[#All],[zScore]],MATCH(Table5[[#This Row],[PID]],Batters[[#All],[PID]],0)),INDEX(Table3[[#All],[zScore]],MATCH(Table5[[#This Row],[PID]],Table3[[#All],[PID]],0)))</f>
        <v>-0.22658405077093163</v>
      </c>
      <c r="S523" s="60" t="str">
        <f>IF($C523="B",INDEX(Batters[[#All],[DEM]],MATCH(Table5[[#This Row],[PID]],Batters[[#All],[PID]],0)),INDEX(Table3[[#All],[DEM]],MATCH(Table5[[#This Row],[PID]],Table3[[#All],[PID]],0)))</f>
        <v>$38k</v>
      </c>
      <c r="T523" s="64">
        <f>IF($C523="B",VLOOKUP($A523,Bat!$A$4:$AU$1417,46,FALSE),VLOOKUP($A523,Pit!$A$4:$BD$570,55,FALSE))</f>
        <v>0</v>
      </c>
      <c r="U523" s="52">
        <f>IF($C523="B",VLOOKUP($A523,Bat!$A$4:$BA$1417,47,FALSE),VLOOKUP($A523,Pit!$A$4:$BF$570,56,FALSE))</f>
        <v>0</v>
      </c>
      <c r="V523" s="52">
        <f>IF($C523="B",VLOOKUP($A523,Bat!$A$4:$BA$1417,48,FALSE),VLOOKUP($A523,Pit!$A$4:$BF$570,57,FALSE))</f>
        <v>0</v>
      </c>
      <c r="W523" s="52">
        <f>Table5[[#This Row],[posRnk]]+Table5[[#This Row],[zRnk]]+IF($W$3&lt;&gt;Table5[[#This Row],[Type]],50,0)</f>
        <v>569</v>
      </c>
      <c r="X523" s="53">
        <f>RANK(Table5[[#This Row],[zScore]],Table5[[#All],[zScore]])</f>
        <v>519</v>
      </c>
      <c r="Y523" s="52" t="str">
        <f>IFERROR(INDEX(DraftResults[[#All],[OVR]],MATCH(Table5[[#This Row],[PID]],DraftResults[[#All],[Player ID]],0)),"")</f>
        <v/>
      </c>
      <c r="Z5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3" s="52" t="str">
        <f>IFERROR(INDEX(DraftResults[[#All],[Pick in Round]],MATCH(Table5[[#This Row],[PID]],DraftResults[[#All],[Player ID]],0)),"")</f>
        <v/>
      </c>
      <c r="AB523" s="52" t="str">
        <f>IFERROR(INDEX(DraftResults[[#All],[Team Name]],MATCH(Table5[[#This Row],[PID]],DraftResults[[#All],[Player ID]],0)),"")</f>
        <v/>
      </c>
      <c r="AC523" s="52" t="str">
        <f>IF(Table5[[#This Row],[Ovr]]="","",IF(Table5[[#This Row],[cmbList]]="","",Table5[[#This Row],[cmbList]]-Table5[[#This Row],[Ovr]]))</f>
        <v/>
      </c>
      <c r="AD523" s="56" t="str">
        <f>IF(ISERROR(VLOOKUP($AB523&amp;"-"&amp;$E523&amp;" "&amp;F523,Bonuses!$B$1:$G$1006,4,FALSE)),"",INT(VLOOKUP($AB523&amp;"-"&amp;$E523&amp;" "&amp;$F523,Bonuses!$B$1:$G$1006,4,FALSE)))</f>
        <v/>
      </c>
      <c r="AE5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4" spans="1:31" s="52" customFormat="1" x14ac:dyDescent="0.25">
      <c r="A524" s="52">
        <v>8434</v>
      </c>
      <c r="B524" s="52">
        <f>COUNTIF(Table5[PID],A524)</f>
        <v>1</v>
      </c>
      <c r="C524" s="52" t="str">
        <f>IF(COUNTIF(Table3[[#All],[PID]],A524)&gt;0,"P","B")</f>
        <v>P</v>
      </c>
      <c r="D524" s="61" t="str">
        <f>IF($C524="B",INDEX(Batters[[#All],[POS]],MATCH(Table5[[#This Row],[PID]],Batters[[#All],[PID]],0)),INDEX(Table3[[#All],[POS]],MATCH(Table5[[#This Row],[PID]],Table3[[#All],[PID]],0)))</f>
        <v>RP</v>
      </c>
      <c r="E524" s="54" t="str">
        <f>IF($C524="B",INDEX(Batters[[#All],[First]],MATCH(Table5[[#This Row],[PID]],Batters[[#All],[PID]],0)),INDEX(Table3[[#All],[First]],MATCH(Table5[[#This Row],[PID]],Table3[[#All],[PID]],0)))</f>
        <v>Mike</v>
      </c>
      <c r="F524" s="52" t="str">
        <f>IF($C524="B",INDEX(Batters[[#All],[Last]],MATCH(A524,Batters[[#All],[PID]],0)),INDEX(Table3[[#All],[Last]],MATCH(A524,Table3[[#All],[PID]],0)))</f>
        <v>Fuller</v>
      </c>
      <c r="G524" s="58">
        <f>IF($C524="B",INDEX(Batters[[#All],[Age]],MATCH(Table5[[#This Row],[PID]],Batters[[#All],[PID]],0)),INDEX(Table3[[#All],[Age]],MATCH(Table5[[#This Row],[PID]],Table3[[#All],[PID]],0)))</f>
        <v>18</v>
      </c>
      <c r="H524" s="54" t="str">
        <f>IF($C524="B",INDEX(Batters[[#All],[B]],MATCH(Table5[[#This Row],[PID]],Batters[[#All],[PID]],0)),INDEX(Table3[[#All],[B]],MATCH(Table5[[#This Row],[PID]],Table3[[#All],[PID]],0)))</f>
        <v>R</v>
      </c>
      <c r="I524" s="54" t="str">
        <f>IF($C524="B",INDEX(Batters[[#All],[T]],MATCH(Table5[[#This Row],[PID]],Batters[[#All],[PID]],0)),INDEX(Table3[[#All],[T]],MATCH(Table5[[#This Row],[PID]],Table3[[#All],[PID]],0)))</f>
        <v>R</v>
      </c>
      <c r="J524" s="54" t="str">
        <f>IF($C524="B",INDEX(Batters[[#All],[WE]],MATCH(Table5[[#This Row],[PID]],Batters[[#All],[PID]],0)),INDEX(Table3[[#All],[WE]],MATCH(Table5[[#This Row],[PID]],Table3[[#All],[PID]],0)))</f>
        <v>Low</v>
      </c>
      <c r="K524" s="54" t="str">
        <f>IF($C524="B",INDEX(Batters[[#All],[INT]],MATCH(Table5[[#This Row],[PID]],Batters[[#All],[PID]],0)),INDEX(Table3[[#All],[INT]],MATCH(Table5[[#This Row],[PID]],Table3[[#All],[PID]],0)))</f>
        <v>Normal</v>
      </c>
      <c r="L524" s="62">
        <f>IF($C524="B",INDEX(Batters[[#All],[CON P]],MATCH(Table5[[#This Row],[PID]],Batters[[#All],[PID]],0)),INDEX(Table3[[#All],[STU P]],MATCH(Table5[[#This Row],[PID]],Table3[[#All],[PID]],0)))</f>
        <v>4</v>
      </c>
      <c r="M524" s="58">
        <f>IF($C524="B",INDEX(Batters[[#All],[GAP P]],MATCH(Table5[[#This Row],[PID]],Batters[[#All],[PID]],0)),INDEX(Table3[[#All],[MOV P]],MATCH(Table5[[#This Row],[PID]],Table3[[#All],[PID]],0)))</f>
        <v>2</v>
      </c>
      <c r="N524" s="58">
        <f>IF($C524="B",INDEX(Batters[[#All],[POW P]],MATCH(Table5[[#This Row],[PID]],Batters[[#All],[PID]],0)),INDEX(Table3[[#All],[CON P]],MATCH(Table5[[#This Row],[PID]],Table3[[#All],[PID]],0)))</f>
        <v>2</v>
      </c>
      <c r="O524" s="58" t="str">
        <f>IF($C524="B",INDEX(Batters[[#All],[EYE P]],MATCH(Table5[[#This Row],[PID]],Batters[[#All],[PID]],0)),INDEX(Table3[[#All],[VELO]],MATCH(Table5[[#This Row],[PID]],Table3[[#All],[PID]],0)))</f>
        <v>85-87 Mph</v>
      </c>
      <c r="P524" s="58">
        <f>IF($C524="B",INDEX(Batters[[#All],[K P]],MATCH(Table5[[#This Row],[PID]],Batters[[#All],[PID]],0)),INDEX(Table3[[#All],[STM]],MATCH(Table5[[#This Row],[PID]],Table3[[#All],[PID]],0)))</f>
        <v>8</v>
      </c>
      <c r="Q524" s="63">
        <f>IF($C524="B",INDEX(Batters[[#All],[Tot]],MATCH(Table5[[#This Row],[PID]],Batters[[#All],[PID]],0)),INDEX(Table3[[#All],[Tot]],MATCH(Table5[[#This Row],[PID]],Table3[[#All],[PID]],0)))</f>
        <v>30.237248627749906</v>
      </c>
      <c r="R524" s="54">
        <f>IF($C524="B",INDEX(Batters[[#All],[zScore]],MATCH(Table5[[#This Row],[PID]],Batters[[#All],[PID]],0)),INDEX(Table3[[#All],[zScore]],MATCH(Table5[[#This Row],[PID]],Table3[[#All],[PID]],0)))</f>
        <v>-0.22788532527549507</v>
      </c>
      <c r="S524" s="60" t="str">
        <f>IF($C524="B",INDEX(Batters[[#All],[DEM]],MATCH(Table5[[#This Row],[PID]],Batters[[#All],[PID]],0)),INDEX(Table3[[#All],[DEM]],MATCH(Table5[[#This Row],[PID]],Table3[[#All],[PID]],0)))</f>
        <v>$70k</v>
      </c>
      <c r="T524" s="64">
        <f>IF($C524="B",VLOOKUP($A524,Bat!$A$4:$AU$1417,46,FALSE),VLOOKUP($A524,Pit!$A$4:$BD$570,55,FALSE))</f>
        <v>0</v>
      </c>
      <c r="U524" s="52">
        <f>IF($C524="B",VLOOKUP($A524,Bat!$A$4:$BA$1417,47,FALSE),VLOOKUP($A524,Pit!$A$4:$BF$570,56,FALSE))</f>
        <v>0</v>
      </c>
      <c r="V524" s="52">
        <f>IF($C524="B",VLOOKUP($A524,Bat!$A$4:$BA$1417,48,FALSE),VLOOKUP($A524,Pit!$A$4:$BF$570,57,FALSE))</f>
        <v>0</v>
      </c>
      <c r="W524" s="52">
        <f>Table5[[#This Row],[posRnk]]+Table5[[#This Row],[zRnk]]+IF($W$3&lt;&gt;Table5[[#This Row],[Type]],50,0)</f>
        <v>570</v>
      </c>
      <c r="X524" s="53">
        <f>RANK(Table5[[#This Row],[zScore]],Table5[[#All],[zScore]])</f>
        <v>520</v>
      </c>
      <c r="Y524" s="52" t="str">
        <f>IFERROR(INDEX(DraftResults[[#All],[OVR]],MATCH(Table5[[#This Row],[PID]],DraftResults[[#All],[Player ID]],0)),"")</f>
        <v/>
      </c>
      <c r="Z5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4" s="52" t="str">
        <f>IFERROR(INDEX(DraftResults[[#All],[Pick in Round]],MATCH(Table5[[#This Row],[PID]],DraftResults[[#All],[Player ID]],0)),"")</f>
        <v/>
      </c>
      <c r="AB524" s="52" t="str">
        <f>IFERROR(INDEX(DraftResults[[#All],[Team Name]],MATCH(Table5[[#This Row],[PID]],DraftResults[[#All],[Player ID]],0)),"")</f>
        <v/>
      </c>
      <c r="AC524" s="52" t="str">
        <f>IF(Table5[[#This Row],[Ovr]]="","",IF(Table5[[#This Row],[cmbList]]="","",Table5[[#This Row],[cmbList]]-Table5[[#This Row],[Ovr]]))</f>
        <v/>
      </c>
      <c r="AD524" s="56" t="str">
        <f>IF(ISERROR(VLOOKUP($AB524&amp;"-"&amp;$E524&amp;" "&amp;F524,Bonuses!$B$1:$G$1006,4,FALSE)),"",INT(VLOOKUP($AB524&amp;"-"&amp;$E524&amp;" "&amp;$F524,Bonuses!$B$1:$G$1006,4,FALSE)))</f>
        <v/>
      </c>
      <c r="AE5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5" spans="1:31" s="52" customFormat="1" x14ac:dyDescent="0.25">
      <c r="A525" s="52">
        <v>6264</v>
      </c>
      <c r="B525" s="52">
        <f>COUNTIF(Table5[PID],A525)</f>
        <v>1</v>
      </c>
      <c r="C525" s="52" t="str">
        <f>IF(COUNTIF(Table3[[#All],[PID]],A525)&gt;0,"P","B")</f>
        <v>B</v>
      </c>
      <c r="D525" s="61" t="str">
        <f>IF($C525="B",INDEX(Batters[[#All],[POS]],MATCH(Table5[[#This Row],[PID]],Batters[[#All],[PID]],0)),INDEX(Table3[[#All],[POS]],MATCH(Table5[[#This Row],[PID]],Table3[[#All],[PID]],0)))</f>
        <v>LF</v>
      </c>
      <c r="E525" s="54" t="str">
        <f>IF($C525="B",INDEX(Batters[[#All],[First]],MATCH(Table5[[#This Row],[PID]],Batters[[#All],[PID]],0)),INDEX(Table3[[#All],[First]],MATCH(Table5[[#This Row],[PID]],Table3[[#All],[PID]],0)))</f>
        <v>Yatsuhiro</v>
      </c>
      <c r="F525" s="52" t="str">
        <f>IF($C525="B",INDEX(Batters[[#All],[Last]],MATCH(A525,Batters[[#All],[PID]],0)),INDEX(Table3[[#All],[Last]],MATCH(A525,Table3[[#All],[PID]],0)))</f>
        <v>Morita</v>
      </c>
      <c r="G525" s="58">
        <f>IF($C525="B",INDEX(Batters[[#All],[Age]],MATCH(Table5[[#This Row],[PID]],Batters[[#All],[PID]],0)),INDEX(Table3[[#All],[Age]],MATCH(Table5[[#This Row],[PID]],Table3[[#All],[PID]],0)))</f>
        <v>18</v>
      </c>
      <c r="H525" s="54" t="str">
        <f>IF($C525="B",INDEX(Batters[[#All],[B]],MATCH(Table5[[#This Row],[PID]],Batters[[#All],[PID]],0)),INDEX(Table3[[#All],[B]],MATCH(Table5[[#This Row],[PID]],Table3[[#All],[PID]],0)))</f>
        <v>L</v>
      </c>
      <c r="I525" s="54" t="str">
        <f>IF($C525="B",INDEX(Batters[[#All],[T]],MATCH(Table5[[#This Row],[PID]],Batters[[#All],[PID]],0)),INDEX(Table3[[#All],[T]],MATCH(Table5[[#This Row],[PID]],Table3[[#All],[PID]],0)))</f>
        <v>L</v>
      </c>
      <c r="J525" s="54" t="str">
        <f>IF($C525="B",INDEX(Batters[[#All],[WE]],MATCH(Table5[[#This Row],[PID]],Batters[[#All],[PID]],0)),INDEX(Table3[[#All],[WE]],MATCH(Table5[[#This Row],[PID]],Table3[[#All],[PID]],0)))</f>
        <v>Low</v>
      </c>
      <c r="K525" s="54" t="str">
        <f>IF($C525="B",INDEX(Batters[[#All],[INT]],MATCH(Table5[[#This Row],[PID]],Batters[[#All],[PID]],0)),INDEX(Table3[[#All],[INT]],MATCH(Table5[[#This Row],[PID]],Table3[[#All],[PID]],0)))</f>
        <v>Normal</v>
      </c>
      <c r="L525" s="62">
        <f>IF($C525="B",INDEX(Batters[[#All],[CON P]],MATCH(Table5[[#This Row],[PID]],Batters[[#All],[PID]],0)),INDEX(Table3[[#All],[STU P]],MATCH(Table5[[#This Row],[PID]],Table3[[#All],[PID]],0)))</f>
        <v>3</v>
      </c>
      <c r="M525" s="58">
        <f>IF($C525="B",INDEX(Batters[[#All],[GAP P]],MATCH(Table5[[#This Row],[PID]],Batters[[#All],[PID]],0)),INDEX(Table3[[#All],[MOV P]],MATCH(Table5[[#This Row],[PID]],Table3[[#All],[PID]],0)))</f>
        <v>3</v>
      </c>
      <c r="N525" s="58">
        <f>IF($C525="B",INDEX(Batters[[#All],[POW P]],MATCH(Table5[[#This Row],[PID]],Batters[[#All],[PID]],0)),INDEX(Table3[[#All],[CON P]],MATCH(Table5[[#This Row],[PID]],Table3[[#All],[PID]],0)))</f>
        <v>3</v>
      </c>
      <c r="O525" s="58">
        <f>IF($C525="B",INDEX(Batters[[#All],[EYE P]],MATCH(Table5[[#This Row],[PID]],Batters[[#All],[PID]],0)),INDEX(Table3[[#All],[VELO]],MATCH(Table5[[#This Row],[PID]],Table3[[#All],[PID]],0)))</f>
        <v>3</v>
      </c>
      <c r="P525" s="58">
        <f>IF($C525="B",INDEX(Batters[[#All],[K P]],MATCH(Table5[[#This Row],[PID]],Batters[[#All],[PID]],0)),INDEX(Table3[[#All],[STM]],MATCH(Table5[[#This Row],[PID]],Table3[[#All],[PID]],0)))</f>
        <v>4</v>
      </c>
      <c r="Q525" s="63">
        <f>IF($C525="B",INDEX(Batters[[#All],[Tot]],MATCH(Table5[[#This Row],[PID]],Batters[[#All],[PID]],0)),INDEX(Table3[[#All],[Tot]],MATCH(Table5[[#This Row],[PID]],Table3[[#All],[PID]],0)))</f>
        <v>39.05072970836401</v>
      </c>
      <c r="R525" s="54">
        <f>IF($C525="B",INDEX(Batters[[#All],[zScore]],MATCH(Table5[[#This Row],[PID]],Batters[[#All],[PID]],0)),INDEX(Table3[[#All],[zScore]],MATCH(Table5[[#This Row],[PID]],Table3[[#All],[PID]],0)))</f>
        <v>-0.22828960678650664</v>
      </c>
      <c r="S525" s="60" t="str">
        <f>IF($C525="B",INDEX(Batters[[#All],[DEM]],MATCH(Table5[[#This Row],[PID]],Batters[[#All],[PID]],0)),INDEX(Table3[[#All],[DEM]],MATCH(Table5[[#This Row],[PID]],Table3[[#All],[PID]],0)))</f>
        <v>$110k</v>
      </c>
      <c r="T525" s="64">
        <f>IF($C525="B",VLOOKUP($A525,Bat!$A$4:$AU$1417,46,FALSE),VLOOKUP($A525,Pit!$A$4:$BD$570,55,FALSE))</f>
        <v>0</v>
      </c>
      <c r="U525" s="52">
        <f>IF($C525="B",VLOOKUP($A525,Bat!$A$4:$BA$1417,47,FALSE),VLOOKUP($A525,Pit!$A$4:$BF$570,56,FALSE))</f>
        <v>0</v>
      </c>
      <c r="V525" s="52">
        <f>IF($C525="B",VLOOKUP($A525,Bat!$A$4:$BA$1417,48,FALSE),VLOOKUP($A525,Pit!$A$4:$BF$570,57,FALSE))</f>
        <v>0</v>
      </c>
      <c r="W525" s="52">
        <f>Table5[[#This Row],[posRnk]]+Table5[[#This Row],[zRnk]]+IF($W$3&lt;&gt;Table5[[#This Row],[Type]],50,0)</f>
        <v>571</v>
      </c>
      <c r="X525" s="53">
        <f>RANK(Table5[[#This Row],[zScore]],Table5[[#All],[zScore]])</f>
        <v>521</v>
      </c>
      <c r="Y525" s="52" t="str">
        <f>IFERROR(INDEX(DraftResults[[#All],[OVR]],MATCH(Table5[[#This Row],[PID]],DraftResults[[#All],[Player ID]],0)),"")</f>
        <v/>
      </c>
      <c r="Z5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5" s="52" t="str">
        <f>IFERROR(INDEX(DraftResults[[#All],[Pick in Round]],MATCH(Table5[[#This Row],[PID]],DraftResults[[#All],[Player ID]],0)),"")</f>
        <v/>
      </c>
      <c r="AB525" s="52" t="str">
        <f>IFERROR(INDEX(DraftResults[[#All],[Team Name]],MATCH(Table5[[#This Row],[PID]],DraftResults[[#All],[Player ID]],0)),"")</f>
        <v/>
      </c>
      <c r="AC525" s="52" t="str">
        <f>IF(Table5[[#This Row],[Ovr]]="","",IF(Table5[[#This Row],[cmbList]]="","",Table5[[#This Row],[cmbList]]-Table5[[#This Row],[Ovr]]))</f>
        <v/>
      </c>
      <c r="AD525" s="56" t="str">
        <f>IF(ISERROR(VLOOKUP($AB525&amp;"-"&amp;$E525&amp;" "&amp;F525,Bonuses!$B$1:$G$1006,4,FALSE)),"",INT(VLOOKUP($AB525&amp;"-"&amp;$E525&amp;" "&amp;$F525,Bonuses!$B$1:$G$1006,4,FALSE)))</f>
        <v/>
      </c>
      <c r="AE5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6" spans="1:31" s="52" customFormat="1" x14ac:dyDescent="0.25">
      <c r="A526" s="52">
        <v>6104</v>
      </c>
      <c r="B526" s="52">
        <f>COUNTIF(Table5[PID],A526)</f>
        <v>1</v>
      </c>
      <c r="C526" s="52" t="str">
        <f>IF(COUNTIF(Table3[[#All],[PID]],A526)&gt;0,"P","B")</f>
        <v>B</v>
      </c>
      <c r="D526" s="61" t="str">
        <f>IF($C526="B",INDEX(Batters[[#All],[POS]],MATCH(Table5[[#This Row],[PID]],Batters[[#All],[PID]],0)),INDEX(Table3[[#All],[POS]],MATCH(Table5[[#This Row],[PID]],Table3[[#All],[PID]],0)))</f>
        <v>C</v>
      </c>
      <c r="E526" s="54" t="str">
        <f>IF($C526="B",INDEX(Batters[[#All],[First]],MATCH(Table5[[#This Row],[PID]],Batters[[#All],[PID]],0)),INDEX(Table3[[#All],[First]],MATCH(Table5[[#This Row],[PID]],Table3[[#All],[PID]],0)))</f>
        <v>William</v>
      </c>
      <c r="F526" s="52" t="str">
        <f>IF($C526="B",INDEX(Batters[[#All],[Last]],MATCH(A526,Batters[[#All],[PID]],0)),INDEX(Table3[[#All],[Last]],MATCH(A526,Table3[[#All],[PID]],0)))</f>
        <v>Larry</v>
      </c>
      <c r="G526" s="58">
        <f>IF($C526="B",INDEX(Batters[[#All],[Age]],MATCH(Table5[[#This Row],[PID]],Batters[[#All],[PID]],0)),INDEX(Table3[[#All],[Age]],MATCH(Table5[[#This Row],[PID]],Table3[[#All],[PID]],0)))</f>
        <v>18</v>
      </c>
      <c r="H526" s="54" t="str">
        <f>IF($C526="B",INDEX(Batters[[#All],[B]],MATCH(Table5[[#This Row],[PID]],Batters[[#All],[PID]],0)),INDEX(Table3[[#All],[B]],MATCH(Table5[[#This Row],[PID]],Table3[[#All],[PID]],0)))</f>
        <v>R</v>
      </c>
      <c r="I526" s="54" t="str">
        <f>IF($C526="B",INDEX(Batters[[#All],[T]],MATCH(Table5[[#This Row],[PID]],Batters[[#All],[PID]],0)),INDEX(Table3[[#All],[T]],MATCH(Table5[[#This Row],[PID]],Table3[[#All],[PID]],0)))</f>
        <v>R</v>
      </c>
      <c r="J526" s="54" t="str">
        <f>IF($C526="B",INDEX(Batters[[#All],[WE]],MATCH(Table5[[#This Row],[PID]],Batters[[#All],[PID]],0)),INDEX(Table3[[#All],[WE]],MATCH(Table5[[#This Row],[PID]],Table3[[#All],[PID]],0)))</f>
        <v>Normal</v>
      </c>
      <c r="K526" s="54" t="str">
        <f>IF($C526="B",INDEX(Batters[[#All],[INT]],MATCH(Table5[[#This Row],[PID]],Batters[[#All],[PID]],0)),INDEX(Table3[[#All],[INT]],MATCH(Table5[[#This Row],[PID]],Table3[[#All],[PID]],0)))</f>
        <v>Low</v>
      </c>
      <c r="L526" s="62">
        <f>IF($C526="B",INDEX(Batters[[#All],[CON P]],MATCH(Table5[[#This Row],[PID]],Batters[[#All],[PID]],0)),INDEX(Table3[[#All],[STU P]],MATCH(Table5[[#This Row],[PID]],Table3[[#All],[PID]],0)))</f>
        <v>3</v>
      </c>
      <c r="M526" s="58">
        <f>IF($C526="B",INDEX(Batters[[#All],[GAP P]],MATCH(Table5[[#This Row],[PID]],Batters[[#All],[PID]],0)),INDEX(Table3[[#All],[MOV P]],MATCH(Table5[[#This Row],[PID]],Table3[[#All],[PID]],0)))</f>
        <v>2</v>
      </c>
      <c r="N526" s="58">
        <f>IF($C526="B",INDEX(Batters[[#All],[POW P]],MATCH(Table5[[#This Row],[PID]],Batters[[#All],[PID]],0)),INDEX(Table3[[#All],[CON P]],MATCH(Table5[[#This Row],[PID]],Table3[[#All],[PID]],0)))</f>
        <v>3</v>
      </c>
      <c r="O526" s="58">
        <f>IF($C526="B",INDEX(Batters[[#All],[EYE P]],MATCH(Table5[[#This Row],[PID]],Batters[[#All],[PID]],0)),INDEX(Table3[[#All],[VELO]],MATCH(Table5[[#This Row],[PID]],Table3[[#All],[PID]],0)))</f>
        <v>4</v>
      </c>
      <c r="P526" s="58">
        <f>IF($C526="B",INDEX(Batters[[#All],[K P]],MATCH(Table5[[#This Row],[PID]],Batters[[#All],[PID]],0)),INDEX(Table3[[#All],[STM]],MATCH(Table5[[#This Row],[PID]],Table3[[#All],[PID]],0)))</f>
        <v>3</v>
      </c>
      <c r="Q526" s="63">
        <f>IF($C526="B",INDEX(Batters[[#All],[Tot]],MATCH(Table5[[#This Row],[PID]],Batters[[#All],[PID]],0)),INDEX(Table3[[#All],[Tot]],MATCH(Table5[[#This Row],[PID]],Table3[[#All],[PID]],0)))</f>
        <v>39.025222053305953</v>
      </c>
      <c r="R526" s="54">
        <f>IF($C526="B",INDEX(Batters[[#All],[zScore]],MATCH(Table5[[#This Row],[PID]],Batters[[#All],[PID]],0)),INDEX(Table3[[#All],[zScore]],MATCH(Table5[[#This Row],[PID]],Table3[[#All],[PID]],0)))</f>
        <v>-0.23277750916235779</v>
      </c>
      <c r="S526" s="60" t="str">
        <f>IF($C526="B",INDEX(Batters[[#All],[DEM]],MATCH(Table5[[#This Row],[PID]],Batters[[#All],[PID]],0)),INDEX(Table3[[#All],[DEM]],MATCH(Table5[[#This Row],[PID]],Table3[[#All],[PID]],0)))</f>
        <v>$75k</v>
      </c>
      <c r="T526" s="64">
        <f>IF($C526="B",VLOOKUP($A526,Bat!$A$4:$AU$1417,46,FALSE),VLOOKUP($A526,Pit!$A$4:$BD$570,55,FALSE))</f>
        <v>0</v>
      </c>
      <c r="U526" s="52">
        <f>IF($C526="B",VLOOKUP($A526,Bat!$A$4:$BA$1417,47,FALSE),VLOOKUP($A526,Pit!$A$4:$BF$570,56,FALSE))</f>
        <v>0</v>
      </c>
      <c r="V526" s="52">
        <f>IF($C526="B",VLOOKUP($A526,Bat!$A$4:$BA$1417,48,FALSE),VLOOKUP($A526,Pit!$A$4:$BF$570,57,FALSE))</f>
        <v>0</v>
      </c>
      <c r="W526" s="52">
        <f>Table5[[#This Row],[posRnk]]+Table5[[#This Row],[zRnk]]+IF($W$3&lt;&gt;Table5[[#This Row],[Type]],50,0)</f>
        <v>572</v>
      </c>
      <c r="X526" s="53">
        <f>RANK(Table5[[#This Row],[zScore]],Table5[[#All],[zScore]])</f>
        <v>522</v>
      </c>
      <c r="Y526" s="52" t="str">
        <f>IFERROR(INDEX(DraftResults[[#All],[OVR]],MATCH(Table5[[#This Row],[PID]],DraftResults[[#All],[Player ID]],0)),"")</f>
        <v/>
      </c>
      <c r="Z5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6" s="52" t="str">
        <f>IFERROR(INDEX(DraftResults[[#All],[Pick in Round]],MATCH(Table5[[#This Row],[PID]],DraftResults[[#All],[Player ID]],0)),"")</f>
        <v/>
      </c>
      <c r="AB526" s="52" t="str">
        <f>IFERROR(INDEX(DraftResults[[#All],[Team Name]],MATCH(Table5[[#This Row],[PID]],DraftResults[[#All],[Player ID]],0)),"")</f>
        <v/>
      </c>
      <c r="AC526" s="52" t="str">
        <f>IF(Table5[[#This Row],[Ovr]]="","",IF(Table5[[#This Row],[cmbList]]="","",Table5[[#This Row],[cmbList]]-Table5[[#This Row],[Ovr]]))</f>
        <v/>
      </c>
      <c r="AD526" s="56" t="str">
        <f>IF(ISERROR(VLOOKUP($AB526&amp;"-"&amp;$E526&amp;" "&amp;F526,Bonuses!$B$1:$G$1006,4,FALSE)),"",INT(VLOOKUP($AB526&amp;"-"&amp;$E526&amp;" "&amp;$F526,Bonuses!$B$1:$G$1006,4,FALSE)))</f>
        <v/>
      </c>
      <c r="AE5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7" spans="1:31" s="52" customFormat="1" x14ac:dyDescent="0.25">
      <c r="A527" s="52">
        <v>15254</v>
      </c>
      <c r="B527" s="52">
        <f>COUNTIF(Table5[PID],A527)</f>
        <v>1</v>
      </c>
      <c r="C527" s="52" t="str">
        <f>IF(COUNTIF(Table3[[#All],[PID]],A527)&gt;0,"P","B")</f>
        <v>P</v>
      </c>
      <c r="D527" s="61" t="str">
        <f>IF($C527="B",INDEX(Batters[[#All],[POS]],MATCH(Table5[[#This Row],[PID]],Batters[[#All],[PID]],0)),INDEX(Table3[[#All],[POS]],MATCH(Table5[[#This Row],[PID]],Table3[[#All],[PID]],0)))</f>
        <v>RP</v>
      </c>
      <c r="E527" s="54" t="str">
        <f>IF($C527="B",INDEX(Batters[[#All],[First]],MATCH(Table5[[#This Row],[PID]],Batters[[#All],[PID]],0)),INDEX(Table3[[#All],[First]],MATCH(Table5[[#This Row],[PID]],Table3[[#All],[PID]],0)))</f>
        <v>Jonathan</v>
      </c>
      <c r="F527" s="52" t="str">
        <f>IF($C527="B",INDEX(Batters[[#All],[Last]],MATCH(A527,Batters[[#All],[PID]],0)),INDEX(Table3[[#All],[Last]],MATCH(A527,Table3[[#All],[PID]],0)))</f>
        <v>Colby</v>
      </c>
      <c r="G527" s="58">
        <f>IF($C527="B",INDEX(Batters[[#All],[Age]],MATCH(Table5[[#This Row],[PID]],Batters[[#All],[PID]],0)),INDEX(Table3[[#All],[Age]],MATCH(Table5[[#This Row],[PID]],Table3[[#All],[PID]],0)))</f>
        <v>18</v>
      </c>
      <c r="H527" s="54" t="str">
        <f>IF($C527="B",INDEX(Batters[[#All],[B]],MATCH(Table5[[#This Row],[PID]],Batters[[#All],[PID]],0)),INDEX(Table3[[#All],[B]],MATCH(Table5[[#This Row],[PID]],Table3[[#All],[PID]],0)))</f>
        <v>R</v>
      </c>
      <c r="I527" s="54" t="str">
        <f>IF($C527="B",INDEX(Batters[[#All],[T]],MATCH(Table5[[#This Row],[PID]],Batters[[#All],[PID]],0)),INDEX(Table3[[#All],[T]],MATCH(Table5[[#This Row],[PID]],Table3[[#All],[PID]],0)))</f>
        <v>R</v>
      </c>
      <c r="J527" s="54" t="str">
        <f>IF($C527="B",INDEX(Batters[[#All],[WE]],MATCH(Table5[[#This Row],[PID]],Batters[[#All],[PID]],0)),INDEX(Table3[[#All],[WE]],MATCH(Table5[[#This Row],[PID]],Table3[[#All],[PID]],0)))</f>
        <v>Normal</v>
      </c>
      <c r="K527" s="54" t="str">
        <f>IF($C527="B",INDEX(Batters[[#All],[INT]],MATCH(Table5[[#This Row],[PID]],Batters[[#All],[PID]],0)),INDEX(Table3[[#All],[INT]],MATCH(Table5[[#This Row],[PID]],Table3[[#All],[PID]],0)))</f>
        <v>Normal</v>
      </c>
      <c r="L527" s="62">
        <f>IF($C527="B",INDEX(Batters[[#All],[CON P]],MATCH(Table5[[#This Row],[PID]],Batters[[#All],[PID]],0)),INDEX(Table3[[#All],[STU P]],MATCH(Table5[[#This Row],[PID]],Table3[[#All],[PID]],0)))</f>
        <v>4</v>
      </c>
      <c r="M527" s="58">
        <f>IF($C527="B",INDEX(Batters[[#All],[GAP P]],MATCH(Table5[[#This Row],[PID]],Batters[[#All],[PID]],0)),INDEX(Table3[[#All],[MOV P]],MATCH(Table5[[#This Row],[PID]],Table3[[#All],[PID]],0)))</f>
        <v>2</v>
      </c>
      <c r="N527" s="58">
        <f>IF($C527="B",INDEX(Batters[[#All],[POW P]],MATCH(Table5[[#This Row],[PID]],Batters[[#All],[PID]],0)),INDEX(Table3[[#All],[CON P]],MATCH(Table5[[#This Row],[PID]],Table3[[#All],[PID]],0)))</f>
        <v>2</v>
      </c>
      <c r="O527" s="58" t="str">
        <f>IF($C527="B",INDEX(Batters[[#All],[EYE P]],MATCH(Table5[[#This Row],[PID]],Batters[[#All],[PID]],0)),INDEX(Table3[[#All],[VELO]],MATCH(Table5[[#This Row],[PID]],Table3[[#All],[PID]],0)))</f>
        <v>88-90 Mph</v>
      </c>
      <c r="P527" s="58">
        <f>IF($C527="B",INDEX(Batters[[#All],[K P]],MATCH(Table5[[#This Row],[PID]],Batters[[#All],[PID]],0)),INDEX(Table3[[#All],[STM]],MATCH(Table5[[#This Row],[PID]],Table3[[#All],[PID]],0)))</f>
        <v>6</v>
      </c>
      <c r="Q527" s="63">
        <f>IF($C527="B",INDEX(Batters[[#All],[Tot]],MATCH(Table5[[#This Row],[PID]],Batters[[#All],[PID]],0)),INDEX(Table3[[#All],[Tot]],MATCH(Table5[[#This Row],[PID]],Table3[[#All],[PID]],0)))</f>
        <v>30.164351557812086</v>
      </c>
      <c r="R527" s="54">
        <f>IF($C527="B",INDEX(Batters[[#All],[zScore]],MATCH(Table5[[#This Row],[PID]],Batters[[#All],[PID]],0)),INDEX(Table3[[#All],[zScore]],MATCH(Table5[[#This Row],[PID]],Table3[[#All],[PID]],0)))</f>
        <v>-0.23457029815741834</v>
      </c>
      <c r="S527" s="60" t="str">
        <f>IF($C527="B",INDEX(Batters[[#All],[DEM]],MATCH(Table5[[#This Row],[PID]],Batters[[#All],[PID]],0)),INDEX(Table3[[#All],[DEM]],MATCH(Table5[[#This Row],[PID]],Table3[[#All],[PID]],0)))</f>
        <v>$38k</v>
      </c>
      <c r="T527" s="64">
        <f>IF($C527="B",VLOOKUP($A527,Bat!$A$4:$AU$1417,46,FALSE),VLOOKUP($A527,Pit!$A$4:$BD$570,55,FALSE))</f>
        <v>0</v>
      </c>
      <c r="U527" s="52">
        <f>IF($C527="B",VLOOKUP($A527,Bat!$A$4:$BA$1417,47,FALSE),VLOOKUP($A527,Pit!$A$4:$BF$570,56,FALSE))</f>
        <v>0</v>
      </c>
      <c r="V527" s="52">
        <f>IF($C527="B",VLOOKUP($A527,Bat!$A$4:$BA$1417,48,FALSE),VLOOKUP($A527,Pit!$A$4:$BF$570,57,FALSE))</f>
        <v>0</v>
      </c>
      <c r="W527" s="52">
        <f>Table5[[#This Row],[posRnk]]+Table5[[#This Row],[zRnk]]+IF($W$3&lt;&gt;Table5[[#This Row],[Type]],50,0)</f>
        <v>573</v>
      </c>
      <c r="X527" s="53">
        <f>RANK(Table5[[#This Row],[zScore]],Table5[[#All],[zScore]])</f>
        <v>523</v>
      </c>
      <c r="Y527" s="52" t="str">
        <f>IFERROR(INDEX(DraftResults[[#All],[OVR]],MATCH(Table5[[#This Row],[PID]],DraftResults[[#All],[Player ID]],0)),"")</f>
        <v/>
      </c>
      <c r="Z5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7" s="52" t="str">
        <f>IFERROR(INDEX(DraftResults[[#All],[Pick in Round]],MATCH(Table5[[#This Row],[PID]],DraftResults[[#All],[Player ID]],0)),"")</f>
        <v/>
      </c>
      <c r="AB527" s="52" t="str">
        <f>IFERROR(INDEX(DraftResults[[#All],[Team Name]],MATCH(Table5[[#This Row],[PID]],DraftResults[[#All],[Player ID]],0)),"")</f>
        <v/>
      </c>
      <c r="AC527" s="52" t="str">
        <f>IF(Table5[[#This Row],[Ovr]]="","",IF(Table5[[#This Row],[cmbList]]="","",Table5[[#This Row],[cmbList]]-Table5[[#This Row],[Ovr]]))</f>
        <v/>
      </c>
      <c r="AD527" s="56" t="str">
        <f>IF(ISERROR(VLOOKUP($AB527&amp;"-"&amp;$E527&amp;" "&amp;F527,Bonuses!$B$1:$G$1006,4,FALSE)),"",INT(VLOOKUP($AB527&amp;"-"&amp;$E527&amp;" "&amp;$F527,Bonuses!$B$1:$G$1006,4,FALSE)))</f>
        <v/>
      </c>
      <c r="AE5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8" spans="1:31" s="52" customFormat="1" x14ac:dyDescent="0.25">
      <c r="A528" s="52">
        <v>7786</v>
      </c>
      <c r="B528" s="52">
        <f>COUNTIF(Table5[PID],A528)</f>
        <v>1</v>
      </c>
      <c r="C528" s="52" t="str">
        <f>IF(COUNTIF(Table3[[#All],[PID]],A528)&gt;0,"P","B")</f>
        <v>P</v>
      </c>
      <c r="D528" s="61" t="str">
        <f>IF($C528="B",INDEX(Batters[[#All],[POS]],MATCH(Table5[[#This Row],[PID]],Batters[[#All],[PID]],0)),INDEX(Table3[[#All],[POS]],MATCH(Table5[[#This Row],[PID]],Table3[[#All],[PID]],0)))</f>
        <v>SP</v>
      </c>
      <c r="E528" s="54" t="str">
        <f>IF($C528="B",INDEX(Batters[[#All],[First]],MATCH(Table5[[#This Row],[PID]],Batters[[#All],[PID]],0)),INDEX(Table3[[#All],[First]],MATCH(Table5[[#This Row],[PID]],Table3[[#All],[PID]],0)))</f>
        <v>Manuel</v>
      </c>
      <c r="F528" s="52" t="str">
        <f>IF($C528="B",INDEX(Batters[[#All],[Last]],MATCH(A528,Batters[[#All],[PID]],0)),INDEX(Table3[[#All],[Last]],MATCH(A528,Table3[[#All],[PID]],0)))</f>
        <v>Clemente</v>
      </c>
      <c r="G528" s="58">
        <f>IF($C528="B",INDEX(Batters[[#All],[Age]],MATCH(Table5[[#This Row],[PID]],Batters[[#All],[PID]],0)),INDEX(Table3[[#All],[Age]],MATCH(Table5[[#This Row],[PID]],Table3[[#All],[PID]],0)))</f>
        <v>18</v>
      </c>
      <c r="H528" s="54" t="str">
        <f>IF($C528="B",INDEX(Batters[[#All],[B]],MATCH(Table5[[#This Row],[PID]],Batters[[#All],[PID]],0)),INDEX(Table3[[#All],[B]],MATCH(Table5[[#This Row],[PID]],Table3[[#All],[PID]],0)))</f>
        <v>R</v>
      </c>
      <c r="I528" s="54" t="str">
        <f>IF($C528="B",INDEX(Batters[[#All],[T]],MATCH(Table5[[#This Row],[PID]],Batters[[#All],[PID]],0)),INDEX(Table3[[#All],[T]],MATCH(Table5[[#This Row],[PID]],Table3[[#All],[PID]],0)))</f>
        <v>R</v>
      </c>
      <c r="J528" s="54" t="str">
        <f>IF($C528="B",INDEX(Batters[[#All],[WE]],MATCH(Table5[[#This Row],[PID]],Batters[[#All],[PID]],0)),INDEX(Table3[[#All],[WE]],MATCH(Table5[[#This Row],[PID]],Table3[[#All],[PID]],0)))</f>
        <v>High</v>
      </c>
      <c r="K528" s="54" t="str">
        <f>IF($C528="B",INDEX(Batters[[#All],[INT]],MATCH(Table5[[#This Row],[PID]],Batters[[#All],[PID]],0)),INDEX(Table3[[#All],[INT]],MATCH(Table5[[#This Row],[PID]],Table3[[#All],[PID]],0)))</f>
        <v>Normal</v>
      </c>
      <c r="L528" s="62">
        <f>IF($C528="B",INDEX(Batters[[#All],[CON P]],MATCH(Table5[[#This Row],[PID]],Batters[[#All],[PID]],0)),INDEX(Table3[[#All],[STU P]],MATCH(Table5[[#This Row],[PID]],Table3[[#All],[PID]],0)))</f>
        <v>4</v>
      </c>
      <c r="M528" s="58">
        <f>IF($C528="B",INDEX(Batters[[#All],[GAP P]],MATCH(Table5[[#This Row],[PID]],Batters[[#All],[PID]],0)),INDEX(Table3[[#All],[MOV P]],MATCH(Table5[[#This Row],[PID]],Table3[[#All],[PID]],0)))</f>
        <v>2</v>
      </c>
      <c r="N528" s="58">
        <f>IF($C528="B",INDEX(Batters[[#All],[POW P]],MATCH(Table5[[#This Row],[PID]],Batters[[#All],[PID]],0)),INDEX(Table3[[#All],[CON P]],MATCH(Table5[[#This Row],[PID]],Table3[[#All],[PID]],0)))</f>
        <v>2</v>
      </c>
      <c r="O528" s="58" t="str">
        <f>IF($C528="B",INDEX(Batters[[#All],[EYE P]],MATCH(Table5[[#This Row],[PID]],Batters[[#All],[PID]],0)),INDEX(Table3[[#All],[VELO]],MATCH(Table5[[#This Row],[PID]],Table3[[#All],[PID]],0)))</f>
        <v>88-90 Mph</v>
      </c>
      <c r="P528" s="58">
        <f>IF($C528="B",INDEX(Batters[[#All],[K P]],MATCH(Table5[[#This Row],[PID]],Batters[[#All],[PID]],0)),INDEX(Table3[[#All],[STM]],MATCH(Table5[[#This Row],[PID]],Table3[[#All],[PID]],0)))</f>
        <v>9</v>
      </c>
      <c r="Q528" s="63">
        <f>IF($C528="B",INDEX(Batters[[#All],[Tot]],MATCH(Table5[[#This Row],[PID]],Batters[[#All],[PID]],0)),INDEX(Table3[[#All],[Tot]],MATCH(Table5[[#This Row],[PID]],Table3[[#All],[PID]],0)))</f>
        <v>30.154463136217526</v>
      </c>
      <c r="R528" s="54">
        <f>IF($C528="B",INDEX(Batters[[#All],[zScore]],MATCH(Table5[[#This Row],[PID]],Batters[[#All],[PID]],0)),INDEX(Table3[[#All],[zScore]],MATCH(Table5[[#This Row],[PID]],Table3[[#All],[PID]],0)))</f>
        <v>-0.23547710868164168</v>
      </c>
      <c r="S528" s="60" t="str">
        <f>IF($C528="B",INDEX(Batters[[#All],[DEM]],MATCH(Table5[[#This Row],[PID]],Batters[[#All],[PID]],0)),INDEX(Table3[[#All],[DEM]],MATCH(Table5[[#This Row],[PID]],Table3[[#All],[PID]],0)))</f>
        <v>$65k</v>
      </c>
      <c r="T528" s="64">
        <f>IF($C528="B",VLOOKUP($A528,Bat!$A$4:$AU$1417,46,FALSE),VLOOKUP($A528,Pit!$A$4:$BD$570,55,FALSE))</f>
        <v>0</v>
      </c>
      <c r="U528" s="52">
        <f>IF($C528="B",VLOOKUP($A528,Bat!$A$4:$BA$1417,47,FALSE),VLOOKUP($A528,Pit!$A$4:$BF$570,56,FALSE))</f>
        <v>0</v>
      </c>
      <c r="V528" s="52">
        <f>IF($C528="B",VLOOKUP($A528,Bat!$A$4:$BA$1417,48,FALSE),VLOOKUP($A528,Pit!$A$4:$BF$570,57,FALSE))</f>
        <v>0</v>
      </c>
      <c r="W528" s="52">
        <f>Table5[[#This Row],[posRnk]]+Table5[[#This Row],[zRnk]]+IF($W$3&lt;&gt;Table5[[#This Row],[Type]],50,0)</f>
        <v>574</v>
      </c>
      <c r="X528" s="53">
        <f>RANK(Table5[[#This Row],[zScore]],Table5[[#All],[zScore]])</f>
        <v>524</v>
      </c>
      <c r="Y528" s="52" t="str">
        <f>IFERROR(INDEX(DraftResults[[#All],[OVR]],MATCH(Table5[[#This Row],[PID]],DraftResults[[#All],[Player ID]],0)),"")</f>
        <v/>
      </c>
      <c r="Z5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8" s="52" t="str">
        <f>IFERROR(INDEX(DraftResults[[#All],[Pick in Round]],MATCH(Table5[[#This Row],[PID]],DraftResults[[#All],[Player ID]],0)),"")</f>
        <v/>
      </c>
      <c r="AB528" s="52" t="str">
        <f>IFERROR(INDEX(DraftResults[[#All],[Team Name]],MATCH(Table5[[#This Row],[PID]],DraftResults[[#All],[Player ID]],0)),"")</f>
        <v/>
      </c>
      <c r="AC528" s="52" t="str">
        <f>IF(Table5[[#This Row],[Ovr]]="","",IF(Table5[[#This Row],[cmbList]]="","",Table5[[#This Row],[cmbList]]-Table5[[#This Row],[Ovr]]))</f>
        <v/>
      </c>
      <c r="AD528" s="56" t="str">
        <f>IF(ISERROR(VLOOKUP($AB528&amp;"-"&amp;$E528&amp;" "&amp;F528,Bonuses!$B$1:$G$1006,4,FALSE)),"",INT(VLOOKUP($AB528&amp;"-"&amp;$E528&amp;" "&amp;$F528,Bonuses!$B$1:$G$1006,4,FALSE)))</f>
        <v/>
      </c>
      <c r="AE5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9" spans="1:31" s="52" customFormat="1" x14ac:dyDescent="0.25">
      <c r="A529" s="52">
        <v>10493</v>
      </c>
      <c r="B529" s="57">
        <f>COUNTIF(Table5[PID],A529)</f>
        <v>1</v>
      </c>
      <c r="C529" s="57" t="str">
        <f>IF(COUNTIF(Table3[[#All],[PID]],A529)&gt;0,"P","B")</f>
        <v>B</v>
      </c>
      <c r="D529" s="61" t="str">
        <f>IF($C529="B",INDEX(Batters[[#All],[POS]],MATCH(Table5[[#This Row],[PID]],Batters[[#All],[PID]],0)),INDEX(Table3[[#All],[POS]],MATCH(Table5[[#This Row],[PID]],Table3[[#All],[PID]],0)))</f>
        <v>RF</v>
      </c>
      <c r="E529" s="54" t="str">
        <f>IF($C529="B",INDEX(Batters[[#All],[First]],MATCH(Table5[[#This Row],[PID]],Batters[[#All],[PID]],0)),INDEX(Table3[[#All],[First]],MATCH(Table5[[#This Row],[PID]],Table3[[#All],[PID]],0)))</f>
        <v>Mike</v>
      </c>
      <c r="F529" s="52" t="str">
        <f>IF($C529="B",INDEX(Batters[[#All],[Last]],MATCH(A529,Batters[[#All],[PID]],0)),INDEX(Table3[[#All],[Last]],MATCH(A529,Table3[[#All],[PID]],0)))</f>
        <v>Vera</v>
      </c>
      <c r="G529" s="58">
        <f>IF($C529="B",INDEX(Batters[[#All],[Age]],MATCH(Table5[[#This Row],[PID]],Batters[[#All],[PID]],0)),INDEX(Table3[[#All],[Age]],MATCH(Table5[[#This Row],[PID]],Table3[[#All],[PID]],0)))</f>
        <v>21</v>
      </c>
      <c r="H529" s="54" t="str">
        <f>IF($C529="B",INDEX(Batters[[#All],[B]],MATCH(Table5[[#This Row],[PID]],Batters[[#All],[PID]],0)),INDEX(Table3[[#All],[B]],MATCH(Table5[[#This Row],[PID]],Table3[[#All],[PID]],0)))</f>
        <v>R</v>
      </c>
      <c r="I529" s="54" t="str">
        <f>IF($C529="B",INDEX(Batters[[#All],[T]],MATCH(Table5[[#This Row],[PID]],Batters[[#All],[PID]],0)),INDEX(Table3[[#All],[T]],MATCH(Table5[[#This Row],[PID]],Table3[[#All],[PID]],0)))</f>
        <v>R</v>
      </c>
      <c r="J529" s="54" t="str">
        <f>IF($C529="B",INDEX(Batters[[#All],[WE]],MATCH(Table5[[#This Row],[PID]],Batters[[#All],[PID]],0)),INDEX(Table3[[#All],[WE]],MATCH(Table5[[#This Row],[PID]],Table3[[#All],[PID]],0)))</f>
        <v>Low</v>
      </c>
      <c r="K529" s="54" t="str">
        <f>IF($C529="B",INDEX(Batters[[#All],[INT]],MATCH(Table5[[#This Row],[PID]],Batters[[#All],[PID]],0)),INDEX(Table3[[#All],[INT]],MATCH(Table5[[#This Row],[PID]],Table3[[#All],[PID]],0)))</f>
        <v>Normal</v>
      </c>
      <c r="L529" s="62">
        <f>IF($C529="B",INDEX(Batters[[#All],[CON P]],MATCH(Table5[[#This Row],[PID]],Batters[[#All],[PID]],0)),INDEX(Table3[[#All],[STU P]],MATCH(Table5[[#This Row],[PID]],Table3[[#All],[PID]],0)))</f>
        <v>3</v>
      </c>
      <c r="M529" s="58">
        <f>IF($C529="B",INDEX(Batters[[#All],[GAP P]],MATCH(Table5[[#This Row],[PID]],Batters[[#All],[PID]],0)),INDEX(Table3[[#All],[MOV P]],MATCH(Table5[[#This Row],[PID]],Table3[[#All],[PID]],0)))</f>
        <v>5</v>
      </c>
      <c r="N529" s="58">
        <f>IF($C529="B",INDEX(Batters[[#All],[POW P]],MATCH(Table5[[#This Row],[PID]],Batters[[#All],[PID]],0)),INDEX(Table3[[#All],[CON P]],MATCH(Table5[[#This Row],[PID]],Table3[[#All],[PID]],0)))</f>
        <v>5</v>
      </c>
      <c r="O529" s="58">
        <f>IF($C529="B",INDEX(Batters[[#All],[EYE P]],MATCH(Table5[[#This Row],[PID]],Batters[[#All],[PID]],0)),INDEX(Table3[[#All],[VELO]],MATCH(Table5[[#This Row],[PID]],Table3[[#All],[PID]],0)))</f>
        <v>5</v>
      </c>
      <c r="P529" s="58">
        <f>IF($C529="B",INDEX(Batters[[#All],[K P]],MATCH(Table5[[#This Row],[PID]],Batters[[#All],[PID]],0)),INDEX(Table3[[#All],[STM]],MATCH(Table5[[#This Row],[PID]],Table3[[#All],[PID]],0)))</f>
        <v>3</v>
      </c>
      <c r="Q529" s="63">
        <f>IF($C529="B",INDEX(Batters[[#All],[Tot]],MATCH(Table5[[#This Row],[PID]],Batters[[#All],[PID]],0)),INDEX(Table3[[#All],[Tot]],MATCH(Table5[[#This Row],[PID]],Table3[[#All],[PID]],0)))</f>
        <v>39.002083795216208</v>
      </c>
      <c r="R529" s="54">
        <f>IF($C529="B",INDEX(Batters[[#All],[zScore]],MATCH(Table5[[#This Row],[PID]],Batters[[#All],[PID]],0)),INDEX(Table3[[#All],[zScore]],MATCH(Table5[[#This Row],[PID]],Table3[[#All],[PID]],0)))</f>
        <v>-0.23684853188936544</v>
      </c>
      <c r="S529" s="60" t="str">
        <f>IF($C529="B",INDEX(Batters[[#All],[DEM]],MATCH(Table5[[#This Row],[PID]],Batters[[#All],[PID]],0)),INDEX(Table3[[#All],[DEM]],MATCH(Table5[[#This Row],[PID]],Table3[[#All],[PID]],0)))</f>
        <v>-</v>
      </c>
      <c r="T529" s="64">
        <f>IF($C529="B",VLOOKUP($A529,Bat!$A$4:$AU$1417,46,FALSE),VLOOKUP($A529,Pit!$A$4:$BD$570,55,FALSE))</f>
        <v>0</v>
      </c>
      <c r="U529" s="52">
        <f>IF($C529="B",VLOOKUP($A529,Bat!$A$4:$BA$1417,47,FALSE),VLOOKUP($A529,Pit!$A$4:$BF$570,56,FALSE))</f>
        <v>0</v>
      </c>
      <c r="V529" s="52">
        <f>IF($C529="B",VLOOKUP($A529,Bat!$A$4:$BA$1417,48,FALSE),VLOOKUP($A529,Pit!$A$4:$BF$570,57,FALSE))</f>
        <v>0</v>
      </c>
      <c r="W529" s="52">
        <f>Table5[[#This Row],[posRnk]]+Table5[[#This Row],[zRnk]]+IF($W$3&lt;&gt;Table5[[#This Row],[Type]],50,0)</f>
        <v>575</v>
      </c>
      <c r="X529" s="53">
        <f>RANK(Table5[[#This Row],[zScore]],Table5[[#All],[zScore]])</f>
        <v>525</v>
      </c>
      <c r="Y529" s="52" t="str">
        <f>IFERROR(INDEX(DraftResults[[#All],[OVR]],MATCH(Table5[[#This Row],[PID]],DraftResults[[#All],[Player ID]],0)),"")</f>
        <v/>
      </c>
      <c r="Z5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9" s="52" t="str">
        <f>IFERROR(INDEX(DraftResults[[#All],[Pick in Round]],MATCH(Table5[[#This Row],[PID]],DraftResults[[#All],[Player ID]],0)),"")</f>
        <v/>
      </c>
      <c r="AB529" s="52" t="str">
        <f>IFERROR(INDEX(DraftResults[[#All],[Team Name]],MATCH(Table5[[#This Row],[PID]],DraftResults[[#All],[Player ID]],0)),"")</f>
        <v/>
      </c>
      <c r="AC529" s="52" t="str">
        <f>IF(Table5[[#This Row],[Ovr]]="","",IF(Table5[[#This Row],[cmbList]]="","",Table5[[#This Row],[cmbList]]-Table5[[#This Row],[Ovr]]))</f>
        <v/>
      </c>
      <c r="AD529" s="56" t="str">
        <f>IF(ISERROR(VLOOKUP($AB529&amp;"-"&amp;$E529&amp;" "&amp;F529,Bonuses!$B$1:$G$1006,4,FALSE)),"",INT(VLOOKUP($AB529&amp;"-"&amp;$E529&amp;" "&amp;$F529,Bonuses!$B$1:$G$1006,4,FALSE)))</f>
        <v/>
      </c>
      <c r="AE5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0" spans="1:31" s="52" customFormat="1" x14ac:dyDescent="0.25">
      <c r="A530" s="52">
        <v>7589</v>
      </c>
      <c r="B530" s="52">
        <f>COUNTIF(Table5[PID],A530)</f>
        <v>1</v>
      </c>
      <c r="C530" s="52" t="str">
        <f>IF(COUNTIF(Table3[[#All],[PID]],A530)&gt;0,"P","B")</f>
        <v>P</v>
      </c>
      <c r="D530" s="61" t="str">
        <f>IF($C530="B",INDEX(Batters[[#All],[POS]],MATCH(Table5[[#This Row],[PID]],Batters[[#All],[PID]],0)),INDEX(Table3[[#All],[POS]],MATCH(Table5[[#This Row],[PID]],Table3[[#All],[PID]],0)))</f>
        <v>RP</v>
      </c>
      <c r="E530" s="54" t="str">
        <f>IF($C530="B",INDEX(Batters[[#All],[First]],MATCH(Table5[[#This Row],[PID]],Batters[[#All],[PID]],0)),INDEX(Table3[[#All],[First]],MATCH(Table5[[#This Row],[PID]],Table3[[#All],[PID]],0)))</f>
        <v>Melvin</v>
      </c>
      <c r="F530" s="52" t="str">
        <f>IF($C530="B",INDEX(Batters[[#All],[Last]],MATCH(A530,Batters[[#All],[PID]],0)),INDEX(Table3[[#All],[Last]],MATCH(A530,Table3[[#All],[PID]],0)))</f>
        <v>O'Neil</v>
      </c>
      <c r="G530" s="58">
        <f>IF($C530="B",INDEX(Batters[[#All],[Age]],MATCH(Table5[[#This Row],[PID]],Batters[[#All],[PID]],0)),INDEX(Table3[[#All],[Age]],MATCH(Table5[[#This Row],[PID]],Table3[[#All],[PID]],0)))</f>
        <v>18</v>
      </c>
      <c r="H530" s="54" t="str">
        <f>IF($C530="B",INDEX(Batters[[#All],[B]],MATCH(Table5[[#This Row],[PID]],Batters[[#All],[PID]],0)),INDEX(Table3[[#All],[B]],MATCH(Table5[[#This Row],[PID]],Table3[[#All],[PID]],0)))</f>
        <v>R</v>
      </c>
      <c r="I530" s="54" t="str">
        <f>IF($C530="B",INDEX(Batters[[#All],[T]],MATCH(Table5[[#This Row],[PID]],Batters[[#All],[PID]],0)),INDEX(Table3[[#All],[T]],MATCH(Table5[[#This Row],[PID]],Table3[[#All],[PID]],0)))</f>
        <v>R</v>
      </c>
      <c r="J530" s="54" t="str">
        <f>IF($C530="B",INDEX(Batters[[#All],[WE]],MATCH(Table5[[#This Row],[PID]],Batters[[#All],[PID]],0)),INDEX(Table3[[#All],[WE]],MATCH(Table5[[#This Row],[PID]],Table3[[#All],[PID]],0)))</f>
        <v>Low</v>
      </c>
      <c r="K530" s="54" t="str">
        <f>IF($C530="B",INDEX(Batters[[#All],[INT]],MATCH(Table5[[#This Row],[PID]],Batters[[#All],[PID]],0)),INDEX(Table3[[#All],[INT]],MATCH(Table5[[#This Row],[PID]],Table3[[#All],[PID]],0)))</f>
        <v>High</v>
      </c>
      <c r="L530" s="62">
        <f>IF($C530="B",INDEX(Batters[[#All],[CON P]],MATCH(Table5[[#This Row],[PID]],Batters[[#All],[PID]],0)),INDEX(Table3[[#All],[STU P]],MATCH(Table5[[#This Row],[PID]],Table3[[#All],[PID]],0)))</f>
        <v>4</v>
      </c>
      <c r="M530" s="58">
        <f>IF($C530="B",INDEX(Batters[[#All],[GAP P]],MATCH(Table5[[#This Row],[PID]],Batters[[#All],[PID]],0)),INDEX(Table3[[#All],[MOV P]],MATCH(Table5[[#This Row],[PID]],Table3[[#All],[PID]],0)))</f>
        <v>2</v>
      </c>
      <c r="N530" s="58">
        <f>IF($C530="B",INDEX(Batters[[#All],[POW P]],MATCH(Table5[[#This Row],[PID]],Batters[[#All],[PID]],0)),INDEX(Table3[[#All],[CON P]],MATCH(Table5[[#This Row],[PID]],Table3[[#All],[PID]],0)))</f>
        <v>2</v>
      </c>
      <c r="O530" s="58" t="str">
        <f>IF($C530="B",INDEX(Batters[[#All],[EYE P]],MATCH(Table5[[#This Row],[PID]],Batters[[#All],[PID]],0)),INDEX(Table3[[#All],[VELO]],MATCH(Table5[[#This Row],[PID]],Table3[[#All],[PID]],0)))</f>
        <v>87-89 Mph</v>
      </c>
      <c r="P530" s="58">
        <f>IF($C530="B",INDEX(Batters[[#All],[K P]],MATCH(Table5[[#This Row],[PID]],Batters[[#All],[PID]],0)),INDEX(Table3[[#All],[STM]],MATCH(Table5[[#This Row],[PID]],Table3[[#All],[PID]],0)))</f>
        <v>6</v>
      </c>
      <c r="Q530" s="63">
        <f>IF($C530="B",INDEX(Batters[[#All],[Tot]],MATCH(Table5[[#This Row],[PID]],Batters[[#All],[PID]],0)),INDEX(Table3[[#All],[Tot]],MATCH(Table5[[#This Row],[PID]],Table3[[#All],[PID]],0)))</f>
        <v>30.126386749532799</v>
      </c>
      <c r="R530" s="54">
        <f>IF($C530="B",INDEX(Batters[[#All],[zScore]],MATCH(Table5[[#This Row],[PID]],Batters[[#All],[PID]],0)),INDEX(Table3[[#All],[zScore]],MATCH(Table5[[#This Row],[PID]],Table3[[#All],[PID]],0)))</f>
        <v>-0.23805183334162994</v>
      </c>
      <c r="S530" s="60" t="str">
        <f>IF($C530="B",INDEX(Batters[[#All],[DEM]],MATCH(Table5[[#This Row],[PID]],Batters[[#All],[PID]],0)),INDEX(Table3[[#All],[DEM]],MATCH(Table5[[#This Row],[PID]],Table3[[#All],[PID]],0)))</f>
        <v>$65k</v>
      </c>
      <c r="T530" s="64">
        <f>IF($C530="B",VLOOKUP($A530,Bat!$A$4:$AU$1417,46,FALSE),VLOOKUP($A530,Pit!$A$4:$BD$570,55,FALSE))</f>
        <v>0</v>
      </c>
      <c r="U530" s="52">
        <f>IF($C530="B",VLOOKUP($A530,Bat!$A$4:$BA$1417,47,FALSE),VLOOKUP($A530,Pit!$A$4:$BF$570,56,FALSE))</f>
        <v>0</v>
      </c>
      <c r="V530" s="52">
        <f>IF($C530="B",VLOOKUP($A530,Bat!$A$4:$BA$1417,48,FALSE),VLOOKUP($A530,Pit!$A$4:$BF$570,57,FALSE))</f>
        <v>0</v>
      </c>
      <c r="W530" s="52">
        <f>Table5[[#This Row],[posRnk]]+Table5[[#This Row],[zRnk]]+IF($W$3&lt;&gt;Table5[[#This Row],[Type]],50,0)</f>
        <v>576</v>
      </c>
      <c r="X530" s="53">
        <f>RANK(Table5[[#This Row],[zScore]],Table5[[#All],[zScore]])</f>
        <v>526</v>
      </c>
      <c r="Y530" s="52" t="str">
        <f>IFERROR(INDEX(DraftResults[[#All],[OVR]],MATCH(Table5[[#This Row],[PID]],DraftResults[[#All],[Player ID]],0)),"")</f>
        <v/>
      </c>
      <c r="Z5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0" s="52" t="str">
        <f>IFERROR(INDEX(DraftResults[[#All],[Pick in Round]],MATCH(Table5[[#This Row],[PID]],DraftResults[[#All],[Player ID]],0)),"")</f>
        <v/>
      </c>
      <c r="AB530" s="52" t="str">
        <f>IFERROR(INDEX(DraftResults[[#All],[Team Name]],MATCH(Table5[[#This Row],[PID]],DraftResults[[#All],[Player ID]],0)),"")</f>
        <v/>
      </c>
      <c r="AC530" s="52" t="str">
        <f>IF(Table5[[#This Row],[Ovr]]="","",IF(Table5[[#This Row],[cmbList]]="","",Table5[[#This Row],[cmbList]]-Table5[[#This Row],[Ovr]]))</f>
        <v/>
      </c>
      <c r="AD530" s="56" t="str">
        <f>IF(ISERROR(VLOOKUP($AB530&amp;"-"&amp;$E530&amp;" "&amp;F530,Bonuses!$B$1:$G$1006,4,FALSE)),"",INT(VLOOKUP($AB530&amp;"-"&amp;$E530&amp;" "&amp;$F530,Bonuses!$B$1:$G$1006,4,FALSE)))</f>
        <v/>
      </c>
      <c r="AE5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1" spans="1:31" s="52" customFormat="1" x14ac:dyDescent="0.25">
      <c r="A531" s="52">
        <v>6276</v>
      </c>
      <c r="B531" s="57">
        <f>COUNTIF(Table5[PID],A531)</f>
        <v>1</v>
      </c>
      <c r="C531" s="57" t="str">
        <f>IF(COUNTIF(Table3[[#All],[PID]],A531)&gt;0,"P","B")</f>
        <v>B</v>
      </c>
      <c r="D531" s="61" t="str">
        <f>IF($C531="B",INDEX(Batters[[#All],[POS]],MATCH(Table5[[#This Row],[PID]],Batters[[#All],[PID]],0)),INDEX(Table3[[#All],[POS]],MATCH(Table5[[#This Row],[PID]],Table3[[#All],[PID]],0)))</f>
        <v>SS</v>
      </c>
      <c r="E531" s="54" t="str">
        <f>IF($C531="B",INDEX(Batters[[#All],[First]],MATCH(Table5[[#This Row],[PID]],Batters[[#All],[PID]],0)),INDEX(Table3[[#All],[First]],MATCH(Table5[[#This Row],[PID]],Table3[[#All],[PID]],0)))</f>
        <v>Edgardo</v>
      </c>
      <c r="F531" s="52" t="str">
        <f>IF($C531="B",INDEX(Batters[[#All],[Last]],MATCH(A531,Batters[[#All],[PID]],0)),INDEX(Table3[[#All],[Last]],MATCH(A531,Table3[[#All],[PID]],0)))</f>
        <v>Ramírez</v>
      </c>
      <c r="G531" s="58">
        <f>IF($C531="B",INDEX(Batters[[#All],[Age]],MATCH(Table5[[#This Row],[PID]],Batters[[#All],[PID]],0)),INDEX(Table3[[#All],[Age]],MATCH(Table5[[#This Row],[PID]],Table3[[#All],[PID]],0)))</f>
        <v>18</v>
      </c>
      <c r="H531" s="54" t="str">
        <f>IF($C531="B",INDEX(Batters[[#All],[B]],MATCH(Table5[[#This Row],[PID]],Batters[[#All],[PID]],0)),INDEX(Table3[[#All],[B]],MATCH(Table5[[#This Row],[PID]],Table3[[#All],[PID]],0)))</f>
        <v>R</v>
      </c>
      <c r="I531" s="54" t="str">
        <f>IF($C531="B",INDEX(Batters[[#All],[T]],MATCH(Table5[[#This Row],[PID]],Batters[[#All],[PID]],0)),INDEX(Table3[[#All],[T]],MATCH(Table5[[#This Row],[PID]],Table3[[#All],[PID]],0)))</f>
        <v>R</v>
      </c>
      <c r="J531" s="54" t="str">
        <f>IF($C531="B",INDEX(Batters[[#All],[WE]],MATCH(Table5[[#This Row],[PID]],Batters[[#All],[PID]],0)),INDEX(Table3[[#All],[WE]],MATCH(Table5[[#This Row],[PID]],Table3[[#All],[PID]],0)))</f>
        <v>High</v>
      </c>
      <c r="K531" s="54" t="str">
        <f>IF($C531="B",INDEX(Batters[[#All],[INT]],MATCH(Table5[[#This Row],[PID]],Batters[[#All],[PID]],0)),INDEX(Table3[[#All],[INT]],MATCH(Table5[[#This Row],[PID]],Table3[[#All],[PID]],0)))</f>
        <v>Normal</v>
      </c>
      <c r="L531" s="62">
        <f>IF($C531="B",INDEX(Batters[[#All],[CON P]],MATCH(Table5[[#This Row],[PID]],Batters[[#All],[PID]],0)),INDEX(Table3[[#All],[STU P]],MATCH(Table5[[#This Row],[PID]],Table3[[#All],[PID]],0)))</f>
        <v>3</v>
      </c>
      <c r="M531" s="58">
        <f>IF($C531="B",INDEX(Batters[[#All],[GAP P]],MATCH(Table5[[#This Row],[PID]],Batters[[#All],[PID]],0)),INDEX(Table3[[#All],[MOV P]],MATCH(Table5[[#This Row],[PID]],Table3[[#All],[PID]],0)))</f>
        <v>3</v>
      </c>
      <c r="N531" s="58">
        <f>IF($C531="B",INDEX(Batters[[#All],[POW P]],MATCH(Table5[[#This Row],[PID]],Batters[[#All],[PID]],0)),INDEX(Table3[[#All],[CON P]],MATCH(Table5[[#This Row],[PID]],Table3[[#All],[PID]],0)))</f>
        <v>2</v>
      </c>
      <c r="O531" s="58">
        <f>IF($C531="B",INDEX(Batters[[#All],[EYE P]],MATCH(Table5[[#This Row],[PID]],Batters[[#All],[PID]],0)),INDEX(Table3[[#All],[VELO]],MATCH(Table5[[#This Row],[PID]],Table3[[#All],[PID]],0)))</f>
        <v>3</v>
      </c>
      <c r="P531" s="58">
        <f>IF($C531="B",INDEX(Batters[[#All],[K P]],MATCH(Table5[[#This Row],[PID]],Batters[[#All],[PID]],0)),INDEX(Table3[[#All],[STM]],MATCH(Table5[[#This Row],[PID]],Table3[[#All],[PID]],0)))</f>
        <v>5</v>
      </c>
      <c r="Q531" s="63">
        <f>IF($C531="B",INDEX(Batters[[#All],[Tot]],MATCH(Table5[[#This Row],[PID]],Batters[[#All],[PID]],0)),INDEX(Table3[[#All],[Tot]],MATCH(Table5[[#This Row],[PID]],Table3[[#All],[PID]],0)))</f>
        <v>38.988189491863906</v>
      </c>
      <c r="R531" s="54">
        <f>IF($C531="B",INDEX(Batters[[#All],[zScore]],MATCH(Table5[[#This Row],[PID]],Batters[[#All],[PID]],0)),INDEX(Table3[[#All],[zScore]],MATCH(Table5[[#This Row],[PID]],Table3[[#All],[PID]],0)))</f>
        <v>-0.23929314221844769</v>
      </c>
      <c r="S531" s="60" t="str">
        <f>IF($C531="B",INDEX(Batters[[#All],[DEM]],MATCH(Table5[[#This Row],[PID]],Batters[[#All],[PID]],0)),INDEX(Table3[[#All],[DEM]],MATCH(Table5[[#This Row],[PID]],Table3[[#All],[PID]],0)))</f>
        <v>$65k</v>
      </c>
      <c r="T531" s="64">
        <f>IF($C531="B",VLOOKUP($A531,Bat!$A$4:$AU$1417,46,FALSE),VLOOKUP($A531,Pit!$A$4:$BD$570,55,FALSE))</f>
        <v>0</v>
      </c>
      <c r="U531" s="52">
        <f>IF($C531="B",VLOOKUP($A531,Bat!$A$4:$BA$1417,47,FALSE),VLOOKUP($A531,Pit!$A$4:$BF$570,56,FALSE))</f>
        <v>0</v>
      </c>
      <c r="V531" s="52">
        <f>IF($C531="B",VLOOKUP($A531,Bat!$A$4:$BA$1417,48,FALSE),VLOOKUP($A531,Pit!$A$4:$BF$570,57,FALSE))</f>
        <v>0</v>
      </c>
      <c r="W531" s="52">
        <f>Table5[[#This Row],[posRnk]]+Table5[[#This Row],[zRnk]]+IF($W$3&lt;&gt;Table5[[#This Row],[Type]],50,0)</f>
        <v>577</v>
      </c>
      <c r="X531" s="53">
        <f>RANK(Table5[[#This Row],[zScore]],Table5[[#All],[zScore]])</f>
        <v>527</v>
      </c>
      <c r="Y531" s="52" t="str">
        <f>IFERROR(INDEX(DraftResults[[#All],[OVR]],MATCH(Table5[[#This Row],[PID]],DraftResults[[#All],[Player ID]],0)),"")</f>
        <v/>
      </c>
      <c r="Z5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1" s="52" t="str">
        <f>IFERROR(INDEX(DraftResults[[#All],[Pick in Round]],MATCH(Table5[[#This Row],[PID]],DraftResults[[#All],[Player ID]],0)),"")</f>
        <v/>
      </c>
      <c r="AB531" s="52" t="str">
        <f>IFERROR(INDEX(DraftResults[[#All],[Team Name]],MATCH(Table5[[#This Row],[PID]],DraftResults[[#All],[Player ID]],0)),"")</f>
        <v/>
      </c>
      <c r="AC531" s="52" t="str">
        <f>IF(Table5[[#This Row],[Ovr]]="","",IF(Table5[[#This Row],[cmbList]]="","",Table5[[#This Row],[cmbList]]-Table5[[#This Row],[Ovr]]))</f>
        <v/>
      </c>
      <c r="AD531" s="56" t="str">
        <f>IF(ISERROR(VLOOKUP($AB531&amp;"-"&amp;$E531&amp;" "&amp;F531,Bonuses!$B$1:$G$1006,4,FALSE)),"",INT(VLOOKUP($AB531&amp;"-"&amp;$E531&amp;" "&amp;$F531,Bonuses!$B$1:$G$1006,4,FALSE)))</f>
        <v/>
      </c>
      <c r="AE5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2" spans="1:31" s="52" customFormat="1" x14ac:dyDescent="0.25">
      <c r="A532" s="52">
        <v>12213</v>
      </c>
      <c r="B532" s="52">
        <f>COUNTIF(Table5[PID],A532)</f>
        <v>1</v>
      </c>
      <c r="C532" s="52" t="str">
        <f>IF(COUNTIF(Table3[[#All],[PID]],A532)&gt;0,"P","B")</f>
        <v>P</v>
      </c>
      <c r="D532" s="61" t="str">
        <f>IF($C532="B",INDEX(Batters[[#All],[POS]],MATCH(Table5[[#This Row],[PID]],Batters[[#All],[PID]],0)),INDEX(Table3[[#All],[POS]],MATCH(Table5[[#This Row],[PID]],Table3[[#All],[PID]],0)))</f>
        <v>RP</v>
      </c>
      <c r="E532" s="54" t="str">
        <f>IF($C532="B",INDEX(Batters[[#All],[First]],MATCH(Table5[[#This Row],[PID]],Batters[[#All],[PID]],0)),INDEX(Table3[[#All],[First]],MATCH(Table5[[#This Row],[PID]],Table3[[#All],[PID]],0)))</f>
        <v>Ben</v>
      </c>
      <c r="F532" s="52" t="str">
        <f>IF($C532="B",INDEX(Batters[[#All],[Last]],MATCH(A532,Batters[[#All],[PID]],0)),INDEX(Table3[[#All],[Last]],MATCH(A532,Table3[[#All],[PID]],0)))</f>
        <v>Mayes</v>
      </c>
      <c r="G532" s="58">
        <f>IF($C532="B",INDEX(Batters[[#All],[Age]],MATCH(Table5[[#This Row],[PID]],Batters[[#All],[PID]],0)),INDEX(Table3[[#All],[Age]],MATCH(Table5[[#This Row],[PID]],Table3[[#All],[PID]],0)))</f>
        <v>21</v>
      </c>
      <c r="H532" s="54" t="str">
        <f>IF($C532="B",INDEX(Batters[[#All],[B]],MATCH(Table5[[#This Row],[PID]],Batters[[#All],[PID]],0)),INDEX(Table3[[#All],[B]],MATCH(Table5[[#This Row],[PID]],Table3[[#All],[PID]],0)))</f>
        <v>R</v>
      </c>
      <c r="I532" s="54" t="str">
        <f>IF($C532="B",INDEX(Batters[[#All],[T]],MATCH(Table5[[#This Row],[PID]],Batters[[#All],[PID]],0)),INDEX(Table3[[#All],[T]],MATCH(Table5[[#This Row],[PID]],Table3[[#All],[PID]],0)))</f>
        <v>R</v>
      </c>
      <c r="J532" s="54" t="str">
        <f>IF($C532="B",INDEX(Batters[[#All],[WE]],MATCH(Table5[[#This Row],[PID]],Batters[[#All],[PID]],0)),INDEX(Table3[[#All],[WE]],MATCH(Table5[[#This Row],[PID]],Table3[[#All],[PID]],0)))</f>
        <v>Low</v>
      </c>
      <c r="K532" s="54" t="str">
        <f>IF($C532="B",INDEX(Batters[[#All],[INT]],MATCH(Table5[[#This Row],[PID]],Batters[[#All],[PID]],0)),INDEX(Table3[[#All],[INT]],MATCH(Table5[[#This Row],[PID]],Table3[[#All],[PID]],0)))</f>
        <v>Normal</v>
      </c>
      <c r="L532" s="62">
        <f>IF($C532="B",INDEX(Batters[[#All],[CON P]],MATCH(Table5[[#This Row],[PID]],Batters[[#All],[PID]],0)),INDEX(Table3[[#All],[STU P]],MATCH(Table5[[#This Row],[PID]],Table3[[#All],[PID]],0)))</f>
        <v>4</v>
      </c>
      <c r="M532" s="58">
        <f>IF($C532="B",INDEX(Batters[[#All],[GAP P]],MATCH(Table5[[#This Row],[PID]],Batters[[#All],[PID]],0)),INDEX(Table3[[#All],[MOV P]],MATCH(Table5[[#This Row],[PID]],Table3[[#All],[PID]],0)))</f>
        <v>2</v>
      </c>
      <c r="N532" s="58">
        <f>IF($C532="B",INDEX(Batters[[#All],[POW P]],MATCH(Table5[[#This Row],[PID]],Batters[[#All],[PID]],0)),INDEX(Table3[[#All],[CON P]],MATCH(Table5[[#This Row],[PID]],Table3[[#All],[PID]],0)))</f>
        <v>3</v>
      </c>
      <c r="O532" s="58" t="str">
        <f>IF($C532="B",INDEX(Batters[[#All],[EYE P]],MATCH(Table5[[#This Row],[PID]],Batters[[#All],[PID]],0)),INDEX(Table3[[#All],[VELO]],MATCH(Table5[[#This Row],[PID]],Table3[[#All],[PID]],0)))</f>
        <v>92-94 Mph</v>
      </c>
      <c r="P532" s="58">
        <f>IF($C532="B",INDEX(Batters[[#All],[K P]],MATCH(Table5[[#This Row],[PID]],Batters[[#All],[PID]],0)),INDEX(Table3[[#All],[STM]],MATCH(Table5[[#This Row],[PID]],Table3[[#All],[PID]],0)))</f>
        <v>7</v>
      </c>
      <c r="Q532" s="63">
        <f>IF($C532="B",INDEX(Batters[[#All],[Tot]],MATCH(Table5[[#This Row],[PID]],Batters[[#All],[PID]],0)),INDEX(Table3[[#All],[Tot]],MATCH(Table5[[#This Row],[PID]],Table3[[#All],[PID]],0)))</f>
        <v>30.088276835412387</v>
      </c>
      <c r="R532" s="54">
        <f>IF($C532="B",INDEX(Batters[[#All],[zScore]],MATCH(Table5[[#This Row],[PID]],Batters[[#All],[PID]],0)),INDEX(Table3[[#All],[zScore]],MATCH(Table5[[#This Row],[PID]],Table3[[#All],[PID]],0)))</f>
        <v>-0.24154667535166802</v>
      </c>
      <c r="S532" s="60" t="str">
        <f>IF($C532="B",INDEX(Batters[[#All],[DEM]],MATCH(Table5[[#This Row],[PID]],Batters[[#All],[PID]],0)),INDEX(Table3[[#All],[DEM]],MATCH(Table5[[#This Row],[PID]],Table3[[#All],[PID]],0)))</f>
        <v>-</v>
      </c>
      <c r="T532" s="64">
        <f>IF($C532="B",VLOOKUP($A532,Bat!$A$4:$AU$1417,46,FALSE),VLOOKUP($A532,Pit!$A$4:$BD$570,55,FALSE))</f>
        <v>0</v>
      </c>
      <c r="U532" s="52">
        <f>IF($C532="B",VLOOKUP($A532,Bat!$A$4:$BA$1417,47,FALSE),VLOOKUP($A532,Pit!$A$4:$BF$570,56,FALSE))</f>
        <v>0</v>
      </c>
      <c r="V532" s="52">
        <f>IF($C532="B",VLOOKUP($A532,Bat!$A$4:$BA$1417,48,FALSE),VLOOKUP($A532,Pit!$A$4:$BF$570,57,FALSE))</f>
        <v>0</v>
      </c>
      <c r="W532" s="52">
        <f>Table5[[#This Row],[posRnk]]+Table5[[#This Row],[zRnk]]+IF($W$3&lt;&gt;Table5[[#This Row],[Type]],50,0)</f>
        <v>578</v>
      </c>
      <c r="X532" s="53">
        <f>RANK(Table5[[#This Row],[zScore]],Table5[[#All],[zScore]])</f>
        <v>528</v>
      </c>
      <c r="Y532" s="52" t="str">
        <f>IFERROR(INDEX(DraftResults[[#All],[OVR]],MATCH(Table5[[#This Row],[PID]],DraftResults[[#All],[Player ID]],0)),"")</f>
        <v/>
      </c>
      <c r="Z5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2" s="52" t="str">
        <f>IFERROR(INDEX(DraftResults[[#All],[Pick in Round]],MATCH(Table5[[#This Row],[PID]],DraftResults[[#All],[Player ID]],0)),"")</f>
        <v/>
      </c>
      <c r="AB532" s="52" t="str">
        <f>IFERROR(INDEX(DraftResults[[#All],[Team Name]],MATCH(Table5[[#This Row],[PID]],DraftResults[[#All],[Player ID]],0)),"")</f>
        <v/>
      </c>
      <c r="AC532" s="52" t="str">
        <f>IF(Table5[[#This Row],[Ovr]]="","",IF(Table5[[#This Row],[cmbList]]="","",Table5[[#This Row],[cmbList]]-Table5[[#This Row],[Ovr]]))</f>
        <v/>
      </c>
      <c r="AD532" s="56" t="str">
        <f>IF(ISERROR(VLOOKUP($AB532&amp;"-"&amp;$E532&amp;" "&amp;F532,Bonuses!$B$1:$G$1006,4,FALSE)),"",INT(VLOOKUP($AB532&amp;"-"&amp;$E532&amp;" "&amp;$F532,Bonuses!$B$1:$G$1006,4,FALSE)))</f>
        <v/>
      </c>
      <c r="AE5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3" spans="1:31" s="52" customFormat="1" x14ac:dyDescent="0.25">
      <c r="A533" s="52">
        <v>10278</v>
      </c>
      <c r="B533" s="52">
        <f>COUNTIF(Table5[PID],A533)</f>
        <v>1</v>
      </c>
      <c r="C533" s="52" t="str">
        <f>IF(COUNTIF(Table3[[#All],[PID]],A533)&gt;0,"P","B")</f>
        <v>P</v>
      </c>
      <c r="D533" s="61" t="str">
        <f>IF($C533="B",INDEX(Batters[[#All],[POS]],MATCH(Table5[[#This Row],[PID]],Batters[[#All],[PID]],0)),INDEX(Table3[[#All],[POS]],MATCH(Table5[[#This Row],[PID]],Table3[[#All],[PID]],0)))</f>
        <v>SP</v>
      </c>
      <c r="E533" s="54" t="str">
        <f>IF($C533="B",INDEX(Batters[[#All],[First]],MATCH(Table5[[#This Row],[PID]],Batters[[#All],[PID]],0)),INDEX(Table3[[#All],[First]],MATCH(Table5[[#This Row],[PID]],Table3[[#All],[PID]],0)))</f>
        <v>Andrew</v>
      </c>
      <c r="F533" s="52" t="str">
        <f>IF($C533="B",INDEX(Batters[[#All],[Last]],MATCH(A533,Batters[[#All],[PID]],0)),INDEX(Table3[[#All],[Last]],MATCH(A533,Table3[[#All],[PID]],0)))</f>
        <v>Burgess</v>
      </c>
      <c r="G533" s="58">
        <f>IF($C533="B",INDEX(Batters[[#All],[Age]],MATCH(Table5[[#This Row],[PID]],Batters[[#All],[PID]],0)),INDEX(Table3[[#All],[Age]],MATCH(Table5[[#This Row],[PID]],Table3[[#All],[PID]],0)))</f>
        <v>20</v>
      </c>
      <c r="H533" s="54" t="str">
        <f>IF($C533="B",INDEX(Batters[[#All],[B]],MATCH(Table5[[#This Row],[PID]],Batters[[#All],[PID]],0)),INDEX(Table3[[#All],[B]],MATCH(Table5[[#This Row],[PID]],Table3[[#All],[PID]],0)))</f>
        <v>R</v>
      </c>
      <c r="I533" s="54" t="str">
        <f>IF($C533="B",INDEX(Batters[[#All],[T]],MATCH(Table5[[#This Row],[PID]],Batters[[#All],[PID]],0)),INDEX(Table3[[#All],[T]],MATCH(Table5[[#This Row],[PID]],Table3[[#All],[PID]],0)))</f>
        <v>R</v>
      </c>
      <c r="J533" s="54" t="str">
        <f>IF($C533="B",INDEX(Batters[[#All],[WE]],MATCH(Table5[[#This Row],[PID]],Batters[[#All],[PID]],0)),INDEX(Table3[[#All],[WE]],MATCH(Table5[[#This Row],[PID]],Table3[[#All],[PID]],0)))</f>
        <v>Low</v>
      </c>
      <c r="K533" s="54" t="str">
        <f>IF($C533="B",INDEX(Batters[[#All],[INT]],MATCH(Table5[[#This Row],[PID]],Batters[[#All],[PID]],0)),INDEX(Table3[[#All],[INT]],MATCH(Table5[[#This Row],[PID]],Table3[[#All],[PID]],0)))</f>
        <v>Normal</v>
      </c>
      <c r="L533" s="62">
        <f>IF($C533="B",INDEX(Batters[[#All],[CON P]],MATCH(Table5[[#This Row],[PID]],Batters[[#All],[PID]],0)),INDEX(Table3[[#All],[STU P]],MATCH(Table5[[#This Row],[PID]],Table3[[#All],[PID]],0)))</f>
        <v>4</v>
      </c>
      <c r="M533" s="58">
        <f>IF($C533="B",INDEX(Batters[[#All],[GAP P]],MATCH(Table5[[#This Row],[PID]],Batters[[#All],[PID]],0)),INDEX(Table3[[#All],[MOV P]],MATCH(Table5[[#This Row],[PID]],Table3[[#All],[PID]],0)))</f>
        <v>2</v>
      </c>
      <c r="N533" s="58">
        <f>IF($C533="B",INDEX(Batters[[#All],[POW P]],MATCH(Table5[[#This Row],[PID]],Batters[[#All],[PID]],0)),INDEX(Table3[[#All],[CON P]],MATCH(Table5[[#This Row],[PID]],Table3[[#All],[PID]],0)))</f>
        <v>3</v>
      </c>
      <c r="O533" s="58" t="str">
        <f>IF($C533="B",INDEX(Batters[[#All],[EYE P]],MATCH(Table5[[#This Row],[PID]],Batters[[#All],[PID]],0)),INDEX(Table3[[#All],[VELO]],MATCH(Table5[[#This Row],[PID]],Table3[[#All],[PID]],0)))</f>
        <v>91-93 Mph</v>
      </c>
      <c r="P533" s="58">
        <f>IF($C533="B",INDEX(Batters[[#All],[K P]],MATCH(Table5[[#This Row],[PID]],Batters[[#All],[PID]],0)),INDEX(Table3[[#All],[STM]],MATCH(Table5[[#This Row],[PID]],Table3[[#All],[PID]],0)))</f>
        <v>6</v>
      </c>
      <c r="Q533" s="63">
        <f>IF($C533="B",INDEX(Batters[[#All],[Tot]],MATCH(Table5[[#This Row],[PID]],Batters[[#All],[PID]],0)),INDEX(Table3[[#All],[Tot]],MATCH(Table5[[#This Row],[PID]],Table3[[#All],[PID]],0)))</f>
        <v>30.077102595867235</v>
      </c>
      <c r="R533" s="54">
        <f>IF($C533="B",INDEX(Batters[[#All],[zScore]],MATCH(Table5[[#This Row],[PID]],Batters[[#All],[PID]],0)),INDEX(Table3[[#All],[zScore]],MATCH(Table5[[#This Row],[PID]],Table3[[#All],[PID]],0)))</f>
        <v>-0.24257140087766207</v>
      </c>
      <c r="S533" s="60" t="str">
        <f>IF($C533="B",INDEX(Batters[[#All],[DEM]],MATCH(Table5[[#This Row],[PID]],Batters[[#All],[PID]],0)),INDEX(Table3[[#All],[DEM]],MATCH(Table5[[#This Row],[PID]],Table3[[#All],[PID]],0)))</f>
        <v>$20k</v>
      </c>
      <c r="T533" s="64">
        <f>IF($C533="B",VLOOKUP($A533,Bat!$A$4:$AU$1417,46,FALSE),VLOOKUP($A533,Pit!$A$4:$BD$570,55,FALSE))</f>
        <v>0</v>
      </c>
      <c r="U533" s="52">
        <f>IF($C533="B",VLOOKUP($A533,Bat!$A$4:$BA$1417,47,FALSE),VLOOKUP($A533,Pit!$A$4:$BF$570,56,FALSE))</f>
        <v>0</v>
      </c>
      <c r="V533" s="52">
        <f>IF($C533="B",VLOOKUP($A533,Bat!$A$4:$BA$1417,48,FALSE),VLOOKUP($A533,Pit!$A$4:$BF$570,57,FALSE))</f>
        <v>0</v>
      </c>
      <c r="W533" s="52">
        <f>Table5[[#This Row],[posRnk]]+Table5[[#This Row],[zRnk]]+IF($W$3&lt;&gt;Table5[[#This Row],[Type]],50,0)</f>
        <v>579</v>
      </c>
      <c r="X533" s="53">
        <f>RANK(Table5[[#This Row],[zScore]],Table5[[#All],[zScore]])</f>
        <v>529</v>
      </c>
      <c r="Y533" s="52" t="str">
        <f>IFERROR(INDEX(DraftResults[[#All],[OVR]],MATCH(Table5[[#This Row],[PID]],DraftResults[[#All],[Player ID]],0)),"")</f>
        <v/>
      </c>
      <c r="Z5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3" s="52" t="str">
        <f>IFERROR(INDEX(DraftResults[[#All],[Pick in Round]],MATCH(Table5[[#This Row],[PID]],DraftResults[[#All],[Player ID]],0)),"")</f>
        <v/>
      </c>
      <c r="AB533" s="52" t="str">
        <f>IFERROR(INDEX(DraftResults[[#All],[Team Name]],MATCH(Table5[[#This Row],[PID]],DraftResults[[#All],[Player ID]],0)),"")</f>
        <v/>
      </c>
      <c r="AC533" s="52" t="str">
        <f>IF(Table5[[#This Row],[Ovr]]="","",IF(Table5[[#This Row],[cmbList]]="","",Table5[[#This Row],[cmbList]]-Table5[[#This Row],[Ovr]]))</f>
        <v/>
      </c>
      <c r="AD533" s="56" t="str">
        <f>IF(ISERROR(VLOOKUP($AB533&amp;"-"&amp;$E533&amp;" "&amp;F533,Bonuses!$B$1:$G$1006,4,FALSE)),"",INT(VLOOKUP($AB533&amp;"-"&amp;$E533&amp;" "&amp;$F533,Bonuses!$B$1:$G$1006,4,FALSE)))</f>
        <v/>
      </c>
      <c r="AE5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4" spans="1:31" s="52" customFormat="1" x14ac:dyDescent="0.25">
      <c r="A534" s="52">
        <v>8890</v>
      </c>
      <c r="B534" s="52">
        <f>COUNTIF(Table5[PID],A534)</f>
        <v>1</v>
      </c>
      <c r="C534" s="52" t="str">
        <f>IF(COUNTIF(Table3[[#All],[PID]],A534)&gt;0,"P","B")</f>
        <v>P</v>
      </c>
      <c r="D534" s="61" t="str">
        <f>IF($C534="B",INDEX(Batters[[#All],[POS]],MATCH(Table5[[#This Row],[PID]],Batters[[#All],[PID]],0)),INDEX(Table3[[#All],[POS]],MATCH(Table5[[#This Row],[PID]],Table3[[#All],[PID]],0)))</f>
        <v>RP</v>
      </c>
      <c r="E534" s="54" t="str">
        <f>IF($C534="B",INDEX(Batters[[#All],[First]],MATCH(Table5[[#This Row],[PID]],Batters[[#All],[PID]],0)),INDEX(Table3[[#All],[First]],MATCH(Table5[[#This Row],[PID]],Table3[[#All],[PID]],0)))</f>
        <v>James</v>
      </c>
      <c r="F534" s="52" t="str">
        <f>IF($C534="B",INDEX(Batters[[#All],[Last]],MATCH(A534,Batters[[#All],[PID]],0)),INDEX(Table3[[#All],[Last]],MATCH(A534,Table3[[#All],[PID]],0)))</f>
        <v>Howard</v>
      </c>
      <c r="G534" s="58">
        <f>IF($C534="B",INDEX(Batters[[#All],[Age]],MATCH(Table5[[#This Row],[PID]],Batters[[#All],[PID]],0)),INDEX(Table3[[#All],[Age]],MATCH(Table5[[#This Row],[PID]],Table3[[#All],[PID]],0)))</f>
        <v>22</v>
      </c>
      <c r="H534" s="54" t="str">
        <f>IF($C534="B",INDEX(Batters[[#All],[B]],MATCH(Table5[[#This Row],[PID]],Batters[[#All],[PID]],0)),INDEX(Table3[[#All],[B]],MATCH(Table5[[#This Row],[PID]],Table3[[#All],[PID]],0)))</f>
        <v>L</v>
      </c>
      <c r="I534" s="54" t="str">
        <f>IF($C534="B",INDEX(Batters[[#All],[T]],MATCH(Table5[[#This Row],[PID]],Batters[[#All],[PID]],0)),INDEX(Table3[[#All],[T]],MATCH(Table5[[#This Row],[PID]],Table3[[#All],[PID]],0)))</f>
        <v>L</v>
      </c>
      <c r="J534" s="54" t="str">
        <f>IF($C534="B",INDEX(Batters[[#All],[WE]],MATCH(Table5[[#This Row],[PID]],Batters[[#All],[PID]],0)),INDEX(Table3[[#All],[WE]],MATCH(Table5[[#This Row],[PID]],Table3[[#All],[PID]],0)))</f>
        <v>Normal</v>
      </c>
      <c r="K534" s="54" t="str">
        <f>IF($C534="B",INDEX(Batters[[#All],[INT]],MATCH(Table5[[#This Row],[PID]],Batters[[#All],[PID]],0)),INDEX(Table3[[#All],[INT]],MATCH(Table5[[#This Row],[PID]],Table3[[#All],[PID]],0)))</f>
        <v>Normal</v>
      </c>
      <c r="L534" s="62">
        <f>IF($C534="B",INDEX(Batters[[#All],[CON P]],MATCH(Table5[[#This Row],[PID]],Batters[[#All],[PID]],0)),INDEX(Table3[[#All],[STU P]],MATCH(Table5[[#This Row],[PID]],Table3[[#All],[PID]],0)))</f>
        <v>4</v>
      </c>
      <c r="M534" s="58">
        <f>IF($C534="B",INDEX(Batters[[#All],[GAP P]],MATCH(Table5[[#This Row],[PID]],Batters[[#All],[PID]],0)),INDEX(Table3[[#All],[MOV P]],MATCH(Table5[[#This Row],[PID]],Table3[[#All],[PID]],0)))</f>
        <v>2</v>
      </c>
      <c r="N534" s="58">
        <f>IF($C534="B",INDEX(Batters[[#All],[POW P]],MATCH(Table5[[#This Row],[PID]],Batters[[#All],[PID]],0)),INDEX(Table3[[#All],[CON P]],MATCH(Table5[[#This Row],[PID]],Table3[[#All],[PID]],0)))</f>
        <v>3</v>
      </c>
      <c r="O534" s="58" t="str">
        <f>IF($C534="B",INDEX(Batters[[#All],[EYE P]],MATCH(Table5[[#This Row],[PID]],Batters[[#All],[PID]],0)),INDEX(Table3[[#All],[VELO]],MATCH(Table5[[#This Row],[PID]],Table3[[#All],[PID]],0)))</f>
        <v>86-88 Mph</v>
      </c>
      <c r="P534" s="58">
        <f>IF($C534="B",INDEX(Batters[[#All],[K P]],MATCH(Table5[[#This Row],[PID]],Batters[[#All],[PID]],0)),INDEX(Table3[[#All],[STM]],MATCH(Table5[[#This Row],[PID]],Table3[[#All],[PID]],0)))</f>
        <v>6</v>
      </c>
      <c r="Q534" s="63">
        <f>IF($C534="B",INDEX(Batters[[#All],[Tot]],MATCH(Table5[[#This Row],[PID]],Batters[[#All],[PID]],0)),INDEX(Table3[[#All],[Tot]],MATCH(Table5[[#This Row],[PID]],Table3[[#All],[PID]],0)))</f>
        <v>30.050434966073876</v>
      </c>
      <c r="R534" s="54">
        <f>IF($C534="B",INDEX(Batters[[#All],[zScore]],MATCH(Table5[[#This Row],[PID]],Batters[[#All],[PID]],0)),INDEX(Table3[[#All],[zScore]],MATCH(Table5[[#This Row],[PID]],Table3[[#All],[PID]],0)))</f>
        <v>-0.2450169365095583</v>
      </c>
      <c r="S534" s="60" t="str">
        <f>IF($C534="B",INDEX(Batters[[#All],[DEM]],MATCH(Table5[[#This Row],[PID]],Batters[[#All],[PID]],0)),INDEX(Table3[[#All],[DEM]],MATCH(Table5[[#This Row],[PID]],Table3[[#All],[PID]],0)))</f>
        <v>-</v>
      </c>
      <c r="T534" s="64">
        <f>IF($C534="B",VLOOKUP($A534,Bat!$A$4:$AU$1417,46,FALSE),VLOOKUP($A534,Pit!$A$4:$BD$570,55,FALSE))</f>
        <v>0</v>
      </c>
      <c r="U534" s="52">
        <f>IF($C534="B",VLOOKUP($A534,Bat!$A$4:$BA$1417,47,FALSE),VLOOKUP($A534,Pit!$A$4:$BF$570,56,FALSE))</f>
        <v>0</v>
      </c>
      <c r="V534" s="52">
        <f>IF($C534="B",VLOOKUP($A534,Bat!$A$4:$BA$1417,48,FALSE),VLOOKUP($A534,Pit!$A$4:$BF$570,57,FALSE))</f>
        <v>0</v>
      </c>
      <c r="W534" s="52">
        <f>Table5[[#This Row],[posRnk]]+Table5[[#This Row],[zRnk]]+IF($W$3&lt;&gt;Table5[[#This Row],[Type]],50,0)</f>
        <v>580</v>
      </c>
      <c r="X534" s="53">
        <f>RANK(Table5[[#This Row],[zScore]],Table5[[#All],[zScore]])</f>
        <v>530</v>
      </c>
      <c r="Y534" s="52" t="str">
        <f>IFERROR(INDEX(DraftResults[[#All],[OVR]],MATCH(Table5[[#This Row],[PID]],DraftResults[[#All],[Player ID]],0)),"")</f>
        <v/>
      </c>
      <c r="Z5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4" s="52" t="str">
        <f>IFERROR(INDEX(DraftResults[[#All],[Pick in Round]],MATCH(Table5[[#This Row],[PID]],DraftResults[[#All],[Player ID]],0)),"")</f>
        <v/>
      </c>
      <c r="AB534" s="52" t="str">
        <f>IFERROR(INDEX(DraftResults[[#All],[Team Name]],MATCH(Table5[[#This Row],[PID]],DraftResults[[#All],[Player ID]],0)),"")</f>
        <v/>
      </c>
      <c r="AC534" s="52" t="str">
        <f>IF(Table5[[#This Row],[Ovr]]="","",IF(Table5[[#This Row],[cmbList]]="","",Table5[[#This Row],[cmbList]]-Table5[[#This Row],[Ovr]]))</f>
        <v/>
      </c>
      <c r="AD534" s="56" t="str">
        <f>IF(ISERROR(VLOOKUP($AB534&amp;"-"&amp;$E534&amp;" "&amp;F534,Bonuses!$B$1:$G$1006,4,FALSE)),"",INT(VLOOKUP($AB534&amp;"-"&amp;$E534&amp;" "&amp;$F534,Bonuses!$B$1:$G$1006,4,FALSE)))</f>
        <v/>
      </c>
      <c r="AE5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5" spans="1:31" s="52" customFormat="1" x14ac:dyDescent="0.25">
      <c r="A535" s="52">
        <v>6043</v>
      </c>
      <c r="B535" s="52">
        <f>COUNTIF(Table5[PID],A535)</f>
        <v>1</v>
      </c>
      <c r="C535" s="52" t="str">
        <f>IF(COUNTIF(Table3[[#All],[PID]],A535)&gt;0,"P","B")</f>
        <v>P</v>
      </c>
      <c r="D535" s="61" t="str">
        <f>IF($C535="B",INDEX(Batters[[#All],[POS]],MATCH(Table5[[#This Row],[PID]],Batters[[#All],[PID]],0)),INDEX(Table3[[#All],[POS]],MATCH(Table5[[#This Row],[PID]],Table3[[#All],[PID]],0)))</f>
        <v>RP</v>
      </c>
      <c r="E535" s="54" t="str">
        <f>IF($C535="B",INDEX(Batters[[#All],[First]],MATCH(Table5[[#This Row],[PID]],Batters[[#All],[PID]],0)),INDEX(Table3[[#All],[First]],MATCH(Table5[[#This Row],[PID]],Table3[[#All],[PID]],0)))</f>
        <v>Felipe</v>
      </c>
      <c r="F535" s="52" t="str">
        <f>IF($C535="B",INDEX(Batters[[#All],[Last]],MATCH(A535,Batters[[#All],[PID]],0)),INDEX(Table3[[#All],[Last]],MATCH(A535,Table3[[#All],[PID]],0)))</f>
        <v>Delvalle</v>
      </c>
      <c r="G535" s="58">
        <f>IF($C535="B",INDEX(Batters[[#All],[Age]],MATCH(Table5[[#This Row],[PID]],Batters[[#All],[PID]],0)),INDEX(Table3[[#All],[Age]],MATCH(Table5[[#This Row],[PID]],Table3[[#All],[PID]],0)))</f>
        <v>18</v>
      </c>
      <c r="H535" s="54" t="str">
        <f>IF($C535="B",INDEX(Batters[[#All],[B]],MATCH(Table5[[#This Row],[PID]],Batters[[#All],[PID]],0)),INDEX(Table3[[#All],[B]],MATCH(Table5[[#This Row],[PID]],Table3[[#All],[PID]],0)))</f>
        <v>R</v>
      </c>
      <c r="I535" s="54" t="str">
        <f>IF($C535="B",INDEX(Batters[[#All],[T]],MATCH(Table5[[#This Row],[PID]],Batters[[#All],[PID]],0)),INDEX(Table3[[#All],[T]],MATCH(Table5[[#This Row],[PID]],Table3[[#All],[PID]],0)))</f>
        <v>R</v>
      </c>
      <c r="J535" s="54" t="str">
        <f>IF($C535="B",INDEX(Batters[[#All],[WE]],MATCH(Table5[[#This Row],[PID]],Batters[[#All],[PID]],0)),INDEX(Table3[[#All],[WE]],MATCH(Table5[[#This Row],[PID]],Table3[[#All],[PID]],0)))</f>
        <v>Normal</v>
      </c>
      <c r="K535" s="54" t="str">
        <f>IF($C535="B",INDEX(Batters[[#All],[INT]],MATCH(Table5[[#This Row],[PID]],Batters[[#All],[PID]],0)),INDEX(Table3[[#All],[INT]],MATCH(Table5[[#This Row],[PID]],Table3[[#All],[PID]],0)))</f>
        <v>Normal</v>
      </c>
      <c r="L535" s="62">
        <f>IF($C535="B",INDEX(Batters[[#All],[CON P]],MATCH(Table5[[#This Row],[PID]],Batters[[#All],[PID]],0)),INDEX(Table3[[#All],[STU P]],MATCH(Table5[[#This Row],[PID]],Table3[[#All],[PID]],0)))</f>
        <v>4</v>
      </c>
      <c r="M535" s="58">
        <f>IF($C535="B",INDEX(Batters[[#All],[GAP P]],MATCH(Table5[[#This Row],[PID]],Batters[[#All],[PID]],0)),INDEX(Table3[[#All],[MOV P]],MATCH(Table5[[#This Row],[PID]],Table3[[#All],[PID]],0)))</f>
        <v>2</v>
      </c>
      <c r="N535" s="58">
        <f>IF($C535="B",INDEX(Batters[[#All],[POW P]],MATCH(Table5[[#This Row],[PID]],Batters[[#All],[PID]],0)),INDEX(Table3[[#All],[CON P]],MATCH(Table5[[#This Row],[PID]],Table3[[#All],[PID]],0)))</f>
        <v>2</v>
      </c>
      <c r="O535" s="58" t="str">
        <f>IF($C535="B",INDEX(Batters[[#All],[EYE P]],MATCH(Table5[[#This Row],[PID]],Batters[[#All],[PID]],0)),INDEX(Table3[[#All],[VELO]],MATCH(Table5[[#This Row],[PID]],Table3[[#All],[PID]],0)))</f>
        <v>84-86 Mph</v>
      </c>
      <c r="P535" s="58">
        <f>IF($C535="B",INDEX(Batters[[#All],[K P]],MATCH(Table5[[#This Row],[PID]],Batters[[#All],[PID]],0)),INDEX(Table3[[#All],[STM]],MATCH(Table5[[#This Row],[PID]],Table3[[#All],[PID]],0)))</f>
        <v>2</v>
      </c>
      <c r="Q535" s="63">
        <f>IF($C535="B",INDEX(Batters[[#All],[Tot]],MATCH(Table5[[#This Row],[PID]],Batters[[#All],[PID]],0)),INDEX(Table3[[#All],[Tot]],MATCH(Table5[[#This Row],[PID]],Table3[[#All],[PID]],0)))</f>
        <v>30.027273764974915</v>
      </c>
      <c r="R535" s="54">
        <f>IF($C535="B",INDEX(Batters[[#All],[zScore]],MATCH(Table5[[#This Row],[PID]],Batters[[#All],[PID]],0)),INDEX(Table3[[#All],[zScore]],MATCH(Table5[[#This Row],[PID]],Table3[[#All],[PID]],0)))</f>
        <v>-0.24714091764338711</v>
      </c>
      <c r="S535" s="60" t="str">
        <f>IF($C535="B",INDEX(Batters[[#All],[DEM]],MATCH(Table5[[#This Row],[PID]],Batters[[#All],[PID]],0)),INDEX(Table3[[#All],[DEM]],MATCH(Table5[[#This Row],[PID]],Table3[[#All],[PID]],0)))</f>
        <v>$75k</v>
      </c>
      <c r="T535" s="64">
        <f>IF($C535="B",VLOOKUP($A535,Bat!$A$4:$AU$1417,46,FALSE),VLOOKUP($A535,Pit!$A$4:$BD$570,55,FALSE))</f>
        <v>0</v>
      </c>
      <c r="U535" s="52">
        <f>IF($C535="B",VLOOKUP($A535,Bat!$A$4:$BA$1417,47,FALSE),VLOOKUP($A535,Pit!$A$4:$BF$570,56,FALSE))</f>
        <v>0</v>
      </c>
      <c r="V535" s="52">
        <f>IF($C535="B",VLOOKUP($A535,Bat!$A$4:$BA$1417,48,FALSE),VLOOKUP($A535,Pit!$A$4:$BF$570,57,FALSE))</f>
        <v>0</v>
      </c>
      <c r="W535" s="52">
        <f>Table5[[#This Row],[posRnk]]+Table5[[#This Row],[zRnk]]+IF($W$3&lt;&gt;Table5[[#This Row],[Type]],50,0)</f>
        <v>581</v>
      </c>
      <c r="X535" s="53">
        <f>RANK(Table5[[#This Row],[zScore]],Table5[[#All],[zScore]])</f>
        <v>531</v>
      </c>
      <c r="Y535" s="52" t="str">
        <f>IFERROR(INDEX(DraftResults[[#All],[OVR]],MATCH(Table5[[#This Row],[PID]],DraftResults[[#All],[Player ID]],0)),"")</f>
        <v/>
      </c>
      <c r="Z5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5" s="52" t="str">
        <f>IFERROR(INDEX(DraftResults[[#All],[Pick in Round]],MATCH(Table5[[#This Row],[PID]],DraftResults[[#All],[Player ID]],0)),"")</f>
        <v/>
      </c>
      <c r="AB535" s="52" t="str">
        <f>IFERROR(INDEX(DraftResults[[#All],[Team Name]],MATCH(Table5[[#This Row],[PID]],DraftResults[[#All],[Player ID]],0)),"")</f>
        <v/>
      </c>
      <c r="AC535" s="52" t="str">
        <f>IF(Table5[[#This Row],[Ovr]]="","",IF(Table5[[#This Row],[cmbList]]="","",Table5[[#This Row],[cmbList]]-Table5[[#This Row],[Ovr]]))</f>
        <v/>
      </c>
      <c r="AD535" s="56" t="str">
        <f>IF(ISERROR(VLOOKUP($AB535&amp;"-"&amp;$E535&amp;" "&amp;F535,Bonuses!$B$1:$G$1006,4,FALSE)),"",INT(VLOOKUP($AB535&amp;"-"&amp;$E535&amp;" "&amp;$F535,Bonuses!$B$1:$G$1006,4,FALSE)))</f>
        <v/>
      </c>
      <c r="AE5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6" spans="1:31" s="52" customFormat="1" x14ac:dyDescent="0.25">
      <c r="A536" s="52">
        <v>9816</v>
      </c>
      <c r="B536" s="52">
        <f>COUNTIF(Table5[PID],A536)</f>
        <v>1</v>
      </c>
      <c r="C536" s="52" t="str">
        <f>IF(COUNTIF(Table3[[#All],[PID]],A536)&gt;0,"P","B")</f>
        <v>B</v>
      </c>
      <c r="D536" s="61" t="str">
        <f>IF($C536="B",INDEX(Batters[[#All],[POS]],MATCH(Table5[[#This Row],[PID]],Batters[[#All],[PID]],0)),INDEX(Table3[[#All],[POS]],MATCH(Table5[[#This Row],[PID]],Table3[[#All],[PID]],0)))</f>
        <v>1B</v>
      </c>
      <c r="E536" s="54" t="str">
        <f>IF($C536="B",INDEX(Batters[[#All],[First]],MATCH(Table5[[#This Row],[PID]],Batters[[#All],[PID]],0)),INDEX(Table3[[#All],[First]],MATCH(Table5[[#This Row],[PID]],Table3[[#All],[PID]],0)))</f>
        <v>Will</v>
      </c>
      <c r="F536" s="52" t="str">
        <f>IF($C536="B",INDEX(Batters[[#All],[Last]],MATCH(A536,Batters[[#All],[PID]],0)),INDEX(Table3[[#All],[Last]],MATCH(A536,Table3[[#All],[PID]],0)))</f>
        <v>Ensor</v>
      </c>
      <c r="G536" s="58">
        <f>IF($C536="B",INDEX(Batters[[#All],[Age]],MATCH(Table5[[#This Row],[PID]],Batters[[#All],[PID]],0)),INDEX(Table3[[#All],[Age]],MATCH(Table5[[#This Row],[PID]],Table3[[#All],[PID]],0)))</f>
        <v>22</v>
      </c>
      <c r="H536" s="54" t="str">
        <f>IF($C536="B",INDEX(Batters[[#All],[B]],MATCH(Table5[[#This Row],[PID]],Batters[[#All],[PID]],0)),INDEX(Table3[[#All],[B]],MATCH(Table5[[#This Row],[PID]],Table3[[#All],[PID]],0)))</f>
        <v>R</v>
      </c>
      <c r="I536" s="54" t="str">
        <f>IF($C536="B",INDEX(Batters[[#All],[T]],MATCH(Table5[[#This Row],[PID]],Batters[[#All],[PID]],0)),INDEX(Table3[[#All],[T]],MATCH(Table5[[#This Row],[PID]],Table3[[#All],[PID]],0)))</f>
        <v>L</v>
      </c>
      <c r="J536" s="54" t="str">
        <f>IF($C536="B",INDEX(Batters[[#All],[WE]],MATCH(Table5[[#This Row],[PID]],Batters[[#All],[PID]],0)),INDEX(Table3[[#All],[WE]],MATCH(Table5[[#This Row],[PID]],Table3[[#All],[PID]],0)))</f>
        <v>Normal</v>
      </c>
      <c r="K536" s="54" t="str">
        <f>IF($C536="B",INDEX(Batters[[#All],[INT]],MATCH(Table5[[#This Row],[PID]],Batters[[#All],[PID]],0)),INDEX(Table3[[#All],[INT]],MATCH(Table5[[#This Row],[PID]],Table3[[#All],[PID]],0)))</f>
        <v>Normal</v>
      </c>
      <c r="L536" s="62">
        <f>IF($C536="B",INDEX(Batters[[#All],[CON P]],MATCH(Table5[[#This Row],[PID]],Batters[[#All],[PID]],0)),INDEX(Table3[[#All],[STU P]],MATCH(Table5[[#This Row],[PID]],Table3[[#All],[PID]],0)))</f>
        <v>3</v>
      </c>
      <c r="M536" s="58">
        <f>IF($C536="B",INDEX(Batters[[#All],[GAP P]],MATCH(Table5[[#This Row],[PID]],Batters[[#All],[PID]],0)),INDEX(Table3[[#All],[MOV P]],MATCH(Table5[[#This Row],[PID]],Table3[[#All],[PID]],0)))</f>
        <v>6</v>
      </c>
      <c r="N536" s="58">
        <f>IF($C536="B",INDEX(Batters[[#All],[POW P]],MATCH(Table5[[#This Row],[PID]],Batters[[#All],[PID]],0)),INDEX(Table3[[#All],[CON P]],MATCH(Table5[[#This Row],[PID]],Table3[[#All],[PID]],0)))</f>
        <v>4</v>
      </c>
      <c r="O536" s="58">
        <f>IF($C536="B",INDEX(Batters[[#All],[EYE P]],MATCH(Table5[[#This Row],[PID]],Batters[[#All],[PID]],0)),INDEX(Table3[[#All],[VELO]],MATCH(Table5[[#This Row],[PID]],Table3[[#All],[PID]],0)))</f>
        <v>5</v>
      </c>
      <c r="P536" s="58">
        <f>IF($C536="B",INDEX(Batters[[#All],[K P]],MATCH(Table5[[#This Row],[PID]],Batters[[#All],[PID]],0)),INDEX(Table3[[#All],[STM]],MATCH(Table5[[#This Row],[PID]],Table3[[#All],[PID]],0)))</f>
        <v>3</v>
      </c>
      <c r="Q536" s="63">
        <f>IF($C536="B",INDEX(Batters[[#All],[Tot]],MATCH(Table5[[#This Row],[PID]],Batters[[#All],[PID]],0)),INDEX(Table3[[#All],[Tot]],MATCH(Table5[[#This Row],[PID]],Table3[[#All],[PID]],0)))</f>
        <v>38.932278032259283</v>
      </c>
      <c r="R536" s="54">
        <f>IF($C536="B",INDEX(Batters[[#All],[zScore]],MATCH(Table5[[#This Row],[PID]],Batters[[#All],[PID]],0)),INDEX(Table3[[#All],[zScore]],MATCH(Table5[[#This Row],[PID]],Table3[[#All],[PID]],0)))</f>
        <v>-0.24913039193135827</v>
      </c>
      <c r="S536" s="60" t="str">
        <f>IF($C536="B",INDEX(Batters[[#All],[DEM]],MATCH(Table5[[#This Row],[PID]],Batters[[#All],[PID]],0)),INDEX(Table3[[#All],[DEM]],MATCH(Table5[[#This Row],[PID]],Table3[[#All],[PID]],0)))</f>
        <v>-</v>
      </c>
      <c r="T536" s="64">
        <f>IF($C536="B",VLOOKUP($A536,Bat!$A$4:$AU$1417,46,FALSE),VLOOKUP($A536,Pit!$A$4:$BD$570,55,FALSE))</f>
        <v>0</v>
      </c>
      <c r="U536" s="52">
        <f>IF($C536="B",VLOOKUP($A536,Bat!$A$4:$BA$1417,47,FALSE),VLOOKUP($A536,Pit!$A$4:$BF$570,56,FALSE))</f>
        <v>0</v>
      </c>
      <c r="V536" s="52">
        <f>IF($C536="B",VLOOKUP($A536,Bat!$A$4:$BA$1417,48,FALSE),VLOOKUP($A536,Pit!$A$4:$BF$570,57,FALSE))</f>
        <v>0</v>
      </c>
      <c r="W536" s="52">
        <f>Table5[[#This Row],[posRnk]]+Table5[[#This Row],[zRnk]]+IF($W$3&lt;&gt;Table5[[#This Row],[Type]],50,0)</f>
        <v>582</v>
      </c>
      <c r="X536" s="53">
        <f>RANK(Table5[[#This Row],[zScore]],Table5[[#All],[zScore]])</f>
        <v>532</v>
      </c>
      <c r="Y536" s="52" t="str">
        <f>IFERROR(INDEX(DraftResults[[#All],[OVR]],MATCH(Table5[[#This Row],[PID]],DraftResults[[#All],[Player ID]],0)),"")</f>
        <v/>
      </c>
      <c r="Z5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6" s="52" t="str">
        <f>IFERROR(INDEX(DraftResults[[#All],[Pick in Round]],MATCH(Table5[[#This Row],[PID]],DraftResults[[#All],[Player ID]],0)),"")</f>
        <v/>
      </c>
      <c r="AB536" s="52" t="str">
        <f>IFERROR(INDEX(DraftResults[[#All],[Team Name]],MATCH(Table5[[#This Row],[PID]],DraftResults[[#All],[Player ID]],0)),"")</f>
        <v/>
      </c>
      <c r="AC536" s="52" t="str">
        <f>IF(Table5[[#This Row],[Ovr]]="","",IF(Table5[[#This Row],[cmbList]]="","",Table5[[#This Row],[cmbList]]-Table5[[#This Row],[Ovr]]))</f>
        <v/>
      </c>
      <c r="AD536" s="56" t="str">
        <f>IF(ISERROR(VLOOKUP($AB536&amp;"-"&amp;$E536&amp;" "&amp;F536,Bonuses!$B$1:$G$1006,4,FALSE)),"",INT(VLOOKUP($AB536&amp;"-"&amp;$E536&amp;" "&amp;$F536,Bonuses!$B$1:$G$1006,4,FALSE)))</f>
        <v/>
      </c>
      <c r="AE5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7" spans="1:31" s="52" customFormat="1" x14ac:dyDescent="0.25">
      <c r="A537" s="52">
        <v>6810</v>
      </c>
      <c r="B537" s="52">
        <f>COUNTIF(Table5[PID],A537)</f>
        <v>1</v>
      </c>
      <c r="C537" s="52" t="str">
        <f>IF(COUNTIF(Table3[[#All],[PID]],A537)&gt;0,"P","B")</f>
        <v>P</v>
      </c>
      <c r="D537" s="61" t="str">
        <f>IF($C537="B",INDEX(Batters[[#All],[POS]],MATCH(Table5[[#This Row],[PID]],Batters[[#All],[PID]],0)),INDEX(Table3[[#All],[POS]],MATCH(Table5[[#This Row],[PID]],Table3[[#All],[PID]],0)))</f>
        <v>CL</v>
      </c>
      <c r="E537" s="54" t="str">
        <f>IF($C537="B",INDEX(Batters[[#All],[First]],MATCH(Table5[[#This Row],[PID]],Batters[[#All],[PID]],0)),INDEX(Table3[[#All],[First]],MATCH(Table5[[#This Row],[PID]],Table3[[#All],[PID]],0)))</f>
        <v>Sosa</v>
      </c>
      <c r="F537" s="52" t="str">
        <f>IF($C537="B",INDEX(Batters[[#All],[Last]],MATCH(A537,Batters[[#All],[PID]],0)),INDEX(Table3[[#All],[Last]],MATCH(A537,Table3[[#All],[PID]],0)))</f>
        <v>Mizuno</v>
      </c>
      <c r="G537" s="58">
        <f>IF($C537="B",INDEX(Batters[[#All],[Age]],MATCH(Table5[[#This Row],[PID]],Batters[[#All],[PID]],0)),INDEX(Table3[[#All],[Age]],MATCH(Table5[[#This Row],[PID]],Table3[[#All],[PID]],0)))</f>
        <v>21</v>
      </c>
      <c r="H537" s="54" t="str">
        <f>IF($C537="B",INDEX(Batters[[#All],[B]],MATCH(Table5[[#This Row],[PID]],Batters[[#All],[PID]],0)),INDEX(Table3[[#All],[B]],MATCH(Table5[[#This Row],[PID]],Table3[[#All],[PID]],0)))</f>
        <v>L</v>
      </c>
      <c r="I537" s="54" t="str">
        <f>IF($C537="B",INDEX(Batters[[#All],[T]],MATCH(Table5[[#This Row],[PID]],Batters[[#All],[PID]],0)),INDEX(Table3[[#All],[T]],MATCH(Table5[[#This Row],[PID]],Table3[[#All],[PID]],0)))</f>
        <v>L</v>
      </c>
      <c r="J537" s="54" t="str">
        <f>IF($C537="B",INDEX(Batters[[#All],[WE]],MATCH(Table5[[#This Row],[PID]],Batters[[#All],[PID]],0)),INDEX(Table3[[#All],[WE]],MATCH(Table5[[#This Row],[PID]],Table3[[#All],[PID]],0)))</f>
        <v>Low</v>
      </c>
      <c r="K537" s="54" t="str">
        <f>IF($C537="B",INDEX(Batters[[#All],[INT]],MATCH(Table5[[#This Row],[PID]],Batters[[#All],[PID]],0)),INDEX(Table3[[#All],[INT]],MATCH(Table5[[#This Row],[PID]],Table3[[#All],[PID]],0)))</f>
        <v>Normal</v>
      </c>
      <c r="L537" s="62">
        <f>IF($C537="B",INDEX(Batters[[#All],[CON P]],MATCH(Table5[[#This Row],[PID]],Batters[[#All],[PID]],0)),INDEX(Table3[[#All],[STU P]],MATCH(Table5[[#This Row],[PID]],Table3[[#All],[PID]],0)))</f>
        <v>5</v>
      </c>
      <c r="M537" s="58">
        <f>IF($C537="B",INDEX(Batters[[#All],[GAP P]],MATCH(Table5[[#This Row],[PID]],Batters[[#All],[PID]],0)),INDEX(Table3[[#All],[MOV P]],MATCH(Table5[[#This Row],[PID]],Table3[[#All],[PID]],0)))</f>
        <v>2</v>
      </c>
      <c r="N537" s="58">
        <f>IF($C537="B",INDEX(Batters[[#All],[POW P]],MATCH(Table5[[#This Row],[PID]],Batters[[#All],[PID]],0)),INDEX(Table3[[#All],[CON P]],MATCH(Table5[[#This Row],[PID]],Table3[[#All],[PID]],0)))</f>
        <v>2</v>
      </c>
      <c r="O537" s="58" t="str">
        <f>IF($C537="B",INDEX(Batters[[#All],[EYE P]],MATCH(Table5[[#This Row],[PID]],Batters[[#All],[PID]],0)),INDEX(Table3[[#All],[VELO]],MATCH(Table5[[#This Row],[PID]],Table3[[#All],[PID]],0)))</f>
        <v>91-93 Mph</v>
      </c>
      <c r="P537" s="58">
        <f>IF($C537="B",INDEX(Batters[[#All],[K P]],MATCH(Table5[[#This Row],[PID]],Batters[[#All],[PID]],0)),INDEX(Table3[[#All],[STM]],MATCH(Table5[[#This Row],[PID]],Table3[[#All],[PID]],0)))</f>
        <v>5</v>
      </c>
      <c r="Q537" s="63">
        <f>IF($C537="B",INDEX(Batters[[#All],[Tot]],MATCH(Table5[[#This Row],[PID]],Batters[[#All],[PID]],0)),INDEX(Table3[[#All],[Tot]],MATCH(Table5[[#This Row],[PID]],Table3[[#All],[PID]],0)))</f>
        <v>30.002764512680095</v>
      </c>
      <c r="R537" s="54">
        <f>IF($C537="B",INDEX(Batters[[#All],[zScore]],MATCH(Table5[[#This Row],[PID]],Batters[[#All],[PID]],0)),INDEX(Table3[[#All],[zScore]],MATCH(Table5[[#This Row],[PID]],Table3[[#All],[PID]],0)))</f>
        <v>-0.24938852083356805</v>
      </c>
      <c r="S537" s="60" t="str">
        <f>IF($C537="B",INDEX(Batters[[#All],[DEM]],MATCH(Table5[[#This Row],[PID]],Batters[[#All],[PID]],0)),INDEX(Table3[[#All],[DEM]],MATCH(Table5[[#This Row],[PID]],Table3[[#All],[PID]],0)))</f>
        <v>-</v>
      </c>
      <c r="T537" s="64">
        <f>IF($C537="B",VLOOKUP($A537,Bat!$A$4:$AU$1417,46,FALSE),VLOOKUP($A537,Pit!$A$4:$BD$570,55,FALSE))</f>
        <v>0</v>
      </c>
      <c r="U537" s="52">
        <f>IF($C537="B",VLOOKUP($A537,Bat!$A$4:$BA$1417,47,FALSE),VLOOKUP($A537,Pit!$A$4:$BF$570,56,FALSE))</f>
        <v>0</v>
      </c>
      <c r="V537" s="52">
        <f>IF($C537="B",VLOOKUP($A537,Bat!$A$4:$BA$1417,48,FALSE),VLOOKUP($A537,Pit!$A$4:$BF$570,57,FALSE))</f>
        <v>0</v>
      </c>
      <c r="W537" s="52">
        <f>Table5[[#This Row],[posRnk]]+Table5[[#This Row],[zRnk]]+IF($W$3&lt;&gt;Table5[[#This Row],[Type]],50,0)</f>
        <v>583</v>
      </c>
      <c r="X537" s="53">
        <f>RANK(Table5[[#This Row],[zScore]],Table5[[#All],[zScore]])</f>
        <v>533</v>
      </c>
      <c r="Y537" s="52" t="str">
        <f>IFERROR(INDEX(DraftResults[[#All],[OVR]],MATCH(Table5[[#This Row],[PID]],DraftResults[[#All],[Player ID]],0)),"")</f>
        <v/>
      </c>
      <c r="Z5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7" s="52" t="str">
        <f>IFERROR(INDEX(DraftResults[[#All],[Pick in Round]],MATCH(Table5[[#This Row],[PID]],DraftResults[[#All],[Player ID]],0)),"")</f>
        <v/>
      </c>
      <c r="AB537" s="52" t="str">
        <f>IFERROR(INDEX(DraftResults[[#All],[Team Name]],MATCH(Table5[[#This Row],[PID]],DraftResults[[#All],[Player ID]],0)),"")</f>
        <v/>
      </c>
      <c r="AC537" s="52" t="str">
        <f>IF(Table5[[#This Row],[Ovr]]="","",IF(Table5[[#This Row],[cmbList]]="","",Table5[[#This Row],[cmbList]]-Table5[[#This Row],[Ovr]]))</f>
        <v/>
      </c>
      <c r="AD537" s="56" t="str">
        <f>IF(ISERROR(VLOOKUP($AB537&amp;"-"&amp;$E537&amp;" "&amp;F537,Bonuses!$B$1:$G$1006,4,FALSE)),"",INT(VLOOKUP($AB537&amp;"-"&amp;$E537&amp;" "&amp;$F537,Bonuses!$B$1:$G$1006,4,FALSE)))</f>
        <v/>
      </c>
      <c r="AE5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8" spans="1:31" s="52" customFormat="1" x14ac:dyDescent="0.25">
      <c r="A538" s="52">
        <v>9181</v>
      </c>
      <c r="B538" s="52">
        <f>COUNTIF(Table5[PID],A538)</f>
        <v>1</v>
      </c>
      <c r="C538" s="52" t="str">
        <f>IF(COUNTIF(Table3[[#All],[PID]],A538)&gt;0,"P","B")</f>
        <v>P</v>
      </c>
      <c r="D538" s="61" t="str">
        <f>IF($C538="B",INDEX(Batters[[#All],[POS]],MATCH(Table5[[#This Row],[PID]],Batters[[#All],[PID]],0)),INDEX(Table3[[#All],[POS]],MATCH(Table5[[#This Row],[PID]],Table3[[#All],[PID]],0)))</f>
        <v>SP</v>
      </c>
      <c r="E538" s="54" t="str">
        <f>IF($C538="B",INDEX(Batters[[#All],[First]],MATCH(Table5[[#This Row],[PID]],Batters[[#All],[PID]],0)),INDEX(Table3[[#All],[First]],MATCH(Table5[[#This Row],[PID]],Table3[[#All],[PID]],0)))</f>
        <v>Marvin</v>
      </c>
      <c r="F538" s="52" t="str">
        <f>IF($C538="B",INDEX(Batters[[#All],[Last]],MATCH(A538,Batters[[#All],[PID]],0)),INDEX(Table3[[#All],[Last]],MATCH(A538,Table3[[#All],[PID]],0)))</f>
        <v>Christopher</v>
      </c>
      <c r="G538" s="58">
        <f>IF($C538="B",INDEX(Batters[[#All],[Age]],MATCH(Table5[[#This Row],[PID]],Batters[[#All],[PID]],0)),INDEX(Table3[[#All],[Age]],MATCH(Table5[[#This Row],[PID]],Table3[[#All],[PID]],0)))</f>
        <v>18</v>
      </c>
      <c r="H538" s="54" t="str">
        <f>IF($C538="B",INDEX(Batters[[#All],[B]],MATCH(Table5[[#This Row],[PID]],Batters[[#All],[PID]],0)),INDEX(Table3[[#All],[B]],MATCH(Table5[[#This Row],[PID]],Table3[[#All],[PID]],0)))</f>
        <v>S</v>
      </c>
      <c r="I538" s="54" t="str">
        <f>IF($C538="B",INDEX(Batters[[#All],[T]],MATCH(Table5[[#This Row],[PID]],Batters[[#All],[PID]],0)),INDEX(Table3[[#All],[T]],MATCH(Table5[[#This Row],[PID]],Table3[[#All],[PID]],0)))</f>
        <v>R</v>
      </c>
      <c r="J538" s="54" t="str">
        <f>IF($C538="B",INDEX(Batters[[#All],[WE]],MATCH(Table5[[#This Row],[PID]],Batters[[#All],[PID]],0)),INDEX(Table3[[#All],[WE]],MATCH(Table5[[#This Row],[PID]],Table3[[#All],[PID]],0)))</f>
        <v>Normal</v>
      </c>
      <c r="K538" s="54" t="str">
        <f>IF($C538="B",INDEX(Batters[[#All],[INT]],MATCH(Table5[[#This Row],[PID]],Batters[[#All],[PID]],0)),INDEX(Table3[[#All],[INT]],MATCH(Table5[[#This Row],[PID]],Table3[[#All],[PID]],0)))</f>
        <v>Normal</v>
      </c>
      <c r="L538" s="62">
        <f>IF($C538="B",INDEX(Batters[[#All],[CON P]],MATCH(Table5[[#This Row],[PID]],Batters[[#All],[PID]],0)),INDEX(Table3[[#All],[STU P]],MATCH(Table5[[#This Row],[PID]],Table3[[#All],[PID]],0)))</f>
        <v>4</v>
      </c>
      <c r="M538" s="58">
        <f>IF($C538="B",INDEX(Batters[[#All],[GAP P]],MATCH(Table5[[#This Row],[PID]],Batters[[#All],[PID]],0)),INDEX(Table3[[#All],[MOV P]],MATCH(Table5[[#This Row],[PID]],Table3[[#All],[PID]],0)))</f>
        <v>2</v>
      </c>
      <c r="N538" s="58">
        <f>IF($C538="B",INDEX(Batters[[#All],[POW P]],MATCH(Table5[[#This Row],[PID]],Batters[[#All],[PID]],0)),INDEX(Table3[[#All],[CON P]],MATCH(Table5[[#This Row],[PID]],Table3[[#All],[PID]],0)))</f>
        <v>2</v>
      </c>
      <c r="O538" s="58" t="str">
        <f>IF($C538="B",INDEX(Batters[[#All],[EYE P]],MATCH(Table5[[#This Row],[PID]],Batters[[#All],[PID]],0)),INDEX(Table3[[#All],[VELO]],MATCH(Table5[[#This Row],[PID]],Table3[[#All],[PID]],0)))</f>
        <v>89-91 Mph</v>
      </c>
      <c r="P538" s="58">
        <f>IF($C538="B",INDEX(Batters[[#All],[K P]],MATCH(Table5[[#This Row],[PID]],Batters[[#All],[PID]],0)),INDEX(Table3[[#All],[STM]],MATCH(Table5[[#This Row],[PID]],Table3[[#All],[PID]],0)))</f>
        <v>6</v>
      </c>
      <c r="Q538" s="63">
        <f>IF($C538="B",INDEX(Batters[[#All],[Tot]],MATCH(Table5[[#This Row],[PID]],Batters[[#All],[PID]],0)),INDEX(Table3[[#All],[Tot]],MATCH(Table5[[#This Row],[PID]],Table3[[#All],[PID]],0)))</f>
        <v>29.9763867495328</v>
      </c>
      <c r="R538" s="54">
        <f>IF($C538="B",INDEX(Batters[[#All],[zScore]],MATCH(Table5[[#This Row],[PID]],Batters[[#All],[PID]],0)),INDEX(Table3[[#All],[zScore]],MATCH(Table5[[#This Row],[PID]],Table3[[#All],[PID]],0)))</f>
        <v>-0.25180747445510415</v>
      </c>
      <c r="S538" s="60" t="str">
        <f>IF($C538="B",INDEX(Batters[[#All],[DEM]],MATCH(Table5[[#This Row],[PID]],Batters[[#All],[PID]],0)),INDEX(Table3[[#All],[DEM]],MATCH(Table5[[#This Row],[PID]],Table3[[#All],[PID]],0)))</f>
        <v>$130k</v>
      </c>
      <c r="T538" s="64">
        <f>IF($C538="B",VLOOKUP($A538,Bat!$A$4:$AU$1417,46,FALSE),VLOOKUP($A538,Pit!$A$4:$BD$570,55,FALSE))</f>
        <v>0</v>
      </c>
      <c r="U538" s="52">
        <f>IF($C538="B",VLOOKUP($A538,Bat!$A$4:$BA$1417,47,FALSE),VLOOKUP($A538,Pit!$A$4:$BF$570,56,FALSE))</f>
        <v>0</v>
      </c>
      <c r="V538" s="52">
        <f>IF($C538="B",VLOOKUP($A538,Bat!$A$4:$BA$1417,48,FALSE),VLOOKUP($A538,Pit!$A$4:$BF$570,57,FALSE))</f>
        <v>0</v>
      </c>
      <c r="W538" s="52">
        <f>Table5[[#This Row],[posRnk]]+Table5[[#This Row],[zRnk]]+IF($W$3&lt;&gt;Table5[[#This Row],[Type]],50,0)</f>
        <v>584</v>
      </c>
      <c r="X538" s="53">
        <f>RANK(Table5[[#This Row],[zScore]],Table5[[#All],[zScore]])</f>
        <v>534</v>
      </c>
      <c r="Y538" s="52" t="str">
        <f>IFERROR(INDEX(DraftResults[[#All],[OVR]],MATCH(Table5[[#This Row],[PID]],DraftResults[[#All],[Player ID]],0)),"")</f>
        <v/>
      </c>
      <c r="Z5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8" s="52" t="str">
        <f>IFERROR(INDEX(DraftResults[[#All],[Pick in Round]],MATCH(Table5[[#This Row],[PID]],DraftResults[[#All],[Player ID]],0)),"")</f>
        <v/>
      </c>
      <c r="AB538" s="52" t="str">
        <f>IFERROR(INDEX(DraftResults[[#All],[Team Name]],MATCH(Table5[[#This Row],[PID]],DraftResults[[#All],[Player ID]],0)),"")</f>
        <v/>
      </c>
      <c r="AC538" s="52" t="str">
        <f>IF(Table5[[#This Row],[Ovr]]="","",IF(Table5[[#This Row],[cmbList]]="","",Table5[[#This Row],[cmbList]]-Table5[[#This Row],[Ovr]]))</f>
        <v/>
      </c>
      <c r="AD538" s="56" t="str">
        <f>IF(ISERROR(VLOOKUP($AB538&amp;"-"&amp;$E538&amp;" "&amp;F538,Bonuses!$B$1:$G$1006,4,FALSE)),"",INT(VLOOKUP($AB538&amp;"-"&amp;$E538&amp;" "&amp;$F538,Bonuses!$B$1:$G$1006,4,FALSE)))</f>
        <v/>
      </c>
      <c r="AE5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9" spans="1:31" s="52" customFormat="1" x14ac:dyDescent="0.25">
      <c r="A539" s="52">
        <v>15112</v>
      </c>
      <c r="B539" s="52">
        <f>COUNTIF(Table5[PID],A539)</f>
        <v>1</v>
      </c>
      <c r="C539" s="52" t="str">
        <f>IF(COUNTIF(Table3[[#All],[PID]],A539)&gt;0,"P","B")</f>
        <v>P</v>
      </c>
      <c r="D539" s="61" t="str">
        <f>IF($C539="B",INDEX(Batters[[#All],[POS]],MATCH(Table5[[#This Row],[PID]],Batters[[#All],[PID]],0)),INDEX(Table3[[#All],[POS]],MATCH(Table5[[#This Row],[PID]],Table3[[#All],[PID]],0)))</f>
        <v>RP</v>
      </c>
      <c r="E539" s="54" t="str">
        <f>IF($C539="B",INDEX(Batters[[#All],[First]],MATCH(Table5[[#This Row],[PID]],Batters[[#All],[PID]],0)),INDEX(Table3[[#All],[First]],MATCH(Table5[[#This Row],[PID]],Table3[[#All],[PID]],0)))</f>
        <v>Yasukazu</v>
      </c>
      <c r="F539" s="52" t="str">
        <f>IF($C539="B",INDEX(Batters[[#All],[Last]],MATCH(A539,Batters[[#All],[PID]],0)),INDEX(Table3[[#All],[Last]],MATCH(A539,Table3[[#All],[PID]],0)))</f>
        <v>Noguchi</v>
      </c>
      <c r="G539" s="58">
        <f>IF($C539="B",INDEX(Batters[[#All],[Age]],MATCH(Table5[[#This Row],[PID]],Batters[[#All],[PID]],0)),INDEX(Table3[[#All],[Age]],MATCH(Table5[[#This Row],[PID]],Table3[[#All],[PID]],0)))</f>
        <v>18</v>
      </c>
      <c r="H539" s="54" t="str">
        <f>IF($C539="B",INDEX(Batters[[#All],[B]],MATCH(Table5[[#This Row],[PID]],Batters[[#All],[PID]],0)),INDEX(Table3[[#All],[B]],MATCH(Table5[[#This Row],[PID]],Table3[[#All],[PID]],0)))</f>
        <v>R</v>
      </c>
      <c r="I539" s="54" t="str">
        <f>IF($C539="B",INDEX(Batters[[#All],[T]],MATCH(Table5[[#This Row],[PID]],Batters[[#All],[PID]],0)),INDEX(Table3[[#All],[T]],MATCH(Table5[[#This Row],[PID]],Table3[[#All],[PID]],0)))</f>
        <v>R</v>
      </c>
      <c r="J539" s="54" t="str">
        <f>IF($C539="B",INDEX(Batters[[#All],[WE]],MATCH(Table5[[#This Row],[PID]],Batters[[#All],[PID]],0)),INDEX(Table3[[#All],[WE]],MATCH(Table5[[#This Row],[PID]],Table3[[#All],[PID]],0)))</f>
        <v>Normal</v>
      </c>
      <c r="K539" s="54" t="str">
        <f>IF($C539="B",INDEX(Batters[[#All],[INT]],MATCH(Table5[[#This Row],[PID]],Batters[[#All],[PID]],0)),INDEX(Table3[[#All],[INT]],MATCH(Table5[[#This Row],[PID]],Table3[[#All],[PID]],0)))</f>
        <v>Normal</v>
      </c>
      <c r="L539" s="62">
        <f>IF($C539="B",INDEX(Batters[[#All],[CON P]],MATCH(Table5[[#This Row],[PID]],Batters[[#All],[PID]],0)),INDEX(Table3[[#All],[STU P]],MATCH(Table5[[#This Row],[PID]],Table3[[#All],[PID]],0)))</f>
        <v>4</v>
      </c>
      <c r="M539" s="58">
        <f>IF($C539="B",INDEX(Batters[[#All],[GAP P]],MATCH(Table5[[#This Row],[PID]],Batters[[#All],[PID]],0)),INDEX(Table3[[#All],[MOV P]],MATCH(Table5[[#This Row],[PID]],Table3[[#All],[PID]],0)))</f>
        <v>2</v>
      </c>
      <c r="N539" s="58">
        <f>IF($C539="B",INDEX(Batters[[#All],[POW P]],MATCH(Table5[[#This Row],[PID]],Batters[[#All],[PID]],0)),INDEX(Table3[[#All],[CON P]],MATCH(Table5[[#This Row],[PID]],Table3[[#All],[PID]],0)))</f>
        <v>2</v>
      </c>
      <c r="O539" s="58" t="str">
        <f>IF($C539="B",INDEX(Batters[[#All],[EYE P]],MATCH(Table5[[#This Row],[PID]],Batters[[#All],[PID]],0)),INDEX(Table3[[#All],[VELO]],MATCH(Table5[[#This Row],[PID]],Table3[[#All],[PID]],0)))</f>
        <v>86-88 Mph</v>
      </c>
      <c r="P539" s="58">
        <f>IF($C539="B",INDEX(Batters[[#All],[K P]],MATCH(Table5[[#This Row],[PID]],Batters[[#All],[PID]],0)),INDEX(Table3[[#All],[STM]],MATCH(Table5[[#This Row],[PID]],Table3[[#All],[PID]],0)))</f>
        <v>7</v>
      </c>
      <c r="Q539" s="63">
        <f>IF($C539="B",INDEX(Batters[[#All],[Tot]],MATCH(Table5[[#This Row],[PID]],Batters[[#All],[PID]],0)),INDEX(Table3[[#All],[Tot]],MATCH(Table5[[#This Row],[PID]],Table3[[#All],[PID]],0)))</f>
        <v>29.937616601628196</v>
      </c>
      <c r="R539" s="54">
        <f>IF($C539="B",INDEX(Batters[[#All],[zScore]],MATCH(Table5[[#This Row],[PID]],Batters[[#All],[PID]],0)),INDEX(Table3[[#All],[zScore]],MATCH(Table5[[#This Row],[PID]],Table3[[#All],[PID]],0)))</f>
        <v>-0.2553628627250511</v>
      </c>
      <c r="S539" s="60" t="str">
        <f>IF($C539="B",INDEX(Batters[[#All],[DEM]],MATCH(Table5[[#This Row],[PID]],Batters[[#All],[PID]],0)),INDEX(Table3[[#All],[DEM]],MATCH(Table5[[#This Row],[PID]],Table3[[#All],[PID]],0)))</f>
        <v>$65k</v>
      </c>
      <c r="T539" s="64">
        <f>IF($C539="B",VLOOKUP($A539,Bat!$A$4:$AU$1417,46,FALSE),VLOOKUP($A539,Pit!$A$4:$BD$570,55,FALSE))</f>
        <v>0</v>
      </c>
      <c r="U539" s="52">
        <f>IF($C539="B",VLOOKUP($A539,Bat!$A$4:$BA$1417,47,FALSE),VLOOKUP($A539,Pit!$A$4:$BF$570,56,FALSE))</f>
        <v>0</v>
      </c>
      <c r="V539" s="52">
        <f>IF($C539="B",VLOOKUP($A539,Bat!$A$4:$BA$1417,48,FALSE),VLOOKUP($A539,Pit!$A$4:$BF$570,57,FALSE))</f>
        <v>0</v>
      </c>
      <c r="W539" s="52">
        <f>Table5[[#This Row],[posRnk]]+Table5[[#This Row],[zRnk]]+IF($W$3&lt;&gt;Table5[[#This Row],[Type]],50,0)</f>
        <v>585</v>
      </c>
      <c r="X539" s="53">
        <f>RANK(Table5[[#This Row],[zScore]],Table5[[#All],[zScore]])</f>
        <v>535</v>
      </c>
      <c r="Y539" s="52" t="str">
        <f>IFERROR(INDEX(DraftResults[[#All],[OVR]],MATCH(Table5[[#This Row],[PID]],DraftResults[[#All],[Player ID]],0)),"")</f>
        <v/>
      </c>
      <c r="Z5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9" s="52" t="str">
        <f>IFERROR(INDEX(DraftResults[[#All],[Pick in Round]],MATCH(Table5[[#This Row],[PID]],DraftResults[[#All],[Player ID]],0)),"")</f>
        <v/>
      </c>
      <c r="AB539" s="52" t="str">
        <f>IFERROR(INDEX(DraftResults[[#All],[Team Name]],MATCH(Table5[[#This Row],[PID]],DraftResults[[#All],[Player ID]],0)),"")</f>
        <v/>
      </c>
      <c r="AC539" s="52" t="str">
        <f>IF(Table5[[#This Row],[Ovr]]="","",IF(Table5[[#This Row],[cmbList]]="","",Table5[[#This Row],[cmbList]]-Table5[[#This Row],[Ovr]]))</f>
        <v/>
      </c>
      <c r="AD539" s="56" t="str">
        <f>IF(ISERROR(VLOOKUP($AB539&amp;"-"&amp;$E539&amp;" "&amp;F539,Bonuses!$B$1:$G$1006,4,FALSE)),"",INT(VLOOKUP($AB539&amp;"-"&amp;$E539&amp;" "&amp;$F539,Bonuses!$B$1:$G$1006,4,FALSE)))</f>
        <v/>
      </c>
      <c r="AE5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0" spans="1:31" s="52" customFormat="1" x14ac:dyDescent="0.25">
      <c r="A540" s="52">
        <v>11970</v>
      </c>
      <c r="B540" s="52">
        <f>COUNTIF(Table5[PID],A540)</f>
        <v>1</v>
      </c>
      <c r="C540" s="52" t="str">
        <f>IF(COUNTIF(Table3[[#All],[PID]],A540)&gt;0,"P","B")</f>
        <v>P</v>
      </c>
      <c r="D540" s="61" t="str">
        <f>IF($C540="B",INDEX(Batters[[#All],[POS]],MATCH(Table5[[#This Row],[PID]],Batters[[#All],[PID]],0)),INDEX(Table3[[#All],[POS]],MATCH(Table5[[#This Row],[PID]],Table3[[#All],[PID]],0)))</f>
        <v>SP</v>
      </c>
      <c r="E540" s="54" t="str">
        <f>IF($C540="B",INDEX(Batters[[#All],[First]],MATCH(Table5[[#This Row],[PID]],Batters[[#All],[PID]],0)),INDEX(Table3[[#All],[First]],MATCH(Table5[[#This Row],[PID]],Table3[[#All],[PID]],0)))</f>
        <v>Roberto</v>
      </c>
      <c r="F540" s="52" t="str">
        <f>IF($C540="B",INDEX(Batters[[#All],[Last]],MATCH(A540,Batters[[#All],[PID]],0)),INDEX(Table3[[#All],[Last]],MATCH(A540,Table3[[#All],[PID]],0)))</f>
        <v>Rodríguez</v>
      </c>
      <c r="G540" s="58">
        <f>IF($C540="B",INDEX(Batters[[#All],[Age]],MATCH(Table5[[#This Row],[PID]],Batters[[#All],[PID]],0)),INDEX(Table3[[#All],[Age]],MATCH(Table5[[#This Row],[PID]],Table3[[#All],[PID]],0)))</f>
        <v>21</v>
      </c>
      <c r="H540" s="54" t="str">
        <f>IF($C540="B",INDEX(Batters[[#All],[B]],MATCH(Table5[[#This Row],[PID]],Batters[[#All],[PID]],0)),INDEX(Table3[[#All],[B]],MATCH(Table5[[#This Row],[PID]],Table3[[#All],[PID]],0)))</f>
        <v>R</v>
      </c>
      <c r="I540" s="54" t="str">
        <f>IF($C540="B",INDEX(Batters[[#All],[T]],MATCH(Table5[[#This Row],[PID]],Batters[[#All],[PID]],0)),INDEX(Table3[[#All],[T]],MATCH(Table5[[#This Row],[PID]],Table3[[#All],[PID]],0)))</f>
        <v>R</v>
      </c>
      <c r="J540" s="54" t="str">
        <f>IF($C540="B",INDEX(Batters[[#All],[WE]],MATCH(Table5[[#This Row],[PID]],Batters[[#All],[PID]],0)),INDEX(Table3[[#All],[WE]],MATCH(Table5[[#This Row],[PID]],Table3[[#All],[PID]],0)))</f>
        <v>High</v>
      </c>
      <c r="K540" s="54" t="str">
        <f>IF($C540="B",INDEX(Batters[[#All],[INT]],MATCH(Table5[[#This Row],[PID]],Batters[[#All],[PID]],0)),INDEX(Table3[[#All],[INT]],MATCH(Table5[[#This Row],[PID]],Table3[[#All],[PID]],0)))</f>
        <v>Normal</v>
      </c>
      <c r="L540" s="62">
        <f>IF($C540="B",INDEX(Batters[[#All],[CON P]],MATCH(Table5[[#This Row],[PID]],Batters[[#All],[PID]],0)),INDEX(Table3[[#All],[STU P]],MATCH(Table5[[#This Row],[PID]],Table3[[#All],[PID]],0)))</f>
        <v>5</v>
      </c>
      <c r="M540" s="58">
        <f>IF($C540="B",INDEX(Batters[[#All],[GAP P]],MATCH(Table5[[#This Row],[PID]],Batters[[#All],[PID]],0)),INDEX(Table3[[#All],[MOV P]],MATCH(Table5[[#This Row],[PID]],Table3[[#All],[PID]],0)))</f>
        <v>2</v>
      </c>
      <c r="N540" s="58">
        <f>IF($C540="B",INDEX(Batters[[#All],[POW P]],MATCH(Table5[[#This Row],[PID]],Batters[[#All],[PID]],0)),INDEX(Table3[[#All],[CON P]],MATCH(Table5[[#This Row],[PID]],Table3[[#All],[PID]],0)))</f>
        <v>2</v>
      </c>
      <c r="O540" s="58" t="str">
        <f>IF($C540="B",INDEX(Batters[[#All],[EYE P]],MATCH(Table5[[#This Row],[PID]],Batters[[#All],[PID]],0)),INDEX(Table3[[#All],[VELO]],MATCH(Table5[[#This Row],[PID]],Table3[[#All],[PID]],0)))</f>
        <v>93-95 Mph</v>
      </c>
      <c r="P540" s="58">
        <f>IF($C540="B",INDEX(Batters[[#All],[K P]],MATCH(Table5[[#This Row],[PID]],Batters[[#All],[PID]],0)),INDEX(Table3[[#All],[STM]],MATCH(Table5[[#This Row],[PID]],Table3[[#All],[PID]],0)))</f>
        <v>8</v>
      </c>
      <c r="Q540" s="63">
        <f>IF($C540="B",INDEX(Batters[[#All],[Tot]],MATCH(Table5[[#This Row],[PID]],Batters[[#All],[PID]],0)),INDEX(Table3[[#All],[Tot]],MATCH(Table5[[#This Row],[PID]],Table3[[#All],[PID]],0)))</f>
        <v>29.93158430462649</v>
      </c>
      <c r="R540" s="54">
        <f>IF($C540="B",INDEX(Batters[[#All],[zScore]],MATCH(Table5[[#This Row],[PID]],Batters[[#All],[PID]],0)),INDEX(Table3[[#All],[zScore]],MATCH(Table5[[#This Row],[PID]],Table3[[#All],[PID]],0)))</f>
        <v>-0.25591605014268681</v>
      </c>
      <c r="S540" s="60" t="str">
        <f>IF($C540="B",INDEX(Batters[[#All],[DEM]],MATCH(Table5[[#This Row],[PID]],Batters[[#All],[PID]],0)),INDEX(Table3[[#All],[DEM]],MATCH(Table5[[#This Row],[PID]],Table3[[#All],[PID]],0)))</f>
        <v>$20k</v>
      </c>
      <c r="T540" s="64">
        <f>IF($C540="B",VLOOKUP($A540,Bat!$A$4:$AU$1417,46,FALSE),VLOOKUP($A540,Pit!$A$4:$BD$570,55,FALSE))</f>
        <v>0</v>
      </c>
      <c r="U540" s="52">
        <f>IF($C540="B",VLOOKUP($A540,Bat!$A$4:$BA$1417,47,FALSE),VLOOKUP($A540,Pit!$A$4:$BF$570,56,FALSE))</f>
        <v>0</v>
      </c>
      <c r="V540" s="52">
        <f>IF($C540="B",VLOOKUP($A540,Bat!$A$4:$BA$1417,48,FALSE),VLOOKUP($A540,Pit!$A$4:$BF$570,57,FALSE))</f>
        <v>0</v>
      </c>
      <c r="W540" s="52">
        <f>Table5[[#This Row],[posRnk]]+Table5[[#This Row],[zRnk]]+IF($W$3&lt;&gt;Table5[[#This Row],[Type]],50,0)</f>
        <v>586</v>
      </c>
      <c r="X540" s="53">
        <f>RANK(Table5[[#This Row],[zScore]],Table5[[#All],[zScore]])</f>
        <v>536</v>
      </c>
      <c r="Y540" s="52" t="str">
        <f>IFERROR(INDEX(DraftResults[[#All],[OVR]],MATCH(Table5[[#This Row],[PID]],DraftResults[[#All],[Player ID]],0)),"")</f>
        <v/>
      </c>
      <c r="Z5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0" s="52" t="str">
        <f>IFERROR(INDEX(DraftResults[[#All],[Pick in Round]],MATCH(Table5[[#This Row],[PID]],DraftResults[[#All],[Player ID]],0)),"")</f>
        <v/>
      </c>
      <c r="AB540" s="52" t="str">
        <f>IFERROR(INDEX(DraftResults[[#All],[Team Name]],MATCH(Table5[[#This Row],[PID]],DraftResults[[#All],[Player ID]],0)),"")</f>
        <v/>
      </c>
      <c r="AC540" s="52" t="str">
        <f>IF(Table5[[#This Row],[Ovr]]="","",IF(Table5[[#This Row],[cmbList]]="","",Table5[[#This Row],[cmbList]]-Table5[[#This Row],[Ovr]]))</f>
        <v/>
      </c>
      <c r="AD540" s="56" t="str">
        <f>IF(ISERROR(VLOOKUP($AB540&amp;"-"&amp;$E540&amp;" "&amp;F540,Bonuses!$B$1:$G$1006,4,FALSE)),"",INT(VLOOKUP($AB540&amp;"-"&amp;$E540&amp;" "&amp;$F540,Bonuses!$B$1:$G$1006,4,FALSE)))</f>
        <v/>
      </c>
      <c r="AE5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1" spans="1:31" s="52" customFormat="1" x14ac:dyDescent="0.25">
      <c r="A541" s="52">
        <v>5958</v>
      </c>
      <c r="B541" s="52">
        <f>COUNTIF(Table5[PID],A541)</f>
        <v>1</v>
      </c>
      <c r="C541" s="52" t="str">
        <f>IF(COUNTIF(Table3[[#All],[PID]],A541)&gt;0,"P","B")</f>
        <v>P</v>
      </c>
      <c r="D541" s="61" t="str">
        <f>IF($C541="B",INDEX(Batters[[#All],[POS]],MATCH(Table5[[#This Row],[PID]],Batters[[#All],[PID]],0)),INDEX(Table3[[#All],[POS]],MATCH(Table5[[#This Row],[PID]],Table3[[#All],[PID]],0)))</f>
        <v>RP</v>
      </c>
      <c r="E541" s="54" t="str">
        <f>IF($C541="B",INDEX(Batters[[#All],[First]],MATCH(Table5[[#This Row],[PID]],Batters[[#All],[PID]],0)),INDEX(Table3[[#All],[First]],MATCH(Table5[[#This Row],[PID]],Table3[[#All],[PID]],0)))</f>
        <v>Pat</v>
      </c>
      <c r="F541" s="52" t="str">
        <f>IF($C541="B",INDEX(Batters[[#All],[Last]],MATCH(A541,Batters[[#All],[PID]],0)),INDEX(Table3[[#All],[Last]],MATCH(A541,Table3[[#All],[PID]],0)))</f>
        <v>Mahoney</v>
      </c>
      <c r="G541" s="58">
        <f>IF($C541="B",INDEX(Batters[[#All],[Age]],MATCH(Table5[[#This Row],[PID]],Batters[[#All],[PID]],0)),INDEX(Table3[[#All],[Age]],MATCH(Table5[[#This Row],[PID]],Table3[[#All],[PID]],0)))</f>
        <v>18</v>
      </c>
      <c r="H541" s="54" t="str">
        <f>IF($C541="B",INDEX(Batters[[#All],[B]],MATCH(Table5[[#This Row],[PID]],Batters[[#All],[PID]],0)),INDEX(Table3[[#All],[B]],MATCH(Table5[[#This Row],[PID]],Table3[[#All],[PID]],0)))</f>
        <v>L</v>
      </c>
      <c r="I541" s="54" t="str">
        <f>IF($C541="B",INDEX(Batters[[#All],[T]],MATCH(Table5[[#This Row],[PID]],Batters[[#All],[PID]],0)),INDEX(Table3[[#All],[T]],MATCH(Table5[[#This Row],[PID]],Table3[[#All],[PID]],0)))</f>
        <v>L</v>
      </c>
      <c r="J541" s="54" t="str">
        <f>IF($C541="B",INDEX(Batters[[#All],[WE]],MATCH(Table5[[#This Row],[PID]],Batters[[#All],[PID]],0)),INDEX(Table3[[#All],[WE]],MATCH(Table5[[#This Row],[PID]],Table3[[#All],[PID]],0)))</f>
        <v>Low</v>
      </c>
      <c r="K541" s="54" t="str">
        <f>IF($C541="B",INDEX(Batters[[#All],[INT]],MATCH(Table5[[#This Row],[PID]],Batters[[#All],[PID]],0)),INDEX(Table3[[#All],[INT]],MATCH(Table5[[#This Row],[PID]],Table3[[#All],[PID]],0)))</f>
        <v>Normal</v>
      </c>
      <c r="L541" s="62">
        <f>IF($C541="B",INDEX(Batters[[#All],[CON P]],MATCH(Table5[[#This Row],[PID]],Batters[[#All],[PID]],0)),INDEX(Table3[[#All],[STU P]],MATCH(Table5[[#This Row],[PID]],Table3[[#All],[PID]],0)))</f>
        <v>4</v>
      </c>
      <c r="M541" s="58">
        <f>IF($C541="B",INDEX(Batters[[#All],[GAP P]],MATCH(Table5[[#This Row],[PID]],Batters[[#All],[PID]],0)),INDEX(Table3[[#All],[MOV P]],MATCH(Table5[[#This Row],[PID]],Table3[[#All],[PID]],0)))</f>
        <v>1</v>
      </c>
      <c r="N541" s="58">
        <f>IF($C541="B",INDEX(Batters[[#All],[POW P]],MATCH(Table5[[#This Row],[PID]],Batters[[#All],[PID]],0)),INDEX(Table3[[#All],[CON P]],MATCH(Table5[[#This Row],[PID]],Table3[[#All],[PID]],0)))</f>
        <v>3</v>
      </c>
      <c r="O541" s="58" t="str">
        <f>IF($C541="B",INDEX(Batters[[#All],[EYE P]],MATCH(Table5[[#This Row],[PID]],Batters[[#All],[PID]],0)),INDEX(Table3[[#All],[VELO]],MATCH(Table5[[#This Row],[PID]],Table3[[#All],[PID]],0)))</f>
        <v>87-89 Mph</v>
      </c>
      <c r="P541" s="58">
        <f>IF($C541="B",INDEX(Batters[[#All],[K P]],MATCH(Table5[[#This Row],[PID]],Batters[[#All],[PID]],0)),INDEX(Table3[[#All],[STM]],MATCH(Table5[[#This Row],[PID]],Table3[[#All],[PID]],0)))</f>
        <v>9</v>
      </c>
      <c r="Q541" s="63">
        <f>IF($C541="B",INDEX(Batters[[#All],[Tot]],MATCH(Table5[[#This Row],[PID]],Batters[[#All],[PID]],0)),INDEX(Table3[[#All],[Tot]],MATCH(Table5[[#This Row],[PID]],Table3[[#All],[PID]],0)))</f>
        <v>29.914215520510773</v>
      </c>
      <c r="R541" s="54">
        <f>IF($C541="B",INDEX(Batters[[#All],[zScore]],MATCH(Table5[[#This Row],[PID]],Batters[[#All],[PID]],0)),INDEX(Table3[[#All],[zScore]],MATCH(Table5[[#This Row],[PID]],Table3[[#All],[PID]],0)))</f>
        <v>-0.25750884188184164</v>
      </c>
      <c r="S541" s="60" t="str">
        <f>IF($C541="B",INDEX(Batters[[#All],[DEM]],MATCH(Table5[[#This Row],[PID]],Batters[[#All],[PID]],0)),INDEX(Table3[[#All],[DEM]],MATCH(Table5[[#This Row],[PID]],Table3[[#All],[PID]],0)))</f>
        <v>$65k</v>
      </c>
      <c r="T541" s="64">
        <f>IF($C541="B",VLOOKUP($A541,Bat!$A$4:$AU$1417,46,FALSE),VLOOKUP($A541,Pit!$A$4:$BD$570,55,FALSE))</f>
        <v>0</v>
      </c>
      <c r="U541" s="52">
        <f>IF($C541="B",VLOOKUP($A541,Bat!$A$4:$BA$1417,47,FALSE),VLOOKUP($A541,Pit!$A$4:$BF$570,56,FALSE))</f>
        <v>0</v>
      </c>
      <c r="V541" s="52">
        <f>IF($C541="B",VLOOKUP($A541,Bat!$A$4:$BA$1417,48,FALSE),VLOOKUP($A541,Pit!$A$4:$BF$570,57,FALSE))</f>
        <v>0</v>
      </c>
      <c r="W541" s="52">
        <f>Table5[[#This Row],[posRnk]]+Table5[[#This Row],[zRnk]]+IF($W$3&lt;&gt;Table5[[#This Row],[Type]],50,0)</f>
        <v>587</v>
      </c>
      <c r="X541" s="53">
        <f>RANK(Table5[[#This Row],[zScore]],Table5[[#All],[zScore]])</f>
        <v>537</v>
      </c>
      <c r="Y541" s="52" t="str">
        <f>IFERROR(INDEX(DraftResults[[#All],[OVR]],MATCH(Table5[[#This Row],[PID]],DraftResults[[#All],[Player ID]],0)),"")</f>
        <v/>
      </c>
      <c r="Z5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1" s="52" t="str">
        <f>IFERROR(INDEX(DraftResults[[#All],[Pick in Round]],MATCH(Table5[[#This Row],[PID]],DraftResults[[#All],[Player ID]],0)),"")</f>
        <v/>
      </c>
      <c r="AB541" s="52" t="str">
        <f>IFERROR(INDEX(DraftResults[[#All],[Team Name]],MATCH(Table5[[#This Row],[PID]],DraftResults[[#All],[Player ID]],0)),"")</f>
        <v/>
      </c>
      <c r="AC541" s="52" t="str">
        <f>IF(Table5[[#This Row],[Ovr]]="","",IF(Table5[[#This Row],[cmbList]]="","",Table5[[#This Row],[cmbList]]-Table5[[#This Row],[Ovr]]))</f>
        <v/>
      </c>
      <c r="AD541" s="56" t="str">
        <f>IF(ISERROR(VLOOKUP($AB541&amp;"-"&amp;$E541&amp;" "&amp;F541,Bonuses!$B$1:$G$1006,4,FALSE)),"",INT(VLOOKUP($AB541&amp;"-"&amp;$E541&amp;" "&amp;$F541,Bonuses!$B$1:$G$1006,4,FALSE)))</f>
        <v/>
      </c>
      <c r="AE5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2" spans="1:31" s="52" customFormat="1" x14ac:dyDescent="0.25">
      <c r="A542" s="52">
        <v>8971</v>
      </c>
      <c r="B542" s="52">
        <f>COUNTIF(Table5[PID],A542)</f>
        <v>1</v>
      </c>
      <c r="C542" s="52" t="str">
        <f>IF(COUNTIF(Table3[[#All],[PID]],A542)&gt;0,"P","B")</f>
        <v>P</v>
      </c>
      <c r="D542" s="61" t="str">
        <f>IF($C542="B",INDEX(Batters[[#All],[POS]],MATCH(Table5[[#This Row],[PID]],Batters[[#All],[PID]],0)),INDEX(Table3[[#All],[POS]],MATCH(Table5[[#This Row],[PID]],Table3[[#All],[PID]],0)))</f>
        <v>RP</v>
      </c>
      <c r="E542" s="54" t="str">
        <f>IF($C542="B",INDEX(Batters[[#All],[First]],MATCH(Table5[[#This Row],[PID]],Batters[[#All],[PID]],0)),INDEX(Table3[[#All],[First]],MATCH(Table5[[#This Row],[PID]],Table3[[#All],[PID]],0)))</f>
        <v>Tom</v>
      </c>
      <c r="F542" s="52" t="str">
        <f>IF($C542="B",INDEX(Batters[[#All],[Last]],MATCH(A542,Batters[[#All],[PID]],0)),INDEX(Table3[[#All],[Last]],MATCH(A542,Table3[[#All],[PID]],0)))</f>
        <v>Williams</v>
      </c>
      <c r="G542" s="58">
        <f>IF($C542="B",INDEX(Batters[[#All],[Age]],MATCH(Table5[[#This Row],[PID]],Batters[[#All],[PID]],0)),INDEX(Table3[[#All],[Age]],MATCH(Table5[[#This Row],[PID]],Table3[[#All],[PID]],0)))</f>
        <v>18</v>
      </c>
      <c r="H542" s="54" t="str">
        <f>IF($C542="B",INDEX(Batters[[#All],[B]],MATCH(Table5[[#This Row],[PID]],Batters[[#All],[PID]],0)),INDEX(Table3[[#All],[B]],MATCH(Table5[[#This Row],[PID]],Table3[[#All],[PID]],0)))</f>
        <v>R</v>
      </c>
      <c r="I542" s="54" t="str">
        <f>IF($C542="B",INDEX(Batters[[#All],[T]],MATCH(Table5[[#This Row],[PID]],Batters[[#All],[PID]],0)),INDEX(Table3[[#All],[T]],MATCH(Table5[[#This Row],[PID]],Table3[[#All],[PID]],0)))</f>
        <v>R</v>
      </c>
      <c r="J542" s="54" t="str">
        <f>IF($C542="B",INDEX(Batters[[#All],[WE]],MATCH(Table5[[#This Row],[PID]],Batters[[#All],[PID]],0)),INDEX(Table3[[#All],[WE]],MATCH(Table5[[#This Row],[PID]],Table3[[#All],[PID]],0)))</f>
        <v>Low</v>
      </c>
      <c r="K542" s="54" t="str">
        <f>IF($C542="B",INDEX(Batters[[#All],[INT]],MATCH(Table5[[#This Row],[PID]],Batters[[#All],[PID]],0)),INDEX(Table3[[#All],[INT]],MATCH(Table5[[#This Row],[PID]],Table3[[#All],[PID]],0)))</f>
        <v>High</v>
      </c>
      <c r="L542" s="62">
        <f>IF($C542="B",INDEX(Batters[[#All],[CON P]],MATCH(Table5[[#This Row],[PID]],Batters[[#All],[PID]],0)),INDEX(Table3[[#All],[STU P]],MATCH(Table5[[#This Row],[PID]],Table3[[#All],[PID]],0)))</f>
        <v>5</v>
      </c>
      <c r="M542" s="58">
        <f>IF($C542="B",INDEX(Batters[[#All],[GAP P]],MATCH(Table5[[#This Row],[PID]],Batters[[#All],[PID]],0)),INDEX(Table3[[#All],[MOV P]],MATCH(Table5[[#This Row],[PID]],Table3[[#All],[PID]],0)))</f>
        <v>2</v>
      </c>
      <c r="N542" s="58">
        <f>IF($C542="B",INDEX(Batters[[#All],[POW P]],MATCH(Table5[[#This Row],[PID]],Batters[[#All],[PID]],0)),INDEX(Table3[[#All],[CON P]],MATCH(Table5[[#This Row],[PID]],Table3[[#All],[PID]],0)))</f>
        <v>1</v>
      </c>
      <c r="O542" s="58" t="str">
        <f>IF($C542="B",INDEX(Batters[[#All],[EYE P]],MATCH(Table5[[#This Row],[PID]],Batters[[#All],[PID]],0)),INDEX(Table3[[#All],[VELO]],MATCH(Table5[[#This Row],[PID]],Table3[[#All],[PID]],0)))</f>
        <v>88-90 Mph</v>
      </c>
      <c r="P542" s="58">
        <f>IF($C542="B",INDEX(Batters[[#All],[K P]],MATCH(Table5[[#This Row],[PID]],Batters[[#All],[PID]],0)),INDEX(Table3[[#All],[STM]],MATCH(Table5[[#This Row],[PID]],Table3[[#All],[PID]],0)))</f>
        <v>10</v>
      </c>
      <c r="Q542" s="63">
        <f>IF($C542="B",INDEX(Batters[[#All],[Tot]],MATCH(Table5[[#This Row],[PID]],Batters[[#All],[PID]],0)),INDEX(Table3[[#All],[Tot]],MATCH(Table5[[#This Row],[PID]],Table3[[#All],[PID]],0)))</f>
        <v>29.901878305318785</v>
      </c>
      <c r="R542" s="54">
        <f>IF($C542="B",INDEX(Batters[[#All],[zScore]],MATCH(Table5[[#This Row],[PID]],Batters[[#All],[PID]],0)),INDEX(Table3[[#All],[zScore]],MATCH(Table5[[#This Row],[PID]],Table3[[#All],[PID]],0)))</f>
        <v>-0.25864021724531289</v>
      </c>
      <c r="S542" s="60" t="str">
        <f>IF($C542="B",INDEX(Batters[[#All],[DEM]],MATCH(Table5[[#This Row],[PID]],Batters[[#All],[PID]],0)),INDEX(Table3[[#All],[DEM]],MATCH(Table5[[#This Row],[PID]],Table3[[#All],[PID]],0)))</f>
        <v>$110k</v>
      </c>
      <c r="T542" s="64">
        <f>IF($C542="B",VLOOKUP($A542,Bat!$A$4:$AU$1417,46,FALSE),VLOOKUP($A542,Pit!$A$4:$BD$570,55,FALSE))</f>
        <v>0</v>
      </c>
      <c r="U542" s="52">
        <f>IF($C542="B",VLOOKUP($A542,Bat!$A$4:$BA$1417,47,FALSE),VLOOKUP($A542,Pit!$A$4:$BF$570,56,FALSE))</f>
        <v>0</v>
      </c>
      <c r="V542" s="52">
        <f>IF($C542="B",VLOOKUP($A542,Bat!$A$4:$BA$1417,48,FALSE),VLOOKUP($A542,Pit!$A$4:$BF$570,57,FALSE))</f>
        <v>0</v>
      </c>
      <c r="W542" s="52">
        <f>Table5[[#This Row],[posRnk]]+Table5[[#This Row],[zRnk]]+IF($W$3&lt;&gt;Table5[[#This Row],[Type]],50,0)</f>
        <v>588</v>
      </c>
      <c r="X542" s="53">
        <f>RANK(Table5[[#This Row],[zScore]],Table5[[#All],[zScore]])</f>
        <v>538</v>
      </c>
      <c r="Y542" s="52" t="str">
        <f>IFERROR(INDEX(DraftResults[[#All],[OVR]],MATCH(Table5[[#This Row],[PID]],DraftResults[[#All],[Player ID]],0)),"")</f>
        <v/>
      </c>
      <c r="Z5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2" s="52" t="str">
        <f>IFERROR(INDEX(DraftResults[[#All],[Pick in Round]],MATCH(Table5[[#This Row],[PID]],DraftResults[[#All],[Player ID]],0)),"")</f>
        <v/>
      </c>
      <c r="AB542" s="52" t="str">
        <f>IFERROR(INDEX(DraftResults[[#All],[Team Name]],MATCH(Table5[[#This Row],[PID]],DraftResults[[#All],[Player ID]],0)),"")</f>
        <v/>
      </c>
      <c r="AC542" s="52" t="str">
        <f>IF(Table5[[#This Row],[Ovr]]="","",IF(Table5[[#This Row],[cmbList]]="","",Table5[[#This Row],[cmbList]]-Table5[[#This Row],[Ovr]]))</f>
        <v/>
      </c>
      <c r="AD542" s="56" t="str">
        <f>IF(ISERROR(VLOOKUP($AB542&amp;"-"&amp;$E542&amp;" "&amp;F542,Bonuses!$B$1:$G$1006,4,FALSE)),"",INT(VLOOKUP($AB542&amp;"-"&amp;$E542&amp;" "&amp;$F542,Bonuses!$B$1:$G$1006,4,FALSE)))</f>
        <v/>
      </c>
      <c r="AE5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3" spans="1:31" s="52" customFormat="1" x14ac:dyDescent="0.25">
      <c r="A543" s="52">
        <v>9708</v>
      </c>
      <c r="B543" s="52">
        <f>COUNTIF(Table5[PID],A543)</f>
        <v>1</v>
      </c>
      <c r="C543" s="52" t="str">
        <f>IF(COUNTIF(Table3[[#All],[PID]],A543)&gt;0,"P","B")</f>
        <v>P</v>
      </c>
      <c r="D543" s="61" t="str">
        <f>IF($C543="B",INDEX(Batters[[#All],[POS]],MATCH(Table5[[#This Row],[PID]],Batters[[#All],[PID]],0)),INDEX(Table3[[#All],[POS]],MATCH(Table5[[#This Row],[PID]],Table3[[#All],[PID]],0)))</f>
        <v>RP</v>
      </c>
      <c r="E543" s="54" t="str">
        <f>IF($C543="B",INDEX(Batters[[#All],[First]],MATCH(Table5[[#This Row],[PID]],Batters[[#All],[PID]],0)),INDEX(Table3[[#All],[First]],MATCH(Table5[[#This Row],[PID]],Table3[[#All],[PID]],0)))</f>
        <v>Willie</v>
      </c>
      <c r="F543" s="52" t="str">
        <f>IF($C543="B",INDEX(Batters[[#All],[Last]],MATCH(A543,Batters[[#All],[PID]],0)),INDEX(Table3[[#All],[Last]],MATCH(A543,Table3[[#All],[PID]],0)))</f>
        <v>Stevens</v>
      </c>
      <c r="G543" s="58">
        <f>IF($C543="B",INDEX(Batters[[#All],[Age]],MATCH(Table5[[#This Row],[PID]],Batters[[#All],[PID]],0)),INDEX(Table3[[#All],[Age]],MATCH(Table5[[#This Row],[PID]],Table3[[#All],[PID]],0)))</f>
        <v>18</v>
      </c>
      <c r="H543" s="54" t="str">
        <f>IF($C543="B",INDEX(Batters[[#All],[B]],MATCH(Table5[[#This Row],[PID]],Batters[[#All],[PID]],0)),INDEX(Table3[[#All],[B]],MATCH(Table5[[#This Row],[PID]],Table3[[#All],[PID]],0)))</f>
        <v>R</v>
      </c>
      <c r="I543" s="54" t="str">
        <f>IF($C543="B",INDEX(Batters[[#All],[T]],MATCH(Table5[[#This Row],[PID]],Batters[[#All],[PID]],0)),INDEX(Table3[[#All],[T]],MATCH(Table5[[#This Row],[PID]],Table3[[#All],[PID]],0)))</f>
        <v>R</v>
      </c>
      <c r="J543" s="54" t="str">
        <f>IF($C543="B",INDEX(Batters[[#All],[WE]],MATCH(Table5[[#This Row],[PID]],Batters[[#All],[PID]],0)),INDEX(Table3[[#All],[WE]],MATCH(Table5[[#This Row],[PID]],Table3[[#All],[PID]],0)))</f>
        <v>Low</v>
      </c>
      <c r="K543" s="54" t="str">
        <f>IF($C543="B",INDEX(Batters[[#All],[INT]],MATCH(Table5[[#This Row],[PID]],Batters[[#All],[PID]],0)),INDEX(Table3[[#All],[INT]],MATCH(Table5[[#This Row],[PID]],Table3[[#All],[PID]],0)))</f>
        <v>Low</v>
      </c>
      <c r="L543" s="62">
        <f>IF($C543="B",INDEX(Batters[[#All],[CON P]],MATCH(Table5[[#This Row],[PID]],Batters[[#All],[PID]],0)),INDEX(Table3[[#All],[STU P]],MATCH(Table5[[#This Row],[PID]],Table3[[#All],[PID]],0)))</f>
        <v>2</v>
      </c>
      <c r="M543" s="58">
        <f>IF($C543="B",INDEX(Batters[[#All],[GAP P]],MATCH(Table5[[#This Row],[PID]],Batters[[#All],[PID]],0)),INDEX(Table3[[#All],[MOV P]],MATCH(Table5[[#This Row],[PID]],Table3[[#All],[PID]],0)))</f>
        <v>2</v>
      </c>
      <c r="N543" s="58">
        <f>IF($C543="B",INDEX(Batters[[#All],[POW P]],MATCH(Table5[[#This Row],[PID]],Batters[[#All],[PID]],0)),INDEX(Table3[[#All],[CON P]],MATCH(Table5[[#This Row],[PID]],Table3[[#All],[PID]],0)))</f>
        <v>3</v>
      </c>
      <c r="O543" s="58" t="str">
        <f>IF($C543="B",INDEX(Batters[[#All],[EYE P]],MATCH(Table5[[#This Row],[PID]],Batters[[#All],[PID]],0)),INDEX(Table3[[#All],[VELO]],MATCH(Table5[[#This Row],[PID]],Table3[[#All],[PID]],0)))</f>
        <v>84-86 Mph</v>
      </c>
      <c r="P543" s="58">
        <f>IF($C543="B",INDEX(Batters[[#All],[K P]],MATCH(Table5[[#This Row],[PID]],Batters[[#All],[PID]],0)),INDEX(Table3[[#All],[STM]],MATCH(Table5[[#This Row],[PID]],Table3[[#All],[PID]],0)))</f>
        <v>8</v>
      </c>
      <c r="Q543" s="63">
        <f>IF($C543="B",INDEX(Batters[[#All],[Tot]],MATCH(Table5[[#This Row],[PID]],Batters[[#All],[PID]],0)),INDEX(Table3[[#All],[Tot]],MATCH(Table5[[#This Row],[PID]],Table3[[#All],[PID]],0)))</f>
        <v>27.436854890827863</v>
      </c>
      <c r="R543" s="54">
        <f>IF($C543="B",INDEX(Batters[[#All],[zScore]],MATCH(Table5[[#This Row],[PID]],Batters[[#All],[PID]],0)),INDEX(Table3[[#All],[zScore]],MATCH(Table5[[#This Row],[PID]],Table3[[#All],[PID]],0)))</f>
        <v>-0.25928098600127442</v>
      </c>
      <c r="S543" s="60" t="str">
        <f>IF($C543="B",INDEX(Batters[[#All],[DEM]],MATCH(Table5[[#This Row],[PID]],Batters[[#All],[PID]],0)),INDEX(Table3[[#All],[DEM]],MATCH(Table5[[#This Row],[PID]],Table3[[#All],[PID]],0)))</f>
        <v>$80k</v>
      </c>
      <c r="T543" s="64">
        <f>IF($C543="B",VLOOKUP($A543,Bat!$A$4:$AU$1417,46,FALSE),VLOOKUP($A543,Pit!$A$4:$BD$570,55,FALSE))</f>
        <v>0</v>
      </c>
      <c r="U543" s="52">
        <f>IF($C543="B",VLOOKUP($A543,Bat!$A$4:$BA$1417,47,FALSE),VLOOKUP($A543,Pit!$A$4:$BF$570,56,FALSE))</f>
        <v>0</v>
      </c>
      <c r="V543" s="52">
        <f>IF($C543="B",VLOOKUP($A543,Bat!$A$4:$BA$1417,48,FALSE),VLOOKUP($A543,Pit!$A$4:$BF$570,57,FALSE))</f>
        <v>0</v>
      </c>
      <c r="W543" s="52">
        <f>Table5[[#This Row],[posRnk]]+Table5[[#This Row],[zRnk]]+IF($W$3&lt;&gt;Table5[[#This Row],[Type]],50,0)</f>
        <v>589</v>
      </c>
      <c r="X543" s="53">
        <f>RANK(Table5[[#This Row],[zScore]],Table5[[#All],[zScore]])</f>
        <v>539</v>
      </c>
      <c r="Y543" s="52" t="str">
        <f>IFERROR(INDEX(DraftResults[[#All],[OVR]],MATCH(Table5[[#This Row],[PID]],DraftResults[[#All],[Player ID]],0)),"")</f>
        <v/>
      </c>
      <c r="Z5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3" s="52" t="str">
        <f>IFERROR(INDEX(DraftResults[[#All],[Pick in Round]],MATCH(Table5[[#This Row],[PID]],DraftResults[[#All],[Player ID]],0)),"")</f>
        <v/>
      </c>
      <c r="AB543" s="52" t="str">
        <f>IFERROR(INDEX(DraftResults[[#All],[Team Name]],MATCH(Table5[[#This Row],[PID]],DraftResults[[#All],[Player ID]],0)),"")</f>
        <v/>
      </c>
      <c r="AC543" s="52" t="str">
        <f>IF(Table5[[#This Row],[Ovr]]="","",IF(Table5[[#This Row],[cmbList]]="","",Table5[[#This Row],[cmbList]]-Table5[[#This Row],[Ovr]]))</f>
        <v/>
      </c>
      <c r="AD543" s="56" t="str">
        <f>IF(ISERROR(VLOOKUP($AB543&amp;"-"&amp;$E543&amp;" "&amp;F543,Bonuses!$B$1:$G$1006,4,FALSE)),"",INT(VLOOKUP($AB543&amp;"-"&amp;$E543&amp;" "&amp;$F543,Bonuses!$B$1:$G$1006,4,FALSE)))</f>
        <v/>
      </c>
      <c r="AE5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4" spans="1:31" s="52" customFormat="1" x14ac:dyDescent="0.25">
      <c r="A544" s="52">
        <v>6707</v>
      </c>
      <c r="B544" s="52">
        <f>COUNTIF(Table5[PID],A544)</f>
        <v>1</v>
      </c>
      <c r="C544" s="52" t="str">
        <f>IF(COUNTIF(Table3[[#All],[PID]],A544)&gt;0,"P","B")</f>
        <v>B</v>
      </c>
      <c r="D544" s="61" t="str">
        <f>IF($C544="B",INDEX(Batters[[#All],[POS]],MATCH(Table5[[#This Row],[PID]],Batters[[#All],[PID]],0)),INDEX(Table3[[#All],[POS]],MATCH(Table5[[#This Row],[PID]],Table3[[#All],[PID]],0)))</f>
        <v>LF</v>
      </c>
      <c r="E544" s="54" t="str">
        <f>IF($C544="B",INDEX(Batters[[#All],[First]],MATCH(Table5[[#This Row],[PID]],Batters[[#All],[PID]],0)),INDEX(Table3[[#All],[First]],MATCH(Table5[[#This Row],[PID]],Table3[[#All],[PID]],0)))</f>
        <v>Cliff</v>
      </c>
      <c r="F544" s="52" t="str">
        <f>IF($C544="B",INDEX(Batters[[#All],[Last]],MATCH(A544,Batters[[#All],[PID]],0)),INDEX(Table3[[#All],[Last]],MATCH(A544,Table3[[#All],[PID]],0)))</f>
        <v>Ax</v>
      </c>
      <c r="G544" s="58">
        <f>IF($C544="B",INDEX(Batters[[#All],[Age]],MATCH(Table5[[#This Row],[PID]],Batters[[#All],[PID]],0)),INDEX(Table3[[#All],[Age]],MATCH(Table5[[#This Row],[PID]],Table3[[#All],[PID]],0)))</f>
        <v>21</v>
      </c>
      <c r="H544" s="54" t="str">
        <f>IF($C544="B",INDEX(Batters[[#All],[B]],MATCH(Table5[[#This Row],[PID]],Batters[[#All],[PID]],0)),INDEX(Table3[[#All],[B]],MATCH(Table5[[#This Row],[PID]],Table3[[#All],[PID]],0)))</f>
        <v>R</v>
      </c>
      <c r="I544" s="54" t="str">
        <f>IF($C544="B",INDEX(Batters[[#All],[T]],MATCH(Table5[[#This Row],[PID]],Batters[[#All],[PID]],0)),INDEX(Table3[[#All],[T]],MATCH(Table5[[#This Row],[PID]],Table3[[#All],[PID]],0)))</f>
        <v>R</v>
      </c>
      <c r="J544" s="54" t="str">
        <f>IF($C544="B",INDEX(Batters[[#All],[WE]],MATCH(Table5[[#This Row],[PID]],Batters[[#All],[PID]],0)),INDEX(Table3[[#All],[WE]],MATCH(Table5[[#This Row],[PID]],Table3[[#All],[PID]],0)))</f>
        <v>Normal</v>
      </c>
      <c r="K544" s="54" t="str">
        <f>IF($C544="B",INDEX(Batters[[#All],[INT]],MATCH(Table5[[#This Row],[PID]],Batters[[#All],[PID]],0)),INDEX(Table3[[#All],[INT]],MATCH(Table5[[#This Row],[PID]],Table3[[#All],[PID]],0)))</f>
        <v>Normal</v>
      </c>
      <c r="L544" s="62">
        <f>IF($C544="B",INDEX(Batters[[#All],[CON P]],MATCH(Table5[[#This Row],[PID]],Batters[[#All],[PID]],0)),INDEX(Table3[[#All],[STU P]],MATCH(Table5[[#This Row],[PID]],Table3[[#All],[PID]],0)))</f>
        <v>3</v>
      </c>
      <c r="M544" s="58">
        <f>IF($C544="B",INDEX(Batters[[#All],[GAP P]],MATCH(Table5[[#This Row],[PID]],Batters[[#All],[PID]],0)),INDEX(Table3[[#All],[MOV P]],MATCH(Table5[[#This Row],[PID]],Table3[[#All],[PID]],0)))</f>
        <v>4</v>
      </c>
      <c r="N544" s="58">
        <f>IF($C544="B",INDEX(Batters[[#All],[POW P]],MATCH(Table5[[#This Row],[PID]],Batters[[#All],[PID]],0)),INDEX(Table3[[#All],[CON P]],MATCH(Table5[[#This Row],[PID]],Table3[[#All],[PID]],0)))</f>
        <v>5</v>
      </c>
      <c r="O544" s="58">
        <f>IF($C544="B",INDEX(Batters[[#All],[EYE P]],MATCH(Table5[[#This Row],[PID]],Batters[[#All],[PID]],0)),INDEX(Table3[[#All],[VELO]],MATCH(Table5[[#This Row],[PID]],Table3[[#All],[PID]],0)))</f>
        <v>5</v>
      </c>
      <c r="P544" s="58">
        <f>IF($C544="B",INDEX(Batters[[#All],[K P]],MATCH(Table5[[#This Row],[PID]],Batters[[#All],[PID]],0)),INDEX(Table3[[#All],[STM]],MATCH(Table5[[#This Row],[PID]],Table3[[#All],[PID]],0)))</f>
        <v>3</v>
      </c>
      <c r="Q544" s="63">
        <f>IF($C544="B",INDEX(Batters[[#All],[Tot]],MATCH(Table5[[#This Row],[PID]],Batters[[#All],[PID]],0)),INDEX(Table3[[#All],[Tot]],MATCH(Table5[[#This Row],[PID]],Table3[[#All],[PID]],0)))</f>
        <v>38.873445677804405</v>
      </c>
      <c r="R544" s="54">
        <f>IF($C544="B",INDEX(Batters[[#All],[zScore]],MATCH(Table5[[#This Row],[PID]],Batters[[#All],[PID]],0)),INDEX(Table3[[#All],[zScore]],MATCH(Table5[[#This Row],[PID]],Table3[[#All],[PID]],0)))</f>
        <v>-0.25948155368001802</v>
      </c>
      <c r="S544" s="60" t="str">
        <f>IF($C544="B",INDEX(Batters[[#All],[DEM]],MATCH(Table5[[#This Row],[PID]],Batters[[#All],[PID]],0)),INDEX(Table3[[#All],[DEM]],MATCH(Table5[[#This Row],[PID]],Table3[[#All],[PID]],0)))</f>
        <v>-</v>
      </c>
      <c r="T544" s="64">
        <f>IF($C544="B",VLOOKUP($A544,Bat!$A$4:$AU$1417,46,FALSE),VLOOKUP($A544,Pit!$A$4:$BD$570,55,FALSE))</f>
        <v>0</v>
      </c>
      <c r="U544" s="52">
        <f>IF($C544="B",VLOOKUP($A544,Bat!$A$4:$BA$1417,47,FALSE),VLOOKUP($A544,Pit!$A$4:$BF$570,56,FALSE))</f>
        <v>0</v>
      </c>
      <c r="V544" s="52">
        <f>IF($C544="B",VLOOKUP($A544,Bat!$A$4:$BA$1417,48,FALSE),VLOOKUP($A544,Pit!$A$4:$BF$570,57,FALSE))</f>
        <v>0</v>
      </c>
      <c r="W544" s="52">
        <f>Table5[[#This Row],[posRnk]]+Table5[[#This Row],[zRnk]]+IF($W$3&lt;&gt;Table5[[#This Row],[Type]],50,0)</f>
        <v>590</v>
      </c>
      <c r="X544" s="53">
        <f>RANK(Table5[[#This Row],[zScore]],Table5[[#All],[zScore]])</f>
        <v>540</v>
      </c>
      <c r="Y544" s="52" t="str">
        <f>IFERROR(INDEX(DraftResults[[#All],[OVR]],MATCH(Table5[[#This Row],[PID]],DraftResults[[#All],[Player ID]],0)),"")</f>
        <v/>
      </c>
      <c r="Z5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4" s="52" t="str">
        <f>IFERROR(INDEX(DraftResults[[#All],[Pick in Round]],MATCH(Table5[[#This Row],[PID]],DraftResults[[#All],[Player ID]],0)),"")</f>
        <v/>
      </c>
      <c r="AB544" s="52" t="str">
        <f>IFERROR(INDEX(DraftResults[[#All],[Team Name]],MATCH(Table5[[#This Row],[PID]],DraftResults[[#All],[Player ID]],0)),"")</f>
        <v/>
      </c>
      <c r="AC544" s="52" t="str">
        <f>IF(Table5[[#This Row],[Ovr]]="","",IF(Table5[[#This Row],[cmbList]]="","",Table5[[#This Row],[cmbList]]-Table5[[#This Row],[Ovr]]))</f>
        <v/>
      </c>
      <c r="AD544" s="56" t="str">
        <f>IF(ISERROR(VLOOKUP($AB544&amp;"-"&amp;$E544&amp;" "&amp;F544,Bonuses!$B$1:$G$1006,4,FALSE)),"",INT(VLOOKUP($AB544&amp;"-"&amp;$E544&amp;" "&amp;$F544,Bonuses!$B$1:$G$1006,4,FALSE)))</f>
        <v/>
      </c>
      <c r="AE5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5" spans="1:31" s="52" customFormat="1" x14ac:dyDescent="0.25">
      <c r="A545" s="52">
        <v>12505</v>
      </c>
      <c r="B545" s="52">
        <f>COUNTIF(Table5[PID],A545)</f>
        <v>1</v>
      </c>
      <c r="C545" s="52" t="str">
        <f>IF(COUNTIF(Table3[[#All],[PID]],A545)&gt;0,"P","B")</f>
        <v>B</v>
      </c>
      <c r="D545" s="61" t="str">
        <f>IF($C545="B",INDEX(Batters[[#All],[POS]],MATCH(Table5[[#This Row],[PID]],Batters[[#All],[PID]],0)),INDEX(Table3[[#All],[POS]],MATCH(Table5[[#This Row],[PID]],Table3[[#All],[PID]],0)))</f>
        <v>1B</v>
      </c>
      <c r="E545" s="54" t="str">
        <f>IF($C545="B",INDEX(Batters[[#All],[First]],MATCH(Table5[[#This Row],[PID]],Batters[[#All],[PID]],0)),INDEX(Table3[[#All],[First]],MATCH(Table5[[#This Row],[PID]],Table3[[#All],[PID]],0)))</f>
        <v>Quinn</v>
      </c>
      <c r="F545" s="52" t="str">
        <f>IF($C545="B",INDEX(Batters[[#All],[Last]],MATCH(A545,Batters[[#All],[PID]],0)),INDEX(Table3[[#All],[Last]],MATCH(A545,Table3[[#All],[PID]],0)))</f>
        <v>Moore</v>
      </c>
      <c r="G545" s="58">
        <f>IF($C545="B",INDEX(Batters[[#All],[Age]],MATCH(Table5[[#This Row],[PID]],Batters[[#All],[PID]],0)),INDEX(Table3[[#All],[Age]],MATCH(Table5[[#This Row],[PID]],Table3[[#All],[PID]],0)))</f>
        <v>18</v>
      </c>
      <c r="H545" s="54" t="str">
        <f>IF($C545="B",INDEX(Batters[[#All],[B]],MATCH(Table5[[#This Row],[PID]],Batters[[#All],[PID]],0)),INDEX(Table3[[#All],[B]],MATCH(Table5[[#This Row],[PID]],Table3[[#All],[PID]],0)))</f>
        <v>R</v>
      </c>
      <c r="I545" s="54" t="str">
        <f>IF($C545="B",INDEX(Batters[[#All],[T]],MATCH(Table5[[#This Row],[PID]],Batters[[#All],[PID]],0)),INDEX(Table3[[#All],[T]],MATCH(Table5[[#This Row],[PID]],Table3[[#All],[PID]],0)))</f>
        <v>R</v>
      </c>
      <c r="J545" s="54" t="str">
        <f>IF($C545="B",INDEX(Batters[[#All],[WE]],MATCH(Table5[[#This Row],[PID]],Batters[[#All],[PID]],0)),INDEX(Table3[[#All],[WE]],MATCH(Table5[[#This Row],[PID]],Table3[[#All],[PID]],0)))</f>
        <v>Normal</v>
      </c>
      <c r="K545" s="54" t="str">
        <f>IF($C545="B",INDEX(Batters[[#All],[INT]],MATCH(Table5[[#This Row],[PID]],Batters[[#All],[PID]],0)),INDEX(Table3[[#All],[INT]],MATCH(Table5[[#This Row],[PID]],Table3[[#All],[PID]],0)))</f>
        <v>Normal</v>
      </c>
      <c r="L545" s="62">
        <f>IF($C545="B",INDEX(Batters[[#All],[CON P]],MATCH(Table5[[#This Row],[PID]],Batters[[#All],[PID]],0)),INDEX(Table3[[#All],[STU P]],MATCH(Table5[[#This Row],[PID]],Table3[[#All],[PID]],0)))</f>
        <v>2</v>
      </c>
      <c r="M545" s="58">
        <f>IF($C545="B",INDEX(Batters[[#All],[GAP P]],MATCH(Table5[[#This Row],[PID]],Batters[[#All],[PID]],0)),INDEX(Table3[[#All],[MOV P]],MATCH(Table5[[#This Row],[PID]],Table3[[#All],[PID]],0)))</f>
        <v>4</v>
      </c>
      <c r="N545" s="58">
        <f>IF($C545="B",INDEX(Batters[[#All],[POW P]],MATCH(Table5[[#This Row],[PID]],Batters[[#All],[PID]],0)),INDEX(Table3[[#All],[CON P]],MATCH(Table5[[#This Row],[PID]],Table3[[#All],[PID]],0)))</f>
        <v>4</v>
      </c>
      <c r="O545" s="58">
        <f>IF($C545="B",INDEX(Batters[[#All],[EYE P]],MATCH(Table5[[#This Row],[PID]],Batters[[#All],[PID]],0)),INDEX(Table3[[#All],[VELO]],MATCH(Table5[[#This Row],[PID]],Table3[[#All],[PID]],0)))</f>
        <v>6</v>
      </c>
      <c r="P545" s="58">
        <f>IF($C545="B",INDEX(Batters[[#All],[K P]],MATCH(Table5[[#This Row],[PID]],Batters[[#All],[PID]],0)),INDEX(Table3[[#All],[STM]],MATCH(Table5[[#This Row],[PID]],Table3[[#All],[PID]],0)))</f>
        <v>1</v>
      </c>
      <c r="Q545" s="63">
        <f>IF($C545="B",INDEX(Batters[[#All],[Tot]],MATCH(Table5[[#This Row],[PID]],Batters[[#All],[PID]],0)),INDEX(Table3[[#All],[Tot]],MATCH(Table5[[#This Row],[PID]],Table3[[#All],[PID]],0)))</f>
        <v>38.869364102629511</v>
      </c>
      <c r="R545" s="54">
        <f>IF($C545="B",INDEX(Batters[[#All],[zScore]],MATCH(Table5[[#This Row],[PID]],Batters[[#All],[PID]],0)),INDEX(Table3[[#All],[zScore]],MATCH(Table5[[#This Row],[PID]],Table3[[#All],[PID]],0)))</f>
        <v>-0.26019967970465369</v>
      </c>
      <c r="S545" s="60" t="str">
        <f>IF($C545="B",INDEX(Batters[[#All],[DEM]],MATCH(Table5[[#This Row],[PID]],Batters[[#All],[PID]],0)),INDEX(Table3[[#All],[DEM]],MATCH(Table5[[#This Row],[PID]],Table3[[#All],[PID]],0)))</f>
        <v>$70k</v>
      </c>
      <c r="T545" s="64">
        <f>IF($C545="B",VLOOKUP($A545,Bat!$A$4:$AU$1417,46,FALSE),VLOOKUP($A545,Pit!$A$4:$BD$570,55,FALSE))</f>
        <v>0</v>
      </c>
      <c r="U545" s="52">
        <f>IF($C545="B",VLOOKUP($A545,Bat!$A$4:$BA$1417,47,FALSE),VLOOKUP($A545,Pit!$A$4:$BF$570,56,FALSE))</f>
        <v>0</v>
      </c>
      <c r="V545" s="52">
        <f>IF($C545="B",VLOOKUP($A545,Bat!$A$4:$BA$1417,48,FALSE),VLOOKUP($A545,Pit!$A$4:$BF$570,57,FALSE))</f>
        <v>0</v>
      </c>
      <c r="W545" s="52">
        <f>Table5[[#This Row],[posRnk]]+Table5[[#This Row],[zRnk]]+IF($W$3&lt;&gt;Table5[[#This Row],[Type]],50,0)</f>
        <v>591</v>
      </c>
      <c r="X545" s="53">
        <f>RANK(Table5[[#This Row],[zScore]],Table5[[#All],[zScore]])</f>
        <v>541</v>
      </c>
      <c r="Y545" s="52" t="str">
        <f>IFERROR(INDEX(DraftResults[[#All],[OVR]],MATCH(Table5[[#This Row],[PID]],DraftResults[[#All],[Player ID]],0)),"")</f>
        <v/>
      </c>
      <c r="Z5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5" s="52" t="str">
        <f>IFERROR(INDEX(DraftResults[[#All],[Pick in Round]],MATCH(Table5[[#This Row],[PID]],DraftResults[[#All],[Player ID]],0)),"")</f>
        <v/>
      </c>
      <c r="AB545" s="52" t="str">
        <f>IFERROR(INDEX(DraftResults[[#All],[Team Name]],MATCH(Table5[[#This Row],[PID]],DraftResults[[#All],[Player ID]],0)),"")</f>
        <v/>
      </c>
      <c r="AC545" s="52" t="str">
        <f>IF(Table5[[#This Row],[Ovr]]="","",IF(Table5[[#This Row],[cmbList]]="","",Table5[[#This Row],[cmbList]]-Table5[[#This Row],[Ovr]]))</f>
        <v/>
      </c>
      <c r="AD545" s="56" t="str">
        <f>IF(ISERROR(VLOOKUP($AB545&amp;"-"&amp;$E545&amp;" "&amp;F545,Bonuses!$B$1:$G$1006,4,FALSE)),"",INT(VLOOKUP($AB545&amp;"-"&amp;$E545&amp;" "&amp;$F545,Bonuses!$B$1:$G$1006,4,FALSE)))</f>
        <v/>
      </c>
      <c r="AE5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6" spans="1:31" s="52" customFormat="1" x14ac:dyDescent="0.25">
      <c r="A546" s="52">
        <v>7261</v>
      </c>
      <c r="B546" s="52">
        <f>COUNTIF(Table5[PID],A546)</f>
        <v>1</v>
      </c>
      <c r="C546" s="52" t="str">
        <f>IF(COUNTIF(Table3[[#All],[PID]],A546)&gt;0,"P","B")</f>
        <v>P</v>
      </c>
      <c r="D546" s="61" t="str">
        <f>IF($C546="B",INDEX(Batters[[#All],[POS]],MATCH(Table5[[#This Row],[PID]],Batters[[#All],[PID]],0)),INDEX(Table3[[#All],[POS]],MATCH(Table5[[#This Row],[PID]],Table3[[#All],[PID]],0)))</f>
        <v>SP</v>
      </c>
      <c r="E546" s="54" t="str">
        <f>IF($C546="B",INDEX(Batters[[#All],[First]],MATCH(Table5[[#This Row],[PID]],Batters[[#All],[PID]],0)),INDEX(Table3[[#All],[First]],MATCH(Table5[[#This Row],[PID]],Table3[[#All],[PID]],0)))</f>
        <v>Kozue</v>
      </c>
      <c r="F546" s="52" t="str">
        <f>IF($C546="B",INDEX(Batters[[#All],[Last]],MATCH(A546,Batters[[#All],[PID]],0)),INDEX(Table3[[#All],[Last]],MATCH(A546,Table3[[#All],[PID]],0)))</f>
        <v>Oishi</v>
      </c>
      <c r="G546" s="58">
        <f>IF($C546="B",INDEX(Batters[[#All],[Age]],MATCH(Table5[[#This Row],[PID]],Batters[[#All],[PID]],0)),INDEX(Table3[[#All],[Age]],MATCH(Table5[[#This Row],[PID]],Table3[[#All],[PID]],0)))</f>
        <v>21</v>
      </c>
      <c r="H546" s="54" t="str">
        <f>IF($C546="B",INDEX(Batters[[#All],[B]],MATCH(Table5[[#This Row],[PID]],Batters[[#All],[PID]],0)),INDEX(Table3[[#All],[B]],MATCH(Table5[[#This Row],[PID]],Table3[[#All],[PID]],0)))</f>
        <v>R</v>
      </c>
      <c r="I546" s="54" t="str">
        <f>IF($C546="B",INDEX(Batters[[#All],[T]],MATCH(Table5[[#This Row],[PID]],Batters[[#All],[PID]],0)),INDEX(Table3[[#All],[T]],MATCH(Table5[[#This Row],[PID]],Table3[[#All],[PID]],0)))</f>
        <v>R</v>
      </c>
      <c r="J546" s="54" t="str">
        <f>IF($C546="B",INDEX(Batters[[#All],[WE]],MATCH(Table5[[#This Row],[PID]],Batters[[#All],[PID]],0)),INDEX(Table3[[#All],[WE]],MATCH(Table5[[#This Row],[PID]],Table3[[#All],[PID]],0)))</f>
        <v>Low</v>
      </c>
      <c r="K546" s="54" t="str">
        <f>IF($C546="B",INDEX(Batters[[#All],[INT]],MATCH(Table5[[#This Row],[PID]],Batters[[#All],[PID]],0)),INDEX(Table3[[#All],[INT]],MATCH(Table5[[#This Row],[PID]],Table3[[#All],[PID]],0)))</f>
        <v>Normal</v>
      </c>
      <c r="L546" s="62">
        <f>IF($C546="B",INDEX(Batters[[#All],[CON P]],MATCH(Table5[[#This Row],[PID]],Batters[[#All],[PID]],0)),INDEX(Table3[[#All],[STU P]],MATCH(Table5[[#This Row],[PID]],Table3[[#All],[PID]],0)))</f>
        <v>4</v>
      </c>
      <c r="M546" s="58">
        <f>IF($C546="B",INDEX(Batters[[#All],[GAP P]],MATCH(Table5[[#This Row],[PID]],Batters[[#All],[PID]],0)),INDEX(Table3[[#All],[MOV P]],MATCH(Table5[[#This Row],[PID]],Table3[[#All],[PID]],0)))</f>
        <v>2</v>
      </c>
      <c r="N546" s="58">
        <f>IF($C546="B",INDEX(Batters[[#All],[POW P]],MATCH(Table5[[#This Row],[PID]],Batters[[#All],[PID]],0)),INDEX(Table3[[#All],[CON P]],MATCH(Table5[[#This Row],[PID]],Table3[[#All],[PID]],0)))</f>
        <v>3</v>
      </c>
      <c r="O546" s="58" t="str">
        <f>IF($C546="B",INDEX(Batters[[#All],[EYE P]],MATCH(Table5[[#This Row],[PID]],Batters[[#All],[PID]],0)),INDEX(Table3[[#All],[VELO]],MATCH(Table5[[#This Row],[PID]],Table3[[#All],[PID]],0)))</f>
        <v>93-95 Mph</v>
      </c>
      <c r="P546" s="58">
        <f>IF($C546="B",INDEX(Batters[[#All],[K P]],MATCH(Table5[[#This Row],[PID]],Batters[[#All],[PID]],0)),INDEX(Table3[[#All],[STM]],MATCH(Table5[[#This Row],[PID]],Table3[[#All],[PID]],0)))</f>
        <v>7</v>
      </c>
      <c r="Q546" s="63">
        <f>IF($C546="B",INDEX(Batters[[#All],[Tot]],MATCH(Table5[[#This Row],[PID]],Batters[[#All],[PID]],0)),INDEX(Table3[[#All],[Tot]],MATCH(Table5[[#This Row],[PID]],Table3[[#All],[PID]],0)))</f>
        <v>29.876409472338789</v>
      </c>
      <c r="R546" s="54">
        <f>IF($C546="B",INDEX(Batters[[#All],[zScore]],MATCH(Table5[[#This Row],[PID]],Batters[[#All],[PID]],0)),INDEX(Table3[[#All],[zScore]],MATCH(Table5[[#This Row],[PID]],Table3[[#All],[PID]],0)))</f>
        <v>-0.26097581808565851</v>
      </c>
      <c r="S546" s="60" t="str">
        <f>IF($C546="B",INDEX(Batters[[#All],[DEM]],MATCH(Table5[[#This Row],[PID]],Batters[[#All],[PID]],0)),INDEX(Table3[[#All],[DEM]],MATCH(Table5[[#This Row],[PID]],Table3[[#All],[PID]],0)))</f>
        <v>-</v>
      </c>
      <c r="T546" s="64">
        <f>IF($C546="B",VLOOKUP($A546,Bat!$A$4:$AU$1417,46,FALSE),VLOOKUP($A546,Pit!$A$4:$BD$570,55,FALSE))</f>
        <v>0</v>
      </c>
      <c r="U546" s="52">
        <f>IF($C546="B",VLOOKUP($A546,Bat!$A$4:$BA$1417,47,FALSE),VLOOKUP($A546,Pit!$A$4:$BF$570,56,FALSE))</f>
        <v>0</v>
      </c>
      <c r="V546" s="52">
        <f>IF($C546="B",VLOOKUP($A546,Bat!$A$4:$BA$1417,48,FALSE),VLOOKUP($A546,Pit!$A$4:$BF$570,57,FALSE))</f>
        <v>0</v>
      </c>
      <c r="W546" s="52">
        <f>Table5[[#This Row],[posRnk]]+Table5[[#This Row],[zRnk]]+IF($W$3&lt;&gt;Table5[[#This Row],[Type]],50,0)</f>
        <v>592</v>
      </c>
      <c r="X546" s="53">
        <f>RANK(Table5[[#This Row],[zScore]],Table5[[#All],[zScore]])</f>
        <v>542</v>
      </c>
      <c r="Y546" s="52" t="str">
        <f>IFERROR(INDEX(DraftResults[[#All],[OVR]],MATCH(Table5[[#This Row],[PID]],DraftResults[[#All],[Player ID]],0)),"")</f>
        <v/>
      </c>
      <c r="Z5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6" s="52" t="str">
        <f>IFERROR(INDEX(DraftResults[[#All],[Pick in Round]],MATCH(Table5[[#This Row],[PID]],DraftResults[[#All],[Player ID]],0)),"")</f>
        <v/>
      </c>
      <c r="AB546" s="52" t="str">
        <f>IFERROR(INDEX(DraftResults[[#All],[Team Name]],MATCH(Table5[[#This Row],[PID]],DraftResults[[#All],[Player ID]],0)),"")</f>
        <v/>
      </c>
      <c r="AC546" s="52" t="str">
        <f>IF(Table5[[#This Row],[Ovr]]="","",IF(Table5[[#This Row],[cmbList]]="","",Table5[[#This Row],[cmbList]]-Table5[[#This Row],[Ovr]]))</f>
        <v/>
      </c>
      <c r="AD546" s="56" t="str">
        <f>IF(ISERROR(VLOOKUP($AB546&amp;"-"&amp;$E546&amp;" "&amp;F546,Bonuses!$B$1:$G$1006,4,FALSE)),"",INT(VLOOKUP($AB546&amp;"-"&amp;$E546&amp;" "&amp;$F546,Bonuses!$B$1:$G$1006,4,FALSE)))</f>
        <v/>
      </c>
      <c r="AE5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7" spans="1:31" s="52" customFormat="1" x14ac:dyDescent="0.25">
      <c r="A547" s="52">
        <v>8216</v>
      </c>
      <c r="B547" s="52">
        <f>COUNTIF(Table5[PID],A547)</f>
        <v>1</v>
      </c>
      <c r="C547" s="52" t="str">
        <f>IF(COUNTIF(Table3[[#All],[PID]],A547)&gt;0,"P","B")</f>
        <v>P</v>
      </c>
      <c r="D547" s="61" t="str">
        <f>IF($C547="B",INDEX(Batters[[#All],[POS]],MATCH(Table5[[#This Row],[PID]],Batters[[#All],[PID]],0)),INDEX(Table3[[#All],[POS]],MATCH(Table5[[#This Row],[PID]],Table3[[#All],[PID]],0)))</f>
        <v>RP</v>
      </c>
      <c r="E547" s="54" t="str">
        <f>IF($C547="B",INDEX(Batters[[#All],[First]],MATCH(Table5[[#This Row],[PID]],Batters[[#All],[PID]],0)),INDEX(Table3[[#All],[First]],MATCH(Table5[[#This Row],[PID]],Table3[[#All],[PID]],0)))</f>
        <v>Chris</v>
      </c>
      <c r="F547" s="52" t="str">
        <f>IF($C547="B",INDEX(Batters[[#All],[Last]],MATCH(A547,Batters[[#All],[PID]],0)),INDEX(Table3[[#All],[Last]],MATCH(A547,Table3[[#All],[PID]],0)))</f>
        <v>Wright</v>
      </c>
      <c r="G547" s="58">
        <f>IF($C547="B",INDEX(Batters[[#All],[Age]],MATCH(Table5[[#This Row],[PID]],Batters[[#All],[PID]],0)),INDEX(Table3[[#All],[Age]],MATCH(Table5[[#This Row],[PID]],Table3[[#All],[PID]],0)))</f>
        <v>18</v>
      </c>
      <c r="H547" s="54" t="str">
        <f>IF($C547="B",INDEX(Batters[[#All],[B]],MATCH(Table5[[#This Row],[PID]],Batters[[#All],[PID]],0)),INDEX(Table3[[#All],[B]],MATCH(Table5[[#This Row],[PID]],Table3[[#All],[PID]],0)))</f>
        <v>L</v>
      </c>
      <c r="I547" s="54" t="str">
        <f>IF($C547="B",INDEX(Batters[[#All],[T]],MATCH(Table5[[#This Row],[PID]],Batters[[#All],[PID]],0)),INDEX(Table3[[#All],[T]],MATCH(Table5[[#This Row],[PID]],Table3[[#All],[PID]],0)))</f>
        <v>L</v>
      </c>
      <c r="J547" s="54" t="str">
        <f>IF($C547="B",INDEX(Batters[[#All],[WE]],MATCH(Table5[[#This Row],[PID]],Batters[[#All],[PID]],0)),INDEX(Table3[[#All],[WE]],MATCH(Table5[[#This Row],[PID]],Table3[[#All],[PID]],0)))</f>
        <v>Low</v>
      </c>
      <c r="K547" s="54" t="str">
        <f>IF($C547="B",INDEX(Batters[[#All],[INT]],MATCH(Table5[[#This Row],[PID]],Batters[[#All],[PID]],0)),INDEX(Table3[[#All],[INT]],MATCH(Table5[[#This Row],[PID]],Table3[[#All],[PID]],0)))</f>
        <v>Normal</v>
      </c>
      <c r="L547" s="62">
        <f>IF($C547="B",INDEX(Batters[[#All],[CON P]],MATCH(Table5[[#This Row],[PID]],Batters[[#All],[PID]],0)),INDEX(Table3[[#All],[STU P]],MATCH(Table5[[#This Row],[PID]],Table3[[#All],[PID]],0)))</f>
        <v>4</v>
      </c>
      <c r="M547" s="58">
        <f>IF($C547="B",INDEX(Batters[[#All],[GAP P]],MATCH(Table5[[#This Row],[PID]],Batters[[#All],[PID]],0)),INDEX(Table3[[#All],[MOV P]],MATCH(Table5[[#This Row],[PID]],Table3[[#All],[PID]],0)))</f>
        <v>2</v>
      </c>
      <c r="N547" s="58">
        <f>IF($C547="B",INDEX(Batters[[#All],[POW P]],MATCH(Table5[[#This Row],[PID]],Batters[[#All],[PID]],0)),INDEX(Table3[[#All],[CON P]],MATCH(Table5[[#This Row],[PID]],Table3[[#All],[PID]],0)))</f>
        <v>2</v>
      </c>
      <c r="O547" s="58" t="str">
        <f>IF($C547="B",INDEX(Batters[[#All],[EYE P]],MATCH(Table5[[#This Row],[PID]],Batters[[#All],[PID]],0)),INDEX(Table3[[#All],[VELO]],MATCH(Table5[[#This Row],[PID]],Table3[[#All],[PID]],0)))</f>
        <v>88-90 Mph</v>
      </c>
      <c r="P547" s="58">
        <f>IF($C547="B",INDEX(Batters[[#All],[K P]],MATCH(Table5[[#This Row],[PID]],Batters[[#All],[PID]],0)),INDEX(Table3[[#All],[STM]],MATCH(Table5[[#This Row],[PID]],Table3[[#All],[PID]],0)))</f>
        <v>6</v>
      </c>
      <c r="Q547" s="63">
        <f>IF($C547="B",INDEX(Batters[[#All],[Tot]],MATCH(Table5[[#This Row],[PID]],Batters[[#All],[PID]],0)),INDEX(Table3[[#All],[Tot]],MATCH(Table5[[#This Row],[PID]],Table3[[#All],[PID]],0)))</f>
        <v>29.864351557812086</v>
      </c>
      <c r="R547" s="54">
        <f>IF($C547="B",INDEX(Batters[[#All],[zScore]],MATCH(Table5[[#This Row],[PID]],Batters[[#All],[PID]],0)),INDEX(Table3[[#All],[zScore]],MATCH(Table5[[#This Row],[PID]],Table3[[#All],[PID]],0)))</f>
        <v>-0.26208158038436707</v>
      </c>
      <c r="S547" s="60" t="str">
        <f>IF($C547="B",INDEX(Batters[[#All],[DEM]],MATCH(Table5[[#This Row],[PID]],Batters[[#All],[PID]],0)),INDEX(Table3[[#All],[DEM]],MATCH(Table5[[#This Row],[PID]],Table3[[#All],[PID]],0)))</f>
        <v>$65k</v>
      </c>
      <c r="T547" s="64">
        <f>IF($C547="B",VLOOKUP($A547,Bat!$A$4:$AU$1417,46,FALSE),VLOOKUP($A547,Pit!$A$4:$BD$570,55,FALSE))</f>
        <v>0</v>
      </c>
      <c r="U547" s="52">
        <f>IF($C547="B",VLOOKUP($A547,Bat!$A$4:$BA$1417,47,FALSE),VLOOKUP($A547,Pit!$A$4:$BF$570,56,FALSE))</f>
        <v>0</v>
      </c>
      <c r="V547" s="52">
        <f>IF($C547="B",VLOOKUP($A547,Bat!$A$4:$BA$1417,48,FALSE),VLOOKUP($A547,Pit!$A$4:$BF$570,57,FALSE))</f>
        <v>0</v>
      </c>
      <c r="W547" s="52">
        <f>Table5[[#This Row],[posRnk]]+Table5[[#This Row],[zRnk]]+IF($W$3&lt;&gt;Table5[[#This Row],[Type]],50,0)</f>
        <v>593</v>
      </c>
      <c r="X547" s="53">
        <f>RANK(Table5[[#This Row],[zScore]],Table5[[#All],[zScore]])</f>
        <v>543</v>
      </c>
      <c r="Y547" s="52" t="str">
        <f>IFERROR(INDEX(DraftResults[[#All],[OVR]],MATCH(Table5[[#This Row],[PID]],DraftResults[[#All],[Player ID]],0)),"")</f>
        <v/>
      </c>
      <c r="Z5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7" s="52" t="str">
        <f>IFERROR(INDEX(DraftResults[[#All],[Pick in Round]],MATCH(Table5[[#This Row],[PID]],DraftResults[[#All],[Player ID]],0)),"")</f>
        <v/>
      </c>
      <c r="AB547" s="52" t="str">
        <f>IFERROR(INDEX(DraftResults[[#All],[Team Name]],MATCH(Table5[[#This Row],[PID]],DraftResults[[#All],[Player ID]],0)),"")</f>
        <v/>
      </c>
      <c r="AC547" s="52" t="str">
        <f>IF(Table5[[#This Row],[Ovr]]="","",IF(Table5[[#This Row],[cmbList]]="","",Table5[[#This Row],[cmbList]]-Table5[[#This Row],[Ovr]]))</f>
        <v/>
      </c>
      <c r="AD547" s="56" t="str">
        <f>IF(ISERROR(VLOOKUP($AB547&amp;"-"&amp;$E547&amp;" "&amp;F547,Bonuses!$B$1:$G$1006,4,FALSE)),"",INT(VLOOKUP($AB547&amp;"-"&amp;$E547&amp;" "&amp;$F547,Bonuses!$B$1:$G$1006,4,FALSE)))</f>
        <v/>
      </c>
      <c r="AE5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8" spans="1:31" s="52" customFormat="1" x14ac:dyDescent="0.25">
      <c r="A548" s="52">
        <v>8963</v>
      </c>
      <c r="B548" s="52">
        <f>COUNTIF(Table5[PID],A548)</f>
        <v>1</v>
      </c>
      <c r="C548" s="52" t="str">
        <f>IF(COUNTIF(Table3[[#All],[PID]],A548)&gt;0,"P","B")</f>
        <v>P</v>
      </c>
      <c r="D548" s="61" t="str">
        <f>IF($C548="B",INDEX(Batters[[#All],[POS]],MATCH(Table5[[#This Row],[PID]],Batters[[#All],[PID]],0)),INDEX(Table3[[#All],[POS]],MATCH(Table5[[#This Row],[PID]],Table3[[#All],[PID]],0)))</f>
        <v>RP</v>
      </c>
      <c r="E548" s="54" t="str">
        <f>IF($C548="B",INDEX(Batters[[#All],[First]],MATCH(Table5[[#This Row],[PID]],Batters[[#All],[PID]],0)),INDEX(Table3[[#All],[First]],MATCH(Table5[[#This Row],[PID]],Table3[[#All],[PID]],0)))</f>
        <v>Alberto</v>
      </c>
      <c r="F548" s="52" t="str">
        <f>IF($C548="B",INDEX(Batters[[#All],[Last]],MATCH(A548,Batters[[#All],[PID]],0)),INDEX(Table3[[#All],[Last]],MATCH(A548,Table3[[#All],[PID]],0)))</f>
        <v>Acosta</v>
      </c>
      <c r="G548" s="58">
        <f>IF($C548="B",INDEX(Batters[[#All],[Age]],MATCH(Table5[[#This Row],[PID]],Batters[[#All],[PID]],0)),INDEX(Table3[[#All],[Age]],MATCH(Table5[[#This Row],[PID]],Table3[[#All],[PID]],0)))</f>
        <v>18</v>
      </c>
      <c r="H548" s="54" t="str">
        <f>IF($C548="B",INDEX(Batters[[#All],[B]],MATCH(Table5[[#This Row],[PID]],Batters[[#All],[PID]],0)),INDEX(Table3[[#All],[B]],MATCH(Table5[[#This Row],[PID]],Table3[[#All],[PID]],0)))</f>
        <v>S</v>
      </c>
      <c r="I548" s="54" t="str">
        <f>IF($C548="B",INDEX(Batters[[#All],[T]],MATCH(Table5[[#This Row],[PID]],Batters[[#All],[PID]],0)),INDEX(Table3[[#All],[T]],MATCH(Table5[[#This Row],[PID]],Table3[[#All],[PID]],0)))</f>
        <v>R</v>
      </c>
      <c r="J548" s="54" t="str">
        <f>IF($C548="B",INDEX(Batters[[#All],[WE]],MATCH(Table5[[#This Row],[PID]],Batters[[#All],[PID]],0)),INDEX(Table3[[#All],[WE]],MATCH(Table5[[#This Row],[PID]],Table3[[#All],[PID]],0)))</f>
        <v>Normal</v>
      </c>
      <c r="K548" s="54" t="str">
        <f>IF($C548="B",INDEX(Batters[[#All],[INT]],MATCH(Table5[[#This Row],[PID]],Batters[[#All],[PID]],0)),INDEX(Table3[[#All],[INT]],MATCH(Table5[[#This Row],[PID]],Table3[[#All],[PID]],0)))</f>
        <v>Normal</v>
      </c>
      <c r="L548" s="62">
        <f>IF($C548="B",INDEX(Batters[[#All],[CON P]],MATCH(Table5[[#This Row],[PID]],Batters[[#All],[PID]],0)),INDEX(Table3[[#All],[STU P]],MATCH(Table5[[#This Row],[PID]],Table3[[#All],[PID]],0)))</f>
        <v>5</v>
      </c>
      <c r="M548" s="58">
        <f>IF($C548="B",INDEX(Batters[[#All],[GAP P]],MATCH(Table5[[#This Row],[PID]],Batters[[#All],[PID]],0)),INDEX(Table3[[#All],[MOV P]],MATCH(Table5[[#This Row],[PID]],Table3[[#All],[PID]],0)))</f>
        <v>1</v>
      </c>
      <c r="N548" s="58">
        <f>IF($C548="B",INDEX(Batters[[#All],[POW P]],MATCH(Table5[[#This Row],[PID]],Batters[[#All],[PID]],0)),INDEX(Table3[[#All],[CON P]],MATCH(Table5[[#This Row],[PID]],Table3[[#All],[PID]],0)))</f>
        <v>2</v>
      </c>
      <c r="O548" s="58" t="str">
        <f>IF($C548="B",INDEX(Batters[[#All],[EYE P]],MATCH(Table5[[#This Row],[PID]],Batters[[#All],[PID]],0)),INDEX(Table3[[#All],[VELO]],MATCH(Table5[[#This Row],[PID]],Table3[[#All],[PID]],0)))</f>
        <v>92-94 Mph</v>
      </c>
      <c r="P548" s="58">
        <f>IF($C548="B",INDEX(Batters[[#All],[K P]],MATCH(Table5[[#This Row],[PID]],Batters[[#All],[PID]],0)),INDEX(Table3[[#All],[STM]],MATCH(Table5[[#This Row],[PID]],Table3[[#All],[PID]],0)))</f>
        <v>4</v>
      </c>
      <c r="Q548" s="63">
        <f>IF($C548="B",INDEX(Batters[[#All],[Tot]],MATCH(Table5[[#This Row],[PID]],Batters[[#All],[PID]],0)),INDEX(Table3[[#All],[Tot]],MATCH(Table5[[#This Row],[PID]],Table3[[#All],[PID]],0)))</f>
        <v>29.860540506788183</v>
      </c>
      <c r="R548" s="54">
        <f>IF($C548="B",INDEX(Batters[[#All],[zScore]],MATCH(Table5[[#This Row],[PID]],Batters[[#All],[PID]],0)),INDEX(Table3[[#All],[zScore]],MATCH(Table5[[#This Row],[PID]],Table3[[#All],[PID]],0)))</f>
        <v>-0.26243107005203331</v>
      </c>
      <c r="S548" s="60" t="str">
        <f>IF($C548="B",INDEX(Batters[[#All],[DEM]],MATCH(Table5[[#This Row],[PID]],Batters[[#All],[PID]],0)),INDEX(Table3[[#All],[DEM]],MATCH(Table5[[#This Row],[PID]],Table3[[#All],[PID]],0)))</f>
        <v>$38k</v>
      </c>
      <c r="T548" s="64">
        <f>IF($C548="B",VLOOKUP($A548,Bat!$A$4:$AU$1417,46,FALSE),VLOOKUP($A548,Pit!$A$4:$BD$570,55,FALSE))</f>
        <v>0</v>
      </c>
      <c r="U548" s="52">
        <f>IF($C548="B",VLOOKUP($A548,Bat!$A$4:$BA$1417,47,FALSE),VLOOKUP($A548,Pit!$A$4:$BF$570,56,FALSE))</f>
        <v>0</v>
      </c>
      <c r="V548" s="52">
        <f>IF($C548="B",VLOOKUP($A548,Bat!$A$4:$BA$1417,48,FALSE),VLOOKUP($A548,Pit!$A$4:$BF$570,57,FALSE))</f>
        <v>0</v>
      </c>
      <c r="W548" s="52">
        <f>Table5[[#This Row],[posRnk]]+Table5[[#This Row],[zRnk]]+IF($W$3&lt;&gt;Table5[[#This Row],[Type]],50,0)</f>
        <v>594</v>
      </c>
      <c r="X548" s="53">
        <f>RANK(Table5[[#This Row],[zScore]],Table5[[#All],[zScore]])</f>
        <v>544</v>
      </c>
      <c r="Y548" s="52" t="str">
        <f>IFERROR(INDEX(DraftResults[[#All],[OVR]],MATCH(Table5[[#This Row],[PID]],DraftResults[[#All],[Player ID]],0)),"")</f>
        <v/>
      </c>
      <c r="Z5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8" s="52" t="str">
        <f>IFERROR(INDEX(DraftResults[[#All],[Pick in Round]],MATCH(Table5[[#This Row],[PID]],DraftResults[[#All],[Player ID]],0)),"")</f>
        <v/>
      </c>
      <c r="AB548" s="52" t="str">
        <f>IFERROR(INDEX(DraftResults[[#All],[Team Name]],MATCH(Table5[[#This Row],[PID]],DraftResults[[#All],[Player ID]],0)),"")</f>
        <v/>
      </c>
      <c r="AC548" s="52" t="str">
        <f>IF(Table5[[#This Row],[Ovr]]="","",IF(Table5[[#This Row],[cmbList]]="","",Table5[[#This Row],[cmbList]]-Table5[[#This Row],[Ovr]]))</f>
        <v/>
      </c>
      <c r="AD548" s="56" t="str">
        <f>IF(ISERROR(VLOOKUP($AB548&amp;"-"&amp;$E548&amp;" "&amp;F548,Bonuses!$B$1:$G$1006,4,FALSE)),"",INT(VLOOKUP($AB548&amp;"-"&amp;$E548&amp;" "&amp;$F548,Bonuses!$B$1:$G$1006,4,FALSE)))</f>
        <v/>
      </c>
      <c r="AE5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9" spans="1:31" s="52" customFormat="1" x14ac:dyDescent="0.25">
      <c r="A549" s="52">
        <v>9931</v>
      </c>
      <c r="B549" s="52">
        <f>COUNTIF(Table5[PID],A549)</f>
        <v>1</v>
      </c>
      <c r="C549" s="52" t="str">
        <f>IF(COUNTIF(Table3[[#All],[PID]],A549)&gt;0,"P","B")</f>
        <v>P</v>
      </c>
      <c r="D549" s="61" t="str">
        <f>IF($C549="B",INDEX(Batters[[#All],[POS]],MATCH(Table5[[#This Row],[PID]],Batters[[#All],[PID]],0)),INDEX(Table3[[#All],[POS]],MATCH(Table5[[#This Row],[PID]],Table3[[#All],[PID]],0)))</f>
        <v>RP</v>
      </c>
      <c r="E549" s="54" t="str">
        <f>IF($C549="B",INDEX(Batters[[#All],[First]],MATCH(Table5[[#This Row],[PID]],Batters[[#All],[PID]],0)),INDEX(Table3[[#All],[First]],MATCH(Table5[[#This Row],[PID]],Table3[[#All],[PID]],0)))</f>
        <v>Munenori</v>
      </c>
      <c r="F549" s="52" t="str">
        <f>IF($C549="B",INDEX(Batters[[#All],[Last]],MATCH(A549,Batters[[#All],[PID]],0)),INDEX(Table3[[#All],[Last]],MATCH(A549,Table3[[#All],[PID]],0)))</f>
        <v>Fujimoto</v>
      </c>
      <c r="G549" s="58">
        <f>IF($C549="B",INDEX(Batters[[#All],[Age]],MATCH(Table5[[#This Row],[PID]],Batters[[#All],[PID]],0)),INDEX(Table3[[#All],[Age]],MATCH(Table5[[#This Row],[PID]],Table3[[#All],[PID]],0)))</f>
        <v>18</v>
      </c>
      <c r="H549" s="54" t="str">
        <f>IF($C549="B",INDEX(Batters[[#All],[B]],MATCH(Table5[[#This Row],[PID]],Batters[[#All],[PID]],0)),INDEX(Table3[[#All],[B]],MATCH(Table5[[#This Row],[PID]],Table3[[#All],[PID]],0)))</f>
        <v>R</v>
      </c>
      <c r="I549" s="54" t="str">
        <f>IF($C549="B",INDEX(Batters[[#All],[T]],MATCH(Table5[[#This Row],[PID]],Batters[[#All],[PID]],0)),INDEX(Table3[[#All],[T]],MATCH(Table5[[#This Row],[PID]],Table3[[#All],[PID]],0)))</f>
        <v>R</v>
      </c>
      <c r="J549" s="54" t="str">
        <f>IF($C549="B",INDEX(Batters[[#All],[WE]],MATCH(Table5[[#This Row],[PID]],Batters[[#All],[PID]],0)),INDEX(Table3[[#All],[WE]],MATCH(Table5[[#This Row],[PID]],Table3[[#All],[PID]],0)))</f>
        <v>High</v>
      </c>
      <c r="K549" s="54" t="str">
        <f>IF($C549="B",INDEX(Batters[[#All],[INT]],MATCH(Table5[[#This Row],[PID]],Batters[[#All],[PID]],0)),INDEX(Table3[[#All],[INT]],MATCH(Table5[[#This Row],[PID]],Table3[[#All],[PID]],0)))</f>
        <v>Normal</v>
      </c>
      <c r="L549" s="62">
        <f>IF($C549="B",INDEX(Batters[[#All],[CON P]],MATCH(Table5[[#This Row],[PID]],Batters[[#All],[PID]],0)),INDEX(Table3[[#All],[STU P]],MATCH(Table5[[#This Row],[PID]],Table3[[#All],[PID]],0)))</f>
        <v>5</v>
      </c>
      <c r="M549" s="58">
        <f>IF($C549="B",INDEX(Batters[[#All],[GAP P]],MATCH(Table5[[#This Row],[PID]],Batters[[#All],[PID]],0)),INDEX(Table3[[#All],[MOV P]],MATCH(Table5[[#This Row],[PID]],Table3[[#All],[PID]],0)))</f>
        <v>1</v>
      </c>
      <c r="N549" s="58">
        <f>IF($C549="B",INDEX(Batters[[#All],[POW P]],MATCH(Table5[[#This Row],[PID]],Batters[[#All],[PID]],0)),INDEX(Table3[[#All],[CON P]],MATCH(Table5[[#This Row],[PID]],Table3[[#All],[PID]],0)))</f>
        <v>2</v>
      </c>
      <c r="O549" s="58" t="str">
        <f>IF($C549="B",INDEX(Batters[[#All],[EYE P]],MATCH(Table5[[#This Row],[PID]],Batters[[#All],[PID]],0)),INDEX(Table3[[#All],[VELO]],MATCH(Table5[[#This Row],[PID]],Table3[[#All],[PID]],0)))</f>
        <v>88-90 Mph</v>
      </c>
      <c r="P549" s="58">
        <f>IF($C549="B",INDEX(Batters[[#All],[K P]],MATCH(Table5[[#This Row],[PID]],Batters[[#All],[PID]],0)),INDEX(Table3[[#All],[STM]],MATCH(Table5[[#This Row],[PID]],Table3[[#All],[PID]],0)))</f>
        <v>8</v>
      </c>
      <c r="Q549" s="63">
        <f>IF($C549="B",INDEX(Batters[[#All],[Tot]],MATCH(Table5[[#This Row],[PID]],Batters[[#All],[PID]],0)),INDEX(Table3[[#All],[Tot]],MATCH(Table5[[#This Row],[PID]],Table3[[#All],[PID]],0)))</f>
        <v>29.850568954513875</v>
      </c>
      <c r="R549" s="54">
        <f>IF($C549="B",INDEX(Batters[[#All],[zScore]],MATCH(Table5[[#This Row],[PID]],Batters[[#All],[PID]],0)),INDEX(Table3[[#All],[zScore]],MATCH(Table5[[#This Row],[PID]],Table3[[#All],[PID]],0)))</f>
        <v>-0.26334550401489754</v>
      </c>
      <c r="S549" s="60" t="str">
        <f>IF($C549="B",INDEX(Batters[[#All],[DEM]],MATCH(Table5[[#This Row],[PID]],Batters[[#All],[PID]],0)),INDEX(Table3[[#All],[DEM]],MATCH(Table5[[#This Row],[PID]],Table3[[#All],[PID]],0)))</f>
        <v>$38k</v>
      </c>
      <c r="T549" s="64">
        <f>IF($C549="B",VLOOKUP($A549,Bat!$A$4:$AU$1417,46,FALSE),VLOOKUP($A549,Pit!$A$4:$BD$570,55,FALSE))</f>
        <v>0</v>
      </c>
      <c r="U549" s="52">
        <f>IF($C549="B",VLOOKUP($A549,Bat!$A$4:$BA$1417,47,FALSE),VLOOKUP($A549,Pit!$A$4:$BF$570,56,FALSE))</f>
        <v>0</v>
      </c>
      <c r="V549" s="52">
        <f>IF($C549="B",VLOOKUP($A549,Bat!$A$4:$BA$1417,48,FALSE),VLOOKUP($A549,Pit!$A$4:$BF$570,57,FALSE))</f>
        <v>0</v>
      </c>
      <c r="W549" s="52">
        <f>Table5[[#This Row],[posRnk]]+Table5[[#This Row],[zRnk]]+IF($W$3&lt;&gt;Table5[[#This Row],[Type]],50,0)</f>
        <v>595</v>
      </c>
      <c r="X549" s="53">
        <f>RANK(Table5[[#This Row],[zScore]],Table5[[#All],[zScore]])</f>
        <v>545</v>
      </c>
      <c r="Y549" s="52" t="str">
        <f>IFERROR(INDEX(DraftResults[[#All],[OVR]],MATCH(Table5[[#This Row],[PID]],DraftResults[[#All],[Player ID]],0)),"")</f>
        <v/>
      </c>
      <c r="Z5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9" s="52" t="str">
        <f>IFERROR(INDEX(DraftResults[[#All],[Pick in Round]],MATCH(Table5[[#This Row],[PID]],DraftResults[[#All],[Player ID]],0)),"")</f>
        <v/>
      </c>
      <c r="AB549" s="52" t="str">
        <f>IFERROR(INDEX(DraftResults[[#All],[Team Name]],MATCH(Table5[[#This Row],[PID]],DraftResults[[#All],[Player ID]],0)),"")</f>
        <v/>
      </c>
      <c r="AC549" s="52" t="str">
        <f>IF(Table5[[#This Row],[Ovr]]="","",IF(Table5[[#This Row],[cmbList]]="","",Table5[[#This Row],[cmbList]]-Table5[[#This Row],[Ovr]]))</f>
        <v/>
      </c>
      <c r="AD549" s="56" t="str">
        <f>IF(ISERROR(VLOOKUP($AB549&amp;"-"&amp;$E549&amp;" "&amp;F549,Bonuses!$B$1:$G$1006,4,FALSE)),"",INT(VLOOKUP($AB549&amp;"-"&amp;$E549&amp;" "&amp;$F549,Bonuses!$B$1:$G$1006,4,FALSE)))</f>
        <v/>
      </c>
      <c r="AE5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0" spans="1:31" s="52" customFormat="1" x14ac:dyDescent="0.25">
      <c r="A550" s="52">
        <v>6484</v>
      </c>
      <c r="B550" s="52">
        <f>COUNTIF(Table5[PID],A550)</f>
        <v>1</v>
      </c>
      <c r="C550" s="52" t="str">
        <f>IF(COUNTIF(Table3[[#All],[PID]],A550)&gt;0,"P","B")</f>
        <v>B</v>
      </c>
      <c r="D550" s="61" t="str">
        <f>IF($C550="B",INDEX(Batters[[#All],[POS]],MATCH(Table5[[#This Row],[PID]],Batters[[#All],[PID]],0)),INDEX(Table3[[#All],[POS]],MATCH(Table5[[#This Row],[PID]],Table3[[#All],[PID]],0)))</f>
        <v>1B</v>
      </c>
      <c r="E550" s="54" t="str">
        <f>IF($C550="B",INDEX(Batters[[#All],[First]],MATCH(Table5[[#This Row],[PID]],Batters[[#All],[PID]],0)),INDEX(Table3[[#All],[First]],MATCH(Table5[[#This Row],[PID]],Table3[[#All],[PID]],0)))</f>
        <v>Mutara</v>
      </c>
      <c r="F550" s="52" t="str">
        <f>IF($C550="B",INDEX(Batters[[#All],[Last]],MATCH(A550,Batters[[#All],[PID]],0)),INDEX(Table3[[#All],[Last]],MATCH(A550,Table3[[#All],[PID]],0)))</f>
        <v>Njogu</v>
      </c>
      <c r="G550" s="58">
        <f>IF($C550="B",INDEX(Batters[[#All],[Age]],MATCH(Table5[[#This Row],[PID]],Batters[[#All],[PID]],0)),INDEX(Table3[[#All],[Age]],MATCH(Table5[[#This Row],[PID]],Table3[[#All],[PID]],0)))</f>
        <v>18</v>
      </c>
      <c r="H550" s="54" t="str">
        <f>IF($C550="B",INDEX(Batters[[#All],[B]],MATCH(Table5[[#This Row],[PID]],Batters[[#All],[PID]],0)),INDEX(Table3[[#All],[B]],MATCH(Table5[[#This Row],[PID]],Table3[[#All],[PID]],0)))</f>
        <v>L</v>
      </c>
      <c r="I550" s="54" t="str">
        <f>IF($C550="B",INDEX(Batters[[#All],[T]],MATCH(Table5[[#This Row],[PID]],Batters[[#All],[PID]],0)),INDEX(Table3[[#All],[T]],MATCH(Table5[[#This Row],[PID]],Table3[[#All],[PID]],0)))</f>
        <v>L</v>
      </c>
      <c r="J550" s="54" t="str">
        <f>IF($C550="B",INDEX(Batters[[#All],[WE]],MATCH(Table5[[#This Row],[PID]],Batters[[#All],[PID]],0)),INDEX(Table3[[#All],[WE]],MATCH(Table5[[#This Row],[PID]],Table3[[#All],[PID]],0)))</f>
        <v>Low</v>
      </c>
      <c r="K550" s="54" t="str">
        <f>IF($C550="B",INDEX(Batters[[#All],[INT]],MATCH(Table5[[#This Row],[PID]],Batters[[#All],[PID]],0)),INDEX(Table3[[#All],[INT]],MATCH(Table5[[#This Row],[PID]],Table3[[#All],[PID]],0)))</f>
        <v>Normal</v>
      </c>
      <c r="L550" s="62">
        <f>IF($C550="B",INDEX(Batters[[#All],[CON P]],MATCH(Table5[[#This Row],[PID]],Batters[[#All],[PID]],0)),INDEX(Table3[[#All],[STU P]],MATCH(Table5[[#This Row],[PID]],Table3[[#All],[PID]],0)))</f>
        <v>2</v>
      </c>
      <c r="M550" s="58">
        <f>IF($C550="B",INDEX(Batters[[#All],[GAP P]],MATCH(Table5[[#This Row],[PID]],Batters[[#All],[PID]],0)),INDEX(Table3[[#All],[MOV P]],MATCH(Table5[[#This Row],[PID]],Table3[[#All],[PID]],0)))</f>
        <v>4</v>
      </c>
      <c r="N550" s="58">
        <f>IF($C550="B",INDEX(Batters[[#All],[POW P]],MATCH(Table5[[#This Row],[PID]],Batters[[#All],[PID]],0)),INDEX(Table3[[#All],[CON P]],MATCH(Table5[[#This Row],[PID]],Table3[[#All],[PID]],0)))</f>
        <v>5</v>
      </c>
      <c r="O550" s="58">
        <f>IF($C550="B",INDEX(Batters[[#All],[EYE P]],MATCH(Table5[[#This Row],[PID]],Batters[[#All],[PID]],0)),INDEX(Table3[[#All],[VELO]],MATCH(Table5[[#This Row],[PID]],Table3[[#All],[PID]],0)))</f>
        <v>5</v>
      </c>
      <c r="P550" s="58">
        <f>IF($C550="B",INDEX(Batters[[#All],[K P]],MATCH(Table5[[#This Row],[PID]],Batters[[#All],[PID]],0)),INDEX(Table3[[#All],[STM]],MATCH(Table5[[#This Row],[PID]],Table3[[#All],[PID]],0)))</f>
        <v>2</v>
      </c>
      <c r="Q550" s="63">
        <f>IF($C550="B",INDEX(Batters[[#All],[Tot]],MATCH(Table5[[#This Row],[PID]],Batters[[#All],[PID]],0)),INDEX(Table3[[#All],[Tot]],MATCH(Table5[[#This Row],[PID]],Table3[[#All],[PID]],0)))</f>
        <v>38.842166600971566</v>
      </c>
      <c r="R550" s="54">
        <f>IF($C550="B",INDEX(Batters[[#All],[zScore]],MATCH(Table5[[#This Row],[PID]],Batters[[#All],[PID]],0)),INDEX(Table3[[#All],[zScore]],MATCH(Table5[[#This Row],[PID]],Table3[[#All],[PID]],0)))</f>
        <v>-0.26498489935852193</v>
      </c>
      <c r="S550" s="60" t="str">
        <f>IF($C550="B",INDEX(Batters[[#All],[DEM]],MATCH(Table5[[#This Row],[PID]],Batters[[#All],[PID]],0)),INDEX(Table3[[#All],[DEM]],MATCH(Table5[[#This Row],[PID]],Table3[[#All],[PID]],0)))</f>
        <v>$65k</v>
      </c>
      <c r="T550" s="64">
        <f>IF($C550="B",VLOOKUP($A550,Bat!$A$4:$AU$1417,46,FALSE),VLOOKUP($A550,Pit!$A$4:$BD$570,55,FALSE))</f>
        <v>0</v>
      </c>
      <c r="U550" s="52">
        <f>IF($C550="B",VLOOKUP($A550,Bat!$A$4:$BA$1417,47,FALSE),VLOOKUP($A550,Pit!$A$4:$BF$570,56,FALSE))</f>
        <v>0</v>
      </c>
      <c r="V550" s="52">
        <f>IF($C550="B",VLOOKUP($A550,Bat!$A$4:$BA$1417,48,FALSE),VLOOKUP($A550,Pit!$A$4:$BF$570,57,FALSE))</f>
        <v>0</v>
      </c>
      <c r="W550" s="52">
        <f>Table5[[#This Row],[posRnk]]+Table5[[#This Row],[zRnk]]+IF($W$3&lt;&gt;Table5[[#This Row],[Type]],50,0)</f>
        <v>596</v>
      </c>
      <c r="X550" s="53">
        <f>RANK(Table5[[#This Row],[zScore]],Table5[[#All],[zScore]])</f>
        <v>546</v>
      </c>
      <c r="Y550" s="52" t="str">
        <f>IFERROR(INDEX(DraftResults[[#All],[OVR]],MATCH(Table5[[#This Row],[PID]],DraftResults[[#All],[Player ID]],0)),"")</f>
        <v/>
      </c>
      <c r="Z5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0" s="52" t="str">
        <f>IFERROR(INDEX(DraftResults[[#All],[Pick in Round]],MATCH(Table5[[#This Row],[PID]],DraftResults[[#All],[Player ID]],0)),"")</f>
        <v/>
      </c>
      <c r="AB550" s="52" t="str">
        <f>IFERROR(INDEX(DraftResults[[#All],[Team Name]],MATCH(Table5[[#This Row],[PID]],DraftResults[[#All],[Player ID]],0)),"")</f>
        <v/>
      </c>
      <c r="AC550" s="52" t="str">
        <f>IF(Table5[[#This Row],[Ovr]]="","",IF(Table5[[#This Row],[cmbList]]="","",Table5[[#This Row],[cmbList]]-Table5[[#This Row],[Ovr]]))</f>
        <v/>
      </c>
      <c r="AD550" s="56" t="str">
        <f>IF(ISERROR(VLOOKUP($AB550&amp;"-"&amp;$E550&amp;" "&amp;F550,Bonuses!$B$1:$G$1006,4,FALSE)),"",INT(VLOOKUP($AB550&amp;"-"&amp;$E550&amp;" "&amp;$F550,Bonuses!$B$1:$G$1006,4,FALSE)))</f>
        <v/>
      </c>
      <c r="AE5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1" spans="1:31" s="52" customFormat="1" x14ac:dyDescent="0.25">
      <c r="A551" s="52">
        <v>17928</v>
      </c>
      <c r="B551" s="52">
        <f>COUNTIF(Table5[PID],A551)</f>
        <v>1</v>
      </c>
      <c r="C551" s="52" t="str">
        <f>IF(COUNTIF(Table3[[#All],[PID]],A551)&gt;0,"P","B")</f>
        <v>P</v>
      </c>
      <c r="D551" s="61" t="str">
        <f>IF($C551="B",INDEX(Batters[[#All],[POS]],MATCH(Table5[[#This Row],[PID]],Batters[[#All],[PID]],0)),INDEX(Table3[[#All],[POS]],MATCH(Table5[[#This Row],[PID]],Table3[[#All],[PID]],0)))</f>
        <v>RP</v>
      </c>
      <c r="E551" s="54" t="str">
        <f>IF($C551="B",INDEX(Batters[[#All],[First]],MATCH(Table5[[#This Row],[PID]],Batters[[#All],[PID]],0)),INDEX(Table3[[#All],[First]],MATCH(Table5[[#This Row],[PID]],Table3[[#All],[PID]],0)))</f>
        <v>Nakamaro</v>
      </c>
      <c r="F551" s="52" t="str">
        <f>IF($C551="B",INDEX(Batters[[#All],[Last]],MATCH(A551,Batters[[#All],[PID]],0)),INDEX(Table3[[#All],[Last]],MATCH(A551,Table3[[#All],[PID]],0)))</f>
        <v>Takahashi</v>
      </c>
      <c r="G551" s="58">
        <f>IF($C551="B",INDEX(Batters[[#All],[Age]],MATCH(Table5[[#This Row],[PID]],Batters[[#All],[PID]],0)),INDEX(Table3[[#All],[Age]],MATCH(Table5[[#This Row],[PID]],Table3[[#All],[PID]],0)))</f>
        <v>18</v>
      </c>
      <c r="H551" s="54" t="str">
        <f>IF($C551="B",INDEX(Batters[[#All],[B]],MATCH(Table5[[#This Row],[PID]],Batters[[#All],[PID]],0)),INDEX(Table3[[#All],[B]],MATCH(Table5[[#This Row],[PID]],Table3[[#All],[PID]],0)))</f>
        <v>R</v>
      </c>
      <c r="I551" s="54" t="str">
        <f>IF($C551="B",INDEX(Batters[[#All],[T]],MATCH(Table5[[#This Row],[PID]],Batters[[#All],[PID]],0)),INDEX(Table3[[#All],[T]],MATCH(Table5[[#This Row],[PID]],Table3[[#All],[PID]],0)))</f>
        <v>R</v>
      </c>
      <c r="J551" s="54" t="str">
        <f>IF($C551="B",INDEX(Batters[[#All],[WE]],MATCH(Table5[[#This Row],[PID]],Batters[[#All],[PID]],0)),INDEX(Table3[[#All],[WE]],MATCH(Table5[[#This Row],[PID]],Table3[[#All],[PID]],0)))</f>
        <v>Normal</v>
      </c>
      <c r="K551" s="54" t="str">
        <f>IF($C551="B",INDEX(Batters[[#All],[INT]],MATCH(Table5[[#This Row],[PID]],Batters[[#All],[PID]],0)),INDEX(Table3[[#All],[INT]],MATCH(Table5[[#This Row],[PID]],Table3[[#All],[PID]],0)))</f>
        <v>Normal</v>
      </c>
      <c r="L551" s="62">
        <f>IF($C551="B",INDEX(Batters[[#All],[CON P]],MATCH(Table5[[#This Row],[PID]],Batters[[#All],[PID]],0)),INDEX(Table3[[#All],[STU P]],MATCH(Table5[[#This Row],[PID]],Table3[[#All],[PID]],0)))</f>
        <v>3</v>
      </c>
      <c r="M551" s="58">
        <f>IF($C551="B",INDEX(Batters[[#All],[GAP P]],MATCH(Table5[[#This Row],[PID]],Batters[[#All],[PID]],0)),INDEX(Table3[[#All],[MOV P]],MATCH(Table5[[#This Row],[PID]],Table3[[#All],[PID]],0)))</f>
        <v>2</v>
      </c>
      <c r="N551" s="58">
        <f>IF($C551="B",INDEX(Batters[[#All],[POW P]],MATCH(Table5[[#This Row],[PID]],Batters[[#All],[PID]],0)),INDEX(Table3[[#All],[CON P]],MATCH(Table5[[#This Row],[PID]],Table3[[#All],[PID]],0)))</f>
        <v>2</v>
      </c>
      <c r="O551" s="58" t="str">
        <f>IF($C551="B",INDEX(Batters[[#All],[EYE P]],MATCH(Table5[[#This Row],[PID]],Batters[[#All],[PID]],0)),INDEX(Table3[[#All],[VELO]],MATCH(Table5[[#This Row],[PID]],Table3[[#All],[PID]],0)))</f>
        <v>84-86 Mph</v>
      </c>
      <c r="P551" s="58">
        <f>IF($C551="B",INDEX(Batters[[#All],[K P]],MATCH(Table5[[#This Row],[PID]],Batters[[#All],[PID]],0)),INDEX(Table3[[#All],[STM]],MATCH(Table5[[#This Row],[PID]],Table3[[#All],[PID]],0)))</f>
        <v>10</v>
      </c>
      <c r="Q551" s="63">
        <f>IF($C551="B",INDEX(Batters[[#All],[Tot]],MATCH(Table5[[#This Row],[PID]],Batters[[#All],[PID]],0)),INDEX(Table3[[#All],[Tot]],MATCH(Table5[[#This Row],[PID]],Table3[[#All],[PID]],0)))</f>
        <v>27.369350834061589</v>
      </c>
      <c r="R551" s="54">
        <f>IF($C551="B",INDEX(Batters[[#All],[zScore]],MATCH(Table5[[#This Row],[PID]],Batters[[#All],[PID]],0)),INDEX(Table3[[#All],[zScore]],MATCH(Table5[[#This Row],[PID]],Table3[[#All],[PID]],0)))</f>
        <v>-0.26519721716002648</v>
      </c>
      <c r="S551" s="60" t="str">
        <f>IF($C551="B",INDEX(Batters[[#All],[DEM]],MATCH(Table5[[#This Row],[PID]],Batters[[#All],[PID]],0)),INDEX(Table3[[#All],[DEM]],MATCH(Table5[[#This Row],[PID]],Table3[[#All],[PID]],0)))</f>
        <v>$38k</v>
      </c>
      <c r="T551" s="64">
        <f>IF($C551="B",VLOOKUP($A551,Bat!$A$4:$AU$1417,46,FALSE),VLOOKUP($A551,Pit!$A$4:$BD$570,55,FALSE))</f>
        <v>0</v>
      </c>
      <c r="U551" s="52">
        <f>IF($C551="B",VLOOKUP($A551,Bat!$A$4:$BA$1417,47,FALSE),VLOOKUP($A551,Pit!$A$4:$BF$570,56,FALSE))</f>
        <v>0</v>
      </c>
      <c r="V551" s="52">
        <f>IF($C551="B",VLOOKUP($A551,Bat!$A$4:$BA$1417,48,FALSE),VLOOKUP($A551,Pit!$A$4:$BF$570,57,FALSE))</f>
        <v>0</v>
      </c>
      <c r="W551" s="52">
        <f>Table5[[#This Row],[posRnk]]+Table5[[#This Row],[zRnk]]+IF($W$3&lt;&gt;Table5[[#This Row],[Type]],50,0)</f>
        <v>597</v>
      </c>
      <c r="X551" s="53">
        <f>RANK(Table5[[#This Row],[zScore]],Table5[[#All],[zScore]])</f>
        <v>547</v>
      </c>
      <c r="Y551" s="52" t="str">
        <f>IFERROR(INDEX(DraftResults[[#All],[OVR]],MATCH(Table5[[#This Row],[PID]],DraftResults[[#All],[Player ID]],0)),"")</f>
        <v/>
      </c>
      <c r="Z5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1" s="52" t="str">
        <f>IFERROR(INDEX(DraftResults[[#All],[Pick in Round]],MATCH(Table5[[#This Row],[PID]],DraftResults[[#All],[Player ID]],0)),"")</f>
        <v/>
      </c>
      <c r="AB551" s="52" t="str">
        <f>IFERROR(INDEX(DraftResults[[#All],[Team Name]],MATCH(Table5[[#This Row],[PID]],DraftResults[[#All],[Player ID]],0)),"")</f>
        <v/>
      </c>
      <c r="AC551" s="52" t="str">
        <f>IF(Table5[[#This Row],[Ovr]]="","",IF(Table5[[#This Row],[cmbList]]="","",Table5[[#This Row],[cmbList]]-Table5[[#This Row],[Ovr]]))</f>
        <v/>
      </c>
      <c r="AD551" s="56" t="str">
        <f>IF(ISERROR(VLOOKUP($AB551&amp;"-"&amp;$E551&amp;" "&amp;F551,Bonuses!$B$1:$G$1006,4,FALSE)),"",INT(VLOOKUP($AB551&amp;"-"&amp;$E551&amp;" "&amp;$F551,Bonuses!$B$1:$G$1006,4,FALSE)))</f>
        <v/>
      </c>
      <c r="AE5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2" spans="1:31" s="52" customFormat="1" x14ac:dyDescent="0.25">
      <c r="A552" s="52">
        <v>5436</v>
      </c>
      <c r="B552" s="52">
        <f>COUNTIF(Table5[PID],A552)</f>
        <v>1</v>
      </c>
      <c r="C552" s="52" t="str">
        <f>IF(COUNTIF(Table3[[#All],[PID]],A552)&gt;0,"P","B")</f>
        <v>P</v>
      </c>
      <c r="D552" s="61" t="str">
        <f>IF($C552="B",INDEX(Batters[[#All],[POS]],MATCH(Table5[[#This Row],[PID]],Batters[[#All],[PID]],0)),INDEX(Table3[[#All],[POS]],MATCH(Table5[[#This Row],[PID]],Table3[[#All],[PID]],0)))</f>
        <v>RP</v>
      </c>
      <c r="E552" s="54" t="str">
        <f>IF($C552="B",INDEX(Batters[[#All],[First]],MATCH(Table5[[#This Row],[PID]],Batters[[#All],[PID]],0)),INDEX(Table3[[#All],[First]],MATCH(Table5[[#This Row],[PID]],Table3[[#All],[PID]],0)))</f>
        <v>Shawn</v>
      </c>
      <c r="F552" s="52" t="str">
        <f>IF($C552="B",INDEX(Batters[[#All],[Last]],MATCH(A552,Batters[[#All],[PID]],0)),INDEX(Table3[[#All],[Last]],MATCH(A552,Table3[[#All],[PID]],0)))</f>
        <v>Carey</v>
      </c>
      <c r="G552" s="58">
        <f>IF($C552="B",INDEX(Batters[[#All],[Age]],MATCH(Table5[[#This Row],[PID]],Batters[[#All],[PID]],0)),INDEX(Table3[[#All],[Age]],MATCH(Table5[[#This Row],[PID]],Table3[[#All],[PID]],0)))</f>
        <v>18</v>
      </c>
      <c r="H552" s="54" t="str">
        <f>IF($C552="B",INDEX(Batters[[#All],[B]],MATCH(Table5[[#This Row],[PID]],Batters[[#All],[PID]],0)),INDEX(Table3[[#All],[B]],MATCH(Table5[[#This Row],[PID]],Table3[[#All],[PID]],0)))</f>
        <v>L</v>
      </c>
      <c r="I552" s="54" t="str">
        <f>IF($C552="B",INDEX(Batters[[#All],[T]],MATCH(Table5[[#This Row],[PID]],Batters[[#All],[PID]],0)),INDEX(Table3[[#All],[T]],MATCH(Table5[[#This Row],[PID]],Table3[[#All],[PID]],0)))</f>
        <v>L</v>
      </c>
      <c r="J552" s="54" t="str">
        <f>IF($C552="B",INDEX(Batters[[#All],[WE]],MATCH(Table5[[#This Row],[PID]],Batters[[#All],[PID]],0)),INDEX(Table3[[#All],[WE]],MATCH(Table5[[#This Row],[PID]],Table3[[#All],[PID]],0)))</f>
        <v>Normal</v>
      </c>
      <c r="K552" s="54" t="str">
        <f>IF($C552="B",INDEX(Batters[[#All],[INT]],MATCH(Table5[[#This Row],[PID]],Batters[[#All],[PID]],0)),INDEX(Table3[[#All],[INT]],MATCH(Table5[[#This Row],[PID]],Table3[[#All],[PID]],0)))</f>
        <v>High</v>
      </c>
      <c r="L552" s="62">
        <f>IF($C552="B",INDEX(Batters[[#All],[CON P]],MATCH(Table5[[#This Row],[PID]],Batters[[#All],[PID]],0)),INDEX(Table3[[#All],[STU P]],MATCH(Table5[[#This Row],[PID]],Table3[[#All],[PID]],0)))</f>
        <v>4</v>
      </c>
      <c r="M552" s="58">
        <f>IF($C552="B",INDEX(Batters[[#All],[GAP P]],MATCH(Table5[[#This Row],[PID]],Batters[[#All],[PID]],0)),INDEX(Table3[[#All],[MOV P]],MATCH(Table5[[#This Row],[PID]],Table3[[#All],[PID]],0)))</f>
        <v>2</v>
      </c>
      <c r="N552" s="58">
        <f>IF($C552="B",INDEX(Batters[[#All],[POW P]],MATCH(Table5[[#This Row],[PID]],Batters[[#All],[PID]],0)),INDEX(Table3[[#All],[CON P]],MATCH(Table5[[#This Row],[PID]],Table3[[#All],[PID]],0)))</f>
        <v>2</v>
      </c>
      <c r="O552" s="58" t="str">
        <f>IF($C552="B",INDEX(Batters[[#All],[EYE P]],MATCH(Table5[[#This Row],[PID]],Batters[[#All],[PID]],0)),INDEX(Table3[[#All],[VELO]],MATCH(Table5[[#This Row],[PID]],Table3[[#All],[PID]],0)))</f>
        <v>86-88 Mph</v>
      </c>
      <c r="P552" s="58">
        <f>IF($C552="B",INDEX(Batters[[#All],[K P]],MATCH(Table5[[#This Row],[PID]],Batters[[#All],[PID]],0)),INDEX(Table3[[#All],[STM]],MATCH(Table5[[#This Row],[PID]],Table3[[#All],[PID]],0)))</f>
        <v>10</v>
      </c>
      <c r="Q552" s="63">
        <f>IF($C552="B",INDEX(Batters[[#All],[Tot]],MATCH(Table5[[#This Row],[PID]],Batters[[#All],[PID]],0)),INDEX(Table3[[#All],[Tot]],MATCH(Table5[[#This Row],[PID]],Table3[[#All],[PID]],0)))</f>
        <v>29.79974862774991</v>
      </c>
      <c r="R552" s="54">
        <f>IF($C552="B",INDEX(Batters[[#All],[zScore]],MATCH(Table5[[#This Row],[PID]],Batters[[#All],[PID]],0)),INDEX(Table3[[#All],[zScore]],MATCH(Table5[[#This Row],[PID]],Table3[[#All],[PID]],0)))</f>
        <v>-0.26800594518979487</v>
      </c>
      <c r="S552" s="60" t="str">
        <f>IF($C552="B",INDEX(Batters[[#All],[DEM]],MATCH(Table5[[#This Row],[PID]],Batters[[#All],[PID]],0)),INDEX(Table3[[#All],[DEM]],MATCH(Table5[[#This Row],[PID]],Table3[[#All],[PID]],0)))</f>
        <v>$65k</v>
      </c>
      <c r="T552" s="64">
        <f>IF($C552="B",VLOOKUP($A552,Bat!$A$4:$AU$1417,46,FALSE),VLOOKUP($A552,Pit!$A$4:$BD$570,55,FALSE))</f>
        <v>0</v>
      </c>
      <c r="U552" s="52">
        <f>IF($C552="B",VLOOKUP($A552,Bat!$A$4:$BA$1417,47,FALSE),VLOOKUP($A552,Pit!$A$4:$BF$570,56,FALSE))</f>
        <v>0</v>
      </c>
      <c r="V552" s="52">
        <f>IF($C552="B",VLOOKUP($A552,Bat!$A$4:$BA$1417,48,FALSE),VLOOKUP($A552,Pit!$A$4:$BF$570,57,FALSE))</f>
        <v>0</v>
      </c>
      <c r="W552" s="52">
        <f>Table5[[#This Row],[posRnk]]+Table5[[#This Row],[zRnk]]+IF($W$3&lt;&gt;Table5[[#This Row],[Type]],50,0)</f>
        <v>598</v>
      </c>
      <c r="X552" s="53">
        <f>RANK(Table5[[#This Row],[zScore]],Table5[[#All],[zScore]])</f>
        <v>548</v>
      </c>
      <c r="Y552" s="52" t="str">
        <f>IFERROR(INDEX(DraftResults[[#All],[OVR]],MATCH(Table5[[#This Row],[PID]],DraftResults[[#All],[Player ID]],0)),"")</f>
        <v/>
      </c>
      <c r="Z5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2" s="52" t="str">
        <f>IFERROR(INDEX(DraftResults[[#All],[Pick in Round]],MATCH(Table5[[#This Row],[PID]],DraftResults[[#All],[Player ID]],0)),"")</f>
        <v/>
      </c>
      <c r="AB552" s="52" t="str">
        <f>IFERROR(INDEX(DraftResults[[#All],[Team Name]],MATCH(Table5[[#This Row],[PID]],DraftResults[[#All],[Player ID]],0)),"")</f>
        <v/>
      </c>
      <c r="AC552" s="52" t="str">
        <f>IF(Table5[[#This Row],[Ovr]]="","",IF(Table5[[#This Row],[cmbList]]="","",Table5[[#This Row],[cmbList]]-Table5[[#This Row],[Ovr]]))</f>
        <v/>
      </c>
      <c r="AD552" s="56" t="str">
        <f>IF(ISERROR(VLOOKUP($AB552&amp;"-"&amp;$E552&amp;" "&amp;F552,Bonuses!$B$1:$G$1006,4,FALSE)),"",INT(VLOOKUP($AB552&amp;"-"&amp;$E552&amp;" "&amp;$F552,Bonuses!$B$1:$G$1006,4,FALSE)))</f>
        <v/>
      </c>
      <c r="AE5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3" spans="1:31" s="52" customFormat="1" x14ac:dyDescent="0.25">
      <c r="A553" s="52">
        <v>15813</v>
      </c>
      <c r="B553" s="52">
        <f>COUNTIF(Table5[PID],A553)</f>
        <v>1</v>
      </c>
      <c r="C553" s="52" t="str">
        <f>IF(COUNTIF(Table3[[#All],[PID]],A553)&gt;0,"P","B")</f>
        <v>P</v>
      </c>
      <c r="D553" s="61" t="str">
        <f>IF($C553="B",INDEX(Batters[[#All],[POS]],MATCH(Table5[[#This Row],[PID]],Batters[[#All],[PID]],0)),INDEX(Table3[[#All],[POS]],MATCH(Table5[[#This Row],[PID]],Table3[[#All],[PID]],0)))</f>
        <v>RP</v>
      </c>
      <c r="E553" s="54" t="str">
        <f>IF($C553="B",INDEX(Batters[[#All],[First]],MATCH(Table5[[#This Row],[PID]],Batters[[#All],[PID]],0)),INDEX(Table3[[#All],[First]],MATCH(Table5[[#This Row],[PID]],Table3[[#All],[PID]],0)))</f>
        <v>Karl</v>
      </c>
      <c r="F553" s="52" t="str">
        <f>IF($C553="B",INDEX(Batters[[#All],[Last]],MATCH(A553,Batters[[#All],[PID]],0)),INDEX(Table3[[#All],[Last]],MATCH(A553,Table3[[#All],[PID]],0)))</f>
        <v>Dixon</v>
      </c>
      <c r="G553" s="58">
        <f>IF($C553="B",INDEX(Batters[[#All],[Age]],MATCH(Table5[[#This Row],[PID]],Batters[[#All],[PID]],0)),INDEX(Table3[[#All],[Age]],MATCH(Table5[[#This Row],[PID]],Table3[[#All],[PID]],0)))</f>
        <v>18</v>
      </c>
      <c r="H553" s="54" t="str">
        <f>IF($C553="B",INDEX(Batters[[#All],[B]],MATCH(Table5[[#This Row],[PID]],Batters[[#All],[PID]],0)),INDEX(Table3[[#All],[B]],MATCH(Table5[[#This Row],[PID]],Table3[[#All],[PID]],0)))</f>
        <v>R</v>
      </c>
      <c r="I553" s="54" t="str">
        <f>IF($C553="B",INDEX(Batters[[#All],[T]],MATCH(Table5[[#This Row],[PID]],Batters[[#All],[PID]],0)),INDEX(Table3[[#All],[T]],MATCH(Table5[[#This Row],[PID]],Table3[[#All],[PID]],0)))</f>
        <v>R</v>
      </c>
      <c r="J553" s="54" t="str">
        <f>IF($C553="B",INDEX(Batters[[#All],[WE]],MATCH(Table5[[#This Row],[PID]],Batters[[#All],[PID]],0)),INDEX(Table3[[#All],[WE]],MATCH(Table5[[#This Row],[PID]],Table3[[#All],[PID]],0)))</f>
        <v>High</v>
      </c>
      <c r="K553" s="54" t="str">
        <f>IF($C553="B",INDEX(Batters[[#All],[INT]],MATCH(Table5[[#This Row],[PID]],Batters[[#All],[PID]],0)),INDEX(Table3[[#All],[INT]],MATCH(Table5[[#This Row],[PID]],Table3[[#All],[PID]],0)))</f>
        <v>Normal</v>
      </c>
      <c r="L553" s="62">
        <f>IF($C553="B",INDEX(Batters[[#All],[CON P]],MATCH(Table5[[#This Row],[PID]],Batters[[#All],[PID]],0)),INDEX(Table3[[#All],[STU P]],MATCH(Table5[[#This Row],[PID]],Table3[[#All],[PID]],0)))</f>
        <v>4</v>
      </c>
      <c r="M553" s="58">
        <f>IF($C553="B",INDEX(Batters[[#All],[GAP P]],MATCH(Table5[[#This Row],[PID]],Batters[[#All],[PID]],0)),INDEX(Table3[[#All],[MOV P]],MATCH(Table5[[#This Row],[PID]],Table3[[#All],[PID]],0)))</f>
        <v>2</v>
      </c>
      <c r="N553" s="58">
        <f>IF($C553="B",INDEX(Batters[[#All],[POW P]],MATCH(Table5[[#This Row],[PID]],Batters[[#All],[PID]],0)),INDEX(Table3[[#All],[CON P]],MATCH(Table5[[#This Row],[PID]],Table3[[#All],[PID]],0)))</f>
        <v>2</v>
      </c>
      <c r="O553" s="58" t="str">
        <f>IF($C553="B",INDEX(Batters[[#All],[EYE P]],MATCH(Table5[[#This Row],[PID]],Batters[[#All],[PID]],0)),INDEX(Table3[[#All],[VELO]],MATCH(Table5[[#This Row],[PID]],Table3[[#All],[PID]],0)))</f>
        <v>85-87 Mph</v>
      </c>
      <c r="P553" s="58">
        <f>IF($C553="B",INDEX(Batters[[#All],[K P]],MATCH(Table5[[#This Row],[PID]],Batters[[#All],[PID]],0)),INDEX(Table3[[#All],[STM]],MATCH(Table5[[#This Row],[PID]],Table3[[#All],[PID]],0)))</f>
        <v>8</v>
      </c>
      <c r="Q553" s="63">
        <f>IF($C553="B",INDEX(Batters[[#All],[Tot]],MATCH(Table5[[#This Row],[PID]],Batters[[#All],[PID]],0)),INDEX(Table3[[#All],[Tot]],MATCH(Table5[[#This Row],[PID]],Table3[[#All],[PID]],0)))</f>
        <v>29.79974862774991</v>
      </c>
      <c r="R553" s="54">
        <f>IF($C553="B",INDEX(Batters[[#All],[zScore]],MATCH(Table5[[#This Row],[PID]],Batters[[#All],[PID]],0)),INDEX(Table3[[#All],[zScore]],MATCH(Table5[[#This Row],[PID]],Table3[[#All],[PID]],0)))</f>
        <v>-0.26800594518979487</v>
      </c>
      <c r="S553" s="60" t="str">
        <f>IF($C553="B",INDEX(Batters[[#All],[DEM]],MATCH(Table5[[#This Row],[PID]],Batters[[#All],[PID]],0)),INDEX(Table3[[#All],[DEM]],MATCH(Table5[[#This Row],[PID]],Table3[[#All],[PID]],0)))</f>
        <v>$130k</v>
      </c>
      <c r="T553" s="64">
        <f>IF($C553="B",VLOOKUP($A553,Bat!$A$4:$AU$1417,46,FALSE),VLOOKUP($A553,Pit!$A$4:$BD$570,55,FALSE))</f>
        <v>0</v>
      </c>
      <c r="U553" s="52">
        <f>IF($C553="B",VLOOKUP($A553,Bat!$A$4:$BA$1417,47,FALSE),VLOOKUP($A553,Pit!$A$4:$BF$570,56,FALSE))</f>
        <v>0</v>
      </c>
      <c r="V553" s="52">
        <f>IF($C553="B",VLOOKUP($A553,Bat!$A$4:$BA$1417,48,FALSE),VLOOKUP($A553,Pit!$A$4:$BF$570,57,FALSE))</f>
        <v>0</v>
      </c>
      <c r="W553" s="52">
        <f>Table5[[#This Row],[posRnk]]+Table5[[#This Row],[zRnk]]+IF($W$3&lt;&gt;Table5[[#This Row],[Type]],50,0)</f>
        <v>598</v>
      </c>
      <c r="X553" s="53">
        <f>RANK(Table5[[#This Row],[zScore]],Table5[[#All],[zScore]])</f>
        <v>548</v>
      </c>
      <c r="Y553" s="52" t="str">
        <f>IFERROR(INDEX(DraftResults[[#All],[OVR]],MATCH(Table5[[#This Row],[PID]],DraftResults[[#All],[Player ID]],0)),"")</f>
        <v/>
      </c>
      <c r="Z5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3" s="52" t="str">
        <f>IFERROR(INDEX(DraftResults[[#All],[Pick in Round]],MATCH(Table5[[#This Row],[PID]],DraftResults[[#All],[Player ID]],0)),"")</f>
        <v/>
      </c>
      <c r="AB553" s="52" t="str">
        <f>IFERROR(INDEX(DraftResults[[#All],[Team Name]],MATCH(Table5[[#This Row],[PID]],DraftResults[[#All],[Player ID]],0)),"")</f>
        <v/>
      </c>
      <c r="AC553" s="52" t="str">
        <f>IF(Table5[[#This Row],[Ovr]]="","",IF(Table5[[#This Row],[cmbList]]="","",Table5[[#This Row],[cmbList]]-Table5[[#This Row],[Ovr]]))</f>
        <v/>
      </c>
      <c r="AD553" s="56" t="str">
        <f>IF(ISERROR(VLOOKUP($AB553&amp;"-"&amp;$E553&amp;" "&amp;F553,Bonuses!$B$1:$G$1006,4,FALSE)),"",INT(VLOOKUP($AB553&amp;"-"&amp;$E553&amp;" "&amp;$F553,Bonuses!$B$1:$G$1006,4,FALSE)))</f>
        <v/>
      </c>
      <c r="AE5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4" spans="1:31" s="52" customFormat="1" x14ac:dyDescent="0.25">
      <c r="A554" s="52">
        <v>9975</v>
      </c>
      <c r="B554" s="52">
        <f>COUNTIF(Table5[PID],A554)</f>
        <v>1</v>
      </c>
      <c r="C554" s="52" t="str">
        <f>IF(COUNTIF(Table3[[#All],[PID]],A554)&gt;0,"P","B")</f>
        <v>P</v>
      </c>
      <c r="D554" s="61" t="str">
        <f>IF($C554="B",INDEX(Batters[[#All],[POS]],MATCH(Table5[[#This Row],[PID]],Batters[[#All],[PID]],0)),INDEX(Table3[[#All],[POS]],MATCH(Table5[[#This Row],[PID]],Table3[[#All],[PID]],0)))</f>
        <v>RP</v>
      </c>
      <c r="E554" s="54" t="str">
        <f>IF($C554="B",INDEX(Batters[[#All],[First]],MATCH(Table5[[#This Row],[PID]],Batters[[#All],[PID]],0)),INDEX(Table3[[#All],[First]],MATCH(Table5[[#This Row],[PID]],Table3[[#All],[PID]],0)))</f>
        <v>Juan</v>
      </c>
      <c r="F554" s="52" t="str">
        <f>IF($C554="B",INDEX(Batters[[#All],[Last]],MATCH(A554,Batters[[#All],[PID]],0)),INDEX(Table3[[#All],[Last]],MATCH(A554,Table3[[#All],[PID]],0)))</f>
        <v>Gallardo</v>
      </c>
      <c r="G554" s="58">
        <f>IF($C554="B",INDEX(Batters[[#All],[Age]],MATCH(Table5[[#This Row],[PID]],Batters[[#All],[PID]],0)),INDEX(Table3[[#All],[Age]],MATCH(Table5[[#This Row],[PID]],Table3[[#All],[PID]],0)))</f>
        <v>22</v>
      </c>
      <c r="H554" s="54" t="str">
        <f>IF($C554="B",INDEX(Batters[[#All],[B]],MATCH(Table5[[#This Row],[PID]],Batters[[#All],[PID]],0)),INDEX(Table3[[#All],[B]],MATCH(Table5[[#This Row],[PID]],Table3[[#All],[PID]],0)))</f>
        <v>L</v>
      </c>
      <c r="I554" s="54" t="str">
        <f>IF($C554="B",INDEX(Batters[[#All],[T]],MATCH(Table5[[#This Row],[PID]],Batters[[#All],[PID]],0)),INDEX(Table3[[#All],[T]],MATCH(Table5[[#This Row],[PID]],Table3[[#All],[PID]],0)))</f>
        <v>L</v>
      </c>
      <c r="J554" s="54" t="str">
        <f>IF($C554="B",INDEX(Batters[[#All],[WE]],MATCH(Table5[[#This Row],[PID]],Batters[[#All],[PID]],0)),INDEX(Table3[[#All],[WE]],MATCH(Table5[[#This Row],[PID]],Table3[[#All],[PID]],0)))</f>
        <v>Normal</v>
      </c>
      <c r="K554" s="54" t="str">
        <f>IF($C554="B",INDEX(Batters[[#All],[INT]],MATCH(Table5[[#This Row],[PID]],Batters[[#All],[PID]],0)),INDEX(Table3[[#All],[INT]],MATCH(Table5[[#This Row],[PID]],Table3[[#All],[PID]],0)))</f>
        <v>Normal</v>
      </c>
      <c r="L554" s="62">
        <f>IF($C554="B",INDEX(Batters[[#All],[CON P]],MATCH(Table5[[#This Row],[PID]],Batters[[#All],[PID]],0)),INDEX(Table3[[#All],[STU P]],MATCH(Table5[[#This Row],[PID]],Table3[[#All],[PID]],0)))</f>
        <v>5</v>
      </c>
      <c r="M554" s="58">
        <f>IF($C554="B",INDEX(Batters[[#All],[GAP P]],MATCH(Table5[[#This Row],[PID]],Batters[[#All],[PID]],0)),INDEX(Table3[[#All],[MOV P]],MATCH(Table5[[#This Row],[PID]],Table3[[#All],[PID]],0)))</f>
        <v>2</v>
      </c>
      <c r="N554" s="58">
        <f>IF($C554="B",INDEX(Batters[[#All],[POW P]],MATCH(Table5[[#This Row],[PID]],Batters[[#All],[PID]],0)),INDEX(Table3[[#All],[CON P]],MATCH(Table5[[#This Row],[PID]],Table3[[#All],[PID]],0)))</f>
        <v>2</v>
      </c>
      <c r="O554" s="58" t="str">
        <f>IF($C554="B",INDEX(Batters[[#All],[EYE P]],MATCH(Table5[[#This Row],[PID]],Batters[[#All],[PID]],0)),INDEX(Table3[[#All],[VELO]],MATCH(Table5[[#This Row],[PID]],Table3[[#All],[PID]],0)))</f>
        <v>91-93 Mph</v>
      </c>
      <c r="P554" s="58">
        <f>IF($C554="B",INDEX(Batters[[#All],[K P]],MATCH(Table5[[#This Row],[PID]],Batters[[#All],[PID]],0)),INDEX(Table3[[#All],[STM]],MATCH(Table5[[#This Row],[PID]],Table3[[#All],[PID]],0)))</f>
        <v>7</v>
      </c>
      <c r="Q554" s="63">
        <f>IF($C554="B",INDEX(Batters[[#All],[Tot]],MATCH(Table5[[#This Row],[PID]],Batters[[#All],[PID]],0)),INDEX(Table3[[#All],[Tot]],MATCH(Table5[[#This Row],[PID]],Table3[[#All],[PID]],0)))</f>
        <v>29.787227891302827</v>
      </c>
      <c r="R554" s="54">
        <f>IF($C554="B",INDEX(Batters[[#All],[zScore]],MATCH(Table5[[#This Row],[PID]],Batters[[#All],[PID]],0)),INDEX(Table3[[#All],[zScore]],MATCH(Table5[[#This Row],[PID]],Table3[[#All],[PID]],0)))</f>
        <v>-0.26915415023674472</v>
      </c>
      <c r="S554" s="60" t="str">
        <f>IF($C554="B",INDEX(Batters[[#All],[DEM]],MATCH(Table5[[#This Row],[PID]],Batters[[#All],[PID]],0)),INDEX(Table3[[#All],[DEM]],MATCH(Table5[[#This Row],[PID]],Table3[[#All],[PID]],0)))</f>
        <v>-</v>
      </c>
      <c r="T554" s="64">
        <f>IF($C554="B",VLOOKUP($A554,Bat!$A$4:$AU$1417,46,FALSE),VLOOKUP($A554,Pit!$A$4:$BD$570,55,FALSE))</f>
        <v>0</v>
      </c>
      <c r="U554" s="52">
        <f>IF($C554="B",VLOOKUP($A554,Bat!$A$4:$BA$1417,47,FALSE),VLOOKUP($A554,Pit!$A$4:$BF$570,56,FALSE))</f>
        <v>0</v>
      </c>
      <c r="V554" s="52">
        <f>IF($C554="B",VLOOKUP($A554,Bat!$A$4:$BA$1417,48,FALSE),VLOOKUP($A554,Pit!$A$4:$BF$570,57,FALSE))</f>
        <v>0</v>
      </c>
      <c r="W554" s="52">
        <f>Table5[[#This Row],[posRnk]]+Table5[[#This Row],[zRnk]]+IF($W$3&lt;&gt;Table5[[#This Row],[Type]],50,0)</f>
        <v>600</v>
      </c>
      <c r="X554" s="53">
        <f>RANK(Table5[[#This Row],[zScore]],Table5[[#All],[zScore]])</f>
        <v>550</v>
      </c>
      <c r="Y554" s="52" t="str">
        <f>IFERROR(INDEX(DraftResults[[#All],[OVR]],MATCH(Table5[[#This Row],[PID]],DraftResults[[#All],[Player ID]],0)),"")</f>
        <v/>
      </c>
      <c r="Z5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4" s="52" t="str">
        <f>IFERROR(INDEX(DraftResults[[#All],[Pick in Round]],MATCH(Table5[[#This Row],[PID]],DraftResults[[#All],[Player ID]],0)),"")</f>
        <v/>
      </c>
      <c r="AB554" s="52" t="str">
        <f>IFERROR(INDEX(DraftResults[[#All],[Team Name]],MATCH(Table5[[#This Row],[PID]],DraftResults[[#All],[Player ID]],0)),"")</f>
        <v/>
      </c>
      <c r="AC554" s="52" t="str">
        <f>IF(Table5[[#This Row],[Ovr]]="","",IF(Table5[[#This Row],[cmbList]]="","",Table5[[#This Row],[cmbList]]-Table5[[#This Row],[Ovr]]))</f>
        <v/>
      </c>
      <c r="AD554" s="56" t="str">
        <f>IF(ISERROR(VLOOKUP($AB554&amp;"-"&amp;$E554&amp;" "&amp;F554,Bonuses!$B$1:$G$1006,4,FALSE)),"",INT(VLOOKUP($AB554&amp;"-"&amp;$E554&amp;" "&amp;$F554,Bonuses!$B$1:$G$1006,4,FALSE)))</f>
        <v/>
      </c>
      <c r="AE5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5" spans="1:31" s="52" customFormat="1" x14ac:dyDescent="0.25">
      <c r="A555" s="52">
        <v>6430</v>
      </c>
      <c r="B555" s="52">
        <f>COUNTIF(Table5[PID],A555)</f>
        <v>1</v>
      </c>
      <c r="C555" s="52" t="str">
        <f>IF(COUNTIF(Table3[[#All],[PID]],A555)&gt;0,"P","B")</f>
        <v>P</v>
      </c>
      <c r="D555" s="61" t="str">
        <f>IF($C555="B",INDEX(Batters[[#All],[POS]],MATCH(Table5[[#This Row],[PID]],Batters[[#All],[PID]],0)),INDEX(Table3[[#All],[POS]],MATCH(Table5[[#This Row],[PID]],Table3[[#All],[PID]],0)))</f>
        <v>RP</v>
      </c>
      <c r="E555" s="54" t="str">
        <f>IF($C555="B",INDEX(Batters[[#All],[First]],MATCH(Table5[[#This Row],[PID]],Batters[[#All],[PID]],0)),INDEX(Table3[[#All],[First]],MATCH(Table5[[#This Row],[PID]],Table3[[#All],[PID]],0)))</f>
        <v>Kenzo</v>
      </c>
      <c r="F555" s="52" t="str">
        <f>IF($C555="B",INDEX(Batters[[#All],[Last]],MATCH(A555,Batters[[#All],[PID]],0)),INDEX(Table3[[#All],[Last]],MATCH(A555,Table3[[#All],[PID]],0)))</f>
        <v>Tsuchiya</v>
      </c>
      <c r="G555" s="58">
        <f>IF($C555="B",INDEX(Batters[[#All],[Age]],MATCH(Table5[[#This Row],[PID]],Batters[[#All],[PID]],0)),INDEX(Table3[[#All],[Age]],MATCH(Table5[[#This Row],[PID]],Table3[[#All],[PID]],0)))</f>
        <v>18</v>
      </c>
      <c r="H555" s="54" t="str">
        <f>IF($C555="B",INDEX(Batters[[#All],[B]],MATCH(Table5[[#This Row],[PID]],Batters[[#All],[PID]],0)),INDEX(Table3[[#All],[B]],MATCH(Table5[[#This Row],[PID]],Table3[[#All],[PID]],0)))</f>
        <v>R</v>
      </c>
      <c r="I555" s="54" t="str">
        <f>IF($C555="B",INDEX(Batters[[#All],[T]],MATCH(Table5[[#This Row],[PID]],Batters[[#All],[PID]],0)),INDEX(Table3[[#All],[T]],MATCH(Table5[[#This Row],[PID]],Table3[[#All],[PID]],0)))</f>
        <v>R</v>
      </c>
      <c r="J555" s="54" t="str">
        <f>IF($C555="B",INDEX(Batters[[#All],[WE]],MATCH(Table5[[#This Row],[PID]],Batters[[#All],[PID]],0)),INDEX(Table3[[#All],[WE]],MATCH(Table5[[#This Row],[PID]],Table3[[#All],[PID]],0)))</f>
        <v>Low</v>
      </c>
      <c r="K555" s="54" t="str">
        <f>IF($C555="B",INDEX(Batters[[#All],[INT]],MATCH(Table5[[#This Row],[PID]],Batters[[#All],[PID]],0)),INDEX(Table3[[#All],[INT]],MATCH(Table5[[#This Row],[PID]],Table3[[#All],[PID]],0)))</f>
        <v>Normal</v>
      </c>
      <c r="L555" s="62">
        <f>IF($C555="B",INDEX(Batters[[#All],[CON P]],MATCH(Table5[[#This Row],[PID]],Batters[[#All],[PID]],0)),INDEX(Table3[[#All],[STU P]],MATCH(Table5[[#This Row],[PID]],Table3[[#All],[PID]],0)))</f>
        <v>4</v>
      </c>
      <c r="M555" s="58">
        <f>IF($C555="B",INDEX(Batters[[#All],[GAP P]],MATCH(Table5[[#This Row],[PID]],Batters[[#All],[PID]],0)),INDEX(Table3[[#All],[MOV P]],MATCH(Table5[[#This Row],[PID]],Table3[[#All],[PID]],0)))</f>
        <v>2</v>
      </c>
      <c r="N555" s="58">
        <f>IF($C555="B",INDEX(Batters[[#All],[POW P]],MATCH(Table5[[#This Row],[PID]],Batters[[#All],[PID]],0)),INDEX(Table3[[#All],[CON P]],MATCH(Table5[[#This Row],[PID]],Table3[[#All],[PID]],0)))</f>
        <v>2</v>
      </c>
      <c r="O555" s="58" t="str">
        <f>IF($C555="B",INDEX(Batters[[#All],[EYE P]],MATCH(Table5[[#This Row],[PID]],Batters[[#All],[PID]],0)),INDEX(Table3[[#All],[VELO]],MATCH(Table5[[#This Row],[PID]],Table3[[#All],[PID]],0)))</f>
        <v>85-87 Mph</v>
      </c>
      <c r="P555" s="58">
        <f>IF($C555="B",INDEX(Batters[[#All],[K P]],MATCH(Table5[[#This Row],[PID]],Batters[[#All],[PID]],0)),INDEX(Table3[[#All],[STM]],MATCH(Table5[[#This Row],[PID]],Table3[[#All],[PID]],0)))</f>
        <v>5</v>
      </c>
      <c r="Q555" s="63">
        <f>IF($C555="B",INDEX(Batters[[#All],[Tot]],MATCH(Table5[[#This Row],[PID]],Batters[[#All],[PID]],0)),INDEX(Table3[[#All],[Tot]],MATCH(Table5[[#This Row],[PID]],Table3[[#All],[PID]],0)))</f>
        <v>29.762254912056161</v>
      </c>
      <c r="R555" s="54">
        <f>IF($C555="B",INDEX(Batters[[#All],[zScore]],MATCH(Table5[[#This Row],[PID]],Batters[[#All],[PID]],0)),INDEX(Table3[[#All],[zScore]],MATCH(Table5[[#This Row],[PID]],Table3[[#All],[PID]],0)))</f>
        <v>-0.27144427917042058</v>
      </c>
      <c r="S555" s="60" t="str">
        <f>IF($C555="B",INDEX(Batters[[#All],[DEM]],MATCH(Table5[[#This Row],[PID]],Batters[[#All],[PID]],0)),INDEX(Table3[[#All],[DEM]],MATCH(Table5[[#This Row],[PID]],Table3[[#All],[PID]],0)))</f>
        <v>$65k</v>
      </c>
      <c r="T555" s="64">
        <f>IF($C555="B",VLOOKUP($A555,Bat!$A$4:$AU$1417,46,FALSE),VLOOKUP($A555,Pit!$A$4:$BD$570,55,FALSE))</f>
        <v>0</v>
      </c>
      <c r="U555" s="52">
        <f>IF($C555="B",VLOOKUP($A555,Bat!$A$4:$BA$1417,47,FALSE),VLOOKUP($A555,Pit!$A$4:$BF$570,56,FALSE))</f>
        <v>0</v>
      </c>
      <c r="V555" s="52">
        <f>IF($C555="B",VLOOKUP($A555,Bat!$A$4:$BA$1417,48,FALSE),VLOOKUP($A555,Pit!$A$4:$BF$570,57,FALSE))</f>
        <v>0</v>
      </c>
      <c r="W555" s="52">
        <f>Table5[[#This Row],[posRnk]]+Table5[[#This Row],[zRnk]]+IF($W$3&lt;&gt;Table5[[#This Row],[Type]],50,0)</f>
        <v>601</v>
      </c>
      <c r="X555" s="53">
        <f>RANK(Table5[[#This Row],[zScore]],Table5[[#All],[zScore]])</f>
        <v>551</v>
      </c>
      <c r="Y555" s="52" t="str">
        <f>IFERROR(INDEX(DraftResults[[#All],[OVR]],MATCH(Table5[[#This Row],[PID]],DraftResults[[#All],[Player ID]],0)),"")</f>
        <v/>
      </c>
      <c r="Z5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5" s="52" t="str">
        <f>IFERROR(INDEX(DraftResults[[#All],[Pick in Round]],MATCH(Table5[[#This Row],[PID]],DraftResults[[#All],[Player ID]],0)),"")</f>
        <v/>
      </c>
      <c r="AB555" s="52" t="str">
        <f>IFERROR(INDEX(DraftResults[[#All],[Team Name]],MATCH(Table5[[#This Row],[PID]],DraftResults[[#All],[Player ID]],0)),"")</f>
        <v/>
      </c>
      <c r="AC555" s="52" t="str">
        <f>IF(Table5[[#This Row],[Ovr]]="","",IF(Table5[[#This Row],[cmbList]]="","",Table5[[#This Row],[cmbList]]-Table5[[#This Row],[Ovr]]))</f>
        <v/>
      </c>
      <c r="AD555" s="56" t="str">
        <f>IF(ISERROR(VLOOKUP($AB555&amp;"-"&amp;$E555&amp;" "&amp;F555,Bonuses!$B$1:$G$1006,4,FALSE)),"",INT(VLOOKUP($AB555&amp;"-"&amp;$E555&amp;" "&amp;$F555,Bonuses!$B$1:$G$1006,4,FALSE)))</f>
        <v/>
      </c>
      <c r="AE5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6" spans="1:31" s="52" customFormat="1" x14ac:dyDescent="0.25">
      <c r="A556" s="52">
        <v>15535</v>
      </c>
      <c r="B556" s="52">
        <f>COUNTIF(Table5[PID],A556)</f>
        <v>1</v>
      </c>
      <c r="C556" s="52" t="str">
        <f>IF(COUNTIF(Table3[[#All],[PID]],A556)&gt;0,"P","B")</f>
        <v>B</v>
      </c>
      <c r="D556" s="61" t="str">
        <f>IF($C556="B",INDEX(Batters[[#All],[POS]],MATCH(Table5[[#This Row],[PID]],Batters[[#All],[PID]],0)),INDEX(Table3[[#All],[POS]],MATCH(Table5[[#This Row],[PID]],Table3[[#All],[PID]],0)))</f>
        <v>3B</v>
      </c>
      <c r="E556" s="54" t="str">
        <f>IF($C556="B",INDEX(Batters[[#All],[First]],MATCH(Table5[[#This Row],[PID]],Batters[[#All],[PID]],0)),INDEX(Table3[[#All],[First]],MATCH(Table5[[#This Row],[PID]],Table3[[#All],[PID]],0)))</f>
        <v>Shigemasa</v>
      </c>
      <c r="F556" s="52" t="str">
        <f>IF($C556="B",INDEX(Batters[[#All],[Last]],MATCH(A556,Batters[[#All],[PID]],0)),INDEX(Table3[[#All],[Last]],MATCH(A556,Table3[[#All],[PID]],0)))</f>
        <v>Taniguchi</v>
      </c>
      <c r="G556" s="58">
        <f>IF($C556="B",INDEX(Batters[[#All],[Age]],MATCH(Table5[[#This Row],[PID]],Batters[[#All],[PID]],0)),INDEX(Table3[[#All],[Age]],MATCH(Table5[[#This Row],[PID]],Table3[[#All],[PID]],0)))</f>
        <v>21</v>
      </c>
      <c r="H556" s="54" t="str">
        <f>IF($C556="B",INDEX(Batters[[#All],[B]],MATCH(Table5[[#This Row],[PID]],Batters[[#All],[PID]],0)),INDEX(Table3[[#All],[B]],MATCH(Table5[[#This Row],[PID]],Table3[[#All],[PID]],0)))</f>
        <v>R</v>
      </c>
      <c r="I556" s="54" t="str">
        <f>IF($C556="B",INDEX(Batters[[#All],[T]],MATCH(Table5[[#This Row],[PID]],Batters[[#All],[PID]],0)),INDEX(Table3[[#All],[T]],MATCH(Table5[[#This Row],[PID]],Table3[[#All],[PID]],0)))</f>
        <v>R</v>
      </c>
      <c r="J556" s="54" t="str">
        <f>IF($C556="B",INDEX(Batters[[#All],[WE]],MATCH(Table5[[#This Row],[PID]],Batters[[#All],[PID]],0)),INDEX(Table3[[#All],[WE]],MATCH(Table5[[#This Row],[PID]],Table3[[#All],[PID]],0)))</f>
        <v>Low</v>
      </c>
      <c r="K556" s="54" t="str">
        <f>IF($C556="B",INDEX(Batters[[#All],[INT]],MATCH(Table5[[#This Row],[PID]],Batters[[#All],[PID]],0)),INDEX(Table3[[#All],[INT]],MATCH(Table5[[#This Row],[PID]],Table3[[#All],[PID]],0)))</f>
        <v>High</v>
      </c>
      <c r="L556" s="62">
        <f>IF($C556="B",INDEX(Batters[[#All],[CON P]],MATCH(Table5[[#This Row],[PID]],Batters[[#All],[PID]],0)),INDEX(Table3[[#All],[STU P]],MATCH(Table5[[#This Row],[PID]],Table3[[#All],[PID]],0)))</f>
        <v>3</v>
      </c>
      <c r="M556" s="58">
        <f>IF($C556="B",INDEX(Batters[[#All],[GAP P]],MATCH(Table5[[#This Row],[PID]],Batters[[#All],[PID]],0)),INDEX(Table3[[#All],[MOV P]],MATCH(Table5[[#This Row],[PID]],Table3[[#All],[PID]],0)))</f>
        <v>5</v>
      </c>
      <c r="N556" s="58">
        <f>IF($C556="B",INDEX(Batters[[#All],[POW P]],MATCH(Table5[[#This Row],[PID]],Batters[[#All],[PID]],0)),INDEX(Table3[[#All],[CON P]],MATCH(Table5[[#This Row],[PID]],Table3[[#All],[PID]],0)))</f>
        <v>5</v>
      </c>
      <c r="O556" s="58">
        <f>IF($C556="B",INDEX(Batters[[#All],[EYE P]],MATCH(Table5[[#This Row],[PID]],Batters[[#All],[PID]],0)),INDEX(Table3[[#All],[VELO]],MATCH(Table5[[#This Row],[PID]],Table3[[#All],[PID]],0)))</f>
        <v>5</v>
      </c>
      <c r="P556" s="58">
        <f>IF($C556="B",INDEX(Batters[[#All],[K P]],MATCH(Table5[[#This Row],[PID]],Batters[[#All],[PID]],0)),INDEX(Table3[[#All],[STM]],MATCH(Table5[[#This Row],[PID]],Table3[[#All],[PID]],0)))</f>
        <v>2</v>
      </c>
      <c r="Q556" s="63">
        <f>IF($C556="B",INDEX(Batters[[#All],[Tot]],MATCH(Table5[[#This Row],[PID]],Batters[[#All],[PID]],0)),INDEX(Table3[[#All],[Tot]],MATCH(Table5[[#This Row],[PID]],Table3[[#All],[PID]],0)))</f>
        <v>38.789632133790946</v>
      </c>
      <c r="R556" s="54">
        <f>IF($C556="B",INDEX(Batters[[#All],[zScore]],MATCH(Table5[[#This Row],[PID]],Batters[[#All],[PID]],0)),INDEX(Table3[[#All],[zScore]],MATCH(Table5[[#This Row],[PID]],Table3[[#All],[PID]],0)))</f>
        <v>-0.27422798969894552</v>
      </c>
      <c r="S556" s="60" t="str">
        <f>IF($C556="B",INDEX(Batters[[#All],[DEM]],MATCH(Table5[[#This Row],[PID]],Batters[[#All],[PID]],0)),INDEX(Table3[[#All],[DEM]],MATCH(Table5[[#This Row],[PID]],Table3[[#All],[PID]],0)))</f>
        <v>-</v>
      </c>
      <c r="T556" s="64">
        <f>IF($C556="B",VLOOKUP($A556,Bat!$A$4:$AU$1417,46,FALSE),VLOOKUP($A556,Pit!$A$4:$BD$570,55,FALSE))</f>
        <v>0</v>
      </c>
      <c r="U556" s="52">
        <f>IF($C556="B",VLOOKUP($A556,Bat!$A$4:$BA$1417,47,FALSE),VLOOKUP($A556,Pit!$A$4:$BF$570,56,FALSE))</f>
        <v>0</v>
      </c>
      <c r="V556" s="52">
        <f>IF($C556="B",VLOOKUP($A556,Bat!$A$4:$BA$1417,48,FALSE),VLOOKUP($A556,Pit!$A$4:$BF$570,57,FALSE))</f>
        <v>0</v>
      </c>
      <c r="W556" s="52">
        <f>Table5[[#This Row],[posRnk]]+Table5[[#This Row],[zRnk]]+IF($W$3&lt;&gt;Table5[[#This Row],[Type]],50,0)</f>
        <v>602</v>
      </c>
      <c r="X556" s="53">
        <f>RANK(Table5[[#This Row],[zScore]],Table5[[#All],[zScore]])</f>
        <v>552</v>
      </c>
      <c r="Y556" s="52" t="str">
        <f>IFERROR(INDEX(DraftResults[[#All],[OVR]],MATCH(Table5[[#This Row],[PID]],DraftResults[[#All],[Player ID]],0)),"")</f>
        <v/>
      </c>
      <c r="Z5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6" s="52" t="str">
        <f>IFERROR(INDEX(DraftResults[[#All],[Pick in Round]],MATCH(Table5[[#This Row],[PID]],DraftResults[[#All],[Player ID]],0)),"")</f>
        <v/>
      </c>
      <c r="AB556" s="52" t="str">
        <f>IFERROR(INDEX(DraftResults[[#All],[Team Name]],MATCH(Table5[[#This Row],[PID]],DraftResults[[#All],[Player ID]],0)),"")</f>
        <v/>
      </c>
      <c r="AC556" s="52" t="str">
        <f>IF(Table5[[#This Row],[Ovr]]="","",IF(Table5[[#This Row],[cmbList]]="","",Table5[[#This Row],[cmbList]]-Table5[[#This Row],[Ovr]]))</f>
        <v/>
      </c>
      <c r="AD556" s="56" t="str">
        <f>IF(ISERROR(VLOOKUP($AB556&amp;"-"&amp;$E556&amp;" "&amp;F556,Bonuses!$B$1:$G$1006,4,FALSE)),"",INT(VLOOKUP($AB556&amp;"-"&amp;$E556&amp;" "&amp;$F556,Bonuses!$B$1:$G$1006,4,FALSE)))</f>
        <v/>
      </c>
      <c r="AE5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7" spans="1:31" s="52" customFormat="1" x14ac:dyDescent="0.25">
      <c r="A557" s="52">
        <v>11850</v>
      </c>
      <c r="B557" s="52">
        <f>COUNTIF(Table5[PID],A557)</f>
        <v>1</v>
      </c>
      <c r="C557" s="52" t="str">
        <f>IF(COUNTIF(Table3[[#All],[PID]],A557)&gt;0,"P","B")</f>
        <v>B</v>
      </c>
      <c r="D557" s="61" t="str">
        <f>IF($C557="B",INDEX(Batters[[#All],[POS]],MATCH(Table5[[#This Row],[PID]],Batters[[#All],[PID]],0)),INDEX(Table3[[#All],[POS]],MATCH(Table5[[#This Row],[PID]],Table3[[#All],[PID]],0)))</f>
        <v>LF</v>
      </c>
      <c r="E557" s="54" t="str">
        <f>IF($C557="B",INDEX(Batters[[#All],[First]],MATCH(Table5[[#This Row],[PID]],Batters[[#All],[PID]],0)),INDEX(Table3[[#All],[First]],MATCH(Table5[[#This Row],[PID]],Table3[[#All],[PID]],0)))</f>
        <v>Lawrence</v>
      </c>
      <c r="F557" s="52" t="str">
        <f>IF($C557="B",INDEX(Batters[[#All],[Last]],MATCH(A557,Batters[[#All],[PID]],0)),INDEX(Table3[[#All],[Last]],MATCH(A557,Table3[[#All],[PID]],0)))</f>
        <v>Marsh</v>
      </c>
      <c r="G557" s="58">
        <f>IF($C557="B",INDEX(Batters[[#All],[Age]],MATCH(Table5[[#This Row],[PID]],Batters[[#All],[PID]],0)),INDEX(Table3[[#All],[Age]],MATCH(Table5[[#This Row],[PID]],Table3[[#All],[PID]],0)))</f>
        <v>21</v>
      </c>
      <c r="H557" s="54" t="str">
        <f>IF($C557="B",INDEX(Batters[[#All],[B]],MATCH(Table5[[#This Row],[PID]],Batters[[#All],[PID]],0)),INDEX(Table3[[#All],[B]],MATCH(Table5[[#This Row],[PID]],Table3[[#All],[PID]],0)))</f>
        <v>L</v>
      </c>
      <c r="I557" s="54" t="str">
        <f>IF($C557="B",INDEX(Batters[[#All],[T]],MATCH(Table5[[#This Row],[PID]],Batters[[#All],[PID]],0)),INDEX(Table3[[#All],[T]],MATCH(Table5[[#This Row],[PID]],Table3[[#All],[PID]],0)))</f>
        <v>L</v>
      </c>
      <c r="J557" s="54" t="str">
        <f>IF($C557="B",INDEX(Batters[[#All],[WE]],MATCH(Table5[[#This Row],[PID]],Batters[[#All],[PID]],0)),INDEX(Table3[[#All],[WE]],MATCH(Table5[[#This Row],[PID]],Table3[[#All],[PID]],0)))</f>
        <v>Normal</v>
      </c>
      <c r="K557" s="54" t="str">
        <f>IF($C557="B",INDEX(Batters[[#All],[INT]],MATCH(Table5[[#This Row],[PID]],Batters[[#All],[PID]],0)),INDEX(Table3[[#All],[INT]],MATCH(Table5[[#This Row],[PID]],Table3[[#All],[PID]],0)))</f>
        <v>Normal</v>
      </c>
      <c r="L557" s="62">
        <f>IF($C557="B",INDEX(Batters[[#All],[CON P]],MATCH(Table5[[#This Row],[PID]],Batters[[#All],[PID]],0)),INDEX(Table3[[#All],[STU P]],MATCH(Table5[[#This Row],[PID]],Table3[[#All],[PID]],0)))</f>
        <v>3</v>
      </c>
      <c r="M557" s="58">
        <f>IF($C557="B",INDEX(Batters[[#All],[GAP P]],MATCH(Table5[[#This Row],[PID]],Batters[[#All],[PID]],0)),INDEX(Table3[[#All],[MOV P]],MATCH(Table5[[#This Row],[PID]],Table3[[#All],[PID]],0)))</f>
        <v>3</v>
      </c>
      <c r="N557" s="58">
        <f>IF($C557="B",INDEX(Batters[[#All],[POW P]],MATCH(Table5[[#This Row],[PID]],Batters[[#All],[PID]],0)),INDEX(Table3[[#All],[CON P]],MATCH(Table5[[#This Row],[PID]],Table3[[#All],[PID]],0)))</f>
        <v>4</v>
      </c>
      <c r="O557" s="58">
        <f>IF($C557="B",INDEX(Batters[[#All],[EYE P]],MATCH(Table5[[#This Row],[PID]],Batters[[#All],[PID]],0)),INDEX(Table3[[#All],[VELO]],MATCH(Table5[[#This Row],[PID]],Table3[[#All],[PID]],0)))</f>
        <v>6</v>
      </c>
      <c r="P557" s="58">
        <f>IF($C557="B",INDEX(Batters[[#All],[K P]],MATCH(Table5[[#This Row],[PID]],Batters[[#All],[PID]],0)),INDEX(Table3[[#All],[STM]],MATCH(Table5[[#This Row],[PID]],Table3[[#All],[PID]],0)))</f>
        <v>4</v>
      </c>
      <c r="Q557" s="63">
        <f>IF($C557="B",INDEX(Batters[[#All],[Tot]],MATCH(Table5[[#This Row],[PID]],Batters[[#All],[PID]],0)),INDEX(Table3[[#All],[Tot]],MATCH(Table5[[#This Row],[PID]],Table3[[#All],[PID]],0)))</f>
        <v>38.788769609322728</v>
      </c>
      <c r="R557" s="54">
        <f>IF($C557="B",INDEX(Batters[[#All],[zScore]],MATCH(Table5[[#This Row],[PID]],Batters[[#All],[PID]],0)),INDEX(Table3[[#All],[zScore]],MATCH(Table5[[#This Row],[PID]],Table3[[#All],[PID]],0)))</f>
        <v>-0.27437974514652919</v>
      </c>
      <c r="S557" s="60" t="str">
        <f>IF($C557="B",INDEX(Batters[[#All],[DEM]],MATCH(Table5[[#This Row],[PID]],Batters[[#All],[PID]],0)),INDEX(Table3[[#All],[DEM]],MATCH(Table5[[#This Row],[PID]],Table3[[#All],[PID]],0)))</f>
        <v>$35k</v>
      </c>
      <c r="T557" s="64">
        <f>IF($C557="B",VLOOKUP($A557,Bat!$A$4:$AU$1417,46,FALSE),VLOOKUP($A557,Pit!$A$4:$BD$570,55,FALSE))</f>
        <v>0</v>
      </c>
      <c r="U557" s="52">
        <f>IF($C557="B",VLOOKUP($A557,Bat!$A$4:$BA$1417,47,FALSE),VLOOKUP($A557,Pit!$A$4:$BF$570,56,FALSE))</f>
        <v>0</v>
      </c>
      <c r="V557" s="52">
        <f>IF($C557="B",VLOOKUP($A557,Bat!$A$4:$BA$1417,48,FALSE),VLOOKUP($A557,Pit!$A$4:$BF$570,57,FALSE))</f>
        <v>0</v>
      </c>
      <c r="W557" s="52">
        <f>Table5[[#This Row],[posRnk]]+Table5[[#This Row],[zRnk]]+IF($W$3&lt;&gt;Table5[[#This Row],[Type]],50,0)</f>
        <v>603</v>
      </c>
      <c r="X557" s="53">
        <f>RANK(Table5[[#This Row],[zScore]],Table5[[#All],[zScore]])</f>
        <v>553</v>
      </c>
      <c r="Y557" s="52" t="str">
        <f>IFERROR(INDEX(DraftResults[[#All],[OVR]],MATCH(Table5[[#This Row],[PID]],DraftResults[[#All],[Player ID]],0)),"")</f>
        <v/>
      </c>
      <c r="Z5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7" s="52" t="str">
        <f>IFERROR(INDEX(DraftResults[[#All],[Pick in Round]],MATCH(Table5[[#This Row],[PID]],DraftResults[[#All],[Player ID]],0)),"")</f>
        <v/>
      </c>
      <c r="AB557" s="52" t="str">
        <f>IFERROR(INDEX(DraftResults[[#All],[Team Name]],MATCH(Table5[[#This Row],[PID]],DraftResults[[#All],[Player ID]],0)),"")</f>
        <v/>
      </c>
      <c r="AC557" s="52" t="str">
        <f>IF(Table5[[#This Row],[Ovr]]="","",IF(Table5[[#This Row],[cmbList]]="","",Table5[[#This Row],[cmbList]]-Table5[[#This Row],[Ovr]]))</f>
        <v/>
      </c>
      <c r="AD557" s="56" t="str">
        <f>IF(ISERROR(VLOOKUP($AB557&amp;"-"&amp;$E557&amp;" "&amp;F557,Bonuses!$B$1:$G$1006,4,FALSE)),"",INT(VLOOKUP($AB557&amp;"-"&amp;$E557&amp;" "&amp;$F557,Bonuses!$B$1:$G$1006,4,FALSE)))</f>
        <v/>
      </c>
      <c r="AE5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8" spans="1:31" s="52" customFormat="1" x14ac:dyDescent="0.25">
      <c r="A558" s="52">
        <v>8671</v>
      </c>
      <c r="B558" s="52">
        <f>COUNTIF(Table5[PID],A558)</f>
        <v>1</v>
      </c>
      <c r="C558" s="52" t="str">
        <f>IF(COUNTIF(Table3[[#All],[PID]],A558)&gt;0,"P","B")</f>
        <v>P</v>
      </c>
      <c r="D558" s="61" t="str">
        <f>IF($C558="B",INDEX(Batters[[#All],[POS]],MATCH(Table5[[#This Row],[PID]],Batters[[#All],[PID]],0)),INDEX(Table3[[#All],[POS]],MATCH(Table5[[#This Row],[PID]],Table3[[#All],[PID]],0)))</f>
        <v>RP</v>
      </c>
      <c r="E558" s="54" t="str">
        <f>IF($C558="B",INDEX(Batters[[#All],[First]],MATCH(Table5[[#This Row],[PID]],Batters[[#All],[PID]],0)),INDEX(Table3[[#All],[First]],MATCH(Table5[[#This Row],[PID]],Table3[[#All],[PID]],0)))</f>
        <v>Rob</v>
      </c>
      <c r="F558" s="52" t="str">
        <f>IF($C558="B",INDEX(Batters[[#All],[Last]],MATCH(A558,Batters[[#All],[PID]],0)),INDEX(Table3[[#All],[Last]],MATCH(A558,Table3[[#All],[PID]],0)))</f>
        <v>Clarke</v>
      </c>
      <c r="G558" s="58">
        <f>IF($C558="B",INDEX(Batters[[#All],[Age]],MATCH(Table5[[#This Row],[PID]],Batters[[#All],[PID]],0)),INDEX(Table3[[#All],[Age]],MATCH(Table5[[#This Row],[PID]],Table3[[#All],[PID]],0)))</f>
        <v>18</v>
      </c>
      <c r="H558" s="54" t="str">
        <f>IF($C558="B",INDEX(Batters[[#All],[B]],MATCH(Table5[[#This Row],[PID]],Batters[[#All],[PID]],0)),INDEX(Table3[[#All],[B]],MATCH(Table5[[#This Row],[PID]],Table3[[#All],[PID]],0)))</f>
        <v>R</v>
      </c>
      <c r="I558" s="54" t="str">
        <f>IF($C558="B",INDEX(Batters[[#All],[T]],MATCH(Table5[[#This Row],[PID]],Batters[[#All],[PID]],0)),INDEX(Table3[[#All],[T]],MATCH(Table5[[#This Row],[PID]],Table3[[#All],[PID]],0)))</f>
        <v>R</v>
      </c>
      <c r="J558" s="54" t="str">
        <f>IF($C558="B",INDEX(Batters[[#All],[WE]],MATCH(Table5[[#This Row],[PID]],Batters[[#All],[PID]],0)),INDEX(Table3[[#All],[WE]],MATCH(Table5[[#This Row],[PID]],Table3[[#All],[PID]],0)))</f>
        <v>Normal</v>
      </c>
      <c r="K558" s="54" t="str">
        <f>IF($C558="B",INDEX(Batters[[#All],[INT]],MATCH(Table5[[#This Row],[PID]],Batters[[#All],[PID]],0)),INDEX(Table3[[#All],[INT]],MATCH(Table5[[#This Row],[PID]],Table3[[#All],[PID]],0)))</f>
        <v>Normal</v>
      </c>
      <c r="L558" s="62">
        <f>IF($C558="B",INDEX(Batters[[#All],[CON P]],MATCH(Table5[[#This Row],[PID]],Batters[[#All],[PID]],0)),INDEX(Table3[[#All],[STU P]],MATCH(Table5[[#This Row],[PID]],Table3[[#All],[PID]],0)))</f>
        <v>4</v>
      </c>
      <c r="M558" s="58">
        <f>IF($C558="B",INDEX(Batters[[#All],[GAP P]],MATCH(Table5[[#This Row],[PID]],Batters[[#All],[PID]],0)),INDEX(Table3[[#All],[MOV P]],MATCH(Table5[[#This Row],[PID]],Table3[[#All],[PID]],0)))</f>
        <v>2</v>
      </c>
      <c r="N558" s="58">
        <f>IF($C558="B",INDEX(Batters[[#All],[POW P]],MATCH(Table5[[#This Row],[PID]],Batters[[#All],[PID]],0)),INDEX(Table3[[#All],[CON P]],MATCH(Table5[[#This Row],[PID]],Table3[[#All],[PID]],0)))</f>
        <v>2</v>
      </c>
      <c r="O558" s="58" t="str">
        <f>IF($C558="B",INDEX(Batters[[#All],[EYE P]],MATCH(Table5[[#This Row],[PID]],Batters[[#All],[PID]],0)),INDEX(Table3[[#All],[VELO]],MATCH(Table5[[#This Row],[PID]],Table3[[#All],[PID]],0)))</f>
        <v>85-87 Mph</v>
      </c>
      <c r="P558" s="58">
        <f>IF($C558="B",INDEX(Batters[[#All],[K P]],MATCH(Table5[[#This Row],[PID]],Batters[[#All],[PID]],0)),INDEX(Table3[[#All],[STM]],MATCH(Table5[[#This Row],[PID]],Table3[[#All],[PID]],0)))</f>
        <v>3</v>
      </c>
      <c r="Q558" s="63">
        <f>IF($C558="B",INDEX(Batters[[#All],[Tot]],MATCH(Table5[[#This Row],[PID]],Batters[[#All],[PID]],0)),INDEX(Table3[[#All],[Tot]],MATCH(Table5[[#This Row],[PID]],Table3[[#All],[PID]],0)))</f>
        <v>29.717610771546788</v>
      </c>
      <c r="R558" s="54">
        <f>IF($C558="B",INDEX(Batters[[#All],[zScore]],MATCH(Table5[[#This Row],[PID]],Batters[[#All],[PID]],0)),INDEX(Table3[[#All],[zScore]],MATCH(Table5[[#This Row],[PID]],Table3[[#All],[PID]],0)))</f>
        <v>-0.27553833766819691</v>
      </c>
      <c r="S558" s="60" t="str">
        <f>IF($C558="B",INDEX(Batters[[#All],[DEM]],MATCH(Table5[[#This Row],[PID]],Batters[[#All],[PID]],0)),INDEX(Table3[[#All],[DEM]],MATCH(Table5[[#This Row],[PID]],Table3[[#All],[PID]],0)))</f>
        <v>$75k</v>
      </c>
      <c r="T558" s="64">
        <f>IF($C558="B",VLOOKUP($A558,Bat!$A$4:$AU$1417,46,FALSE),VLOOKUP($A558,Pit!$A$4:$BD$570,55,FALSE))</f>
        <v>0</v>
      </c>
      <c r="U558" s="52">
        <f>IF($C558="B",VLOOKUP($A558,Bat!$A$4:$BA$1417,47,FALSE),VLOOKUP($A558,Pit!$A$4:$BF$570,56,FALSE))</f>
        <v>0</v>
      </c>
      <c r="V558" s="52">
        <f>IF($C558="B",VLOOKUP($A558,Bat!$A$4:$BA$1417,48,FALSE),VLOOKUP($A558,Pit!$A$4:$BF$570,57,FALSE))</f>
        <v>0</v>
      </c>
      <c r="W558" s="52">
        <f>Table5[[#This Row],[posRnk]]+Table5[[#This Row],[zRnk]]+IF($W$3&lt;&gt;Table5[[#This Row],[Type]],50,0)</f>
        <v>604</v>
      </c>
      <c r="X558" s="53">
        <f>RANK(Table5[[#This Row],[zScore]],Table5[[#All],[zScore]])</f>
        <v>554</v>
      </c>
      <c r="Y558" s="52" t="str">
        <f>IFERROR(INDEX(DraftResults[[#All],[OVR]],MATCH(Table5[[#This Row],[PID]],DraftResults[[#All],[Player ID]],0)),"")</f>
        <v/>
      </c>
      <c r="Z5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8" s="52" t="str">
        <f>IFERROR(INDEX(DraftResults[[#All],[Pick in Round]],MATCH(Table5[[#This Row],[PID]],DraftResults[[#All],[Player ID]],0)),"")</f>
        <v/>
      </c>
      <c r="AB558" s="52" t="str">
        <f>IFERROR(INDEX(DraftResults[[#All],[Team Name]],MATCH(Table5[[#This Row],[PID]],DraftResults[[#All],[Player ID]],0)),"")</f>
        <v/>
      </c>
      <c r="AC558" s="52" t="str">
        <f>IF(Table5[[#This Row],[Ovr]]="","",IF(Table5[[#This Row],[cmbList]]="","",Table5[[#This Row],[cmbList]]-Table5[[#This Row],[Ovr]]))</f>
        <v/>
      </c>
      <c r="AD558" s="56" t="str">
        <f>IF(ISERROR(VLOOKUP($AB558&amp;"-"&amp;$E558&amp;" "&amp;F558,Bonuses!$B$1:$G$1006,4,FALSE)),"",INT(VLOOKUP($AB558&amp;"-"&amp;$E558&amp;" "&amp;$F558,Bonuses!$B$1:$G$1006,4,FALSE)))</f>
        <v/>
      </c>
      <c r="AE5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9" spans="1:31" s="52" customFormat="1" x14ac:dyDescent="0.25">
      <c r="A559" s="52">
        <v>7699</v>
      </c>
      <c r="B559" s="52">
        <f>COUNTIF(Table5[PID],A559)</f>
        <v>1</v>
      </c>
      <c r="C559" s="52" t="str">
        <f>IF(COUNTIF(Table3[[#All],[PID]],A559)&gt;0,"P","B")</f>
        <v>P</v>
      </c>
      <c r="D559" s="61" t="str">
        <f>IF($C559="B",INDEX(Batters[[#All],[POS]],MATCH(Table5[[#This Row],[PID]],Batters[[#All],[PID]],0)),INDEX(Table3[[#All],[POS]],MATCH(Table5[[#This Row],[PID]],Table3[[#All],[PID]],0)))</f>
        <v>RP</v>
      </c>
      <c r="E559" s="54" t="str">
        <f>IF($C559="B",INDEX(Batters[[#All],[First]],MATCH(Table5[[#This Row],[PID]],Batters[[#All],[PID]],0)),INDEX(Table3[[#All],[First]],MATCH(Table5[[#This Row],[PID]],Table3[[#All],[PID]],0)))</f>
        <v>Rafael</v>
      </c>
      <c r="F559" s="52" t="str">
        <f>IF($C559="B",INDEX(Batters[[#All],[Last]],MATCH(A559,Batters[[#All],[PID]],0)),INDEX(Table3[[#All],[Last]],MATCH(A559,Table3[[#All],[PID]],0)))</f>
        <v>Ortega</v>
      </c>
      <c r="G559" s="58">
        <f>IF($C559="B",INDEX(Batters[[#All],[Age]],MATCH(Table5[[#This Row],[PID]],Batters[[#All],[PID]],0)),INDEX(Table3[[#All],[Age]],MATCH(Table5[[#This Row],[PID]],Table3[[#All],[PID]],0)))</f>
        <v>18</v>
      </c>
      <c r="H559" s="54" t="str">
        <f>IF($C559="B",INDEX(Batters[[#All],[B]],MATCH(Table5[[#This Row],[PID]],Batters[[#All],[PID]],0)),INDEX(Table3[[#All],[B]],MATCH(Table5[[#This Row],[PID]],Table3[[#All],[PID]],0)))</f>
        <v>R</v>
      </c>
      <c r="I559" s="54" t="str">
        <f>IF($C559="B",INDEX(Batters[[#All],[T]],MATCH(Table5[[#This Row],[PID]],Batters[[#All],[PID]],0)),INDEX(Table3[[#All],[T]],MATCH(Table5[[#This Row],[PID]],Table3[[#All],[PID]],0)))</f>
        <v>R</v>
      </c>
      <c r="J559" s="54" t="str">
        <f>IF($C559="B",INDEX(Batters[[#All],[WE]],MATCH(Table5[[#This Row],[PID]],Batters[[#All],[PID]],0)),INDEX(Table3[[#All],[WE]],MATCH(Table5[[#This Row],[PID]],Table3[[#All],[PID]],0)))</f>
        <v>High</v>
      </c>
      <c r="K559" s="54" t="str">
        <f>IF($C559="B",INDEX(Batters[[#All],[INT]],MATCH(Table5[[#This Row],[PID]],Batters[[#All],[PID]],0)),INDEX(Table3[[#All],[INT]],MATCH(Table5[[#This Row],[PID]],Table3[[#All],[PID]],0)))</f>
        <v>Normal</v>
      </c>
      <c r="L559" s="62">
        <f>IF($C559="B",INDEX(Batters[[#All],[CON P]],MATCH(Table5[[#This Row],[PID]],Batters[[#All],[PID]],0)),INDEX(Table3[[#All],[STU P]],MATCH(Table5[[#This Row],[PID]],Table3[[#All],[PID]],0)))</f>
        <v>3</v>
      </c>
      <c r="M559" s="58">
        <f>IF($C559="B",INDEX(Batters[[#All],[GAP P]],MATCH(Table5[[#This Row],[PID]],Batters[[#All],[PID]],0)),INDEX(Table3[[#All],[MOV P]],MATCH(Table5[[#This Row],[PID]],Table3[[#All],[PID]],0)))</f>
        <v>2</v>
      </c>
      <c r="N559" s="58">
        <f>IF($C559="B",INDEX(Batters[[#All],[POW P]],MATCH(Table5[[#This Row],[PID]],Batters[[#All],[PID]],0)),INDEX(Table3[[#All],[CON P]],MATCH(Table5[[#This Row],[PID]],Table3[[#All],[PID]],0)))</f>
        <v>2</v>
      </c>
      <c r="O559" s="58" t="str">
        <f>IF($C559="B",INDEX(Batters[[#All],[EYE P]],MATCH(Table5[[#This Row],[PID]],Batters[[#All],[PID]],0)),INDEX(Table3[[#All],[VELO]],MATCH(Table5[[#This Row],[PID]],Table3[[#All],[PID]],0)))</f>
        <v>86-88 Mph</v>
      </c>
      <c r="P559" s="58">
        <f>IF($C559="B",INDEX(Batters[[#All],[K P]],MATCH(Table5[[#This Row],[PID]],Batters[[#All],[PID]],0)),INDEX(Table3[[#All],[STM]],MATCH(Table5[[#This Row],[PID]],Table3[[#All],[PID]],0)))</f>
        <v>6</v>
      </c>
      <c r="Q559" s="63">
        <f>IF($C559="B",INDEX(Batters[[#All],[Tot]],MATCH(Table5[[#This Row],[PID]],Batters[[#All],[PID]],0)),INDEX(Table3[[#All],[Tot]],MATCH(Table5[[#This Row],[PID]],Table3[[#All],[PID]],0)))</f>
        <v>27.218723125523727</v>
      </c>
      <c r="R559" s="54">
        <f>IF($C559="B",INDEX(Batters[[#All],[zScore]],MATCH(Table5[[#This Row],[PID]],Batters[[#All],[PID]],0)),INDEX(Table3[[#All],[zScore]],MATCH(Table5[[#This Row],[PID]],Table3[[#All],[PID]],0)))</f>
        <v>-0.27839862142093802</v>
      </c>
      <c r="S559" s="60" t="str">
        <f>IF($C559="B",INDEX(Batters[[#All],[DEM]],MATCH(Table5[[#This Row],[PID]],Batters[[#All],[PID]],0)),INDEX(Table3[[#All],[DEM]],MATCH(Table5[[#This Row],[PID]],Table3[[#All],[PID]],0)))</f>
        <v>$75k</v>
      </c>
      <c r="T559" s="64">
        <f>IF($C559="B",VLOOKUP($A559,Bat!$A$4:$AU$1417,46,FALSE),VLOOKUP($A559,Pit!$A$4:$BD$570,55,FALSE))</f>
        <v>0</v>
      </c>
      <c r="U559" s="52">
        <f>IF($C559="B",VLOOKUP($A559,Bat!$A$4:$BA$1417,47,FALSE),VLOOKUP($A559,Pit!$A$4:$BF$570,56,FALSE))</f>
        <v>0</v>
      </c>
      <c r="V559" s="52">
        <f>IF($C559="B",VLOOKUP($A559,Bat!$A$4:$BA$1417,48,FALSE),VLOOKUP($A559,Pit!$A$4:$BF$570,57,FALSE))</f>
        <v>0</v>
      </c>
      <c r="W559" s="52">
        <f>Table5[[#This Row],[posRnk]]+Table5[[#This Row],[zRnk]]+IF($W$3&lt;&gt;Table5[[#This Row],[Type]],50,0)</f>
        <v>605</v>
      </c>
      <c r="X559" s="53">
        <f>RANK(Table5[[#This Row],[zScore]],Table5[[#All],[zScore]])</f>
        <v>555</v>
      </c>
      <c r="Y559" s="52" t="str">
        <f>IFERROR(INDEX(DraftResults[[#All],[OVR]],MATCH(Table5[[#This Row],[PID]],DraftResults[[#All],[Player ID]],0)),"")</f>
        <v/>
      </c>
      <c r="Z5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9" s="52" t="str">
        <f>IFERROR(INDEX(DraftResults[[#All],[Pick in Round]],MATCH(Table5[[#This Row],[PID]],DraftResults[[#All],[Player ID]],0)),"")</f>
        <v/>
      </c>
      <c r="AB559" s="52" t="str">
        <f>IFERROR(INDEX(DraftResults[[#All],[Team Name]],MATCH(Table5[[#This Row],[PID]],DraftResults[[#All],[Player ID]],0)),"")</f>
        <v/>
      </c>
      <c r="AC559" s="52" t="str">
        <f>IF(Table5[[#This Row],[Ovr]]="","",IF(Table5[[#This Row],[cmbList]]="","",Table5[[#This Row],[cmbList]]-Table5[[#This Row],[Ovr]]))</f>
        <v/>
      </c>
      <c r="AD559" s="56" t="str">
        <f>IF(ISERROR(VLOOKUP($AB559&amp;"-"&amp;$E559&amp;" "&amp;F559,Bonuses!$B$1:$G$1006,4,FALSE)),"",INT(VLOOKUP($AB559&amp;"-"&amp;$E559&amp;" "&amp;$F559,Bonuses!$B$1:$G$1006,4,FALSE)))</f>
        <v/>
      </c>
      <c r="AE5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0" spans="1:31" s="52" customFormat="1" x14ac:dyDescent="0.25">
      <c r="A560" s="52">
        <v>15282</v>
      </c>
      <c r="B560" s="52">
        <f>COUNTIF(Table5[PID],A560)</f>
        <v>1</v>
      </c>
      <c r="C560" s="52" t="str">
        <f>IF(COUNTIF(Table3[[#All],[PID]],A560)&gt;0,"P","B")</f>
        <v>P</v>
      </c>
      <c r="D560" s="61" t="str">
        <f>IF($C560="B",INDEX(Batters[[#All],[POS]],MATCH(Table5[[#This Row],[PID]],Batters[[#All],[PID]],0)),INDEX(Table3[[#All],[POS]],MATCH(Table5[[#This Row],[PID]],Table3[[#All],[PID]],0)))</f>
        <v>RP</v>
      </c>
      <c r="E560" s="54" t="str">
        <f>IF($C560="B",INDEX(Batters[[#All],[First]],MATCH(Table5[[#This Row],[PID]],Batters[[#All],[PID]],0)),INDEX(Table3[[#All],[First]],MATCH(Table5[[#This Row],[PID]],Table3[[#All],[PID]],0)))</f>
        <v>Juan</v>
      </c>
      <c r="F560" s="52" t="str">
        <f>IF($C560="B",INDEX(Batters[[#All],[Last]],MATCH(A560,Batters[[#All],[PID]],0)),INDEX(Table3[[#All],[Last]],MATCH(A560,Table3[[#All],[PID]],0)))</f>
        <v>Gonzáles</v>
      </c>
      <c r="G560" s="58">
        <f>IF($C560="B",INDEX(Batters[[#All],[Age]],MATCH(Table5[[#This Row],[PID]],Batters[[#All],[PID]],0)),INDEX(Table3[[#All],[Age]],MATCH(Table5[[#This Row],[PID]],Table3[[#All],[PID]],0)))</f>
        <v>18</v>
      </c>
      <c r="H560" s="54" t="str">
        <f>IF($C560="B",INDEX(Batters[[#All],[B]],MATCH(Table5[[#This Row],[PID]],Batters[[#All],[PID]],0)),INDEX(Table3[[#All],[B]],MATCH(Table5[[#This Row],[PID]],Table3[[#All],[PID]],0)))</f>
        <v>R</v>
      </c>
      <c r="I560" s="54" t="str">
        <f>IF($C560="B",INDEX(Batters[[#All],[T]],MATCH(Table5[[#This Row],[PID]],Batters[[#All],[PID]],0)),INDEX(Table3[[#All],[T]],MATCH(Table5[[#This Row],[PID]],Table3[[#All],[PID]],0)))</f>
        <v>R</v>
      </c>
      <c r="J560" s="54" t="str">
        <f>IF($C560="B",INDEX(Batters[[#All],[WE]],MATCH(Table5[[#This Row],[PID]],Batters[[#All],[PID]],0)),INDEX(Table3[[#All],[WE]],MATCH(Table5[[#This Row],[PID]],Table3[[#All],[PID]],0)))</f>
        <v>Normal</v>
      </c>
      <c r="K560" s="54" t="str">
        <f>IF($C560="B",INDEX(Batters[[#All],[INT]],MATCH(Table5[[#This Row],[PID]],Batters[[#All],[PID]],0)),INDEX(Table3[[#All],[INT]],MATCH(Table5[[#This Row],[PID]],Table3[[#All],[PID]],0)))</f>
        <v>Normal</v>
      </c>
      <c r="L560" s="62">
        <f>IF($C560="B",INDEX(Batters[[#All],[CON P]],MATCH(Table5[[#This Row],[PID]],Batters[[#All],[PID]],0)),INDEX(Table3[[#All],[STU P]],MATCH(Table5[[#This Row],[PID]],Table3[[#All],[PID]],0)))</f>
        <v>3</v>
      </c>
      <c r="M560" s="58">
        <f>IF($C560="B",INDEX(Batters[[#All],[GAP P]],MATCH(Table5[[#This Row],[PID]],Batters[[#All],[PID]],0)),INDEX(Table3[[#All],[MOV P]],MATCH(Table5[[#This Row],[PID]],Table3[[#All],[PID]],0)))</f>
        <v>2</v>
      </c>
      <c r="N560" s="58">
        <f>IF($C560="B",INDEX(Batters[[#All],[POW P]],MATCH(Table5[[#This Row],[PID]],Batters[[#All],[PID]],0)),INDEX(Table3[[#All],[CON P]],MATCH(Table5[[#This Row],[PID]],Table3[[#All],[PID]],0)))</f>
        <v>2</v>
      </c>
      <c r="O560" s="58" t="str">
        <f>IF($C560="B",INDEX(Batters[[#All],[EYE P]],MATCH(Table5[[#This Row],[PID]],Batters[[#All],[PID]],0)),INDEX(Table3[[#All],[VELO]],MATCH(Table5[[#This Row],[PID]],Table3[[#All],[PID]],0)))</f>
        <v>84-86 Mph</v>
      </c>
      <c r="P560" s="58">
        <f>IF($C560="B",INDEX(Batters[[#All],[K P]],MATCH(Table5[[#This Row],[PID]],Batters[[#All],[PID]],0)),INDEX(Table3[[#All],[STM]],MATCH(Table5[[#This Row],[PID]],Table3[[#All],[PID]],0)))</f>
        <v>7</v>
      </c>
      <c r="Q560" s="63">
        <f>IF($C560="B",INDEX(Batters[[#All],[Tot]],MATCH(Table5[[#This Row],[PID]],Batters[[#All],[PID]],0)),INDEX(Table3[[#All],[Tot]],MATCH(Table5[[#This Row],[PID]],Table3[[#All],[PID]],0)))</f>
        <v>27.179528543019</v>
      </c>
      <c r="R560" s="54">
        <f>IF($C560="B",INDEX(Batters[[#All],[zScore]],MATCH(Table5[[#This Row],[PID]],Batters[[#All],[PID]],0)),INDEX(Table3[[#All],[zScore]],MATCH(Table5[[#This Row],[PID]],Table3[[#All],[PID]],0)))</f>
        <v>-0.28183373660329836</v>
      </c>
      <c r="S560" s="60" t="str">
        <f>IF($C560="B",INDEX(Batters[[#All],[DEM]],MATCH(Table5[[#This Row],[PID]],Batters[[#All],[PID]],0)),INDEX(Table3[[#All],[DEM]],MATCH(Table5[[#This Row],[PID]],Table3[[#All],[PID]],0)))</f>
        <v>$65k</v>
      </c>
      <c r="T560" s="64">
        <f>IF($C560="B",VLOOKUP($A560,Bat!$A$4:$AU$1417,46,FALSE),VLOOKUP($A560,Pit!$A$4:$BD$570,55,FALSE))</f>
        <v>0</v>
      </c>
      <c r="U560" s="52">
        <f>IF($C560="B",VLOOKUP($A560,Bat!$A$4:$BA$1417,47,FALSE),VLOOKUP($A560,Pit!$A$4:$BF$570,56,FALSE))</f>
        <v>0</v>
      </c>
      <c r="V560" s="52">
        <f>IF($C560="B",VLOOKUP($A560,Bat!$A$4:$BA$1417,48,FALSE),VLOOKUP($A560,Pit!$A$4:$BF$570,57,FALSE))</f>
        <v>0</v>
      </c>
      <c r="W560" s="52">
        <f>Table5[[#This Row],[posRnk]]+Table5[[#This Row],[zRnk]]+IF($W$3&lt;&gt;Table5[[#This Row],[Type]],50,0)</f>
        <v>606</v>
      </c>
      <c r="X560" s="53">
        <f>RANK(Table5[[#This Row],[zScore]],Table5[[#All],[zScore]])</f>
        <v>556</v>
      </c>
      <c r="Y560" s="52" t="str">
        <f>IFERROR(INDEX(DraftResults[[#All],[OVR]],MATCH(Table5[[#This Row],[PID]],DraftResults[[#All],[Player ID]],0)),"")</f>
        <v/>
      </c>
      <c r="Z5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0" s="52" t="str">
        <f>IFERROR(INDEX(DraftResults[[#All],[Pick in Round]],MATCH(Table5[[#This Row],[PID]],DraftResults[[#All],[Player ID]],0)),"")</f>
        <v/>
      </c>
      <c r="AB560" s="52" t="str">
        <f>IFERROR(INDEX(DraftResults[[#All],[Team Name]],MATCH(Table5[[#This Row],[PID]],DraftResults[[#All],[Player ID]],0)),"")</f>
        <v/>
      </c>
      <c r="AC560" s="52" t="str">
        <f>IF(Table5[[#This Row],[Ovr]]="","",IF(Table5[[#This Row],[cmbList]]="","",Table5[[#This Row],[cmbList]]-Table5[[#This Row],[Ovr]]))</f>
        <v/>
      </c>
      <c r="AD560" s="56" t="str">
        <f>IF(ISERROR(VLOOKUP($AB560&amp;"-"&amp;$E560&amp;" "&amp;F560,Bonuses!$B$1:$G$1006,4,FALSE)),"",INT(VLOOKUP($AB560&amp;"-"&amp;$E560&amp;" "&amp;$F560,Bonuses!$B$1:$G$1006,4,FALSE)))</f>
        <v/>
      </c>
      <c r="AE5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1" spans="1:31" s="52" customFormat="1" x14ac:dyDescent="0.25">
      <c r="A561" s="52">
        <v>13121</v>
      </c>
      <c r="B561" s="52">
        <f>COUNTIF(Table5[PID],A561)</f>
        <v>1</v>
      </c>
      <c r="C561" s="52" t="str">
        <f>IF(COUNTIF(Table3[[#All],[PID]],A561)&gt;0,"P","B")</f>
        <v>B</v>
      </c>
      <c r="D561" s="61" t="str">
        <f>IF($C561="B",INDEX(Batters[[#All],[POS]],MATCH(Table5[[#This Row],[PID]],Batters[[#All],[PID]],0)),INDEX(Table3[[#All],[POS]],MATCH(Table5[[#This Row],[PID]],Table3[[#All],[PID]],0)))</f>
        <v>2B</v>
      </c>
      <c r="E561" s="54" t="str">
        <f>IF($C561="B",INDEX(Batters[[#All],[First]],MATCH(Table5[[#This Row],[PID]],Batters[[#All],[PID]],0)),INDEX(Table3[[#All],[First]],MATCH(Table5[[#This Row],[PID]],Table3[[#All],[PID]],0)))</f>
        <v>Pablo</v>
      </c>
      <c r="F561" s="52" t="str">
        <f>IF($C561="B",INDEX(Batters[[#All],[Last]],MATCH(A561,Batters[[#All],[PID]],0)),INDEX(Table3[[#All],[Last]],MATCH(A561,Table3[[#All],[PID]],0)))</f>
        <v>Laro</v>
      </c>
      <c r="G561" s="58">
        <f>IF($C561="B",INDEX(Batters[[#All],[Age]],MATCH(Table5[[#This Row],[PID]],Batters[[#All],[PID]],0)),INDEX(Table3[[#All],[Age]],MATCH(Table5[[#This Row],[PID]],Table3[[#All],[PID]],0)))</f>
        <v>18</v>
      </c>
      <c r="H561" s="54" t="str">
        <f>IF($C561="B",INDEX(Batters[[#All],[B]],MATCH(Table5[[#This Row],[PID]],Batters[[#All],[PID]],0)),INDEX(Table3[[#All],[B]],MATCH(Table5[[#This Row],[PID]],Table3[[#All],[PID]],0)))</f>
        <v>R</v>
      </c>
      <c r="I561" s="54" t="str">
        <f>IF($C561="B",INDEX(Batters[[#All],[T]],MATCH(Table5[[#This Row],[PID]],Batters[[#All],[PID]],0)),INDEX(Table3[[#All],[T]],MATCH(Table5[[#This Row],[PID]],Table3[[#All],[PID]],0)))</f>
        <v>R</v>
      </c>
      <c r="J561" s="54" t="str">
        <f>IF($C561="B",INDEX(Batters[[#All],[WE]],MATCH(Table5[[#This Row],[PID]],Batters[[#All],[PID]],0)),INDEX(Table3[[#All],[WE]],MATCH(Table5[[#This Row],[PID]],Table3[[#All],[PID]],0)))</f>
        <v>Normal</v>
      </c>
      <c r="K561" s="54" t="str">
        <f>IF($C561="B",INDEX(Batters[[#All],[INT]],MATCH(Table5[[#This Row],[PID]],Batters[[#All],[PID]],0)),INDEX(Table3[[#All],[INT]],MATCH(Table5[[#This Row],[PID]],Table3[[#All],[PID]],0)))</f>
        <v>Normal</v>
      </c>
      <c r="L561" s="62">
        <f>IF($C561="B",INDEX(Batters[[#All],[CON P]],MATCH(Table5[[#This Row],[PID]],Batters[[#All],[PID]],0)),INDEX(Table3[[#All],[STU P]],MATCH(Table5[[#This Row],[PID]],Table3[[#All],[PID]],0)))</f>
        <v>2</v>
      </c>
      <c r="M561" s="58">
        <f>IF($C561="B",INDEX(Batters[[#All],[GAP P]],MATCH(Table5[[#This Row],[PID]],Batters[[#All],[PID]],0)),INDEX(Table3[[#All],[MOV P]],MATCH(Table5[[#This Row],[PID]],Table3[[#All],[PID]],0)))</f>
        <v>3</v>
      </c>
      <c r="N561" s="58">
        <f>IF($C561="B",INDEX(Batters[[#All],[POW P]],MATCH(Table5[[#This Row],[PID]],Batters[[#All],[PID]],0)),INDEX(Table3[[#All],[CON P]],MATCH(Table5[[#This Row],[PID]],Table3[[#All],[PID]],0)))</f>
        <v>6</v>
      </c>
      <c r="O561" s="58">
        <f>IF($C561="B",INDEX(Batters[[#All],[EYE P]],MATCH(Table5[[#This Row],[PID]],Batters[[#All],[PID]],0)),INDEX(Table3[[#All],[VELO]],MATCH(Table5[[#This Row],[PID]],Table3[[#All],[PID]],0)))</f>
        <v>4</v>
      </c>
      <c r="P561" s="58">
        <f>IF($C561="B",INDEX(Batters[[#All],[K P]],MATCH(Table5[[#This Row],[PID]],Batters[[#All],[PID]],0)),INDEX(Table3[[#All],[STM]],MATCH(Table5[[#This Row],[PID]],Table3[[#All],[PID]],0)))</f>
        <v>2</v>
      </c>
      <c r="Q561" s="63">
        <f>IF($C561="B",INDEX(Batters[[#All],[Tot]],MATCH(Table5[[#This Row],[PID]],Batters[[#All],[PID]],0)),INDEX(Table3[[#All],[Tot]],MATCH(Table5[[#This Row],[PID]],Table3[[#All],[PID]],0)))</f>
        <v>38.743954948020424</v>
      </c>
      <c r="R561" s="54">
        <f>IF($C561="B",INDEX(Batters[[#All],[zScore]],MATCH(Table5[[#This Row],[PID]],Batters[[#All],[PID]],0)),INDEX(Table3[[#All],[zScore]],MATCH(Table5[[#This Row],[PID]],Table3[[#All],[PID]],0)))</f>
        <v>-0.28226458695083484</v>
      </c>
      <c r="S561" s="60" t="str">
        <f>IF($C561="B",INDEX(Batters[[#All],[DEM]],MATCH(Table5[[#This Row],[PID]],Batters[[#All],[PID]],0)),INDEX(Table3[[#All],[DEM]],MATCH(Table5[[#This Row],[PID]],Table3[[#All],[PID]],0)))</f>
        <v>$200k</v>
      </c>
      <c r="T561" s="64">
        <f>IF($C561="B",VLOOKUP($A561,Bat!$A$4:$AU$1417,46,FALSE),VLOOKUP($A561,Pit!$A$4:$BD$570,55,FALSE))</f>
        <v>0</v>
      </c>
      <c r="U561" s="52">
        <f>IF($C561="B",VLOOKUP($A561,Bat!$A$4:$BA$1417,47,FALSE),VLOOKUP($A561,Pit!$A$4:$BF$570,56,FALSE))</f>
        <v>0</v>
      </c>
      <c r="V561" s="52">
        <f>IF($C561="B",VLOOKUP($A561,Bat!$A$4:$BA$1417,48,FALSE),VLOOKUP($A561,Pit!$A$4:$BF$570,57,FALSE))</f>
        <v>0</v>
      </c>
      <c r="W561" s="52">
        <f>Table5[[#This Row],[posRnk]]+Table5[[#This Row],[zRnk]]+IF($W$3&lt;&gt;Table5[[#This Row],[Type]],50,0)</f>
        <v>607</v>
      </c>
      <c r="X561" s="53">
        <f>RANK(Table5[[#This Row],[zScore]],Table5[[#All],[zScore]])</f>
        <v>557</v>
      </c>
      <c r="Y561" s="52" t="str">
        <f>IFERROR(INDEX(DraftResults[[#All],[OVR]],MATCH(Table5[[#This Row],[PID]],DraftResults[[#All],[Player ID]],0)),"")</f>
        <v/>
      </c>
      <c r="Z5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1" s="52" t="str">
        <f>IFERROR(INDEX(DraftResults[[#All],[Pick in Round]],MATCH(Table5[[#This Row],[PID]],DraftResults[[#All],[Player ID]],0)),"")</f>
        <v/>
      </c>
      <c r="AB561" s="52" t="str">
        <f>IFERROR(INDEX(DraftResults[[#All],[Team Name]],MATCH(Table5[[#This Row],[PID]],DraftResults[[#All],[Player ID]],0)),"")</f>
        <v/>
      </c>
      <c r="AC561" s="52" t="str">
        <f>IF(Table5[[#This Row],[Ovr]]="","",IF(Table5[[#This Row],[cmbList]]="","",Table5[[#This Row],[cmbList]]-Table5[[#This Row],[Ovr]]))</f>
        <v/>
      </c>
      <c r="AD561" s="56" t="str">
        <f>IF(ISERROR(VLOOKUP($AB561&amp;"-"&amp;$E561&amp;" "&amp;F561,Bonuses!$B$1:$G$1006,4,FALSE)),"",INT(VLOOKUP($AB561&amp;"-"&amp;$E561&amp;" "&amp;$F561,Bonuses!$B$1:$G$1006,4,FALSE)))</f>
        <v/>
      </c>
      <c r="AE5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2" spans="1:31" s="52" customFormat="1" x14ac:dyDescent="0.25">
      <c r="A562" s="52">
        <v>9832</v>
      </c>
      <c r="B562" s="52">
        <f>COUNTIF(Table5[PID],A562)</f>
        <v>1</v>
      </c>
      <c r="C562" s="52" t="str">
        <f>IF(COUNTIF(Table3[[#All],[PID]],A562)&gt;0,"P","B")</f>
        <v>P</v>
      </c>
      <c r="D562" s="61" t="str">
        <f>IF($C562="B",INDEX(Batters[[#All],[POS]],MATCH(Table5[[#This Row],[PID]],Batters[[#All],[PID]],0)),INDEX(Table3[[#All],[POS]],MATCH(Table5[[#This Row],[PID]],Table3[[#All],[PID]],0)))</f>
        <v>RP</v>
      </c>
      <c r="E562" s="54" t="str">
        <f>IF($C562="B",INDEX(Batters[[#All],[First]],MATCH(Table5[[#This Row],[PID]],Batters[[#All],[PID]],0)),INDEX(Table3[[#All],[First]],MATCH(Table5[[#This Row],[PID]],Table3[[#All],[PID]],0)))</f>
        <v>Paco</v>
      </c>
      <c r="F562" s="52" t="str">
        <f>IF($C562="B",INDEX(Batters[[#All],[Last]],MATCH(A562,Batters[[#All],[PID]],0)),INDEX(Table3[[#All],[Last]],MATCH(A562,Table3[[#All],[PID]],0)))</f>
        <v>Barbosa</v>
      </c>
      <c r="G562" s="58">
        <f>IF($C562="B",INDEX(Batters[[#All],[Age]],MATCH(Table5[[#This Row],[PID]],Batters[[#All],[PID]],0)),INDEX(Table3[[#All],[Age]],MATCH(Table5[[#This Row],[PID]],Table3[[#All],[PID]],0)))</f>
        <v>21</v>
      </c>
      <c r="H562" s="54" t="str">
        <f>IF($C562="B",INDEX(Batters[[#All],[B]],MATCH(Table5[[#This Row],[PID]],Batters[[#All],[PID]],0)),INDEX(Table3[[#All],[B]],MATCH(Table5[[#This Row],[PID]],Table3[[#All],[PID]],0)))</f>
        <v>R</v>
      </c>
      <c r="I562" s="54" t="str">
        <f>IF($C562="B",INDEX(Batters[[#All],[T]],MATCH(Table5[[#This Row],[PID]],Batters[[#All],[PID]],0)),INDEX(Table3[[#All],[T]],MATCH(Table5[[#This Row],[PID]],Table3[[#All],[PID]],0)))</f>
        <v>R</v>
      </c>
      <c r="J562" s="54" t="str">
        <f>IF($C562="B",INDEX(Batters[[#All],[WE]],MATCH(Table5[[#This Row],[PID]],Batters[[#All],[PID]],0)),INDEX(Table3[[#All],[WE]],MATCH(Table5[[#This Row],[PID]],Table3[[#All],[PID]],0)))</f>
        <v>Normal</v>
      </c>
      <c r="K562" s="54" t="str">
        <f>IF($C562="B",INDEX(Batters[[#All],[INT]],MATCH(Table5[[#This Row],[PID]],Batters[[#All],[PID]],0)),INDEX(Table3[[#All],[INT]],MATCH(Table5[[#This Row],[PID]],Table3[[#All],[PID]],0)))</f>
        <v>Normal</v>
      </c>
      <c r="L562" s="62">
        <f>IF($C562="B",INDEX(Batters[[#All],[CON P]],MATCH(Table5[[#This Row],[PID]],Batters[[#All],[PID]],0)),INDEX(Table3[[#All],[STU P]],MATCH(Table5[[#This Row],[PID]],Table3[[#All],[PID]],0)))</f>
        <v>5</v>
      </c>
      <c r="M562" s="58">
        <f>IF($C562="B",INDEX(Batters[[#All],[GAP P]],MATCH(Table5[[#This Row],[PID]],Batters[[#All],[PID]],0)),INDEX(Table3[[#All],[MOV P]],MATCH(Table5[[#This Row],[PID]],Table3[[#All],[PID]],0)))</f>
        <v>2</v>
      </c>
      <c r="N562" s="58">
        <f>IF($C562="B",INDEX(Batters[[#All],[POW P]],MATCH(Table5[[#This Row],[PID]],Batters[[#All],[PID]],0)),INDEX(Table3[[#All],[CON P]],MATCH(Table5[[#This Row],[PID]],Table3[[#All],[PID]],0)))</f>
        <v>2</v>
      </c>
      <c r="O562" s="58" t="str">
        <f>IF($C562="B",INDEX(Batters[[#All],[EYE P]],MATCH(Table5[[#This Row],[PID]],Batters[[#All],[PID]],0)),INDEX(Table3[[#All],[VELO]],MATCH(Table5[[#This Row],[PID]],Table3[[#All],[PID]],0)))</f>
        <v>89-91 Mph</v>
      </c>
      <c r="P562" s="58">
        <f>IF($C562="B",INDEX(Batters[[#All],[K P]],MATCH(Table5[[#This Row],[PID]],Batters[[#All],[PID]],0)),INDEX(Table3[[#All],[STM]],MATCH(Table5[[#This Row],[PID]],Table3[[#All],[PID]],0)))</f>
        <v>7</v>
      </c>
      <c r="Q562" s="63">
        <f>IF($C562="B",INDEX(Batters[[#All],[Tot]],MATCH(Table5[[#This Row],[PID]],Batters[[#All],[PID]],0)),INDEX(Table3[[#All],[Tot]],MATCH(Table5[[#This Row],[PID]],Table3[[#All],[PID]],0)))</f>
        <v>29.637227891302828</v>
      </c>
      <c r="R562" s="54">
        <f>IF($C562="B",INDEX(Batters[[#All],[zScore]],MATCH(Table5[[#This Row],[PID]],Batters[[#All],[PID]],0)),INDEX(Table3[[#All],[zScore]],MATCH(Table5[[#This Row],[PID]],Table3[[#All],[PID]],0)))</f>
        <v>-0.28290979135021888</v>
      </c>
      <c r="S562" s="60" t="str">
        <f>IF($C562="B",INDEX(Batters[[#All],[DEM]],MATCH(Table5[[#This Row],[PID]],Batters[[#All],[PID]],0)),INDEX(Table3[[#All],[DEM]],MATCH(Table5[[#This Row],[PID]],Table3[[#All],[PID]],0)))</f>
        <v>$20k</v>
      </c>
      <c r="T562" s="64">
        <f>IF($C562="B",VLOOKUP($A562,Bat!$A$4:$AU$1417,46,FALSE),VLOOKUP($A562,Pit!$A$4:$BD$570,55,FALSE))</f>
        <v>0</v>
      </c>
      <c r="U562" s="52">
        <f>IF($C562="B",VLOOKUP($A562,Bat!$A$4:$BA$1417,47,FALSE),VLOOKUP($A562,Pit!$A$4:$BF$570,56,FALSE))</f>
        <v>0</v>
      </c>
      <c r="V562" s="52">
        <f>IF($C562="B",VLOOKUP($A562,Bat!$A$4:$BA$1417,48,FALSE),VLOOKUP($A562,Pit!$A$4:$BF$570,57,FALSE))</f>
        <v>0</v>
      </c>
      <c r="W562" s="52">
        <f>Table5[[#This Row],[posRnk]]+Table5[[#This Row],[zRnk]]+IF($W$3&lt;&gt;Table5[[#This Row],[Type]],50,0)</f>
        <v>608</v>
      </c>
      <c r="X562" s="53">
        <f>RANK(Table5[[#This Row],[zScore]],Table5[[#All],[zScore]])</f>
        <v>558</v>
      </c>
      <c r="Y562" s="52" t="str">
        <f>IFERROR(INDEX(DraftResults[[#All],[OVR]],MATCH(Table5[[#This Row],[PID]],DraftResults[[#All],[Player ID]],0)),"")</f>
        <v/>
      </c>
      <c r="Z5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2" s="52" t="str">
        <f>IFERROR(INDEX(DraftResults[[#All],[Pick in Round]],MATCH(Table5[[#This Row],[PID]],DraftResults[[#All],[Player ID]],0)),"")</f>
        <v/>
      </c>
      <c r="AB562" s="52" t="str">
        <f>IFERROR(INDEX(DraftResults[[#All],[Team Name]],MATCH(Table5[[#This Row],[PID]],DraftResults[[#All],[Player ID]],0)),"")</f>
        <v/>
      </c>
      <c r="AC562" s="52" t="str">
        <f>IF(Table5[[#This Row],[Ovr]]="","",IF(Table5[[#This Row],[cmbList]]="","",Table5[[#This Row],[cmbList]]-Table5[[#This Row],[Ovr]]))</f>
        <v/>
      </c>
      <c r="AD562" s="56" t="str">
        <f>IF(ISERROR(VLOOKUP($AB562&amp;"-"&amp;$E562&amp;" "&amp;F562,Bonuses!$B$1:$G$1006,4,FALSE)),"",INT(VLOOKUP($AB562&amp;"-"&amp;$E562&amp;" "&amp;$F562,Bonuses!$B$1:$G$1006,4,FALSE)))</f>
        <v/>
      </c>
      <c r="AE5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3" spans="1:31" s="52" customFormat="1" x14ac:dyDescent="0.25">
      <c r="A563" s="52">
        <v>9487</v>
      </c>
      <c r="B563" s="52">
        <f>COUNTIF(Table5[PID],A563)</f>
        <v>1</v>
      </c>
      <c r="C563" s="52" t="str">
        <f>IF(COUNTIF(Table3[[#All],[PID]],A563)&gt;0,"P","B")</f>
        <v>P</v>
      </c>
      <c r="D563" s="61" t="str">
        <f>IF($C563="B",INDEX(Batters[[#All],[POS]],MATCH(Table5[[#This Row],[PID]],Batters[[#All],[PID]],0)),INDEX(Table3[[#All],[POS]],MATCH(Table5[[#This Row],[PID]],Table3[[#All],[PID]],0)))</f>
        <v>RP</v>
      </c>
      <c r="E563" s="54" t="str">
        <f>IF($C563="B",INDEX(Batters[[#All],[First]],MATCH(Table5[[#This Row],[PID]],Batters[[#All],[PID]],0)),INDEX(Table3[[#All],[First]],MATCH(Table5[[#This Row],[PID]],Table3[[#All],[PID]],0)))</f>
        <v>Dave</v>
      </c>
      <c r="F563" s="52" t="str">
        <f>IF($C563="B",INDEX(Batters[[#All],[Last]],MATCH(A563,Batters[[#All],[PID]],0)),INDEX(Table3[[#All],[Last]],MATCH(A563,Table3[[#All],[PID]],0)))</f>
        <v>McConnell</v>
      </c>
      <c r="G563" s="58">
        <f>IF($C563="B",INDEX(Batters[[#All],[Age]],MATCH(Table5[[#This Row],[PID]],Batters[[#All],[PID]],0)),INDEX(Table3[[#All],[Age]],MATCH(Table5[[#This Row],[PID]],Table3[[#All],[PID]],0)))</f>
        <v>21</v>
      </c>
      <c r="H563" s="54" t="str">
        <f>IF($C563="B",INDEX(Batters[[#All],[B]],MATCH(Table5[[#This Row],[PID]],Batters[[#All],[PID]],0)),INDEX(Table3[[#All],[B]],MATCH(Table5[[#This Row],[PID]],Table3[[#All],[PID]],0)))</f>
        <v>R</v>
      </c>
      <c r="I563" s="54" t="str">
        <f>IF($C563="B",INDEX(Batters[[#All],[T]],MATCH(Table5[[#This Row],[PID]],Batters[[#All],[PID]],0)),INDEX(Table3[[#All],[T]],MATCH(Table5[[#This Row],[PID]],Table3[[#All],[PID]],0)))</f>
        <v>R</v>
      </c>
      <c r="J563" s="54" t="str">
        <f>IF($C563="B",INDEX(Batters[[#All],[WE]],MATCH(Table5[[#This Row],[PID]],Batters[[#All],[PID]],0)),INDEX(Table3[[#All],[WE]],MATCH(Table5[[#This Row],[PID]],Table3[[#All],[PID]],0)))</f>
        <v>Low</v>
      </c>
      <c r="K563" s="54" t="str">
        <f>IF($C563="B",INDEX(Batters[[#All],[INT]],MATCH(Table5[[#This Row],[PID]],Batters[[#All],[PID]],0)),INDEX(Table3[[#All],[INT]],MATCH(Table5[[#This Row],[PID]],Table3[[#All],[PID]],0)))</f>
        <v>Normal</v>
      </c>
      <c r="L563" s="62">
        <f>IF($C563="B",INDEX(Batters[[#All],[CON P]],MATCH(Table5[[#This Row],[PID]],Batters[[#All],[PID]],0)),INDEX(Table3[[#All],[STU P]],MATCH(Table5[[#This Row],[PID]],Table3[[#All],[PID]],0)))</f>
        <v>5</v>
      </c>
      <c r="M563" s="58">
        <f>IF($C563="B",INDEX(Batters[[#All],[GAP P]],MATCH(Table5[[#This Row],[PID]],Batters[[#All],[PID]],0)),INDEX(Table3[[#All],[MOV P]],MATCH(Table5[[#This Row],[PID]],Table3[[#All],[PID]],0)))</f>
        <v>2</v>
      </c>
      <c r="N563" s="58">
        <f>IF($C563="B",INDEX(Batters[[#All],[POW P]],MATCH(Table5[[#This Row],[PID]],Batters[[#All],[PID]],0)),INDEX(Table3[[#All],[CON P]],MATCH(Table5[[#This Row],[PID]],Table3[[#All],[PID]],0)))</f>
        <v>2</v>
      </c>
      <c r="O563" s="58" t="str">
        <f>IF($C563="B",INDEX(Batters[[#All],[EYE P]],MATCH(Table5[[#This Row],[PID]],Batters[[#All],[PID]],0)),INDEX(Table3[[#All],[VELO]],MATCH(Table5[[#This Row],[PID]],Table3[[#All],[PID]],0)))</f>
        <v>93-95 Mph</v>
      </c>
      <c r="P563" s="58">
        <f>IF($C563="B",INDEX(Batters[[#All],[K P]],MATCH(Table5[[#This Row],[PID]],Batters[[#All],[PID]],0)),INDEX(Table3[[#All],[STM]],MATCH(Table5[[#This Row],[PID]],Table3[[#All],[PID]],0)))</f>
        <v>8</v>
      </c>
      <c r="Q563" s="63">
        <f>IF($C563="B",INDEX(Batters[[#All],[Tot]],MATCH(Table5[[#This Row],[PID]],Batters[[#All],[PID]],0)),INDEX(Table3[[#All],[Tot]],MATCH(Table5[[#This Row],[PID]],Table3[[#All],[PID]],0)))</f>
        <v>29.569408588585397</v>
      </c>
      <c r="R563" s="54">
        <f>IF($C563="B",INDEX(Batters[[#All],[zScore]],MATCH(Table5[[#This Row],[PID]],Batters[[#All],[PID]],0)),INDEX(Table3[[#All],[zScore]],MATCH(Table5[[#This Row],[PID]],Table3[[#All],[PID]],0)))</f>
        <v>-0.2891291112751993</v>
      </c>
      <c r="S563" s="60" t="str">
        <f>IF($C563="B",INDEX(Batters[[#All],[DEM]],MATCH(Table5[[#This Row],[PID]],Batters[[#All],[PID]],0)),INDEX(Table3[[#All],[DEM]],MATCH(Table5[[#This Row],[PID]],Table3[[#All],[PID]],0)))</f>
        <v>-</v>
      </c>
      <c r="T563" s="64">
        <f>IF($C563="B",VLOOKUP($A563,Bat!$A$4:$AU$1417,46,FALSE),VLOOKUP($A563,Pit!$A$4:$BD$570,55,FALSE))</f>
        <v>0</v>
      </c>
      <c r="U563" s="52">
        <f>IF($C563="B",VLOOKUP($A563,Bat!$A$4:$BA$1417,47,FALSE),VLOOKUP($A563,Pit!$A$4:$BF$570,56,FALSE))</f>
        <v>0</v>
      </c>
      <c r="V563" s="52">
        <f>IF($C563="B",VLOOKUP($A563,Bat!$A$4:$BA$1417,48,FALSE),VLOOKUP($A563,Pit!$A$4:$BF$570,57,FALSE))</f>
        <v>0</v>
      </c>
      <c r="W563" s="52">
        <f>Table5[[#This Row],[posRnk]]+Table5[[#This Row],[zRnk]]+IF($W$3&lt;&gt;Table5[[#This Row],[Type]],50,0)</f>
        <v>609</v>
      </c>
      <c r="X563" s="53">
        <f>RANK(Table5[[#This Row],[zScore]],Table5[[#All],[zScore]])</f>
        <v>559</v>
      </c>
      <c r="Y563" s="52" t="str">
        <f>IFERROR(INDEX(DraftResults[[#All],[OVR]],MATCH(Table5[[#This Row],[PID]],DraftResults[[#All],[Player ID]],0)),"")</f>
        <v/>
      </c>
      <c r="Z5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3" s="52" t="str">
        <f>IFERROR(INDEX(DraftResults[[#All],[Pick in Round]],MATCH(Table5[[#This Row],[PID]],DraftResults[[#All],[Player ID]],0)),"")</f>
        <v/>
      </c>
      <c r="AB563" s="52" t="str">
        <f>IFERROR(INDEX(DraftResults[[#All],[Team Name]],MATCH(Table5[[#This Row],[PID]],DraftResults[[#All],[Player ID]],0)),"")</f>
        <v/>
      </c>
      <c r="AC563" s="52" t="str">
        <f>IF(Table5[[#This Row],[Ovr]]="","",IF(Table5[[#This Row],[cmbList]]="","",Table5[[#This Row],[cmbList]]-Table5[[#This Row],[Ovr]]))</f>
        <v/>
      </c>
      <c r="AD563" s="56" t="str">
        <f>IF(ISERROR(VLOOKUP($AB563&amp;"-"&amp;$E563&amp;" "&amp;F563,Bonuses!$B$1:$G$1006,4,FALSE)),"",INT(VLOOKUP($AB563&amp;"-"&amp;$E563&amp;" "&amp;$F563,Bonuses!$B$1:$G$1006,4,FALSE)))</f>
        <v/>
      </c>
      <c r="AE5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4" spans="1:31" s="52" customFormat="1" x14ac:dyDescent="0.25">
      <c r="A564" s="52">
        <v>6628</v>
      </c>
      <c r="B564" s="52">
        <f>COUNTIF(Table5[PID],A564)</f>
        <v>1</v>
      </c>
      <c r="C564" s="52" t="str">
        <f>IF(COUNTIF(Table3[[#All],[PID]],A564)&gt;0,"P","B")</f>
        <v>P</v>
      </c>
      <c r="D564" s="61" t="str">
        <f>IF($C564="B",INDEX(Batters[[#All],[POS]],MATCH(Table5[[#This Row],[PID]],Batters[[#All],[PID]],0)),INDEX(Table3[[#All],[POS]],MATCH(Table5[[#This Row],[PID]],Table3[[#All],[PID]],0)))</f>
        <v>SP</v>
      </c>
      <c r="E564" s="54" t="str">
        <f>IF($C564="B",INDEX(Batters[[#All],[First]],MATCH(Table5[[#This Row],[PID]],Batters[[#All],[PID]],0)),INDEX(Table3[[#All],[First]],MATCH(Table5[[#This Row],[PID]],Table3[[#All],[PID]],0)))</f>
        <v>Nobuatsu</v>
      </c>
      <c r="F564" s="52" t="str">
        <f>IF($C564="B",INDEX(Batters[[#All],[Last]],MATCH(A564,Batters[[#All],[PID]],0)),INDEX(Table3[[#All],[Last]],MATCH(A564,Table3[[#All],[PID]],0)))</f>
        <v>Kobayashi</v>
      </c>
      <c r="G564" s="58">
        <f>IF($C564="B",INDEX(Batters[[#All],[Age]],MATCH(Table5[[#This Row],[PID]],Batters[[#All],[PID]],0)),INDEX(Table3[[#All],[Age]],MATCH(Table5[[#This Row],[PID]],Table3[[#All],[PID]],0)))</f>
        <v>18</v>
      </c>
      <c r="H564" s="54" t="str">
        <f>IF($C564="B",INDEX(Batters[[#All],[B]],MATCH(Table5[[#This Row],[PID]],Batters[[#All],[PID]],0)),INDEX(Table3[[#All],[B]],MATCH(Table5[[#This Row],[PID]],Table3[[#All],[PID]],0)))</f>
        <v>R</v>
      </c>
      <c r="I564" s="54" t="str">
        <f>IF($C564="B",INDEX(Batters[[#All],[T]],MATCH(Table5[[#This Row],[PID]],Batters[[#All],[PID]],0)),INDEX(Table3[[#All],[T]],MATCH(Table5[[#This Row],[PID]],Table3[[#All],[PID]],0)))</f>
        <v>R</v>
      </c>
      <c r="J564" s="54" t="str">
        <f>IF($C564="B",INDEX(Batters[[#All],[WE]],MATCH(Table5[[#This Row],[PID]],Batters[[#All],[PID]],0)),INDEX(Table3[[#All],[WE]],MATCH(Table5[[#This Row],[PID]],Table3[[#All],[PID]],0)))</f>
        <v>Normal</v>
      </c>
      <c r="K564" s="54" t="str">
        <f>IF($C564="B",INDEX(Batters[[#All],[INT]],MATCH(Table5[[#This Row],[PID]],Batters[[#All],[PID]],0)),INDEX(Table3[[#All],[INT]],MATCH(Table5[[#This Row],[PID]],Table3[[#All],[PID]],0)))</f>
        <v>Normal</v>
      </c>
      <c r="L564" s="62">
        <f>IF($C564="B",INDEX(Batters[[#All],[CON P]],MATCH(Table5[[#This Row],[PID]],Batters[[#All],[PID]],0)),INDEX(Table3[[#All],[STU P]],MATCH(Table5[[#This Row],[PID]],Table3[[#All],[PID]],0)))</f>
        <v>4</v>
      </c>
      <c r="M564" s="58">
        <f>IF($C564="B",INDEX(Batters[[#All],[GAP P]],MATCH(Table5[[#This Row],[PID]],Batters[[#All],[PID]],0)),INDEX(Table3[[#All],[MOV P]],MATCH(Table5[[#This Row],[PID]],Table3[[#All],[PID]],0)))</f>
        <v>2</v>
      </c>
      <c r="N564" s="58">
        <f>IF($C564="B",INDEX(Batters[[#All],[POW P]],MATCH(Table5[[#This Row],[PID]],Batters[[#All],[PID]],0)),INDEX(Table3[[#All],[CON P]],MATCH(Table5[[#This Row],[PID]],Table3[[#All],[PID]],0)))</f>
        <v>2</v>
      </c>
      <c r="O564" s="58" t="str">
        <f>IF($C564="B",INDEX(Batters[[#All],[EYE P]],MATCH(Table5[[#This Row],[PID]],Batters[[#All],[PID]],0)),INDEX(Table3[[#All],[VELO]],MATCH(Table5[[#This Row],[PID]],Table3[[#All],[PID]],0)))</f>
        <v>88-90 Mph</v>
      </c>
      <c r="P564" s="58">
        <f>IF($C564="B",INDEX(Batters[[#All],[K P]],MATCH(Table5[[#This Row],[PID]],Batters[[#All],[PID]],0)),INDEX(Table3[[#All],[STM]],MATCH(Table5[[#This Row],[PID]],Table3[[#All],[PID]],0)))</f>
        <v>9</v>
      </c>
      <c r="Q564" s="63">
        <f>IF($C564="B",INDEX(Batters[[#All],[Tot]],MATCH(Table5[[#This Row],[PID]],Batters[[#All],[PID]],0)),INDEX(Table3[[#All],[Tot]],MATCH(Table5[[#This Row],[PID]],Table3[[#All],[PID]],0)))</f>
        <v>29.565524871315692</v>
      </c>
      <c r="R564" s="54">
        <f>IF($C564="B",INDEX(Batters[[#All],[zScore]],MATCH(Table5[[#This Row],[PID]],Batters[[#All],[PID]],0)),INDEX(Table3[[#All],[zScore]],MATCH(Table5[[#This Row],[PID]],Table3[[#All],[PID]],0)))</f>
        <v>-0.28948526474818775</v>
      </c>
      <c r="S564" s="60" t="str">
        <f>IF($C564="B",INDEX(Batters[[#All],[DEM]],MATCH(Table5[[#This Row],[PID]],Batters[[#All],[PID]],0)),INDEX(Table3[[#All],[DEM]],MATCH(Table5[[#This Row],[PID]],Table3[[#All],[PID]],0)))</f>
        <v>$110k</v>
      </c>
      <c r="T564" s="64">
        <f>IF($C564="B",VLOOKUP($A564,Bat!$A$4:$AU$1417,46,FALSE),VLOOKUP($A564,Pit!$A$4:$BD$570,55,FALSE))</f>
        <v>0</v>
      </c>
      <c r="U564" s="52">
        <f>IF($C564="B",VLOOKUP($A564,Bat!$A$4:$BA$1417,47,FALSE),VLOOKUP($A564,Pit!$A$4:$BF$570,56,FALSE))</f>
        <v>0</v>
      </c>
      <c r="V564" s="52">
        <f>IF($C564="B",VLOOKUP($A564,Bat!$A$4:$BA$1417,48,FALSE),VLOOKUP($A564,Pit!$A$4:$BF$570,57,FALSE))</f>
        <v>0</v>
      </c>
      <c r="W564" s="52">
        <f>Table5[[#This Row],[posRnk]]+Table5[[#This Row],[zRnk]]+IF($W$3&lt;&gt;Table5[[#This Row],[Type]],50,0)</f>
        <v>610</v>
      </c>
      <c r="X564" s="53">
        <f>RANK(Table5[[#This Row],[zScore]],Table5[[#All],[zScore]])</f>
        <v>560</v>
      </c>
      <c r="Y564" s="52" t="str">
        <f>IFERROR(INDEX(DraftResults[[#All],[OVR]],MATCH(Table5[[#This Row],[PID]],DraftResults[[#All],[Player ID]],0)),"")</f>
        <v/>
      </c>
      <c r="Z5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4" s="52" t="str">
        <f>IFERROR(INDEX(DraftResults[[#All],[Pick in Round]],MATCH(Table5[[#This Row],[PID]],DraftResults[[#All],[Player ID]],0)),"")</f>
        <v/>
      </c>
      <c r="AB564" s="52" t="str">
        <f>IFERROR(INDEX(DraftResults[[#All],[Team Name]],MATCH(Table5[[#This Row],[PID]],DraftResults[[#All],[Player ID]],0)),"")</f>
        <v/>
      </c>
      <c r="AC564" s="52" t="str">
        <f>IF(Table5[[#This Row],[Ovr]]="","",IF(Table5[[#This Row],[cmbList]]="","",Table5[[#This Row],[cmbList]]-Table5[[#This Row],[Ovr]]))</f>
        <v/>
      </c>
      <c r="AD564" s="56" t="str">
        <f>IF(ISERROR(VLOOKUP($AB564&amp;"-"&amp;$E564&amp;" "&amp;F564,Bonuses!$B$1:$G$1006,4,FALSE)),"",INT(VLOOKUP($AB564&amp;"-"&amp;$E564&amp;" "&amp;$F564,Bonuses!$B$1:$G$1006,4,FALSE)))</f>
        <v/>
      </c>
      <c r="AE5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5" spans="1:31" s="52" customFormat="1" x14ac:dyDescent="0.25">
      <c r="A565" s="52">
        <v>7339</v>
      </c>
      <c r="B565" s="52">
        <f>COUNTIF(Table5[PID],A565)</f>
        <v>1</v>
      </c>
      <c r="C565" s="52" t="str">
        <f>IF(COUNTIF(Table3[[#All],[PID]],A565)&gt;0,"P","B")</f>
        <v>P</v>
      </c>
      <c r="D565" s="61" t="str">
        <f>IF($C565="B",INDEX(Batters[[#All],[POS]],MATCH(Table5[[#This Row],[PID]],Batters[[#All],[PID]],0)),INDEX(Table3[[#All],[POS]],MATCH(Table5[[#This Row],[PID]],Table3[[#All],[PID]],0)))</f>
        <v>SP</v>
      </c>
      <c r="E565" s="54" t="str">
        <f>IF($C565="B",INDEX(Batters[[#All],[First]],MATCH(Table5[[#This Row],[PID]],Batters[[#All],[PID]],0)),INDEX(Table3[[#All],[First]],MATCH(Table5[[#This Row],[PID]],Table3[[#All],[PID]],0)))</f>
        <v>Yasushi</v>
      </c>
      <c r="F565" s="52" t="str">
        <f>IF($C565="B",INDEX(Batters[[#All],[Last]],MATCH(A565,Batters[[#All],[PID]],0)),INDEX(Table3[[#All],[Last]],MATCH(A565,Table3[[#All],[PID]],0)))</f>
        <v>Raikatuji</v>
      </c>
      <c r="G565" s="58">
        <f>IF($C565="B",INDEX(Batters[[#All],[Age]],MATCH(Table5[[#This Row],[PID]],Batters[[#All],[PID]],0)),INDEX(Table3[[#All],[Age]],MATCH(Table5[[#This Row],[PID]],Table3[[#All],[PID]],0)))</f>
        <v>20</v>
      </c>
      <c r="H565" s="54" t="str">
        <f>IF($C565="B",INDEX(Batters[[#All],[B]],MATCH(Table5[[#This Row],[PID]],Batters[[#All],[PID]],0)),INDEX(Table3[[#All],[B]],MATCH(Table5[[#This Row],[PID]],Table3[[#All],[PID]],0)))</f>
        <v>R</v>
      </c>
      <c r="I565" s="54" t="str">
        <f>IF($C565="B",INDEX(Batters[[#All],[T]],MATCH(Table5[[#This Row],[PID]],Batters[[#All],[PID]],0)),INDEX(Table3[[#All],[T]],MATCH(Table5[[#This Row],[PID]],Table3[[#All],[PID]],0)))</f>
        <v>R</v>
      </c>
      <c r="J565" s="54" t="str">
        <f>IF($C565="B",INDEX(Batters[[#All],[WE]],MATCH(Table5[[#This Row],[PID]],Batters[[#All],[PID]],0)),INDEX(Table3[[#All],[WE]],MATCH(Table5[[#This Row],[PID]],Table3[[#All],[PID]],0)))</f>
        <v>Low</v>
      </c>
      <c r="K565" s="54" t="str">
        <f>IF($C565="B",INDEX(Batters[[#All],[INT]],MATCH(Table5[[#This Row],[PID]],Batters[[#All],[PID]],0)),INDEX(Table3[[#All],[INT]],MATCH(Table5[[#This Row],[PID]],Table3[[#All],[PID]],0)))</f>
        <v>Normal</v>
      </c>
      <c r="L565" s="62">
        <f>IF($C565="B",INDEX(Batters[[#All],[CON P]],MATCH(Table5[[#This Row],[PID]],Batters[[#All],[PID]],0)),INDEX(Table3[[#All],[STU P]],MATCH(Table5[[#This Row],[PID]],Table3[[#All],[PID]],0)))</f>
        <v>6</v>
      </c>
      <c r="M565" s="58">
        <f>IF($C565="B",INDEX(Batters[[#All],[GAP P]],MATCH(Table5[[#This Row],[PID]],Batters[[#All],[PID]],0)),INDEX(Table3[[#All],[MOV P]],MATCH(Table5[[#This Row],[PID]],Table3[[#All],[PID]],0)))</f>
        <v>1</v>
      </c>
      <c r="N565" s="58">
        <f>IF($C565="B",INDEX(Batters[[#All],[POW P]],MATCH(Table5[[#This Row],[PID]],Batters[[#All],[PID]],0)),INDEX(Table3[[#All],[CON P]],MATCH(Table5[[#This Row],[PID]],Table3[[#All],[PID]],0)))</f>
        <v>2</v>
      </c>
      <c r="O565" s="58" t="str">
        <f>IF($C565="B",INDEX(Batters[[#All],[EYE P]],MATCH(Table5[[#This Row],[PID]],Batters[[#All],[PID]],0)),INDEX(Table3[[#All],[VELO]],MATCH(Table5[[#This Row],[PID]],Table3[[#All],[PID]],0)))</f>
        <v>94-96 Mph</v>
      </c>
      <c r="P565" s="58">
        <f>IF($C565="B",INDEX(Batters[[#All],[K P]],MATCH(Table5[[#This Row],[PID]],Batters[[#All],[PID]],0)),INDEX(Table3[[#All],[STM]],MATCH(Table5[[#This Row],[PID]],Table3[[#All],[PID]],0)))</f>
        <v>6</v>
      </c>
      <c r="Q565" s="63">
        <f>IF($C565="B",INDEX(Batters[[#All],[Tot]],MATCH(Table5[[#This Row],[PID]],Batters[[#All],[PID]],0)),INDEX(Table3[[#All],[Tot]],MATCH(Table5[[#This Row],[PID]],Table3[[#All],[PID]],0)))</f>
        <v>29.531473127657019</v>
      </c>
      <c r="R565" s="54">
        <f>IF($C565="B",INDEX(Batters[[#All],[zScore]],MATCH(Table5[[#This Row],[PID]],Batters[[#All],[PID]],0)),INDEX(Table3[[#All],[zScore]],MATCH(Table5[[#This Row],[PID]],Table3[[#All],[PID]],0)))</f>
        <v>-0.29260795518189925</v>
      </c>
      <c r="S565" s="60" t="str">
        <f>IF($C565="B",INDEX(Batters[[#All],[DEM]],MATCH(Table5[[#This Row],[PID]],Batters[[#All],[PID]],0)),INDEX(Table3[[#All],[DEM]],MATCH(Table5[[#This Row],[PID]],Table3[[#All],[PID]],0)))</f>
        <v>-</v>
      </c>
      <c r="T565" s="64">
        <f>IF($C565="B",VLOOKUP($A565,Bat!$A$4:$AU$1417,46,FALSE),VLOOKUP($A565,Pit!$A$4:$BD$570,55,FALSE))</f>
        <v>0</v>
      </c>
      <c r="U565" s="52">
        <f>IF($C565="B",VLOOKUP($A565,Bat!$A$4:$BA$1417,47,FALSE),VLOOKUP($A565,Pit!$A$4:$BF$570,56,FALSE))</f>
        <v>0</v>
      </c>
      <c r="V565" s="52">
        <f>IF($C565="B",VLOOKUP($A565,Bat!$A$4:$BA$1417,48,FALSE),VLOOKUP($A565,Pit!$A$4:$BF$570,57,FALSE))</f>
        <v>0</v>
      </c>
      <c r="W565" s="52">
        <f>Table5[[#This Row],[posRnk]]+Table5[[#This Row],[zRnk]]+IF($W$3&lt;&gt;Table5[[#This Row],[Type]],50,0)</f>
        <v>611</v>
      </c>
      <c r="X565" s="53">
        <f>RANK(Table5[[#This Row],[zScore]],Table5[[#All],[zScore]])</f>
        <v>561</v>
      </c>
      <c r="Y565" s="52" t="str">
        <f>IFERROR(INDEX(DraftResults[[#All],[OVR]],MATCH(Table5[[#This Row],[PID]],DraftResults[[#All],[Player ID]],0)),"")</f>
        <v/>
      </c>
      <c r="Z5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5" s="52" t="str">
        <f>IFERROR(INDEX(DraftResults[[#All],[Pick in Round]],MATCH(Table5[[#This Row],[PID]],DraftResults[[#All],[Player ID]],0)),"")</f>
        <v/>
      </c>
      <c r="AB565" s="52" t="str">
        <f>IFERROR(INDEX(DraftResults[[#All],[Team Name]],MATCH(Table5[[#This Row],[PID]],DraftResults[[#All],[Player ID]],0)),"")</f>
        <v/>
      </c>
      <c r="AC565" s="52" t="str">
        <f>IF(Table5[[#This Row],[Ovr]]="","",IF(Table5[[#This Row],[cmbList]]="","",Table5[[#This Row],[cmbList]]-Table5[[#This Row],[Ovr]]))</f>
        <v/>
      </c>
      <c r="AD565" s="56" t="str">
        <f>IF(ISERROR(VLOOKUP($AB565&amp;"-"&amp;$E565&amp;" "&amp;F565,Bonuses!$B$1:$G$1006,4,FALSE)),"",INT(VLOOKUP($AB565&amp;"-"&amp;$E565&amp;" "&amp;$F565,Bonuses!$B$1:$G$1006,4,FALSE)))</f>
        <v/>
      </c>
      <c r="AE5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6" spans="1:31" s="52" customFormat="1" x14ac:dyDescent="0.25">
      <c r="A566" s="52">
        <v>12759</v>
      </c>
      <c r="B566" s="52">
        <f>COUNTIF(Table5[PID],A566)</f>
        <v>1</v>
      </c>
      <c r="C566" s="52" t="str">
        <f>IF(COUNTIF(Table3[[#All],[PID]],A566)&gt;0,"P","B")</f>
        <v>P</v>
      </c>
      <c r="D566" s="61" t="str">
        <f>IF($C566="B",INDEX(Batters[[#All],[POS]],MATCH(Table5[[#This Row],[PID]],Batters[[#All],[PID]],0)),INDEX(Table3[[#All],[POS]],MATCH(Table5[[#This Row],[PID]],Table3[[#All],[PID]],0)))</f>
        <v>SP</v>
      </c>
      <c r="E566" s="54" t="str">
        <f>IF($C566="B",INDEX(Batters[[#All],[First]],MATCH(Table5[[#This Row],[PID]],Batters[[#All],[PID]],0)),INDEX(Table3[[#All],[First]],MATCH(Table5[[#This Row],[PID]],Table3[[#All],[PID]],0)))</f>
        <v>Nobukazu</v>
      </c>
      <c r="F566" s="52" t="str">
        <f>IF($C566="B",INDEX(Batters[[#All],[Last]],MATCH(A566,Batters[[#All],[PID]],0)),INDEX(Table3[[#All],[Last]],MATCH(A566,Table3[[#All],[PID]],0)))</f>
        <v>Kobayashi</v>
      </c>
      <c r="G566" s="58">
        <f>IF($C566="B",INDEX(Batters[[#All],[Age]],MATCH(Table5[[#This Row],[PID]],Batters[[#All],[PID]],0)),INDEX(Table3[[#All],[Age]],MATCH(Table5[[#This Row],[PID]],Table3[[#All],[PID]],0)))</f>
        <v>21</v>
      </c>
      <c r="H566" s="54" t="str">
        <f>IF($C566="B",INDEX(Batters[[#All],[B]],MATCH(Table5[[#This Row],[PID]],Batters[[#All],[PID]],0)),INDEX(Table3[[#All],[B]],MATCH(Table5[[#This Row],[PID]],Table3[[#All],[PID]],0)))</f>
        <v>R</v>
      </c>
      <c r="I566" s="54" t="str">
        <f>IF($C566="B",INDEX(Batters[[#All],[T]],MATCH(Table5[[#This Row],[PID]],Batters[[#All],[PID]],0)),INDEX(Table3[[#All],[T]],MATCH(Table5[[#This Row],[PID]],Table3[[#All],[PID]],0)))</f>
        <v>R</v>
      </c>
      <c r="J566" s="54" t="str">
        <f>IF($C566="B",INDEX(Batters[[#All],[WE]],MATCH(Table5[[#This Row],[PID]],Batters[[#All],[PID]],0)),INDEX(Table3[[#All],[WE]],MATCH(Table5[[#This Row],[PID]],Table3[[#All],[PID]],0)))</f>
        <v>Normal</v>
      </c>
      <c r="K566" s="54" t="str">
        <f>IF($C566="B",INDEX(Batters[[#All],[INT]],MATCH(Table5[[#This Row],[PID]],Batters[[#All],[PID]],0)),INDEX(Table3[[#All],[INT]],MATCH(Table5[[#This Row],[PID]],Table3[[#All],[PID]],0)))</f>
        <v>Low</v>
      </c>
      <c r="L566" s="62">
        <f>IF($C566="B",INDEX(Batters[[#All],[CON P]],MATCH(Table5[[#This Row],[PID]],Batters[[#All],[PID]],0)),INDEX(Table3[[#All],[STU P]],MATCH(Table5[[#This Row],[PID]],Table3[[#All],[PID]],0)))</f>
        <v>5</v>
      </c>
      <c r="M566" s="58">
        <f>IF($C566="B",INDEX(Batters[[#All],[GAP P]],MATCH(Table5[[#This Row],[PID]],Batters[[#All],[PID]],0)),INDEX(Table3[[#All],[MOV P]],MATCH(Table5[[#This Row],[PID]],Table3[[#All],[PID]],0)))</f>
        <v>2</v>
      </c>
      <c r="N566" s="58">
        <f>IF($C566="B",INDEX(Batters[[#All],[POW P]],MATCH(Table5[[#This Row],[PID]],Batters[[#All],[PID]],0)),INDEX(Table3[[#All],[CON P]],MATCH(Table5[[#This Row],[PID]],Table3[[#All],[PID]],0)))</f>
        <v>2</v>
      </c>
      <c r="O566" s="58" t="str">
        <f>IF($C566="B",INDEX(Batters[[#All],[EYE P]],MATCH(Table5[[#This Row],[PID]],Batters[[#All],[PID]],0)),INDEX(Table3[[#All],[VELO]],MATCH(Table5[[#This Row],[PID]],Table3[[#All],[PID]],0)))</f>
        <v>93-95 Mph</v>
      </c>
      <c r="P566" s="58">
        <f>IF($C566="B",INDEX(Batters[[#All],[K P]],MATCH(Table5[[#This Row],[PID]],Batters[[#All],[PID]],0)),INDEX(Table3[[#All],[STM]],MATCH(Table5[[#This Row],[PID]],Table3[[#All],[PID]],0)))</f>
        <v>9</v>
      </c>
      <c r="Q566" s="63">
        <f>IF($C566="B",INDEX(Batters[[#All],[Tot]],MATCH(Table5[[#This Row],[PID]],Batters[[#All],[PID]],0)),INDEX(Table3[[#All],[Tot]],MATCH(Table5[[#This Row],[PID]],Table3[[#All],[PID]],0)))</f>
        <v>29.52949686706102</v>
      </c>
      <c r="R566" s="54">
        <f>IF($C566="B",INDEX(Batters[[#All],[zScore]],MATCH(Table5[[#This Row],[PID]],Batters[[#All],[PID]],0)),INDEX(Table3[[#All],[zScore]],MATCH(Table5[[#This Row],[PID]],Table3[[#All],[PID]],0)))</f>
        <v>-0.29278918672526766</v>
      </c>
      <c r="S566" s="60" t="str">
        <f>IF($C566="B",INDEX(Batters[[#All],[DEM]],MATCH(Table5[[#This Row],[PID]],Batters[[#All],[PID]],0)),INDEX(Table3[[#All],[DEM]],MATCH(Table5[[#This Row],[PID]],Table3[[#All],[PID]],0)))</f>
        <v>-</v>
      </c>
      <c r="T566" s="64">
        <f>IF($C566="B",VLOOKUP($A566,Bat!$A$4:$AU$1417,46,FALSE),VLOOKUP($A566,Pit!$A$4:$BD$570,55,FALSE))</f>
        <v>0</v>
      </c>
      <c r="U566" s="52">
        <f>IF($C566="B",VLOOKUP($A566,Bat!$A$4:$BA$1417,47,FALSE),VLOOKUP($A566,Pit!$A$4:$BF$570,56,FALSE))</f>
        <v>0</v>
      </c>
      <c r="V566" s="52">
        <f>IF($C566="B",VLOOKUP($A566,Bat!$A$4:$BA$1417,48,FALSE),VLOOKUP($A566,Pit!$A$4:$BF$570,57,FALSE))</f>
        <v>0</v>
      </c>
      <c r="W566" s="52">
        <f>Table5[[#This Row],[posRnk]]+Table5[[#This Row],[zRnk]]+IF($W$3&lt;&gt;Table5[[#This Row],[Type]],50,0)</f>
        <v>612</v>
      </c>
      <c r="X566" s="53">
        <f>RANK(Table5[[#This Row],[zScore]],Table5[[#All],[zScore]])</f>
        <v>562</v>
      </c>
      <c r="Y566" s="52" t="str">
        <f>IFERROR(INDEX(DraftResults[[#All],[OVR]],MATCH(Table5[[#This Row],[PID]],DraftResults[[#All],[Player ID]],0)),"")</f>
        <v/>
      </c>
      <c r="Z5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6" s="52" t="str">
        <f>IFERROR(INDEX(DraftResults[[#All],[Pick in Round]],MATCH(Table5[[#This Row],[PID]],DraftResults[[#All],[Player ID]],0)),"")</f>
        <v/>
      </c>
      <c r="AB566" s="52" t="str">
        <f>IFERROR(INDEX(DraftResults[[#All],[Team Name]],MATCH(Table5[[#This Row],[PID]],DraftResults[[#All],[Player ID]],0)),"")</f>
        <v/>
      </c>
      <c r="AC566" s="52" t="str">
        <f>IF(Table5[[#This Row],[Ovr]]="","",IF(Table5[[#This Row],[cmbList]]="","",Table5[[#This Row],[cmbList]]-Table5[[#This Row],[Ovr]]))</f>
        <v/>
      </c>
      <c r="AD566" s="56" t="str">
        <f>IF(ISERROR(VLOOKUP($AB566&amp;"-"&amp;$E566&amp;" "&amp;F566,Bonuses!$B$1:$G$1006,4,FALSE)),"",INT(VLOOKUP($AB566&amp;"-"&amp;$E566&amp;" "&amp;$F566,Bonuses!$B$1:$G$1006,4,FALSE)))</f>
        <v/>
      </c>
      <c r="AE5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7" spans="1:31" s="52" customFormat="1" x14ac:dyDescent="0.25">
      <c r="A567" s="52">
        <v>7579</v>
      </c>
      <c r="B567" s="52">
        <f>COUNTIF(Table5[PID],A567)</f>
        <v>1</v>
      </c>
      <c r="C567" s="52" t="str">
        <f>IF(COUNTIF(Table3[[#All],[PID]],A567)&gt;0,"P","B")</f>
        <v>P</v>
      </c>
      <c r="D567" s="61" t="str">
        <f>IF($C567="B",INDEX(Batters[[#All],[POS]],MATCH(Table5[[#This Row],[PID]],Batters[[#All],[PID]],0)),INDEX(Table3[[#All],[POS]],MATCH(Table5[[#This Row],[PID]],Table3[[#All],[PID]],0)))</f>
        <v>SP</v>
      </c>
      <c r="E567" s="54" t="str">
        <f>IF($C567="B",INDEX(Batters[[#All],[First]],MATCH(Table5[[#This Row],[PID]],Batters[[#All],[PID]],0)),INDEX(Table3[[#All],[First]],MATCH(Table5[[#This Row],[PID]],Table3[[#All],[PID]],0)))</f>
        <v>Doug</v>
      </c>
      <c r="F567" s="52" t="str">
        <f>IF($C567="B",INDEX(Batters[[#All],[Last]],MATCH(A567,Batters[[#All],[PID]],0)),INDEX(Table3[[#All],[Last]],MATCH(A567,Table3[[#All],[PID]],0)))</f>
        <v>Peoples</v>
      </c>
      <c r="G567" s="58">
        <f>IF($C567="B",INDEX(Batters[[#All],[Age]],MATCH(Table5[[#This Row],[PID]],Batters[[#All],[PID]],0)),INDEX(Table3[[#All],[Age]],MATCH(Table5[[#This Row],[PID]],Table3[[#All],[PID]],0)))</f>
        <v>18</v>
      </c>
      <c r="H567" s="54" t="str">
        <f>IF($C567="B",INDEX(Batters[[#All],[B]],MATCH(Table5[[#This Row],[PID]],Batters[[#All],[PID]],0)),INDEX(Table3[[#All],[B]],MATCH(Table5[[#This Row],[PID]],Table3[[#All],[PID]],0)))</f>
        <v>R</v>
      </c>
      <c r="I567" s="54" t="str">
        <f>IF($C567="B",INDEX(Batters[[#All],[T]],MATCH(Table5[[#This Row],[PID]],Batters[[#All],[PID]],0)),INDEX(Table3[[#All],[T]],MATCH(Table5[[#This Row],[PID]],Table3[[#All],[PID]],0)))</f>
        <v>R</v>
      </c>
      <c r="J567" s="54" t="str">
        <f>IF($C567="B",INDEX(Batters[[#All],[WE]],MATCH(Table5[[#This Row],[PID]],Batters[[#All],[PID]],0)),INDEX(Table3[[#All],[WE]],MATCH(Table5[[#This Row],[PID]],Table3[[#All],[PID]],0)))</f>
        <v>Normal</v>
      </c>
      <c r="K567" s="54" t="str">
        <f>IF($C567="B",INDEX(Batters[[#All],[INT]],MATCH(Table5[[#This Row],[PID]],Batters[[#All],[PID]],0)),INDEX(Table3[[#All],[INT]],MATCH(Table5[[#This Row],[PID]],Table3[[#All],[PID]],0)))</f>
        <v>Normal</v>
      </c>
      <c r="L567" s="62">
        <f>IF($C567="B",INDEX(Batters[[#All],[CON P]],MATCH(Table5[[#This Row],[PID]],Batters[[#All],[PID]],0)),INDEX(Table3[[#All],[STU P]],MATCH(Table5[[#This Row],[PID]],Table3[[#All],[PID]],0)))</f>
        <v>4</v>
      </c>
      <c r="M567" s="58">
        <f>IF($C567="B",INDEX(Batters[[#All],[GAP P]],MATCH(Table5[[#This Row],[PID]],Batters[[#All],[PID]],0)),INDEX(Table3[[#All],[MOV P]],MATCH(Table5[[#This Row],[PID]],Table3[[#All],[PID]],0)))</f>
        <v>2</v>
      </c>
      <c r="N567" s="58">
        <f>IF($C567="B",INDEX(Batters[[#All],[POW P]],MATCH(Table5[[#This Row],[PID]],Batters[[#All],[PID]],0)),INDEX(Table3[[#All],[CON P]],MATCH(Table5[[#This Row],[PID]],Table3[[#All],[PID]],0)))</f>
        <v>2</v>
      </c>
      <c r="O567" s="58" t="str">
        <f>IF($C567="B",INDEX(Batters[[#All],[EYE P]],MATCH(Table5[[#This Row],[PID]],Batters[[#All],[PID]],0)),INDEX(Table3[[#All],[VELO]],MATCH(Table5[[#This Row],[PID]],Table3[[#All],[PID]],0)))</f>
        <v>88-90 Mph</v>
      </c>
      <c r="P567" s="58">
        <f>IF($C567="B",INDEX(Batters[[#All],[K P]],MATCH(Table5[[#This Row],[PID]],Batters[[#All],[PID]],0)),INDEX(Table3[[#All],[STM]],MATCH(Table5[[#This Row],[PID]],Table3[[#All],[PID]],0)))</f>
        <v>8</v>
      </c>
      <c r="Q567" s="63">
        <f>IF($C567="B",INDEX(Batters[[#All],[Tot]],MATCH(Table5[[#This Row],[PID]],Batters[[#All],[PID]],0)),INDEX(Table3[[#All],[Tot]],MATCH(Table5[[#This Row],[PID]],Table3[[#All],[PID]],0)))</f>
        <v>29.526438528029679</v>
      </c>
      <c r="R567" s="54">
        <f>IF($C567="B",INDEX(Batters[[#All],[zScore]],MATCH(Table5[[#This Row],[PID]],Batters[[#All],[PID]],0)),INDEX(Table3[[#All],[zScore]],MATCH(Table5[[#This Row],[PID]],Table3[[#All],[PID]],0)))</f>
        <v>-0.29306964948605735</v>
      </c>
      <c r="S567" s="60" t="str">
        <f>IF($C567="B",INDEX(Batters[[#All],[DEM]],MATCH(Table5[[#This Row],[PID]],Batters[[#All],[PID]],0)),INDEX(Table3[[#All],[DEM]],MATCH(Table5[[#This Row],[PID]],Table3[[#All],[PID]],0)))</f>
        <v>$65k</v>
      </c>
      <c r="T567" s="64">
        <f>IF($C567="B",VLOOKUP($A567,Bat!$A$4:$AU$1417,46,FALSE),VLOOKUP($A567,Pit!$A$4:$BD$570,55,FALSE))</f>
        <v>0</v>
      </c>
      <c r="U567" s="52">
        <f>IF($C567="B",VLOOKUP($A567,Bat!$A$4:$BA$1417,47,FALSE),VLOOKUP($A567,Pit!$A$4:$BF$570,56,FALSE))</f>
        <v>0</v>
      </c>
      <c r="V567" s="52">
        <f>IF($C567="B",VLOOKUP($A567,Bat!$A$4:$BA$1417,48,FALSE),VLOOKUP($A567,Pit!$A$4:$BF$570,57,FALSE))</f>
        <v>0</v>
      </c>
      <c r="W567" s="52">
        <f>Table5[[#This Row],[posRnk]]+Table5[[#This Row],[zRnk]]+IF($W$3&lt;&gt;Table5[[#This Row],[Type]],50,0)</f>
        <v>613</v>
      </c>
      <c r="X567" s="53">
        <f>RANK(Table5[[#This Row],[zScore]],Table5[[#All],[zScore]])</f>
        <v>563</v>
      </c>
      <c r="Y567" s="52" t="str">
        <f>IFERROR(INDEX(DraftResults[[#All],[OVR]],MATCH(Table5[[#This Row],[PID]],DraftResults[[#All],[Player ID]],0)),"")</f>
        <v/>
      </c>
      <c r="Z5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7" s="52" t="str">
        <f>IFERROR(INDEX(DraftResults[[#All],[Pick in Round]],MATCH(Table5[[#This Row],[PID]],DraftResults[[#All],[Player ID]],0)),"")</f>
        <v/>
      </c>
      <c r="AB567" s="52" t="str">
        <f>IFERROR(INDEX(DraftResults[[#All],[Team Name]],MATCH(Table5[[#This Row],[PID]],DraftResults[[#All],[Player ID]],0)),"")</f>
        <v/>
      </c>
      <c r="AC567" s="52" t="str">
        <f>IF(Table5[[#This Row],[Ovr]]="","",IF(Table5[[#This Row],[cmbList]]="","",Table5[[#This Row],[cmbList]]-Table5[[#This Row],[Ovr]]))</f>
        <v/>
      </c>
      <c r="AD567" s="56" t="str">
        <f>IF(ISERROR(VLOOKUP($AB567&amp;"-"&amp;$E567&amp;" "&amp;F567,Bonuses!$B$1:$G$1006,4,FALSE)),"",INT(VLOOKUP($AB567&amp;"-"&amp;$E567&amp;" "&amp;$F567,Bonuses!$B$1:$G$1006,4,FALSE)))</f>
        <v/>
      </c>
      <c r="AE5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8" spans="1:31" s="52" customFormat="1" x14ac:dyDescent="0.25">
      <c r="A568" s="52">
        <v>12768</v>
      </c>
      <c r="B568" s="52">
        <f>COUNTIF(Table5[PID],A568)</f>
        <v>1</v>
      </c>
      <c r="C568" s="52" t="str">
        <f>IF(COUNTIF(Table3[[#All],[PID]],A568)&gt;0,"P","B")</f>
        <v>P</v>
      </c>
      <c r="D568" s="61" t="str">
        <f>IF($C568="B",INDEX(Batters[[#All],[POS]],MATCH(Table5[[#This Row],[PID]],Batters[[#All],[PID]],0)),INDEX(Table3[[#All],[POS]],MATCH(Table5[[#This Row],[PID]],Table3[[#All],[PID]],0)))</f>
        <v>RP</v>
      </c>
      <c r="E568" s="54" t="str">
        <f>IF($C568="B",INDEX(Batters[[#All],[First]],MATCH(Table5[[#This Row],[PID]],Batters[[#All],[PID]],0)),INDEX(Table3[[#All],[First]],MATCH(Table5[[#This Row],[PID]],Table3[[#All],[PID]],0)))</f>
        <v>Nathan</v>
      </c>
      <c r="F568" s="52" t="str">
        <f>IF($C568="B",INDEX(Batters[[#All],[Last]],MATCH(A568,Batters[[#All],[PID]],0)),INDEX(Table3[[#All],[Last]],MATCH(A568,Table3[[#All],[PID]],0)))</f>
        <v>Tilden</v>
      </c>
      <c r="G568" s="58">
        <f>IF($C568="B",INDEX(Batters[[#All],[Age]],MATCH(Table5[[#This Row],[PID]],Batters[[#All],[PID]],0)),INDEX(Table3[[#All],[Age]],MATCH(Table5[[#This Row],[PID]],Table3[[#All],[PID]],0)))</f>
        <v>21</v>
      </c>
      <c r="H568" s="54" t="str">
        <f>IF($C568="B",INDEX(Batters[[#All],[B]],MATCH(Table5[[#This Row],[PID]],Batters[[#All],[PID]],0)),INDEX(Table3[[#All],[B]],MATCH(Table5[[#This Row],[PID]],Table3[[#All],[PID]],0)))</f>
        <v>L</v>
      </c>
      <c r="I568" s="54" t="str">
        <f>IF($C568="B",INDEX(Batters[[#All],[T]],MATCH(Table5[[#This Row],[PID]],Batters[[#All],[PID]],0)),INDEX(Table3[[#All],[T]],MATCH(Table5[[#This Row],[PID]],Table3[[#All],[PID]],0)))</f>
        <v>L</v>
      </c>
      <c r="J568" s="54" t="str">
        <f>IF($C568="B",INDEX(Batters[[#All],[WE]],MATCH(Table5[[#This Row],[PID]],Batters[[#All],[PID]],0)),INDEX(Table3[[#All],[WE]],MATCH(Table5[[#This Row],[PID]],Table3[[#All],[PID]],0)))</f>
        <v>High</v>
      </c>
      <c r="K568" s="54" t="str">
        <f>IF($C568="B",INDEX(Batters[[#All],[INT]],MATCH(Table5[[#This Row],[PID]],Batters[[#All],[PID]],0)),INDEX(Table3[[#All],[INT]],MATCH(Table5[[#This Row],[PID]],Table3[[#All],[PID]],0)))</f>
        <v>Normal</v>
      </c>
      <c r="L568" s="62">
        <f>IF($C568="B",INDEX(Batters[[#All],[CON P]],MATCH(Table5[[#This Row],[PID]],Batters[[#All],[PID]],0)),INDEX(Table3[[#All],[STU P]],MATCH(Table5[[#This Row],[PID]],Table3[[#All],[PID]],0)))</f>
        <v>4</v>
      </c>
      <c r="M568" s="58">
        <f>IF($C568="B",INDEX(Batters[[#All],[GAP P]],MATCH(Table5[[#This Row],[PID]],Batters[[#All],[PID]],0)),INDEX(Table3[[#All],[MOV P]],MATCH(Table5[[#This Row],[PID]],Table3[[#All],[PID]],0)))</f>
        <v>2</v>
      </c>
      <c r="N568" s="58">
        <f>IF($C568="B",INDEX(Batters[[#All],[POW P]],MATCH(Table5[[#This Row],[PID]],Batters[[#All],[PID]],0)),INDEX(Table3[[#All],[CON P]],MATCH(Table5[[#This Row],[PID]],Table3[[#All],[PID]],0)))</f>
        <v>3</v>
      </c>
      <c r="O568" s="58" t="str">
        <f>IF($C568="B",INDEX(Batters[[#All],[EYE P]],MATCH(Table5[[#This Row],[PID]],Batters[[#All],[PID]],0)),INDEX(Table3[[#All],[VELO]],MATCH(Table5[[#This Row],[PID]],Table3[[#All],[PID]],0)))</f>
        <v>90-92 Mph</v>
      </c>
      <c r="P568" s="58">
        <f>IF($C568="B",INDEX(Batters[[#All],[K P]],MATCH(Table5[[#This Row],[PID]],Batters[[#All],[PID]],0)),INDEX(Table3[[#All],[STM]],MATCH(Table5[[#This Row],[PID]],Table3[[#All],[PID]],0)))</f>
        <v>6</v>
      </c>
      <c r="Q568" s="63">
        <f>IF($C568="B",INDEX(Batters[[#All],[Tot]],MATCH(Table5[[#This Row],[PID]],Batters[[#All],[PID]],0)),INDEX(Table3[[#All],[Tot]],MATCH(Table5[[#This Row],[PID]],Table3[[#All],[PID]],0)))</f>
        <v>29.505605106247788</v>
      </c>
      <c r="R568" s="54">
        <f>IF($C568="B",INDEX(Batters[[#All],[zScore]],MATCH(Table5[[#This Row],[PID]],Batters[[#All],[PID]],0)),INDEX(Table3[[#All],[zScore]],MATCH(Table5[[#This Row],[PID]],Table3[[#All],[PID]],0)))</f>
        <v>-0.29498016330737292</v>
      </c>
      <c r="S568" s="60" t="str">
        <f>IF($C568="B",INDEX(Batters[[#All],[DEM]],MATCH(Table5[[#This Row],[PID]],Batters[[#All],[PID]],0)),INDEX(Table3[[#All],[DEM]],MATCH(Table5[[#This Row],[PID]],Table3[[#All],[PID]],0)))</f>
        <v>-</v>
      </c>
      <c r="T568" s="64">
        <f>IF($C568="B",VLOOKUP($A568,Bat!$A$4:$AU$1417,46,FALSE),VLOOKUP($A568,Pit!$A$4:$BD$570,55,FALSE))</f>
        <v>0</v>
      </c>
      <c r="U568" s="52">
        <f>IF($C568="B",VLOOKUP($A568,Bat!$A$4:$BA$1417,47,FALSE),VLOOKUP($A568,Pit!$A$4:$BF$570,56,FALSE))</f>
        <v>0</v>
      </c>
      <c r="V568" s="52">
        <f>IF($C568="B",VLOOKUP($A568,Bat!$A$4:$BA$1417,48,FALSE),VLOOKUP($A568,Pit!$A$4:$BF$570,57,FALSE))</f>
        <v>0</v>
      </c>
      <c r="W568" s="52">
        <f>Table5[[#This Row],[posRnk]]+Table5[[#This Row],[zRnk]]+IF($W$3&lt;&gt;Table5[[#This Row],[Type]],50,0)</f>
        <v>614</v>
      </c>
      <c r="X568" s="53">
        <f>RANK(Table5[[#This Row],[zScore]],Table5[[#All],[zScore]])</f>
        <v>564</v>
      </c>
      <c r="Y568" s="52" t="str">
        <f>IFERROR(INDEX(DraftResults[[#All],[OVR]],MATCH(Table5[[#This Row],[PID]],DraftResults[[#All],[Player ID]],0)),"")</f>
        <v/>
      </c>
      <c r="Z5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8" s="52" t="str">
        <f>IFERROR(INDEX(DraftResults[[#All],[Pick in Round]],MATCH(Table5[[#This Row],[PID]],DraftResults[[#All],[Player ID]],0)),"")</f>
        <v/>
      </c>
      <c r="AB568" s="52" t="str">
        <f>IFERROR(INDEX(DraftResults[[#All],[Team Name]],MATCH(Table5[[#This Row],[PID]],DraftResults[[#All],[Player ID]],0)),"")</f>
        <v/>
      </c>
      <c r="AC568" s="52" t="str">
        <f>IF(Table5[[#This Row],[Ovr]]="","",IF(Table5[[#This Row],[cmbList]]="","",Table5[[#This Row],[cmbList]]-Table5[[#This Row],[Ovr]]))</f>
        <v/>
      </c>
      <c r="AD568" s="56" t="str">
        <f>IF(ISERROR(VLOOKUP($AB568&amp;"-"&amp;$E568&amp;" "&amp;F568,Bonuses!$B$1:$G$1006,4,FALSE)),"",INT(VLOOKUP($AB568&amp;"-"&amp;$E568&amp;" "&amp;$F568,Bonuses!$B$1:$G$1006,4,FALSE)))</f>
        <v/>
      </c>
      <c r="AE5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9" spans="1:31" s="52" customFormat="1" x14ac:dyDescent="0.25">
      <c r="A569" s="52">
        <v>10476</v>
      </c>
      <c r="B569" s="57">
        <f>COUNTIF(Table5[PID],A569)</f>
        <v>1</v>
      </c>
      <c r="C569" s="57" t="str">
        <f>IF(COUNTIF(Table3[[#All],[PID]],A569)&gt;0,"P","B")</f>
        <v>B</v>
      </c>
      <c r="D569" s="61" t="str">
        <f>IF($C569="B",INDEX(Batters[[#All],[POS]],MATCH(Table5[[#This Row],[PID]],Batters[[#All],[PID]],0)),INDEX(Table3[[#All],[POS]],MATCH(Table5[[#This Row],[PID]],Table3[[#All],[PID]],0)))</f>
        <v>SS</v>
      </c>
      <c r="E569" s="54" t="str">
        <f>IF($C569="B",INDEX(Batters[[#All],[First]],MATCH(Table5[[#This Row],[PID]],Batters[[#All],[PID]],0)),INDEX(Table3[[#All],[First]],MATCH(Table5[[#This Row],[PID]],Table3[[#All],[PID]],0)))</f>
        <v>Guillermo</v>
      </c>
      <c r="F569" s="52" t="str">
        <f>IF($C569="B",INDEX(Batters[[#All],[Last]],MATCH(A569,Batters[[#All],[PID]],0)),INDEX(Table3[[#All],[Last]],MATCH(A569,Table3[[#All],[PID]],0)))</f>
        <v>Salazar</v>
      </c>
      <c r="G569" s="58">
        <f>IF($C569="B",INDEX(Batters[[#All],[Age]],MATCH(Table5[[#This Row],[PID]],Batters[[#All],[PID]],0)),INDEX(Table3[[#All],[Age]],MATCH(Table5[[#This Row],[PID]],Table3[[#All],[PID]],0)))</f>
        <v>21</v>
      </c>
      <c r="H569" s="54" t="str">
        <f>IF($C569="B",INDEX(Batters[[#All],[B]],MATCH(Table5[[#This Row],[PID]],Batters[[#All],[PID]],0)),INDEX(Table3[[#All],[B]],MATCH(Table5[[#This Row],[PID]],Table3[[#All],[PID]],0)))</f>
        <v>R</v>
      </c>
      <c r="I569" s="54" t="str">
        <f>IF($C569="B",INDEX(Batters[[#All],[T]],MATCH(Table5[[#This Row],[PID]],Batters[[#All],[PID]],0)),INDEX(Table3[[#All],[T]],MATCH(Table5[[#This Row],[PID]],Table3[[#All],[PID]],0)))</f>
        <v>R</v>
      </c>
      <c r="J569" s="54" t="str">
        <f>IF($C569="B",INDEX(Batters[[#All],[WE]],MATCH(Table5[[#This Row],[PID]],Batters[[#All],[PID]],0)),INDEX(Table3[[#All],[WE]],MATCH(Table5[[#This Row],[PID]],Table3[[#All],[PID]],0)))</f>
        <v>Normal</v>
      </c>
      <c r="K569" s="54" t="str">
        <f>IF($C569="B",INDEX(Batters[[#All],[INT]],MATCH(Table5[[#This Row],[PID]],Batters[[#All],[PID]],0)),INDEX(Table3[[#All],[INT]],MATCH(Table5[[#This Row],[PID]],Table3[[#All],[PID]],0)))</f>
        <v>Normal</v>
      </c>
      <c r="L569" s="62">
        <f>IF($C569="B",INDEX(Batters[[#All],[CON P]],MATCH(Table5[[#This Row],[PID]],Batters[[#All],[PID]],0)),INDEX(Table3[[#All],[STU P]],MATCH(Table5[[#This Row],[PID]],Table3[[#All],[PID]],0)))</f>
        <v>3</v>
      </c>
      <c r="M569" s="58">
        <f>IF($C569="B",INDEX(Batters[[#All],[GAP P]],MATCH(Table5[[#This Row],[PID]],Batters[[#All],[PID]],0)),INDEX(Table3[[#All],[MOV P]],MATCH(Table5[[#This Row],[PID]],Table3[[#All],[PID]],0)))</f>
        <v>4</v>
      </c>
      <c r="N569" s="58">
        <f>IF($C569="B",INDEX(Batters[[#All],[POW P]],MATCH(Table5[[#This Row],[PID]],Batters[[#All],[PID]],0)),INDEX(Table3[[#All],[CON P]],MATCH(Table5[[#This Row],[PID]],Table3[[#All],[PID]],0)))</f>
        <v>3</v>
      </c>
      <c r="O569" s="58">
        <f>IF($C569="B",INDEX(Batters[[#All],[EYE P]],MATCH(Table5[[#This Row],[PID]],Batters[[#All],[PID]],0)),INDEX(Table3[[#All],[VELO]],MATCH(Table5[[#This Row],[PID]],Table3[[#All],[PID]],0)))</f>
        <v>5</v>
      </c>
      <c r="P569" s="58">
        <f>IF($C569="B",INDEX(Batters[[#All],[K P]],MATCH(Table5[[#This Row],[PID]],Batters[[#All],[PID]],0)),INDEX(Table3[[#All],[STM]],MATCH(Table5[[#This Row],[PID]],Table3[[#All],[PID]],0)))</f>
        <v>4</v>
      </c>
      <c r="Q569" s="63">
        <f>IF($C569="B",INDEX(Batters[[#All],[Tot]],MATCH(Table5[[#This Row],[PID]],Batters[[#All],[PID]],0)),INDEX(Table3[[#All],[Tot]],MATCH(Table5[[#This Row],[PID]],Table3[[#All],[PID]],0)))</f>
        <v>38.662673323658872</v>
      </c>
      <c r="R569" s="54">
        <f>IF($C569="B",INDEX(Batters[[#All],[zScore]],MATCH(Table5[[#This Row],[PID]],Batters[[#All],[PID]],0)),INDEX(Table3[[#All],[zScore]],MATCH(Table5[[#This Row],[PID]],Table3[[#All],[PID]],0)))</f>
        <v>-0.29656554853491529</v>
      </c>
      <c r="S569" s="60" t="str">
        <f>IF($C569="B",INDEX(Batters[[#All],[DEM]],MATCH(Table5[[#This Row],[PID]],Batters[[#All],[PID]],0)),INDEX(Table3[[#All],[DEM]],MATCH(Table5[[#This Row],[PID]],Table3[[#All],[PID]],0)))</f>
        <v>-</v>
      </c>
      <c r="T569" s="64">
        <f>IF($C569="B",VLOOKUP($A569,Bat!$A$4:$AU$1417,46,FALSE),VLOOKUP($A569,Pit!$A$4:$BD$570,55,FALSE))</f>
        <v>0</v>
      </c>
      <c r="U569" s="52">
        <f>IF($C569="B",VLOOKUP($A569,Bat!$A$4:$BA$1417,47,FALSE),VLOOKUP($A569,Pit!$A$4:$BF$570,56,FALSE))</f>
        <v>0</v>
      </c>
      <c r="V569" s="52">
        <f>IF($C569="B",VLOOKUP($A569,Bat!$A$4:$BA$1417,48,FALSE),VLOOKUP($A569,Pit!$A$4:$BF$570,57,FALSE))</f>
        <v>0</v>
      </c>
      <c r="W569" s="52">
        <f>Table5[[#This Row],[posRnk]]+Table5[[#This Row],[zRnk]]+IF($W$3&lt;&gt;Table5[[#This Row],[Type]],50,0)</f>
        <v>615</v>
      </c>
      <c r="X569" s="53">
        <f>RANK(Table5[[#This Row],[zScore]],Table5[[#All],[zScore]])</f>
        <v>565</v>
      </c>
      <c r="Y569" s="52" t="str">
        <f>IFERROR(INDEX(DraftResults[[#All],[OVR]],MATCH(Table5[[#This Row],[PID]],DraftResults[[#All],[Player ID]],0)),"")</f>
        <v/>
      </c>
      <c r="Z5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9" s="52" t="str">
        <f>IFERROR(INDEX(DraftResults[[#All],[Pick in Round]],MATCH(Table5[[#This Row],[PID]],DraftResults[[#All],[Player ID]],0)),"")</f>
        <v/>
      </c>
      <c r="AB569" s="52" t="str">
        <f>IFERROR(INDEX(DraftResults[[#All],[Team Name]],MATCH(Table5[[#This Row],[PID]],DraftResults[[#All],[Player ID]],0)),"")</f>
        <v/>
      </c>
      <c r="AC569" s="52" t="str">
        <f>IF(Table5[[#This Row],[Ovr]]="","",IF(Table5[[#This Row],[cmbList]]="","",Table5[[#This Row],[cmbList]]-Table5[[#This Row],[Ovr]]))</f>
        <v/>
      </c>
      <c r="AD569" s="56" t="str">
        <f>IF(ISERROR(VLOOKUP($AB569&amp;"-"&amp;$E569&amp;" "&amp;F569,Bonuses!$B$1:$G$1006,4,FALSE)),"",INT(VLOOKUP($AB569&amp;"-"&amp;$E569&amp;" "&amp;$F569,Bonuses!$B$1:$G$1006,4,FALSE)))</f>
        <v/>
      </c>
      <c r="AE5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0" spans="1:31" s="52" customFormat="1" x14ac:dyDescent="0.25">
      <c r="A570" s="52">
        <v>8908</v>
      </c>
      <c r="B570" s="52">
        <f>COUNTIF(Table5[PID],A570)</f>
        <v>1</v>
      </c>
      <c r="C570" s="52" t="str">
        <f>IF(COUNTIF(Table3[[#All],[PID]],A570)&gt;0,"P","B")</f>
        <v>B</v>
      </c>
      <c r="D570" s="61" t="str">
        <f>IF($C570="B",INDEX(Batters[[#All],[POS]],MATCH(Table5[[#This Row],[PID]],Batters[[#All],[PID]],0)),INDEX(Table3[[#All],[POS]],MATCH(Table5[[#This Row],[PID]],Table3[[#All],[PID]],0)))</f>
        <v>3B</v>
      </c>
      <c r="E570" s="54" t="str">
        <f>IF($C570="B",INDEX(Batters[[#All],[First]],MATCH(Table5[[#This Row],[PID]],Batters[[#All],[PID]],0)),INDEX(Table3[[#All],[First]],MATCH(Table5[[#This Row],[PID]],Table3[[#All],[PID]],0)))</f>
        <v>Joe</v>
      </c>
      <c r="F570" s="52" t="str">
        <f>IF($C570="B",INDEX(Batters[[#All],[Last]],MATCH(A570,Batters[[#All],[PID]],0)),INDEX(Table3[[#All],[Last]],MATCH(A570,Table3[[#All],[PID]],0)))</f>
        <v>Atkins</v>
      </c>
      <c r="G570" s="58">
        <f>IF($C570="B",INDEX(Batters[[#All],[Age]],MATCH(Table5[[#This Row],[PID]],Batters[[#All],[PID]],0)),INDEX(Table3[[#All],[Age]],MATCH(Table5[[#This Row],[PID]],Table3[[#All],[PID]],0)))</f>
        <v>22</v>
      </c>
      <c r="H570" s="54" t="str">
        <f>IF($C570="B",INDEX(Batters[[#All],[B]],MATCH(Table5[[#This Row],[PID]],Batters[[#All],[PID]],0)),INDEX(Table3[[#All],[B]],MATCH(Table5[[#This Row],[PID]],Table3[[#All],[PID]],0)))</f>
        <v>L</v>
      </c>
      <c r="I570" s="54" t="str">
        <f>IF($C570="B",INDEX(Batters[[#All],[T]],MATCH(Table5[[#This Row],[PID]],Batters[[#All],[PID]],0)),INDEX(Table3[[#All],[T]],MATCH(Table5[[#This Row],[PID]],Table3[[#All],[PID]],0)))</f>
        <v>R</v>
      </c>
      <c r="J570" s="54" t="str">
        <f>IF($C570="B",INDEX(Batters[[#All],[WE]],MATCH(Table5[[#This Row],[PID]],Batters[[#All],[PID]],0)),INDEX(Table3[[#All],[WE]],MATCH(Table5[[#This Row],[PID]],Table3[[#All],[PID]],0)))</f>
        <v>Normal</v>
      </c>
      <c r="K570" s="54" t="str">
        <f>IF($C570="B",INDEX(Batters[[#All],[INT]],MATCH(Table5[[#This Row],[PID]],Batters[[#All],[PID]],0)),INDEX(Table3[[#All],[INT]],MATCH(Table5[[#This Row],[PID]],Table3[[#All],[PID]],0)))</f>
        <v>Normal</v>
      </c>
      <c r="L570" s="62">
        <f>IF($C570="B",INDEX(Batters[[#All],[CON P]],MATCH(Table5[[#This Row],[PID]],Batters[[#All],[PID]],0)),INDEX(Table3[[#All],[STU P]],MATCH(Table5[[#This Row],[PID]],Table3[[#All],[PID]],0)))</f>
        <v>3</v>
      </c>
      <c r="M570" s="58">
        <f>IF($C570="B",INDEX(Batters[[#All],[GAP P]],MATCH(Table5[[#This Row],[PID]],Batters[[#All],[PID]],0)),INDEX(Table3[[#All],[MOV P]],MATCH(Table5[[#This Row],[PID]],Table3[[#All],[PID]],0)))</f>
        <v>4</v>
      </c>
      <c r="N570" s="58">
        <f>IF($C570="B",INDEX(Batters[[#All],[POW P]],MATCH(Table5[[#This Row],[PID]],Batters[[#All],[PID]],0)),INDEX(Table3[[#All],[CON P]],MATCH(Table5[[#This Row],[PID]],Table3[[#All],[PID]],0)))</f>
        <v>4</v>
      </c>
      <c r="O570" s="58">
        <f>IF($C570="B",INDEX(Batters[[#All],[EYE P]],MATCH(Table5[[#This Row],[PID]],Batters[[#All],[PID]],0)),INDEX(Table3[[#All],[VELO]],MATCH(Table5[[#This Row],[PID]],Table3[[#All],[PID]],0)))</f>
        <v>5</v>
      </c>
      <c r="P570" s="58">
        <f>IF($C570="B",INDEX(Batters[[#All],[K P]],MATCH(Table5[[#This Row],[PID]],Batters[[#All],[PID]],0)),INDEX(Table3[[#All],[STM]],MATCH(Table5[[#This Row],[PID]],Table3[[#All],[PID]],0)))</f>
        <v>5</v>
      </c>
      <c r="Q570" s="63">
        <f>IF($C570="B",INDEX(Batters[[#All],[Tot]],MATCH(Table5[[#This Row],[PID]],Batters[[#All],[PID]],0)),INDEX(Table3[[#All],[Tot]],MATCH(Table5[[#This Row],[PID]],Table3[[#All],[PID]],0)))</f>
        <v>38.661022735078369</v>
      </c>
      <c r="R570" s="54">
        <f>IF($C570="B",INDEX(Batters[[#All],[zScore]],MATCH(Table5[[#This Row],[PID]],Batters[[#All],[PID]],0)),INDEX(Table3[[#All],[zScore]],MATCH(Table5[[#This Row],[PID]],Table3[[#All],[PID]],0)))</f>
        <v>-0.29685595862534236</v>
      </c>
      <c r="S570" s="60" t="str">
        <f>IF($C570="B",INDEX(Batters[[#All],[DEM]],MATCH(Table5[[#This Row],[PID]],Batters[[#All],[PID]],0)),INDEX(Table3[[#All],[DEM]],MATCH(Table5[[#This Row],[PID]],Table3[[#All],[PID]],0)))</f>
        <v>-</v>
      </c>
      <c r="T570" s="64">
        <f>IF($C570="B",VLOOKUP($A570,Bat!$A$4:$AU$1417,46,FALSE),VLOOKUP($A570,Pit!$A$4:$BD$570,55,FALSE))</f>
        <v>0</v>
      </c>
      <c r="U570" s="52">
        <f>IF($C570="B",VLOOKUP($A570,Bat!$A$4:$BA$1417,47,FALSE),VLOOKUP($A570,Pit!$A$4:$BF$570,56,FALSE))</f>
        <v>0</v>
      </c>
      <c r="V570" s="52">
        <f>IF($C570="B",VLOOKUP($A570,Bat!$A$4:$BA$1417,48,FALSE),VLOOKUP($A570,Pit!$A$4:$BF$570,57,FALSE))</f>
        <v>0</v>
      </c>
      <c r="W570" s="52">
        <f>Table5[[#This Row],[posRnk]]+Table5[[#This Row],[zRnk]]+IF($W$3&lt;&gt;Table5[[#This Row],[Type]],50,0)</f>
        <v>616</v>
      </c>
      <c r="X570" s="53">
        <f>RANK(Table5[[#This Row],[zScore]],Table5[[#All],[zScore]])</f>
        <v>566</v>
      </c>
      <c r="Y570" s="52" t="str">
        <f>IFERROR(INDEX(DraftResults[[#All],[OVR]],MATCH(Table5[[#This Row],[PID]],DraftResults[[#All],[Player ID]],0)),"")</f>
        <v/>
      </c>
      <c r="Z5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0" s="52" t="str">
        <f>IFERROR(INDEX(DraftResults[[#All],[Pick in Round]],MATCH(Table5[[#This Row],[PID]],DraftResults[[#All],[Player ID]],0)),"")</f>
        <v/>
      </c>
      <c r="AB570" s="52" t="str">
        <f>IFERROR(INDEX(DraftResults[[#All],[Team Name]],MATCH(Table5[[#This Row],[PID]],DraftResults[[#All],[Player ID]],0)),"")</f>
        <v/>
      </c>
      <c r="AC570" s="52" t="str">
        <f>IF(Table5[[#This Row],[Ovr]]="","",IF(Table5[[#This Row],[cmbList]]="","",Table5[[#This Row],[cmbList]]-Table5[[#This Row],[Ovr]]))</f>
        <v/>
      </c>
      <c r="AD570" s="56" t="str">
        <f>IF(ISERROR(VLOOKUP($AB570&amp;"-"&amp;$E570&amp;" "&amp;F570,Bonuses!$B$1:$G$1006,4,FALSE)),"",INT(VLOOKUP($AB570&amp;"-"&amp;$E570&amp;" "&amp;$F570,Bonuses!$B$1:$G$1006,4,FALSE)))</f>
        <v/>
      </c>
      <c r="AE5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1" spans="1:31" s="52" customFormat="1" x14ac:dyDescent="0.25">
      <c r="A571" s="52">
        <v>17938</v>
      </c>
      <c r="B571" s="52">
        <f>COUNTIF(Table5[PID],A571)</f>
        <v>1</v>
      </c>
      <c r="C571" s="52" t="str">
        <f>IF(COUNTIF(Table3[[#All],[PID]],A571)&gt;0,"P","B")</f>
        <v>P</v>
      </c>
      <c r="D571" s="61" t="str">
        <f>IF($C571="B",INDEX(Batters[[#All],[POS]],MATCH(Table5[[#This Row],[PID]],Batters[[#All],[PID]],0)),INDEX(Table3[[#All],[POS]],MATCH(Table5[[#This Row],[PID]],Table3[[#All],[PID]],0)))</f>
        <v>RP</v>
      </c>
      <c r="E571" s="54" t="str">
        <f>IF($C571="B",INDEX(Batters[[#All],[First]],MATCH(Table5[[#This Row],[PID]],Batters[[#All],[PID]],0)),INDEX(Table3[[#All],[First]],MATCH(Table5[[#This Row],[PID]],Table3[[#All],[PID]],0)))</f>
        <v>Calum</v>
      </c>
      <c r="F571" s="52" t="str">
        <f>IF($C571="B",INDEX(Batters[[#All],[Last]],MATCH(A571,Batters[[#All],[PID]],0)),INDEX(Table3[[#All],[Last]],MATCH(A571,Table3[[#All],[PID]],0)))</f>
        <v>Cardew</v>
      </c>
      <c r="G571" s="58">
        <f>IF($C571="B",INDEX(Batters[[#All],[Age]],MATCH(Table5[[#This Row],[PID]],Batters[[#All],[PID]],0)),INDEX(Table3[[#All],[Age]],MATCH(Table5[[#This Row],[PID]],Table3[[#All],[PID]],0)))</f>
        <v>18</v>
      </c>
      <c r="H571" s="54" t="str">
        <f>IF($C571="B",INDEX(Batters[[#All],[B]],MATCH(Table5[[#This Row],[PID]],Batters[[#All],[PID]],0)),INDEX(Table3[[#All],[B]],MATCH(Table5[[#This Row],[PID]],Table3[[#All],[PID]],0)))</f>
        <v>L</v>
      </c>
      <c r="I571" s="54" t="str">
        <f>IF($C571="B",INDEX(Batters[[#All],[T]],MATCH(Table5[[#This Row],[PID]],Batters[[#All],[PID]],0)),INDEX(Table3[[#All],[T]],MATCH(Table5[[#This Row],[PID]],Table3[[#All],[PID]],0)))</f>
        <v>L</v>
      </c>
      <c r="J571" s="54" t="str">
        <f>IF($C571="B",INDEX(Batters[[#All],[WE]],MATCH(Table5[[#This Row],[PID]],Batters[[#All],[PID]],0)),INDEX(Table3[[#All],[WE]],MATCH(Table5[[#This Row],[PID]],Table3[[#All],[PID]],0)))</f>
        <v>Low</v>
      </c>
      <c r="K571" s="54" t="str">
        <f>IF($C571="B",INDEX(Batters[[#All],[INT]],MATCH(Table5[[#This Row],[PID]],Batters[[#All],[PID]],0)),INDEX(Table3[[#All],[INT]],MATCH(Table5[[#This Row],[PID]],Table3[[#All],[PID]],0)))</f>
        <v>Low</v>
      </c>
      <c r="L571" s="62">
        <f>IF($C571="B",INDEX(Batters[[#All],[CON P]],MATCH(Table5[[#This Row],[PID]],Batters[[#All],[PID]],0)),INDEX(Table3[[#All],[STU P]],MATCH(Table5[[#This Row],[PID]],Table3[[#All],[PID]],0)))</f>
        <v>3</v>
      </c>
      <c r="M571" s="58">
        <f>IF($C571="B",INDEX(Batters[[#All],[GAP P]],MATCH(Table5[[#This Row],[PID]],Batters[[#All],[PID]],0)),INDEX(Table3[[#All],[MOV P]],MATCH(Table5[[#This Row],[PID]],Table3[[#All],[PID]],0)))</f>
        <v>3</v>
      </c>
      <c r="N571" s="58">
        <f>IF($C571="B",INDEX(Batters[[#All],[POW P]],MATCH(Table5[[#This Row],[PID]],Batters[[#All],[PID]],0)),INDEX(Table3[[#All],[CON P]],MATCH(Table5[[#This Row],[PID]],Table3[[#All],[PID]],0)))</f>
        <v>2</v>
      </c>
      <c r="O571" s="58" t="str">
        <f>IF($C571="B",INDEX(Batters[[#All],[EYE P]],MATCH(Table5[[#This Row],[PID]],Batters[[#All],[PID]],0)),INDEX(Table3[[#All],[VELO]],MATCH(Table5[[#This Row],[PID]],Table3[[#All],[PID]],0)))</f>
        <v>85-87 Mph</v>
      </c>
      <c r="P571" s="58">
        <f>IF($C571="B",INDEX(Batters[[#All],[K P]],MATCH(Table5[[#This Row],[PID]],Batters[[#All],[PID]],0)),INDEX(Table3[[#All],[STM]],MATCH(Table5[[#This Row],[PID]],Table3[[#All],[PID]],0)))</f>
        <v>5</v>
      </c>
      <c r="Q571" s="63">
        <f>IF($C571="B",INDEX(Batters[[#All],[Tot]],MATCH(Table5[[#This Row],[PID]],Batters[[#All],[PID]],0)),INDEX(Table3[[#All],[Tot]],MATCH(Table5[[#This Row],[PID]],Table3[[#All],[PID]],0)))</f>
        <v>29.475970672390499</v>
      </c>
      <c r="R571" s="54">
        <f>IF($C571="B",INDEX(Batters[[#All],[zScore]],MATCH(Table5[[#This Row],[PID]],Batters[[#All],[PID]],0)),INDEX(Table3[[#All],[zScore]],MATCH(Table5[[#This Row],[PID]],Table3[[#All],[PID]],0)))</f>
        <v>-0.29769776755231869</v>
      </c>
      <c r="S571" s="60" t="str">
        <f>IF($C571="B",INDEX(Batters[[#All],[DEM]],MATCH(Table5[[#This Row],[PID]],Batters[[#All],[PID]],0)),INDEX(Table3[[#All],[DEM]],MATCH(Table5[[#This Row],[PID]],Table3[[#All],[PID]],0)))</f>
        <v>$75k</v>
      </c>
      <c r="T571" s="64">
        <f>IF($C571="B",VLOOKUP($A571,Bat!$A$4:$AU$1417,46,FALSE),VLOOKUP($A571,Pit!$A$4:$BD$570,55,FALSE))</f>
        <v>0</v>
      </c>
      <c r="U571" s="52">
        <f>IF($C571="B",VLOOKUP($A571,Bat!$A$4:$BA$1417,47,FALSE),VLOOKUP($A571,Pit!$A$4:$BF$570,56,FALSE))</f>
        <v>0</v>
      </c>
      <c r="V571" s="52">
        <f>IF($C571="B",VLOOKUP($A571,Bat!$A$4:$BA$1417,48,FALSE),VLOOKUP($A571,Pit!$A$4:$BF$570,57,FALSE))</f>
        <v>0</v>
      </c>
      <c r="W571" s="52">
        <f>Table5[[#This Row],[posRnk]]+Table5[[#This Row],[zRnk]]+IF($W$3&lt;&gt;Table5[[#This Row],[Type]],50,0)</f>
        <v>617</v>
      </c>
      <c r="X571" s="53">
        <f>RANK(Table5[[#This Row],[zScore]],Table5[[#All],[zScore]])</f>
        <v>567</v>
      </c>
      <c r="Y571" s="52" t="str">
        <f>IFERROR(INDEX(DraftResults[[#All],[OVR]],MATCH(Table5[[#This Row],[PID]],DraftResults[[#All],[Player ID]],0)),"")</f>
        <v/>
      </c>
      <c r="Z5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1" s="52" t="str">
        <f>IFERROR(INDEX(DraftResults[[#All],[Pick in Round]],MATCH(Table5[[#This Row],[PID]],DraftResults[[#All],[Player ID]],0)),"")</f>
        <v/>
      </c>
      <c r="AB571" s="52" t="str">
        <f>IFERROR(INDEX(DraftResults[[#All],[Team Name]],MATCH(Table5[[#This Row],[PID]],DraftResults[[#All],[Player ID]],0)),"")</f>
        <v/>
      </c>
      <c r="AC571" s="52" t="str">
        <f>IF(Table5[[#This Row],[Ovr]]="","",IF(Table5[[#This Row],[cmbList]]="","",Table5[[#This Row],[cmbList]]-Table5[[#This Row],[Ovr]]))</f>
        <v/>
      </c>
      <c r="AD571" s="56" t="str">
        <f>IF(ISERROR(VLOOKUP($AB571&amp;"-"&amp;$E571&amp;" "&amp;F571,Bonuses!$B$1:$G$1006,4,FALSE)),"",INT(VLOOKUP($AB571&amp;"-"&amp;$E571&amp;" "&amp;$F571,Bonuses!$B$1:$G$1006,4,FALSE)))</f>
        <v/>
      </c>
      <c r="AE5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2" spans="1:31" s="52" customFormat="1" x14ac:dyDescent="0.25">
      <c r="A572" s="52">
        <v>8294</v>
      </c>
      <c r="B572" s="52">
        <f>COUNTIF(Table5[PID],A572)</f>
        <v>1</v>
      </c>
      <c r="C572" s="52" t="str">
        <f>IF(COUNTIF(Table3[[#All],[PID]],A572)&gt;0,"P","B")</f>
        <v>P</v>
      </c>
      <c r="D572" s="61" t="str">
        <f>IF($C572="B",INDEX(Batters[[#All],[POS]],MATCH(Table5[[#This Row],[PID]],Batters[[#All],[PID]],0)),INDEX(Table3[[#All],[POS]],MATCH(Table5[[#This Row],[PID]],Table3[[#All],[PID]],0)))</f>
        <v>RP</v>
      </c>
      <c r="E572" s="54" t="str">
        <f>IF($C572="B",INDEX(Batters[[#All],[First]],MATCH(Table5[[#This Row],[PID]],Batters[[#All],[PID]],0)),INDEX(Table3[[#All],[First]],MATCH(Table5[[#This Row],[PID]],Table3[[#All],[PID]],0)))</f>
        <v>Coen</v>
      </c>
      <c r="F572" s="52" t="str">
        <f>IF($C572="B",INDEX(Batters[[#All],[Last]],MATCH(A572,Batters[[#All],[PID]],0)),INDEX(Table3[[#All],[Last]],MATCH(A572,Table3[[#All],[PID]],0)))</f>
        <v>Santegoeds</v>
      </c>
      <c r="G572" s="58">
        <f>IF($C572="B",INDEX(Batters[[#All],[Age]],MATCH(Table5[[#This Row],[PID]],Batters[[#All],[PID]],0)),INDEX(Table3[[#All],[Age]],MATCH(Table5[[#This Row],[PID]],Table3[[#All],[PID]],0)))</f>
        <v>21</v>
      </c>
      <c r="H572" s="54" t="str">
        <f>IF($C572="B",INDEX(Batters[[#All],[B]],MATCH(Table5[[#This Row],[PID]],Batters[[#All],[PID]],0)),INDEX(Table3[[#All],[B]],MATCH(Table5[[#This Row],[PID]],Table3[[#All],[PID]],0)))</f>
        <v>R</v>
      </c>
      <c r="I572" s="54" t="str">
        <f>IF($C572="B",INDEX(Batters[[#All],[T]],MATCH(Table5[[#This Row],[PID]],Batters[[#All],[PID]],0)),INDEX(Table3[[#All],[T]],MATCH(Table5[[#This Row],[PID]],Table3[[#All],[PID]],0)))</f>
        <v>R</v>
      </c>
      <c r="J572" s="54" t="str">
        <f>IF($C572="B",INDEX(Batters[[#All],[WE]],MATCH(Table5[[#This Row],[PID]],Batters[[#All],[PID]],0)),INDEX(Table3[[#All],[WE]],MATCH(Table5[[#This Row],[PID]],Table3[[#All],[PID]],0)))</f>
        <v>Normal</v>
      </c>
      <c r="K572" s="54" t="str">
        <f>IF($C572="B",INDEX(Batters[[#All],[INT]],MATCH(Table5[[#This Row],[PID]],Batters[[#All],[PID]],0)),INDEX(Table3[[#All],[INT]],MATCH(Table5[[#This Row],[PID]],Table3[[#All],[PID]],0)))</f>
        <v>Normal</v>
      </c>
      <c r="L572" s="62">
        <f>IF($C572="B",INDEX(Batters[[#All],[CON P]],MATCH(Table5[[#This Row],[PID]],Batters[[#All],[PID]],0)),INDEX(Table3[[#All],[STU P]],MATCH(Table5[[#This Row],[PID]],Table3[[#All],[PID]],0)))</f>
        <v>4</v>
      </c>
      <c r="M572" s="58">
        <f>IF($C572="B",INDEX(Batters[[#All],[GAP P]],MATCH(Table5[[#This Row],[PID]],Batters[[#All],[PID]],0)),INDEX(Table3[[#All],[MOV P]],MATCH(Table5[[#This Row],[PID]],Table3[[#All],[PID]],0)))</f>
        <v>2</v>
      </c>
      <c r="N572" s="58">
        <f>IF($C572="B",INDEX(Batters[[#All],[POW P]],MATCH(Table5[[#This Row],[PID]],Batters[[#All],[PID]],0)),INDEX(Table3[[#All],[CON P]],MATCH(Table5[[#This Row],[PID]],Table3[[#All],[PID]],0)))</f>
        <v>3</v>
      </c>
      <c r="O572" s="58" t="str">
        <f>IF($C572="B",INDEX(Batters[[#All],[EYE P]],MATCH(Table5[[#This Row],[PID]],Batters[[#All],[PID]],0)),INDEX(Table3[[#All],[VELO]],MATCH(Table5[[#This Row],[PID]],Table3[[#All],[PID]],0)))</f>
        <v>88-90 Mph</v>
      </c>
      <c r="P572" s="58">
        <f>IF($C572="B",INDEX(Batters[[#All],[K P]],MATCH(Table5[[#This Row],[PID]],Batters[[#All],[PID]],0)),INDEX(Table3[[#All],[STM]],MATCH(Table5[[#This Row],[PID]],Table3[[#All],[PID]],0)))</f>
        <v>9</v>
      </c>
      <c r="Q572" s="63">
        <f>IF($C572="B",INDEX(Batters[[#All],[Tot]],MATCH(Table5[[#This Row],[PID]],Batters[[#All],[PID]],0)),INDEX(Table3[[#All],[Tot]],MATCH(Table5[[#This Row],[PID]],Table3[[#All],[PID]],0)))</f>
        <v>29.46025222722454</v>
      </c>
      <c r="R572" s="54">
        <f>IF($C572="B",INDEX(Batters[[#All],[zScore]],MATCH(Table5[[#This Row],[PID]],Batters[[#All],[PID]],0)),INDEX(Table3[[#All],[zScore]],MATCH(Table5[[#This Row],[PID]],Table3[[#All],[PID]],0)))</f>
        <v>-0.29913921615608369</v>
      </c>
      <c r="S572" s="60" t="str">
        <f>IF($C572="B",INDEX(Batters[[#All],[DEM]],MATCH(Table5[[#This Row],[PID]],Batters[[#All],[PID]],0)),INDEX(Table3[[#All],[DEM]],MATCH(Table5[[#This Row],[PID]],Table3[[#All],[PID]],0)))</f>
        <v>-</v>
      </c>
      <c r="T572" s="64">
        <f>IF($C572="B",VLOOKUP($A572,Bat!$A$4:$AU$1417,46,FALSE),VLOOKUP($A572,Pit!$A$4:$BD$570,55,FALSE))</f>
        <v>0</v>
      </c>
      <c r="U572" s="52">
        <f>IF($C572="B",VLOOKUP($A572,Bat!$A$4:$BA$1417,47,FALSE),VLOOKUP($A572,Pit!$A$4:$BF$570,56,FALSE))</f>
        <v>0</v>
      </c>
      <c r="V572" s="52">
        <f>IF($C572="B",VLOOKUP($A572,Bat!$A$4:$BA$1417,48,FALSE),VLOOKUP($A572,Pit!$A$4:$BF$570,57,FALSE))</f>
        <v>0</v>
      </c>
      <c r="W572" s="52">
        <f>Table5[[#This Row],[posRnk]]+Table5[[#This Row],[zRnk]]+IF($W$3&lt;&gt;Table5[[#This Row],[Type]],50,0)</f>
        <v>618</v>
      </c>
      <c r="X572" s="53">
        <f>RANK(Table5[[#This Row],[zScore]],Table5[[#All],[zScore]])</f>
        <v>568</v>
      </c>
      <c r="Y572" s="52" t="str">
        <f>IFERROR(INDEX(DraftResults[[#All],[OVR]],MATCH(Table5[[#This Row],[PID]],DraftResults[[#All],[Player ID]],0)),"")</f>
        <v/>
      </c>
      <c r="Z5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2" s="52" t="str">
        <f>IFERROR(INDEX(DraftResults[[#All],[Pick in Round]],MATCH(Table5[[#This Row],[PID]],DraftResults[[#All],[Player ID]],0)),"")</f>
        <v/>
      </c>
      <c r="AB572" s="52" t="str">
        <f>IFERROR(INDEX(DraftResults[[#All],[Team Name]],MATCH(Table5[[#This Row],[PID]],DraftResults[[#All],[Player ID]],0)),"")</f>
        <v/>
      </c>
      <c r="AC572" s="52" t="str">
        <f>IF(Table5[[#This Row],[Ovr]]="","",IF(Table5[[#This Row],[cmbList]]="","",Table5[[#This Row],[cmbList]]-Table5[[#This Row],[Ovr]]))</f>
        <v/>
      </c>
      <c r="AD572" s="56" t="str">
        <f>IF(ISERROR(VLOOKUP($AB572&amp;"-"&amp;$E572&amp;" "&amp;F572,Bonuses!$B$1:$G$1006,4,FALSE)),"",INT(VLOOKUP($AB572&amp;"-"&amp;$E572&amp;" "&amp;$F572,Bonuses!$B$1:$G$1006,4,FALSE)))</f>
        <v/>
      </c>
      <c r="AE5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3" spans="1:31" s="52" customFormat="1" x14ac:dyDescent="0.25">
      <c r="A573" s="52">
        <v>5969</v>
      </c>
      <c r="B573" s="57">
        <f>COUNTIF(Table5[PID],A573)</f>
        <v>1</v>
      </c>
      <c r="C573" s="57" t="str">
        <f>IF(COUNTIF(Table3[[#All],[PID]],A573)&gt;0,"P","B")</f>
        <v>B</v>
      </c>
      <c r="D573" s="61" t="str">
        <f>IF($C573="B",INDEX(Batters[[#All],[POS]],MATCH(Table5[[#This Row],[PID]],Batters[[#All],[PID]],0)),INDEX(Table3[[#All],[POS]],MATCH(Table5[[#This Row],[PID]],Table3[[#All],[PID]],0)))</f>
        <v>RF</v>
      </c>
      <c r="E573" s="54" t="str">
        <f>IF($C573="B",INDEX(Batters[[#All],[First]],MATCH(Table5[[#This Row],[PID]],Batters[[#All],[PID]],0)),INDEX(Table3[[#All],[First]],MATCH(Table5[[#This Row],[PID]],Table3[[#All],[PID]],0)))</f>
        <v>Ken</v>
      </c>
      <c r="F573" s="52" t="str">
        <f>IF($C573="B",INDEX(Batters[[#All],[Last]],MATCH(A573,Batters[[#All],[PID]],0)),INDEX(Table3[[#All],[Last]],MATCH(A573,Table3[[#All],[PID]],0)))</f>
        <v>Owen</v>
      </c>
      <c r="G573" s="58">
        <f>IF($C573="B",INDEX(Batters[[#All],[Age]],MATCH(Table5[[#This Row],[PID]],Batters[[#All],[PID]],0)),INDEX(Table3[[#All],[Age]],MATCH(Table5[[#This Row],[PID]],Table3[[#All],[PID]],0)))</f>
        <v>18</v>
      </c>
      <c r="H573" s="54" t="str">
        <f>IF($C573="B",INDEX(Batters[[#All],[B]],MATCH(Table5[[#This Row],[PID]],Batters[[#All],[PID]],0)),INDEX(Table3[[#All],[B]],MATCH(Table5[[#This Row],[PID]],Table3[[#All],[PID]],0)))</f>
        <v>R</v>
      </c>
      <c r="I573" s="54" t="str">
        <f>IF($C573="B",INDEX(Batters[[#All],[T]],MATCH(Table5[[#This Row],[PID]],Batters[[#All],[PID]],0)),INDEX(Table3[[#All],[T]],MATCH(Table5[[#This Row],[PID]],Table3[[#All],[PID]],0)))</f>
        <v>R</v>
      </c>
      <c r="J573" s="54" t="str">
        <f>IF($C573="B",INDEX(Batters[[#All],[WE]],MATCH(Table5[[#This Row],[PID]],Batters[[#All],[PID]],0)),INDEX(Table3[[#All],[WE]],MATCH(Table5[[#This Row],[PID]],Table3[[#All],[PID]],0)))</f>
        <v>High</v>
      </c>
      <c r="K573" s="54" t="str">
        <f>IF($C573="B",INDEX(Batters[[#All],[INT]],MATCH(Table5[[#This Row],[PID]],Batters[[#All],[PID]],0)),INDEX(Table3[[#All],[INT]],MATCH(Table5[[#This Row],[PID]],Table3[[#All],[PID]],0)))</f>
        <v>Normal</v>
      </c>
      <c r="L573" s="62">
        <f>IF($C573="B",INDEX(Batters[[#All],[CON P]],MATCH(Table5[[#This Row],[PID]],Batters[[#All],[PID]],0)),INDEX(Table3[[#All],[STU P]],MATCH(Table5[[#This Row],[PID]],Table3[[#All],[PID]],0)))</f>
        <v>3</v>
      </c>
      <c r="M573" s="58">
        <f>IF($C573="B",INDEX(Batters[[#All],[GAP P]],MATCH(Table5[[#This Row],[PID]],Batters[[#All],[PID]],0)),INDEX(Table3[[#All],[MOV P]],MATCH(Table5[[#This Row],[PID]],Table3[[#All],[PID]],0)))</f>
        <v>3</v>
      </c>
      <c r="N573" s="58">
        <f>IF($C573="B",INDEX(Batters[[#All],[POW P]],MATCH(Table5[[#This Row],[PID]],Batters[[#All],[PID]],0)),INDEX(Table3[[#All],[CON P]],MATCH(Table5[[#This Row],[PID]],Table3[[#All],[PID]],0)))</f>
        <v>2</v>
      </c>
      <c r="O573" s="58">
        <f>IF($C573="B",INDEX(Batters[[#All],[EYE P]],MATCH(Table5[[#This Row],[PID]],Batters[[#All],[PID]],0)),INDEX(Table3[[#All],[VELO]],MATCH(Table5[[#This Row],[PID]],Table3[[#All],[PID]],0)))</f>
        <v>3</v>
      </c>
      <c r="P573" s="58">
        <f>IF($C573="B",INDEX(Batters[[#All],[K P]],MATCH(Table5[[#This Row],[PID]],Batters[[#All],[PID]],0)),INDEX(Table3[[#All],[STM]],MATCH(Table5[[#This Row],[PID]],Table3[[#All],[PID]],0)))</f>
        <v>4</v>
      </c>
      <c r="Q573" s="63">
        <f>IF($C573="B",INDEX(Batters[[#All],[Tot]],MATCH(Table5[[#This Row],[PID]],Batters[[#All],[PID]],0)),INDEX(Table3[[#All],[Tot]],MATCH(Table5[[#This Row],[PID]],Table3[[#All],[PID]],0)))</f>
        <v>38.644884158133614</v>
      </c>
      <c r="R573" s="54">
        <f>IF($C573="B",INDEX(Batters[[#All],[zScore]],MATCH(Table5[[#This Row],[PID]],Batters[[#All],[PID]],0)),INDEX(Table3[[#All],[zScore]],MATCH(Table5[[#This Row],[PID]],Table3[[#All],[PID]],0)))</f>
        <v>-0.29969543397689352</v>
      </c>
      <c r="S573" s="60" t="str">
        <f>IF($C573="B",INDEX(Batters[[#All],[DEM]],MATCH(Table5[[#This Row],[PID]],Batters[[#All],[PID]],0)),INDEX(Table3[[#All],[DEM]],MATCH(Table5[[#This Row],[PID]],Table3[[#All],[PID]],0)))</f>
        <v>$65k</v>
      </c>
      <c r="T573" s="64">
        <f>IF($C573="B",VLOOKUP($A573,Bat!$A$4:$AU$1417,46,FALSE),VLOOKUP($A573,Pit!$A$4:$BD$570,55,FALSE))</f>
        <v>0</v>
      </c>
      <c r="U573" s="52">
        <f>IF($C573="B",VLOOKUP($A573,Bat!$A$4:$BA$1417,47,FALSE),VLOOKUP($A573,Pit!$A$4:$BF$570,56,FALSE))</f>
        <v>0</v>
      </c>
      <c r="V573" s="52">
        <f>IF($C573="B",VLOOKUP($A573,Bat!$A$4:$BA$1417,48,FALSE),VLOOKUP($A573,Pit!$A$4:$BF$570,57,FALSE))</f>
        <v>0</v>
      </c>
      <c r="W573" s="52">
        <f>Table5[[#This Row],[posRnk]]+Table5[[#This Row],[zRnk]]+IF($W$3&lt;&gt;Table5[[#This Row],[Type]],50,0)</f>
        <v>619</v>
      </c>
      <c r="X573" s="53">
        <f>RANK(Table5[[#This Row],[zScore]],Table5[[#All],[zScore]])</f>
        <v>569</v>
      </c>
      <c r="Y573" s="52" t="str">
        <f>IFERROR(INDEX(DraftResults[[#All],[OVR]],MATCH(Table5[[#This Row],[PID]],DraftResults[[#All],[Player ID]],0)),"")</f>
        <v/>
      </c>
      <c r="Z5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3" s="52" t="str">
        <f>IFERROR(INDEX(DraftResults[[#All],[Pick in Round]],MATCH(Table5[[#This Row],[PID]],DraftResults[[#All],[Player ID]],0)),"")</f>
        <v/>
      </c>
      <c r="AB573" s="52" t="str">
        <f>IFERROR(INDEX(DraftResults[[#All],[Team Name]],MATCH(Table5[[#This Row],[PID]],DraftResults[[#All],[Player ID]],0)),"")</f>
        <v/>
      </c>
      <c r="AC573" s="52" t="str">
        <f>IF(Table5[[#This Row],[Ovr]]="","",IF(Table5[[#This Row],[cmbList]]="","",Table5[[#This Row],[cmbList]]-Table5[[#This Row],[Ovr]]))</f>
        <v/>
      </c>
      <c r="AD573" s="56" t="str">
        <f>IF(ISERROR(VLOOKUP($AB573&amp;"-"&amp;$E573&amp;" "&amp;F573,Bonuses!$B$1:$G$1006,4,FALSE)),"",INT(VLOOKUP($AB573&amp;"-"&amp;$E573&amp;" "&amp;$F573,Bonuses!$B$1:$G$1006,4,FALSE)))</f>
        <v/>
      </c>
      <c r="AE5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4" spans="1:31" s="52" customFormat="1" x14ac:dyDescent="0.25">
      <c r="A574" s="52">
        <v>8981</v>
      </c>
      <c r="B574" s="52">
        <f>COUNTIF(Table5[PID],A574)</f>
        <v>1</v>
      </c>
      <c r="C574" s="52" t="str">
        <f>IF(COUNTIF(Table3[[#All],[PID]],A574)&gt;0,"P","B")</f>
        <v>P</v>
      </c>
      <c r="D574" s="61" t="str">
        <f>IF($C574="B",INDEX(Batters[[#All],[POS]],MATCH(Table5[[#This Row],[PID]],Batters[[#All],[PID]],0)),INDEX(Table3[[#All],[POS]],MATCH(Table5[[#This Row],[PID]],Table3[[#All],[PID]],0)))</f>
        <v>RP</v>
      </c>
      <c r="E574" s="54" t="str">
        <f>IF($C574="B",INDEX(Batters[[#All],[First]],MATCH(Table5[[#This Row],[PID]],Batters[[#All],[PID]],0)),INDEX(Table3[[#All],[First]],MATCH(Table5[[#This Row],[PID]],Table3[[#All],[PID]],0)))</f>
        <v>Howard</v>
      </c>
      <c r="F574" s="52" t="str">
        <f>IF($C574="B",INDEX(Batters[[#All],[Last]],MATCH(A574,Batters[[#All],[PID]],0)),INDEX(Table3[[#All],[Last]],MATCH(A574,Table3[[#All],[PID]],0)))</f>
        <v>Mueller</v>
      </c>
      <c r="G574" s="58">
        <f>IF($C574="B",INDEX(Batters[[#All],[Age]],MATCH(Table5[[#This Row],[PID]],Batters[[#All],[PID]],0)),INDEX(Table3[[#All],[Age]],MATCH(Table5[[#This Row],[PID]],Table3[[#All],[PID]],0)))</f>
        <v>18</v>
      </c>
      <c r="H574" s="54" t="str">
        <f>IF($C574="B",INDEX(Batters[[#All],[B]],MATCH(Table5[[#This Row],[PID]],Batters[[#All],[PID]],0)),INDEX(Table3[[#All],[B]],MATCH(Table5[[#This Row],[PID]],Table3[[#All],[PID]],0)))</f>
        <v>R</v>
      </c>
      <c r="I574" s="54" t="str">
        <f>IF($C574="B",INDEX(Batters[[#All],[T]],MATCH(Table5[[#This Row],[PID]],Batters[[#All],[PID]],0)),INDEX(Table3[[#All],[T]],MATCH(Table5[[#This Row],[PID]],Table3[[#All],[PID]],0)))</f>
        <v>R</v>
      </c>
      <c r="J574" s="54" t="str">
        <f>IF($C574="B",INDEX(Batters[[#All],[WE]],MATCH(Table5[[#This Row],[PID]],Batters[[#All],[PID]],0)),INDEX(Table3[[#All],[WE]],MATCH(Table5[[#This Row],[PID]],Table3[[#All],[PID]],0)))</f>
        <v>Low</v>
      </c>
      <c r="K574" s="54" t="str">
        <f>IF($C574="B",INDEX(Batters[[#All],[INT]],MATCH(Table5[[#This Row],[PID]],Batters[[#All],[PID]],0)),INDEX(Table3[[#All],[INT]],MATCH(Table5[[#This Row],[PID]],Table3[[#All],[PID]],0)))</f>
        <v>Normal</v>
      </c>
      <c r="L574" s="62">
        <f>IF($C574="B",INDEX(Batters[[#All],[CON P]],MATCH(Table5[[#This Row],[PID]],Batters[[#All],[PID]],0)),INDEX(Table3[[#All],[STU P]],MATCH(Table5[[#This Row],[PID]],Table3[[#All],[PID]],0)))</f>
        <v>4</v>
      </c>
      <c r="M574" s="58">
        <f>IF($C574="B",INDEX(Batters[[#All],[GAP P]],MATCH(Table5[[#This Row],[PID]],Batters[[#All],[PID]],0)),INDEX(Table3[[#All],[MOV P]],MATCH(Table5[[#This Row],[PID]],Table3[[#All],[PID]],0)))</f>
        <v>2</v>
      </c>
      <c r="N574" s="58">
        <f>IF($C574="B",INDEX(Batters[[#All],[POW P]],MATCH(Table5[[#This Row],[PID]],Batters[[#All],[PID]],0)),INDEX(Table3[[#All],[CON P]],MATCH(Table5[[#This Row],[PID]],Table3[[#All],[PID]],0)))</f>
        <v>2</v>
      </c>
      <c r="O574" s="58" t="str">
        <f>IF($C574="B",INDEX(Batters[[#All],[EYE P]],MATCH(Table5[[#This Row],[PID]],Batters[[#All],[PID]],0)),INDEX(Table3[[#All],[VELO]],MATCH(Table5[[#This Row],[PID]],Table3[[#All],[PID]],0)))</f>
        <v>86-88 Mph</v>
      </c>
      <c r="P574" s="58">
        <f>IF($C574="B",INDEX(Batters[[#All],[K P]],MATCH(Table5[[#This Row],[PID]],Batters[[#All],[PID]],0)),INDEX(Table3[[#All],[STM]],MATCH(Table5[[#This Row],[PID]],Table3[[#All],[PID]],0)))</f>
        <v>4</v>
      </c>
      <c r="Q574" s="63">
        <f>IF($C574="B",INDEX(Batters[[#All],[Tot]],MATCH(Table5[[#This Row],[PID]],Batters[[#All],[PID]],0)),INDEX(Table3[[#All],[Tot]],MATCH(Table5[[#This Row],[PID]],Table3[[#All],[PID]],0)))</f>
        <v>29.452886196362414</v>
      </c>
      <c r="R574" s="54">
        <f>IF($C574="B",INDEX(Batters[[#All],[zScore]],MATCH(Table5[[#This Row],[PID]],Batters[[#All],[PID]],0)),INDEX(Table3[[#All],[zScore]],MATCH(Table5[[#This Row],[PID]],Table3[[#All],[PID]],0)))</f>
        <v>-0.29981471266921828</v>
      </c>
      <c r="S574" s="60" t="str">
        <f>IF($C574="B",INDEX(Batters[[#All],[DEM]],MATCH(Table5[[#This Row],[PID]],Batters[[#All],[PID]],0)),INDEX(Table3[[#All],[DEM]],MATCH(Table5[[#This Row],[PID]],Table3[[#All],[PID]],0)))</f>
        <v>$65k</v>
      </c>
      <c r="T574" s="64">
        <f>IF($C574="B",VLOOKUP($A574,Bat!$A$4:$AU$1417,46,FALSE),VLOOKUP($A574,Pit!$A$4:$BD$570,55,FALSE))</f>
        <v>0</v>
      </c>
      <c r="U574" s="52">
        <f>IF($C574="B",VLOOKUP($A574,Bat!$A$4:$BA$1417,47,FALSE),VLOOKUP($A574,Pit!$A$4:$BF$570,56,FALSE))</f>
        <v>0</v>
      </c>
      <c r="V574" s="52">
        <f>IF($C574="B",VLOOKUP($A574,Bat!$A$4:$BA$1417,48,FALSE),VLOOKUP($A574,Pit!$A$4:$BF$570,57,FALSE))</f>
        <v>0</v>
      </c>
      <c r="W574" s="52">
        <f>Table5[[#This Row],[posRnk]]+Table5[[#This Row],[zRnk]]+IF($W$3&lt;&gt;Table5[[#This Row],[Type]],50,0)</f>
        <v>620</v>
      </c>
      <c r="X574" s="53">
        <f>RANK(Table5[[#This Row],[zScore]],Table5[[#All],[zScore]])</f>
        <v>570</v>
      </c>
      <c r="Y574" s="52" t="str">
        <f>IFERROR(INDEX(DraftResults[[#All],[OVR]],MATCH(Table5[[#This Row],[PID]],DraftResults[[#All],[Player ID]],0)),"")</f>
        <v/>
      </c>
      <c r="Z5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4" s="52" t="str">
        <f>IFERROR(INDEX(DraftResults[[#All],[Pick in Round]],MATCH(Table5[[#This Row],[PID]],DraftResults[[#All],[Player ID]],0)),"")</f>
        <v/>
      </c>
      <c r="AB574" s="52" t="str">
        <f>IFERROR(INDEX(DraftResults[[#All],[Team Name]],MATCH(Table5[[#This Row],[PID]],DraftResults[[#All],[Player ID]],0)),"")</f>
        <v/>
      </c>
      <c r="AC574" s="52" t="str">
        <f>IF(Table5[[#This Row],[Ovr]]="","",IF(Table5[[#This Row],[cmbList]]="","",Table5[[#This Row],[cmbList]]-Table5[[#This Row],[Ovr]]))</f>
        <v/>
      </c>
      <c r="AD574" s="56" t="str">
        <f>IF(ISERROR(VLOOKUP($AB574&amp;"-"&amp;$E574&amp;" "&amp;F574,Bonuses!$B$1:$G$1006,4,FALSE)),"",INT(VLOOKUP($AB574&amp;"-"&amp;$E574&amp;" "&amp;$F574,Bonuses!$B$1:$G$1006,4,FALSE)))</f>
        <v/>
      </c>
      <c r="AE5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5" spans="1:31" s="52" customFormat="1" x14ac:dyDescent="0.25">
      <c r="A575" s="52">
        <v>5204</v>
      </c>
      <c r="B575" s="52">
        <f>COUNTIF(Table5[PID],A575)</f>
        <v>1</v>
      </c>
      <c r="C575" s="52" t="str">
        <f>IF(COUNTIF(Table3[[#All],[PID]],A575)&gt;0,"P","B")</f>
        <v>P</v>
      </c>
      <c r="D575" s="61" t="str">
        <f>IF($C575="B",INDEX(Batters[[#All],[POS]],MATCH(Table5[[#This Row],[PID]],Batters[[#All],[PID]],0)),INDEX(Table3[[#All],[POS]],MATCH(Table5[[#This Row],[PID]],Table3[[#All],[PID]],0)))</f>
        <v>RP</v>
      </c>
      <c r="E575" s="54" t="str">
        <f>IF($C575="B",INDEX(Batters[[#All],[First]],MATCH(Table5[[#This Row],[PID]],Batters[[#All],[PID]],0)),INDEX(Table3[[#All],[First]],MATCH(Table5[[#This Row],[PID]],Table3[[#All],[PID]],0)))</f>
        <v>George</v>
      </c>
      <c r="F575" s="52" t="str">
        <f>IF($C575="B",INDEX(Batters[[#All],[Last]],MATCH(A575,Batters[[#All],[PID]],0)),INDEX(Table3[[#All],[Last]],MATCH(A575,Table3[[#All],[PID]],0)))</f>
        <v>Blanchard</v>
      </c>
      <c r="G575" s="58">
        <f>IF($C575="B",INDEX(Batters[[#All],[Age]],MATCH(Table5[[#This Row],[PID]],Batters[[#All],[PID]],0)),INDEX(Table3[[#All],[Age]],MATCH(Table5[[#This Row],[PID]],Table3[[#All],[PID]],0)))</f>
        <v>18</v>
      </c>
      <c r="H575" s="54" t="str">
        <f>IF($C575="B",INDEX(Batters[[#All],[B]],MATCH(Table5[[#This Row],[PID]],Batters[[#All],[PID]],0)),INDEX(Table3[[#All],[B]],MATCH(Table5[[#This Row],[PID]],Table3[[#All],[PID]],0)))</f>
        <v>R</v>
      </c>
      <c r="I575" s="54" t="str">
        <f>IF($C575="B",INDEX(Batters[[#All],[T]],MATCH(Table5[[#This Row],[PID]],Batters[[#All],[PID]],0)),INDEX(Table3[[#All],[T]],MATCH(Table5[[#This Row],[PID]],Table3[[#All],[PID]],0)))</f>
        <v>L</v>
      </c>
      <c r="J575" s="54" t="str">
        <f>IF($C575="B",INDEX(Batters[[#All],[WE]],MATCH(Table5[[#This Row],[PID]],Batters[[#All],[PID]],0)),INDEX(Table3[[#All],[WE]],MATCH(Table5[[#This Row],[PID]],Table3[[#All],[PID]],0)))</f>
        <v>High</v>
      </c>
      <c r="K575" s="54" t="str">
        <f>IF($C575="B",INDEX(Batters[[#All],[INT]],MATCH(Table5[[#This Row],[PID]],Batters[[#All],[PID]],0)),INDEX(Table3[[#All],[INT]],MATCH(Table5[[#This Row],[PID]],Table3[[#All],[PID]],0)))</f>
        <v>High</v>
      </c>
      <c r="L575" s="62">
        <f>IF($C575="B",INDEX(Batters[[#All],[CON P]],MATCH(Table5[[#This Row],[PID]],Batters[[#All],[PID]],0)),INDEX(Table3[[#All],[STU P]],MATCH(Table5[[#This Row],[PID]],Table3[[#All],[PID]],0)))</f>
        <v>4</v>
      </c>
      <c r="M575" s="58">
        <f>IF($C575="B",INDEX(Batters[[#All],[GAP P]],MATCH(Table5[[#This Row],[PID]],Batters[[#All],[PID]],0)),INDEX(Table3[[#All],[MOV P]],MATCH(Table5[[#This Row],[PID]],Table3[[#All],[PID]],0)))</f>
        <v>1</v>
      </c>
      <c r="N575" s="58">
        <f>IF($C575="B",INDEX(Batters[[#All],[POW P]],MATCH(Table5[[#This Row],[PID]],Batters[[#All],[PID]],0)),INDEX(Table3[[#All],[CON P]],MATCH(Table5[[#This Row],[PID]],Table3[[#All],[PID]],0)))</f>
        <v>2</v>
      </c>
      <c r="O575" s="58" t="str">
        <f>IF($C575="B",INDEX(Batters[[#All],[EYE P]],MATCH(Table5[[#This Row],[PID]],Batters[[#All],[PID]],0)),INDEX(Table3[[#All],[VELO]],MATCH(Table5[[#This Row],[PID]],Table3[[#All],[PID]],0)))</f>
        <v>84-86 Mph</v>
      </c>
      <c r="P575" s="58">
        <f>IF($C575="B",INDEX(Batters[[#All],[K P]],MATCH(Table5[[#This Row],[PID]],Batters[[#All],[PID]],0)),INDEX(Table3[[#All],[STM]],MATCH(Table5[[#This Row],[PID]],Table3[[#All],[PID]],0)))</f>
        <v>6</v>
      </c>
      <c r="Q575" s="63">
        <f>IF($C575="B",INDEX(Batters[[#All],[Tot]],MATCH(Table5[[#This Row],[PID]],Batters[[#All],[PID]],0)),INDEX(Table3[[#All],[Tot]],MATCH(Table5[[#This Row],[PID]],Table3[[#All],[PID]],0)))</f>
        <v>29.449623184998568</v>
      </c>
      <c r="R575" s="54">
        <f>IF($C575="B",INDEX(Batters[[#All],[zScore]],MATCH(Table5[[#This Row],[PID]],Batters[[#All],[PID]],0)),INDEX(Table3[[#All],[zScore]],MATCH(Table5[[#This Row],[PID]],Table3[[#All],[PID]],0)))</f>
        <v>-0.3001139447576866</v>
      </c>
      <c r="S575" s="60" t="str">
        <f>IF($C575="B",INDEX(Batters[[#All],[DEM]],MATCH(Table5[[#This Row],[PID]],Batters[[#All],[PID]],0)),INDEX(Table3[[#All],[DEM]],MATCH(Table5[[#This Row],[PID]],Table3[[#All],[PID]],0)))</f>
        <v>$75k</v>
      </c>
      <c r="T575" s="64">
        <f>IF($C575="B",VLOOKUP($A575,Bat!$A$4:$AU$1417,46,FALSE),VLOOKUP($A575,Pit!$A$4:$BD$570,55,FALSE))</f>
        <v>0</v>
      </c>
      <c r="U575" s="52">
        <f>IF($C575="B",VLOOKUP($A575,Bat!$A$4:$BA$1417,47,FALSE),VLOOKUP($A575,Pit!$A$4:$BF$570,56,FALSE))</f>
        <v>0</v>
      </c>
      <c r="V575" s="52">
        <f>IF($C575="B",VLOOKUP($A575,Bat!$A$4:$BA$1417,48,FALSE),VLOOKUP($A575,Pit!$A$4:$BF$570,57,FALSE))</f>
        <v>0</v>
      </c>
      <c r="W575" s="52">
        <f>Table5[[#This Row],[posRnk]]+Table5[[#This Row],[zRnk]]+IF($W$3&lt;&gt;Table5[[#This Row],[Type]],50,0)</f>
        <v>621</v>
      </c>
      <c r="X575" s="53">
        <f>RANK(Table5[[#This Row],[zScore]],Table5[[#All],[zScore]])</f>
        <v>571</v>
      </c>
      <c r="Y575" s="52" t="str">
        <f>IFERROR(INDEX(DraftResults[[#All],[OVR]],MATCH(Table5[[#This Row],[PID]],DraftResults[[#All],[Player ID]],0)),"")</f>
        <v/>
      </c>
      <c r="Z5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5" s="52" t="str">
        <f>IFERROR(INDEX(DraftResults[[#All],[Pick in Round]],MATCH(Table5[[#This Row],[PID]],DraftResults[[#All],[Player ID]],0)),"")</f>
        <v/>
      </c>
      <c r="AB575" s="52" t="str">
        <f>IFERROR(INDEX(DraftResults[[#All],[Team Name]],MATCH(Table5[[#This Row],[PID]],DraftResults[[#All],[Player ID]],0)),"")</f>
        <v/>
      </c>
      <c r="AC575" s="52" t="str">
        <f>IF(Table5[[#This Row],[Ovr]]="","",IF(Table5[[#This Row],[cmbList]]="","",Table5[[#This Row],[cmbList]]-Table5[[#This Row],[Ovr]]))</f>
        <v/>
      </c>
      <c r="AD575" s="56" t="str">
        <f>IF(ISERROR(VLOOKUP($AB575&amp;"-"&amp;$E575&amp;" "&amp;F575,Bonuses!$B$1:$G$1006,4,FALSE)),"",INT(VLOOKUP($AB575&amp;"-"&amp;$E575&amp;" "&amp;$F575,Bonuses!$B$1:$G$1006,4,FALSE)))</f>
        <v/>
      </c>
      <c r="AE5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6" spans="1:31" s="52" customFormat="1" x14ac:dyDescent="0.25">
      <c r="A576" s="52">
        <v>10241</v>
      </c>
      <c r="B576" s="52">
        <f>COUNTIF(Table5[PID],A576)</f>
        <v>1</v>
      </c>
      <c r="C576" s="52" t="str">
        <f>IF(COUNTIF(Table3[[#All],[PID]],A576)&gt;0,"P","B")</f>
        <v>B</v>
      </c>
      <c r="D576" s="61" t="str">
        <f>IF($C576="B",INDEX(Batters[[#All],[POS]],MATCH(Table5[[#This Row],[PID]],Batters[[#All],[PID]],0)),INDEX(Table3[[#All],[POS]],MATCH(Table5[[#This Row],[PID]],Table3[[#All],[PID]],0)))</f>
        <v>3B</v>
      </c>
      <c r="E576" s="54" t="str">
        <f>IF($C576="B",INDEX(Batters[[#All],[First]],MATCH(Table5[[#This Row],[PID]],Batters[[#All],[PID]],0)),INDEX(Table3[[#All],[First]],MATCH(Table5[[#This Row],[PID]],Table3[[#All],[PID]],0)))</f>
        <v>Naosuke</v>
      </c>
      <c r="F576" s="52" t="str">
        <f>IF($C576="B",INDEX(Batters[[#All],[Last]],MATCH(A576,Batters[[#All],[PID]],0)),INDEX(Table3[[#All],[Last]],MATCH(A576,Table3[[#All],[PID]],0)))</f>
        <v>Okazaki</v>
      </c>
      <c r="G576" s="58">
        <f>IF($C576="B",INDEX(Batters[[#All],[Age]],MATCH(Table5[[#This Row],[PID]],Batters[[#All],[PID]],0)),INDEX(Table3[[#All],[Age]],MATCH(Table5[[#This Row],[PID]],Table3[[#All],[PID]],0)))</f>
        <v>21</v>
      </c>
      <c r="H576" s="54" t="str">
        <f>IF($C576="B",INDEX(Batters[[#All],[B]],MATCH(Table5[[#This Row],[PID]],Batters[[#All],[PID]],0)),INDEX(Table3[[#All],[B]],MATCH(Table5[[#This Row],[PID]],Table3[[#All],[PID]],0)))</f>
        <v>R</v>
      </c>
      <c r="I576" s="54" t="str">
        <f>IF($C576="B",INDEX(Batters[[#All],[T]],MATCH(Table5[[#This Row],[PID]],Batters[[#All],[PID]],0)),INDEX(Table3[[#All],[T]],MATCH(Table5[[#This Row],[PID]],Table3[[#All],[PID]],0)))</f>
        <v>R</v>
      </c>
      <c r="J576" s="54" t="str">
        <f>IF($C576="B",INDEX(Batters[[#All],[WE]],MATCH(Table5[[#This Row],[PID]],Batters[[#All],[PID]],0)),INDEX(Table3[[#All],[WE]],MATCH(Table5[[#This Row],[PID]],Table3[[#All],[PID]],0)))</f>
        <v>Normal</v>
      </c>
      <c r="K576" s="54" t="str">
        <f>IF($C576="B",INDEX(Batters[[#All],[INT]],MATCH(Table5[[#This Row],[PID]],Batters[[#All],[PID]],0)),INDEX(Table3[[#All],[INT]],MATCH(Table5[[#This Row],[PID]],Table3[[#All],[PID]],0)))</f>
        <v>High</v>
      </c>
      <c r="L576" s="62">
        <f>IF($C576="B",INDEX(Batters[[#All],[CON P]],MATCH(Table5[[#This Row],[PID]],Batters[[#All],[PID]],0)),INDEX(Table3[[#All],[STU P]],MATCH(Table5[[#This Row],[PID]],Table3[[#All],[PID]],0)))</f>
        <v>3</v>
      </c>
      <c r="M576" s="58">
        <f>IF($C576="B",INDEX(Batters[[#All],[GAP P]],MATCH(Table5[[#This Row],[PID]],Batters[[#All],[PID]],0)),INDEX(Table3[[#All],[MOV P]],MATCH(Table5[[#This Row],[PID]],Table3[[#All],[PID]],0)))</f>
        <v>4</v>
      </c>
      <c r="N576" s="58">
        <f>IF($C576="B",INDEX(Batters[[#All],[POW P]],MATCH(Table5[[#This Row],[PID]],Batters[[#All],[PID]],0)),INDEX(Table3[[#All],[CON P]],MATCH(Table5[[#This Row],[PID]],Table3[[#All],[PID]],0)))</f>
        <v>4</v>
      </c>
      <c r="O576" s="58">
        <f>IF($C576="B",INDEX(Batters[[#All],[EYE P]],MATCH(Table5[[#This Row],[PID]],Batters[[#All],[PID]],0)),INDEX(Table3[[#All],[VELO]],MATCH(Table5[[#This Row],[PID]],Table3[[#All],[PID]],0)))</f>
        <v>5</v>
      </c>
      <c r="P576" s="58">
        <f>IF($C576="B",INDEX(Batters[[#All],[K P]],MATCH(Table5[[#This Row],[PID]],Batters[[#All],[PID]],0)),INDEX(Table3[[#All],[STM]],MATCH(Table5[[#This Row],[PID]],Table3[[#All],[PID]],0)))</f>
        <v>4</v>
      </c>
      <c r="Q576" s="63">
        <f>IF($C576="B",INDEX(Batters[[#All],[Tot]],MATCH(Table5[[#This Row],[PID]],Batters[[#All],[PID]],0)),INDEX(Table3[[#All],[Tot]],MATCH(Table5[[#This Row],[PID]],Table3[[#All],[PID]],0)))</f>
        <v>38.638385701996455</v>
      </c>
      <c r="R576" s="54">
        <f>IF($C576="B",INDEX(Batters[[#All],[zScore]],MATCH(Table5[[#This Row],[PID]],Batters[[#All],[PID]],0)),INDEX(Table3[[#All],[zScore]],MATCH(Table5[[#This Row],[PID]],Table3[[#All],[PID]],0)))</f>
        <v>-0.30083879414351561</v>
      </c>
      <c r="S576" s="60" t="str">
        <f>IF($C576="B",INDEX(Batters[[#All],[DEM]],MATCH(Table5[[#This Row],[PID]],Batters[[#All],[PID]],0)),INDEX(Table3[[#All],[DEM]],MATCH(Table5[[#This Row],[PID]],Table3[[#All],[PID]],0)))</f>
        <v>$110k</v>
      </c>
      <c r="T576" s="64">
        <f>IF($C576="B",VLOOKUP($A576,Bat!$A$4:$AU$1417,46,FALSE),VLOOKUP($A576,Pit!$A$4:$BD$570,55,FALSE))</f>
        <v>0</v>
      </c>
      <c r="U576" s="52">
        <f>IF($C576="B",VLOOKUP($A576,Bat!$A$4:$BA$1417,47,FALSE),VLOOKUP($A576,Pit!$A$4:$BF$570,56,FALSE))</f>
        <v>0</v>
      </c>
      <c r="V576" s="52">
        <f>IF($C576="B",VLOOKUP($A576,Bat!$A$4:$BA$1417,48,FALSE),VLOOKUP($A576,Pit!$A$4:$BF$570,57,FALSE))</f>
        <v>0</v>
      </c>
      <c r="W576" s="52">
        <f>Table5[[#This Row],[posRnk]]+Table5[[#This Row],[zRnk]]+IF($W$3&lt;&gt;Table5[[#This Row],[Type]],50,0)</f>
        <v>622</v>
      </c>
      <c r="X576" s="53">
        <f>RANK(Table5[[#This Row],[zScore]],Table5[[#All],[zScore]])</f>
        <v>572</v>
      </c>
      <c r="Y576" s="52" t="str">
        <f>IFERROR(INDEX(DraftResults[[#All],[OVR]],MATCH(Table5[[#This Row],[PID]],DraftResults[[#All],[Player ID]],0)),"")</f>
        <v/>
      </c>
      <c r="Z5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6" s="52" t="str">
        <f>IFERROR(INDEX(DraftResults[[#All],[Pick in Round]],MATCH(Table5[[#This Row],[PID]],DraftResults[[#All],[Player ID]],0)),"")</f>
        <v/>
      </c>
      <c r="AB576" s="52" t="str">
        <f>IFERROR(INDEX(DraftResults[[#All],[Team Name]],MATCH(Table5[[#This Row],[PID]],DraftResults[[#All],[Player ID]],0)),"")</f>
        <v/>
      </c>
      <c r="AC576" s="52" t="str">
        <f>IF(Table5[[#This Row],[Ovr]]="","",IF(Table5[[#This Row],[cmbList]]="","",Table5[[#This Row],[cmbList]]-Table5[[#This Row],[Ovr]]))</f>
        <v/>
      </c>
      <c r="AD576" s="56" t="str">
        <f>IF(ISERROR(VLOOKUP($AB576&amp;"-"&amp;$E576&amp;" "&amp;F576,Bonuses!$B$1:$G$1006,4,FALSE)),"",INT(VLOOKUP($AB576&amp;"-"&amp;$E576&amp;" "&amp;$F576,Bonuses!$B$1:$G$1006,4,FALSE)))</f>
        <v/>
      </c>
      <c r="AE5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7" spans="1:31" s="52" customFormat="1" x14ac:dyDescent="0.25">
      <c r="A577" s="52">
        <v>7019</v>
      </c>
      <c r="B577" s="57">
        <f>COUNTIF(Table5[PID],A577)</f>
        <v>1</v>
      </c>
      <c r="C577" s="57" t="str">
        <f>IF(COUNTIF(Table3[[#All],[PID]],A577)&gt;0,"P","B")</f>
        <v>B</v>
      </c>
      <c r="D577" s="61" t="str">
        <f>IF($C577="B",INDEX(Batters[[#All],[POS]],MATCH(Table5[[#This Row],[PID]],Batters[[#All],[PID]],0)),INDEX(Table3[[#All],[POS]],MATCH(Table5[[#This Row],[PID]],Table3[[#All],[PID]],0)))</f>
        <v>RF</v>
      </c>
      <c r="E577" s="54" t="str">
        <f>IF($C577="B",INDEX(Batters[[#All],[First]],MATCH(Table5[[#This Row],[PID]],Batters[[#All],[PID]],0)),INDEX(Table3[[#All],[First]],MATCH(Table5[[#This Row],[PID]],Table3[[#All],[PID]],0)))</f>
        <v>Ramón</v>
      </c>
      <c r="F577" s="52" t="str">
        <f>IF($C577="B",INDEX(Batters[[#All],[Last]],MATCH(A577,Batters[[#All],[PID]],0)),INDEX(Table3[[#All],[Last]],MATCH(A577,Table3[[#All],[PID]],0)))</f>
        <v>González</v>
      </c>
      <c r="G577" s="58">
        <f>IF($C577="B",INDEX(Batters[[#All],[Age]],MATCH(Table5[[#This Row],[PID]],Batters[[#All],[PID]],0)),INDEX(Table3[[#All],[Age]],MATCH(Table5[[#This Row],[PID]],Table3[[#All],[PID]],0)))</f>
        <v>21</v>
      </c>
      <c r="H577" s="54" t="str">
        <f>IF($C577="B",INDEX(Batters[[#All],[B]],MATCH(Table5[[#This Row],[PID]],Batters[[#All],[PID]],0)),INDEX(Table3[[#All],[B]],MATCH(Table5[[#This Row],[PID]],Table3[[#All],[PID]],0)))</f>
        <v>R</v>
      </c>
      <c r="I577" s="54" t="str">
        <f>IF($C577="B",INDEX(Batters[[#All],[T]],MATCH(Table5[[#This Row],[PID]],Batters[[#All],[PID]],0)),INDEX(Table3[[#All],[T]],MATCH(Table5[[#This Row],[PID]],Table3[[#All],[PID]],0)))</f>
        <v>R</v>
      </c>
      <c r="J577" s="54" t="str">
        <f>IF($C577="B",INDEX(Batters[[#All],[WE]],MATCH(Table5[[#This Row],[PID]],Batters[[#All],[PID]],0)),INDEX(Table3[[#All],[WE]],MATCH(Table5[[#This Row],[PID]],Table3[[#All],[PID]],0)))</f>
        <v>High</v>
      </c>
      <c r="K577" s="54" t="str">
        <f>IF($C577="B",INDEX(Batters[[#All],[INT]],MATCH(Table5[[#This Row],[PID]],Batters[[#All],[PID]],0)),INDEX(Table3[[#All],[INT]],MATCH(Table5[[#This Row],[PID]],Table3[[#All],[PID]],0)))</f>
        <v>Normal</v>
      </c>
      <c r="L577" s="62">
        <f>IF($C577="B",INDEX(Batters[[#All],[CON P]],MATCH(Table5[[#This Row],[PID]],Batters[[#All],[PID]],0)),INDEX(Table3[[#All],[STU P]],MATCH(Table5[[#This Row],[PID]],Table3[[#All],[PID]],0)))</f>
        <v>3</v>
      </c>
      <c r="M577" s="58">
        <f>IF($C577="B",INDEX(Batters[[#All],[GAP P]],MATCH(Table5[[#This Row],[PID]],Batters[[#All],[PID]],0)),INDEX(Table3[[#All],[MOV P]],MATCH(Table5[[#This Row],[PID]],Table3[[#All],[PID]],0)))</f>
        <v>4</v>
      </c>
      <c r="N577" s="58">
        <f>IF($C577="B",INDEX(Batters[[#All],[POW P]],MATCH(Table5[[#This Row],[PID]],Batters[[#All],[PID]],0)),INDEX(Table3[[#All],[CON P]],MATCH(Table5[[#This Row],[PID]],Table3[[#All],[PID]],0)))</f>
        <v>5</v>
      </c>
      <c r="O577" s="58">
        <f>IF($C577="B",INDEX(Batters[[#All],[EYE P]],MATCH(Table5[[#This Row],[PID]],Batters[[#All],[PID]],0)),INDEX(Table3[[#All],[VELO]],MATCH(Table5[[#This Row],[PID]],Table3[[#All],[PID]],0)))</f>
        <v>5</v>
      </c>
      <c r="P577" s="58">
        <f>IF($C577="B",INDEX(Batters[[#All],[K P]],MATCH(Table5[[#This Row],[PID]],Batters[[#All],[PID]],0)),INDEX(Table3[[#All],[STM]],MATCH(Table5[[#This Row],[PID]],Table3[[#All],[PID]],0)))</f>
        <v>2</v>
      </c>
      <c r="Q577" s="63">
        <f>IF($C577="B",INDEX(Batters[[#All],[Tot]],MATCH(Table5[[#This Row],[PID]],Batters[[#All],[PID]],0)),INDEX(Table3[[#All],[Tot]],MATCH(Table5[[#This Row],[PID]],Table3[[#All],[PID]],0)))</f>
        <v>38.62950330207034</v>
      </c>
      <c r="R577" s="54">
        <f>IF($C577="B",INDEX(Batters[[#All],[zScore]],MATCH(Table5[[#This Row],[PID]],Batters[[#All],[PID]],0)),INDEX(Table3[[#All],[zScore]],MATCH(Table5[[#This Row],[PID]],Table3[[#All],[PID]],0)))</f>
        <v>-0.30240159337539096</v>
      </c>
      <c r="S577" s="60" t="str">
        <f>IF($C577="B",INDEX(Batters[[#All],[DEM]],MATCH(Table5[[#This Row],[PID]],Batters[[#All],[PID]],0)),INDEX(Table3[[#All],[DEM]],MATCH(Table5[[#This Row],[PID]],Table3[[#All],[PID]],0)))</f>
        <v>-</v>
      </c>
      <c r="T577" s="64">
        <f>IF($C577="B",VLOOKUP($A577,Bat!$A$4:$AU$1417,46,FALSE),VLOOKUP($A577,Pit!$A$4:$BD$570,55,FALSE))</f>
        <v>0</v>
      </c>
      <c r="U577" s="52">
        <f>IF($C577="B",VLOOKUP($A577,Bat!$A$4:$BA$1417,47,FALSE),VLOOKUP($A577,Pit!$A$4:$BF$570,56,FALSE))</f>
        <v>0</v>
      </c>
      <c r="V577" s="52">
        <f>IF($C577="B",VLOOKUP($A577,Bat!$A$4:$BA$1417,48,FALSE),VLOOKUP($A577,Pit!$A$4:$BF$570,57,FALSE))</f>
        <v>0</v>
      </c>
      <c r="W577" s="52">
        <f>Table5[[#This Row],[posRnk]]+Table5[[#This Row],[zRnk]]+IF($W$3&lt;&gt;Table5[[#This Row],[Type]],50,0)</f>
        <v>623</v>
      </c>
      <c r="X577" s="53">
        <f>RANK(Table5[[#This Row],[zScore]],Table5[[#All],[zScore]])</f>
        <v>573</v>
      </c>
      <c r="Y577" s="52" t="str">
        <f>IFERROR(INDEX(DraftResults[[#All],[OVR]],MATCH(Table5[[#This Row],[PID]],DraftResults[[#All],[Player ID]],0)),"")</f>
        <v/>
      </c>
      <c r="Z5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7" s="52" t="str">
        <f>IFERROR(INDEX(DraftResults[[#All],[Pick in Round]],MATCH(Table5[[#This Row],[PID]],DraftResults[[#All],[Player ID]],0)),"")</f>
        <v/>
      </c>
      <c r="AB577" s="52" t="str">
        <f>IFERROR(INDEX(DraftResults[[#All],[Team Name]],MATCH(Table5[[#This Row],[PID]],DraftResults[[#All],[Player ID]],0)),"")</f>
        <v/>
      </c>
      <c r="AC577" s="52" t="str">
        <f>IF(Table5[[#This Row],[Ovr]]="","",IF(Table5[[#This Row],[cmbList]]="","",Table5[[#This Row],[cmbList]]-Table5[[#This Row],[Ovr]]))</f>
        <v/>
      </c>
      <c r="AD577" s="56" t="str">
        <f>IF(ISERROR(VLOOKUP($AB577&amp;"-"&amp;$E577&amp;" "&amp;F577,Bonuses!$B$1:$G$1006,4,FALSE)),"",INT(VLOOKUP($AB577&amp;"-"&amp;$E577&amp;" "&amp;$F577,Bonuses!$B$1:$G$1006,4,FALSE)))</f>
        <v/>
      </c>
      <c r="AE5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8" spans="1:31" s="52" customFormat="1" x14ac:dyDescent="0.25">
      <c r="A578" s="52">
        <v>17872</v>
      </c>
      <c r="B578" s="52">
        <f>COUNTIF(Table5[PID],A578)</f>
        <v>1</v>
      </c>
      <c r="C578" s="52" t="str">
        <f>IF(COUNTIF(Table3[[#All],[PID]],A578)&gt;0,"P","B")</f>
        <v>P</v>
      </c>
      <c r="D578" s="61" t="str">
        <f>IF($C578="B",INDEX(Batters[[#All],[POS]],MATCH(Table5[[#This Row],[PID]],Batters[[#All],[PID]],0)),INDEX(Table3[[#All],[POS]],MATCH(Table5[[#This Row],[PID]],Table3[[#All],[PID]],0)))</f>
        <v>RP</v>
      </c>
      <c r="E578" s="54" t="str">
        <f>IF($C578="B",INDEX(Batters[[#All],[First]],MATCH(Table5[[#This Row],[PID]],Batters[[#All],[PID]],0)),INDEX(Table3[[#All],[First]],MATCH(Table5[[#This Row],[PID]],Table3[[#All],[PID]],0)))</f>
        <v>Tokuma</v>
      </c>
      <c r="F578" s="52" t="str">
        <f>IF($C578="B",INDEX(Batters[[#All],[Last]],MATCH(A578,Batters[[#All],[PID]],0)),INDEX(Table3[[#All],[Last]],MATCH(A578,Table3[[#All],[PID]],0)))</f>
        <v>Kiyomizu</v>
      </c>
      <c r="G578" s="58">
        <f>IF($C578="B",INDEX(Batters[[#All],[Age]],MATCH(Table5[[#This Row],[PID]],Batters[[#All],[PID]],0)),INDEX(Table3[[#All],[Age]],MATCH(Table5[[#This Row],[PID]],Table3[[#All],[PID]],0)))</f>
        <v>18</v>
      </c>
      <c r="H578" s="54" t="str">
        <f>IF($C578="B",INDEX(Batters[[#All],[B]],MATCH(Table5[[#This Row],[PID]],Batters[[#All],[PID]],0)),INDEX(Table3[[#All],[B]],MATCH(Table5[[#This Row],[PID]],Table3[[#All],[PID]],0)))</f>
        <v>R</v>
      </c>
      <c r="I578" s="54" t="str">
        <f>IF($C578="B",INDEX(Batters[[#All],[T]],MATCH(Table5[[#This Row],[PID]],Batters[[#All],[PID]],0)),INDEX(Table3[[#All],[T]],MATCH(Table5[[#This Row],[PID]],Table3[[#All],[PID]],0)))</f>
        <v>R</v>
      </c>
      <c r="J578" s="54" t="str">
        <f>IF($C578="B",INDEX(Batters[[#All],[WE]],MATCH(Table5[[#This Row],[PID]],Batters[[#All],[PID]],0)),INDEX(Table3[[#All],[WE]],MATCH(Table5[[#This Row],[PID]],Table3[[#All],[PID]],0)))</f>
        <v>Low</v>
      </c>
      <c r="K578" s="54" t="str">
        <f>IF($C578="B",INDEX(Batters[[#All],[INT]],MATCH(Table5[[#This Row],[PID]],Batters[[#All],[PID]],0)),INDEX(Table3[[#All],[INT]],MATCH(Table5[[#This Row],[PID]],Table3[[#All],[PID]],0)))</f>
        <v>Low</v>
      </c>
      <c r="L578" s="62">
        <f>IF($C578="B",INDEX(Batters[[#All],[CON P]],MATCH(Table5[[#This Row],[PID]],Batters[[#All],[PID]],0)),INDEX(Table3[[#All],[STU P]],MATCH(Table5[[#This Row],[PID]],Table3[[#All],[PID]],0)))</f>
        <v>4</v>
      </c>
      <c r="M578" s="58">
        <f>IF($C578="B",INDEX(Batters[[#All],[GAP P]],MATCH(Table5[[#This Row],[PID]],Batters[[#All],[PID]],0)),INDEX(Table3[[#All],[MOV P]],MATCH(Table5[[#This Row],[PID]],Table3[[#All],[PID]],0)))</f>
        <v>2</v>
      </c>
      <c r="N578" s="58">
        <f>IF($C578="B",INDEX(Batters[[#All],[POW P]],MATCH(Table5[[#This Row],[PID]],Batters[[#All],[PID]],0)),INDEX(Table3[[#All],[CON P]],MATCH(Table5[[#This Row],[PID]],Table3[[#All],[PID]],0)))</f>
        <v>2</v>
      </c>
      <c r="O578" s="58" t="str">
        <f>IF($C578="B",INDEX(Batters[[#All],[EYE P]],MATCH(Table5[[#This Row],[PID]],Batters[[#All],[PID]],0)),INDEX(Table3[[#All],[VELO]],MATCH(Table5[[#This Row],[PID]],Table3[[#All],[PID]],0)))</f>
        <v>87-89 Mph</v>
      </c>
      <c r="P578" s="58">
        <f>IF($C578="B",INDEX(Batters[[#All],[K P]],MATCH(Table5[[#This Row],[PID]],Batters[[#All],[PID]],0)),INDEX(Table3[[#All],[STM]],MATCH(Table5[[#This Row],[PID]],Table3[[#All],[PID]],0)))</f>
        <v>6</v>
      </c>
      <c r="Q578" s="63">
        <f>IF($C578="B",INDEX(Batters[[#All],[Tot]],MATCH(Table5[[#This Row],[PID]],Batters[[#All],[PID]],0)),INDEX(Table3[[#All],[Tot]],MATCH(Table5[[#This Row],[PID]],Table3[[#All],[PID]],0)))</f>
        <v>29.414351557812083</v>
      </c>
      <c r="R578" s="54">
        <f>IF($C578="B",INDEX(Batters[[#All],[zScore]],MATCH(Table5[[#This Row],[PID]],Batters[[#All],[PID]],0)),INDEX(Table3[[#All],[zScore]],MATCH(Table5[[#This Row],[PID]],Table3[[#All],[PID]],0)))</f>
        <v>-0.30334850372479033</v>
      </c>
      <c r="S578" s="60" t="str">
        <f>IF($C578="B",INDEX(Batters[[#All],[DEM]],MATCH(Table5[[#This Row],[PID]],Batters[[#All],[PID]],0)),INDEX(Table3[[#All],[DEM]],MATCH(Table5[[#This Row],[PID]],Table3[[#All],[PID]],0)))</f>
        <v>$70k</v>
      </c>
      <c r="T578" s="64">
        <f>IF($C578="B",VLOOKUP($A578,Bat!$A$4:$AU$1417,46,FALSE),VLOOKUP($A578,Pit!$A$4:$BD$570,55,FALSE))</f>
        <v>0</v>
      </c>
      <c r="U578" s="52">
        <f>IF($C578="B",VLOOKUP($A578,Bat!$A$4:$BA$1417,47,FALSE),VLOOKUP($A578,Pit!$A$4:$BF$570,56,FALSE))</f>
        <v>0</v>
      </c>
      <c r="V578" s="52">
        <f>IF($C578="B",VLOOKUP($A578,Bat!$A$4:$BA$1417,48,FALSE),VLOOKUP($A578,Pit!$A$4:$BF$570,57,FALSE))</f>
        <v>0</v>
      </c>
      <c r="W578" s="52">
        <f>Table5[[#This Row],[posRnk]]+Table5[[#This Row],[zRnk]]+IF($W$3&lt;&gt;Table5[[#This Row],[Type]],50,0)</f>
        <v>624</v>
      </c>
      <c r="X578" s="53">
        <f>RANK(Table5[[#This Row],[zScore]],Table5[[#All],[zScore]])</f>
        <v>574</v>
      </c>
      <c r="Y578" s="52" t="str">
        <f>IFERROR(INDEX(DraftResults[[#All],[OVR]],MATCH(Table5[[#This Row],[PID]],DraftResults[[#All],[Player ID]],0)),"")</f>
        <v/>
      </c>
      <c r="Z5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8" s="52" t="str">
        <f>IFERROR(INDEX(DraftResults[[#All],[Pick in Round]],MATCH(Table5[[#This Row],[PID]],DraftResults[[#All],[Player ID]],0)),"")</f>
        <v/>
      </c>
      <c r="AB578" s="52" t="str">
        <f>IFERROR(INDEX(DraftResults[[#All],[Team Name]],MATCH(Table5[[#This Row],[PID]],DraftResults[[#All],[Player ID]],0)),"")</f>
        <v/>
      </c>
      <c r="AC578" s="52" t="str">
        <f>IF(Table5[[#This Row],[Ovr]]="","",IF(Table5[[#This Row],[cmbList]]="","",Table5[[#This Row],[cmbList]]-Table5[[#This Row],[Ovr]]))</f>
        <v/>
      </c>
      <c r="AD578" s="56" t="str">
        <f>IF(ISERROR(VLOOKUP($AB578&amp;"-"&amp;$E578&amp;" "&amp;F578,Bonuses!$B$1:$G$1006,4,FALSE)),"",INT(VLOOKUP($AB578&amp;"-"&amp;$E578&amp;" "&amp;$F578,Bonuses!$B$1:$G$1006,4,FALSE)))</f>
        <v/>
      </c>
      <c r="AE5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9" spans="1:31" s="52" customFormat="1" x14ac:dyDescent="0.25">
      <c r="A579" s="52">
        <v>8219</v>
      </c>
      <c r="B579" s="52">
        <f>COUNTIF(Table5[PID],A579)</f>
        <v>1</v>
      </c>
      <c r="C579" s="52" t="str">
        <f>IF(COUNTIF(Table3[[#All],[PID]],A579)&gt;0,"P","B")</f>
        <v>P</v>
      </c>
      <c r="D579" s="61" t="str">
        <f>IF($C579="B",INDEX(Batters[[#All],[POS]],MATCH(Table5[[#This Row],[PID]],Batters[[#All],[PID]],0)),INDEX(Table3[[#All],[POS]],MATCH(Table5[[#This Row],[PID]],Table3[[#All],[PID]],0)))</f>
        <v>RP</v>
      </c>
      <c r="E579" s="54" t="str">
        <f>IF($C579="B",INDEX(Batters[[#All],[First]],MATCH(Table5[[#This Row],[PID]],Batters[[#All],[PID]],0)),INDEX(Table3[[#All],[First]],MATCH(Table5[[#This Row],[PID]],Table3[[#All],[PID]],0)))</f>
        <v>Gary</v>
      </c>
      <c r="F579" s="52" t="str">
        <f>IF($C579="B",INDEX(Batters[[#All],[Last]],MATCH(A579,Batters[[#All],[PID]],0)),INDEX(Table3[[#All],[Last]],MATCH(A579,Table3[[#All],[PID]],0)))</f>
        <v>Scott</v>
      </c>
      <c r="G579" s="58">
        <f>IF($C579="B",INDEX(Batters[[#All],[Age]],MATCH(Table5[[#This Row],[PID]],Batters[[#All],[PID]],0)),INDEX(Table3[[#All],[Age]],MATCH(Table5[[#This Row],[PID]],Table3[[#All],[PID]],0)))</f>
        <v>18</v>
      </c>
      <c r="H579" s="54" t="str">
        <f>IF($C579="B",INDEX(Batters[[#All],[B]],MATCH(Table5[[#This Row],[PID]],Batters[[#All],[PID]],0)),INDEX(Table3[[#All],[B]],MATCH(Table5[[#This Row],[PID]],Table3[[#All],[PID]],0)))</f>
        <v>L</v>
      </c>
      <c r="I579" s="54" t="str">
        <f>IF($C579="B",INDEX(Batters[[#All],[T]],MATCH(Table5[[#This Row],[PID]],Batters[[#All],[PID]],0)),INDEX(Table3[[#All],[T]],MATCH(Table5[[#This Row],[PID]],Table3[[#All],[PID]],0)))</f>
        <v>R</v>
      </c>
      <c r="J579" s="54" t="str">
        <f>IF($C579="B",INDEX(Batters[[#All],[WE]],MATCH(Table5[[#This Row],[PID]],Batters[[#All],[PID]],0)),INDEX(Table3[[#All],[WE]],MATCH(Table5[[#This Row],[PID]],Table3[[#All],[PID]],0)))</f>
        <v>Low</v>
      </c>
      <c r="K579" s="54" t="str">
        <f>IF($C579="B",INDEX(Batters[[#All],[INT]],MATCH(Table5[[#This Row],[PID]],Batters[[#All],[PID]],0)),INDEX(Table3[[#All],[INT]],MATCH(Table5[[#This Row],[PID]],Table3[[#All],[PID]],0)))</f>
        <v>Normal</v>
      </c>
      <c r="L579" s="62">
        <f>IF($C579="B",INDEX(Batters[[#All],[CON P]],MATCH(Table5[[#This Row],[PID]],Batters[[#All],[PID]],0)),INDEX(Table3[[#All],[STU P]],MATCH(Table5[[#This Row],[PID]],Table3[[#All],[PID]],0)))</f>
        <v>5</v>
      </c>
      <c r="M579" s="58">
        <f>IF($C579="B",INDEX(Batters[[#All],[GAP P]],MATCH(Table5[[#This Row],[PID]],Batters[[#All],[PID]],0)),INDEX(Table3[[#All],[MOV P]],MATCH(Table5[[#This Row],[PID]],Table3[[#All],[PID]],0)))</f>
        <v>1</v>
      </c>
      <c r="N579" s="58">
        <f>IF($C579="B",INDEX(Batters[[#All],[POW P]],MATCH(Table5[[#This Row],[PID]],Batters[[#All],[PID]],0)),INDEX(Table3[[#All],[CON P]],MATCH(Table5[[#This Row],[PID]],Table3[[#All],[PID]],0)))</f>
        <v>2</v>
      </c>
      <c r="O579" s="58" t="str">
        <f>IF($C579="B",INDEX(Batters[[#All],[EYE P]],MATCH(Table5[[#This Row],[PID]],Batters[[#All],[PID]],0)),INDEX(Table3[[#All],[VELO]],MATCH(Table5[[#This Row],[PID]],Table3[[#All],[PID]],0)))</f>
        <v>86-88 Mph</v>
      </c>
      <c r="P579" s="58">
        <f>IF($C579="B",INDEX(Batters[[#All],[K P]],MATCH(Table5[[#This Row],[PID]],Batters[[#All],[PID]],0)),INDEX(Table3[[#All],[STM]],MATCH(Table5[[#This Row],[PID]],Table3[[#All],[PID]],0)))</f>
        <v>2</v>
      </c>
      <c r="Q579" s="63">
        <f>IF($C579="B",INDEX(Batters[[#All],[Tot]],MATCH(Table5[[#This Row],[PID]],Batters[[#All],[PID]],0)),INDEX(Table3[[#All],[Tot]],MATCH(Table5[[#This Row],[PID]],Table3[[#All],[PID]],0)))</f>
        <v>29.404246697374866</v>
      </c>
      <c r="R579" s="54">
        <f>IF($C579="B",INDEX(Batters[[#All],[zScore]],MATCH(Table5[[#This Row],[PID]],Batters[[#All],[PID]],0)),INDEX(Table3[[#All],[zScore]],MATCH(Table5[[#This Row],[PID]],Table3[[#All],[PID]],0)))</f>
        <v>-0.30427516261596432</v>
      </c>
      <c r="S579" s="60" t="str">
        <f>IF($C579="B",INDEX(Batters[[#All],[DEM]],MATCH(Table5[[#This Row],[PID]],Batters[[#All],[PID]],0)),INDEX(Table3[[#All],[DEM]],MATCH(Table5[[#This Row],[PID]],Table3[[#All],[PID]],0)))</f>
        <v>$38k</v>
      </c>
      <c r="T579" s="64">
        <f>IF($C579="B",VLOOKUP($A579,Bat!$A$4:$AU$1417,46,FALSE),VLOOKUP($A579,Pit!$A$4:$BD$570,55,FALSE))</f>
        <v>0</v>
      </c>
      <c r="U579" s="52">
        <f>IF($C579="B",VLOOKUP($A579,Bat!$A$4:$BA$1417,47,FALSE),VLOOKUP($A579,Pit!$A$4:$BF$570,56,FALSE))</f>
        <v>0</v>
      </c>
      <c r="V579" s="52">
        <f>IF($C579="B",VLOOKUP($A579,Bat!$A$4:$BA$1417,48,FALSE),VLOOKUP($A579,Pit!$A$4:$BF$570,57,FALSE))</f>
        <v>0</v>
      </c>
      <c r="W579" s="52">
        <f>Table5[[#This Row],[posRnk]]+Table5[[#This Row],[zRnk]]+IF($W$3&lt;&gt;Table5[[#This Row],[Type]],50,0)</f>
        <v>625</v>
      </c>
      <c r="X579" s="53">
        <f>RANK(Table5[[#This Row],[zScore]],Table5[[#All],[zScore]])</f>
        <v>575</v>
      </c>
      <c r="Y579" s="52" t="str">
        <f>IFERROR(INDEX(DraftResults[[#All],[OVR]],MATCH(Table5[[#This Row],[PID]],DraftResults[[#All],[Player ID]],0)),"")</f>
        <v/>
      </c>
      <c r="Z5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9" s="52" t="str">
        <f>IFERROR(INDEX(DraftResults[[#All],[Pick in Round]],MATCH(Table5[[#This Row],[PID]],DraftResults[[#All],[Player ID]],0)),"")</f>
        <v/>
      </c>
      <c r="AB579" s="52" t="str">
        <f>IFERROR(INDEX(DraftResults[[#All],[Team Name]],MATCH(Table5[[#This Row],[PID]],DraftResults[[#All],[Player ID]],0)),"")</f>
        <v/>
      </c>
      <c r="AC579" s="52" t="str">
        <f>IF(Table5[[#This Row],[Ovr]]="","",IF(Table5[[#This Row],[cmbList]]="","",Table5[[#This Row],[cmbList]]-Table5[[#This Row],[Ovr]]))</f>
        <v/>
      </c>
      <c r="AD579" s="56" t="str">
        <f>IF(ISERROR(VLOOKUP($AB579&amp;"-"&amp;$E579&amp;" "&amp;F579,Bonuses!$B$1:$G$1006,4,FALSE)),"",INT(VLOOKUP($AB579&amp;"-"&amp;$E579&amp;" "&amp;$F579,Bonuses!$B$1:$G$1006,4,FALSE)))</f>
        <v/>
      </c>
      <c r="AE5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0" spans="1:31" s="52" customFormat="1" x14ac:dyDescent="0.25">
      <c r="A580" s="52">
        <v>11193</v>
      </c>
      <c r="B580" s="52">
        <f>COUNTIF(Table5[PID],A580)</f>
        <v>1</v>
      </c>
      <c r="C580" s="52" t="str">
        <f>IF(COUNTIF(Table3[[#All],[PID]],A580)&gt;0,"P","B")</f>
        <v>P</v>
      </c>
      <c r="D580" s="61" t="str">
        <f>IF($C580="B",INDEX(Batters[[#All],[POS]],MATCH(Table5[[#This Row],[PID]],Batters[[#All],[PID]],0)),INDEX(Table3[[#All],[POS]],MATCH(Table5[[#This Row],[PID]],Table3[[#All],[PID]],0)))</f>
        <v>RP</v>
      </c>
      <c r="E580" s="54" t="str">
        <f>IF($C580="B",INDEX(Batters[[#All],[First]],MATCH(Table5[[#This Row],[PID]],Batters[[#All],[PID]],0)),INDEX(Table3[[#All],[First]],MATCH(Table5[[#This Row],[PID]],Table3[[#All],[PID]],0)))</f>
        <v>Sugita</v>
      </c>
      <c r="F580" s="52" t="str">
        <f>IF($C580="B",INDEX(Batters[[#All],[Last]],MATCH(A580,Batters[[#All],[PID]],0)),INDEX(Table3[[#All],[Last]],MATCH(A580,Table3[[#All],[PID]],0)))</f>
        <v>Suzuki</v>
      </c>
      <c r="G580" s="58">
        <f>IF($C580="B",INDEX(Batters[[#All],[Age]],MATCH(Table5[[#This Row],[PID]],Batters[[#All],[PID]],0)),INDEX(Table3[[#All],[Age]],MATCH(Table5[[#This Row],[PID]],Table3[[#All],[PID]],0)))</f>
        <v>18</v>
      </c>
      <c r="H580" s="54" t="str">
        <f>IF($C580="B",INDEX(Batters[[#All],[B]],MATCH(Table5[[#This Row],[PID]],Batters[[#All],[PID]],0)),INDEX(Table3[[#All],[B]],MATCH(Table5[[#This Row],[PID]],Table3[[#All],[PID]],0)))</f>
        <v>R</v>
      </c>
      <c r="I580" s="54" t="str">
        <f>IF($C580="B",INDEX(Batters[[#All],[T]],MATCH(Table5[[#This Row],[PID]],Batters[[#All],[PID]],0)),INDEX(Table3[[#All],[T]],MATCH(Table5[[#This Row],[PID]],Table3[[#All],[PID]],0)))</f>
        <v>R</v>
      </c>
      <c r="J580" s="54" t="str">
        <f>IF($C580="B",INDEX(Batters[[#All],[WE]],MATCH(Table5[[#This Row],[PID]],Batters[[#All],[PID]],0)),INDEX(Table3[[#All],[WE]],MATCH(Table5[[#This Row],[PID]],Table3[[#All],[PID]],0)))</f>
        <v>Low</v>
      </c>
      <c r="K580" s="54" t="str">
        <f>IF($C580="B",INDEX(Batters[[#All],[INT]],MATCH(Table5[[#This Row],[PID]],Batters[[#All],[PID]],0)),INDEX(Table3[[#All],[INT]],MATCH(Table5[[#This Row],[PID]],Table3[[#All],[PID]],0)))</f>
        <v>Normal</v>
      </c>
      <c r="L580" s="62">
        <f>IF($C580="B",INDEX(Batters[[#All],[CON P]],MATCH(Table5[[#This Row],[PID]],Batters[[#All],[PID]],0)),INDEX(Table3[[#All],[STU P]],MATCH(Table5[[#This Row],[PID]],Table3[[#All],[PID]],0)))</f>
        <v>5</v>
      </c>
      <c r="M580" s="58">
        <f>IF($C580="B",INDEX(Batters[[#All],[GAP P]],MATCH(Table5[[#This Row],[PID]],Batters[[#All],[PID]],0)),INDEX(Table3[[#All],[MOV P]],MATCH(Table5[[#This Row],[PID]],Table3[[#All],[PID]],0)))</f>
        <v>1</v>
      </c>
      <c r="N580" s="58">
        <f>IF($C580="B",INDEX(Batters[[#All],[POW P]],MATCH(Table5[[#This Row],[PID]],Batters[[#All],[PID]],0)),INDEX(Table3[[#All],[CON P]],MATCH(Table5[[#This Row],[PID]],Table3[[#All],[PID]],0)))</f>
        <v>2</v>
      </c>
      <c r="O580" s="58" t="str">
        <f>IF($C580="B",INDEX(Batters[[#All],[EYE P]],MATCH(Table5[[#This Row],[PID]],Batters[[#All],[PID]],0)),INDEX(Table3[[#All],[VELO]],MATCH(Table5[[#This Row],[PID]],Table3[[#All],[PID]],0)))</f>
        <v>86-88 Mph</v>
      </c>
      <c r="P580" s="58">
        <f>IF($C580="B",INDEX(Batters[[#All],[K P]],MATCH(Table5[[#This Row],[PID]],Batters[[#All],[PID]],0)),INDEX(Table3[[#All],[STM]],MATCH(Table5[[#This Row],[PID]],Table3[[#All],[PID]],0)))</f>
        <v>4</v>
      </c>
      <c r="Q580" s="63">
        <f>IF($C580="B",INDEX(Batters[[#All],[Tot]],MATCH(Table5[[#This Row],[PID]],Batters[[#All],[PID]],0)),INDEX(Table3[[#All],[Tot]],MATCH(Table5[[#This Row],[PID]],Table3[[#All],[PID]],0)))</f>
        <v>29.404246697374866</v>
      </c>
      <c r="R580" s="54">
        <f>IF($C580="B",INDEX(Batters[[#All],[zScore]],MATCH(Table5[[#This Row],[PID]],Batters[[#All],[PID]],0)),INDEX(Table3[[#All],[zScore]],MATCH(Table5[[#This Row],[PID]],Table3[[#All],[PID]],0)))</f>
        <v>-0.30427516261596432</v>
      </c>
      <c r="S580" s="60" t="str">
        <f>IF($C580="B",INDEX(Batters[[#All],[DEM]],MATCH(Table5[[#This Row],[PID]],Batters[[#All],[PID]],0)),INDEX(Table3[[#All],[DEM]],MATCH(Table5[[#This Row],[PID]],Table3[[#All],[PID]],0)))</f>
        <v>$65k</v>
      </c>
      <c r="T580" s="64">
        <f>IF($C580="B",VLOOKUP($A580,Bat!$A$4:$AU$1417,46,FALSE),VLOOKUP($A580,Pit!$A$4:$BD$570,55,FALSE))</f>
        <v>0</v>
      </c>
      <c r="U580" s="52">
        <f>IF($C580="B",VLOOKUP($A580,Bat!$A$4:$BA$1417,47,FALSE),VLOOKUP($A580,Pit!$A$4:$BF$570,56,FALSE))</f>
        <v>0</v>
      </c>
      <c r="V580" s="52">
        <f>IF($C580="B",VLOOKUP($A580,Bat!$A$4:$BA$1417,48,FALSE),VLOOKUP($A580,Pit!$A$4:$BF$570,57,FALSE))</f>
        <v>0</v>
      </c>
      <c r="W580" s="52">
        <f>Table5[[#This Row],[posRnk]]+Table5[[#This Row],[zRnk]]+IF($W$3&lt;&gt;Table5[[#This Row],[Type]],50,0)</f>
        <v>625</v>
      </c>
      <c r="X580" s="53">
        <f>RANK(Table5[[#This Row],[zScore]],Table5[[#All],[zScore]])</f>
        <v>575</v>
      </c>
      <c r="Y580" s="52" t="str">
        <f>IFERROR(INDEX(DraftResults[[#All],[OVR]],MATCH(Table5[[#This Row],[PID]],DraftResults[[#All],[Player ID]],0)),"")</f>
        <v/>
      </c>
      <c r="Z5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0" s="52" t="str">
        <f>IFERROR(INDEX(DraftResults[[#All],[Pick in Round]],MATCH(Table5[[#This Row],[PID]],DraftResults[[#All],[Player ID]],0)),"")</f>
        <v/>
      </c>
      <c r="AB580" s="52" t="str">
        <f>IFERROR(INDEX(DraftResults[[#All],[Team Name]],MATCH(Table5[[#This Row],[PID]],DraftResults[[#All],[Player ID]],0)),"")</f>
        <v/>
      </c>
      <c r="AC580" s="52" t="str">
        <f>IF(Table5[[#This Row],[Ovr]]="","",IF(Table5[[#This Row],[cmbList]]="","",Table5[[#This Row],[cmbList]]-Table5[[#This Row],[Ovr]]))</f>
        <v/>
      </c>
      <c r="AD580" s="56" t="str">
        <f>IF(ISERROR(VLOOKUP($AB580&amp;"-"&amp;$E580&amp;" "&amp;F580,Bonuses!$B$1:$G$1006,4,FALSE)),"",INT(VLOOKUP($AB580&amp;"-"&amp;$E580&amp;" "&amp;$F580,Bonuses!$B$1:$G$1006,4,FALSE)))</f>
        <v/>
      </c>
      <c r="AE5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1" spans="1:31" s="52" customFormat="1" x14ac:dyDescent="0.25">
      <c r="A581" s="52">
        <v>17930</v>
      </c>
      <c r="B581" s="52">
        <f>COUNTIF(Table5[PID],A581)</f>
        <v>1</v>
      </c>
      <c r="C581" s="52" t="str">
        <f>IF(COUNTIF(Table3[[#All],[PID]],A581)&gt;0,"P","B")</f>
        <v>B</v>
      </c>
      <c r="D581" s="61" t="str">
        <f>IF($C581="B",INDEX(Batters[[#All],[POS]],MATCH(Table5[[#This Row],[PID]],Batters[[#All],[PID]],0)),INDEX(Table3[[#All],[POS]],MATCH(Table5[[#This Row],[PID]],Table3[[#All],[PID]],0)))</f>
        <v>C</v>
      </c>
      <c r="E581" s="54" t="str">
        <f>IF($C581="B",INDEX(Batters[[#All],[First]],MATCH(Table5[[#This Row],[PID]],Batters[[#All],[PID]],0)),INDEX(Table3[[#All],[First]],MATCH(Table5[[#This Row],[PID]],Table3[[#All],[PID]],0)))</f>
        <v>Corey</v>
      </c>
      <c r="F581" s="52" t="str">
        <f>IF($C581="B",INDEX(Batters[[#All],[Last]],MATCH(A581,Batters[[#All],[PID]],0)),INDEX(Table3[[#All],[Last]],MATCH(A581,Table3[[#All],[PID]],0)))</f>
        <v>Chiasson</v>
      </c>
      <c r="G581" s="58">
        <f>IF($C581="B",INDEX(Batters[[#All],[Age]],MATCH(Table5[[#This Row],[PID]],Batters[[#All],[PID]],0)),INDEX(Table3[[#All],[Age]],MATCH(Table5[[#This Row],[PID]],Table3[[#All],[PID]],0)))</f>
        <v>18</v>
      </c>
      <c r="H581" s="54" t="str">
        <f>IF($C581="B",INDEX(Batters[[#All],[B]],MATCH(Table5[[#This Row],[PID]],Batters[[#All],[PID]],0)),INDEX(Table3[[#All],[B]],MATCH(Table5[[#This Row],[PID]],Table3[[#All],[PID]],0)))</f>
        <v>R</v>
      </c>
      <c r="I581" s="54" t="str">
        <f>IF($C581="B",INDEX(Batters[[#All],[T]],MATCH(Table5[[#This Row],[PID]],Batters[[#All],[PID]],0)),INDEX(Table3[[#All],[T]],MATCH(Table5[[#This Row],[PID]],Table3[[#All],[PID]],0)))</f>
        <v>R</v>
      </c>
      <c r="J581" s="54" t="str">
        <f>IF($C581="B",INDEX(Batters[[#All],[WE]],MATCH(Table5[[#This Row],[PID]],Batters[[#All],[PID]],0)),INDEX(Table3[[#All],[WE]],MATCH(Table5[[#This Row],[PID]],Table3[[#All],[PID]],0)))</f>
        <v>Low</v>
      </c>
      <c r="K581" s="54" t="str">
        <f>IF($C581="B",INDEX(Batters[[#All],[INT]],MATCH(Table5[[#This Row],[PID]],Batters[[#All],[PID]],0)),INDEX(Table3[[#All],[INT]],MATCH(Table5[[#This Row],[PID]],Table3[[#All],[PID]],0)))</f>
        <v>Low</v>
      </c>
      <c r="L581" s="62">
        <f>IF($C581="B",INDEX(Batters[[#All],[CON P]],MATCH(Table5[[#This Row],[PID]],Batters[[#All],[PID]],0)),INDEX(Table3[[#All],[STU P]],MATCH(Table5[[#This Row],[PID]],Table3[[#All],[PID]],0)))</f>
        <v>2</v>
      </c>
      <c r="M581" s="58">
        <f>IF($C581="B",INDEX(Batters[[#All],[GAP P]],MATCH(Table5[[#This Row],[PID]],Batters[[#All],[PID]],0)),INDEX(Table3[[#All],[MOV P]],MATCH(Table5[[#This Row],[PID]],Table3[[#All],[PID]],0)))</f>
        <v>4</v>
      </c>
      <c r="N581" s="58">
        <f>IF($C581="B",INDEX(Batters[[#All],[POW P]],MATCH(Table5[[#This Row],[PID]],Batters[[#All],[PID]],0)),INDEX(Table3[[#All],[CON P]],MATCH(Table5[[#This Row],[PID]],Table3[[#All],[PID]],0)))</f>
        <v>4</v>
      </c>
      <c r="O581" s="58">
        <f>IF($C581="B",INDEX(Batters[[#All],[EYE P]],MATCH(Table5[[#This Row],[PID]],Batters[[#All],[PID]],0)),INDEX(Table3[[#All],[VELO]],MATCH(Table5[[#This Row],[PID]],Table3[[#All],[PID]],0)))</f>
        <v>6</v>
      </c>
      <c r="P581" s="58">
        <f>IF($C581="B",INDEX(Batters[[#All],[K P]],MATCH(Table5[[#This Row],[PID]],Batters[[#All],[PID]],0)),INDEX(Table3[[#All],[STM]],MATCH(Table5[[#This Row],[PID]],Table3[[#All],[PID]],0)))</f>
        <v>2</v>
      </c>
      <c r="Q581" s="63">
        <f>IF($C581="B",INDEX(Batters[[#All],[Tot]],MATCH(Table5[[#This Row],[PID]],Batters[[#All],[PID]],0)),INDEX(Table3[[#All],[Tot]],MATCH(Table5[[#This Row],[PID]],Table3[[#All],[PID]],0)))</f>
        <v>38.613637123397339</v>
      </c>
      <c r="R581" s="54">
        <f>IF($C581="B",INDEX(Batters[[#All],[zScore]],MATCH(Table5[[#This Row],[PID]],Batters[[#All],[PID]],0)),INDEX(Table3[[#All],[zScore]],MATCH(Table5[[#This Row],[PID]],Table3[[#All],[PID]],0)))</f>
        <v>-0.30519314206146853</v>
      </c>
      <c r="S581" s="60" t="str">
        <f>IF($C581="B",INDEX(Batters[[#All],[DEM]],MATCH(Table5[[#This Row],[PID]],Batters[[#All],[PID]],0)),INDEX(Table3[[#All],[DEM]],MATCH(Table5[[#This Row],[PID]],Table3[[#All],[PID]],0)))</f>
        <v>$75k</v>
      </c>
      <c r="T581" s="64">
        <f>IF($C581="B",VLOOKUP($A581,Bat!$A$4:$AU$1417,46,FALSE),VLOOKUP($A581,Pit!$A$4:$BD$570,55,FALSE))</f>
        <v>0</v>
      </c>
      <c r="U581" s="52">
        <f>IF($C581="B",VLOOKUP($A581,Bat!$A$4:$BA$1417,47,FALSE),VLOOKUP($A581,Pit!$A$4:$BF$570,56,FALSE))</f>
        <v>0</v>
      </c>
      <c r="V581" s="52">
        <f>IF($C581="B",VLOOKUP($A581,Bat!$A$4:$BA$1417,48,FALSE),VLOOKUP($A581,Pit!$A$4:$BF$570,57,FALSE))</f>
        <v>0</v>
      </c>
      <c r="W581" s="52">
        <f>Table5[[#This Row],[posRnk]]+Table5[[#This Row],[zRnk]]+IF($W$3&lt;&gt;Table5[[#This Row],[Type]],50,0)</f>
        <v>627</v>
      </c>
      <c r="X581" s="53">
        <f>RANK(Table5[[#This Row],[zScore]],Table5[[#All],[zScore]])</f>
        <v>577</v>
      </c>
      <c r="Y581" s="52" t="str">
        <f>IFERROR(INDEX(DraftResults[[#All],[OVR]],MATCH(Table5[[#This Row],[PID]],DraftResults[[#All],[Player ID]],0)),"")</f>
        <v/>
      </c>
      <c r="Z5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1" s="52" t="str">
        <f>IFERROR(INDEX(DraftResults[[#All],[Pick in Round]],MATCH(Table5[[#This Row],[PID]],DraftResults[[#All],[Player ID]],0)),"")</f>
        <v/>
      </c>
      <c r="AB581" s="52" t="str">
        <f>IFERROR(INDEX(DraftResults[[#All],[Team Name]],MATCH(Table5[[#This Row],[PID]],DraftResults[[#All],[Player ID]],0)),"")</f>
        <v/>
      </c>
      <c r="AC581" s="52" t="str">
        <f>IF(Table5[[#This Row],[Ovr]]="","",IF(Table5[[#This Row],[cmbList]]="","",Table5[[#This Row],[cmbList]]-Table5[[#This Row],[Ovr]]))</f>
        <v/>
      </c>
      <c r="AD581" s="56" t="str">
        <f>IF(ISERROR(VLOOKUP($AB581&amp;"-"&amp;$E581&amp;" "&amp;F581,Bonuses!$B$1:$G$1006,4,FALSE)),"",INT(VLOOKUP($AB581&amp;"-"&amp;$E581&amp;" "&amp;$F581,Bonuses!$B$1:$G$1006,4,FALSE)))</f>
        <v/>
      </c>
      <c r="AE5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2" spans="1:31" s="52" customFormat="1" x14ac:dyDescent="0.25">
      <c r="A582" s="52">
        <v>8638</v>
      </c>
      <c r="B582" s="52">
        <f>COUNTIF(Table5[PID],A582)</f>
        <v>1</v>
      </c>
      <c r="C582" s="52" t="str">
        <f>IF(COUNTIF(Table3[[#All],[PID]],A582)&gt;0,"P","B")</f>
        <v>B</v>
      </c>
      <c r="D582" s="61" t="str">
        <f>IF($C582="B",INDEX(Batters[[#All],[POS]],MATCH(Table5[[#This Row],[PID]],Batters[[#All],[PID]],0)),INDEX(Table3[[#All],[POS]],MATCH(Table5[[#This Row],[PID]],Table3[[#All],[PID]],0)))</f>
        <v>2B</v>
      </c>
      <c r="E582" s="54" t="str">
        <f>IF($C582="B",INDEX(Batters[[#All],[First]],MATCH(Table5[[#This Row],[PID]],Batters[[#All],[PID]],0)),INDEX(Table3[[#All],[First]],MATCH(Table5[[#This Row],[PID]],Table3[[#All],[PID]],0)))</f>
        <v>Barney</v>
      </c>
      <c r="F582" s="52" t="str">
        <f>IF($C582="B",INDEX(Batters[[#All],[Last]],MATCH(A582,Batters[[#All],[PID]],0)),INDEX(Table3[[#All],[Last]],MATCH(A582,Table3[[#All],[PID]],0)))</f>
        <v>Donaldson</v>
      </c>
      <c r="G582" s="58">
        <f>IF($C582="B",INDEX(Batters[[#All],[Age]],MATCH(Table5[[#This Row],[PID]],Batters[[#All],[PID]],0)),INDEX(Table3[[#All],[Age]],MATCH(Table5[[#This Row],[PID]],Table3[[#All],[PID]],0)))</f>
        <v>21</v>
      </c>
      <c r="H582" s="54" t="str">
        <f>IF($C582="B",INDEX(Batters[[#All],[B]],MATCH(Table5[[#This Row],[PID]],Batters[[#All],[PID]],0)),INDEX(Table3[[#All],[B]],MATCH(Table5[[#This Row],[PID]],Table3[[#All],[PID]],0)))</f>
        <v>R</v>
      </c>
      <c r="I582" s="54" t="str">
        <f>IF($C582="B",INDEX(Batters[[#All],[T]],MATCH(Table5[[#This Row],[PID]],Batters[[#All],[PID]],0)),INDEX(Table3[[#All],[T]],MATCH(Table5[[#This Row],[PID]],Table3[[#All],[PID]],0)))</f>
        <v>R</v>
      </c>
      <c r="J582" s="54" t="str">
        <f>IF($C582="B",INDEX(Batters[[#All],[WE]],MATCH(Table5[[#This Row],[PID]],Batters[[#All],[PID]],0)),INDEX(Table3[[#All],[WE]],MATCH(Table5[[#This Row],[PID]],Table3[[#All],[PID]],0)))</f>
        <v>High</v>
      </c>
      <c r="K582" s="54" t="str">
        <f>IF($C582="B",INDEX(Batters[[#All],[INT]],MATCH(Table5[[#This Row],[PID]],Batters[[#All],[PID]],0)),INDEX(Table3[[#All],[INT]],MATCH(Table5[[#This Row],[PID]],Table3[[#All],[PID]],0)))</f>
        <v>High</v>
      </c>
      <c r="L582" s="62">
        <f>IF($C582="B",INDEX(Batters[[#All],[CON P]],MATCH(Table5[[#This Row],[PID]],Batters[[#All],[PID]],0)),INDEX(Table3[[#All],[STU P]],MATCH(Table5[[#This Row],[PID]],Table3[[#All],[PID]],0)))</f>
        <v>3</v>
      </c>
      <c r="M582" s="58">
        <f>IF($C582="B",INDEX(Batters[[#All],[GAP P]],MATCH(Table5[[#This Row],[PID]],Batters[[#All],[PID]],0)),INDEX(Table3[[#All],[MOV P]],MATCH(Table5[[#This Row],[PID]],Table3[[#All],[PID]],0)))</f>
        <v>3</v>
      </c>
      <c r="N582" s="58">
        <f>IF($C582="B",INDEX(Batters[[#All],[POW P]],MATCH(Table5[[#This Row],[PID]],Batters[[#All],[PID]],0)),INDEX(Table3[[#All],[CON P]],MATCH(Table5[[#This Row],[PID]],Table3[[#All],[PID]],0)))</f>
        <v>4</v>
      </c>
      <c r="O582" s="58">
        <f>IF($C582="B",INDEX(Batters[[#All],[EYE P]],MATCH(Table5[[#This Row],[PID]],Batters[[#All],[PID]],0)),INDEX(Table3[[#All],[VELO]],MATCH(Table5[[#This Row],[PID]],Table3[[#All],[PID]],0)))</f>
        <v>4</v>
      </c>
      <c r="P582" s="58">
        <f>IF($C582="B",INDEX(Batters[[#All],[K P]],MATCH(Table5[[#This Row],[PID]],Batters[[#All],[PID]],0)),INDEX(Table3[[#All],[STM]],MATCH(Table5[[#This Row],[PID]],Table3[[#All],[PID]],0)))</f>
        <v>3</v>
      </c>
      <c r="Q582" s="63">
        <f>IF($C582="B",INDEX(Batters[[#All],[Tot]],MATCH(Table5[[#This Row],[PID]],Batters[[#All],[PID]],0)),INDEX(Table3[[#All],[Tot]],MATCH(Table5[[#This Row],[PID]],Table3[[#All],[PID]],0)))</f>
        <v>38.601679364248696</v>
      </c>
      <c r="R582" s="54">
        <f>IF($C582="B",INDEX(Batters[[#All],[zScore]],MATCH(Table5[[#This Row],[PID]],Batters[[#All],[PID]],0)),INDEX(Table3[[#All],[zScore]],MATCH(Table5[[#This Row],[PID]],Table3[[#All],[PID]],0)))</f>
        <v>-0.30729703030877731</v>
      </c>
      <c r="S582" s="60" t="str">
        <f>IF($C582="B",INDEX(Batters[[#All],[DEM]],MATCH(Table5[[#This Row],[PID]],Batters[[#All],[PID]],0)),INDEX(Table3[[#All],[DEM]],MATCH(Table5[[#This Row],[PID]],Table3[[#All],[PID]],0)))</f>
        <v>-</v>
      </c>
      <c r="T582" s="64">
        <f>IF($C582="B",VLOOKUP($A582,Bat!$A$4:$AU$1417,46,FALSE),VLOOKUP($A582,Pit!$A$4:$BD$570,55,FALSE))</f>
        <v>0</v>
      </c>
      <c r="U582" s="52">
        <f>IF($C582="B",VLOOKUP($A582,Bat!$A$4:$BA$1417,47,FALSE),VLOOKUP($A582,Pit!$A$4:$BF$570,56,FALSE))</f>
        <v>0</v>
      </c>
      <c r="V582" s="52">
        <f>IF($C582="B",VLOOKUP($A582,Bat!$A$4:$BA$1417,48,FALSE),VLOOKUP($A582,Pit!$A$4:$BF$570,57,FALSE))</f>
        <v>0</v>
      </c>
      <c r="W582" s="52">
        <f>Table5[[#This Row],[posRnk]]+Table5[[#This Row],[zRnk]]+IF($W$3&lt;&gt;Table5[[#This Row],[Type]],50,0)</f>
        <v>628</v>
      </c>
      <c r="X582" s="53">
        <f>RANK(Table5[[#This Row],[zScore]],Table5[[#All],[zScore]])</f>
        <v>578</v>
      </c>
      <c r="Y582" s="52" t="str">
        <f>IFERROR(INDEX(DraftResults[[#All],[OVR]],MATCH(Table5[[#This Row],[PID]],DraftResults[[#All],[Player ID]],0)),"")</f>
        <v/>
      </c>
      <c r="Z5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2" s="52" t="str">
        <f>IFERROR(INDEX(DraftResults[[#All],[Pick in Round]],MATCH(Table5[[#This Row],[PID]],DraftResults[[#All],[Player ID]],0)),"")</f>
        <v/>
      </c>
      <c r="AB582" s="52" t="str">
        <f>IFERROR(INDEX(DraftResults[[#All],[Team Name]],MATCH(Table5[[#This Row],[PID]],DraftResults[[#All],[Player ID]],0)),"")</f>
        <v/>
      </c>
      <c r="AC582" s="52" t="str">
        <f>IF(Table5[[#This Row],[Ovr]]="","",IF(Table5[[#This Row],[cmbList]]="","",Table5[[#This Row],[cmbList]]-Table5[[#This Row],[Ovr]]))</f>
        <v/>
      </c>
      <c r="AD582" s="56" t="str">
        <f>IF(ISERROR(VLOOKUP($AB582&amp;"-"&amp;$E582&amp;" "&amp;F582,Bonuses!$B$1:$G$1006,4,FALSE)),"",INT(VLOOKUP($AB582&amp;"-"&amp;$E582&amp;" "&amp;$F582,Bonuses!$B$1:$G$1006,4,FALSE)))</f>
        <v/>
      </c>
      <c r="AE5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3" spans="1:31" s="52" customFormat="1" x14ac:dyDescent="0.25">
      <c r="A583" s="52">
        <v>13845</v>
      </c>
      <c r="B583" s="52">
        <f>COUNTIF(Table5[PID],A583)</f>
        <v>1</v>
      </c>
      <c r="C583" s="52" t="str">
        <f>IF(COUNTIF(Table3[[#All],[PID]],A583)&gt;0,"P","B")</f>
        <v>P</v>
      </c>
      <c r="D583" s="61" t="str">
        <f>IF($C583="B",INDEX(Batters[[#All],[POS]],MATCH(Table5[[#This Row],[PID]],Batters[[#All],[PID]],0)),INDEX(Table3[[#All],[POS]],MATCH(Table5[[#This Row],[PID]],Table3[[#All],[PID]],0)))</f>
        <v>SP</v>
      </c>
      <c r="E583" s="54" t="str">
        <f>IF($C583="B",INDEX(Batters[[#All],[First]],MATCH(Table5[[#This Row],[PID]],Batters[[#All],[PID]],0)),INDEX(Table3[[#All],[First]],MATCH(Table5[[#This Row],[PID]],Table3[[#All],[PID]],0)))</f>
        <v>Masuhiro</v>
      </c>
      <c r="F583" s="52" t="str">
        <f>IF($C583="B",INDEX(Batters[[#All],[Last]],MATCH(A583,Batters[[#All],[PID]],0)),INDEX(Table3[[#All],[Last]],MATCH(A583,Table3[[#All],[PID]],0)))</f>
        <v>Shiraishi</v>
      </c>
      <c r="G583" s="58">
        <f>IF($C583="B",INDEX(Batters[[#All],[Age]],MATCH(Table5[[#This Row],[PID]],Batters[[#All],[PID]],0)),INDEX(Table3[[#All],[Age]],MATCH(Table5[[#This Row],[PID]],Table3[[#All],[PID]],0)))</f>
        <v>18</v>
      </c>
      <c r="H583" s="54" t="str">
        <f>IF($C583="B",INDEX(Batters[[#All],[B]],MATCH(Table5[[#This Row],[PID]],Batters[[#All],[PID]],0)),INDEX(Table3[[#All],[B]],MATCH(Table5[[#This Row],[PID]],Table3[[#All],[PID]],0)))</f>
        <v>L</v>
      </c>
      <c r="I583" s="54" t="str">
        <f>IF($C583="B",INDEX(Batters[[#All],[T]],MATCH(Table5[[#This Row],[PID]],Batters[[#All],[PID]],0)),INDEX(Table3[[#All],[T]],MATCH(Table5[[#This Row],[PID]],Table3[[#All],[PID]],0)))</f>
        <v>L</v>
      </c>
      <c r="J583" s="54" t="str">
        <f>IF($C583="B",INDEX(Batters[[#All],[WE]],MATCH(Table5[[#This Row],[PID]],Batters[[#All],[PID]],0)),INDEX(Table3[[#All],[WE]],MATCH(Table5[[#This Row],[PID]],Table3[[#All],[PID]],0)))</f>
        <v>High</v>
      </c>
      <c r="K583" s="54" t="str">
        <f>IF($C583="B",INDEX(Batters[[#All],[INT]],MATCH(Table5[[#This Row],[PID]],Batters[[#All],[PID]],0)),INDEX(Table3[[#All],[INT]],MATCH(Table5[[#This Row],[PID]],Table3[[#All],[PID]],0)))</f>
        <v>High</v>
      </c>
      <c r="L583" s="62">
        <f>IF($C583="B",INDEX(Batters[[#All],[CON P]],MATCH(Table5[[#This Row],[PID]],Batters[[#All],[PID]],0)),INDEX(Table3[[#All],[STU P]],MATCH(Table5[[#This Row],[PID]],Table3[[#All],[PID]],0)))</f>
        <v>4</v>
      </c>
      <c r="M583" s="58">
        <f>IF($C583="B",INDEX(Batters[[#All],[GAP P]],MATCH(Table5[[#This Row],[PID]],Batters[[#All],[PID]],0)),INDEX(Table3[[#All],[MOV P]],MATCH(Table5[[#This Row],[PID]],Table3[[#All],[PID]],0)))</f>
        <v>2</v>
      </c>
      <c r="N583" s="58">
        <f>IF($C583="B",INDEX(Batters[[#All],[POW P]],MATCH(Table5[[#This Row],[PID]],Batters[[#All],[PID]],0)),INDEX(Table3[[#All],[CON P]],MATCH(Table5[[#This Row],[PID]],Table3[[#All],[PID]],0)))</f>
        <v>2</v>
      </c>
      <c r="O583" s="58" t="str">
        <f>IF($C583="B",INDEX(Batters[[#All],[EYE P]],MATCH(Table5[[#This Row],[PID]],Batters[[#All],[PID]],0)),INDEX(Table3[[#All],[VELO]],MATCH(Table5[[#This Row],[PID]],Table3[[#All],[PID]],0)))</f>
        <v>88-90 Mph</v>
      </c>
      <c r="P583" s="58">
        <f>IF($C583="B",INDEX(Batters[[#All],[K P]],MATCH(Table5[[#This Row],[PID]],Batters[[#All],[PID]],0)),INDEX(Table3[[#All],[STM]],MATCH(Table5[[#This Row],[PID]],Table3[[#All],[PID]],0)))</f>
        <v>6</v>
      </c>
      <c r="Q583" s="63">
        <f>IF($C583="B",INDEX(Batters[[#All],[Tot]],MATCH(Table5[[#This Row],[PID]],Batters[[#All],[PID]],0)),INDEX(Table3[[#All],[Tot]],MATCH(Table5[[#This Row],[PID]],Table3[[#All],[PID]],0)))</f>
        <v>29.357636749532801</v>
      </c>
      <c r="R583" s="54">
        <f>IF($C583="B",INDEX(Batters[[#All],[zScore]],MATCH(Table5[[#This Row],[PID]],Batters[[#All],[PID]],0)),INDEX(Table3[[#All],[zScore]],MATCH(Table5[[#This Row],[PID]],Table3[[#All],[PID]],0)))</f>
        <v>-0.30854949404818566</v>
      </c>
      <c r="S583" s="60" t="str">
        <f>IF($C583="B",INDEX(Batters[[#All],[DEM]],MATCH(Table5[[#This Row],[PID]],Batters[[#All],[PID]],0)),INDEX(Table3[[#All],[DEM]],MATCH(Table5[[#This Row],[PID]],Table3[[#All],[PID]],0)))</f>
        <v>$65k</v>
      </c>
      <c r="T583" s="64">
        <f>IF($C583="B",VLOOKUP($A583,Bat!$A$4:$AU$1417,46,FALSE),VLOOKUP($A583,Pit!$A$4:$BD$570,55,FALSE))</f>
        <v>0</v>
      </c>
      <c r="U583" s="52">
        <f>IF($C583="B",VLOOKUP($A583,Bat!$A$4:$BA$1417,47,FALSE),VLOOKUP($A583,Pit!$A$4:$BF$570,56,FALSE))</f>
        <v>0</v>
      </c>
      <c r="V583" s="52">
        <f>IF($C583="B",VLOOKUP($A583,Bat!$A$4:$BA$1417,48,FALSE),VLOOKUP($A583,Pit!$A$4:$BF$570,57,FALSE))</f>
        <v>0</v>
      </c>
      <c r="W583" s="52">
        <f>Table5[[#This Row],[posRnk]]+Table5[[#This Row],[zRnk]]+IF($W$3&lt;&gt;Table5[[#This Row],[Type]],50,0)</f>
        <v>629</v>
      </c>
      <c r="X583" s="53">
        <f>RANK(Table5[[#This Row],[zScore]],Table5[[#All],[zScore]])</f>
        <v>579</v>
      </c>
      <c r="Y583" s="52" t="str">
        <f>IFERROR(INDEX(DraftResults[[#All],[OVR]],MATCH(Table5[[#This Row],[PID]],DraftResults[[#All],[Player ID]],0)),"")</f>
        <v/>
      </c>
      <c r="Z5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3" s="52" t="str">
        <f>IFERROR(INDEX(DraftResults[[#All],[Pick in Round]],MATCH(Table5[[#This Row],[PID]],DraftResults[[#All],[Player ID]],0)),"")</f>
        <v/>
      </c>
      <c r="AB583" s="52" t="str">
        <f>IFERROR(INDEX(DraftResults[[#All],[Team Name]],MATCH(Table5[[#This Row],[PID]],DraftResults[[#All],[Player ID]],0)),"")</f>
        <v/>
      </c>
      <c r="AC583" s="52" t="str">
        <f>IF(Table5[[#This Row],[Ovr]]="","",IF(Table5[[#This Row],[cmbList]]="","",Table5[[#This Row],[cmbList]]-Table5[[#This Row],[Ovr]]))</f>
        <v/>
      </c>
      <c r="AD583" s="56" t="str">
        <f>IF(ISERROR(VLOOKUP($AB583&amp;"-"&amp;$E583&amp;" "&amp;F583,Bonuses!$B$1:$G$1006,4,FALSE)),"",INT(VLOOKUP($AB583&amp;"-"&amp;$E583&amp;" "&amp;$F583,Bonuses!$B$1:$G$1006,4,FALSE)))</f>
        <v/>
      </c>
      <c r="AE5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4" spans="1:31" s="52" customFormat="1" x14ac:dyDescent="0.25">
      <c r="A584" s="52">
        <v>12113</v>
      </c>
      <c r="B584" s="52">
        <f>COUNTIF(Table5[PID],A584)</f>
        <v>1</v>
      </c>
      <c r="C584" s="52" t="str">
        <f>IF(COUNTIF(Table3[[#All],[PID]],A584)&gt;0,"P","B")</f>
        <v>P</v>
      </c>
      <c r="D584" s="61" t="str">
        <f>IF($C584="B",INDEX(Batters[[#All],[POS]],MATCH(Table5[[#This Row],[PID]],Batters[[#All],[PID]],0)),INDEX(Table3[[#All],[POS]],MATCH(Table5[[#This Row],[PID]],Table3[[#All],[PID]],0)))</f>
        <v>RP</v>
      </c>
      <c r="E584" s="54" t="str">
        <f>IF($C584="B",INDEX(Batters[[#All],[First]],MATCH(Table5[[#This Row],[PID]],Batters[[#All],[PID]],0)),INDEX(Table3[[#All],[First]],MATCH(Table5[[#This Row],[PID]],Table3[[#All],[PID]],0)))</f>
        <v>Dan</v>
      </c>
      <c r="F584" s="52" t="str">
        <f>IF($C584="B",INDEX(Batters[[#All],[Last]],MATCH(A584,Batters[[#All],[PID]],0)),INDEX(Table3[[#All],[Last]],MATCH(A584,Table3[[#All],[PID]],0)))</f>
        <v>Bradley</v>
      </c>
      <c r="G584" s="58">
        <f>IF($C584="B",INDEX(Batters[[#All],[Age]],MATCH(Table5[[#This Row],[PID]],Batters[[#All],[PID]],0)),INDEX(Table3[[#All],[Age]],MATCH(Table5[[#This Row],[PID]],Table3[[#All],[PID]],0)))</f>
        <v>21</v>
      </c>
      <c r="H584" s="54" t="str">
        <f>IF($C584="B",INDEX(Batters[[#All],[B]],MATCH(Table5[[#This Row],[PID]],Batters[[#All],[PID]],0)),INDEX(Table3[[#All],[B]],MATCH(Table5[[#This Row],[PID]],Table3[[#All],[PID]],0)))</f>
        <v>R</v>
      </c>
      <c r="I584" s="54" t="str">
        <f>IF($C584="B",INDEX(Batters[[#All],[T]],MATCH(Table5[[#This Row],[PID]],Batters[[#All],[PID]],0)),INDEX(Table3[[#All],[T]],MATCH(Table5[[#This Row],[PID]],Table3[[#All],[PID]],0)))</f>
        <v>R</v>
      </c>
      <c r="J584" s="54" t="str">
        <f>IF($C584="B",INDEX(Batters[[#All],[WE]],MATCH(Table5[[#This Row],[PID]],Batters[[#All],[PID]],0)),INDEX(Table3[[#All],[WE]],MATCH(Table5[[#This Row],[PID]],Table3[[#All],[PID]],0)))</f>
        <v>Normal</v>
      </c>
      <c r="K584" s="54" t="str">
        <f>IF($C584="B",INDEX(Batters[[#All],[INT]],MATCH(Table5[[#This Row],[PID]],Batters[[#All],[PID]],0)),INDEX(Table3[[#All],[INT]],MATCH(Table5[[#This Row],[PID]],Table3[[#All],[PID]],0)))</f>
        <v>Normal</v>
      </c>
      <c r="L584" s="62">
        <f>IF($C584="B",INDEX(Batters[[#All],[CON P]],MATCH(Table5[[#This Row],[PID]],Batters[[#All],[PID]],0)),INDEX(Table3[[#All],[STU P]],MATCH(Table5[[#This Row],[PID]],Table3[[#All],[PID]],0)))</f>
        <v>5</v>
      </c>
      <c r="M584" s="58">
        <f>IF($C584="B",INDEX(Batters[[#All],[GAP P]],MATCH(Table5[[#This Row],[PID]],Batters[[#All],[PID]],0)),INDEX(Table3[[#All],[MOV P]],MATCH(Table5[[#This Row],[PID]],Table3[[#All],[PID]],0)))</f>
        <v>2</v>
      </c>
      <c r="N584" s="58">
        <f>IF($C584="B",INDEX(Batters[[#All],[POW P]],MATCH(Table5[[#This Row],[PID]],Batters[[#All],[PID]],0)),INDEX(Table3[[#All],[CON P]],MATCH(Table5[[#This Row],[PID]],Table3[[#All],[PID]],0)))</f>
        <v>2</v>
      </c>
      <c r="O584" s="58" t="str">
        <f>IF($C584="B",INDEX(Batters[[#All],[EYE P]],MATCH(Table5[[#This Row],[PID]],Batters[[#All],[PID]],0)),INDEX(Table3[[#All],[VELO]],MATCH(Table5[[#This Row],[PID]],Table3[[#All],[PID]],0)))</f>
        <v>94-96 Mph</v>
      </c>
      <c r="P584" s="58">
        <f>IF($C584="B",INDEX(Batters[[#All],[K P]],MATCH(Table5[[#This Row],[PID]],Batters[[#All],[PID]],0)),INDEX(Table3[[#All],[STM]],MATCH(Table5[[#This Row],[PID]],Table3[[#All],[PID]],0)))</f>
        <v>10</v>
      </c>
      <c r="Q584" s="63">
        <f>IF($C584="B",INDEX(Batters[[#All],[Tot]],MATCH(Table5[[#This Row],[PID]],Batters[[#All],[PID]],0)),INDEX(Table3[[#All],[Tot]],MATCH(Table5[[#This Row],[PID]],Table3[[#All],[PID]],0)))</f>
        <v>29.356908588585398</v>
      </c>
      <c r="R584" s="54">
        <f>IF($C584="B",INDEX(Batters[[#All],[zScore]],MATCH(Table5[[#This Row],[PID]],Batters[[#All],[PID]],0)),INDEX(Table3[[#All],[zScore]],MATCH(Table5[[#This Row],[PID]],Table3[[#All],[PID]],0)))</f>
        <v>-0.30861626951928783</v>
      </c>
      <c r="S584" s="60" t="str">
        <f>IF($C584="B",INDEX(Batters[[#All],[DEM]],MATCH(Table5[[#This Row],[PID]],Batters[[#All],[PID]],0)),INDEX(Table3[[#All],[DEM]],MATCH(Table5[[#This Row],[PID]],Table3[[#All],[PID]],0)))</f>
        <v>-</v>
      </c>
      <c r="T584" s="64">
        <f>IF($C584="B",VLOOKUP($A584,Bat!$A$4:$AU$1417,46,FALSE),VLOOKUP($A584,Pit!$A$4:$BD$570,55,FALSE))</f>
        <v>0</v>
      </c>
      <c r="U584" s="52">
        <f>IF($C584="B",VLOOKUP($A584,Bat!$A$4:$BA$1417,47,FALSE),VLOOKUP($A584,Pit!$A$4:$BF$570,56,FALSE))</f>
        <v>0</v>
      </c>
      <c r="V584" s="52">
        <f>IF($C584="B",VLOOKUP($A584,Bat!$A$4:$BA$1417,48,FALSE),VLOOKUP($A584,Pit!$A$4:$BF$570,57,FALSE))</f>
        <v>0</v>
      </c>
      <c r="W584" s="52">
        <f>Table5[[#This Row],[posRnk]]+Table5[[#This Row],[zRnk]]+IF($W$3&lt;&gt;Table5[[#This Row],[Type]],50,0)</f>
        <v>630</v>
      </c>
      <c r="X584" s="53">
        <f>RANK(Table5[[#This Row],[zScore]],Table5[[#All],[zScore]])</f>
        <v>580</v>
      </c>
      <c r="Y584" s="52" t="str">
        <f>IFERROR(INDEX(DraftResults[[#All],[OVR]],MATCH(Table5[[#This Row],[PID]],DraftResults[[#All],[Player ID]],0)),"")</f>
        <v/>
      </c>
      <c r="Z5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4" s="52" t="str">
        <f>IFERROR(INDEX(DraftResults[[#All],[Pick in Round]],MATCH(Table5[[#This Row],[PID]],DraftResults[[#All],[Player ID]],0)),"")</f>
        <v/>
      </c>
      <c r="AB584" s="52" t="str">
        <f>IFERROR(INDEX(DraftResults[[#All],[Team Name]],MATCH(Table5[[#This Row],[PID]],DraftResults[[#All],[Player ID]],0)),"")</f>
        <v/>
      </c>
      <c r="AC584" s="52" t="str">
        <f>IF(Table5[[#This Row],[Ovr]]="","",IF(Table5[[#This Row],[cmbList]]="","",Table5[[#This Row],[cmbList]]-Table5[[#This Row],[Ovr]]))</f>
        <v/>
      </c>
      <c r="AD584" s="56" t="str">
        <f>IF(ISERROR(VLOOKUP($AB584&amp;"-"&amp;$E584&amp;" "&amp;F584,Bonuses!$B$1:$G$1006,4,FALSE)),"",INT(VLOOKUP($AB584&amp;"-"&amp;$E584&amp;" "&amp;$F584,Bonuses!$B$1:$G$1006,4,FALSE)))</f>
        <v/>
      </c>
      <c r="AE5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5" spans="1:31" s="52" customFormat="1" x14ac:dyDescent="0.25">
      <c r="A585" s="52">
        <v>7279</v>
      </c>
      <c r="B585" s="52">
        <f>COUNTIF(Table5[PID],A585)</f>
        <v>1</v>
      </c>
      <c r="C585" s="52" t="str">
        <f>IF(COUNTIF(Table3[[#All],[PID]],A585)&gt;0,"P","B")</f>
        <v>P</v>
      </c>
      <c r="D585" s="61" t="str">
        <f>IF($C585="B",INDEX(Batters[[#All],[POS]],MATCH(Table5[[#This Row],[PID]],Batters[[#All],[PID]],0)),INDEX(Table3[[#All],[POS]],MATCH(Table5[[#This Row],[PID]],Table3[[#All],[PID]],0)))</f>
        <v>SP</v>
      </c>
      <c r="E585" s="54" t="str">
        <f>IF($C585="B",INDEX(Batters[[#All],[First]],MATCH(Table5[[#This Row],[PID]],Batters[[#All],[PID]],0)),INDEX(Table3[[#All],[First]],MATCH(Table5[[#This Row],[PID]],Table3[[#All],[PID]],0)))</f>
        <v>Timmo</v>
      </c>
      <c r="F585" s="52" t="str">
        <f>IF($C585="B",INDEX(Batters[[#All],[Last]],MATCH(A585,Batters[[#All],[PID]],0)),INDEX(Table3[[#All],[Last]],MATCH(A585,Table3[[#All],[PID]],0)))</f>
        <v>Compagne</v>
      </c>
      <c r="G585" s="58">
        <f>IF($C585="B",INDEX(Batters[[#All],[Age]],MATCH(Table5[[#This Row],[PID]],Batters[[#All],[PID]],0)),INDEX(Table3[[#All],[Age]],MATCH(Table5[[#This Row],[PID]],Table3[[#All],[PID]],0)))</f>
        <v>21</v>
      </c>
      <c r="H585" s="54" t="str">
        <f>IF($C585="B",INDEX(Batters[[#All],[B]],MATCH(Table5[[#This Row],[PID]],Batters[[#All],[PID]],0)),INDEX(Table3[[#All],[B]],MATCH(Table5[[#This Row],[PID]],Table3[[#All],[PID]],0)))</f>
        <v>R</v>
      </c>
      <c r="I585" s="54" t="str">
        <f>IF($C585="B",INDEX(Batters[[#All],[T]],MATCH(Table5[[#This Row],[PID]],Batters[[#All],[PID]],0)),INDEX(Table3[[#All],[T]],MATCH(Table5[[#This Row],[PID]],Table3[[#All],[PID]],0)))</f>
        <v>R</v>
      </c>
      <c r="J585" s="54" t="str">
        <f>IF($C585="B",INDEX(Batters[[#All],[WE]],MATCH(Table5[[#This Row],[PID]],Batters[[#All],[PID]],0)),INDEX(Table3[[#All],[WE]],MATCH(Table5[[#This Row],[PID]],Table3[[#All],[PID]],0)))</f>
        <v>Normal</v>
      </c>
      <c r="K585" s="54" t="str">
        <f>IF($C585="B",INDEX(Batters[[#All],[INT]],MATCH(Table5[[#This Row],[PID]],Batters[[#All],[PID]],0)),INDEX(Table3[[#All],[INT]],MATCH(Table5[[#This Row],[PID]],Table3[[#All],[PID]],0)))</f>
        <v>Normal</v>
      </c>
      <c r="L585" s="62">
        <f>IF($C585="B",INDEX(Batters[[#All],[CON P]],MATCH(Table5[[#This Row],[PID]],Batters[[#All],[PID]],0)),INDEX(Table3[[#All],[STU P]],MATCH(Table5[[#This Row],[PID]],Table3[[#All],[PID]],0)))</f>
        <v>5</v>
      </c>
      <c r="M585" s="58">
        <f>IF($C585="B",INDEX(Batters[[#All],[GAP P]],MATCH(Table5[[#This Row],[PID]],Batters[[#All],[PID]],0)),INDEX(Table3[[#All],[MOV P]],MATCH(Table5[[#This Row],[PID]],Table3[[#All],[PID]],0)))</f>
        <v>2</v>
      </c>
      <c r="N585" s="58">
        <f>IF($C585="B",INDEX(Batters[[#All],[POW P]],MATCH(Table5[[#This Row],[PID]],Batters[[#All],[PID]],0)),INDEX(Table3[[#All],[CON P]],MATCH(Table5[[#This Row],[PID]],Table3[[#All],[PID]],0)))</f>
        <v>2</v>
      </c>
      <c r="O585" s="58" t="str">
        <f>IF($C585="B",INDEX(Batters[[#All],[EYE P]],MATCH(Table5[[#This Row],[PID]],Batters[[#All],[PID]],0)),INDEX(Table3[[#All],[VELO]],MATCH(Table5[[#This Row],[PID]],Table3[[#All],[PID]],0)))</f>
        <v>94-96 Mph</v>
      </c>
      <c r="P585" s="58">
        <f>IF($C585="B",INDEX(Batters[[#All],[K P]],MATCH(Table5[[#This Row],[PID]],Batters[[#All],[PID]],0)),INDEX(Table3[[#All],[STM]],MATCH(Table5[[#This Row],[PID]],Table3[[#All],[PID]],0)))</f>
        <v>7</v>
      </c>
      <c r="Q585" s="63">
        <f>IF($C585="B",INDEX(Batters[[#All],[Tot]],MATCH(Table5[[#This Row],[PID]],Batters[[#All],[PID]],0)),INDEX(Table3[[#All],[Tot]],MATCH(Table5[[#This Row],[PID]],Table3[[#All],[PID]],0)))</f>
        <v>29.356908588585398</v>
      </c>
      <c r="R585" s="54">
        <f>IF($C585="B",INDEX(Batters[[#All],[zScore]],MATCH(Table5[[#This Row],[PID]],Batters[[#All],[PID]],0)),INDEX(Table3[[#All],[zScore]],MATCH(Table5[[#This Row],[PID]],Table3[[#All],[PID]],0)))</f>
        <v>-0.30861626951928783</v>
      </c>
      <c r="S585" s="60" t="str">
        <f>IF($C585="B",INDEX(Batters[[#All],[DEM]],MATCH(Table5[[#This Row],[PID]],Batters[[#All],[PID]],0)),INDEX(Table3[[#All],[DEM]],MATCH(Table5[[#This Row],[PID]],Table3[[#All],[PID]],0)))</f>
        <v>-</v>
      </c>
      <c r="T585" s="64">
        <f>IF($C585="B",VLOOKUP($A585,Bat!$A$4:$AU$1417,46,FALSE),VLOOKUP($A585,Pit!$A$4:$BD$570,55,FALSE))</f>
        <v>0</v>
      </c>
      <c r="U585" s="52">
        <f>IF($C585="B",VLOOKUP($A585,Bat!$A$4:$BA$1417,47,FALSE),VLOOKUP($A585,Pit!$A$4:$BF$570,56,FALSE))</f>
        <v>0</v>
      </c>
      <c r="V585" s="52">
        <f>IF($C585="B",VLOOKUP($A585,Bat!$A$4:$BA$1417,48,FALSE),VLOOKUP($A585,Pit!$A$4:$BF$570,57,FALSE))</f>
        <v>0</v>
      </c>
      <c r="W585" s="52">
        <f>Table5[[#This Row],[posRnk]]+Table5[[#This Row],[zRnk]]+IF($W$3&lt;&gt;Table5[[#This Row],[Type]],50,0)</f>
        <v>630</v>
      </c>
      <c r="X585" s="53">
        <f>RANK(Table5[[#This Row],[zScore]],Table5[[#All],[zScore]])</f>
        <v>580</v>
      </c>
      <c r="Y585" s="52" t="str">
        <f>IFERROR(INDEX(DraftResults[[#All],[OVR]],MATCH(Table5[[#This Row],[PID]],DraftResults[[#All],[Player ID]],0)),"")</f>
        <v/>
      </c>
      <c r="Z5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5" s="52" t="str">
        <f>IFERROR(INDEX(DraftResults[[#All],[Pick in Round]],MATCH(Table5[[#This Row],[PID]],DraftResults[[#All],[Player ID]],0)),"")</f>
        <v/>
      </c>
      <c r="AB585" s="52" t="str">
        <f>IFERROR(INDEX(DraftResults[[#All],[Team Name]],MATCH(Table5[[#This Row],[PID]],DraftResults[[#All],[Player ID]],0)),"")</f>
        <v/>
      </c>
      <c r="AC585" s="52" t="str">
        <f>IF(Table5[[#This Row],[Ovr]]="","",IF(Table5[[#This Row],[cmbList]]="","",Table5[[#This Row],[cmbList]]-Table5[[#This Row],[Ovr]]))</f>
        <v/>
      </c>
      <c r="AD585" s="56" t="str">
        <f>IF(ISERROR(VLOOKUP($AB585&amp;"-"&amp;$E585&amp;" "&amp;F585,Bonuses!$B$1:$G$1006,4,FALSE)),"",INT(VLOOKUP($AB585&amp;"-"&amp;$E585&amp;" "&amp;$F585,Bonuses!$B$1:$G$1006,4,FALSE)))</f>
        <v/>
      </c>
      <c r="AE5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6" spans="1:31" s="52" customFormat="1" x14ac:dyDescent="0.25">
      <c r="A586" s="52">
        <v>6686</v>
      </c>
      <c r="B586" s="52">
        <f>COUNTIF(Table5[PID],A586)</f>
        <v>1</v>
      </c>
      <c r="C586" s="52" t="str">
        <f>IF(COUNTIF(Table3[[#All],[PID]],A586)&gt;0,"P","B")</f>
        <v>P</v>
      </c>
      <c r="D586" s="61" t="str">
        <f>IF($C586="B",INDEX(Batters[[#All],[POS]],MATCH(Table5[[#This Row],[PID]],Batters[[#All],[PID]],0)),INDEX(Table3[[#All],[POS]],MATCH(Table5[[#This Row],[PID]],Table3[[#All],[PID]],0)))</f>
        <v>RP</v>
      </c>
      <c r="E586" s="54" t="str">
        <f>IF($C586="B",INDEX(Batters[[#All],[First]],MATCH(Table5[[#This Row],[PID]],Batters[[#All],[PID]],0)),INDEX(Table3[[#All],[First]],MATCH(Table5[[#This Row],[PID]],Table3[[#All],[PID]],0)))</f>
        <v>António</v>
      </c>
      <c r="F586" s="52" t="str">
        <f>IF($C586="B",INDEX(Batters[[#All],[Last]],MATCH(A586,Batters[[#All],[PID]],0)),INDEX(Table3[[#All],[Last]],MATCH(A586,Table3[[#All],[PID]],0)))</f>
        <v>Salazar</v>
      </c>
      <c r="G586" s="58">
        <f>IF($C586="B",INDEX(Batters[[#All],[Age]],MATCH(Table5[[#This Row],[PID]],Batters[[#All],[PID]],0)),INDEX(Table3[[#All],[Age]],MATCH(Table5[[#This Row],[PID]],Table3[[#All],[PID]],0)))</f>
        <v>18</v>
      </c>
      <c r="H586" s="54" t="str">
        <f>IF($C586="B",INDEX(Batters[[#All],[B]],MATCH(Table5[[#This Row],[PID]],Batters[[#All],[PID]],0)),INDEX(Table3[[#All],[B]],MATCH(Table5[[#This Row],[PID]],Table3[[#All],[PID]],0)))</f>
        <v>R</v>
      </c>
      <c r="I586" s="54" t="str">
        <f>IF($C586="B",INDEX(Batters[[#All],[T]],MATCH(Table5[[#This Row],[PID]],Batters[[#All],[PID]],0)),INDEX(Table3[[#All],[T]],MATCH(Table5[[#This Row],[PID]],Table3[[#All],[PID]],0)))</f>
        <v>R</v>
      </c>
      <c r="J586" s="54" t="str">
        <f>IF($C586="B",INDEX(Batters[[#All],[WE]],MATCH(Table5[[#This Row],[PID]],Batters[[#All],[PID]],0)),INDEX(Table3[[#All],[WE]],MATCH(Table5[[#This Row],[PID]],Table3[[#All],[PID]],0)))</f>
        <v>Normal</v>
      </c>
      <c r="K586" s="54" t="str">
        <f>IF($C586="B",INDEX(Batters[[#All],[INT]],MATCH(Table5[[#This Row],[PID]],Batters[[#All],[PID]],0)),INDEX(Table3[[#All],[INT]],MATCH(Table5[[#This Row],[PID]],Table3[[#All],[PID]],0)))</f>
        <v>Normal</v>
      </c>
      <c r="L586" s="62">
        <f>IF($C586="B",INDEX(Batters[[#All],[CON P]],MATCH(Table5[[#This Row],[PID]],Batters[[#All],[PID]],0)),INDEX(Table3[[#All],[STU P]],MATCH(Table5[[#This Row],[PID]],Table3[[#All],[PID]],0)))</f>
        <v>4</v>
      </c>
      <c r="M586" s="58">
        <f>IF($C586="B",INDEX(Batters[[#All],[GAP P]],MATCH(Table5[[#This Row],[PID]],Batters[[#All],[PID]],0)),INDEX(Table3[[#All],[MOV P]],MATCH(Table5[[#This Row],[PID]],Table3[[#All],[PID]],0)))</f>
        <v>2</v>
      </c>
      <c r="N586" s="58">
        <f>IF($C586="B",INDEX(Batters[[#All],[POW P]],MATCH(Table5[[#This Row],[PID]],Batters[[#All],[PID]],0)),INDEX(Table3[[#All],[CON P]],MATCH(Table5[[#This Row],[PID]],Table3[[#All],[PID]],0)))</f>
        <v>2</v>
      </c>
      <c r="O586" s="58" t="str">
        <f>IF($C586="B",INDEX(Batters[[#All],[EYE P]],MATCH(Table5[[#This Row],[PID]],Batters[[#All],[PID]],0)),INDEX(Table3[[#All],[VELO]],MATCH(Table5[[#This Row],[PID]],Table3[[#All],[PID]],0)))</f>
        <v>88-90 Mph</v>
      </c>
      <c r="P586" s="58">
        <f>IF($C586="B",INDEX(Batters[[#All],[K P]],MATCH(Table5[[#This Row],[PID]],Batters[[#All],[PID]],0)),INDEX(Table3[[#All],[STM]],MATCH(Table5[[#This Row],[PID]],Table3[[#All],[PID]],0)))</f>
        <v>9</v>
      </c>
      <c r="Q586" s="63">
        <f>IF($C586="B",INDEX(Batters[[#All],[Tot]],MATCH(Table5[[#This Row],[PID]],Batters[[#All],[PID]],0)),INDEX(Table3[[#All],[Tot]],MATCH(Table5[[#This Row],[PID]],Table3[[#All],[PID]],0)))</f>
        <v>29.354463136217525</v>
      </c>
      <c r="R586" s="54">
        <f>IF($C586="B",INDEX(Batters[[#All],[zScore]],MATCH(Table5[[#This Row],[PID]],Batters[[#All],[PID]],0)),INDEX(Table3[[#All],[zScore]],MATCH(Table5[[#This Row],[PID]],Table3[[#All],[PID]],0)))</f>
        <v>-0.30884052795350486</v>
      </c>
      <c r="S586" s="60" t="str">
        <f>IF($C586="B",INDEX(Batters[[#All],[DEM]],MATCH(Table5[[#This Row],[PID]],Batters[[#All],[PID]],0)),INDEX(Table3[[#All],[DEM]],MATCH(Table5[[#This Row],[PID]],Table3[[#All],[PID]],0)))</f>
        <v>$65k</v>
      </c>
      <c r="T586" s="64">
        <f>IF($C586="B",VLOOKUP($A586,Bat!$A$4:$AU$1417,46,FALSE),VLOOKUP($A586,Pit!$A$4:$BD$570,55,FALSE))</f>
        <v>0</v>
      </c>
      <c r="U586" s="52">
        <f>IF($C586="B",VLOOKUP($A586,Bat!$A$4:$BA$1417,47,FALSE),VLOOKUP($A586,Pit!$A$4:$BF$570,56,FALSE))</f>
        <v>0</v>
      </c>
      <c r="V586" s="52">
        <f>IF($C586="B",VLOOKUP($A586,Bat!$A$4:$BA$1417,48,FALSE),VLOOKUP($A586,Pit!$A$4:$BF$570,57,FALSE))</f>
        <v>0</v>
      </c>
      <c r="W586" s="52">
        <f>Table5[[#This Row],[posRnk]]+Table5[[#This Row],[zRnk]]+IF($W$3&lt;&gt;Table5[[#This Row],[Type]],50,0)</f>
        <v>632</v>
      </c>
      <c r="X586" s="53">
        <f>RANK(Table5[[#This Row],[zScore]],Table5[[#All],[zScore]])</f>
        <v>582</v>
      </c>
      <c r="Y586" s="52" t="str">
        <f>IFERROR(INDEX(DraftResults[[#All],[OVR]],MATCH(Table5[[#This Row],[PID]],DraftResults[[#All],[Player ID]],0)),"")</f>
        <v/>
      </c>
      <c r="Z5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6" s="52" t="str">
        <f>IFERROR(INDEX(DraftResults[[#All],[Pick in Round]],MATCH(Table5[[#This Row],[PID]],DraftResults[[#All],[Player ID]],0)),"")</f>
        <v/>
      </c>
      <c r="AB586" s="52" t="str">
        <f>IFERROR(INDEX(DraftResults[[#All],[Team Name]],MATCH(Table5[[#This Row],[PID]],DraftResults[[#All],[Player ID]],0)),"")</f>
        <v/>
      </c>
      <c r="AC586" s="52" t="str">
        <f>IF(Table5[[#This Row],[Ovr]]="","",IF(Table5[[#This Row],[cmbList]]="","",Table5[[#This Row],[cmbList]]-Table5[[#This Row],[Ovr]]))</f>
        <v/>
      </c>
      <c r="AD586" s="56" t="str">
        <f>IF(ISERROR(VLOOKUP($AB586&amp;"-"&amp;$E586&amp;" "&amp;F586,Bonuses!$B$1:$G$1006,4,FALSE)),"",INT(VLOOKUP($AB586&amp;"-"&amp;$E586&amp;" "&amp;$F586,Bonuses!$B$1:$G$1006,4,FALSE)))</f>
        <v/>
      </c>
      <c r="AE5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7" spans="1:31" s="52" customFormat="1" x14ac:dyDescent="0.25">
      <c r="A587" s="52">
        <v>12313</v>
      </c>
      <c r="B587" s="52">
        <f>COUNTIF(Table5[PID],A587)</f>
        <v>1</v>
      </c>
      <c r="C587" s="52" t="str">
        <f>IF(COUNTIF(Table3[[#All],[PID]],A587)&gt;0,"P","B")</f>
        <v>B</v>
      </c>
      <c r="D587" s="61" t="str">
        <f>IF($C587="B",INDEX(Batters[[#All],[POS]],MATCH(Table5[[#This Row],[PID]],Batters[[#All],[PID]],0)),INDEX(Table3[[#All],[POS]],MATCH(Table5[[#This Row],[PID]],Table3[[#All],[PID]],0)))</f>
        <v>C</v>
      </c>
      <c r="E587" s="54" t="str">
        <f>IF($C587="B",INDEX(Batters[[#All],[First]],MATCH(Table5[[#This Row],[PID]],Batters[[#All],[PID]],0)),INDEX(Table3[[#All],[First]],MATCH(Table5[[#This Row],[PID]],Table3[[#All],[PID]],0)))</f>
        <v>Munemori</v>
      </c>
      <c r="F587" s="52" t="str">
        <f>IF($C587="B",INDEX(Batters[[#All],[Last]],MATCH(A587,Batters[[#All],[PID]],0)),INDEX(Table3[[#All],[Last]],MATCH(A587,Table3[[#All],[PID]],0)))</f>
        <v>Hara</v>
      </c>
      <c r="G587" s="58">
        <f>IF($C587="B",INDEX(Batters[[#All],[Age]],MATCH(Table5[[#This Row],[PID]],Batters[[#All],[PID]],0)),INDEX(Table3[[#All],[Age]],MATCH(Table5[[#This Row],[PID]],Table3[[#All],[PID]],0)))</f>
        <v>21</v>
      </c>
      <c r="H587" s="54" t="str">
        <f>IF($C587="B",INDEX(Batters[[#All],[B]],MATCH(Table5[[#This Row],[PID]],Batters[[#All],[PID]],0)),INDEX(Table3[[#All],[B]],MATCH(Table5[[#This Row],[PID]],Table3[[#All],[PID]],0)))</f>
        <v>R</v>
      </c>
      <c r="I587" s="54" t="str">
        <f>IF($C587="B",INDEX(Batters[[#All],[T]],MATCH(Table5[[#This Row],[PID]],Batters[[#All],[PID]],0)),INDEX(Table3[[#All],[T]],MATCH(Table5[[#This Row],[PID]],Table3[[#All],[PID]],0)))</f>
        <v>R</v>
      </c>
      <c r="J587" s="54" t="str">
        <f>IF($C587="B",INDEX(Batters[[#All],[WE]],MATCH(Table5[[#This Row],[PID]],Batters[[#All],[PID]],0)),INDEX(Table3[[#All],[WE]],MATCH(Table5[[#This Row],[PID]],Table3[[#All],[PID]],0)))</f>
        <v>Normal</v>
      </c>
      <c r="K587" s="54" t="str">
        <f>IF($C587="B",INDEX(Batters[[#All],[INT]],MATCH(Table5[[#This Row],[PID]],Batters[[#All],[PID]],0)),INDEX(Table3[[#All],[INT]],MATCH(Table5[[#This Row],[PID]],Table3[[#All],[PID]],0)))</f>
        <v>Low</v>
      </c>
      <c r="L587" s="62">
        <f>IF($C587="B",INDEX(Batters[[#All],[CON P]],MATCH(Table5[[#This Row],[PID]],Batters[[#All],[PID]],0)),INDEX(Table3[[#All],[STU P]],MATCH(Table5[[#This Row],[PID]],Table3[[#All],[PID]],0)))</f>
        <v>3</v>
      </c>
      <c r="M587" s="58">
        <f>IF($C587="B",INDEX(Batters[[#All],[GAP P]],MATCH(Table5[[#This Row],[PID]],Batters[[#All],[PID]],0)),INDEX(Table3[[#All],[MOV P]],MATCH(Table5[[#This Row],[PID]],Table3[[#All],[PID]],0)))</f>
        <v>4</v>
      </c>
      <c r="N587" s="58">
        <f>IF($C587="B",INDEX(Batters[[#All],[POW P]],MATCH(Table5[[#This Row],[PID]],Batters[[#All],[PID]],0)),INDEX(Table3[[#All],[CON P]],MATCH(Table5[[#This Row],[PID]],Table3[[#All],[PID]],0)))</f>
        <v>3</v>
      </c>
      <c r="O587" s="58">
        <f>IF($C587="B",INDEX(Batters[[#All],[EYE P]],MATCH(Table5[[#This Row],[PID]],Batters[[#All],[PID]],0)),INDEX(Table3[[#All],[VELO]],MATCH(Table5[[#This Row],[PID]],Table3[[#All],[PID]],0)))</f>
        <v>7</v>
      </c>
      <c r="P587" s="58">
        <f>IF($C587="B",INDEX(Batters[[#All],[K P]],MATCH(Table5[[#This Row],[PID]],Batters[[#All],[PID]],0)),INDEX(Table3[[#All],[STM]],MATCH(Table5[[#This Row],[PID]],Table3[[#All],[PID]],0)))</f>
        <v>3</v>
      </c>
      <c r="Q587" s="63">
        <f>IF($C587="B",INDEX(Batters[[#All],[Tot]],MATCH(Table5[[#This Row],[PID]],Batters[[#All],[PID]],0)),INDEX(Table3[[#All],[Tot]],MATCH(Table5[[#This Row],[PID]],Table3[[#All],[PID]],0)))</f>
        <v>38.571966481411863</v>
      </c>
      <c r="R587" s="54">
        <f>IF($C587="B",INDEX(Batters[[#All],[zScore]],MATCH(Table5[[#This Row],[PID]],Batters[[#All],[PID]],0)),INDEX(Table3[[#All],[zScore]],MATCH(Table5[[#This Row],[PID]],Table3[[#All],[PID]],0)))</f>
        <v>-0.31252481456308451</v>
      </c>
      <c r="S587" s="60" t="str">
        <f>IF($C587="B",INDEX(Batters[[#All],[DEM]],MATCH(Table5[[#This Row],[PID]],Batters[[#All],[PID]],0)),INDEX(Table3[[#All],[DEM]],MATCH(Table5[[#This Row],[PID]],Table3[[#All],[PID]],0)))</f>
        <v>$20k</v>
      </c>
      <c r="T587" s="64">
        <f>IF($C587="B",VLOOKUP($A587,Bat!$A$4:$AU$1417,46,FALSE),VLOOKUP($A587,Pit!$A$4:$BD$570,55,FALSE))</f>
        <v>0</v>
      </c>
      <c r="U587" s="52">
        <f>IF($C587="B",VLOOKUP($A587,Bat!$A$4:$BA$1417,47,FALSE),VLOOKUP($A587,Pit!$A$4:$BF$570,56,FALSE))</f>
        <v>0</v>
      </c>
      <c r="V587" s="52">
        <f>IF($C587="B",VLOOKUP($A587,Bat!$A$4:$BA$1417,48,FALSE),VLOOKUP($A587,Pit!$A$4:$BF$570,57,FALSE))</f>
        <v>0</v>
      </c>
      <c r="W587" s="52">
        <f>Table5[[#This Row],[posRnk]]+Table5[[#This Row],[zRnk]]+IF($W$3&lt;&gt;Table5[[#This Row],[Type]],50,0)</f>
        <v>633</v>
      </c>
      <c r="X587" s="53">
        <f>RANK(Table5[[#This Row],[zScore]],Table5[[#All],[zScore]])</f>
        <v>583</v>
      </c>
      <c r="Y587" s="52" t="str">
        <f>IFERROR(INDEX(DraftResults[[#All],[OVR]],MATCH(Table5[[#This Row],[PID]],DraftResults[[#All],[Player ID]],0)),"")</f>
        <v/>
      </c>
      <c r="Z5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7" s="52" t="str">
        <f>IFERROR(INDEX(DraftResults[[#All],[Pick in Round]],MATCH(Table5[[#This Row],[PID]],DraftResults[[#All],[Player ID]],0)),"")</f>
        <v/>
      </c>
      <c r="AB587" s="52" t="str">
        <f>IFERROR(INDEX(DraftResults[[#All],[Team Name]],MATCH(Table5[[#This Row],[PID]],DraftResults[[#All],[Player ID]],0)),"")</f>
        <v/>
      </c>
      <c r="AC587" s="52" t="str">
        <f>IF(Table5[[#This Row],[Ovr]]="","",IF(Table5[[#This Row],[cmbList]]="","",Table5[[#This Row],[cmbList]]-Table5[[#This Row],[Ovr]]))</f>
        <v/>
      </c>
      <c r="AD587" s="56" t="str">
        <f>IF(ISERROR(VLOOKUP($AB587&amp;"-"&amp;$E587&amp;" "&amp;F587,Bonuses!$B$1:$G$1006,4,FALSE)),"",INT(VLOOKUP($AB587&amp;"-"&amp;$E587&amp;" "&amp;$F587,Bonuses!$B$1:$G$1006,4,FALSE)))</f>
        <v/>
      </c>
      <c r="AE5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8" spans="1:31" s="52" customFormat="1" x14ac:dyDescent="0.25">
      <c r="A588" s="52">
        <v>16354</v>
      </c>
      <c r="B588" s="52">
        <f>COUNTIF(Table5[PID],A588)</f>
        <v>1</v>
      </c>
      <c r="C588" s="52" t="str">
        <f>IF(COUNTIF(Table3[[#All],[PID]],A588)&gt;0,"P","B")</f>
        <v>P</v>
      </c>
      <c r="D588" s="61" t="str">
        <f>IF($C588="B",INDEX(Batters[[#All],[POS]],MATCH(Table5[[#This Row],[PID]],Batters[[#All],[PID]],0)),INDEX(Table3[[#All],[POS]],MATCH(Table5[[#This Row],[PID]],Table3[[#All],[PID]],0)))</f>
        <v>RP</v>
      </c>
      <c r="E588" s="54" t="str">
        <f>IF($C588="B",INDEX(Batters[[#All],[First]],MATCH(Table5[[#This Row],[PID]],Batters[[#All],[PID]],0)),INDEX(Table3[[#All],[First]],MATCH(Table5[[#This Row],[PID]],Table3[[#All],[PID]],0)))</f>
        <v>Lucas</v>
      </c>
      <c r="F588" s="52" t="str">
        <f>IF($C588="B",INDEX(Batters[[#All],[Last]],MATCH(A588,Batters[[#All],[PID]],0)),INDEX(Table3[[#All],[Last]],MATCH(A588,Table3[[#All],[PID]],0)))</f>
        <v>MacKechie</v>
      </c>
      <c r="G588" s="58">
        <f>IF($C588="B",INDEX(Batters[[#All],[Age]],MATCH(Table5[[#This Row],[PID]],Batters[[#All],[PID]],0)),INDEX(Table3[[#All],[Age]],MATCH(Table5[[#This Row],[PID]],Table3[[#All],[PID]],0)))</f>
        <v>18</v>
      </c>
      <c r="H588" s="54" t="str">
        <f>IF($C588="B",INDEX(Batters[[#All],[B]],MATCH(Table5[[#This Row],[PID]],Batters[[#All],[PID]],0)),INDEX(Table3[[#All],[B]],MATCH(Table5[[#This Row],[PID]],Table3[[#All],[PID]],0)))</f>
        <v>R</v>
      </c>
      <c r="I588" s="54" t="str">
        <f>IF($C588="B",INDEX(Batters[[#All],[T]],MATCH(Table5[[#This Row],[PID]],Batters[[#All],[PID]],0)),INDEX(Table3[[#All],[T]],MATCH(Table5[[#This Row],[PID]],Table3[[#All],[PID]],0)))</f>
        <v>R</v>
      </c>
      <c r="J588" s="54" t="str">
        <f>IF($C588="B",INDEX(Batters[[#All],[WE]],MATCH(Table5[[#This Row],[PID]],Batters[[#All],[PID]],0)),INDEX(Table3[[#All],[WE]],MATCH(Table5[[#This Row],[PID]],Table3[[#All],[PID]],0)))</f>
        <v>Low</v>
      </c>
      <c r="K588" s="54" t="str">
        <f>IF($C588="B",INDEX(Batters[[#All],[INT]],MATCH(Table5[[#This Row],[PID]],Batters[[#All],[PID]],0)),INDEX(Table3[[#All],[INT]],MATCH(Table5[[#This Row],[PID]],Table3[[#All],[PID]],0)))</f>
        <v>Normal</v>
      </c>
      <c r="L588" s="62">
        <f>IF($C588="B",INDEX(Batters[[#All],[CON P]],MATCH(Table5[[#This Row],[PID]],Batters[[#All],[PID]],0)),INDEX(Table3[[#All],[STU P]],MATCH(Table5[[#This Row],[PID]],Table3[[#All],[PID]],0)))</f>
        <v>4</v>
      </c>
      <c r="M588" s="58">
        <f>IF($C588="B",INDEX(Batters[[#All],[GAP P]],MATCH(Table5[[#This Row],[PID]],Batters[[#All],[PID]],0)),INDEX(Table3[[#All],[MOV P]],MATCH(Table5[[#This Row],[PID]],Table3[[#All],[PID]],0)))</f>
        <v>2</v>
      </c>
      <c r="N588" s="58">
        <f>IF($C588="B",INDEX(Batters[[#All],[POW P]],MATCH(Table5[[#This Row],[PID]],Batters[[#All],[PID]],0)),INDEX(Table3[[#All],[CON P]],MATCH(Table5[[#This Row],[PID]],Table3[[#All],[PID]],0)))</f>
        <v>2</v>
      </c>
      <c r="O588" s="58" t="str">
        <f>IF($C588="B",INDEX(Batters[[#All],[EYE P]],MATCH(Table5[[#This Row],[PID]],Batters[[#All],[PID]],0)),INDEX(Table3[[#All],[VELO]],MATCH(Table5[[#This Row],[PID]],Table3[[#All],[PID]],0)))</f>
        <v>89-91 Mph</v>
      </c>
      <c r="P588" s="58">
        <f>IF($C588="B",INDEX(Batters[[#All],[K P]],MATCH(Table5[[#This Row],[PID]],Batters[[#All],[PID]],0)),INDEX(Table3[[#All],[STM]],MATCH(Table5[[#This Row],[PID]],Table3[[#All],[PID]],0)))</f>
        <v>8</v>
      </c>
      <c r="Q588" s="63">
        <f>IF($C588="B",INDEX(Batters[[#All],[Tot]],MATCH(Table5[[#This Row],[PID]],Batters[[#All],[PID]],0)),INDEX(Table3[[#All],[Tot]],MATCH(Table5[[#This Row],[PID]],Table3[[#All],[PID]],0)))</f>
        <v>29.304463136217525</v>
      </c>
      <c r="R588" s="54">
        <f>IF($C588="B",INDEX(Batters[[#All],[zScore]],MATCH(Table5[[#This Row],[PID]],Batters[[#All],[PID]],0)),INDEX(Table3[[#All],[zScore]],MATCH(Table5[[#This Row],[PID]],Table3[[#All],[PID]],0)))</f>
        <v>-0.31342574165799636</v>
      </c>
      <c r="S588" s="60" t="str">
        <f>IF($C588="B",INDEX(Batters[[#All],[DEM]],MATCH(Table5[[#This Row],[PID]],Batters[[#All],[PID]],0)),INDEX(Table3[[#All],[DEM]],MATCH(Table5[[#This Row],[PID]],Table3[[#All],[PID]],0)))</f>
        <v>$38k</v>
      </c>
      <c r="T588" s="64">
        <f>IF($C588="B",VLOOKUP($A588,Bat!$A$4:$AU$1417,46,FALSE),VLOOKUP($A588,Pit!$A$4:$BD$570,55,FALSE))</f>
        <v>0</v>
      </c>
      <c r="U588" s="52">
        <f>IF($C588="B",VLOOKUP($A588,Bat!$A$4:$BA$1417,47,FALSE),VLOOKUP($A588,Pit!$A$4:$BF$570,56,FALSE))</f>
        <v>0</v>
      </c>
      <c r="V588" s="52">
        <f>IF($C588="B",VLOOKUP($A588,Bat!$A$4:$BA$1417,48,FALSE),VLOOKUP($A588,Pit!$A$4:$BF$570,57,FALSE))</f>
        <v>0</v>
      </c>
      <c r="W588" s="52">
        <f>Table5[[#This Row],[posRnk]]+Table5[[#This Row],[zRnk]]+IF($W$3&lt;&gt;Table5[[#This Row],[Type]],50,0)</f>
        <v>634</v>
      </c>
      <c r="X588" s="53">
        <f>RANK(Table5[[#This Row],[zScore]],Table5[[#All],[zScore]])</f>
        <v>584</v>
      </c>
      <c r="Y588" s="52" t="str">
        <f>IFERROR(INDEX(DraftResults[[#All],[OVR]],MATCH(Table5[[#This Row],[PID]],DraftResults[[#All],[Player ID]],0)),"")</f>
        <v/>
      </c>
      <c r="Z5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8" s="52" t="str">
        <f>IFERROR(INDEX(DraftResults[[#All],[Pick in Round]],MATCH(Table5[[#This Row],[PID]],DraftResults[[#All],[Player ID]],0)),"")</f>
        <v/>
      </c>
      <c r="AB588" s="52" t="str">
        <f>IFERROR(INDEX(DraftResults[[#All],[Team Name]],MATCH(Table5[[#This Row],[PID]],DraftResults[[#All],[Player ID]],0)),"")</f>
        <v/>
      </c>
      <c r="AC588" s="52" t="str">
        <f>IF(Table5[[#This Row],[Ovr]]="","",IF(Table5[[#This Row],[cmbList]]="","",Table5[[#This Row],[cmbList]]-Table5[[#This Row],[Ovr]]))</f>
        <v/>
      </c>
      <c r="AD588" s="56" t="str">
        <f>IF(ISERROR(VLOOKUP($AB588&amp;"-"&amp;$E588&amp;" "&amp;F588,Bonuses!$B$1:$G$1006,4,FALSE)),"",INT(VLOOKUP($AB588&amp;"-"&amp;$E588&amp;" "&amp;$F588,Bonuses!$B$1:$G$1006,4,FALSE)))</f>
        <v/>
      </c>
      <c r="AE5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9" spans="1:31" s="52" customFormat="1" x14ac:dyDescent="0.25">
      <c r="A589" s="52">
        <v>13316</v>
      </c>
      <c r="B589" s="52">
        <f>COUNTIF(Table5[PID],A589)</f>
        <v>1</v>
      </c>
      <c r="C589" s="52" t="str">
        <f>IF(COUNTIF(Table3[[#All],[PID]],A589)&gt;0,"P","B")</f>
        <v>P</v>
      </c>
      <c r="D589" s="61" t="str">
        <f>IF($C589="B",INDEX(Batters[[#All],[POS]],MATCH(Table5[[#This Row],[PID]],Batters[[#All],[PID]],0)),INDEX(Table3[[#All],[POS]],MATCH(Table5[[#This Row],[PID]],Table3[[#All],[PID]],0)))</f>
        <v>RP</v>
      </c>
      <c r="E589" s="54" t="str">
        <f>IF($C589="B",INDEX(Batters[[#All],[First]],MATCH(Table5[[#This Row],[PID]],Batters[[#All],[PID]],0)),INDEX(Table3[[#All],[First]],MATCH(Table5[[#This Row],[PID]],Table3[[#All],[PID]],0)))</f>
        <v>Manny</v>
      </c>
      <c r="F589" s="52" t="str">
        <f>IF($C589="B",INDEX(Batters[[#All],[Last]],MATCH(A589,Batters[[#All],[PID]],0)),INDEX(Table3[[#All],[Last]],MATCH(A589,Table3[[#All],[PID]],0)))</f>
        <v>Guerra</v>
      </c>
      <c r="G589" s="58">
        <f>IF($C589="B",INDEX(Batters[[#All],[Age]],MATCH(Table5[[#This Row],[PID]],Batters[[#All],[PID]],0)),INDEX(Table3[[#All],[Age]],MATCH(Table5[[#This Row],[PID]],Table3[[#All],[PID]],0)))</f>
        <v>22</v>
      </c>
      <c r="H589" s="54" t="str">
        <f>IF($C589="B",INDEX(Batters[[#All],[B]],MATCH(Table5[[#This Row],[PID]],Batters[[#All],[PID]],0)),INDEX(Table3[[#All],[B]],MATCH(Table5[[#This Row],[PID]],Table3[[#All],[PID]],0)))</f>
        <v>R</v>
      </c>
      <c r="I589" s="54" t="str">
        <f>IF($C589="B",INDEX(Batters[[#All],[T]],MATCH(Table5[[#This Row],[PID]],Batters[[#All],[PID]],0)),INDEX(Table3[[#All],[T]],MATCH(Table5[[#This Row],[PID]],Table3[[#All],[PID]],0)))</f>
        <v>R</v>
      </c>
      <c r="J589" s="54" t="str">
        <f>IF($C589="B",INDEX(Batters[[#All],[WE]],MATCH(Table5[[#This Row],[PID]],Batters[[#All],[PID]],0)),INDEX(Table3[[#All],[WE]],MATCH(Table5[[#This Row],[PID]],Table3[[#All],[PID]],0)))</f>
        <v>Normal</v>
      </c>
      <c r="K589" s="54" t="str">
        <f>IF($C589="B",INDEX(Batters[[#All],[INT]],MATCH(Table5[[#This Row],[PID]],Batters[[#All],[PID]],0)),INDEX(Table3[[#All],[INT]],MATCH(Table5[[#This Row],[PID]],Table3[[#All],[PID]],0)))</f>
        <v>Normal</v>
      </c>
      <c r="L589" s="62">
        <f>IF($C589="B",INDEX(Batters[[#All],[CON P]],MATCH(Table5[[#This Row],[PID]],Batters[[#All],[PID]],0)),INDEX(Table3[[#All],[STU P]],MATCH(Table5[[#This Row],[PID]],Table3[[#All],[PID]],0)))</f>
        <v>4</v>
      </c>
      <c r="M589" s="58">
        <f>IF($C589="B",INDEX(Batters[[#All],[GAP P]],MATCH(Table5[[#This Row],[PID]],Batters[[#All],[PID]],0)),INDEX(Table3[[#All],[MOV P]],MATCH(Table5[[#This Row],[PID]],Table3[[#All],[PID]],0)))</f>
        <v>2</v>
      </c>
      <c r="N589" s="58">
        <f>IF($C589="B",INDEX(Batters[[#All],[POW P]],MATCH(Table5[[#This Row],[PID]],Batters[[#All],[PID]],0)),INDEX(Table3[[#All],[CON P]],MATCH(Table5[[#This Row],[PID]],Table3[[#All],[PID]],0)))</f>
        <v>3</v>
      </c>
      <c r="O589" s="58" t="str">
        <f>IF($C589="B",INDEX(Batters[[#All],[EYE P]],MATCH(Table5[[#This Row],[PID]],Batters[[#All],[PID]],0)),INDEX(Table3[[#All],[VELO]],MATCH(Table5[[#This Row],[PID]],Table3[[#All],[PID]],0)))</f>
        <v>89-91 Mph</v>
      </c>
      <c r="P589" s="58">
        <f>IF($C589="B",INDEX(Batters[[#All],[K P]],MATCH(Table5[[#This Row],[PID]],Batters[[#All],[PID]],0)),INDEX(Table3[[#All],[STM]],MATCH(Table5[[#This Row],[PID]],Table3[[#All],[PID]],0)))</f>
        <v>6</v>
      </c>
      <c r="Q589" s="63">
        <f>IF($C589="B",INDEX(Batters[[#All],[Tot]],MATCH(Table5[[#This Row],[PID]],Batters[[#All],[PID]],0)),INDEX(Table3[[#All],[Tot]],MATCH(Table5[[#This Row],[PID]],Table3[[#All],[PID]],0)))</f>
        <v>29.290822424907628</v>
      </c>
      <c r="R589" s="54">
        <f>IF($C589="B",INDEX(Batters[[#All],[zScore]],MATCH(Table5[[#This Row],[PID]],Batters[[#All],[PID]],0)),INDEX(Table3[[#All],[zScore]],MATCH(Table5[[#This Row],[PID]],Table3[[#All],[PID]],0)))</f>
        <v>-0.31467665318673937</v>
      </c>
      <c r="S589" s="60" t="str">
        <f>IF($C589="B",INDEX(Batters[[#All],[DEM]],MATCH(Table5[[#This Row],[PID]],Batters[[#All],[PID]],0)),INDEX(Table3[[#All],[DEM]],MATCH(Table5[[#This Row],[PID]],Table3[[#All],[PID]],0)))</f>
        <v>-</v>
      </c>
      <c r="T589" s="64">
        <f>IF($C589="B",VLOOKUP($A589,Bat!$A$4:$AU$1417,46,FALSE),VLOOKUP($A589,Pit!$A$4:$BD$570,55,FALSE))</f>
        <v>0</v>
      </c>
      <c r="U589" s="52">
        <f>IF($C589="B",VLOOKUP($A589,Bat!$A$4:$BA$1417,47,FALSE),VLOOKUP($A589,Pit!$A$4:$BF$570,56,FALSE))</f>
        <v>0</v>
      </c>
      <c r="V589" s="52">
        <f>IF($C589="B",VLOOKUP($A589,Bat!$A$4:$BA$1417,48,FALSE),VLOOKUP($A589,Pit!$A$4:$BF$570,57,FALSE))</f>
        <v>0</v>
      </c>
      <c r="W589" s="52">
        <f>Table5[[#This Row],[posRnk]]+Table5[[#This Row],[zRnk]]+IF($W$3&lt;&gt;Table5[[#This Row],[Type]],50,0)</f>
        <v>635</v>
      </c>
      <c r="X589" s="53">
        <f>RANK(Table5[[#This Row],[zScore]],Table5[[#All],[zScore]])</f>
        <v>585</v>
      </c>
      <c r="Y589" s="52" t="str">
        <f>IFERROR(INDEX(DraftResults[[#All],[OVR]],MATCH(Table5[[#This Row],[PID]],DraftResults[[#All],[Player ID]],0)),"")</f>
        <v/>
      </c>
      <c r="Z5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9" s="52" t="str">
        <f>IFERROR(INDEX(DraftResults[[#All],[Pick in Round]],MATCH(Table5[[#This Row],[PID]],DraftResults[[#All],[Player ID]],0)),"")</f>
        <v/>
      </c>
      <c r="AB589" s="52" t="str">
        <f>IFERROR(INDEX(DraftResults[[#All],[Team Name]],MATCH(Table5[[#This Row],[PID]],DraftResults[[#All],[Player ID]],0)),"")</f>
        <v/>
      </c>
      <c r="AC589" s="52" t="str">
        <f>IF(Table5[[#This Row],[Ovr]]="","",IF(Table5[[#This Row],[cmbList]]="","",Table5[[#This Row],[cmbList]]-Table5[[#This Row],[Ovr]]))</f>
        <v/>
      </c>
      <c r="AD589" s="56" t="str">
        <f>IF(ISERROR(VLOOKUP($AB589&amp;"-"&amp;$E589&amp;" "&amp;F589,Bonuses!$B$1:$G$1006,4,FALSE)),"",INT(VLOOKUP($AB589&amp;"-"&amp;$E589&amp;" "&amp;$F589,Bonuses!$B$1:$G$1006,4,FALSE)))</f>
        <v/>
      </c>
      <c r="AE5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0" spans="1:31" s="52" customFormat="1" x14ac:dyDescent="0.25">
      <c r="A590" s="52">
        <v>17595</v>
      </c>
      <c r="B590" s="52">
        <f>COUNTIF(Table5[PID],A590)</f>
        <v>1</v>
      </c>
      <c r="C590" s="52" t="str">
        <f>IF(COUNTIF(Table3[[#All],[PID]],A590)&gt;0,"P","B")</f>
        <v>P</v>
      </c>
      <c r="D590" s="61" t="str">
        <f>IF($C590="B",INDEX(Batters[[#All],[POS]],MATCH(Table5[[#This Row],[PID]],Batters[[#All],[PID]],0)),INDEX(Table3[[#All],[POS]],MATCH(Table5[[#This Row],[PID]],Table3[[#All],[PID]],0)))</f>
        <v>RP</v>
      </c>
      <c r="E590" s="54" t="str">
        <f>IF($C590="B",INDEX(Batters[[#All],[First]],MATCH(Table5[[#This Row],[PID]],Batters[[#All],[PID]],0)),INDEX(Table3[[#All],[First]],MATCH(Table5[[#This Row],[PID]],Table3[[#All],[PID]],0)))</f>
        <v>Raúl</v>
      </c>
      <c r="F590" s="52" t="str">
        <f>IF($C590="B",INDEX(Batters[[#All],[Last]],MATCH(A590,Batters[[#All],[PID]],0)),INDEX(Table3[[#All],[Last]],MATCH(A590,Table3[[#All],[PID]],0)))</f>
        <v>Pérez</v>
      </c>
      <c r="G590" s="58">
        <f>IF($C590="B",INDEX(Batters[[#All],[Age]],MATCH(Table5[[#This Row],[PID]],Batters[[#All],[PID]],0)),INDEX(Table3[[#All],[Age]],MATCH(Table5[[#This Row],[PID]],Table3[[#All],[PID]],0)))</f>
        <v>18</v>
      </c>
      <c r="H590" s="54" t="str">
        <f>IF($C590="B",INDEX(Batters[[#All],[B]],MATCH(Table5[[#This Row],[PID]],Batters[[#All],[PID]],0)),INDEX(Table3[[#All],[B]],MATCH(Table5[[#This Row],[PID]],Table3[[#All],[PID]],0)))</f>
        <v>L</v>
      </c>
      <c r="I590" s="54" t="str">
        <f>IF($C590="B",INDEX(Batters[[#All],[T]],MATCH(Table5[[#This Row],[PID]],Batters[[#All],[PID]],0)),INDEX(Table3[[#All],[T]],MATCH(Table5[[#This Row],[PID]],Table3[[#All],[PID]],0)))</f>
        <v>L</v>
      </c>
      <c r="J590" s="54" t="str">
        <f>IF($C590="B",INDEX(Batters[[#All],[WE]],MATCH(Table5[[#This Row],[PID]],Batters[[#All],[PID]],0)),INDEX(Table3[[#All],[WE]],MATCH(Table5[[#This Row],[PID]],Table3[[#All],[PID]],0)))</f>
        <v>Normal</v>
      </c>
      <c r="K590" s="54" t="str">
        <f>IF($C590="B",INDEX(Batters[[#All],[INT]],MATCH(Table5[[#This Row],[PID]],Batters[[#All],[PID]],0)),INDEX(Table3[[#All],[INT]],MATCH(Table5[[#This Row],[PID]],Table3[[#All],[PID]],0)))</f>
        <v>Normal</v>
      </c>
      <c r="L590" s="62">
        <f>IF($C590="B",INDEX(Batters[[#All],[CON P]],MATCH(Table5[[#This Row],[PID]],Batters[[#All],[PID]],0)),INDEX(Table3[[#All],[STU P]],MATCH(Table5[[#This Row],[PID]],Table3[[#All],[PID]],0)))</f>
        <v>4</v>
      </c>
      <c r="M590" s="58">
        <f>IF($C590="B",INDEX(Batters[[#All],[GAP P]],MATCH(Table5[[#This Row],[PID]],Batters[[#All],[PID]],0)),INDEX(Table3[[#All],[MOV P]],MATCH(Table5[[#This Row],[PID]],Table3[[#All],[PID]],0)))</f>
        <v>2</v>
      </c>
      <c r="N590" s="58">
        <f>IF($C590="B",INDEX(Batters[[#All],[POW P]],MATCH(Table5[[#This Row],[PID]],Batters[[#All],[PID]],0)),INDEX(Table3[[#All],[CON P]],MATCH(Table5[[#This Row],[PID]],Table3[[#All],[PID]],0)))</f>
        <v>2</v>
      </c>
      <c r="O590" s="58" t="str">
        <f>IF($C590="B",INDEX(Batters[[#All],[EYE P]],MATCH(Table5[[#This Row],[PID]],Batters[[#All],[PID]],0)),INDEX(Table3[[#All],[VELO]],MATCH(Table5[[#This Row],[PID]],Table3[[#All],[PID]],0)))</f>
        <v>89-91 Mph</v>
      </c>
      <c r="P590" s="58">
        <f>IF($C590="B",INDEX(Batters[[#All],[K P]],MATCH(Table5[[#This Row],[PID]],Batters[[#All],[PID]],0)),INDEX(Table3[[#All],[STM]],MATCH(Table5[[#This Row],[PID]],Table3[[#All],[PID]],0)))</f>
        <v>6</v>
      </c>
      <c r="Q590" s="63">
        <f>IF($C590="B",INDEX(Batters[[#All],[Tot]],MATCH(Table5[[#This Row],[PID]],Batters[[#All],[PID]],0)),INDEX(Table3[[#All],[Tot]],MATCH(Table5[[#This Row],[PID]],Table3[[#All],[PID]],0)))</f>
        <v>29.283101557812088</v>
      </c>
      <c r="R590" s="54">
        <f>IF($C590="B",INDEX(Batters[[#All],[zScore]],MATCH(Table5[[#This Row],[PID]],Batters[[#All],[PID]],0)),INDEX(Table3[[#All],[zScore]],MATCH(Table5[[#This Row],[PID]],Table3[[#All],[PID]],0)))</f>
        <v>-0.31538468969907985</v>
      </c>
      <c r="S590" s="60" t="str">
        <f>IF($C590="B",INDEX(Batters[[#All],[DEM]],MATCH(Table5[[#This Row],[PID]],Batters[[#All],[PID]],0)),INDEX(Table3[[#All],[DEM]],MATCH(Table5[[#This Row],[PID]],Table3[[#All],[PID]],0)))</f>
        <v>$90k</v>
      </c>
      <c r="T590" s="64">
        <f>IF($C590="B",VLOOKUP($A590,Bat!$A$4:$AU$1417,46,FALSE),VLOOKUP($A590,Pit!$A$4:$BD$570,55,FALSE))</f>
        <v>0</v>
      </c>
      <c r="U590" s="52">
        <f>IF($C590="B",VLOOKUP($A590,Bat!$A$4:$BA$1417,47,FALSE),VLOOKUP($A590,Pit!$A$4:$BF$570,56,FALSE))</f>
        <v>0</v>
      </c>
      <c r="V590" s="52">
        <f>IF($C590="B",VLOOKUP($A590,Bat!$A$4:$BA$1417,48,FALSE),VLOOKUP($A590,Pit!$A$4:$BF$570,57,FALSE))</f>
        <v>0</v>
      </c>
      <c r="W590" s="52">
        <f>Table5[[#This Row],[posRnk]]+Table5[[#This Row],[zRnk]]+IF($W$3&lt;&gt;Table5[[#This Row],[Type]],50,0)</f>
        <v>636</v>
      </c>
      <c r="X590" s="53">
        <f>RANK(Table5[[#This Row],[zScore]],Table5[[#All],[zScore]])</f>
        <v>586</v>
      </c>
      <c r="Y590" s="52" t="str">
        <f>IFERROR(INDEX(DraftResults[[#All],[OVR]],MATCH(Table5[[#This Row],[PID]],DraftResults[[#All],[Player ID]],0)),"")</f>
        <v/>
      </c>
      <c r="Z5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0" s="52" t="str">
        <f>IFERROR(INDEX(DraftResults[[#All],[Pick in Round]],MATCH(Table5[[#This Row],[PID]],DraftResults[[#All],[Player ID]],0)),"")</f>
        <v/>
      </c>
      <c r="AB590" s="52" t="str">
        <f>IFERROR(INDEX(DraftResults[[#All],[Team Name]],MATCH(Table5[[#This Row],[PID]],DraftResults[[#All],[Player ID]],0)),"")</f>
        <v/>
      </c>
      <c r="AC590" s="52" t="str">
        <f>IF(Table5[[#This Row],[Ovr]]="","",IF(Table5[[#This Row],[cmbList]]="","",Table5[[#This Row],[cmbList]]-Table5[[#This Row],[Ovr]]))</f>
        <v/>
      </c>
      <c r="AD590" s="56" t="str">
        <f>IF(ISERROR(VLOOKUP($AB590&amp;"-"&amp;$E590&amp;" "&amp;F590,Bonuses!$B$1:$G$1006,4,FALSE)),"",INT(VLOOKUP($AB590&amp;"-"&amp;$E590&amp;" "&amp;$F590,Bonuses!$B$1:$G$1006,4,FALSE)))</f>
        <v/>
      </c>
      <c r="AE5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1" spans="1:31" s="52" customFormat="1" x14ac:dyDescent="0.25">
      <c r="A591" s="52">
        <v>17598</v>
      </c>
      <c r="B591" s="52">
        <f>COUNTIF(Table5[PID],A591)</f>
        <v>1</v>
      </c>
      <c r="C591" s="52" t="str">
        <f>IF(COUNTIF(Table3[[#All],[PID]],A591)&gt;0,"P","B")</f>
        <v>P</v>
      </c>
      <c r="D591" s="61" t="str">
        <f>IF($C591="B",INDEX(Batters[[#All],[POS]],MATCH(Table5[[#This Row],[PID]],Batters[[#All],[PID]],0)),INDEX(Table3[[#All],[POS]],MATCH(Table5[[#This Row],[PID]],Table3[[#All],[PID]],0)))</f>
        <v>RP</v>
      </c>
      <c r="E591" s="54" t="str">
        <f>IF($C591="B",INDEX(Batters[[#All],[First]],MATCH(Table5[[#This Row],[PID]],Batters[[#All],[PID]],0)),INDEX(Table3[[#All],[First]],MATCH(Table5[[#This Row],[PID]],Table3[[#All],[PID]],0)))</f>
        <v>Ryan</v>
      </c>
      <c r="F591" s="52" t="str">
        <f>IF($C591="B",INDEX(Batters[[#All],[Last]],MATCH(A591,Batters[[#All],[PID]],0)),INDEX(Table3[[#All],[Last]],MATCH(A591,Table3[[#All],[PID]],0)))</f>
        <v>Koch</v>
      </c>
      <c r="G591" s="58">
        <f>IF($C591="B",INDEX(Batters[[#All],[Age]],MATCH(Table5[[#This Row],[PID]],Batters[[#All],[PID]],0)),INDEX(Table3[[#All],[Age]],MATCH(Table5[[#This Row],[PID]],Table3[[#All],[PID]],0)))</f>
        <v>18</v>
      </c>
      <c r="H591" s="54" t="str">
        <f>IF($C591="B",INDEX(Batters[[#All],[B]],MATCH(Table5[[#This Row],[PID]],Batters[[#All],[PID]],0)),INDEX(Table3[[#All],[B]],MATCH(Table5[[#This Row],[PID]],Table3[[#All],[PID]],0)))</f>
        <v>L</v>
      </c>
      <c r="I591" s="54" t="str">
        <f>IF($C591="B",INDEX(Batters[[#All],[T]],MATCH(Table5[[#This Row],[PID]],Batters[[#All],[PID]],0)),INDEX(Table3[[#All],[T]],MATCH(Table5[[#This Row],[PID]],Table3[[#All],[PID]],0)))</f>
        <v>L</v>
      </c>
      <c r="J591" s="54" t="str">
        <f>IF($C591="B",INDEX(Batters[[#All],[WE]],MATCH(Table5[[#This Row],[PID]],Batters[[#All],[PID]],0)),INDEX(Table3[[#All],[WE]],MATCH(Table5[[#This Row],[PID]],Table3[[#All],[PID]],0)))</f>
        <v>Low</v>
      </c>
      <c r="K591" s="54" t="str">
        <f>IF($C591="B",INDEX(Batters[[#All],[INT]],MATCH(Table5[[#This Row],[PID]],Batters[[#All],[PID]],0)),INDEX(Table3[[#All],[INT]],MATCH(Table5[[#This Row],[PID]],Table3[[#All],[PID]],0)))</f>
        <v>Normal</v>
      </c>
      <c r="L591" s="62">
        <f>IF($C591="B",INDEX(Batters[[#All],[CON P]],MATCH(Table5[[#This Row],[PID]],Batters[[#All],[PID]],0)),INDEX(Table3[[#All],[STU P]],MATCH(Table5[[#This Row],[PID]],Table3[[#All],[PID]],0)))</f>
        <v>4</v>
      </c>
      <c r="M591" s="58">
        <f>IF($C591="B",INDEX(Batters[[#All],[GAP P]],MATCH(Table5[[#This Row],[PID]],Batters[[#All],[PID]],0)),INDEX(Table3[[#All],[MOV P]],MATCH(Table5[[#This Row],[PID]],Table3[[#All],[PID]],0)))</f>
        <v>2</v>
      </c>
      <c r="N591" s="58">
        <f>IF($C591="B",INDEX(Batters[[#All],[POW P]],MATCH(Table5[[#This Row],[PID]],Batters[[#All],[PID]],0)),INDEX(Table3[[#All],[CON P]],MATCH(Table5[[#This Row],[PID]],Table3[[#All],[PID]],0)))</f>
        <v>2</v>
      </c>
      <c r="O591" s="58" t="str">
        <f>IF($C591="B",INDEX(Batters[[#All],[EYE P]],MATCH(Table5[[#This Row],[PID]],Batters[[#All],[PID]],0)),INDEX(Table3[[#All],[VELO]],MATCH(Table5[[#This Row],[PID]],Table3[[#All],[PID]],0)))</f>
        <v>87-89 Mph</v>
      </c>
      <c r="P591" s="58">
        <f>IF($C591="B",INDEX(Batters[[#All],[K P]],MATCH(Table5[[#This Row],[PID]],Batters[[#All],[PID]],0)),INDEX(Table3[[#All],[STM]],MATCH(Table5[[#This Row],[PID]],Table3[[#All],[PID]],0)))</f>
        <v>10</v>
      </c>
      <c r="Q591" s="63">
        <f>IF($C591="B",INDEX(Batters[[#All],[Tot]],MATCH(Table5[[#This Row],[PID]],Batters[[#All],[PID]],0)),INDEX(Table3[[#All],[Tot]],MATCH(Table5[[#This Row],[PID]],Table3[[#All],[PID]],0)))</f>
        <v>29.265524871315691</v>
      </c>
      <c r="R591" s="54">
        <f>IF($C591="B",INDEX(Batters[[#All],[zScore]],MATCH(Table5[[#This Row],[PID]],Batters[[#All],[PID]],0)),INDEX(Table3[[#All],[zScore]],MATCH(Table5[[#This Row],[PID]],Table3[[#All],[PID]],0)))</f>
        <v>-0.31699654697513646</v>
      </c>
      <c r="S591" s="60" t="str">
        <f>IF($C591="B",INDEX(Batters[[#All],[DEM]],MATCH(Table5[[#This Row],[PID]],Batters[[#All],[PID]],0)),INDEX(Table3[[#All],[DEM]],MATCH(Table5[[#This Row],[PID]],Table3[[#All],[PID]],0)))</f>
        <v>$95k</v>
      </c>
      <c r="T591" s="64">
        <f>IF($C591="B",VLOOKUP($A591,Bat!$A$4:$AU$1417,46,FALSE),VLOOKUP($A591,Pit!$A$4:$BD$570,55,FALSE))</f>
        <v>0</v>
      </c>
      <c r="U591" s="52">
        <f>IF($C591="B",VLOOKUP($A591,Bat!$A$4:$BA$1417,47,FALSE),VLOOKUP($A591,Pit!$A$4:$BF$570,56,FALSE))</f>
        <v>0</v>
      </c>
      <c r="V591" s="52">
        <f>IF($C591="B",VLOOKUP($A591,Bat!$A$4:$BA$1417,48,FALSE),VLOOKUP($A591,Pit!$A$4:$BF$570,57,FALSE))</f>
        <v>0</v>
      </c>
      <c r="W591" s="52">
        <f>Table5[[#This Row],[posRnk]]+Table5[[#This Row],[zRnk]]+IF($W$3&lt;&gt;Table5[[#This Row],[Type]],50,0)</f>
        <v>637</v>
      </c>
      <c r="X591" s="53">
        <f>RANK(Table5[[#This Row],[zScore]],Table5[[#All],[zScore]])</f>
        <v>587</v>
      </c>
      <c r="Y591" s="52" t="str">
        <f>IFERROR(INDEX(DraftResults[[#All],[OVR]],MATCH(Table5[[#This Row],[PID]],DraftResults[[#All],[Player ID]],0)),"")</f>
        <v/>
      </c>
      <c r="Z5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1" s="52" t="str">
        <f>IFERROR(INDEX(DraftResults[[#All],[Pick in Round]],MATCH(Table5[[#This Row],[PID]],DraftResults[[#All],[Player ID]],0)),"")</f>
        <v/>
      </c>
      <c r="AB591" s="52" t="str">
        <f>IFERROR(INDEX(DraftResults[[#All],[Team Name]],MATCH(Table5[[#This Row],[PID]],DraftResults[[#All],[Player ID]],0)),"")</f>
        <v/>
      </c>
      <c r="AC591" s="52" t="str">
        <f>IF(Table5[[#This Row],[Ovr]]="","",IF(Table5[[#This Row],[cmbList]]="","",Table5[[#This Row],[cmbList]]-Table5[[#This Row],[Ovr]]))</f>
        <v/>
      </c>
      <c r="AD591" s="56" t="str">
        <f>IF(ISERROR(VLOOKUP($AB591&amp;"-"&amp;$E591&amp;" "&amp;F591,Bonuses!$B$1:$G$1006,4,FALSE)),"",INT(VLOOKUP($AB591&amp;"-"&amp;$E591&amp;" "&amp;$F591,Bonuses!$B$1:$G$1006,4,FALSE)))</f>
        <v/>
      </c>
      <c r="AE5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2" spans="1:31" s="52" customFormat="1" x14ac:dyDescent="0.25">
      <c r="A592" s="52">
        <v>17644</v>
      </c>
      <c r="B592" s="52">
        <f>COUNTIF(Table5[PID],A592)</f>
        <v>1</v>
      </c>
      <c r="C592" s="52" t="str">
        <f>IF(COUNTIF(Table3[[#All],[PID]],A592)&gt;0,"P","B")</f>
        <v>P</v>
      </c>
      <c r="D592" s="61" t="str">
        <f>IF($C592="B",INDEX(Batters[[#All],[POS]],MATCH(Table5[[#This Row],[PID]],Batters[[#All],[PID]],0)),INDEX(Table3[[#All],[POS]],MATCH(Table5[[#This Row],[PID]],Table3[[#All],[PID]],0)))</f>
        <v>RP</v>
      </c>
      <c r="E592" s="54" t="str">
        <f>IF($C592="B",INDEX(Batters[[#All],[First]],MATCH(Table5[[#This Row],[PID]],Batters[[#All],[PID]],0)),INDEX(Table3[[#All],[First]],MATCH(Table5[[#This Row],[PID]],Table3[[#All],[PID]],0)))</f>
        <v>Dave</v>
      </c>
      <c r="F592" s="52" t="str">
        <f>IF($C592="B",INDEX(Batters[[#All],[Last]],MATCH(A592,Batters[[#All],[PID]],0)),INDEX(Table3[[#All],[Last]],MATCH(A592,Table3[[#All],[PID]],0)))</f>
        <v>Lawson</v>
      </c>
      <c r="G592" s="58">
        <f>IF($C592="B",INDEX(Batters[[#All],[Age]],MATCH(Table5[[#This Row],[PID]],Batters[[#All],[PID]],0)),INDEX(Table3[[#All],[Age]],MATCH(Table5[[#This Row],[PID]],Table3[[#All],[PID]],0)))</f>
        <v>18</v>
      </c>
      <c r="H592" s="54" t="str">
        <f>IF($C592="B",INDEX(Batters[[#All],[B]],MATCH(Table5[[#This Row],[PID]],Batters[[#All],[PID]],0)),INDEX(Table3[[#All],[B]],MATCH(Table5[[#This Row],[PID]],Table3[[#All],[PID]],0)))</f>
        <v>S</v>
      </c>
      <c r="I592" s="54" t="str">
        <f>IF($C592="B",INDEX(Batters[[#All],[T]],MATCH(Table5[[#This Row],[PID]],Batters[[#All],[PID]],0)),INDEX(Table3[[#All],[T]],MATCH(Table5[[#This Row],[PID]],Table3[[#All],[PID]],0)))</f>
        <v>R</v>
      </c>
      <c r="J592" s="54" t="str">
        <f>IF($C592="B",INDEX(Batters[[#All],[WE]],MATCH(Table5[[#This Row],[PID]],Batters[[#All],[PID]],0)),INDEX(Table3[[#All],[WE]],MATCH(Table5[[#This Row],[PID]],Table3[[#All],[PID]],0)))</f>
        <v>Low</v>
      </c>
      <c r="K592" s="54" t="str">
        <f>IF($C592="B",INDEX(Batters[[#All],[INT]],MATCH(Table5[[#This Row],[PID]],Batters[[#All],[PID]],0)),INDEX(Table3[[#All],[INT]],MATCH(Table5[[#This Row],[PID]],Table3[[#All],[PID]],0)))</f>
        <v>Normal</v>
      </c>
      <c r="L592" s="62">
        <f>IF($C592="B",INDEX(Batters[[#All],[CON P]],MATCH(Table5[[#This Row],[PID]],Batters[[#All],[PID]],0)),INDEX(Table3[[#All],[STU P]],MATCH(Table5[[#This Row],[PID]],Table3[[#All],[PID]],0)))</f>
        <v>4</v>
      </c>
      <c r="M592" s="58">
        <f>IF($C592="B",INDEX(Batters[[#All],[GAP P]],MATCH(Table5[[#This Row],[PID]],Batters[[#All],[PID]],0)),INDEX(Table3[[#All],[MOV P]],MATCH(Table5[[#This Row],[PID]],Table3[[#All],[PID]],0)))</f>
        <v>2</v>
      </c>
      <c r="N592" s="58">
        <f>IF($C592="B",INDEX(Batters[[#All],[POW P]],MATCH(Table5[[#This Row],[PID]],Batters[[#All],[PID]],0)),INDEX(Table3[[#All],[CON P]],MATCH(Table5[[#This Row],[PID]],Table3[[#All],[PID]],0)))</f>
        <v>2</v>
      </c>
      <c r="O592" s="58" t="str">
        <f>IF($C592="B",INDEX(Batters[[#All],[EYE P]],MATCH(Table5[[#This Row],[PID]],Batters[[#All],[PID]],0)),INDEX(Table3[[#All],[VELO]],MATCH(Table5[[#This Row],[PID]],Table3[[#All],[PID]],0)))</f>
        <v>89-91 Mph</v>
      </c>
      <c r="P592" s="58">
        <f>IF($C592="B",INDEX(Batters[[#All],[K P]],MATCH(Table5[[#This Row],[PID]],Batters[[#All],[PID]],0)),INDEX(Table3[[#All],[STM]],MATCH(Table5[[#This Row],[PID]],Table3[[#All],[PID]],0)))</f>
        <v>7</v>
      </c>
      <c r="Q592" s="63">
        <f>IF($C592="B",INDEX(Batters[[#All],[Tot]],MATCH(Table5[[#This Row],[PID]],Batters[[#All],[PID]],0)),INDEX(Table3[[#All],[Tot]],MATCH(Table5[[#This Row],[PID]],Table3[[#All],[PID]],0)))</f>
        <v>29.265376792931512</v>
      </c>
      <c r="R592" s="54">
        <f>IF($C592="B",INDEX(Batters[[#All],[zScore]],MATCH(Table5[[#This Row],[PID]],Batters[[#All],[PID]],0)),INDEX(Table3[[#All],[zScore]],MATCH(Table5[[#This Row],[PID]],Table3[[#All],[PID]],0)))</f>
        <v>-0.31701012639586595</v>
      </c>
      <c r="S592" s="60" t="str">
        <f>IF($C592="B",INDEX(Batters[[#All],[DEM]],MATCH(Table5[[#This Row],[PID]],Batters[[#All],[PID]],0)),INDEX(Table3[[#All],[DEM]],MATCH(Table5[[#This Row],[PID]],Table3[[#All],[PID]],0)))</f>
        <v>$75k</v>
      </c>
      <c r="T592" s="64">
        <f>IF($C592="B",VLOOKUP($A592,Bat!$A$4:$AU$1417,46,FALSE),VLOOKUP($A592,Pit!$A$4:$BD$570,55,FALSE))</f>
        <v>0</v>
      </c>
      <c r="U592" s="52">
        <f>IF($C592="B",VLOOKUP($A592,Bat!$A$4:$BA$1417,47,FALSE),VLOOKUP($A592,Pit!$A$4:$BF$570,56,FALSE))</f>
        <v>0</v>
      </c>
      <c r="V592" s="52">
        <f>IF($C592="B",VLOOKUP($A592,Bat!$A$4:$BA$1417,48,FALSE),VLOOKUP($A592,Pit!$A$4:$BF$570,57,FALSE))</f>
        <v>0</v>
      </c>
      <c r="W592" s="52">
        <f>Table5[[#This Row],[posRnk]]+Table5[[#This Row],[zRnk]]+IF($W$3&lt;&gt;Table5[[#This Row],[Type]],50,0)</f>
        <v>638</v>
      </c>
      <c r="X592" s="53">
        <f>RANK(Table5[[#This Row],[zScore]],Table5[[#All],[zScore]])</f>
        <v>588</v>
      </c>
      <c r="Y592" s="52" t="str">
        <f>IFERROR(INDEX(DraftResults[[#All],[OVR]],MATCH(Table5[[#This Row],[PID]],DraftResults[[#All],[Player ID]],0)),"")</f>
        <v/>
      </c>
      <c r="Z5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2" s="52" t="str">
        <f>IFERROR(INDEX(DraftResults[[#All],[Pick in Round]],MATCH(Table5[[#This Row],[PID]],DraftResults[[#All],[Player ID]],0)),"")</f>
        <v/>
      </c>
      <c r="AB592" s="52" t="str">
        <f>IFERROR(INDEX(DraftResults[[#All],[Team Name]],MATCH(Table5[[#This Row],[PID]],DraftResults[[#All],[Player ID]],0)),"")</f>
        <v/>
      </c>
      <c r="AC592" s="52" t="str">
        <f>IF(Table5[[#This Row],[Ovr]]="","",IF(Table5[[#This Row],[cmbList]]="","",Table5[[#This Row],[cmbList]]-Table5[[#This Row],[Ovr]]))</f>
        <v/>
      </c>
      <c r="AD592" s="56" t="str">
        <f>IF(ISERROR(VLOOKUP($AB592&amp;"-"&amp;$E592&amp;" "&amp;F592,Bonuses!$B$1:$G$1006,4,FALSE)),"",INT(VLOOKUP($AB592&amp;"-"&amp;$E592&amp;" "&amp;$F592,Bonuses!$B$1:$G$1006,4,FALSE)))</f>
        <v/>
      </c>
      <c r="AE5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3" spans="1:31" s="52" customFormat="1" x14ac:dyDescent="0.25">
      <c r="A593" s="52">
        <v>8958</v>
      </c>
      <c r="B593" s="52">
        <f>COUNTIF(Table5[PID],A593)</f>
        <v>1</v>
      </c>
      <c r="C593" s="52" t="str">
        <f>IF(COUNTIF(Table3[[#All],[PID]],A593)&gt;0,"P","B")</f>
        <v>P</v>
      </c>
      <c r="D593" s="61" t="str">
        <f>IF($C593="B",INDEX(Batters[[#All],[POS]],MATCH(Table5[[#This Row],[PID]],Batters[[#All],[PID]],0)),INDEX(Table3[[#All],[POS]],MATCH(Table5[[#This Row],[PID]],Table3[[#All],[PID]],0)))</f>
        <v>RP</v>
      </c>
      <c r="E593" s="54" t="str">
        <f>IF($C593="B",INDEX(Batters[[#All],[First]],MATCH(Table5[[#This Row],[PID]],Batters[[#All],[PID]],0)),INDEX(Table3[[#All],[First]],MATCH(Table5[[#This Row],[PID]],Table3[[#All],[PID]],0)))</f>
        <v>Jonathan</v>
      </c>
      <c r="F593" s="52" t="str">
        <f>IF($C593="B",INDEX(Batters[[#All],[Last]],MATCH(A593,Batters[[#All],[PID]],0)),INDEX(Table3[[#All],[Last]],MATCH(A593,Table3[[#All],[PID]],0)))</f>
        <v>Walter</v>
      </c>
      <c r="G593" s="58">
        <f>IF($C593="B",INDEX(Batters[[#All],[Age]],MATCH(Table5[[#This Row],[PID]],Batters[[#All],[PID]],0)),INDEX(Table3[[#All],[Age]],MATCH(Table5[[#This Row],[PID]],Table3[[#All],[PID]],0)))</f>
        <v>18</v>
      </c>
      <c r="H593" s="54" t="str">
        <f>IF($C593="B",INDEX(Batters[[#All],[B]],MATCH(Table5[[#This Row],[PID]],Batters[[#All],[PID]],0)),INDEX(Table3[[#All],[B]],MATCH(Table5[[#This Row],[PID]],Table3[[#All],[PID]],0)))</f>
        <v>L</v>
      </c>
      <c r="I593" s="54" t="str">
        <f>IF($C593="B",INDEX(Batters[[#All],[T]],MATCH(Table5[[#This Row],[PID]],Batters[[#All],[PID]],0)),INDEX(Table3[[#All],[T]],MATCH(Table5[[#This Row],[PID]],Table3[[#All],[PID]],0)))</f>
        <v>L</v>
      </c>
      <c r="J593" s="54" t="str">
        <f>IF($C593="B",INDEX(Batters[[#All],[WE]],MATCH(Table5[[#This Row],[PID]],Batters[[#All],[PID]],0)),INDEX(Table3[[#All],[WE]],MATCH(Table5[[#This Row],[PID]],Table3[[#All],[PID]],0)))</f>
        <v>Normal</v>
      </c>
      <c r="K593" s="54" t="str">
        <f>IF($C593="B",INDEX(Batters[[#All],[INT]],MATCH(Table5[[#This Row],[PID]],Batters[[#All],[PID]],0)),INDEX(Table3[[#All],[INT]],MATCH(Table5[[#This Row],[PID]],Table3[[#All],[PID]],0)))</f>
        <v>Low</v>
      </c>
      <c r="L593" s="62">
        <f>IF($C593="B",INDEX(Batters[[#All],[CON P]],MATCH(Table5[[#This Row],[PID]],Batters[[#All],[PID]],0)),INDEX(Table3[[#All],[STU P]],MATCH(Table5[[#This Row],[PID]],Table3[[#All],[PID]],0)))</f>
        <v>4</v>
      </c>
      <c r="M593" s="58">
        <f>IF($C593="B",INDEX(Batters[[#All],[GAP P]],MATCH(Table5[[#This Row],[PID]],Batters[[#All],[PID]],0)),INDEX(Table3[[#All],[MOV P]],MATCH(Table5[[#This Row],[PID]],Table3[[#All],[PID]],0)))</f>
        <v>2</v>
      </c>
      <c r="N593" s="58">
        <f>IF($C593="B",INDEX(Batters[[#All],[POW P]],MATCH(Table5[[#This Row],[PID]],Batters[[#All],[PID]],0)),INDEX(Table3[[#All],[CON P]],MATCH(Table5[[#This Row],[PID]],Table3[[#All],[PID]],0)))</f>
        <v>2</v>
      </c>
      <c r="O593" s="58" t="str">
        <f>IF($C593="B",INDEX(Batters[[#All],[EYE P]],MATCH(Table5[[#This Row],[PID]],Batters[[#All],[PID]],0)),INDEX(Table3[[#All],[VELO]],MATCH(Table5[[#This Row],[PID]],Table3[[#All],[PID]],0)))</f>
        <v>93-95 Mph</v>
      </c>
      <c r="P593" s="58">
        <f>IF($C593="B",INDEX(Batters[[#All],[K P]],MATCH(Table5[[#This Row],[PID]],Batters[[#All],[PID]],0)),INDEX(Table3[[#All],[STM]],MATCH(Table5[[#This Row],[PID]],Table3[[#All],[PID]],0)))</f>
        <v>7</v>
      </c>
      <c r="Q593" s="63">
        <f>IF($C593="B",INDEX(Batters[[#All],[Tot]],MATCH(Table5[[#This Row],[PID]],Batters[[#All],[PID]],0)),INDEX(Table3[[#All],[Tot]],MATCH(Table5[[#This Row],[PID]],Table3[[#All],[PID]],0)))</f>
        <v>29.256922934279185</v>
      </c>
      <c r="R593" s="54">
        <f>IF($C593="B",INDEX(Batters[[#All],[zScore]],MATCH(Table5[[#This Row],[PID]],Batters[[#All],[PID]],0)),INDEX(Table3[[#All],[zScore]],MATCH(Table5[[#This Row],[PID]],Table3[[#All],[PID]],0)))</f>
        <v>-0.31778538136683565</v>
      </c>
      <c r="S593" s="60" t="str">
        <f>IF($C593="B",INDEX(Batters[[#All],[DEM]],MATCH(Table5[[#This Row],[PID]],Batters[[#All],[PID]],0)),INDEX(Table3[[#All],[DEM]],MATCH(Table5[[#This Row],[PID]],Table3[[#All],[PID]],0)))</f>
        <v>$95k</v>
      </c>
      <c r="T593" s="64">
        <f>IF($C593="B",VLOOKUP($A593,Bat!$A$4:$AU$1417,46,FALSE),VLOOKUP($A593,Pit!$A$4:$BD$570,55,FALSE))</f>
        <v>0</v>
      </c>
      <c r="U593" s="52">
        <f>IF($C593="B",VLOOKUP($A593,Bat!$A$4:$BA$1417,47,FALSE),VLOOKUP($A593,Pit!$A$4:$BF$570,56,FALSE))</f>
        <v>0</v>
      </c>
      <c r="V593" s="52">
        <f>IF($C593="B",VLOOKUP($A593,Bat!$A$4:$BA$1417,48,FALSE),VLOOKUP($A593,Pit!$A$4:$BF$570,57,FALSE))</f>
        <v>0</v>
      </c>
      <c r="W593" s="52">
        <f>Table5[[#This Row],[posRnk]]+Table5[[#This Row],[zRnk]]+IF($W$3&lt;&gt;Table5[[#This Row],[Type]],50,0)</f>
        <v>639</v>
      </c>
      <c r="X593" s="53">
        <f>RANK(Table5[[#This Row],[zScore]],Table5[[#All],[zScore]])</f>
        <v>589</v>
      </c>
      <c r="Y593" s="52" t="str">
        <f>IFERROR(INDEX(DraftResults[[#All],[OVR]],MATCH(Table5[[#This Row],[PID]],DraftResults[[#All],[Player ID]],0)),"")</f>
        <v/>
      </c>
      <c r="Z5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3" s="52" t="str">
        <f>IFERROR(INDEX(DraftResults[[#All],[Pick in Round]],MATCH(Table5[[#This Row],[PID]],DraftResults[[#All],[Player ID]],0)),"")</f>
        <v/>
      </c>
      <c r="AB593" s="52" t="str">
        <f>IFERROR(INDEX(DraftResults[[#All],[Team Name]],MATCH(Table5[[#This Row],[PID]],DraftResults[[#All],[Player ID]],0)),"")</f>
        <v/>
      </c>
      <c r="AC593" s="52" t="str">
        <f>IF(Table5[[#This Row],[Ovr]]="","",IF(Table5[[#This Row],[cmbList]]="","",Table5[[#This Row],[cmbList]]-Table5[[#This Row],[Ovr]]))</f>
        <v/>
      </c>
      <c r="AD593" s="56" t="str">
        <f>IF(ISERROR(VLOOKUP($AB593&amp;"-"&amp;$E593&amp;" "&amp;F593,Bonuses!$B$1:$G$1006,4,FALSE)),"",INT(VLOOKUP($AB593&amp;"-"&amp;$E593&amp;" "&amp;$F593,Bonuses!$B$1:$G$1006,4,FALSE)))</f>
        <v/>
      </c>
      <c r="AE5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4" spans="1:31" s="52" customFormat="1" x14ac:dyDescent="0.25">
      <c r="A594" s="52">
        <v>8666</v>
      </c>
      <c r="B594" s="52">
        <f>COUNTIF(Table5[PID],A594)</f>
        <v>1</v>
      </c>
      <c r="C594" s="52" t="str">
        <f>IF(COUNTIF(Table3[[#All],[PID]],A594)&gt;0,"P","B")</f>
        <v>P</v>
      </c>
      <c r="D594" s="61" t="str">
        <f>IF($C594="B",INDEX(Batters[[#All],[POS]],MATCH(Table5[[#This Row],[PID]],Batters[[#All],[PID]],0)),INDEX(Table3[[#All],[POS]],MATCH(Table5[[#This Row],[PID]],Table3[[#All],[PID]],0)))</f>
        <v>RP</v>
      </c>
      <c r="E594" s="54" t="str">
        <f>IF($C594="B",INDEX(Batters[[#All],[First]],MATCH(Table5[[#This Row],[PID]],Batters[[#All],[PID]],0)),INDEX(Table3[[#All],[First]],MATCH(Table5[[#This Row],[PID]],Table3[[#All],[PID]],0)))</f>
        <v>Tim</v>
      </c>
      <c r="F594" s="52" t="str">
        <f>IF($C594="B",INDEX(Batters[[#All],[Last]],MATCH(A594,Batters[[#All],[PID]],0)),INDEX(Table3[[#All],[Last]],MATCH(A594,Table3[[#All],[PID]],0)))</f>
        <v>Hill</v>
      </c>
      <c r="G594" s="58">
        <f>IF($C594="B",INDEX(Batters[[#All],[Age]],MATCH(Table5[[#This Row],[PID]],Batters[[#All],[PID]],0)),INDEX(Table3[[#All],[Age]],MATCH(Table5[[#This Row],[PID]],Table3[[#All],[PID]],0)))</f>
        <v>18</v>
      </c>
      <c r="H594" s="54" t="str">
        <f>IF($C594="B",INDEX(Batters[[#All],[B]],MATCH(Table5[[#This Row],[PID]],Batters[[#All],[PID]],0)),INDEX(Table3[[#All],[B]],MATCH(Table5[[#This Row],[PID]],Table3[[#All],[PID]],0)))</f>
        <v>S</v>
      </c>
      <c r="I594" s="54" t="str">
        <f>IF($C594="B",INDEX(Batters[[#All],[T]],MATCH(Table5[[#This Row],[PID]],Batters[[#All],[PID]],0)),INDEX(Table3[[#All],[T]],MATCH(Table5[[#This Row],[PID]],Table3[[#All],[PID]],0)))</f>
        <v>L</v>
      </c>
      <c r="J594" s="54" t="str">
        <f>IF($C594="B",INDEX(Batters[[#All],[WE]],MATCH(Table5[[#This Row],[PID]],Batters[[#All],[PID]],0)),INDEX(Table3[[#All],[WE]],MATCH(Table5[[#This Row],[PID]],Table3[[#All],[PID]],0)))</f>
        <v>Low</v>
      </c>
      <c r="K594" s="54" t="str">
        <f>IF($C594="B",INDEX(Batters[[#All],[INT]],MATCH(Table5[[#This Row],[PID]],Batters[[#All],[PID]],0)),INDEX(Table3[[#All],[INT]],MATCH(Table5[[#This Row],[PID]],Table3[[#All],[PID]],0)))</f>
        <v>Normal</v>
      </c>
      <c r="L594" s="62">
        <f>IF($C594="B",INDEX(Batters[[#All],[CON P]],MATCH(Table5[[#This Row],[PID]],Batters[[#All],[PID]],0)),INDEX(Table3[[#All],[STU P]],MATCH(Table5[[#This Row],[PID]],Table3[[#All],[PID]],0)))</f>
        <v>2</v>
      </c>
      <c r="M594" s="58">
        <f>IF($C594="B",INDEX(Batters[[#All],[GAP P]],MATCH(Table5[[#This Row],[PID]],Batters[[#All],[PID]],0)),INDEX(Table3[[#All],[MOV P]],MATCH(Table5[[#This Row],[PID]],Table3[[#All],[PID]],0)))</f>
        <v>2</v>
      </c>
      <c r="N594" s="58">
        <f>IF($C594="B",INDEX(Batters[[#All],[POW P]],MATCH(Table5[[#This Row],[PID]],Batters[[#All],[PID]],0)),INDEX(Table3[[#All],[CON P]],MATCH(Table5[[#This Row],[PID]],Table3[[#All],[PID]],0)))</f>
        <v>3</v>
      </c>
      <c r="O594" s="58" t="str">
        <f>IF($C594="B",INDEX(Batters[[#All],[EYE P]],MATCH(Table5[[#This Row],[PID]],Batters[[#All],[PID]],0)),INDEX(Table3[[#All],[VELO]],MATCH(Table5[[#This Row],[PID]],Table3[[#All],[PID]],0)))</f>
        <v>83-85 Mph</v>
      </c>
      <c r="P594" s="58">
        <f>IF($C594="B",INDEX(Batters[[#All],[K P]],MATCH(Table5[[#This Row],[PID]],Batters[[#All],[PID]],0)),INDEX(Table3[[#All],[STM]],MATCH(Table5[[#This Row],[PID]],Table3[[#All],[PID]],0)))</f>
        <v>3</v>
      </c>
      <c r="Q594" s="63">
        <f>IF($C594="B",INDEX(Batters[[#All],[Tot]],MATCH(Table5[[#This Row],[PID]],Batters[[#All],[PID]],0)),INDEX(Table3[[#All],[Tot]],MATCH(Table5[[#This Row],[PID]],Table3[[#All],[PID]],0)))</f>
        <v>26.751593322776927</v>
      </c>
      <c r="R594" s="54">
        <f>IF($C594="B",INDEX(Batters[[#All],[zScore]],MATCH(Table5[[#This Row],[PID]],Batters[[#All],[PID]],0)),INDEX(Table3[[#All],[zScore]],MATCH(Table5[[#This Row],[PID]],Table3[[#All],[PID]],0)))</f>
        <v>-0.3193390926545579</v>
      </c>
      <c r="S594" s="60" t="str">
        <f>IF($C594="B",INDEX(Batters[[#All],[DEM]],MATCH(Table5[[#This Row],[PID]],Batters[[#All],[PID]],0)),INDEX(Table3[[#All],[DEM]],MATCH(Table5[[#This Row],[PID]],Table3[[#All],[PID]],0)))</f>
        <v>$65k</v>
      </c>
      <c r="T594" s="64">
        <f>IF($C594="B",VLOOKUP($A594,Bat!$A$4:$AU$1417,46,FALSE),VLOOKUP($A594,Pit!$A$4:$BD$570,55,FALSE))</f>
        <v>0</v>
      </c>
      <c r="U594" s="52">
        <f>IF($C594="B",VLOOKUP($A594,Bat!$A$4:$BA$1417,47,FALSE),VLOOKUP($A594,Pit!$A$4:$BF$570,56,FALSE))</f>
        <v>0</v>
      </c>
      <c r="V594" s="52">
        <f>IF($C594="B",VLOOKUP($A594,Bat!$A$4:$BA$1417,48,FALSE),VLOOKUP($A594,Pit!$A$4:$BF$570,57,FALSE))</f>
        <v>0</v>
      </c>
      <c r="W594" s="52">
        <f>Table5[[#This Row],[posRnk]]+Table5[[#This Row],[zRnk]]+IF($W$3&lt;&gt;Table5[[#This Row],[Type]],50,0)</f>
        <v>640</v>
      </c>
      <c r="X594" s="53">
        <f>RANK(Table5[[#This Row],[zScore]],Table5[[#All],[zScore]])</f>
        <v>590</v>
      </c>
      <c r="Y594" s="52" t="str">
        <f>IFERROR(INDEX(DraftResults[[#All],[OVR]],MATCH(Table5[[#This Row],[PID]],DraftResults[[#All],[Player ID]],0)),"")</f>
        <v/>
      </c>
      <c r="Z5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4" s="52" t="str">
        <f>IFERROR(INDEX(DraftResults[[#All],[Pick in Round]],MATCH(Table5[[#This Row],[PID]],DraftResults[[#All],[Player ID]],0)),"")</f>
        <v/>
      </c>
      <c r="AB594" s="52" t="str">
        <f>IFERROR(INDEX(DraftResults[[#All],[Team Name]],MATCH(Table5[[#This Row],[PID]],DraftResults[[#All],[Player ID]],0)),"")</f>
        <v/>
      </c>
      <c r="AC594" s="52" t="str">
        <f>IF(Table5[[#This Row],[Ovr]]="","",IF(Table5[[#This Row],[cmbList]]="","",Table5[[#This Row],[cmbList]]-Table5[[#This Row],[Ovr]]))</f>
        <v/>
      </c>
      <c r="AD594" s="56" t="str">
        <f>IF(ISERROR(VLOOKUP($AB594&amp;"-"&amp;$E594&amp;" "&amp;F594,Bonuses!$B$1:$G$1006,4,FALSE)),"",INT(VLOOKUP($AB594&amp;"-"&amp;$E594&amp;" "&amp;$F594,Bonuses!$B$1:$G$1006,4,FALSE)))</f>
        <v/>
      </c>
      <c r="AE5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5" spans="1:31" s="52" customFormat="1" x14ac:dyDescent="0.25">
      <c r="A595" s="52">
        <v>8459</v>
      </c>
      <c r="B595" s="52">
        <f>COUNTIF(Table5[PID],A595)</f>
        <v>1</v>
      </c>
      <c r="C595" s="52" t="str">
        <f>IF(COUNTIF(Table3[[#All],[PID]],A595)&gt;0,"P","B")</f>
        <v>B</v>
      </c>
      <c r="D595" s="61" t="str">
        <f>IF($C595="B",INDEX(Batters[[#All],[POS]],MATCH(Table5[[#This Row],[PID]],Batters[[#All],[PID]],0)),INDEX(Table3[[#All],[POS]],MATCH(Table5[[#This Row],[PID]],Table3[[#All],[PID]],0)))</f>
        <v>LF</v>
      </c>
      <c r="E595" s="54" t="str">
        <f>IF($C595="B",INDEX(Batters[[#All],[First]],MATCH(Table5[[#This Row],[PID]],Batters[[#All],[PID]],0)),INDEX(Table3[[#All],[First]],MATCH(Table5[[#This Row],[PID]],Table3[[#All],[PID]],0)))</f>
        <v>Tom</v>
      </c>
      <c r="F595" s="52" t="str">
        <f>IF($C595="B",INDEX(Batters[[#All],[Last]],MATCH(A595,Batters[[#All],[PID]],0)),INDEX(Table3[[#All],[Last]],MATCH(A595,Table3[[#All],[PID]],0)))</f>
        <v>Beasley</v>
      </c>
      <c r="G595" s="58">
        <f>IF($C595="B",INDEX(Batters[[#All],[Age]],MATCH(Table5[[#This Row],[PID]],Batters[[#All],[PID]],0)),INDEX(Table3[[#All],[Age]],MATCH(Table5[[#This Row],[PID]],Table3[[#All],[PID]],0)))</f>
        <v>18</v>
      </c>
      <c r="H595" s="54" t="str">
        <f>IF($C595="B",INDEX(Batters[[#All],[B]],MATCH(Table5[[#This Row],[PID]],Batters[[#All],[PID]],0)),INDEX(Table3[[#All],[B]],MATCH(Table5[[#This Row],[PID]],Table3[[#All],[PID]],0)))</f>
        <v>L</v>
      </c>
      <c r="I595" s="54" t="str">
        <f>IF($C595="B",INDEX(Batters[[#All],[T]],MATCH(Table5[[#This Row],[PID]],Batters[[#All],[PID]],0)),INDEX(Table3[[#All],[T]],MATCH(Table5[[#This Row],[PID]],Table3[[#All],[PID]],0)))</f>
        <v>L</v>
      </c>
      <c r="J595" s="54" t="str">
        <f>IF($C595="B",INDEX(Batters[[#All],[WE]],MATCH(Table5[[#This Row],[PID]],Batters[[#All],[PID]],0)),INDEX(Table3[[#All],[WE]],MATCH(Table5[[#This Row],[PID]],Table3[[#All],[PID]],0)))</f>
        <v>Low</v>
      </c>
      <c r="K595" s="54" t="str">
        <f>IF($C595="B",INDEX(Batters[[#All],[INT]],MATCH(Table5[[#This Row],[PID]],Batters[[#All],[PID]],0)),INDEX(Table3[[#All],[INT]],MATCH(Table5[[#This Row],[PID]],Table3[[#All],[PID]],0)))</f>
        <v>Normal</v>
      </c>
      <c r="L595" s="62">
        <f>IF($C595="B",INDEX(Batters[[#All],[CON P]],MATCH(Table5[[#This Row],[PID]],Batters[[#All],[PID]],0)),INDEX(Table3[[#All],[STU P]],MATCH(Table5[[#This Row],[PID]],Table3[[#All],[PID]],0)))</f>
        <v>3</v>
      </c>
      <c r="M595" s="58">
        <f>IF($C595="B",INDEX(Batters[[#All],[GAP P]],MATCH(Table5[[#This Row],[PID]],Batters[[#All],[PID]],0)),INDEX(Table3[[#All],[MOV P]],MATCH(Table5[[#This Row],[PID]],Table3[[#All],[PID]],0)))</f>
        <v>2</v>
      </c>
      <c r="N595" s="58">
        <f>IF($C595="B",INDEX(Batters[[#All],[POW P]],MATCH(Table5[[#This Row],[PID]],Batters[[#All],[PID]],0)),INDEX(Table3[[#All],[CON P]],MATCH(Table5[[#This Row],[PID]],Table3[[#All],[PID]],0)))</f>
        <v>2</v>
      </c>
      <c r="O595" s="58">
        <f>IF($C595="B",INDEX(Batters[[#All],[EYE P]],MATCH(Table5[[#This Row],[PID]],Batters[[#All],[PID]],0)),INDEX(Table3[[#All],[VELO]],MATCH(Table5[[#This Row],[PID]],Table3[[#All],[PID]],0)))</f>
        <v>4</v>
      </c>
      <c r="P595" s="58">
        <f>IF($C595="B",INDEX(Batters[[#All],[K P]],MATCH(Table5[[#This Row],[PID]],Batters[[#All],[PID]],0)),INDEX(Table3[[#All],[STM]],MATCH(Table5[[#This Row],[PID]],Table3[[#All],[PID]],0)))</f>
        <v>3</v>
      </c>
      <c r="Q595" s="63">
        <f>IF($C595="B",INDEX(Batters[[#All],[Tot]],MATCH(Table5[[#This Row],[PID]],Batters[[#All],[PID]],0)),INDEX(Table3[[#All],[Tot]],MATCH(Table5[[#This Row],[PID]],Table3[[#All],[PID]],0)))</f>
        <v>38.528484125019141</v>
      </c>
      <c r="R595" s="54">
        <f>IF($C595="B",INDEX(Batters[[#All],[zScore]],MATCH(Table5[[#This Row],[PID]],Batters[[#All],[PID]],0)),INDEX(Table3[[#All],[zScore]],MATCH(Table5[[#This Row],[PID]],Table3[[#All],[PID]],0)))</f>
        <v>-0.32017524617345189</v>
      </c>
      <c r="S595" s="60" t="str">
        <f>IF($C595="B",INDEX(Batters[[#All],[DEM]],MATCH(Table5[[#This Row],[PID]],Batters[[#All],[PID]],0)),INDEX(Table3[[#All],[DEM]],MATCH(Table5[[#This Row],[PID]],Table3[[#All],[PID]],0)))</f>
        <v>$70k</v>
      </c>
      <c r="T595" s="64">
        <f>IF($C595="B",VLOOKUP($A595,Bat!$A$4:$AU$1417,46,FALSE),VLOOKUP($A595,Pit!$A$4:$BD$570,55,FALSE))</f>
        <v>0</v>
      </c>
      <c r="U595" s="52">
        <f>IF($C595="B",VLOOKUP($A595,Bat!$A$4:$BA$1417,47,FALSE),VLOOKUP($A595,Pit!$A$4:$BF$570,56,FALSE))</f>
        <v>0</v>
      </c>
      <c r="V595" s="52">
        <f>IF($C595="B",VLOOKUP($A595,Bat!$A$4:$BA$1417,48,FALSE),VLOOKUP($A595,Pit!$A$4:$BF$570,57,FALSE))</f>
        <v>0</v>
      </c>
      <c r="W595" s="52">
        <f>Table5[[#This Row],[posRnk]]+Table5[[#This Row],[zRnk]]+IF($W$3&lt;&gt;Table5[[#This Row],[Type]],50,0)</f>
        <v>641</v>
      </c>
      <c r="X595" s="53">
        <f>RANK(Table5[[#This Row],[zScore]],Table5[[#All],[zScore]])</f>
        <v>591</v>
      </c>
      <c r="Y595" s="52" t="str">
        <f>IFERROR(INDEX(DraftResults[[#All],[OVR]],MATCH(Table5[[#This Row],[PID]],DraftResults[[#All],[Player ID]],0)),"")</f>
        <v/>
      </c>
      <c r="Z5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5" s="52" t="str">
        <f>IFERROR(INDEX(DraftResults[[#All],[Pick in Round]],MATCH(Table5[[#This Row],[PID]],DraftResults[[#All],[Player ID]],0)),"")</f>
        <v/>
      </c>
      <c r="AB595" s="52" t="str">
        <f>IFERROR(INDEX(DraftResults[[#All],[Team Name]],MATCH(Table5[[#This Row],[PID]],DraftResults[[#All],[Player ID]],0)),"")</f>
        <v/>
      </c>
      <c r="AC595" s="52" t="str">
        <f>IF(Table5[[#This Row],[Ovr]]="","",IF(Table5[[#This Row],[cmbList]]="","",Table5[[#This Row],[cmbList]]-Table5[[#This Row],[Ovr]]))</f>
        <v/>
      </c>
      <c r="AD595" s="56" t="str">
        <f>IF(ISERROR(VLOOKUP($AB595&amp;"-"&amp;$E595&amp;" "&amp;F595,Bonuses!$B$1:$G$1006,4,FALSE)),"",INT(VLOOKUP($AB595&amp;"-"&amp;$E595&amp;" "&amp;$F595,Bonuses!$B$1:$G$1006,4,FALSE)))</f>
        <v/>
      </c>
      <c r="AE5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6" spans="1:31" s="52" customFormat="1" x14ac:dyDescent="0.25">
      <c r="A596" s="52">
        <v>11055</v>
      </c>
      <c r="B596" s="52">
        <f>COUNTIF(Table5[PID],A596)</f>
        <v>1</v>
      </c>
      <c r="C596" s="52" t="str">
        <f>IF(COUNTIF(Table3[[#All],[PID]],A596)&gt;0,"P","B")</f>
        <v>P</v>
      </c>
      <c r="D596" s="61" t="str">
        <f>IF($C596="B",INDEX(Batters[[#All],[POS]],MATCH(Table5[[#This Row],[PID]],Batters[[#All],[PID]],0)),INDEX(Table3[[#All],[POS]],MATCH(Table5[[#This Row],[PID]],Table3[[#All],[PID]],0)))</f>
        <v>RP</v>
      </c>
      <c r="E596" s="54" t="str">
        <f>IF($C596="B",INDEX(Batters[[#All],[First]],MATCH(Table5[[#This Row],[PID]],Batters[[#All],[PID]],0)),INDEX(Table3[[#All],[First]],MATCH(Table5[[#This Row],[PID]],Table3[[#All],[PID]],0)))</f>
        <v>Taizo</v>
      </c>
      <c r="F596" s="52" t="str">
        <f>IF($C596="B",INDEX(Batters[[#All],[Last]],MATCH(A596,Batters[[#All],[PID]],0)),INDEX(Table3[[#All],[Last]],MATCH(A596,Table3[[#All],[PID]],0)))</f>
        <v>Tsukamoto</v>
      </c>
      <c r="G596" s="58">
        <f>IF($C596="B",INDEX(Batters[[#All],[Age]],MATCH(Table5[[#This Row],[PID]],Batters[[#All],[PID]],0)),INDEX(Table3[[#All],[Age]],MATCH(Table5[[#This Row],[PID]],Table3[[#All],[PID]],0)))</f>
        <v>18</v>
      </c>
      <c r="H596" s="54" t="str">
        <f>IF($C596="B",INDEX(Batters[[#All],[B]],MATCH(Table5[[#This Row],[PID]],Batters[[#All],[PID]],0)),INDEX(Table3[[#All],[B]],MATCH(Table5[[#This Row],[PID]],Table3[[#All],[PID]],0)))</f>
        <v>L</v>
      </c>
      <c r="I596" s="54" t="str">
        <f>IF($C596="B",INDEX(Batters[[#All],[T]],MATCH(Table5[[#This Row],[PID]],Batters[[#All],[PID]],0)),INDEX(Table3[[#All],[T]],MATCH(Table5[[#This Row],[PID]],Table3[[#All],[PID]],0)))</f>
        <v>L</v>
      </c>
      <c r="J596" s="54" t="str">
        <f>IF($C596="B",INDEX(Batters[[#All],[WE]],MATCH(Table5[[#This Row],[PID]],Batters[[#All],[PID]],0)),INDEX(Table3[[#All],[WE]],MATCH(Table5[[#This Row],[PID]],Table3[[#All],[PID]],0)))</f>
        <v>Low</v>
      </c>
      <c r="K596" s="54" t="str">
        <f>IF($C596="B",INDEX(Batters[[#All],[INT]],MATCH(Table5[[#This Row],[PID]],Batters[[#All],[PID]],0)),INDEX(Table3[[#All],[INT]],MATCH(Table5[[#This Row],[PID]],Table3[[#All],[PID]],0)))</f>
        <v>Normal</v>
      </c>
      <c r="L596" s="62">
        <f>IF($C596="B",INDEX(Batters[[#All],[CON P]],MATCH(Table5[[#This Row],[PID]],Batters[[#All],[PID]],0)),INDEX(Table3[[#All],[STU P]],MATCH(Table5[[#This Row],[PID]],Table3[[#All],[PID]],0)))</f>
        <v>3</v>
      </c>
      <c r="M596" s="58">
        <f>IF($C596="B",INDEX(Batters[[#All],[GAP P]],MATCH(Table5[[#This Row],[PID]],Batters[[#All],[PID]],0)),INDEX(Table3[[#All],[MOV P]],MATCH(Table5[[#This Row],[PID]],Table3[[#All],[PID]],0)))</f>
        <v>2</v>
      </c>
      <c r="N596" s="58">
        <f>IF($C596="B",INDEX(Batters[[#All],[POW P]],MATCH(Table5[[#This Row],[PID]],Batters[[#All],[PID]],0)),INDEX(Table3[[#All],[CON P]],MATCH(Table5[[#This Row],[PID]],Table3[[#All],[PID]],0)))</f>
        <v>2</v>
      </c>
      <c r="O596" s="58" t="str">
        <f>IF($C596="B",INDEX(Batters[[#All],[EYE P]],MATCH(Table5[[#This Row],[PID]],Batters[[#All],[PID]],0)),INDEX(Table3[[#All],[VELO]],MATCH(Table5[[#This Row],[PID]],Table3[[#All],[PID]],0)))</f>
        <v>83-85 Mph</v>
      </c>
      <c r="P596" s="58">
        <f>IF($C596="B",INDEX(Batters[[#All],[K P]],MATCH(Table5[[#This Row],[PID]],Batters[[#All],[PID]],0)),INDEX(Table3[[#All],[STM]],MATCH(Table5[[#This Row],[PID]],Table3[[#All],[PID]],0)))</f>
        <v>9</v>
      </c>
      <c r="Q596" s="63">
        <f>IF($C596="B",INDEX(Batters[[#All],[Tot]],MATCH(Table5[[#This Row],[PID]],Batters[[#All],[PID]],0)),INDEX(Table3[[#All],[Tot]],MATCH(Table5[[#This Row],[PID]],Table3[[#All],[PID]],0)))</f>
        <v>26.729528543019001</v>
      </c>
      <c r="R596" s="54">
        <f>IF($C596="B",INDEX(Batters[[#All],[zScore]],MATCH(Table5[[#This Row],[PID]],Batters[[#All],[PID]],0)),INDEX(Table3[[#All],[zScore]],MATCH(Table5[[#This Row],[PID]],Table3[[#All],[PID]],0)))</f>
        <v>-0.32127290735797381</v>
      </c>
      <c r="S596" s="60" t="str">
        <f>IF($C596="B",INDEX(Batters[[#All],[DEM]],MATCH(Table5[[#This Row],[PID]],Batters[[#All],[PID]],0)),INDEX(Table3[[#All],[DEM]],MATCH(Table5[[#This Row],[PID]],Table3[[#All],[PID]],0)))</f>
        <v>$70k</v>
      </c>
      <c r="T596" s="64">
        <f>IF($C596="B",VLOOKUP($A596,Bat!$A$4:$AU$1417,46,FALSE),VLOOKUP($A596,Pit!$A$4:$BD$570,55,FALSE))</f>
        <v>0</v>
      </c>
      <c r="U596" s="52">
        <f>IF($C596="B",VLOOKUP($A596,Bat!$A$4:$BA$1417,47,FALSE),VLOOKUP($A596,Pit!$A$4:$BF$570,56,FALSE))</f>
        <v>0</v>
      </c>
      <c r="V596" s="52">
        <f>IF($C596="B",VLOOKUP($A596,Bat!$A$4:$BA$1417,48,FALSE),VLOOKUP($A596,Pit!$A$4:$BF$570,57,FALSE))</f>
        <v>0</v>
      </c>
      <c r="W596" s="52">
        <f>Table5[[#This Row],[posRnk]]+Table5[[#This Row],[zRnk]]+IF($W$3&lt;&gt;Table5[[#This Row],[Type]],50,0)</f>
        <v>642</v>
      </c>
      <c r="X596" s="53">
        <f>RANK(Table5[[#This Row],[zScore]],Table5[[#All],[zScore]])</f>
        <v>592</v>
      </c>
      <c r="Y596" s="52" t="str">
        <f>IFERROR(INDEX(DraftResults[[#All],[OVR]],MATCH(Table5[[#This Row],[PID]],DraftResults[[#All],[Player ID]],0)),"")</f>
        <v/>
      </c>
      <c r="Z5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6" s="52" t="str">
        <f>IFERROR(INDEX(DraftResults[[#All],[Pick in Round]],MATCH(Table5[[#This Row],[PID]],DraftResults[[#All],[Player ID]],0)),"")</f>
        <v/>
      </c>
      <c r="AB596" s="52" t="str">
        <f>IFERROR(INDEX(DraftResults[[#All],[Team Name]],MATCH(Table5[[#This Row],[PID]],DraftResults[[#All],[Player ID]],0)),"")</f>
        <v/>
      </c>
      <c r="AC596" s="52" t="str">
        <f>IF(Table5[[#This Row],[Ovr]]="","",IF(Table5[[#This Row],[cmbList]]="","",Table5[[#This Row],[cmbList]]-Table5[[#This Row],[Ovr]]))</f>
        <v/>
      </c>
      <c r="AD596" s="56" t="str">
        <f>IF(ISERROR(VLOOKUP($AB596&amp;"-"&amp;$E596&amp;" "&amp;F596,Bonuses!$B$1:$G$1006,4,FALSE)),"",INT(VLOOKUP($AB596&amp;"-"&amp;$E596&amp;" "&amp;$F596,Bonuses!$B$1:$G$1006,4,FALSE)))</f>
        <v/>
      </c>
      <c r="AE5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7" spans="1:31" s="52" customFormat="1" x14ac:dyDescent="0.25">
      <c r="A597" s="52">
        <v>10109</v>
      </c>
      <c r="B597" s="52">
        <f>COUNTIF(Table5[PID],A597)</f>
        <v>1</v>
      </c>
      <c r="C597" s="52" t="str">
        <f>IF(COUNTIF(Table3[[#All],[PID]],A597)&gt;0,"P","B")</f>
        <v>P</v>
      </c>
      <c r="D597" s="61" t="str">
        <f>IF($C597="B",INDEX(Batters[[#All],[POS]],MATCH(Table5[[#This Row],[PID]],Batters[[#All],[PID]],0)),INDEX(Table3[[#All],[POS]],MATCH(Table5[[#This Row],[PID]],Table3[[#All],[PID]],0)))</f>
        <v>RP</v>
      </c>
      <c r="E597" s="54" t="str">
        <f>IF($C597="B",INDEX(Batters[[#All],[First]],MATCH(Table5[[#This Row],[PID]],Batters[[#All],[PID]],0)),INDEX(Table3[[#All],[First]],MATCH(Table5[[#This Row],[PID]],Table3[[#All],[PID]],0)))</f>
        <v>Marvin</v>
      </c>
      <c r="F597" s="52" t="str">
        <f>IF($C597="B",INDEX(Batters[[#All],[Last]],MATCH(A597,Batters[[#All],[PID]],0)),INDEX(Table3[[#All],[Last]],MATCH(A597,Table3[[#All],[PID]],0)))</f>
        <v>Wooten</v>
      </c>
      <c r="G597" s="58">
        <f>IF($C597="B",INDEX(Batters[[#All],[Age]],MATCH(Table5[[#This Row],[PID]],Batters[[#All],[PID]],0)),INDEX(Table3[[#All],[Age]],MATCH(Table5[[#This Row],[PID]],Table3[[#All],[PID]],0)))</f>
        <v>21</v>
      </c>
      <c r="H597" s="54" t="str">
        <f>IF($C597="B",INDEX(Batters[[#All],[B]],MATCH(Table5[[#This Row],[PID]],Batters[[#All],[PID]],0)),INDEX(Table3[[#All],[B]],MATCH(Table5[[#This Row],[PID]],Table3[[#All],[PID]],0)))</f>
        <v>L</v>
      </c>
      <c r="I597" s="54" t="str">
        <f>IF($C597="B",INDEX(Batters[[#All],[T]],MATCH(Table5[[#This Row],[PID]],Batters[[#All],[PID]],0)),INDEX(Table3[[#All],[T]],MATCH(Table5[[#This Row],[PID]],Table3[[#All],[PID]],0)))</f>
        <v>L</v>
      </c>
      <c r="J597" s="54" t="str">
        <f>IF($C597="B",INDEX(Batters[[#All],[WE]],MATCH(Table5[[#This Row],[PID]],Batters[[#All],[PID]],0)),INDEX(Table3[[#All],[WE]],MATCH(Table5[[#This Row],[PID]],Table3[[#All],[PID]],0)))</f>
        <v>Normal</v>
      </c>
      <c r="K597" s="54" t="str">
        <f>IF($C597="B",INDEX(Batters[[#All],[INT]],MATCH(Table5[[#This Row],[PID]],Batters[[#All],[PID]],0)),INDEX(Table3[[#All],[INT]],MATCH(Table5[[#This Row],[PID]],Table3[[#All],[PID]],0)))</f>
        <v>Normal</v>
      </c>
      <c r="L597" s="62">
        <f>IF($C597="B",INDEX(Batters[[#All],[CON P]],MATCH(Table5[[#This Row],[PID]],Batters[[#All],[PID]],0)),INDEX(Table3[[#All],[STU P]],MATCH(Table5[[#This Row],[PID]],Table3[[#All],[PID]],0)))</f>
        <v>4</v>
      </c>
      <c r="M597" s="58">
        <f>IF($C597="B",INDEX(Batters[[#All],[GAP P]],MATCH(Table5[[#This Row],[PID]],Batters[[#All],[PID]],0)),INDEX(Table3[[#All],[MOV P]],MATCH(Table5[[#This Row],[PID]],Table3[[#All],[PID]],0)))</f>
        <v>3</v>
      </c>
      <c r="N597" s="58">
        <f>IF($C597="B",INDEX(Batters[[#All],[POW P]],MATCH(Table5[[#This Row],[PID]],Batters[[#All],[PID]],0)),INDEX(Table3[[#All],[CON P]],MATCH(Table5[[#This Row],[PID]],Table3[[#All],[PID]],0)))</f>
        <v>2</v>
      </c>
      <c r="O597" s="58" t="str">
        <f>IF($C597="B",INDEX(Batters[[#All],[EYE P]],MATCH(Table5[[#This Row],[PID]],Batters[[#All],[PID]],0)),INDEX(Table3[[#All],[VELO]],MATCH(Table5[[#This Row],[PID]],Table3[[#All],[PID]],0)))</f>
        <v>84-86 Mph</v>
      </c>
      <c r="P597" s="58">
        <f>IF($C597="B",INDEX(Batters[[#All],[K P]],MATCH(Table5[[#This Row],[PID]],Batters[[#All],[PID]],0)),INDEX(Table3[[#All],[STM]],MATCH(Table5[[#This Row],[PID]],Table3[[#All],[PID]],0)))</f>
        <v>10</v>
      </c>
      <c r="Q597" s="63">
        <f>IF($C597="B",INDEX(Batters[[#All],[Tot]],MATCH(Table5[[#This Row],[PID]],Batters[[#All],[PID]],0)),INDEX(Table3[[#All],[Tot]],MATCH(Table5[[#This Row],[PID]],Table3[[#All],[PID]],0)))</f>
        <v>29.201743279925122</v>
      </c>
      <c r="R597" s="54">
        <f>IF($C597="B",INDEX(Batters[[#All],[zScore]],MATCH(Table5[[#This Row],[PID]],Batters[[#All],[PID]],0)),INDEX(Table3[[#All],[zScore]],MATCH(Table5[[#This Row],[PID]],Table3[[#All],[PID]],0)))</f>
        <v>-0.32284559151390269</v>
      </c>
      <c r="S597" s="60" t="str">
        <f>IF($C597="B",INDEX(Batters[[#All],[DEM]],MATCH(Table5[[#This Row],[PID]],Batters[[#All],[PID]],0)),INDEX(Table3[[#All],[DEM]],MATCH(Table5[[#This Row],[PID]],Table3[[#All],[PID]],0)))</f>
        <v>-</v>
      </c>
      <c r="T597" s="64">
        <f>IF($C597="B",VLOOKUP($A597,Bat!$A$4:$AU$1417,46,FALSE),VLOOKUP($A597,Pit!$A$4:$BD$570,55,FALSE))</f>
        <v>0</v>
      </c>
      <c r="U597" s="52">
        <f>IF($C597="B",VLOOKUP($A597,Bat!$A$4:$BA$1417,47,FALSE),VLOOKUP($A597,Pit!$A$4:$BF$570,56,FALSE))</f>
        <v>0</v>
      </c>
      <c r="V597" s="52">
        <f>IF($C597="B",VLOOKUP($A597,Bat!$A$4:$BA$1417,48,FALSE),VLOOKUP($A597,Pit!$A$4:$BF$570,57,FALSE))</f>
        <v>0</v>
      </c>
      <c r="W597" s="52">
        <f>Table5[[#This Row],[posRnk]]+Table5[[#This Row],[zRnk]]+IF($W$3&lt;&gt;Table5[[#This Row],[Type]],50,0)</f>
        <v>643</v>
      </c>
      <c r="X597" s="53">
        <f>RANK(Table5[[#This Row],[zScore]],Table5[[#All],[zScore]])</f>
        <v>593</v>
      </c>
      <c r="Y597" s="52" t="str">
        <f>IFERROR(INDEX(DraftResults[[#All],[OVR]],MATCH(Table5[[#This Row],[PID]],DraftResults[[#All],[Player ID]],0)),"")</f>
        <v/>
      </c>
      <c r="Z5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7" s="52" t="str">
        <f>IFERROR(INDEX(DraftResults[[#All],[Pick in Round]],MATCH(Table5[[#This Row],[PID]],DraftResults[[#All],[Player ID]],0)),"")</f>
        <v/>
      </c>
      <c r="AB597" s="52" t="str">
        <f>IFERROR(INDEX(DraftResults[[#All],[Team Name]],MATCH(Table5[[#This Row],[PID]],DraftResults[[#All],[Player ID]],0)),"")</f>
        <v/>
      </c>
      <c r="AC597" s="52" t="str">
        <f>IF(Table5[[#This Row],[Ovr]]="","",IF(Table5[[#This Row],[cmbList]]="","",Table5[[#This Row],[cmbList]]-Table5[[#This Row],[Ovr]]))</f>
        <v/>
      </c>
      <c r="AD597" s="56" t="str">
        <f>IF(ISERROR(VLOOKUP($AB597&amp;"-"&amp;$E597&amp;" "&amp;F597,Bonuses!$B$1:$G$1006,4,FALSE)),"",INT(VLOOKUP($AB597&amp;"-"&amp;$E597&amp;" "&amp;$F597,Bonuses!$B$1:$G$1006,4,FALSE)))</f>
        <v/>
      </c>
      <c r="AE5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8" spans="1:31" s="52" customFormat="1" x14ac:dyDescent="0.25">
      <c r="A598" s="52">
        <v>8829</v>
      </c>
      <c r="B598" s="52">
        <f>COUNTIF(Table5[PID],A598)</f>
        <v>1</v>
      </c>
      <c r="C598" s="52" t="str">
        <f>IF(COUNTIF(Table3[[#All],[PID]],A598)&gt;0,"P","B")</f>
        <v>P</v>
      </c>
      <c r="D598" s="61" t="str">
        <f>IF($C598="B",INDEX(Batters[[#All],[POS]],MATCH(Table5[[#This Row],[PID]],Batters[[#All],[PID]],0)),INDEX(Table3[[#All],[POS]],MATCH(Table5[[#This Row],[PID]],Table3[[#All],[PID]],0)))</f>
        <v>RP</v>
      </c>
      <c r="E598" s="54" t="str">
        <f>IF($C598="B",INDEX(Batters[[#All],[First]],MATCH(Table5[[#This Row],[PID]],Batters[[#All],[PID]],0)),INDEX(Table3[[#All],[First]],MATCH(Table5[[#This Row],[PID]],Table3[[#All],[PID]],0)))</f>
        <v>Howard</v>
      </c>
      <c r="F598" s="52" t="str">
        <f>IF($C598="B",INDEX(Batters[[#All],[Last]],MATCH(A598,Batters[[#All],[PID]],0)),INDEX(Table3[[#All],[Last]],MATCH(A598,Table3[[#All],[PID]],0)))</f>
        <v>Phillips</v>
      </c>
      <c r="G598" s="58">
        <f>IF($C598="B",INDEX(Batters[[#All],[Age]],MATCH(Table5[[#This Row],[PID]],Batters[[#All],[PID]],0)),INDEX(Table3[[#All],[Age]],MATCH(Table5[[#This Row],[PID]],Table3[[#All],[PID]],0)))</f>
        <v>22</v>
      </c>
      <c r="H598" s="54" t="str">
        <f>IF($C598="B",INDEX(Batters[[#All],[B]],MATCH(Table5[[#This Row],[PID]],Batters[[#All],[PID]],0)),INDEX(Table3[[#All],[B]],MATCH(Table5[[#This Row],[PID]],Table3[[#All],[PID]],0)))</f>
        <v>S</v>
      </c>
      <c r="I598" s="54" t="str">
        <f>IF($C598="B",INDEX(Batters[[#All],[T]],MATCH(Table5[[#This Row],[PID]],Batters[[#All],[PID]],0)),INDEX(Table3[[#All],[T]],MATCH(Table5[[#This Row],[PID]],Table3[[#All],[PID]],0)))</f>
        <v>R</v>
      </c>
      <c r="J598" s="54" t="str">
        <f>IF($C598="B",INDEX(Batters[[#All],[WE]],MATCH(Table5[[#This Row],[PID]],Batters[[#All],[PID]],0)),INDEX(Table3[[#All],[WE]],MATCH(Table5[[#This Row],[PID]],Table3[[#All],[PID]],0)))</f>
        <v>Normal</v>
      </c>
      <c r="K598" s="54" t="str">
        <f>IF($C598="B",INDEX(Batters[[#All],[INT]],MATCH(Table5[[#This Row],[PID]],Batters[[#All],[PID]],0)),INDEX(Table3[[#All],[INT]],MATCH(Table5[[#This Row],[PID]],Table3[[#All],[PID]],0)))</f>
        <v>Low</v>
      </c>
      <c r="L598" s="62">
        <f>IF($C598="B",INDEX(Batters[[#All],[CON P]],MATCH(Table5[[#This Row],[PID]],Batters[[#All],[PID]],0)),INDEX(Table3[[#All],[STU P]],MATCH(Table5[[#This Row],[PID]],Table3[[#All],[PID]],0)))</f>
        <v>5</v>
      </c>
      <c r="M598" s="58">
        <f>IF($C598="B",INDEX(Batters[[#All],[GAP P]],MATCH(Table5[[#This Row],[PID]],Batters[[#All],[PID]],0)),INDEX(Table3[[#All],[MOV P]],MATCH(Table5[[#This Row],[PID]],Table3[[#All],[PID]],0)))</f>
        <v>1</v>
      </c>
      <c r="N598" s="58">
        <f>IF($C598="B",INDEX(Batters[[#All],[POW P]],MATCH(Table5[[#This Row],[PID]],Batters[[#All],[PID]],0)),INDEX(Table3[[#All],[CON P]],MATCH(Table5[[#This Row],[PID]],Table3[[#All],[PID]],0)))</f>
        <v>3</v>
      </c>
      <c r="O598" s="58" t="str">
        <f>IF($C598="B",INDEX(Batters[[#All],[EYE P]],MATCH(Table5[[#This Row],[PID]],Batters[[#All],[PID]],0)),INDEX(Table3[[#All],[VELO]],MATCH(Table5[[#This Row],[PID]],Table3[[#All],[PID]],0)))</f>
        <v>87-89 Mph</v>
      </c>
      <c r="P598" s="58">
        <f>IF($C598="B",INDEX(Batters[[#All],[K P]],MATCH(Table5[[#This Row],[PID]],Batters[[#All],[PID]],0)),INDEX(Table3[[#All],[STM]],MATCH(Table5[[#This Row],[PID]],Table3[[#All],[PID]],0)))</f>
        <v>7</v>
      </c>
      <c r="Q598" s="63">
        <f>IF($C598="B",INDEX(Batters[[#All],[Tot]],MATCH(Table5[[#This Row],[PID]],Batters[[#All],[PID]],0)),INDEX(Table3[[#All],[Tot]],MATCH(Table5[[#This Row],[PID]],Table3[[#All],[PID]],0)))</f>
        <v>29.184382653708735</v>
      </c>
      <c r="R598" s="54">
        <f>IF($C598="B",INDEX(Batters[[#All],[zScore]],MATCH(Table5[[#This Row],[PID]],Batters[[#All],[PID]],0)),INDEX(Table3[[#All],[zScore]],MATCH(Table5[[#This Row],[PID]],Table3[[#All],[PID]],0)))</f>
        <v>-0.32443763513882135</v>
      </c>
      <c r="S598" s="60" t="str">
        <f>IF($C598="B",INDEX(Batters[[#All],[DEM]],MATCH(Table5[[#This Row],[PID]],Batters[[#All],[PID]],0)),INDEX(Table3[[#All],[DEM]],MATCH(Table5[[#This Row],[PID]],Table3[[#All],[PID]],0)))</f>
        <v>-</v>
      </c>
      <c r="T598" s="64">
        <f>IF($C598="B",VLOOKUP($A598,Bat!$A$4:$AU$1417,46,FALSE),VLOOKUP($A598,Pit!$A$4:$BD$570,55,FALSE))</f>
        <v>0</v>
      </c>
      <c r="U598" s="52">
        <f>IF($C598="B",VLOOKUP($A598,Bat!$A$4:$BA$1417,47,FALSE),VLOOKUP($A598,Pit!$A$4:$BF$570,56,FALSE))</f>
        <v>0</v>
      </c>
      <c r="V598" s="52">
        <f>IF($C598="B",VLOOKUP($A598,Bat!$A$4:$BA$1417,48,FALSE),VLOOKUP($A598,Pit!$A$4:$BF$570,57,FALSE))</f>
        <v>0</v>
      </c>
      <c r="W598" s="52">
        <f>Table5[[#This Row],[posRnk]]+Table5[[#This Row],[zRnk]]+IF($W$3&lt;&gt;Table5[[#This Row],[Type]],50,0)</f>
        <v>644</v>
      </c>
      <c r="X598" s="53">
        <f>RANK(Table5[[#This Row],[zScore]],Table5[[#All],[zScore]])</f>
        <v>594</v>
      </c>
      <c r="Y598" s="52" t="str">
        <f>IFERROR(INDEX(DraftResults[[#All],[OVR]],MATCH(Table5[[#This Row],[PID]],DraftResults[[#All],[Player ID]],0)),"")</f>
        <v/>
      </c>
      <c r="Z5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8" s="52" t="str">
        <f>IFERROR(INDEX(DraftResults[[#All],[Pick in Round]],MATCH(Table5[[#This Row],[PID]],DraftResults[[#All],[Player ID]],0)),"")</f>
        <v/>
      </c>
      <c r="AB598" s="52" t="str">
        <f>IFERROR(INDEX(DraftResults[[#All],[Team Name]],MATCH(Table5[[#This Row],[PID]],DraftResults[[#All],[Player ID]],0)),"")</f>
        <v/>
      </c>
      <c r="AC598" s="52" t="str">
        <f>IF(Table5[[#This Row],[Ovr]]="","",IF(Table5[[#This Row],[cmbList]]="","",Table5[[#This Row],[cmbList]]-Table5[[#This Row],[Ovr]]))</f>
        <v/>
      </c>
      <c r="AD598" s="56" t="str">
        <f>IF(ISERROR(VLOOKUP($AB598&amp;"-"&amp;$E598&amp;" "&amp;F598,Bonuses!$B$1:$G$1006,4,FALSE)),"",INT(VLOOKUP($AB598&amp;"-"&amp;$E598&amp;" "&amp;$F598,Bonuses!$B$1:$G$1006,4,FALSE)))</f>
        <v/>
      </c>
      <c r="AE5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9" spans="1:31" s="52" customFormat="1" x14ac:dyDescent="0.25">
      <c r="A599" s="52">
        <v>2954</v>
      </c>
      <c r="B599" s="52">
        <f>COUNTIF(Table5[PID],A599)</f>
        <v>1</v>
      </c>
      <c r="C599" s="52" t="str">
        <f>IF(COUNTIF(Table3[[#All],[PID]],A599)&gt;0,"P","B")</f>
        <v>P</v>
      </c>
      <c r="D599" s="61" t="str">
        <f>IF($C599="B",INDEX(Batters[[#All],[POS]],MATCH(Table5[[#This Row],[PID]],Batters[[#All],[PID]],0)),INDEX(Table3[[#All],[POS]],MATCH(Table5[[#This Row],[PID]],Table3[[#All],[PID]],0)))</f>
        <v>CL</v>
      </c>
      <c r="E599" s="54" t="str">
        <f>IF($C599="B",INDEX(Batters[[#All],[First]],MATCH(Table5[[#This Row],[PID]],Batters[[#All],[PID]],0)),INDEX(Table3[[#All],[First]],MATCH(Table5[[#This Row],[PID]],Table3[[#All],[PID]],0)))</f>
        <v>Zak</v>
      </c>
      <c r="F599" s="52" t="str">
        <f>IF($C599="B",INDEX(Batters[[#All],[Last]],MATCH(A599,Batters[[#All],[PID]],0)),INDEX(Table3[[#All],[Last]],MATCH(A599,Table3[[#All],[PID]],0)))</f>
        <v>Howgill</v>
      </c>
      <c r="G599" s="58">
        <f>IF($C599="B",INDEX(Batters[[#All],[Age]],MATCH(Table5[[#This Row],[PID]],Batters[[#All],[PID]],0)),INDEX(Table3[[#All],[Age]],MATCH(Table5[[#This Row],[PID]],Table3[[#All],[PID]],0)))</f>
        <v>21</v>
      </c>
      <c r="H599" s="54" t="str">
        <f>IF($C599="B",INDEX(Batters[[#All],[B]],MATCH(Table5[[#This Row],[PID]],Batters[[#All],[PID]],0)),INDEX(Table3[[#All],[B]],MATCH(Table5[[#This Row],[PID]],Table3[[#All],[PID]],0)))</f>
        <v>R</v>
      </c>
      <c r="I599" s="54" t="str">
        <f>IF($C599="B",INDEX(Batters[[#All],[T]],MATCH(Table5[[#This Row],[PID]],Batters[[#All],[PID]],0)),INDEX(Table3[[#All],[T]],MATCH(Table5[[#This Row],[PID]],Table3[[#All],[PID]],0)))</f>
        <v>R</v>
      </c>
      <c r="J599" s="54" t="str">
        <f>IF($C599="B",INDEX(Batters[[#All],[WE]],MATCH(Table5[[#This Row],[PID]],Batters[[#All],[PID]],0)),INDEX(Table3[[#All],[WE]],MATCH(Table5[[#This Row],[PID]],Table3[[#All],[PID]],0)))</f>
        <v>Low</v>
      </c>
      <c r="K599" s="54" t="str">
        <f>IF($C599="B",INDEX(Batters[[#All],[INT]],MATCH(Table5[[#This Row],[PID]],Batters[[#All],[PID]],0)),INDEX(Table3[[#All],[INT]],MATCH(Table5[[#This Row],[PID]],Table3[[#All],[PID]],0)))</f>
        <v>Normal</v>
      </c>
      <c r="L599" s="62">
        <f>IF($C599="B",INDEX(Batters[[#All],[CON P]],MATCH(Table5[[#This Row],[PID]],Batters[[#All],[PID]],0)),INDEX(Table3[[#All],[STU P]],MATCH(Table5[[#This Row],[PID]],Table3[[#All],[PID]],0)))</f>
        <v>4</v>
      </c>
      <c r="M599" s="58">
        <f>IF($C599="B",INDEX(Batters[[#All],[GAP P]],MATCH(Table5[[#This Row],[PID]],Batters[[#All],[PID]],0)),INDEX(Table3[[#All],[MOV P]],MATCH(Table5[[#This Row],[PID]],Table3[[#All],[PID]],0)))</f>
        <v>2</v>
      </c>
      <c r="N599" s="58">
        <f>IF($C599="B",INDEX(Batters[[#All],[POW P]],MATCH(Table5[[#This Row],[PID]],Batters[[#All],[PID]],0)),INDEX(Table3[[#All],[CON P]],MATCH(Table5[[#This Row],[PID]],Table3[[#All],[PID]],0)))</f>
        <v>3</v>
      </c>
      <c r="O599" s="58" t="str">
        <f>IF($C599="B",INDEX(Batters[[#All],[EYE P]],MATCH(Table5[[#This Row],[PID]],Batters[[#All],[PID]],0)),INDEX(Table3[[#All],[VELO]],MATCH(Table5[[#This Row],[PID]],Table3[[#All],[PID]],0)))</f>
        <v>87-89 Mph</v>
      </c>
      <c r="P599" s="58">
        <f>IF($C599="B",INDEX(Batters[[#All],[K P]],MATCH(Table5[[#This Row],[PID]],Batters[[#All],[PID]],0)),INDEX(Table3[[#All],[STM]],MATCH(Table5[[#This Row],[PID]],Table3[[#All],[PID]],0)))</f>
        <v>9</v>
      </c>
      <c r="Q599" s="63">
        <f>IF($C599="B",INDEX(Batters[[#All],[Tot]],MATCH(Table5[[#This Row],[PID]],Batters[[#All],[PID]],0)),INDEX(Table3[[#All],[Tot]],MATCH(Table5[[#This Row],[PID]],Table3[[#All],[PID]],0)))</f>
        <v>29.160252227224539</v>
      </c>
      <c r="R599" s="54">
        <f>IF($C599="B",INDEX(Batters[[#All],[zScore]],MATCH(Table5[[#This Row],[PID]],Batters[[#All],[PID]],0)),INDEX(Table3[[#All],[zScore]],MATCH(Table5[[#This Row],[PID]],Table3[[#All],[PID]],0)))</f>
        <v>-0.32665049838303245</v>
      </c>
      <c r="S599" s="60" t="str">
        <f>IF($C599="B",INDEX(Batters[[#All],[DEM]],MATCH(Table5[[#This Row],[PID]],Batters[[#All],[PID]],0)),INDEX(Table3[[#All],[DEM]],MATCH(Table5[[#This Row],[PID]],Table3[[#All],[PID]],0)))</f>
        <v>$20k</v>
      </c>
      <c r="T599" s="64">
        <f>IF($C599="B",VLOOKUP($A599,Bat!$A$4:$AU$1417,46,FALSE),VLOOKUP($A599,Pit!$A$4:$BD$570,55,FALSE))</f>
        <v>0</v>
      </c>
      <c r="U599" s="52">
        <f>IF($C599="B",VLOOKUP($A599,Bat!$A$4:$BA$1417,47,FALSE),VLOOKUP($A599,Pit!$A$4:$BF$570,56,FALSE))</f>
        <v>0</v>
      </c>
      <c r="V599" s="52">
        <f>IF($C599="B",VLOOKUP($A599,Bat!$A$4:$BA$1417,48,FALSE),VLOOKUP($A599,Pit!$A$4:$BF$570,57,FALSE))</f>
        <v>0</v>
      </c>
      <c r="W599" s="52">
        <f>Table5[[#This Row],[posRnk]]+Table5[[#This Row],[zRnk]]+IF($W$3&lt;&gt;Table5[[#This Row],[Type]],50,0)</f>
        <v>645</v>
      </c>
      <c r="X599" s="53">
        <f>RANK(Table5[[#This Row],[zScore]],Table5[[#All],[zScore]])</f>
        <v>595</v>
      </c>
      <c r="Y599" s="52" t="str">
        <f>IFERROR(INDEX(DraftResults[[#All],[OVR]],MATCH(Table5[[#This Row],[PID]],DraftResults[[#All],[Player ID]],0)),"")</f>
        <v/>
      </c>
      <c r="Z5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9" s="52" t="str">
        <f>IFERROR(INDEX(DraftResults[[#All],[Pick in Round]],MATCH(Table5[[#This Row],[PID]],DraftResults[[#All],[Player ID]],0)),"")</f>
        <v/>
      </c>
      <c r="AB599" s="52" t="str">
        <f>IFERROR(INDEX(DraftResults[[#All],[Team Name]],MATCH(Table5[[#This Row],[PID]],DraftResults[[#All],[Player ID]],0)),"")</f>
        <v/>
      </c>
      <c r="AC599" s="52" t="str">
        <f>IF(Table5[[#This Row],[Ovr]]="","",IF(Table5[[#This Row],[cmbList]]="","",Table5[[#This Row],[cmbList]]-Table5[[#This Row],[Ovr]]))</f>
        <v/>
      </c>
      <c r="AD599" s="56" t="str">
        <f>IF(ISERROR(VLOOKUP($AB599&amp;"-"&amp;$E599&amp;" "&amp;F599,Bonuses!$B$1:$G$1006,4,FALSE)),"",INT(VLOOKUP($AB599&amp;"-"&amp;$E599&amp;" "&amp;$F599,Bonuses!$B$1:$G$1006,4,FALSE)))</f>
        <v/>
      </c>
      <c r="AE5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0" spans="1:31" s="52" customFormat="1" x14ac:dyDescent="0.25">
      <c r="A600" s="52">
        <v>4934</v>
      </c>
      <c r="B600" s="52">
        <f>COUNTIF(Table5[PID],A600)</f>
        <v>1</v>
      </c>
      <c r="C600" s="52" t="str">
        <f>IF(COUNTIF(Table3[[#All],[PID]],A600)&gt;0,"P","B")</f>
        <v>B</v>
      </c>
      <c r="D600" s="61" t="str">
        <f>IF($C600="B",INDEX(Batters[[#All],[POS]],MATCH(Table5[[#This Row],[PID]],Batters[[#All],[PID]],0)),INDEX(Table3[[#All],[POS]],MATCH(Table5[[#This Row],[PID]],Table3[[#All],[PID]],0)))</f>
        <v>CF</v>
      </c>
      <c r="E600" s="54" t="str">
        <f>IF($C600="B",INDEX(Batters[[#All],[First]],MATCH(Table5[[#This Row],[PID]],Batters[[#All],[PID]],0)),INDEX(Table3[[#All],[First]],MATCH(Table5[[#This Row],[PID]],Table3[[#All],[PID]],0)))</f>
        <v>Jesse</v>
      </c>
      <c r="F600" s="52" t="str">
        <f>IF($C600="B",INDEX(Batters[[#All],[Last]],MATCH(A600,Batters[[#All],[PID]],0)),INDEX(Table3[[#All],[Last]],MATCH(A600,Table3[[#All],[PID]],0)))</f>
        <v>Mendoza</v>
      </c>
      <c r="G600" s="58">
        <f>IF($C600="B",INDEX(Batters[[#All],[Age]],MATCH(Table5[[#This Row],[PID]],Batters[[#All],[PID]],0)),INDEX(Table3[[#All],[Age]],MATCH(Table5[[#This Row],[PID]],Table3[[#All],[PID]],0)))</f>
        <v>22</v>
      </c>
      <c r="H600" s="54" t="str">
        <f>IF($C600="B",INDEX(Batters[[#All],[B]],MATCH(Table5[[#This Row],[PID]],Batters[[#All],[PID]],0)),INDEX(Table3[[#All],[B]],MATCH(Table5[[#This Row],[PID]],Table3[[#All],[PID]],0)))</f>
        <v>L</v>
      </c>
      <c r="I600" s="54" t="str">
        <f>IF($C600="B",INDEX(Batters[[#All],[T]],MATCH(Table5[[#This Row],[PID]],Batters[[#All],[PID]],0)),INDEX(Table3[[#All],[T]],MATCH(Table5[[#This Row],[PID]],Table3[[#All],[PID]],0)))</f>
        <v>R</v>
      </c>
      <c r="J600" s="54" t="str">
        <f>IF($C600="B",INDEX(Batters[[#All],[WE]],MATCH(Table5[[#This Row],[PID]],Batters[[#All],[PID]],0)),INDEX(Table3[[#All],[WE]],MATCH(Table5[[#This Row],[PID]],Table3[[#All],[PID]],0)))</f>
        <v>Low</v>
      </c>
      <c r="K600" s="54" t="str">
        <f>IF($C600="B",INDEX(Batters[[#All],[INT]],MATCH(Table5[[#This Row],[PID]],Batters[[#All],[PID]],0)),INDEX(Table3[[#All],[INT]],MATCH(Table5[[#This Row],[PID]],Table3[[#All],[PID]],0)))</f>
        <v>Normal</v>
      </c>
      <c r="L600" s="62">
        <f>IF($C600="B",INDEX(Batters[[#All],[CON P]],MATCH(Table5[[#This Row],[PID]],Batters[[#All],[PID]],0)),INDEX(Table3[[#All],[STU P]],MATCH(Table5[[#This Row],[PID]],Table3[[#All],[PID]],0)))</f>
        <v>3</v>
      </c>
      <c r="M600" s="58">
        <f>IF($C600="B",INDEX(Batters[[#All],[GAP P]],MATCH(Table5[[#This Row],[PID]],Batters[[#All],[PID]],0)),INDEX(Table3[[#All],[MOV P]],MATCH(Table5[[#This Row],[PID]],Table3[[#All],[PID]],0)))</f>
        <v>4</v>
      </c>
      <c r="N600" s="58">
        <f>IF($C600="B",INDEX(Batters[[#All],[POW P]],MATCH(Table5[[#This Row],[PID]],Batters[[#All],[PID]],0)),INDEX(Table3[[#All],[CON P]],MATCH(Table5[[#This Row],[PID]],Table3[[#All],[PID]],0)))</f>
        <v>4</v>
      </c>
      <c r="O600" s="58">
        <f>IF($C600="B",INDEX(Batters[[#All],[EYE P]],MATCH(Table5[[#This Row],[PID]],Batters[[#All],[PID]],0)),INDEX(Table3[[#All],[VELO]],MATCH(Table5[[#This Row],[PID]],Table3[[#All],[PID]],0)))</f>
        <v>6</v>
      </c>
      <c r="P600" s="58">
        <f>IF($C600="B",INDEX(Batters[[#All],[K P]],MATCH(Table5[[#This Row],[PID]],Batters[[#All],[PID]],0)),INDEX(Table3[[#All],[STM]],MATCH(Table5[[#This Row],[PID]],Table3[[#All],[PID]],0)))</f>
        <v>2</v>
      </c>
      <c r="Q600" s="63">
        <f>IF($C600="B",INDEX(Batters[[#All],[Tot]],MATCH(Table5[[#This Row],[PID]],Batters[[#All],[PID]],0)),INDEX(Table3[[#All],[Tot]],MATCH(Table5[[#This Row],[PID]],Table3[[#All],[PID]],0)))</f>
        <v>38.482327871862275</v>
      </c>
      <c r="R600" s="54">
        <f>IF($C600="B",INDEX(Batters[[#All],[zScore]],MATCH(Table5[[#This Row],[PID]],Batters[[#All],[PID]],0)),INDEX(Table3[[#All],[zScore]],MATCH(Table5[[#This Row],[PID]],Table3[[#All],[PID]],0)))</f>
        <v>-0.32829613214794118</v>
      </c>
      <c r="S600" s="60" t="str">
        <f>IF($C600="B",INDEX(Batters[[#All],[DEM]],MATCH(Table5[[#This Row],[PID]],Batters[[#All],[PID]],0)),INDEX(Table3[[#All],[DEM]],MATCH(Table5[[#This Row],[PID]],Table3[[#All],[PID]],0)))</f>
        <v>-</v>
      </c>
      <c r="T600" s="64">
        <f>IF($C600="B",VLOOKUP($A600,Bat!$A$4:$AU$1417,46,FALSE),VLOOKUP($A600,Pit!$A$4:$BD$570,55,FALSE))</f>
        <v>0</v>
      </c>
      <c r="U600" s="52">
        <f>IF($C600="B",VLOOKUP($A600,Bat!$A$4:$BA$1417,47,FALSE),VLOOKUP($A600,Pit!$A$4:$BF$570,56,FALSE))</f>
        <v>0</v>
      </c>
      <c r="V600" s="52">
        <f>IF($C600="B",VLOOKUP($A600,Bat!$A$4:$BA$1417,48,FALSE),VLOOKUP($A600,Pit!$A$4:$BF$570,57,FALSE))</f>
        <v>0</v>
      </c>
      <c r="W600" s="52">
        <f>Table5[[#This Row],[posRnk]]+Table5[[#This Row],[zRnk]]+IF($W$3&lt;&gt;Table5[[#This Row],[Type]],50,0)</f>
        <v>646</v>
      </c>
      <c r="X600" s="53">
        <f>RANK(Table5[[#This Row],[zScore]],Table5[[#All],[zScore]])</f>
        <v>596</v>
      </c>
      <c r="Y600" s="52" t="str">
        <f>IFERROR(INDEX(DraftResults[[#All],[OVR]],MATCH(Table5[[#This Row],[PID]],DraftResults[[#All],[Player ID]],0)),"")</f>
        <v/>
      </c>
      <c r="Z6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0" s="52" t="str">
        <f>IFERROR(INDEX(DraftResults[[#All],[Pick in Round]],MATCH(Table5[[#This Row],[PID]],DraftResults[[#All],[Player ID]],0)),"")</f>
        <v/>
      </c>
      <c r="AB600" s="52" t="str">
        <f>IFERROR(INDEX(DraftResults[[#All],[Team Name]],MATCH(Table5[[#This Row],[PID]],DraftResults[[#All],[Player ID]],0)),"")</f>
        <v/>
      </c>
      <c r="AC600" s="52" t="str">
        <f>IF(Table5[[#This Row],[Ovr]]="","",IF(Table5[[#This Row],[cmbList]]="","",Table5[[#This Row],[cmbList]]-Table5[[#This Row],[Ovr]]))</f>
        <v/>
      </c>
      <c r="AD600" s="56" t="str">
        <f>IF(ISERROR(VLOOKUP($AB600&amp;"-"&amp;$E600&amp;" "&amp;F600,Bonuses!$B$1:$G$1006,4,FALSE)),"",INT(VLOOKUP($AB600&amp;"-"&amp;$E600&amp;" "&amp;$F600,Bonuses!$B$1:$G$1006,4,FALSE)))</f>
        <v/>
      </c>
      <c r="AE6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1" spans="1:31" s="52" customFormat="1" x14ac:dyDescent="0.25">
      <c r="A601" s="52">
        <v>12577</v>
      </c>
      <c r="B601" s="57">
        <f>COUNTIF(Table5[PID],A601)</f>
        <v>1</v>
      </c>
      <c r="C601" s="57" t="str">
        <f>IF(COUNTIF(Table3[[#All],[PID]],A601)&gt;0,"P","B")</f>
        <v>B</v>
      </c>
      <c r="D601" s="61" t="str">
        <f>IF($C601="B",INDEX(Batters[[#All],[POS]],MATCH(Table5[[#This Row],[PID]],Batters[[#All],[PID]],0)),INDEX(Table3[[#All],[POS]],MATCH(Table5[[#This Row],[PID]],Table3[[#All],[PID]],0)))</f>
        <v>RF</v>
      </c>
      <c r="E601" s="54" t="str">
        <f>IF($C601="B",INDEX(Batters[[#All],[First]],MATCH(Table5[[#This Row],[PID]],Batters[[#All],[PID]],0)),INDEX(Table3[[#All],[First]],MATCH(Table5[[#This Row],[PID]],Table3[[#All],[PID]],0)))</f>
        <v>Michael</v>
      </c>
      <c r="F601" s="52" t="str">
        <f>IF($C601="B",INDEX(Batters[[#All],[Last]],MATCH(A601,Batters[[#All],[PID]],0)),INDEX(Table3[[#All],[Last]],MATCH(A601,Table3[[#All],[PID]],0)))</f>
        <v>MacWilliams</v>
      </c>
      <c r="G601" s="58">
        <f>IF($C601="B",INDEX(Batters[[#All],[Age]],MATCH(Table5[[#This Row],[PID]],Batters[[#All],[PID]],0)),INDEX(Table3[[#All],[Age]],MATCH(Table5[[#This Row],[PID]],Table3[[#All],[PID]],0)))</f>
        <v>21</v>
      </c>
      <c r="H601" s="54" t="str">
        <f>IF($C601="B",INDEX(Batters[[#All],[B]],MATCH(Table5[[#This Row],[PID]],Batters[[#All],[PID]],0)),INDEX(Table3[[#All],[B]],MATCH(Table5[[#This Row],[PID]],Table3[[#All],[PID]],0)))</f>
        <v>S</v>
      </c>
      <c r="I601" s="54" t="str">
        <f>IF($C601="B",INDEX(Batters[[#All],[T]],MATCH(Table5[[#This Row],[PID]],Batters[[#All],[PID]],0)),INDEX(Table3[[#All],[T]],MATCH(Table5[[#This Row],[PID]],Table3[[#All],[PID]],0)))</f>
        <v>R</v>
      </c>
      <c r="J601" s="54" t="str">
        <f>IF($C601="B",INDEX(Batters[[#All],[WE]],MATCH(Table5[[#This Row],[PID]],Batters[[#All],[PID]],0)),INDEX(Table3[[#All],[WE]],MATCH(Table5[[#This Row],[PID]],Table3[[#All],[PID]],0)))</f>
        <v>Normal</v>
      </c>
      <c r="K601" s="54" t="str">
        <f>IF($C601="B",INDEX(Batters[[#All],[INT]],MATCH(Table5[[#This Row],[PID]],Batters[[#All],[PID]],0)),INDEX(Table3[[#All],[INT]],MATCH(Table5[[#This Row],[PID]],Table3[[#All],[PID]],0)))</f>
        <v>Normal</v>
      </c>
      <c r="L601" s="62">
        <f>IF($C601="B",INDEX(Batters[[#All],[CON P]],MATCH(Table5[[#This Row],[PID]],Batters[[#All],[PID]],0)),INDEX(Table3[[#All],[STU P]],MATCH(Table5[[#This Row],[PID]],Table3[[#All],[PID]],0)))</f>
        <v>3</v>
      </c>
      <c r="M601" s="58">
        <f>IF($C601="B",INDEX(Batters[[#All],[GAP P]],MATCH(Table5[[#This Row],[PID]],Batters[[#All],[PID]],0)),INDEX(Table3[[#All],[MOV P]],MATCH(Table5[[#This Row],[PID]],Table3[[#All],[PID]],0)))</f>
        <v>4</v>
      </c>
      <c r="N601" s="58">
        <f>IF($C601="B",INDEX(Batters[[#All],[POW P]],MATCH(Table5[[#This Row],[PID]],Batters[[#All],[PID]],0)),INDEX(Table3[[#All],[CON P]],MATCH(Table5[[#This Row],[PID]],Table3[[#All],[PID]],0)))</f>
        <v>3</v>
      </c>
      <c r="O601" s="58">
        <f>IF($C601="B",INDEX(Batters[[#All],[EYE P]],MATCH(Table5[[#This Row],[PID]],Batters[[#All],[PID]],0)),INDEX(Table3[[#All],[VELO]],MATCH(Table5[[#This Row],[PID]],Table3[[#All],[PID]],0)))</f>
        <v>5</v>
      </c>
      <c r="P601" s="58">
        <f>IF($C601="B",INDEX(Batters[[#All],[K P]],MATCH(Table5[[#This Row],[PID]],Batters[[#All],[PID]],0)),INDEX(Table3[[#All],[STM]],MATCH(Table5[[#This Row],[PID]],Table3[[#All],[PID]],0)))</f>
        <v>4</v>
      </c>
      <c r="Q601" s="63">
        <f>IF($C601="B",INDEX(Batters[[#All],[Tot]],MATCH(Table5[[#This Row],[PID]],Batters[[#All],[PID]],0)),INDEX(Table3[[#All],[Tot]],MATCH(Table5[[#This Row],[PID]],Table3[[#All],[PID]],0)))</f>
        <v>38.442115085686027</v>
      </c>
      <c r="R601" s="54">
        <f>IF($C601="B",INDEX(Batters[[#All],[zScore]],MATCH(Table5[[#This Row],[PID]],Batters[[#All],[PID]],0)),INDEX(Table3[[#All],[zScore]],MATCH(Table5[[#This Row],[PID]],Table3[[#All],[PID]],0)))</f>
        <v>-0.33537130460927544</v>
      </c>
      <c r="S601" s="60" t="str">
        <f>IF($C601="B",INDEX(Batters[[#All],[DEM]],MATCH(Table5[[#This Row],[PID]],Batters[[#All],[PID]],0)),INDEX(Table3[[#All],[DEM]],MATCH(Table5[[#This Row],[PID]],Table3[[#All],[PID]],0)))</f>
        <v>-</v>
      </c>
      <c r="T601" s="64">
        <f>IF($C601="B",VLOOKUP($A601,Bat!$A$4:$AU$1417,46,FALSE),VLOOKUP($A601,Pit!$A$4:$BD$570,55,FALSE))</f>
        <v>0</v>
      </c>
      <c r="U601" s="52">
        <f>IF($C601="B",VLOOKUP($A601,Bat!$A$4:$BA$1417,47,FALSE),VLOOKUP($A601,Pit!$A$4:$BF$570,56,FALSE))</f>
        <v>0</v>
      </c>
      <c r="V601" s="52">
        <f>IF($C601="B",VLOOKUP($A601,Bat!$A$4:$BA$1417,48,FALSE),VLOOKUP($A601,Pit!$A$4:$BF$570,57,FALSE))</f>
        <v>0</v>
      </c>
      <c r="W601" s="52">
        <f>Table5[[#This Row],[posRnk]]+Table5[[#This Row],[zRnk]]+IF($W$3&lt;&gt;Table5[[#This Row],[Type]],50,0)</f>
        <v>647</v>
      </c>
      <c r="X601" s="53">
        <f>RANK(Table5[[#This Row],[zScore]],Table5[[#All],[zScore]])</f>
        <v>597</v>
      </c>
      <c r="Y601" s="52" t="str">
        <f>IFERROR(INDEX(DraftResults[[#All],[OVR]],MATCH(Table5[[#This Row],[PID]],DraftResults[[#All],[Player ID]],0)),"")</f>
        <v/>
      </c>
      <c r="Z6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1" s="52" t="str">
        <f>IFERROR(INDEX(DraftResults[[#All],[Pick in Round]],MATCH(Table5[[#This Row],[PID]],DraftResults[[#All],[Player ID]],0)),"")</f>
        <v/>
      </c>
      <c r="AB601" s="52" t="str">
        <f>IFERROR(INDEX(DraftResults[[#All],[Team Name]],MATCH(Table5[[#This Row],[PID]],DraftResults[[#All],[Player ID]],0)),"")</f>
        <v/>
      </c>
      <c r="AC601" s="52" t="str">
        <f>IF(Table5[[#This Row],[Ovr]]="","",IF(Table5[[#This Row],[cmbList]]="","",Table5[[#This Row],[cmbList]]-Table5[[#This Row],[Ovr]]))</f>
        <v/>
      </c>
      <c r="AD601" s="56" t="str">
        <f>IF(ISERROR(VLOOKUP($AB601&amp;"-"&amp;$E601&amp;" "&amp;F601,Bonuses!$B$1:$G$1006,4,FALSE)),"",INT(VLOOKUP($AB601&amp;"-"&amp;$E601&amp;" "&amp;$F601,Bonuses!$B$1:$G$1006,4,FALSE)))</f>
        <v/>
      </c>
      <c r="AE6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2" spans="1:31" s="52" customFormat="1" x14ac:dyDescent="0.25">
      <c r="A602" s="52">
        <v>11717</v>
      </c>
      <c r="B602" s="52">
        <f>COUNTIF(Table5[PID],A602)</f>
        <v>1</v>
      </c>
      <c r="C602" s="52" t="str">
        <f>IF(COUNTIF(Table3[[#All],[PID]],A602)&gt;0,"P","B")</f>
        <v>P</v>
      </c>
      <c r="D602" s="61" t="str">
        <f>IF($C602="B",INDEX(Batters[[#All],[POS]],MATCH(Table5[[#This Row],[PID]],Batters[[#All],[PID]],0)),INDEX(Table3[[#All],[POS]],MATCH(Table5[[#This Row],[PID]],Table3[[#All],[PID]],0)))</f>
        <v>RP</v>
      </c>
      <c r="E602" s="54" t="str">
        <f>IF($C602="B",INDEX(Batters[[#All],[First]],MATCH(Table5[[#This Row],[PID]],Batters[[#All],[PID]],0)),INDEX(Table3[[#All],[First]],MATCH(Table5[[#This Row],[PID]],Table3[[#All],[PID]],0)))</f>
        <v>Lúcio</v>
      </c>
      <c r="F602" s="52" t="str">
        <f>IF($C602="B",INDEX(Batters[[#All],[Last]],MATCH(A602,Batters[[#All],[PID]],0)),INDEX(Table3[[#All],[Last]],MATCH(A602,Table3[[#All],[PID]],0)))</f>
        <v>Andrade</v>
      </c>
      <c r="G602" s="58">
        <f>IF($C602="B",INDEX(Batters[[#All],[Age]],MATCH(Table5[[#This Row],[PID]],Batters[[#All],[PID]],0)),INDEX(Table3[[#All],[Age]],MATCH(Table5[[#This Row],[PID]],Table3[[#All],[PID]],0)))</f>
        <v>21</v>
      </c>
      <c r="H602" s="54" t="str">
        <f>IF($C602="B",INDEX(Batters[[#All],[B]],MATCH(Table5[[#This Row],[PID]],Batters[[#All],[PID]],0)),INDEX(Table3[[#All],[B]],MATCH(Table5[[#This Row],[PID]],Table3[[#All],[PID]],0)))</f>
        <v>R</v>
      </c>
      <c r="I602" s="54" t="str">
        <f>IF($C602="B",INDEX(Batters[[#All],[T]],MATCH(Table5[[#This Row],[PID]],Batters[[#All],[PID]],0)),INDEX(Table3[[#All],[T]],MATCH(Table5[[#This Row],[PID]],Table3[[#All],[PID]],0)))</f>
        <v>R</v>
      </c>
      <c r="J602" s="54" t="str">
        <f>IF($C602="B",INDEX(Batters[[#All],[WE]],MATCH(Table5[[#This Row],[PID]],Batters[[#All],[PID]],0)),INDEX(Table3[[#All],[WE]],MATCH(Table5[[#This Row],[PID]],Table3[[#All],[PID]],0)))</f>
        <v>Low</v>
      </c>
      <c r="K602" s="54" t="str">
        <f>IF($C602="B",INDEX(Batters[[#All],[INT]],MATCH(Table5[[#This Row],[PID]],Batters[[#All],[PID]],0)),INDEX(Table3[[#All],[INT]],MATCH(Table5[[#This Row],[PID]],Table3[[#All],[PID]],0)))</f>
        <v>Normal</v>
      </c>
      <c r="L602" s="62">
        <f>IF($C602="B",INDEX(Batters[[#All],[CON P]],MATCH(Table5[[#This Row],[PID]],Batters[[#All],[PID]],0)),INDEX(Table3[[#All],[STU P]],MATCH(Table5[[#This Row],[PID]],Table3[[#All],[PID]],0)))</f>
        <v>5</v>
      </c>
      <c r="M602" s="58">
        <f>IF($C602="B",INDEX(Batters[[#All],[GAP P]],MATCH(Table5[[#This Row],[PID]],Batters[[#All],[PID]],0)),INDEX(Table3[[#All],[MOV P]],MATCH(Table5[[#This Row],[PID]],Table3[[#All],[PID]],0)))</f>
        <v>2</v>
      </c>
      <c r="N602" s="58">
        <f>IF($C602="B",INDEX(Batters[[#All],[POW P]],MATCH(Table5[[#This Row],[PID]],Batters[[#All],[PID]],0)),INDEX(Table3[[#All],[CON P]],MATCH(Table5[[#This Row],[PID]],Table3[[#All],[PID]],0)))</f>
        <v>2</v>
      </c>
      <c r="O602" s="58" t="str">
        <f>IF($C602="B",INDEX(Batters[[#All],[EYE P]],MATCH(Table5[[#This Row],[PID]],Batters[[#All],[PID]],0)),INDEX(Table3[[#All],[VELO]],MATCH(Table5[[#This Row],[PID]],Table3[[#All],[PID]],0)))</f>
        <v>94-96 Mph</v>
      </c>
      <c r="P602" s="58">
        <f>IF($C602="B",INDEX(Batters[[#All],[K P]],MATCH(Table5[[#This Row],[PID]],Batters[[#All],[PID]],0)),INDEX(Table3[[#All],[STM]],MATCH(Table5[[#This Row],[PID]],Table3[[#All],[PID]],0)))</f>
        <v>7</v>
      </c>
      <c r="Q602" s="63">
        <f>IF($C602="B",INDEX(Batters[[#All],[Tot]],MATCH(Table5[[#This Row],[PID]],Batters[[#All],[PID]],0)),INDEX(Table3[[#All],[Tot]],MATCH(Table5[[#This Row],[PID]],Table3[[#All],[PID]],0)))</f>
        <v>29.01684508671724</v>
      </c>
      <c r="R602" s="54">
        <f>IF($C602="B",INDEX(Batters[[#All],[zScore]],MATCH(Table5[[#This Row],[PID]],Batters[[#All],[PID]],0)),INDEX(Table3[[#All],[zScore]],MATCH(Table5[[#This Row],[PID]],Table3[[#All],[PID]],0)))</f>
        <v>-0.33980154610255248</v>
      </c>
      <c r="S602" s="60" t="str">
        <f>IF($C602="B",INDEX(Batters[[#All],[DEM]],MATCH(Table5[[#This Row],[PID]],Batters[[#All],[PID]],0)),INDEX(Table3[[#All],[DEM]],MATCH(Table5[[#This Row],[PID]],Table3[[#All],[PID]],0)))</f>
        <v>-</v>
      </c>
      <c r="T602" s="64">
        <f>IF($C602="B",VLOOKUP($A602,Bat!$A$4:$AU$1417,46,FALSE),VLOOKUP($A602,Pit!$A$4:$BD$570,55,FALSE))</f>
        <v>0</v>
      </c>
      <c r="U602" s="52">
        <f>IF($C602="B",VLOOKUP($A602,Bat!$A$4:$BA$1417,47,FALSE),VLOOKUP($A602,Pit!$A$4:$BF$570,56,FALSE))</f>
        <v>0</v>
      </c>
      <c r="V602" s="52">
        <f>IF($C602="B",VLOOKUP($A602,Bat!$A$4:$BA$1417,48,FALSE),VLOOKUP($A602,Pit!$A$4:$BF$570,57,FALSE))</f>
        <v>0</v>
      </c>
      <c r="W602" s="52">
        <f>Table5[[#This Row],[posRnk]]+Table5[[#This Row],[zRnk]]+IF($W$3&lt;&gt;Table5[[#This Row],[Type]],50,0)</f>
        <v>648</v>
      </c>
      <c r="X602" s="53">
        <f>RANK(Table5[[#This Row],[zScore]],Table5[[#All],[zScore]])</f>
        <v>598</v>
      </c>
      <c r="Y602" s="52" t="str">
        <f>IFERROR(INDEX(DraftResults[[#All],[OVR]],MATCH(Table5[[#This Row],[PID]],DraftResults[[#All],[Player ID]],0)),"")</f>
        <v/>
      </c>
      <c r="Z6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2" s="52" t="str">
        <f>IFERROR(INDEX(DraftResults[[#All],[Pick in Round]],MATCH(Table5[[#This Row],[PID]],DraftResults[[#All],[Player ID]],0)),"")</f>
        <v/>
      </c>
      <c r="AB602" s="52" t="str">
        <f>IFERROR(INDEX(DraftResults[[#All],[Team Name]],MATCH(Table5[[#This Row],[PID]],DraftResults[[#All],[Player ID]],0)),"")</f>
        <v/>
      </c>
      <c r="AC602" s="52" t="str">
        <f>IF(Table5[[#This Row],[Ovr]]="","",IF(Table5[[#This Row],[cmbList]]="","",Table5[[#This Row],[cmbList]]-Table5[[#This Row],[Ovr]]))</f>
        <v/>
      </c>
      <c r="AD602" s="56" t="str">
        <f>IF(ISERROR(VLOOKUP($AB602&amp;"-"&amp;$E602&amp;" "&amp;F602,Bonuses!$B$1:$G$1006,4,FALSE)),"",INT(VLOOKUP($AB602&amp;"-"&amp;$E602&amp;" "&amp;$F602,Bonuses!$B$1:$G$1006,4,FALSE)))</f>
        <v/>
      </c>
      <c r="AE6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3" spans="1:31" s="52" customFormat="1" x14ac:dyDescent="0.25">
      <c r="A603" s="52">
        <v>11838</v>
      </c>
      <c r="B603" s="52">
        <f>COUNTIF(Table5[PID],A603)</f>
        <v>1</v>
      </c>
      <c r="C603" s="52" t="str">
        <f>IF(COUNTIF(Table3[[#All],[PID]],A603)&gt;0,"P","B")</f>
        <v>B</v>
      </c>
      <c r="D603" s="61" t="str">
        <f>IF($C603="B",INDEX(Batters[[#All],[POS]],MATCH(Table5[[#This Row],[PID]],Batters[[#All],[PID]],0)),INDEX(Table3[[#All],[POS]],MATCH(Table5[[#This Row],[PID]],Table3[[#All],[PID]],0)))</f>
        <v>C</v>
      </c>
      <c r="E603" s="54" t="str">
        <f>IF($C603="B",INDEX(Batters[[#All],[First]],MATCH(Table5[[#This Row],[PID]],Batters[[#All],[PID]],0)),INDEX(Table3[[#All],[First]],MATCH(Table5[[#This Row],[PID]],Table3[[#All],[PID]],0)))</f>
        <v>Hidekazu</v>
      </c>
      <c r="F603" s="52" t="str">
        <f>IF($C603="B",INDEX(Batters[[#All],[Last]],MATCH(A603,Batters[[#All],[PID]],0)),INDEX(Table3[[#All],[Last]],MATCH(A603,Table3[[#All],[PID]],0)))</f>
        <v>Suzuki</v>
      </c>
      <c r="G603" s="58">
        <f>IF($C603="B",INDEX(Batters[[#All],[Age]],MATCH(Table5[[#This Row],[PID]],Batters[[#All],[PID]],0)),INDEX(Table3[[#All],[Age]],MATCH(Table5[[#This Row],[PID]],Table3[[#All],[PID]],0)))</f>
        <v>21</v>
      </c>
      <c r="H603" s="54" t="str">
        <f>IF($C603="B",INDEX(Batters[[#All],[B]],MATCH(Table5[[#This Row],[PID]],Batters[[#All],[PID]],0)),INDEX(Table3[[#All],[B]],MATCH(Table5[[#This Row],[PID]],Table3[[#All],[PID]],0)))</f>
        <v>L</v>
      </c>
      <c r="I603" s="54" t="str">
        <f>IF($C603="B",INDEX(Batters[[#All],[T]],MATCH(Table5[[#This Row],[PID]],Batters[[#All],[PID]],0)),INDEX(Table3[[#All],[T]],MATCH(Table5[[#This Row],[PID]],Table3[[#All],[PID]],0)))</f>
        <v>R</v>
      </c>
      <c r="J603" s="54" t="str">
        <f>IF($C603="B",INDEX(Batters[[#All],[WE]],MATCH(Table5[[#This Row],[PID]],Batters[[#All],[PID]],0)),INDEX(Table3[[#All],[WE]],MATCH(Table5[[#This Row],[PID]],Table3[[#All],[PID]],0)))</f>
        <v>Normal</v>
      </c>
      <c r="K603" s="54" t="str">
        <f>IF($C603="B",INDEX(Batters[[#All],[INT]],MATCH(Table5[[#This Row],[PID]],Batters[[#All],[PID]],0)),INDEX(Table3[[#All],[INT]],MATCH(Table5[[#This Row],[PID]],Table3[[#All],[PID]],0)))</f>
        <v>High</v>
      </c>
      <c r="L603" s="62">
        <f>IF($C603="B",INDEX(Batters[[#All],[CON P]],MATCH(Table5[[#This Row],[PID]],Batters[[#All],[PID]],0)),INDEX(Table3[[#All],[STU P]],MATCH(Table5[[#This Row],[PID]],Table3[[#All],[PID]],0)))</f>
        <v>3</v>
      </c>
      <c r="M603" s="58">
        <f>IF($C603="B",INDEX(Batters[[#All],[GAP P]],MATCH(Table5[[#This Row],[PID]],Batters[[#All],[PID]],0)),INDEX(Table3[[#All],[MOV P]],MATCH(Table5[[#This Row],[PID]],Table3[[#All],[PID]],0)))</f>
        <v>5</v>
      </c>
      <c r="N603" s="58">
        <f>IF($C603="B",INDEX(Batters[[#All],[POW P]],MATCH(Table5[[#This Row],[PID]],Batters[[#All],[PID]],0)),INDEX(Table3[[#All],[CON P]],MATCH(Table5[[#This Row],[PID]],Table3[[#All],[PID]],0)))</f>
        <v>4</v>
      </c>
      <c r="O603" s="58">
        <f>IF($C603="B",INDEX(Batters[[#All],[EYE P]],MATCH(Table5[[#This Row],[PID]],Batters[[#All],[PID]],0)),INDEX(Table3[[#All],[VELO]],MATCH(Table5[[#This Row],[PID]],Table3[[#All],[PID]],0)))</f>
        <v>5</v>
      </c>
      <c r="P603" s="58">
        <f>IF($C603="B",INDEX(Batters[[#All],[K P]],MATCH(Table5[[#This Row],[PID]],Batters[[#All],[PID]],0)),INDEX(Table3[[#All],[STM]],MATCH(Table5[[#This Row],[PID]],Table3[[#All],[PID]],0)))</f>
        <v>3</v>
      </c>
      <c r="Q603" s="63">
        <f>IF($C603="B",INDEX(Batters[[#All],[Tot]],MATCH(Table5[[#This Row],[PID]],Batters[[#All],[PID]],0)),INDEX(Table3[[#All],[Tot]],MATCH(Table5[[#This Row],[PID]],Table3[[#All],[PID]],0)))</f>
        <v>38.414784133906736</v>
      </c>
      <c r="R603" s="54">
        <f>IF($C603="B",INDEX(Batters[[#All],[zScore]],MATCH(Table5[[#This Row],[PID]],Batters[[#All],[PID]],0)),INDEX(Table3[[#All],[zScore]],MATCH(Table5[[#This Row],[PID]],Table3[[#All],[PID]],0)))</f>
        <v>-0.34018000392504461</v>
      </c>
      <c r="S603" s="60" t="str">
        <f>IF($C603="B",INDEX(Batters[[#All],[DEM]],MATCH(Table5[[#This Row],[PID]],Batters[[#All],[PID]],0)),INDEX(Table3[[#All],[DEM]],MATCH(Table5[[#This Row],[PID]],Table3[[#All],[PID]],0)))</f>
        <v>-</v>
      </c>
      <c r="T603" s="64">
        <f>IF($C603="B",VLOOKUP($A603,Bat!$A$4:$AU$1417,46,FALSE),VLOOKUP($A603,Pit!$A$4:$BD$570,55,FALSE))</f>
        <v>0</v>
      </c>
      <c r="U603" s="52">
        <f>IF($C603="B",VLOOKUP($A603,Bat!$A$4:$BA$1417,47,FALSE),VLOOKUP($A603,Pit!$A$4:$BF$570,56,FALSE))</f>
        <v>0</v>
      </c>
      <c r="V603" s="52">
        <f>IF($C603="B",VLOOKUP($A603,Bat!$A$4:$BA$1417,48,FALSE),VLOOKUP($A603,Pit!$A$4:$BF$570,57,FALSE))</f>
        <v>0</v>
      </c>
      <c r="W603" s="52">
        <f>Table5[[#This Row],[posRnk]]+Table5[[#This Row],[zRnk]]+IF($W$3&lt;&gt;Table5[[#This Row],[Type]],50,0)</f>
        <v>649</v>
      </c>
      <c r="X603" s="53">
        <f>RANK(Table5[[#This Row],[zScore]],Table5[[#All],[zScore]])</f>
        <v>599</v>
      </c>
      <c r="Y603" s="52" t="str">
        <f>IFERROR(INDEX(DraftResults[[#All],[OVR]],MATCH(Table5[[#This Row],[PID]],DraftResults[[#All],[Player ID]],0)),"")</f>
        <v/>
      </c>
      <c r="Z6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3" s="52" t="str">
        <f>IFERROR(INDEX(DraftResults[[#All],[Pick in Round]],MATCH(Table5[[#This Row],[PID]],DraftResults[[#All],[Player ID]],0)),"")</f>
        <v/>
      </c>
      <c r="AB603" s="52" t="str">
        <f>IFERROR(INDEX(DraftResults[[#All],[Team Name]],MATCH(Table5[[#This Row],[PID]],DraftResults[[#All],[Player ID]],0)),"")</f>
        <v/>
      </c>
      <c r="AC603" s="52" t="str">
        <f>IF(Table5[[#This Row],[Ovr]]="","",IF(Table5[[#This Row],[cmbList]]="","",Table5[[#This Row],[cmbList]]-Table5[[#This Row],[Ovr]]))</f>
        <v/>
      </c>
      <c r="AD603" s="56" t="str">
        <f>IF(ISERROR(VLOOKUP($AB603&amp;"-"&amp;$E603&amp;" "&amp;F603,Bonuses!$B$1:$G$1006,4,FALSE)),"",INT(VLOOKUP($AB603&amp;"-"&amp;$E603&amp;" "&amp;$F603,Bonuses!$B$1:$G$1006,4,FALSE)))</f>
        <v/>
      </c>
      <c r="AE6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4" spans="1:31" s="52" customFormat="1" x14ac:dyDescent="0.25">
      <c r="A604" s="52">
        <v>9470</v>
      </c>
      <c r="B604" s="52">
        <f>COUNTIF(Table5[PID],A604)</f>
        <v>1</v>
      </c>
      <c r="C604" s="52" t="str">
        <f>IF(COUNTIF(Table3[[#All],[PID]],A604)&gt;0,"P","B")</f>
        <v>P</v>
      </c>
      <c r="D604" s="61" t="str">
        <f>IF($C604="B",INDEX(Batters[[#All],[POS]],MATCH(Table5[[#This Row],[PID]],Batters[[#All],[PID]],0)),INDEX(Table3[[#All],[POS]],MATCH(Table5[[#This Row],[PID]],Table3[[#All],[PID]],0)))</f>
        <v>RP</v>
      </c>
      <c r="E604" s="54" t="str">
        <f>IF($C604="B",INDEX(Batters[[#All],[First]],MATCH(Table5[[#This Row],[PID]],Batters[[#All],[PID]],0)),INDEX(Table3[[#All],[First]],MATCH(Table5[[#This Row],[PID]],Table3[[#All],[PID]],0)))</f>
        <v>Yoshitsune</v>
      </c>
      <c r="F604" s="52" t="str">
        <f>IF($C604="B",INDEX(Batters[[#All],[Last]],MATCH(A604,Batters[[#All],[PID]],0)),INDEX(Table3[[#All],[Last]],MATCH(A604,Table3[[#All],[PID]],0)))</f>
        <v>Yamane</v>
      </c>
      <c r="G604" s="58">
        <f>IF($C604="B",INDEX(Batters[[#All],[Age]],MATCH(Table5[[#This Row],[PID]],Batters[[#All],[PID]],0)),INDEX(Table3[[#All],[Age]],MATCH(Table5[[#This Row],[PID]],Table3[[#All],[PID]],0)))</f>
        <v>21</v>
      </c>
      <c r="H604" s="54" t="str">
        <f>IF($C604="B",INDEX(Batters[[#All],[B]],MATCH(Table5[[#This Row],[PID]],Batters[[#All],[PID]],0)),INDEX(Table3[[#All],[B]],MATCH(Table5[[#This Row],[PID]],Table3[[#All],[PID]],0)))</f>
        <v>R</v>
      </c>
      <c r="I604" s="54" t="str">
        <f>IF($C604="B",INDEX(Batters[[#All],[T]],MATCH(Table5[[#This Row],[PID]],Batters[[#All],[PID]],0)),INDEX(Table3[[#All],[T]],MATCH(Table5[[#This Row],[PID]],Table3[[#All],[PID]],0)))</f>
        <v>R</v>
      </c>
      <c r="J604" s="54" t="str">
        <f>IF($C604="B",INDEX(Batters[[#All],[WE]],MATCH(Table5[[#This Row],[PID]],Batters[[#All],[PID]],0)),INDEX(Table3[[#All],[WE]],MATCH(Table5[[#This Row],[PID]],Table3[[#All],[PID]],0)))</f>
        <v>Normal</v>
      </c>
      <c r="K604" s="54" t="str">
        <f>IF($C604="B",INDEX(Batters[[#All],[INT]],MATCH(Table5[[#This Row],[PID]],Batters[[#All],[PID]],0)),INDEX(Table3[[#All],[INT]],MATCH(Table5[[#This Row],[PID]],Table3[[#All],[PID]],0)))</f>
        <v>Normal</v>
      </c>
      <c r="L604" s="62">
        <f>IF($C604="B",INDEX(Batters[[#All],[CON P]],MATCH(Table5[[#This Row],[PID]],Batters[[#All],[PID]],0)),INDEX(Table3[[#All],[STU P]],MATCH(Table5[[#This Row],[PID]],Table3[[#All],[PID]],0)))</f>
        <v>5</v>
      </c>
      <c r="M604" s="58">
        <f>IF($C604="B",INDEX(Batters[[#All],[GAP P]],MATCH(Table5[[#This Row],[PID]],Batters[[#All],[PID]],0)),INDEX(Table3[[#All],[MOV P]],MATCH(Table5[[#This Row],[PID]],Table3[[#All],[PID]],0)))</f>
        <v>2</v>
      </c>
      <c r="N604" s="58">
        <f>IF($C604="B",INDEX(Batters[[#All],[POW P]],MATCH(Table5[[#This Row],[PID]],Batters[[#All],[PID]],0)),INDEX(Table3[[#All],[CON P]],MATCH(Table5[[#This Row],[PID]],Table3[[#All],[PID]],0)))</f>
        <v>2</v>
      </c>
      <c r="O604" s="58" t="str">
        <f>IF($C604="B",INDEX(Batters[[#All],[EYE P]],MATCH(Table5[[#This Row],[PID]],Batters[[#All],[PID]],0)),INDEX(Table3[[#All],[VELO]],MATCH(Table5[[#This Row],[PID]],Table3[[#All],[PID]],0)))</f>
        <v>90-92 Mph</v>
      </c>
      <c r="P604" s="58">
        <f>IF($C604="B",INDEX(Batters[[#All],[K P]],MATCH(Table5[[#This Row],[PID]],Batters[[#All],[PID]],0)),INDEX(Table3[[#All],[STM]],MATCH(Table5[[#This Row],[PID]],Table3[[#All],[PID]],0)))</f>
        <v>6</v>
      </c>
      <c r="Q604" s="63">
        <f>IF($C604="B",INDEX(Batters[[#All],[Tot]],MATCH(Table5[[#This Row],[PID]],Batters[[#All],[PID]],0)),INDEX(Table3[[#All],[Tot]],MATCH(Table5[[#This Row],[PID]],Table3[[#All],[PID]],0)))</f>
        <v>28.998797194020256</v>
      </c>
      <c r="R604" s="54">
        <f>IF($C604="B",INDEX(Batters[[#All],[zScore]],MATCH(Table5[[#This Row],[PID]],Batters[[#All],[PID]],0)),INDEX(Table3[[#All],[zScore]],MATCH(Table5[[#This Row],[PID]],Table3[[#All],[PID]],0)))</f>
        <v>-0.34145661500118052</v>
      </c>
      <c r="S604" s="60" t="str">
        <f>IF($C604="B",INDEX(Batters[[#All],[DEM]],MATCH(Table5[[#This Row],[PID]],Batters[[#All],[PID]],0)),INDEX(Table3[[#All],[DEM]],MATCH(Table5[[#This Row],[PID]],Table3[[#All],[PID]],0)))</f>
        <v>-</v>
      </c>
      <c r="T604" s="64">
        <f>IF($C604="B",VLOOKUP($A604,Bat!$A$4:$AU$1417,46,FALSE),VLOOKUP($A604,Pit!$A$4:$BD$570,55,FALSE))</f>
        <v>0</v>
      </c>
      <c r="U604" s="52">
        <f>IF($C604="B",VLOOKUP($A604,Bat!$A$4:$BA$1417,47,FALSE),VLOOKUP($A604,Pit!$A$4:$BF$570,56,FALSE))</f>
        <v>0</v>
      </c>
      <c r="V604" s="52">
        <f>IF($C604="B",VLOOKUP($A604,Bat!$A$4:$BA$1417,48,FALSE),VLOOKUP($A604,Pit!$A$4:$BF$570,57,FALSE))</f>
        <v>0</v>
      </c>
      <c r="W604" s="52">
        <f>Table5[[#This Row],[posRnk]]+Table5[[#This Row],[zRnk]]+IF($W$3&lt;&gt;Table5[[#This Row],[Type]],50,0)</f>
        <v>650</v>
      </c>
      <c r="X604" s="53">
        <f>RANK(Table5[[#This Row],[zScore]],Table5[[#All],[zScore]])</f>
        <v>600</v>
      </c>
      <c r="Y604" s="52" t="str">
        <f>IFERROR(INDEX(DraftResults[[#All],[OVR]],MATCH(Table5[[#This Row],[PID]],DraftResults[[#All],[Player ID]],0)),"")</f>
        <v/>
      </c>
      <c r="Z6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4" s="52" t="str">
        <f>IFERROR(INDEX(DraftResults[[#All],[Pick in Round]],MATCH(Table5[[#This Row],[PID]],DraftResults[[#All],[Player ID]],0)),"")</f>
        <v/>
      </c>
      <c r="AB604" s="52" t="str">
        <f>IFERROR(INDEX(DraftResults[[#All],[Team Name]],MATCH(Table5[[#This Row],[PID]],DraftResults[[#All],[Player ID]],0)),"")</f>
        <v/>
      </c>
      <c r="AC604" s="52" t="str">
        <f>IF(Table5[[#This Row],[Ovr]]="","",IF(Table5[[#This Row],[cmbList]]="","",Table5[[#This Row],[cmbList]]-Table5[[#This Row],[Ovr]]))</f>
        <v/>
      </c>
      <c r="AD604" s="56" t="str">
        <f>IF(ISERROR(VLOOKUP($AB604&amp;"-"&amp;$E604&amp;" "&amp;F604,Bonuses!$B$1:$G$1006,4,FALSE)),"",INT(VLOOKUP($AB604&amp;"-"&amp;$E604&amp;" "&amp;$F604,Bonuses!$B$1:$G$1006,4,FALSE)))</f>
        <v/>
      </c>
      <c r="AE6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5" spans="1:31" s="52" customFormat="1" x14ac:dyDescent="0.25">
      <c r="A605" s="52">
        <v>5776</v>
      </c>
      <c r="B605" s="52">
        <f>COUNTIF(Table5[PID],A605)</f>
        <v>1</v>
      </c>
      <c r="C605" s="52" t="str">
        <f>IF(COUNTIF(Table3[[#All],[PID]],A605)&gt;0,"P","B")</f>
        <v>P</v>
      </c>
      <c r="D605" s="61" t="str">
        <f>IF($C605="B",INDEX(Batters[[#All],[POS]],MATCH(Table5[[#This Row],[PID]],Batters[[#All],[PID]],0)),INDEX(Table3[[#All],[POS]],MATCH(Table5[[#This Row],[PID]],Table3[[#All],[PID]],0)))</f>
        <v>RP</v>
      </c>
      <c r="E605" s="54" t="str">
        <f>IF($C605="B",INDEX(Batters[[#All],[First]],MATCH(Table5[[#This Row],[PID]],Batters[[#All],[PID]],0)),INDEX(Table3[[#All],[First]],MATCH(Table5[[#This Row],[PID]],Table3[[#All],[PID]],0)))</f>
        <v>Juan</v>
      </c>
      <c r="F605" s="52" t="str">
        <f>IF($C605="B",INDEX(Batters[[#All],[Last]],MATCH(A605,Batters[[#All],[PID]],0)),INDEX(Table3[[#All],[Last]],MATCH(A605,Table3[[#All],[PID]],0)))</f>
        <v>Ramos</v>
      </c>
      <c r="G605" s="58">
        <f>IF($C605="B",INDEX(Batters[[#All],[Age]],MATCH(Table5[[#This Row],[PID]],Batters[[#All],[PID]],0)),INDEX(Table3[[#All],[Age]],MATCH(Table5[[#This Row],[PID]],Table3[[#All],[PID]],0)))</f>
        <v>18</v>
      </c>
      <c r="H605" s="54" t="str">
        <f>IF($C605="B",INDEX(Batters[[#All],[B]],MATCH(Table5[[#This Row],[PID]],Batters[[#All],[PID]],0)),INDEX(Table3[[#All],[B]],MATCH(Table5[[#This Row],[PID]],Table3[[#All],[PID]],0)))</f>
        <v>R</v>
      </c>
      <c r="I605" s="54" t="str">
        <f>IF($C605="B",INDEX(Batters[[#All],[T]],MATCH(Table5[[#This Row],[PID]],Batters[[#All],[PID]],0)),INDEX(Table3[[#All],[T]],MATCH(Table5[[#This Row],[PID]],Table3[[#All],[PID]],0)))</f>
        <v>R</v>
      </c>
      <c r="J605" s="54" t="str">
        <f>IF($C605="B",INDEX(Batters[[#All],[WE]],MATCH(Table5[[#This Row],[PID]],Batters[[#All],[PID]],0)),INDEX(Table3[[#All],[WE]],MATCH(Table5[[#This Row],[PID]],Table3[[#All],[PID]],0)))</f>
        <v>Normal</v>
      </c>
      <c r="K605" s="54" t="str">
        <f>IF($C605="B",INDEX(Batters[[#All],[INT]],MATCH(Table5[[#This Row],[PID]],Batters[[#All],[PID]],0)),INDEX(Table3[[#All],[INT]],MATCH(Table5[[#This Row],[PID]],Table3[[#All],[PID]],0)))</f>
        <v>Normal</v>
      </c>
      <c r="L605" s="62">
        <f>IF($C605="B",INDEX(Batters[[#All],[CON P]],MATCH(Table5[[#This Row],[PID]],Batters[[#All],[PID]],0)),INDEX(Table3[[#All],[STU P]],MATCH(Table5[[#This Row],[PID]],Table3[[#All],[PID]],0)))</f>
        <v>5</v>
      </c>
      <c r="M605" s="58">
        <f>IF($C605="B",INDEX(Batters[[#All],[GAP P]],MATCH(Table5[[#This Row],[PID]],Batters[[#All],[PID]],0)),INDEX(Table3[[#All],[MOV P]],MATCH(Table5[[#This Row],[PID]],Table3[[#All],[PID]],0)))</f>
        <v>1</v>
      </c>
      <c r="N605" s="58">
        <f>IF($C605="B",INDEX(Batters[[#All],[POW P]],MATCH(Table5[[#This Row],[PID]],Batters[[#All],[PID]],0)),INDEX(Table3[[#All],[CON P]],MATCH(Table5[[#This Row],[PID]],Table3[[#All],[PID]],0)))</f>
        <v>2</v>
      </c>
      <c r="O605" s="58" t="str">
        <f>IF($C605="B",INDEX(Batters[[#All],[EYE P]],MATCH(Table5[[#This Row],[PID]],Batters[[#All],[PID]],0)),INDEX(Table3[[#All],[VELO]],MATCH(Table5[[#This Row],[PID]],Table3[[#All],[PID]],0)))</f>
        <v>93-95 Mph</v>
      </c>
      <c r="P605" s="58">
        <f>IF($C605="B",INDEX(Batters[[#All],[K P]],MATCH(Table5[[#This Row],[PID]],Batters[[#All],[PID]],0)),INDEX(Table3[[#All],[STM]],MATCH(Table5[[#This Row],[PID]],Table3[[#All],[PID]],0)))</f>
        <v>7</v>
      </c>
      <c r="Q605" s="63">
        <f>IF($C605="B",INDEX(Batters[[#All],[Tot]],MATCH(Table5[[#This Row],[PID]],Batters[[#All],[PID]],0)),INDEX(Table3[[#All],[Tot]],MATCH(Table5[[#This Row],[PID]],Table3[[#All],[PID]],0)))</f>
        <v>28.989333178376722</v>
      </c>
      <c r="R605" s="54">
        <f>IF($C605="B",INDEX(Batters[[#All],[zScore]],MATCH(Table5[[#This Row],[PID]],Batters[[#All],[PID]],0)),INDEX(Table3[[#All],[zScore]],MATCH(Table5[[#This Row],[PID]],Table3[[#All],[PID]],0)))</f>
        <v>-0.34232450568574557</v>
      </c>
      <c r="S605" s="60" t="str">
        <f>IF($C605="B",INDEX(Batters[[#All],[DEM]],MATCH(Table5[[#This Row],[PID]],Batters[[#All],[PID]],0)),INDEX(Table3[[#All],[DEM]],MATCH(Table5[[#This Row],[PID]],Table3[[#All],[PID]],0)))</f>
        <v>$65k</v>
      </c>
      <c r="T605" s="64">
        <f>IF($C605="B",VLOOKUP($A605,Bat!$A$4:$AU$1417,46,FALSE),VLOOKUP($A605,Pit!$A$4:$BD$570,55,FALSE))</f>
        <v>0</v>
      </c>
      <c r="U605" s="52">
        <f>IF($C605="B",VLOOKUP($A605,Bat!$A$4:$BA$1417,47,FALSE),VLOOKUP($A605,Pit!$A$4:$BF$570,56,FALSE))</f>
        <v>0</v>
      </c>
      <c r="V605" s="52">
        <f>IF($C605="B",VLOOKUP($A605,Bat!$A$4:$BA$1417,48,FALSE),VLOOKUP($A605,Pit!$A$4:$BF$570,57,FALSE))</f>
        <v>0</v>
      </c>
      <c r="W605" s="52">
        <f>Table5[[#This Row],[posRnk]]+Table5[[#This Row],[zRnk]]+IF($W$3&lt;&gt;Table5[[#This Row],[Type]],50,0)</f>
        <v>651</v>
      </c>
      <c r="X605" s="53">
        <f>RANK(Table5[[#This Row],[zScore]],Table5[[#All],[zScore]])</f>
        <v>601</v>
      </c>
      <c r="Y605" s="52" t="str">
        <f>IFERROR(INDEX(DraftResults[[#All],[OVR]],MATCH(Table5[[#This Row],[PID]],DraftResults[[#All],[Player ID]],0)),"")</f>
        <v/>
      </c>
      <c r="Z6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5" s="52" t="str">
        <f>IFERROR(INDEX(DraftResults[[#All],[Pick in Round]],MATCH(Table5[[#This Row],[PID]],DraftResults[[#All],[Player ID]],0)),"")</f>
        <v/>
      </c>
      <c r="AB605" s="52" t="str">
        <f>IFERROR(INDEX(DraftResults[[#All],[Team Name]],MATCH(Table5[[#This Row],[PID]],DraftResults[[#All],[Player ID]],0)),"")</f>
        <v/>
      </c>
      <c r="AC605" s="52" t="str">
        <f>IF(Table5[[#This Row],[Ovr]]="","",IF(Table5[[#This Row],[cmbList]]="","",Table5[[#This Row],[cmbList]]-Table5[[#This Row],[Ovr]]))</f>
        <v/>
      </c>
      <c r="AD605" s="56" t="str">
        <f>IF(ISERROR(VLOOKUP($AB605&amp;"-"&amp;$E605&amp;" "&amp;F605,Bonuses!$B$1:$G$1006,4,FALSE)),"",INT(VLOOKUP($AB605&amp;"-"&amp;$E605&amp;" "&amp;$F605,Bonuses!$B$1:$G$1006,4,FALSE)))</f>
        <v/>
      </c>
      <c r="AE6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6" spans="1:31" s="52" customFormat="1" x14ac:dyDescent="0.25">
      <c r="A606" s="52">
        <v>5567</v>
      </c>
      <c r="B606" s="52">
        <f>COUNTIF(Table5[PID],A606)</f>
        <v>1</v>
      </c>
      <c r="C606" s="52" t="str">
        <f>IF(COUNTIF(Table3[[#All],[PID]],A606)&gt;0,"P","B")</f>
        <v>P</v>
      </c>
      <c r="D606" s="61" t="str">
        <f>IF($C606="B",INDEX(Batters[[#All],[POS]],MATCH(Table5[[#This Row],[PID]],Batters[[#All],[PID]],0)),INDEX(Table3[[#All],[POS]],MATCH(Table5[[#This Row],[PID]],Table3[[#All],[PID]],0)))</f>
        <v>SP</v>
      </c>
      <c r="E606" s="54" t="str">
        <f>IF($C606="B",INDEX(Batters[[#All],[First]],MATCH(Table5[[#This Row],[PID]],Batters[[#All],[PID]],0)),INDEX(Table3[[#All],[First]],MATCH(Table5[[#This Row],[PID]],Table3[[#All],[PID]],0)))</f>
        <v>Larry</v>
      </c>
      <c r="F606" s="52" t="str">
        <f>IF($C606="B",INDEX(Batters[[#All],[Last]],MATCH(A606,Batters[[#All],[PID]],0)),INDEX(Table3[[#All],[Last]],MATCH(A606,Table3[[#All],[PID]],0)))</f>
        <v>Romero</v>
      </c>
      <c r="G606" s="58">
        <f>IF($C606="B",INDEX(Batters[[#All],[Age]],MATCH(Table5[[#This Row],[PID]],Batters[[#All],[PID]],0)),INDEX(Table3[[#All],[Age]],MATCH(Table5[[#This Row],[PID]],Table3[[#All],[PID]],0)))</f>
        <v>21</v>
      </c>
      <c r="H606" s="54" t="str">
        <f>IF($C606="B",INDEX(Batters[[#All],[B]],MATCH(Table5[[#This Row],[PID]],Batters[[#All],[PID]],0)),INDEX(Table3[[#All],[B]],MATCH(Table5[[#This Row],[PID]],Table3[[#All],[PID]],0)))</f>
        <v>R</v>
      </c>
      <c r="I606" s="54" t="str">
        <f>IF($C606="B",INDEX(Batters[[#All],[T]],MATCH(Table5[[#This Row],[PID]],Batters[[#All],[PID]],0)),INDEX(Table3[[#All],[T]],MATCH(Table5[[#This Row],[PID]],Table3[[#All],[PID]],0)))</f>
        <v>L</v>
      </c>
      <c r="J606" s="54" t="str">
        <f>IF($C606="B",INDEX(Batters[[#All],[WE]],MATCH(Table5[[#This Row],[PID]],Batters[[#All],[PID]],0)),INDEX(Table3[[#All],[WE]],MATCH(Table5[[#This Row],[PID]],Table3[[#All],[PID]],0)))</f>
        <v>Normal</v>
      </c>
      <c r="K606" s="54" t="str">
        <f>IF($C606="B",INDEX(Batters[[#All],[INT]],MATCH(Table5[[#This Row],[PID]],Batters[[#All],[PID]],0)),INDEX(Table3[[#All],[INT]],MATCH(Table5[[#This Row],[PID]],Table3[[#All],[PID]],0)))</f>
        <v>Normal</v>
      </c>
      <c r="L606" s="62">
        <f>IF($C606="B",INDEX(Batters[[#All],[CON P]],MATCH(Table5[[#This Row],[PID]],Batters[[#All],[PID]],0)),INDEX(Table3[[#All],[STU P]],MATCH(Table5[[#This Row],[PID]],Table3[[#All],[PID]],0)))</f>
        <v>5</v>
      </c>
      <c r="M606" s="58">
        <f>IF($C606="B",INDEX(Batters[[#All],[GAP P]],MATCH(Table5[[#This Row],[PID]],Batters[[#All],[PID]],0)),INDEX(Table3[[#All],[MOV P]],MATCH(Table5[[#This Row],[PID]],Table3[[#All],[PID]],0)))</f>
        <v>2</v>
      </c>
      <c r="N606" s="58">
        <f>IF($C606="B",INDEX(Batters[[#All],[POW P]],MATCH(Table5[[#This Row],[PID]],Batters[[#All],[PID]],0)),INDEX(Table3[[#All],[CON P]],MATCH(Table5[[#This Row],[PID]],Table3[[#All],[PID]],0)))</f>
        <v>2</v>
      </c>
      <c r="O606" s="58" t="str">
        <f>IF($C606="B",INDEX(Batters[[#All],[EYE P]],MATCH(Table5[[#This Row],[PID]],Batters[[#All],[PID]],0)),INDEX(Table3[[#All],[VELO]],MATCH(Table5[[#This Row],[PID]],Table3[[#All],[PID]],0)))</f>
        <v>91-93 Mph</v>
      </c>
      <c r="P606" s="58">
        <f>IF($C606="B",INDEX(Batters[[#All],[K P]],MATCH(Table5[[#This Row],[PID]],Batters[[#All],[PID]],0)),INDEX(Table3[[#All],[STM]],MATCH(Table5[[#This Row],[PID]],Table3[[#All],[PID]],0)))</f>
        <v>7</v>
      </c>
      <c r="Q606" s="63">
        <f>IF($C606="B",INDEX(Batters[[#All],[Tot]],MATCH(Table5[[#This Row],[PID]],Batters[[#All],[PID]],0)),INDEX(Table3[[#All],[Tot]],MATCH(Table5[[#This Row],[PID]],Table3[[#All],[PID]],0)))</f>
        <v>28.973289626400991</v>
      </c>
      <c r="R606" s="54">
        <f>IF($C606="B",INDEX(Batters[[#All],[zScore]],MATCH(Table5[[#This Row],[PID]],Batters[[#All],[PID]],0)),INDEX(Table3[[#All],[zScore]],MATCH(Table5[[#This Row],[PID]],Table3[[#All],[PID]],0)))</f>
        <v>-0.34379576797350242</v>
      </c>
      <c r="S606" s="60" t="str">
        <f>IF($C606="B",INDEX(Batters[[#All],[DEM]],MATCH(Table5[[#This Row],[PID]],Batters[[#All],[PID]],0)),INDEX(Table3[[#All],[DEM]],MATCH(Table5[[#This Row],[PID]],Table3[[#All],[PID]],0)))</f>
        <v>-</v>
      </c>
      <c r="T606" s="64">
        <f>IF($C606="B",VLOOKUP($A606,Bat!$A$4:$AU$1417,46,FALSE),VLOOKUP($A606,Pit!$A$4:$BD$570,55,FALSE))</f>
        <v>0</v>
      </c>
      <c r="U606" s="52">
        <f>IF($C606="B",VLOOKUP($A606,Bat!$A$4:$BA$1417,47,FALSE),VLOOKUP($A606,Pit!$A$4:$BF$570,56,FALSE))</f>
        <v>0</v>
      </c>
      <c r="V606" s="52">
        <f>IF($C606="B",VLOOKUP($A606,Bat!$A$4:$BA$1417,48,FALSE),VLOOKUP($A606,Pit!$A$4:$BF$570,57,FALSE))</f>
        <v>0</v>
      </c>
      <c r="W606" s="52">
        <f>Table5[[#This Row],[posRnk]]+Table5[[#This Row],[zRnk]]+IF($W$3&lt;&gt;Table5[[#This Row],[Type]],50,0)</f>
        <v>652</v>
      </c>
      <c r="X606" s="53">
        <f>RANK(Table5[[#This Row],[zScore]],Table5[[#All],[zScore]])</f>
        <v>602</v>
      </c>
      <c r="Y606" s="52" t="str">
        <f>IFERROR(INDEX(DraftResults[[#All],[OVR]],MATCH(Table5[[#This Row],[PID]],DraftResults[[#All],[Player ID]],0)),"")</f>
        <v/>
      </c>
      <c r="Z6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6" s="52" t="str">
        <f>IFERROR(INDEX(DraftResults[[#All],[Pick in Round]],MATCH(Table5[[#This Row],[PID]],DraftResults[[#All],[Player ID]],0)),"")</f>
        <v/>
      </c>
      <c r="AB606" s="52" t="str">
        <f>IFERROR(INDEX(DraftResults[[#All],[Team Name]],MATCH(Table5[[#This Row],[PID]],DraftResults[[#All],[Player ID]],0)),"")</f>
        <v/>
      </c>
      <c r="AC606" s="52" t="str">
        <f>IF(Table5[[#This Row],[Ovr]]="","",IF(Table5[[#This Row],[cmbList]]="","",Table5[[#This Row],[cmbList]]-Table5[[#This Row],[Ovr]]))</f>
        <v/>
      </c>
      <c r="AD606" s="56" t="str">
        <f>IF(ISERROR(VLOOKUP($AB606&amp;"-"&amp;$E606&amp;" "&amp;F606,Bonuses!$B$1:$G$1006,4,FALSE)),"",INT(VLOOKUP($AB606&amp;"-"&amp;$E606&amp;" "&amp;$F606,Bonuses!$B$1:$G$1006,4,FALSE)))</f>
        <v/>
      </c>
      <c r="AE6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7" spans="1:31" s="52" customFormat="1" x14ac:dyDescent="0.25">
      <c r="A607" s="52">
        <v>7681</v>
      </c>
      <c r="B607" s="52">
        <f>COUNTIF(Table5[PID],A607)</f>
        <v>1</v>
      </c>
      <c r="C607" s="52" t="str">
        <f>IF(COUNTIF(Table3[[#All],[PID]],A607)&gt;0,"P","B")</f>
        <v>P</v>
      </c>
      <c r="D607" s="61" t="str">
        <f>IF($C607="B",INDEX(Batters[[#All],[POS]],MATCH(Table5[[#This Row],[PID]],Batters[[#All],[PID]],0)),INDEX(Table3[[#All],[POS]],MATCH(Table5[[#This Row],[PID]],Table3[[#All],[PID]],0)))</f>
        <v>RP</v>
      </c>
      <c r="E607" s="54" t="str">
        <f>IF($C607="B",INDEX(Batters[[#All],[First]],MATCH(Table5[[#This Row],[PID]],Batters[[#All],[PID]],0)),INDEX(Table3[[#All],[First]],MATCH(Table5[[#This Row],[PID]],Table3[[#All],[PID]],0)))</f>
        <v>Brandon</v>
      </c>
      <c r="F607" s="52" t="str">
        <f>IF($C607="B",INDEX(Batters[[#All],[Last]],MATCH(A607,Batters[[#All],[PID]],0)),INDEX(Table3[[#All],[Last]],MATCH(A607,Table3[[#All],[PID]],0)))</f>
        <v>Flores</v>
      </c>
      <c r="G607" s="58">
        <f>IF($C607="B",INDEX(Batters[[#All],[Age]],MATCH(Table5[[#This Row],[PID]],Batters[[#All],[PID]],0)),INDEX(Table3[[#All],[Age]],MATCH(Table5[[#This Row],[PID]],Table3[[#All],[PID]],0)))</f>
        <v>18</v>
      </c>
      <c r="H607" s="54" t="str">
        <f>IF($C607="B",INDEX(Batters[[#All],[B]],MATCH(Table5[[#This Row],[PID]],Batters[[#All],[PID]],0)),INDEX(Table3[[#All],[B]],MATCH(Table5[[#This Row],[PID]],Table3[[#All],[PID]],0)))</f>
        <v>R</v>
      </c>
      <c r="I607" s="54" t="str">
        <f>IF($C607="B",INDEX(Batters[[#All],[T]],MATCH(Table5[[#This Row],[PID]],Batters[[#All],[PID]],0)),INDEX(Table3[[#All],[T]],MATCH(Table5[[#This Row],[PID]],Table3[[#All],[PID]],0)))</f>
        <v>R</v>
      </c>
      <c r="J607" s="54" t="str">
        <f>IF($C607="B",INDEX(Batters[[#All],[WE]],MATCH(Table5[[#This Row],[PID]],Batters[[#All],[PID]],0)),INDEX(Table3[[#All],[WE]],MATCH(Table5[[#This Row],[PID]],Table3[[#All],[PID]],0)))</f>
        <v>Normal</v>
      </c>
      <c r="K607" s="54" t="str">
        <f>IF($C607="B",INDEX(Batters[[#All],[INT]],MATCH(Table5[[#This Row],[PID]],Batters[[#All],[PID]],0)),INDEX(Table3[[#All],[INT]],MATCH(Table5[[#This Row],[PID]],Table3[[#All],[PID]],0)))</f>
        <v>Normal</v>
      </c>
      <c r="L607" s="62">
        <f>IF($C607="B",INDEX(Batters[[#All],[CON P]],MATCH(Table5[[#This Row],[PID]],Batters[[#All],[PID]],0)),INDEX(Table3[[#All],[STU P]],MATCH(Table5[[#This Row],[PID]],Table3[[#All],[PID]],0)))</f>
        <v>3</v>
      </c>
      <c r="M607" s="58">
        <f>IF($C607="B",INDEX(Batters[[#All],[GAP P]],MATCH(Table5[[#This Row],[PID]],Batters[[#All],[PID]],0)),INDEX(Table3[[#All],[MOV P]],MATCH(Table5[[#This Row],[PID]],Table3[[#All],[PID]],0)))</f>
        <v>2</v>
      </c>
      <c r="N607" s="58">
        <f>IF($C607="B",INDEX(Batters[[#All],[POW P]],MATCH(Table5[[#This Row],[PID]],Batters[[#All],[PID]],0)),INDEX(Table3[[#All],[CON P]],MATCH(Table5[[#This Row],[PID]],Table3[[#All],[PID]],0)))</f>
        <v>2</v>
      </c>
      <c r="O607" s="58" t="str">
        <f>IF($C607="B",INDEX(Batters[[#All],[EYE P]],MATCH(Table5[[#This Row],[PID]],Batters[[#All],[PID]],0)),INDEX(Table3[[#All],[VELO]],MATCH(Table5[[#This Row],[PID]],Table3[[#All],[PID]],0)))</f>
        <v>86-88 Mph</v>
      </c>
      <c r="P607" s="58">
        <f>IF($C607="B",INDEX(Batters[[#All],[K P]],MATCH(Table5[[#This Row],[PID]],Batters[[#All],[PID]],0)),INDEX(Table3[[#All],[STM]],MATCH(Table5[[#This Row],[PID]],Table3[[#All],[PID]],0)))</f>
        <v>6</v>
      </c>
      <c r="Q607" s="63">
        <f>IF($C607="B",INDEX(Batters[[#All],[Tot]],MATCH(Table5[[#This Row],[PID]],Batters[[#All],[PID]],0)),INDEX(Table3[[#All],[Tot]],MATCH(Table5[[#This Row],[PID]],Table3[[#All],[PID]],0)))</f>
        <v>26.455598125523725</v>
      </c>
      <c r="R607" s="54">
        <f>IF($C607="B",INDEX(Batters[[#All],[zScore]],MATCH(Table5[[#This Row],[PID]],Batters[[#All],[PID]],0)),INDEX(Table3[[#All],[zScore]],MATCH(Table5[[#This Row],[PID]],Table3[[#All],[PID]],0)))</f>
        <v>-0.34528088182574213</v>
      </c>
      <c r="S607" s="60" t="str">
        <f>IF($C607="B",INDEX(Batters[[#All],[DEM]],MATCH(Table5[[#This Row],[PID]],Batters[[#All],[PID]],0)),INDEX(Table3[[#All],[DEM]],MATCH(Table5[[#This Row],[PID]],Table3[[#All],[PID]],0)))</f>
        <v>$85k</v>
      </c>
      <c r="T607" s="64">
        <f>IF($C607="B",VLOOKUP($A607,Bat!$A$4:$AU$1417,46,FALSE),VLOOKUP($A607,Pit!$A$4:$BD$570,55,FALSE))</f>
        <v>0</v>
      </c>
      <c r="U607" s="52">
        <f>IF($C607="B",VLOOKUP($A607,Bat!$A$4:$BA$1417,47,FALSE),VLOOKUP($A607,Pit!$A$4:$BF$570,56,FALSE))</f>
        <v>0</v>
      </c>
      <c r="V607" s="52">
        <f>IF($C607="B",VLOOKUP($A607,Bat!$A$4:$BA$1417,48,FALSE),VLOOKUP($A607,Pit!$A$4:$BF$570,57,FALSE))</f>
        <v>0</v>
      </c>
      <c r="W607" s="52">
        <f>Table5[[#This Row],[posRnk]]+Table5[[#This Row],[zRnk]]+IF($W$3&lt;&gt;Table5[[#This Row],[Type]],50,0)</f>
        <v>653</v>
      </c>
      <c r="X607" s="53">
        <f>RANK(Table5[[#This Row],[zScore]],Table5[[#All],[zScore]])</f>
        <v>603</v>
      </c>
      <c r="Y607" s="52" t="str">
        <f>IFERROR(INDEX(DraftResults[[#All],[OVR]],MATCH(Table5[[#This Row],[PID]],DraftResults[[#All],[Player ID]],0)),"")</f>
        <v/>
      </c>
      <c r="Z6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7" s="52" t="str">
        <f>IFERROR(INDEX(DraftResults[[#All],[Pick in Round]],MATCH(Table5[[#This Row],[PID]],DraftResults[[#All],[Player ID]],0)),"")</f>
        <v/>
      </c>
      <c r="AB607" s="52" t="str">
        <f>IFERROR(INDEX(DraftResults[[#All],[Team Name]],MATCH(Table5[[#This Row],[PID]],DraftResults[[#All],[Player ID]],0)),"")</f>
        <v/>
      </c>
      <c r="AC607" s="52" t="str">
        <f>IF(Table5[[#This Row],[Ovr]]="","",IF(Table5[[#This Row],[cmbList]]="","",Table5[[#This Row],[cmbList]]-Table5[[#This Row],[Ovr]]))</f>
        <v/>
      </c>
      <c r="AD607" s="56" t="str">
        <f>IF(ISERROR(VLOOKUP($AB607&amp;"-"&amp;$E607&amp;" "&amp;F607,Bonuses!$B$1:$G$1006,4,FALSE)),"",INT(VLOOKUP($AB607&amp;"-"&amp;$E607&amp;" "&amp;$F607,Bonuses!$B$1:$G$1006,4,FALSE)))</f>
        <v/>
      </c>
      <c r="AE6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8" spans="1:31" s="52" customFormat="1" x14ac:dyDescent="0.25">
      <c r="A608" s="52">
        <v>17606</v>
      </c>
      <c r="B608" s="52">
        <f>COUNTIF(Table5[PID],A608)</f>
        <v>1</v>
      </c>
      <c r="C608" s="52" t="str">
        <f>IF(COUNTIF(Table3[[#All],[PID]],A608)&gt;0,"P","B")</f>
        <v>P</v>
      </c>
      <c r="D608" s="61" t="str">
        <f>IF($C608="B",INDEX(Batters[[#All],[POS]],MATCH(Table5[[#This Row],[PID]],Batters[[#All],[PID]],0)),INDEX(Table3[[#All],[POS]],MATCH(Table5[[#This Row],[PID]],Table3[[#All],[PID]],0)))</f>
        <v>RP</v>
      </c>
      <c r="E608" s="54" t="str">
        <f>IF($C608="B",INDEX(Batters[[#All],[First]],MATCH(Table5[[#This Row],[PID]],Batters[[#All],[PID]],0)),INDEX(Table3[[#All],[First]],MATCH(Table5[[#This Row],[PID]],Table3[[#All],[PID]],0)))</f>
        <v>Greg</v>
      </c>
      <c r="F608" s="52" t="str">
        <f>IF($C608="B",INDEX(Batters[[#All],[Last]],MATCH(A608,Batters[[#All],[PID]],0)),INDEX(Table3[[#All],[Last]],MATCH(A608,Table3[[#All],[PID]],0)))</f>
        <v>Graham</v>
      </c>
      <c r="G608" s="58">
        <f>IF($C608="B",INDEX(Batters[[#All],[Age]],MATCH(Table5[[#This Row],[PID]],Batters[[#All],[PID]],0)),INDEX(Table3[[#All],[Age]],MATCH(Table5[[#This Row],[PID]],Table3[[#All],[PID]],0)))</f>
        <v>18</v>
      </c>
      <c r="H608" s="54" t="str">
        <f>IF($C608="B",INDEX(Batters[[#All],[B]],MATCH(Table5[[#This Row],[PID]],Batters[[#All],[PID]],0)),INDEX(Table3[[#All],[B]],MATCH(Table5[[#This Row],[PID]],Table3[[#All],[PID]],0)))</f>
        <v>R</v>
      </c>
      <c r="I608" s="54" t="str">
        <f>IF($C608="B",INDEX(Batters[[#All],[T]],MATCH(Table5[[#This Row],[PID]],Batters[[#All],[PID]],0)),INDEX(Table3[[#All],[T]],MATCH(Table5[[#This Row],[PID]],Table3[[#All],[PID]],0)))</f>
        <v>R</v>
      </c>
      <c r="J608" s="54" t="str">
        <f>IF($C608="B",INDEX(Batters[[#All],[WE]],MATCH(Table5[[#This Row],[PID]],Batters[[#All],[PID]],0)),INDEX(Table3[[#All],[WE]],MATCH(Table5[[#This Row],[PID]],Table3[[#All],[PID]],0)))</f>
        <v>Normal</v>
      </c>
      <c r="K608" s="54" t="str">
        <f>IF($C608="B",INDEX(Batters[[#All],[INT]],MATCH(Table5[[#This Row],[PID]],Batters[[#All],[PID]],0)),INDEX(Table3[[#All],[INT]],MATCH(Table5[[#This Row],[PID]],Table3[[#All],[PID]],0)))</f>
        <v>Normal</v>
      </c>
      <c r="L608" s="62">
        <f>IF($C608="B",INDEX(Batters[[#All],[CON P]],MATCH(Table5[[#This Row],[PID]],Batters[[#All],[PID]],0)),INDEX(Table3[[#All],[STU P]],MATCH(Table5[[#This Row],[PID]],Table3[[#All],[PID]],0)))</f>
        <v>3</v>
      </c>
      <c r="M608" s="58">
        <f>IF($C608="B",INDEX(Batters[[#All],[GAP P]],MATCH(Table5[[#This Row],[PID]],Batters[[#All],[PID]],0)),INDEX(Table3[[#All],[MOV P]],MATCH(Table5[[#This Row],[PID]],Table3[[#All],[PID]],0)))</f>
        <v>2</v>
      </c>
      <c r="N608" s="58">
        <f>IF($C608="B",INDEX(Batters[[#All],[POW P]],MATCH(Table5[[#This Row],[PID]],Batters[[#All],[PID]],0)),INDEX(Table3[[#All],[CON P]],MATCH(Table5[[#This Row],[PID]],Table3[[#All],[PID]],0)))</f>
        <v>2</v>
      </c>
      <c r="O608" s="58" t="str">
        <f>IF($C608="B",INDEX(Batters[[#All],[EYE P]],MATCH(Table5[[#This Row],[PID]],Batters[[#All],[PID]],0)),INDEX(Table3[[#All],[VELO]],MATCH(Table5[[#This Row],[PID]],Table3[[#All],[PID]],0)))</f>
        <v>85-87 Mph</v>
      </c>
      <c r="P608" s="58">
        <f>IF($C608="B",INDEX(Batters[[#All],[K P]],MATCH(Table5[[#This Row],[PID]],Batters[[#All],[PID]],0)),INDEX(Table3[[#All],[STM]],MATCH(Table5[[#This Row],[PID]],Table3[[#All],[PID]],0)))</f>
        <v>5</v>
      </c>
      <c r="Q608" s="63">
        <f>IF($C608="B",INDEX(Batters[[#All],[Tot]],MATCH(Table5[[#This Row],[PID]],Batters[[#All],[PID]],0)),INDEX(Table3[[#All],[Tot]],MATCH(Table5[[#This Row],[PID]],Table3[[#All],[PID]],0)))</f>
        <v>26.455598125523725</v>
      </c>
      <c r="R608" s="54">
        <f>IF($C608="B",INDEX(Batters[[#All],[zScore]],MATCH(Table5[[#This Row],[PID]],Batters[[#All],[PID]],0)),INDEX(Table3[[#All],[zScore]],MATCH(Table5[[#This Row],[PID]],Table3[[#All],[PID]],0)))</f>
        <v>-0.34528088182574213</v>
      </c>
      <c r="S608" s="60" t="str">
        <f>IF($C608="B",INDEX(Batters[[#All],[DEM]],MATCH(Table5[[#This Row],[PID]],Batters[[#All],[PID]],0)),INDEX(Table3[[#All],[DEM]],MATCH(Table5[[#This Row],[PID]],Table3[[#All],[PID]],0)))</f>
        <v>$65k</v>
      </c>
      <c r="T608" s="64">
        <f>IF($C608="B",VLOOKUP($A608,Bat!$A$4:$AU$1417,46,FALSE),VLOOKUP($A608,Pit!$A$4:$BD$570,55,FALSE))</f>
        <v>0</v>
      </c>
      <c r="U608" s="52">
        <f>IF($C608="B",VLOOKUP($A608,Bat!$A$4:$BA$1417,47,FALSE),VLOOKUP($A608,Pit!$A$4:$BF$570,56,FALSE))</f>
        <v>0</v>
      </c>
      <c r="V608" s="52">
        <f>IF($C608="B",VLOOKUP($A608,Bat!$A$4:$BA$1417,48,FALSE),VLOOKUP($A608,Pit!$A$4:$BF$570,57,FALSE))</f>
        <v>0</v>
      </c>
      <c r="W608" s="52">
        <f>Table5[[#This Row],[posRnk]]+Table5[[#This Row],[zRnk]]+IF($W$3&lt;&gt;Table5[[#This Row],[Type]],50,0)</f>
        <v>653</v>
      </c>
      <c r="X608" s="53">
        <f>RANK(Table5[[#This Row],[zScore]],Table5[[#All],[zScore]])</f>
        <v>603</v>
      </c>
      <c r="Y608" s="52" t="str">
        <f>IFERROR(INDEX(DraftResults[[#All],[OVR]],MATCH(Table5[[#This Row],[PID]],DraftResults[[#All],[Player ID]],0)),"")</f>
        <v/>
      </c>
      <c r="Z6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8" s="52" t="str">
        <f>IFERROR(INDEX(DraftResults[[#All],[Pick in Round]],MATCH(Table5[[#This Row],[PID]],DraftResults[[#All],[Player ID]],0)),"")</f>
        <v/>
      </c>
      <c r="AB608" s="52" t="str">
        <f>IFERROR(INDEX(DraftResults[[#All],[Team Name]],MATCH(Table5[[#This Row],[PID]],DraftResults[[#All],[Player ID]],0)),"")</f>
        <v/>
      </c>
      <c r="AC608" s="52" t="str">
        <f>IF(Table5[[#This Row],[Ovr]]="","",IF(Table5[[#This Row],[cmbList]]="","",Table5[[#This Row],[cmbList]]-Table5[[#This Row],[Ovr]]))</f>
        <v/>
      </c>
      <c r="AD608" s="56" t="str">
        <f>IF(ISERROR(VLOOKUP($AB608&amp;"-"&amp;$E608&amp;" "&amp;F608,Bonuses!$B$1:$G$1006,4,FALSE)),"",INT(VLOOKUP($AB608&amp;"-"&amp;$E608&amp;" "&amp;$F608,Bonuses!$B$1:$G$1006,4,FALSE)))</f>
        <v/>
      </c>
      <c r="AE6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9" spans="1:31" s="52" customFormat="1" x14ac:dyDescent="0.25">
      <c r="A609" s="52">
        <v>6214</v>
      </c>
      <c r="B609" s="52">
        <f>COUNTIF(Table5[PID],A609)</f>
        <v>1</v>
      </c>
      <c r="C609" s="52" t="str">
        <f>IF(COUNTIF(Table3[[#All],[PID]],A609)&gt;0,"P","B")</f>
        <v>P</v>
      </c>
      <c r="D609" s="61" t="str">
        <f>IF($C609="B",INDEX(Batters[[#All],[POS]],MATCH(Table5[[#This Row],[PID]],Batters[[#All],[PID]],0)),INDEX(Table3[[#All],[POS]],MATCH(Table5[[#This Row],[PID]],Table3[[#All],[PID]],0)))</f>
        <v>RP</v>
      </c>
      <c r="E609" s="54" t="str">
        <f>IF($C609="B",INDEX(Batters[[#All],[First]],MATCH(Table5[[#This Row],[PID]],Batters[[#All],[PID]],0)),INDEX(Table3[[#All],[First]],MATCH(Table5[[#This Row],[PID]],Table3[[#All],[PID]],0)))</f>
        <v>Pjotr</v>
      </c>
      <c r="F609" s="52" t="str">
        <f>IF($C609="B",INDEX(Batters[[#All],[Last]],MATCH(A609,Batters[[#All],[PID]],0)),INDEX(Table3[[#All],[Last]],MATCH(A609,Table3[[#All],[PID]],0)))</f>
        <v>Krijger</v>
      </c>
      <c r="G609" s="58">
        <f>IF($C609="B",INDEX(Batters[[#All],[Age]],MATCH(Table5[[#This Row],[PID]],Batters[[#All],[PID]],0)),INDEX(Table3[[#All],[Age]],MATCH(Table5[[#This Row],[PID]],Table3[[#All],[PID]],0)))</f>
        <v>18</v>
      </c>
      <c r="H609" s="54" t="str">
        <f>IF($C609="B",INDEX(Batters[[#All],[B]],MATCH(Table5[[#This Row],[PID]],Batters[[#All],[PID]],0)),INDEX(Table3[[#All],[B]],MATCH(Table5[[#This Row],[PID]],Table3[[#All],[PID]],0)))</f>
        <v>R</v>
      </c>
      <c r="I609" s="54" t="str">
        <f>IF($C609="B",INDEX(Batters[[#All],[T]],MATCH(Table5[[#This Row],[PID]],Batters[[#All],[PID]],0)),INDEX(Table3[[#All],[T]],MATCH(Table5[[#This Row],[PID]],Table3[[#All],[PID]],0)))</f>
        <v>R</v>
      </c>
      <c r="J609" s="54" t="str">
        <f>IF($C609="B",INDEX(Batters[[#All],[WE]],MATCH(Table5[[#This Row],[PID]],Batters[[#All],[PID]],0)),INDEX(Table3[[#All],[WE]],MATCH(Table5[[#This Row],[PID]],Table3[[#All],[PID]],0)))</f>
        <v>Normal</v>
      </c>
      <c r="K609" s="54" t="str">
        <f>IF($C609="B",INDEX(Batters[[#All],[INT]],MATCH(Table5[[#This Row],[PID]],Batters[[#All],[PID]],0)),INDEX(Table3[[#All],[INT]],MATCH(Table5[[#This Row],[PID]],Table3[[#All],[PID]],0)))</f>
        <v>Normal</v>
      </c>
      <c r="L609" s="62">
        <f>IF($C609="B",INDEX(Batters[[#All],[CON P]],MATCH(Table5[[#This Row],[PID]],Batters[[#All],[PID]],0)),INDEX(Table3[[#All],[STU P]],MATCH(Table5[[#This Row],[PID]],Table3[[#All],[PID]],0)))</f>
        <v>3</v>
      </c>
      <c r="M609" s="58">
        <f>IF($C609="B",INDEX(Batters[[#All],[GAP P]],MATCH(Table5[[#This Row],[PID]],Batters[[#All],[PID]],0)),INDEX(Table3[[#All],[MOV P]],MATCH(Table5[[#This Row],[PID]],Table3[[#All],[PID]],0)))</f>
        <v>2</v>
      </c>
      <c r="N609" s="58">
        <f>IF($C609="B",INDEX(Batters[[#All],[POW P]],MATCH(Table5[[#This Row],[PID]],Batters[[#All],[PID]],0)),INDEX(Table3[[#All],[CON P]],MATCH(Table5[[#This Row],[PID]],Table3[[#All],[PID]],0)))</f>
        <v>2</v>
      </c>
      <c r="O609" s="58" t="str">
        <f>IF($C609="B",INDEX(Batters[[#All],[EYE P]],MATCH(Table5[[#This Row],[PID]],Batters[[#All],[PID]],0)),INDEX(Table3[[#All],[VELO]],MATCH(Table5[[#This Row],[PID]],Table3[[#All],[PID]],0)))</f>
        <v>85-87 Mph</v>
      </c>
      <c r="P609" s="58">
        <f>IF($C609="B",INDEX(Batters[[#All],[K P]],MATCH(Table5[[#This Row],[PID]],Batters[[#All],[PID]],0)),INDEX(Table3[[#All],[STM]],MATCH(Table5[[#This Row],[PID]],Table3[[#All],[PID]],0)))</f>
        <v>6</v>
      </c>
      <c r="Q609" s="63">
        <f>IF($C609="B",INDEX(Batters[[#All],[Tot]],MATCH(Table5[[#This Row],[PID]],Batters[[#All],[PID]],0)),INDEX(Table3[[#All],[Tot]],MATCH(Table5[[#This Row],[PID]],Table3[[#All],[PID]],0)))</f>
        <v>26.455598125523725</v>
      </c>
      <c r="R609" s="54">
        <f>IF($C609="B",INDEX(Batters[[#All],[zScore]],MATCH(Table5[[#This Row],[PID]],Batters[[#All],[PID]],0)),INDEX(Table3[[#All],[zScore]],MATCH(Table5[[#This Row],[PID]],Table3[[#All],[PID]],0)))</f>
        <v>-0.34528088182574213</v>
      </c>
      <c r="S609" s="60" t="str">
        <f>IF($C609="B",INDEX(Batters[[#All],[DEM]],MATCH(Table5[[#This Row],[PID]],Batters[[#All],[PID]],0)),INDEX(Table3[[#All],[DEM]],MATCH(Table5[[#This Row],[PID]],Table3[[#All],[PID]],0)))</f>
        <v>$65k</v>
      </c>
      <c r="T609" s="64">
        <f>IF($C609="B",VLOOKUP($A609,Bat!$A$4:$AU$1417,46,FALSE),VLOOKUP($A609,Pit!$A$4:$BD$570,55,FALSE))</f>
        <v>0</v>
      </c>
      <c r="U609" s="52">
        <f>IF($C609="B",VLOOKUP($A609,Bat!$A$4:$BA$1417,47,FALSE),VLOOKUP($A609,Pit!$A$4:$BF$570,56,FALSE))</f>
        <v>0</v>
      </c>
      <c r="V609" s="52">
        <f>IF($C609="B",VLOOKUP($A609,Bat!$A$4:$BA$1417,48,FALSE),VLOOKUP($A609,Pit!$A$4:$BF$570,57,FALSE))</f>
        <v>0</v>
      </c>
      <c r="W609" s="52">
        <f>Table5[[#This Row],[posRnk]]+Table5[[#This Row],[zRnk]]+IF($W$3&lt;&gt;Table5[[#This Row],[Type]],50,0)</f>
        <v>653</v>
      </c>
      <c r="X609" s="53">
        <f>RANK(Table5[[#This Row],[zScore]],Table5[[#All],[zScore]])</f>
        <v>603</v>
      </c>
      <c r="Y609" s="52" t="str">
        <f>IFERROR(INDEX(DraftResults[[#All],[OVR]],MATCH(Table5[[#This Row],[PID]],DraftResults[[#All],[Player ID]],0)),"")</f>
        <v/>
      </c>
      <c r="Z6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9" s="52" t="str">
        <f>IFERROR(INDEX(DraftResults[[#All],[Pick in Round]],MATCH(Table5[[#This Row],[PID]],DraftResults[[#All],[Player ID]],0)),"")</f>
        <v/>
      </c>
      <c r="AB609" s="52" t="str">
        <f>IFERROR(INDEX(DraftResults[[#All],[Team Name]],MATCH(Table5[[#This Row],[PID]],DraftResults[[#All],[Player ID]],0)),"")</f>
        <v/>
      </c>
      <c r="AC609" s="52" t="str">
        <f>IF(Table5[[#This Row],[Ovr]]="","",IF(Table5[[#This Row],[cmbList]]="","",Table5[[#This Row],[cmbList]]-Table5[[#This Row],[Ovr]]))</f>
        <v/>
      </c>
      <c r="AD609" s="56" t="str">
        <f>IF(ISERROR(VLOOKUP($AB609&amp;"-"&amp;$E609&amp;" "&amp;F609,Bonuses!$B$1:$G$1006,4,FALSE)),"",INT(VLOOKUP($AB609&amp;"-"&amp;$E609&amp;" "&amp;$F609,Bonuses!$B$1:$G$1006,4,FALSE)))</f>
        <v/>
      </c>
      <c r="AE6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0" spans="1:31" s="52" customFormat="1" x14ac:dyDescent="0.25">
      <c r="A610" s="52">
        <v>14668</v>
      </c>
      <c r="B610" s="52">
        <f>COUNTIF(Table5[PID],A610)</f>
        <v>1</v>
      </c>
      <c r="C610" s="52" t="str">
        <f>IF(COUNTIF(Table3[[#All],[PID]],A610)&gt;0,"P","B")</f>
        <v>P</v>
      </c>
      <c r="D610" s="61" t="str">
        <f>IF($C610="B",INDEX(Batters[[#All],[POS]],MATCH(Table5[[#This Row],[PID]],Batters[[#All],[PID]],0)),INDEX(Table3[[#All],[POS]],MATCH(Table5[[#This Row],[PID]],Table3[[#All],[PID]],0)))</f>
        <v>RP</v>
      </c>
      <c r="E610" s="54" t="str">
        <f>IF($C610="B",INDEX(Batters[[#All],[First]],MATCH(Table5[[#This Row],[PID]],Batters[[#All],[PID]],0)),INDEX(Table3[[#All],[First]],MATCH(Table5[[#This Row],[PID]],Table3[[#All],[PID]],0)))</f>
        <v>Jorge</v>
      </c>
      <c r="F610" s="52" t="str">
        <f>IF($C610="B",INDEX(Batters[[#All],[Last]],MATCH(A610,Batters[[#All],[PID]],0)),INDEX(Table3[[#All],[Last]],MATCH(A610,Table3[[#All],[PID]],0)))</f>
        <v>Estrada</v>
      </c>
      <c r="G610" s="58">
        <f>IF($C610="B",INDEX(Batters[[#All],[Age]],MATCH(Table5[[#This Row],[PID]],Batters[[#All],[PID]],0)),INDEX(Table3[[#All],[Age]],MATCH(Table5[[#This Row],[PID]],Table3[[#All],[PID]],0)))</f>
        <v>18</v>
      </c>
      <c r="H610" s="54" t="str">
        <f>IF($C610="B",INDEX(Batters[[#All],[B]],MATCH(Table5[[#This Row],[PID]],Batters[[#All],[PID]],0)),INDEX(Table3[[#All],[B]],MATCH(Table5[[#This Row],[PID]],Table3[[#All],[PID]],0)))</f>
        <v>S</v>
      </c>
      <c r="I610" s="54" t="str">
        <f>IF($C610="B",INDEX(Batters[[#All],[T]],MATCH(Table5[[#This Row],[PID]],Batters[[#All],[PID]],0)),INDEX(Table3[[#All],[T]],MATCH(Table5[[#This Row],[PID]],Table3[[#All],[PID]],0)))</f>
        <v>R</v>
      </c>
      <c r="J610" s="54" t="str">
        <f>IF($C610="B",INDEX(Batters[[#All],[WE]],MATCH(Table5[[#This Row],[PID]],Batters[[#All],[PID]],0)),INDEX(Table3[[#All],[WE]],MATCH(Table5[[#This Row],[PID]],Table3[[#All],[PID]],0)))</f>
        <v>Normal</v>
      </c>
      <c r="K610" s="54" t="str">
        <f>IF($C610="B",INDEX(Batters[[#All],[INT]],MATCH(Table5[[#This Row],[PID]],Batters[[#All],[PID]],0)),INDEX(Table3[[#All],[INT]],MATCH(Table5[[#This Row],[PID]],Table3[[#All],[PID]],0)))</f>
        <v>Normal</v>
      </c>
      <c r="L610" s="62">
        <f>IF($C610="B",INDEX(Batters[[#All],[CON P]],MATCH(Table5[[#This Row],[PID]],Batters[[#All],[PID]],0)),INDEX(Table3[[#All],[STU P]],MATCH(Table5[[#This Row],[PID]],Table3[[#All],[PID]],0)))</f>
        <v>4</v>
      </c>
      <c r="M610" s="58">
        <f>IF($C610="B",INDEX(Batters[[#All],[GAP P]],MATCH(Table5[[#This Row],[PID]],Batters[[#All],[PID]],0)),INDEX(Table3[[#All],[MOV P]],MATCH(Table5[[#This Row],[PID]],Table3[[#All],[PID]],0)))</f>
        <v>2</v>
      </c>
      <c r="N610" s="58">
        <f>IF($C610="B",INDEX(Batters[[#All],[POW P]],MATCH(Table5[[#This Row],[PID]],Batters[[#All],[PID]],0)),INDEX(Table3[[#All],[CON P]],MATCH(Table5[[#This Row],[PID]],Table3[[#All],[PID]],0)))</f>
        <v>2</v>
      </c>
      <c r="O610" s="58" t="str">
        <f>IF($C610="B",INDEX(Batters[[#All],[EYE P]],MATCH(Table5[[#This Row],[PID]],Batters[[#All],[PID]],0)),INDEX(Table3[[#All],[VELO]],MATCH(Table5[[#This Row],[PID]],Table3[[#All],[PID]],0)))</f>
        <v>87-89 Mph</v>
      </c>
      <c r="P610" s="58">
        <f>IF($C610="B",INDEX(Batters[[#All],[K P]],MATCH(Table5[[#This Row],[PID]],Batters[[#All],[PID]],0)),INDEX(Table3[[#All],[STM]],MATCH(Table5[[#This Row],[PID]],Table3[[#All],[PID]],0)))</f>
        <v>6</v>
      </c>
      <c r="Q610" s="63">
        <f>IF($C610="B",INDEX(Batters[[#All],[Tot]],MATCH(Table5[[#This Row],[PID]],Batters[[#All],[PID]],0)),INDEX(Table3[[#All],[Tot]],MATCH(Table5[[#This Row],[PID]],Table3[[#All],[PID]],0)))</f>
        <v>28.945601557812086</v>
      </c>
      <c r="R610" s="54">
        <f>IF($C610="B",INDEX(Batters[[#All],[zScore]],MATCH(Table5[[#This Row],[PID]],Batters[[#All],[PID]],0)),INDEX(Table3[[#All],[zScore]],MATCH(Table5[[#This Row],[PID]],Table3[[#All],[PID]],0)))</f>
        <v>-0.34633488220439729</v>
      </c>
      <c r="S610" s="60" t="str">
        <f>IF($C610="B",INDEX(Batters[[#All],[DEM]],MATCH(Table5[[#This Row],[PID]],Batters[[#All],[PID]],0)),INDEX(Table3[[#All],[DEM]],MATCH(Table5[[#This Row],[PID]],Table3[[#All],[PID]],0)))</f>
        <v>$85k</v>
      </c>
      <c r="T610" s="64">
        <f>IF($C610="B",VLOOKUP($A610,Bat!$A$4:$AU$1417,46,FALSE),VLOOKUP($A610,Pit!$A$4:$BD$570,55,FALSE))</f>
        <v>0</v>
      </c>
      <c r="U610" s="52">
        <f>IF($C610="B",VLOOKUP($A610,Bat!$A$4:$BA$1417,47,FALSE),VLOOKUP($A610,Pit!$A$4:$BF$570,56,FALSE))</f>
        <v>0</v>
      </c>
      <c r="V610" s="52">
        <f>IF($C610="B",VLOOKUP($A610,Bat!$A$4:$BA$1417,48,FALSE),VLOOKUP($A610,Pit!$A$4:$BF$570,57,FALSE))</f>
        <v>0</v>
      </c>
      <c r="W610" s="52">
        <f>Table5[[#This Row],[posRnk]]+Table5[[#This Row],[zRnk]]+IF($W$3&lt;&gt;Table5[[#This Row],[Type]],50,0)</f>
        <v>656</v>
      </c>
      <c r="X610" s="53">
        <f>RANK(Table5[[#This Row],[zScore]],Table5[[#All],[zScore]])</f>
        <v>606</v>
      </c>
      <c r="Y610" s="52" t="str">
        <f>IFERROR(INDEX(DraftResults[[#All],[OVR]],MATCH(Table5[[#This Row],[PID]],DraftResults[[#All],[Player ID]],0)),"")</f>
        <v/>
      </c>
      <c r="Z6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0" s="52" t="str">
        <f>IFERROR(INDEX(DraftResults[[#All],[Pick in Round]],MATCH(Table5[[#This Row],[PID]],DraftResults[[#All],[Player ID]],0)),"")</f>
        <v/>
      </c>
      <c r="AB610" s="52" t="str">
        <f>IFERROR(INDEX(DraftResults[[#All],[Team Name]],MATCH(Table5[[#This Row],[PID]],DraftResults[[#All],[Player ID]],0)),"")</f>
        <v/>
      </c>
      <c r="AC610" s="52" t="str">
        <f>IF(Table5[[#This Row],[Ovr]]="","",IF(Table5[[#This Row],[cmbList]]="","",Table5[[#This Row],[cmbList]]-Table5[[#This Row],[Ovr]]))</f>
        <v/>
      </c>
      <c r="AD610" s="56" t="str">
        <f>IF(ISERROR(VLOOKUP($AB610&amp;"-"&amp;$E610&amp;" "&amp;F610,Bonuses!$B$1:$G$1006,4,FALSE)),"",INT(VLOOKUP($AB610&amp;"-"&amp;$E610&amp;" "&amp;$F610,Bonuses!$B$1:$G$1006,4,FALSE)))</f>
        <v/>
      </c>
      <c r="AE6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1" spans="1:31" s="52" customFormat="1" x14ac:dyDescent="0.25">
      <c r="A611" s="52">
        <v>6627</v>
      </c>
      <c r="B611" s="52">
        <f>COUNTIF(Table5[PID],A611)</f>
        <v>1</v>
      </c>
      <c r="C611" s="52" t="str">
        <f>IF(COUNTIF(Table3[[#All],[PID]],A611)&gt;0,"P","B")</f>
        <v>P</v>
      </c>
      <c r="D611" s="61" t="str">
        <f>IF($C611="B",INDEX(Batters[[#All],[POS]],MATCH(Table5[[#This Row],[PID]],Batters[[#All],[PID]],0)),INDEX(Table3[[#All],[POS]],MATCH(Table5[[#This Row],[PID]],Table3[[#All],[PID]],0)))</f>
        <v>RP</v>
      </c>
      <c r="E611" s="54" t="str">
        <f>IF($C611="B",INDEX(Batters[[#All],[First]],MATCH(Table5[[#This Row],[PID]],Batters[[#All],[PID]],0)),INDEX(Table3[[#All],[First]],MATCH(Table5[[#This Row],[PID]],Table3[[#All],[PID]],0)))</f>
        <v>Logan</v>
      </c>
      <c r="F611" s="52" t="str">
        <f>IF($C611="B",INDEX(Batters[[#All],[Last]],MATCH(A611,Batters[[#All],[PID]],0)),INDEX(Table3[[#All],[Last]],MATCH(A611,Table3[[#All],[PID]],0)))</f>
        <v>Naysmith</v>
      </c>
      <c r="G611" s="58">
        <f>IF($C611="B",INDEX(Batters[[#All],[Age]],MATCH(Table5[[#This Row],[PID]],Batters[[#All],[PID]],0)),INDEX(Table3[[#All],[Age]],MATCH(Table5[[#This Row],[PID]],Table3[[#All],[PID]],0)))</f>
        <v>18</v>
      </c>
      <c r="H611" s="54" t="str">
        <f>IF($C611="B",INDEX(Batters[[#All],[B]],MATCH(Table5[[#This Row],[PID]],Batters[[#All],[PID]],0)),INDEX(Table3[[#All],[B]],MATCH(Table5[[#This Row],[PID]],Table3[[#All],[PID]],0)))</f>
        <v>R</v>
      </c>
      <c r="I611" s="54" t="str">
        <f>IF($C611="B",INDEX(Batters[[#All],[T]],MATCH(Table5[[#This Row],[PID]],Batters[[#All],[PID]],0)),INDEX(Table3[[#All],[T]],MATCH(Table5[[#This Row],[PID]],Table3[[#All],[PID]],0)))</f>
        <v>R</v>
      </c>
      <c r="J611" s="54" t="str">
        <f>IF($C611="B",INDEX(Batters[[#All],[WE]],MATCH(Table5[[#This Row],[PID]],Batters[[#All],[PID]],0)),INDEX(Table3[[#All],[WE]],MATCH(Table5[[#This Row],[PID]],Table3[[#All],[PID]],0)))</f>
        <v>Normal</v>
      </c>
      <c r="K611" s="54" t="str">
        <f>IF($C611="B",INDEX(Batters[[#All],[INT]],MATCH(Table5[[#This Row],[PID]],Batters[[#All],[PID]],0)),INDEX(Table3[[#All],[INT]],MATCH(Table5[[#This Row],[PID]],Table3[[#All],[PID]],0)))</f>
        <v>Normal</v>
      </c>
      <c r="L611" s="62">
        <f>IF($C611="B",INDEX(Batters[[#All],[CON P]],MATCH(Table5[[#This Row],[PID]],Batters[[#All],[PID]],0)),INDEX(Table3[[#All],[STU P]],MATCH(Table5[[#This Row],[PID]],Table3[[#All],[PID]],0)))</f>
        <v>4</v>
      </c>
      <c r="M611" s="58">
        <f>IF($C611="B",INDEX(Batters[[#All],[GAP P]],MATCH(Table5[[#This Row],[PID]],Batters[[#All],[PID]],0)),INDEX(Table3[[#All],[MOV P]],MATCH(Table5[[#This Row],[PID]],Table3[[#All],[PID]],0)))</f>
        <v>2</v>
      </c>
      <c r="N611" s="58">
        <f>IF($C611="B",INDEX(Batters[[#All],[POW P]],MATCH(Table5[[#This Row],[PID]],Batters[[#All],[PID]],0)),INDEX(Table3[[#All],[CON P]],MATCH(Table5[[#This Row],[PID]],Table3[[#All],[PID]],0)))</f>
        <v>2</v>
      </c>
      <c r="O611" s="58" t="str">
        <f>IF($C611="B",INDEX(Batters[[#All],[EYE P]],MATCH(Table5[[#This Row],[PID]],Batters[[#All],[PID]],0)),INDEX(Table3[[#All],[VELO]],MATCH(Table5[[#This Row],[PID]],Table3[[#All],[PID]],0)))</f>
        <v>87-89 Mph</v>
      </c>
      <c r="P611" s="58">
        <f>IF($C611="B",INDEX(Batters[[#All],[K P]],MATCH(Table5[[#This Row],[PID]],Batters[[#All],[PID]],0)),INDEX(Table3[[#All],[STM]],MATCH(Table5[[#This Row],[PID]],Table3[[#All],[PID]],0)))</f>
        <v>5</v>
      </c>
      <c r="Q611" s="63">
        <f>IF($C611="B",INDEX(Batters[[#All],[Tot]],MATCH(Table5[[#This Row],[PID]],Batters[[#All],[PID]],0)),INDEX(Table3[[#All],[Tot]],MATCH(Table5[[#This Row],[PID]],Table3[[#All],[PID]],0)))</f>
        <v>28.945601557812086</v>
      </c>
      <c r="R611" s="54">
        <f>IF($C611="B",INDEX(Batters[[#All],[zScore]],MATCH(Table5[[#This Row],[PID]],Batters[[#All],[PID]],0)),INDEX(Table3[[#All],[zScore]],MATCH(Table5[[#This Row],[PID]],Table3[[#All],[PID]],0)))</f>
        <v>-0.34633488220439729</v>
      </c>
      <c r="S611" s="60" t="str">
        <f>IF($C611="B",INDEX(Batters[[#All],[DEM]],MATCH(Table5[[#This Row],[PID]],Batters[[#All],[PID]],0)),INDEX(Table3[[#All],[DEM]],MATCH(Table5[[#This Row],[PID]],Table3[[#All],[PID]],0)))</f>
        <v>$2.6m</v>
      </c>
      <c r="T611" s="64">
        <f>IF($C611="B",VLOOKUP($A611,Bat!$A$4:$AU$1417,46,FALSE),VLOOKUP($A611,Pit!$A$4:$BD$570,55,FALSE))</f>
        <v>0</v>
      </c>
      <c r="U611" s="52">
        <f>IF($C611="B",VLOOKUP($A611,Bat!$A$4:$BA$1417,47,FALSE),VLOOKUP($A611,Pit!$A$4:$BF$570,56,FALSE))</f>
        <v>0</v>
      </c>
      <c r="V611" s="52">
        <f>IF($C611="B",VLOOKUP($A611,Bat!$A$4:$BA$1417,48,FALSE),VLOOKUP($A611,Pit!$A$4:$BF$570,57,FALSE))</f>
        <v>0</v>
      </c>
      <c r="W611" s="52">
        <f>Table5[[#This Row],[posRnk]]+Table5[[#This Row],[zRnk]]+IF($W$3&lt;&gt;Table5[[#This Row],[Type]],50,0)</f>
        <v>656</v>
      </c>
      <c r="X611" s="53">
        <f>RANK(Table5[[#This Row],[zScore]],Table5[[#All],[zScore]])</f>
        <v>606</v>
      </c>
      <c r="Y611" s="52" t="str">
        <f>IFERROR(INDEX(DraftResults[[#All],[OVR]],MATCH(Table5[[#This Row],[PID]],DraftResults[[#All],[Player ID]],0)),"")</f>
        <v/>
      </c>
      <c r="Z6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1" s="52" t="str">
        <f>IFERROR(INDEX(DraftResults[[#All],[Pick in Round]],MATCH(Table5[[#This Row],[PID]],DraftResults[[#All],[Player ID]],0)),"")</f>
        <v/>
      </c>
      <c r="AB611" s="52" t="str">
        <f>IFERROR(INDEX(DraftResults[[#All],[Team Name]],MATCH(Table5[[#This Row],[PID]],DraftResults[[#All],[Player ID]],0)),"")</f>
        <v/>
      </c>
      <c r="AC611" s="52" t="str">
        <f>IF(Table5[[#This Row],[Ovr]]="","",IF(Table5[[#This Row],[cmbList]]="","",Table5[[#This Row],[cmbList]]-Table5[[#This Row],[Ovr]]))</f>
        <v/>
      </c>
      <c r="AD611" s="56" t="str">
        <f>IF(ISERROR(VLOOKUP($AB611&amp;"-"&amp;$E611&amp;" "&amp;F611,Bonuses!$B$1:$G$1006,4,FALSE)),"",INT(VLOOKUP($AB611&amp;"-"&amp;$E611&amp;" "&amp;$F611,Bonuses!$B$1:$G$1006,4,FALSE)))</f>
        <v/>
      </c>
      <c r="AE6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2" spans="1:31" s="52" customFormat="1" x14ac:dyDescent="0.25">
      <c r="A612" s="52">
        <v>17844</v>
      </c>
      <c r="B612" s="57">
        <f>COUNTIF(Table5[PID],A612)</f>
        <v>1</v>
      </c>
      <c r="C612" s="57" t="str">
        <f>IF(COUNTIF(Table3[[#All],[PID]],A612)&gt;0,"P","B")</f>
        <v>B</v>
      </c>
      <c r="D612" s="61" t="str">
        <f>IF($C612="B",INDEX(Batters[[#All],[POS]],MATCH(Table5[[#This Row],[PID]],Batters[[#All],[PID]],0)),INDEX(Table3[[#All],[POS]],MATCH(Table5[[#This Row],[PID]],Table3[[#All],[PID]],0)))</f>
        <v>SS</v>
      </c>
      <c r="E612" s="54" t="str">
        <f>IF($C612="B",INDEX(Batters[[#All],[First]],MATCH(Table5[[#This Row],[PID]],Batters[[#All],[PID]],0)),INDEX(Table3[[#All],[First]],MATCH(Table5[[#This Row],[PID]],Table3[[#All],[PID]],0)))</f>
        <v>Kohei</v>
      </c>
      <c r="F612" s="52" t="str">
        <f>IF($C612="B",INDEX(Batters[[#All],[Last]],MATCH(A612,Batters[[#All],[PID]],0)),INDEX(Table3[[#All],[Last]],MATCH(A612,Table3[[#All],[PID]],0)))</f>
        <v>Ogawa</v>
      </c>
      <c r="G612" s="58">
        <f>IF($C612="B",INDEX(Batters[[#All],[Age]],MATCH(Table5[[#This Row],[PID]],Batters[[#All],[PID]],0)),INDEX(Table3[[#All],[Age]],MATCH(Table5[[#This Row],[PID]],Table3[[#All],[PID]],0)))</f>
        <v>18</v>
      </c>
      <c r="H612" s="54" t="str">
        <f>IF($C612="B",INDEX(Batters[[#All],[B]],MATCH(Table5[[#This Row],[PID]],Batters[[#All],[PID]],0)),INDEX(Table3[[#All],[B]],MATCH(Table5[[#This Row],[PID]],Table3[[#All],[PID]],0)))</f>
        <v>R</v>
      </c>
      <c r="I612" s="54" t="str">
        <f>IF($C612="B",INDEX(Batters[[#All],[T]],MATCH(Table5[[#This Row],[PID]],Batters[[#All],[PID]],0)),INDEX(Table3[[#All],[T]],MATCH(Table5[[#This Row],[PID]],Table3[[#All],[PID]],0)))</f>
        <v>R</v>
      </c>
      <c r="J612" s="54" t="str">
        <f>IF($C612="B",INDEX(Batters[[#All],[WE]],MATCH(Table5[[#This Row],[PID]],Batters[[#All],[PID]],0)),INDEX(Table3[[#All],[WE]],MATCH(Table5[[#This Row],[PID]],Table3[[#All],[PID]],0)))</f>
        <v>Normal</v>
      </c>
      <c r="K612" s="54" t="str">
        <f>IF($C612="B",INDEX(Batters[[#All],[INT]],MATCH(Table5[[#This Row],[PID]],Batters[[#All],[PID]],0)),INDEX(Table3[[#All],[INT]],MATCH(Table5[[#This Row],[PID]],Table3[[#All],[PID]],0)))</f>
        <v>Normal</v>
      </c>
      <c r="L612" s="62">
        <f>IF($C612="B",INDEX(Batters[[#All],[CON P]],MATCH(Table5[[#This Row],[PID]],Batters[[#All],[PID]],0)),INDEX(Table3[[#All],[STU P]],MATCH(Table5[[#This Row],[PID]],Table3[[#All],[PID]],0)))</f>
        <v>2</v>
      </c>
      <c r="M612" s="58">
        <f>IF($C612="B",INDEX(Batters[[#All],[GAP P]],MATCH(Table5[[#This Row],[PID]],Batters[[#All],[PID]],0)),INDEX(Table3[[#All],[MOV P]],MATCH(Table5[[#This Row],[PID]],Table3[[#All],[PID]],0)))</f>
        <v>3</v>
      </c>
      <c r="N612" s="58">
        <f>IF($C612="B",INDEX(Batters[[#All],[POW P]],MATCH(Table5[[#This Row],[PID]],Batters[[#All],[PID]],0)),INDEX(Table3[[#All],[CON P]],MATCH(Table5[[#This Row],[PID]],Table3[[#All],[PID]],0)))</f>
        <v>4</v>
      </c>
      <c r="O612" s="58">
        <f>IF($C612="B",INDEX(Batters[[#All],[EYE P]],MATCH(Table5[[#This Row],[PID]],Batters[[#All],[PID]],0)),INDEX(Table3[[#All],[VELO]],MATCH(Table5[[#This Row],[PID]],Table3[[#All],[PID]],0)))</f>
        <v>5</v>
      </c>
      <c r="P612" s="58">
        <f>IF($C612="B",INDEX(Batters[[#All],[K P]],MATCH(Table5[[#This Row],[PID]],Batters[[#All],[PID]],0)),INDEX(Table3[[#All],[STM]],MATCH(Table5[[#This Row],[PID]],Table3[[#All],[PID]],0)))</f>
        <v>3</v>
      </c>
      <c r="Q612" s="63">
        <f>IF($C612="B",INDEX(Batters[[#All],[Tot]],MATCH(Table5[[#This Row],[PID]],Batters[[#All],[PID]],0)),INDEX(Table3[[#All],[Tot]],MATCH(Table5[[#This Row],[PID]],Table3[[#All],[PID]],0)))</f>
        <v>38.365523102700095</v>
      </c>
      <c r="R612" s="54">
        <f>IF($C612="B",INDEX(Batters[[#All],[zScore]],MATCH(Table5[[#This Row],[PID]],Batters[[#All],[PID]],0)),INDEX(Table3[[#All],[zScore]],MATCH(Table5[[#This Row],[PID]],Table3[[#All],[PID]],0)))</f>
        <v>-0.34884715496209484</v>
      </c>
      <c r="S612" s="60" t="str">
        <f>IF($C612="B",INDEX(Batters[[#All],[DEM]],MATCH(Table5[[#This Row],[PID]],Batters[[#All],[PID]],0)),INDEX(Table3[[#All],[DEM]],MATCH(Table5[[#This Row],[PID]],Table3[[#All],[PID]],0)))</f>
        <v>$200k</v>
      </c>
      <c r="T612" s="64">
        <f>IF($C612="B",VLOOKUP($A612,Bat!$A$4:$AU$1417,46,FALSE),VLOOKUP($A612,Pit!$A$4:$BD$570,55,FALSE))</f>
        <v>0</v>
      </c>
      <c r="U612" s="52">
        <f>IF($C612="B",VLOOKUP($A612,Bat!$A$4:$BA$1417,47,FALSE),VLOOKUP($A612,Pit!$A$4:$BF$570,56,FALSE))</f>
        <v>0</v>
      </c>
      <c r="V612" s="52">
        <f>IF($C612="B",VLOOKUP($A612,Bat!$A$4:$BA$1417,48,FALSE),VLOOKUP($A612,Pit!$A$4:$BF$570,57,FALSE))</f>
        <v>0</v>
      </c>
      <c r="W612" s="52">
        <f>Table5[[#This Row],[posRnk]]+Table5[[#This Row],[zRnk]]+IF($W$3&lt;&gt;Table5[[#This Row],[Type]],50,0)</f>
        <v>658</v>
      </c>
      <c r="X612" s="53">
        <f>RANK(Table5[[#This Row],[zScore]],Table5[[#All],[zScore]])</f>
        <v>608</v>
      </c>
      <c r="Y612" s="52" t="str">
        <f>IFERROR(INDEX(DraftResults[[#All],[OVR]],MATCH(Table5[[#This Row],[PID]],DraftResults[[#All],[Player ID]],0)),"")</f>
        <v/>
      </c>
      <c r="Z6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2" s="52" t="str">
        <f>IFERROR(INDEX(DraftResults[[#All],[Pick in Round]],MATCH(Table5[[#This Row],[PID]],DraftResults[[#All],[Player ID]],0)),"")</f>
        <v/>
      </c>
      <c r="AB612" s="52" t="str">
        <f>IFERROR(INDEX(DraftResults[[#All],[Team Name]],MATCH(Table5[[#This Row],[PID]],DraftResults[[#All],[Player ID]],0)),"")</f>
        <v/>
      </c>
      <c r="AC612" s="52" t="str">
        <f>IF(Table5[[#This Row],[Ovr]]="","",IF(Table5[[#This Row],[cmbList]]="","",Table5[[#This Row],[cmbList]]-Table5[[#This Row],[Ovr]]))</f>
        <v/>
      </c>
      <c r="AD612" s="56" t="str">
        <f>IF(ISERROR(VLOOKUP($AB612&amp;"-"&amp;$E612&amp;" "&amp;F612,Bonuses!$B$1:$G$1006,4,FALSE)),"",INT(VLOOKUP($AB612&amp;"-"&amp;$E612&amp;" "&amp;$F612,Bonuses!$B$1:$G$1006,4,FALSE)))</f>
        <v/>
      </c>
      <c r="AE6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3" spans="1:31" s="52" customFormat="1" x14ac:dyDescent="0.25">
      <c r="A613" s="52">
        <v>6056</v>
      </c>
      <c r="B613" s="52">
        <f>COUNTIF(Table5[PID],A613)</f>
        <v>1</v>
      </c>
      <c r="C613" s="52" t="str">
        <f>IF(COUNTIF(Table3[[#All],[PID]],A613)&gt;0,"P","B")</f>
        <v>P</v>
      </c>
      <c r="D613" s="61" t="str">
        <f>IF($C613="B",INDEX(Batters[[#All],[POS]],MATCH(Table5[[#This Row],[PID]],Batters[[#All],[PID]],0)),INDEX(Table3[[#All],[POS]],MATCH(Table5[[#This Row],[PID]],Table3[[#All],[PID]],0)))</f>
        <v>RP</v>
      </c>
      <c r="E613" s="54" t="str">
        <f>IF($C613="B",INDEX(Batters[[#All],[First]],MATCH(Table5[[#This Row],[PID]],Batters[[#All],[PID]],0)),INDEX(Table3[[#All],[First]],MATCH(Table5[[#This Row],[PID]],Table3[[#All],[PID]],0)))</f>
        <v>Richard</v>
      </c>
      <c r="F613" s="52" t="str">
        <f>IF($C613="B",INDEX(Batters[[#All],[Last]],MATCH(A613,Batters[[#All],[PID]],0)),INDEX(Table3[[#All],[Last]],MATCH(A613,Table3[[#All],[PID]],0)))</f>
        <v>Miller</v>
      </c>
      <c r="G613" s="58">
        <f>IF($C613="B",INDEX(Batters[[#All],[Age]],MATCH(Table5[[#This Row],[PID]],Batters[[#All],[PID]],0)),INDEX(Table3[[#All],[Age]],MATCH(Table5[[#This Row],[PID]],Table3[[#All],[PID]],0)))</f>
        <v>18</v>
      </c>
      <c r="H613" s="54" t="str">
        <f>IF($C613="B",INDEX(Batters[[#All],[B]],MATCH(Table5[[#This Row],[PID]],Batters[[#All],[PID]],0)),INDEX(Table3[[#All],[B]],MATCH(Table5[[#This Row],[PID]],Table3[[#All],[PID]],0)))</f>
        <v>L</v>
      </c>
      <c r="I613" s="54" t="str">
        <f>IF($C613="B",INDEX(Batters[[#All],[T]],MATCH(Table5[[#This Row],[PID]],Batters[[#All],[PID]],0)),INDEX(Table3[[#All],[T]],MATCH(Table5[[#This Row],[PID]],Table3[[#All],[PID]],0)))</f>
        <v>R</v>
      </c>
      <c r="J613" s="54" t="str">
        <f>IF($C613="B",INDEX(Batters[[#All],[WE]],MATCH(Table5[[#This Row],[PID]],Batters[[#All],[PID]],0)),INDEX(Table3[[#All],[WE]],MATCH(Table5[[#This Row],[PID]],Table3[[#All],[PID]],0)))</f>
        <v>Normal</v>
      </c>
      <c r="K613" s="54" t="str">
        <f>IF($C613="B",INDEX(Batters[[#All],[INT]],MATCH(Table5[[#This Row],[PID]],Batters[[#All],[PID]],0)),INDEX(Table3[[#All],[INT]],MATCH(Table5[[#This Row],[PID]],Table3[[#All],[PID]],0)))</f>
        <v>Normal</v>
      </c>
      <c r="L613" s="62">
        <f>IF($C613="B",INDEX(Batters[[#All],[CON P]],MATCH(Table5[[#This Row],[PID]],Batters[[#All],[PID]],0)),INDEX(Table3[[#All],[STU P]],MATCH(Table5[[#This Row],[PID]],Table3[[#All],[PID]],0)))</f>
        <v>4</v>
      </c>
      <c r="M613" s="58">
        <f>IF($C613="B",INDEX(Batters[[#All],[GAP P]],MATCH(Table5[[#This Row],[PID]],Batters[[#All],[PID]],0)),INDEX(Table3[[#All],[MOV P]],MATCH(Table5[[#This Row],[PID]],Table3[[#All],[PID]],0)))</f>
        <v>2</v>
      </c>
      <c r="N613" s="58">
        <f>IF($C613="B",INDEX(Batters[[#All],[POW P]],MATCH(Table5[[#This Row],[PID]],Batters[[#All],[PID]],0)),INDEX(Table3[[#All],[CON P]],MATCH(Table5[[#This Row],[PID]],Table3[[#All],[PID]],0)))</f>
        <v>2</v>
      </c>
      <c r="O613" s="58" t="str">
        <f>IF($C613="B",INDEX(Batters[[#All],[EYE P]],MATCH(Table5[[#This Row],[PID]],Batters[[#All],[PID]],0)),INDEX(Table3[[#All],[VELO]],MATCH(Table5[[#This Row],[PID]],Table3[[#All],[PID]],0)))</f>
        <v>89-91 Mph</v>
      </c>
      <c r="P613" s="58">
        <f>IF($C613="B",INDEX(Batters[[#All],[K P]],MATCH(Table5[[#This Row],[PID]],Batters[[#All],[PID]],0)),INDEX(Table3[[#All],[STM]],MATCH(Table5[[#This Row],[PID]],Table3[[#All],[PID]],0)))</f>
        <v>10</v>
      </c>
      <c r="Q613" s="63">
        <f>IF($C613="B",INDEX(Batters[[#All],[Tot]],MATCH(Table5[[#This Row],[PID]],Batters[[#All],[PID]],0)),INDEX(Table3[[#All],[Tot]],MATCH(Table5[[#This Row],[PID]],Table3[[#All],[PID]],0)))</f>
        <v>28.854463136217525</v>
      </c>
      <c r="R613" s="54">
        <f>IF($C613="B",INDEX(Batters[[#All],[zScore]],MATCH(Table5[[#This Row],[PID]],Batters[[#All],[PID]],0)),INDEX(Table3[[#All],[zScore]],MATCH(Table5[[#This Row],[PID]],Table3[[#All],[PID]],0)))</f>
        <v>-0.35469266499841928</v>
      </c>
      <c r="S613" s="60" t="str">
        <f>IF($C613="B",INDEX(Batters[[#All],[DEM]],MATCH(Table5[[#This Row],[PID]],Batters[[#All],[PID]],0)),INDEX(Table3[[#All],[DEM]],MATCH(Table5[[#This Row],[PID]],Table3[[#All],[PID]],0)))</f>
        <v>$70k</v>
      </c>
      <c r="T613" s="64">
        <f>IF($C613="B",VLOOKUP($A613,Bat!$A$4:$AU$1417,46,FALSE),VLOOKUP($A613,Pit!$A$4:$BD$570,55,FALSE))</f>
        <v>0</v>
      </c>
      <c r="U613" s="52">
        <f>IF($C613="B",VLOOKUP($A613,Bat!$A$4:$BA$1417,47,FALSE),VLOOKUP($A613,Pit!$A$4:$BF$570,56,FALSE))</f>
        <v>0</v>
      </c>
      <c r="V613" s="52">
        <f>IF($C613="B",VLOOKUP($A613,Bat!$A$4:$BA$1417,48,FALSE),VLOOKUP($A613,Pit!$A$4:$BF$570,57,FALSE))</f>
        <v>0</v>
      </c>
      <c r="W613" s="52">
        <f>Table5[[#This Row],[posRnk]]+Table5[[#This Row],[zRnk]]+IF($W$3&lt;&gt;Table5[[#This Row],[Type]],50,0)</f>
        <v>659</v>
      </c>
      <c r="X613" s="53">
        <f>RANK(Table5[[#This Row],[zScore]],Table5[[#All],[zScore]])</f>
        <v>609</v>
      </c>
      <c r="Y613" s="52" t="str">
        <f>IFERROR(INDEX(DraftResults[[#All],[OVR]],MATCH(Table5[[#This Row],[PID]],DraftResults[[#All],[Player ID]],0)),"")</f>
        <v/>
      </c>
      <c r="Z6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3" s="52" t="str">
        <f>IFERROR(INDEX(DraftResults[[#All],[Pick in Round]],MATCH(Table5[[#This Row],[PID]],DraftResults[[#All],[Player ID]],0)),"")</f>
        <v/>
      </c>
      <c r="AB613" s="52" t="str">
        <f>IFERROR(INDEX(DraftResults[[#All],[Team Name]],MATCH(Table5[[#This Row],[PID]],DraftResults[[#All],[Player ID]],0)),"")</f>
        <v/>
      </c>
      <c r="AC613" s="52" t="str">
        <f>IF(Table5[[#This Row],[Ovr]]="","",IF(Table5[[#This Row],[cmbList]]="","",Table5[[#This Row],[cmbList]]-Table5[[#This Row],[Ovr]]))</f>
        <v/>
      </c>
      <c r="AD613" s="56" t="str">
        <f>IF(ISERROR(VLOOKUP($AB613&amp;"-"&amp;$E613&amp;" "&amp;F613,Bonuses!$B$1:$G$1006,4,FALSE)),"",INT(VLOOKUP($AB613&amp;"-"&amp;$E613&amp;" "&amp;$F613,Bonuses!$B$1:$G$1006,4,FALSE)))</f>
        <v/>
      </c>
      <c r="AE6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4" spans="1:31" s="52" customFormat="1" x14ac:dyDescent="0.25">
      <c r="A614" s="52">
        <v>9149</v>
      </c>
      <c r="B614" s="52">
        <f>COUNTIF(Table5[PID],A614)</f>
        <v>1</v>
      </c>
      <c r="C614" s="52" t="str">
        <f>IF(COUNTIF(Table3[[#All],[PID]],A614)&gt;0,"P","B")</f>
        <v>P</v>
      </c>
      <c r="D614" s="61" t="str">
        <f>IF($C614="B",INDEX(Batters[[#All],[POS]],MATCH(Table5[[#This Row],[PID]],Batters[[#All],[PID]],0)),INDEX(Table3[[#All],[POS]],MATCH(Table5[[#This Row],[PID]],Table3[[#All],[PID]],0)))</f>
        <v>RP</v>
      </c>
      <c r="E614" s="54" t="str">
        <f>IF($C614="B",INDEX(Batters[[#All],[First]],MATCH(Table5[[#This Row],[PID]],Batters[[#All],[PID]],0)),INDEX(Table3[[#All],[First]],MATCH(Table5[[#This Row],[PID]],Table3[[#All],[PID]],0)))</f>
        <v>Stephen</v>
      </c>
      <c r="F614" s="52" t="str">
        <f>IF($C614="B",INDEX(Batters[[#All],[Last]],MATCH(A614,Batters[[#All],[PID]],0)),INDEX(Table3[[#All],[Last]],MATCH(A614,Table3[[#All],[PID]],0)))</f>
        <v>Atkins</v>
      </c>
      <c r="G614" s="58">
        <f>IF($C614="B",INDEX(Batters[[#All],[Age]],MATCH(Table5[[#This Row],[PID]],Batters[[#All],[PID]],0)),INDEX(Table3[[#All],[Age]],MATCH(Table5[[#This Row],[PID]],Table3[[#All],[PID]],0)))</f>
        <v>18</v>
      </c>
      <c r="H614" s="54" t="str">
        <f>IF($C614="B",INDEX(Batters[[#All],[B]],MATCH(Table5[[#This Row],[PID]],Batters[[#All],[PID]],0)),INDEX(Table3[[#All],[B]],MATCH(Table5[[#This Row],[PID]],Table3[[#All],[PID]],0)))</f>
        <v>L</v>
      </c>
      <c r="I614" s="54" t="str">
        <f>IF($C614="B",INDEX(Batters[[#All],[T]],MATCH(Table5[[#This Row],[PID]],Batters[[#All],[PID]],0)),INDEX(Table3[[#All],[T]],MATCH(Table5[[#This Row],[PID]],Table3[[#All],[PID]],0)))</f>
        <v>L</v>
      </c>
      <c r="J614" s="54" t="str">
        <f>IF($C614="B",INDEX(Batters[[#All],[WE]],MATCH(Table5[[#This Row],[PID]],Batters[[#All],[PID]],0)),INDEX(Table3[[#All],[WE]],MATCH(Table5[[#This Row],[PID]],Table3[[#All],[PID]],0)))</f>
        <v>High</v>
      </c>
      <c r="K614" s="54" t="str">
        <f>IF($C614="B",INDEX(Batters[[#All],[INT]],MATCH(Table5[[#This Row],[PID]],Batters[[#All],[PID]],0)),INDEX(Table3[[#All],[INT]],MATCH(Table5[[#This Row],[PID]],Table3[[#All],[PID]],0)))</f>
        <v>Normal</v>
      </c>
      <c r="L614" s="62">
        <f>IF($C614="B",INDEX(Batters[[#All],[CON P]],MATCH(Table5[[#This Row],[PID]],Batters[[#All],[PID]],0)),INDEX(Table3[[#All],[STU P]],MATCH(Table5[[#This Row],[PID]],Table3[[#All],[PID]],0)))</f>
        <v>3</v>
      </c>
      <c r="M614" s="58">
        <f>IF($C614="B",INDEX(Batters[[#All],[GAP P]],MATCH(Table5[[#This Row],[PID]],Batters[[#All],[PID]],0)),INDEX(Table3[[#All],[MOV P]],MATCH(Table5[[#This Row],[PID]],Table3[[#All],[PID]],0)))</f>
        <v>2</v>
      </c>
      <c r="N614" s="58">
        <f>IF($C614="B",INDEX(Batters[[#All],[POW P]],MATCH(Table5[[#This Row],[PID]],Batters[[#All],[PID]],0)),INDEX(Table3[[#All],[CON P]],MATCH(Table5[[#This Row],[PID]],Table3[[#All],[PID]],0)))</f>
        <v>2</v>
      </c>
      <c r="O614" s="58" t="str">
        <f>IF($C614="B",INDEX(Batters[[#All],[EYE P]],MATCH(Table5[[#This Row],[PID]],Batters[[#All],[PID]],0)),INDEX(Table3[[#All],[VELO]],MATCH(Table5[[#This Row],[PID]],Table3[[#All],[PID]],0)))</f>
        <v>83-85 Mph</v>
      </c>
      <c r="P614" s="58">
        <f>IF($C614="B",INDEX(Batters[[#All],[K P]],MATCH(Table5[[#This Row],[PID]],Batters[[#All],[PID]],0)),INDEX(Table3[[#All],[STM]],MATCH(Table5[[#This Row],[PID]],Table3[[#All],[PID]],0)))</f>
        <v>10</v>
      </c>
      <c r="Q614" s="63">
        <f>IF($C614="B",INDEX(Batters[[#All],[Tot]],MATCH(Table5[[#This Row],[PID]],Batters[[#All],[PID]],0)),INDEX(Table3[[#All],[Tot]],MATCH(Table5[[#This Row],[PID]],Table3[[#All],[PID]],0)))</f>
        <v>28.829528543018998</v>
      </c>
      <c r="R614" s="54">
        <f>IF($C614="B",INDEX(Batters[[#All],[zScore]],MATCH(Table5[[#This Row],[PID]],Batters[[#All],[PID]],0)),INDEX(Table3[[#All],[zScore]],MATCH(Table5[[#This Row],[PID]],Table3[[#All],[PID]],0)))</f>
        <v>-0.35697927376741539</v>
      </c>
      <c r="S614" s="60" t="str">
        <f>IF($C614="B",INDEX(Batters[[#All],[DEM]],MATCH(Table5[[#This Row],[PID]],Batters[[#All],[PID]],0)),INDEX(Table3[[#All],[DEM]],MATCH(Table5[[#This Row],[PID]],Table3[[#All],[PID]],0)))</f>
        <v>$65k</v>
      </c>
      <c r="T614" s="64">
        <f>IF($C614="B",VLOOKUP($A614,Bat!$A$4:$AU$1417,46,FALSE),VLOOKUP($A614,Pit!$A$4:$BD$570,55,FALSE))</f>
        <v>0</v>
      </c>
      <c r="U614" s="52">
        <f>IF($C614="B",VLOOKUP($A614,Bat!$A$4:$BA$1417,47,FALSE),VLOOKUP($A614,Pit!$A$4:$BF$570,56,FALSE))</f>
        <v>0</v>
      </c>
      <c r="V614" s="52">
        <f>IF($C614="B",VLOOKUP($A614,Bat!$A$4:$BA$1417,48,FALSE),VLOOKUP($A614,Pit!$A$4:$BF$570,57,FALSE))</f>
        <v>0</v>
      </c>
      <c r="W614" s="52">
        <f>Table5[[#This Row],[posRnk]]+Table5[[#This Row],[zRnk]]+IF($W$3&lt;&gt;Table5[[#This Row],[Type]],50,0)</f>
        <v>660</v>
      </c>
      <c r="X614" s="53">
        <f>RANK(Table5[[#This Row],[zScore]],Table5[[#All],[zScore]])</f>
        <v>610</v>
      </c>
      <c r="Y614" s="52" t="str">
        <f>IFERROR(INDEX(DraftResults[[#All],[OVR]],MATCH(Table5[[#This Row],[PID]],DraftResults[[#All],[Player ID]],0)),"")</f>
        <v/>
      </c>
      <c r="Z6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4" s="52" t="str">
        <f>IFERROR(INDEX(DraftResults[[#All],[Pick in Round]],MATCH(Table5[[#This Row],[PID]],DraftResults[[#All],[Player ID]],0)),"")</f>
        <v/>
      </c>
      <c r="AB614" s="52" t="str">
        <f>IFERROR(INDEX(DraftResults[[#All],[Team Name]],MATCH(Table5[[#This Row],[PID]],DraftResults[[#All],[Player ID]],0)),"")</f>
        <v/>
      </c>
      <c r="AC614" s="52" t="str">
        <f>IF(Table5[[#This Row],[Ovr]]="","",IF(Table5[[#This Row],[cmbList]]="","",Table5[[#This Row],[cmbList]]-Table5[[#This Row],[Ovr]]))</f>
        <v/>
      </c>
      <c r="AD614" s="56" t="str">
        <f>IF(ISERROR(VLOOKUP($AB614&amp;"-"&amp;$E614&amp;" "&amp;F614,Bonuses!$B$1:$G$1006,4,FALSE)),"",INT(VLOOKUP($AB614&amp;"-"&amp;$E614&amp;" "&amp;$F614,Bonuses!$B$1:$G$1006,4,FALSE)))</f>
        <v/>
      </c>
      <c r="AE6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5" spans="1:31" s="52" customFormat="1" x14ac:dyDescent="0.25">
      <c r="A615" s="52">
        <v>4996</v>
      </c>
      <c r="B615" s="52">
        <f>COUNTIF(Table5[PID],A615)</f>
        <v>1</v>
      </c>
      <c r="C615" s="52" t="str">
        <f>IF(COUNTIF(Table3[[#All],[PID]],A615)&gt;0,"P","B")</f>
        <v>P</v>
      </c>
      <c r="D615" s="61" t="str">
        <f>IF($C615="B",INDEX(Batters[[#All],[POS]],MATCH(Table5[[#This Row],[PID]],Batters[[#All],[PID]],0)),INDEX(Table3[[#All],[POS]],MATCH(Table5[[#This Row],[PID]],Table3[[#All],[PID]],0)))</f>
        <v>SP</v>
      </c>
      <c r="E615" s="54" t="str">
        <f>IF($C615="B",INDEX(Batters[[#All],[First]],MATCH(Table5[[#This Row],[PID]],Batters[[#All],[PID]],0)),INDEX(Table3[[#All],[First]],MATCH(Table5[[#This Row],[PID]],Table3[[#All],[PID]],0)))</f>
        <v>Mark</v>
      </c>
      <c r="F615" s="52" t="str">
        <f>IF($C615="B",INDEX(Batters[[#All],[Last]],MATCH(A615,Batters[[#All],[PID]],0)),INDEX(Table3[[#All],[Last]],MATCH(A615,Table3[[#All],[PID]],0)))</f>
        <v>Cruz</v>
      </c>
      <c r="G615" s="58">
        <f>IF($C615="B",INDEX(Batters[[#All],[Age]],MATCH(Table5[[#This Row],[PID]],Batters[[#All],[PID]],0)),INDEX(Table3[[#All],[Age]],MATCH(Table5[[#This Row],[PID]],Table3[[#All],[PID]],0)))</f>
        <v>22</v>
      </c>
      <c r="H615" s="54" t="str">
        <f>IF($C615="B",INDEX(Batters[[#All],[B]],MATCH(Table5[[#This Row],[PID]],Batters[[#All],[PID]],0)),INDEX(Table3[[#All],[B]],MATCH(Table5[[#This Row],[PID]],Table3[[#All],[PID]],0)))</f>
        <v>L</v>
      </c>
      <c r="I615" s="54" t="str">
        <f>IF($C615="B",INDEX(Batters[[#All],[T]],MATCH(Table5[[#This Row],[PID]],Batters[[#All],[PID]],0)),INDEX(Table3[[#All],[T]],MATCH(Table5[[#This Row],[PID]],Table3[[#All],[PID]],0)))</f>
        <v>L</v>
      </c>
      <c r="J615" s="54" t="str">
        <f>IF($C615="B",INDEX(Batters[[#All],[WE]],MATCH(Table5[[#This Row],[PID]],Batters[[#All],[PID]],0)),INDEX(Table3[[#All],[WE]],MATCH(Table5[[#This Row],[PID]],Table3[[#All],[PID]],0)))</f>
        <v>Normal</v>
      </c>
      <c r="K615" s="54" t="str">
        <f>IF($C615="B",INDEX(Batters[[#All],[INT]],MATCH(Table5[[#This Row],[PID]],Batters[[#All],[PID]],0)),INDEX(Table3[[#All],[INT]],MATCH(Table5[[#This Row],[PID]],Table3[[#All],[PID]],0)))</f>
        <v>Normal</v>
      </c>
      <c r="L615" s="62">
        <f>IF($C615="B",INDEX(Batters[[#All],[CON P]],MATCH(Table5[[#This Row],[PID]],Batters[[#All],[PID]],0)),INDEX(Table3[[#All],[STU P]],MATCH(Table5[[#This Row],[PID]],Table3[[#All],[PID]],0)))</f>
        <v>4</v>
      </c>
      <c r="M615" s="58">
        <f>IF($C615="B",INDEX(Batters[[#All],[GAP P]],MATCH(Table5[[#This Row],[PID]],Batters[[#All],[PID]],0)),INDEX(Table3[[#All],[MOV P]],MATCH(Table5[[#This Row],[PID]],Table3[[#All],[PID]],0)))</f>
        <v>3</v>
      </c>
      <c r="N615" s="58">
        <f>IF($C615="B",INDEX(Batters[[#All],[POW P]],MATCH(Table5[[#This Row],[PID]],Batters[[#All],[PID]],0)),INDEX(Table3[[#All],[CON P]],MATCH(Table5[[#This Row],[PID]],Table3[[#All],[PID]],0)))</f>
        <v>2</v>
      </c>
      <c r="O615" s="58" t="str">
        <f>IF($C615="B",INDEX(Batters[[#All],[EYE P]],MATCH(Table5[[#This Row],[PID]],Batters[[#All],[PID]],0)),INDEX(Table3[[#All],[VELO]],MATCH(Table5[[#This Row],[PID]],Table3[[#All],[PID]],0)))</f>
        <v>88-90 Mph</v>
      </c>
      <c r="P615" s="58">
        <f>IF($C615="B",INDEX(Batters[[#All],[K P]],MATCH(Table5[[#This Row],[PID]],Batters[[#All],[PID]],0)),INDEX(Table3[[#All],[STM]],MATCH(Table5[[#This Row],[PID]],Table3[[#All],[PID]],0)))</f>
        <v>6</v>
      </c>
      <c r="Q615" s="63">
        <f>IF($C615="B",INDEX(Batters[[#All],[Tot]],MATCH(Table5[[#This Row],[PID]],Batters[[#All],[PID]],0)),INDEX(Table3[[#All],[Tot]],MATCH(Table5[[#This Row],[PID]],Table3[[#All],[PID]],0)))</f>
        <v>28.816737346858009</v>
      </c>
      <c r="R615" s="54">
        <f>IF($C615="B",INDEX(Batters[[#All],[zScore]],MATCH(Table5[[#This Row],[PID]],Batters[[#All],[PID]],0)),INDEX(Table3[[#All],[zScore]],MATCH(Table5[[#This Row],[PID]],Table3[[#All],[PID]],0)))</f>
        <v>-0.35815228112609954</v>
      </c>
      <c r="S615" s="60" t="str">
        <f>IF($C615="B",INDEX(Batters[[#All],[DEM]],MATCH(Table5[[#This Row],[PID]],Batters[[#All],[PID]],0)),INDEX(Table3[[#All],[DEM]],MATCH(Table5[[#This Row],[PID]],Table3[[#All],[PID]],0)))</f>
        <v>-</v>
      </c>
      <c r="T615" s="64">
        <f>IF($C615="B",VLOOKUP($A615,Bat!$A$4:$AU$1417,46,FALSE),VLOOKUP($A615,Pit!$A$4:$BD$570,55,FALSE))</f>
        <v>0</v>
      </c>
      <c r="U615" s="52">
        <f>IF($C615="B",VLOOKUP($A615,Bat!$A$4:$BA$1417,47,FALSE),VLOOKUP($A615,Pit!$A$4:$BF$570,56,FALSE))</f>
        <v>0</v>
      </c>
      <c r="V615" s="52">
        <f>IF($C615="B",VLOOKUP($A615,Bat!$A$4:$BA$1417,48,FALSE),VLOOKUP($A615,Pit!$A$4:$BF$570,57,FALSE))</f>
        <v>0</v>
      </c>
      <c r="W615" s="52">
        <f>Table5[[#This Row],[posRnk]]+Table5[[#This Row],[zRnk]]+IF($W$3&lt;&gt;Table5[[#This Row],[Type]],50,0)</f>
        <v>661</v>
      </c>
      <c r="X615" s="53">
        <f>RANK(Table5[[#This Row],[zScore]],Table5[[#All],[zScore]])</f>
        <v>611</v>
      </c>
      <c r="Y615" s="52" t="str">
        <f>IFERROR(INDEX(DraftResults[[#All],[OVR]],MATCH(Table5[[#This Row],[PID]],DraftResults[[#All],[Player ID]],0)),"")</f>
        <v/>
      </c>
      <c r="Z6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5" s="52" t="str">
        <f>IFERROR(INDEX(DraftResults[[#All],[Pick in Round]],MATCH(Table5[[#This Row],[PID]],DraftResults[[#All],[Player ID]],0)),"")</f>
        <v/>
      </c>
      <c r="AB615" s="52" t="str">
        <f>IFERROR(INDEX(DraftResults[[#All],[Team Name]],MATCH(Table5[[#This Row],[PID]],DraftResults[[#All],[Player ID]],0)),"")</f>
        <v/>
      </c>
      <c r="AC615" s="52" t="str">
        <f>IF(Table5[[#This Row],[Ovr]]="","",IF(Table5[[#This Row],[cmbList]]="","",Table5[[#This Row],[cmbList]]-Table5[[#This Row],[Ovr]]))</f>
        <v/>
      </c>
      <c r="AD615" s="56" t="str">
        <f>IF(ISERROR(VLOOKUP($AB615&amp;"-"&amp;$E615&amp;" "&amp;F615,Bonuses!$B$1:$G$1006,4,FALSE)),"",INT(VLOOKUP($AB615&amp;"-"&amp;$E615&amp;" "&amp;$F615,Bonuses!$B$1:$G$1006,4,FALSE)))</f>
        <v/>
      </c>
      <c r="AE6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6" spans="1:31" s="52" customFormat="1" x14ac:dyDescent="0.25">
      <c r="A616" s="52">
        <v>17911</v>
      </c>
      <c r="B616" s="52">
        <f>COUNTIF(Table5[PID],A616)</f>
        <v>1</v>
      </c>
      <c r="C616" s="52" t="str">
        <f>IF(COUNTIF(Table3[[#All],[PID]],A616)&gt;0,"P","B")</f>
        <v>P</v>
      </c>
      <c r="D616" s="61" t="str">
        <f>IF($C616="B",INDEX(Batters[[#All],[POS]],MATCH(Table5[[#This Row],[PID]],Batters[[#All],[PID]],0)),INDEX(Table3[[#All],[POS]],MATCH(Table5[[#This Row],[PID]],Table3[[#All],[PID]],0)))</f>
        <v>SP</v>
      </c>
      <c r="E616" s="54" t="str">
        <f>IF($C616="B",INDEX(Batters[[#All],[First]],MATCH(Table5[[#This Row],[PID]],Batters[[#All],[PID]],0)),INDEX(Table3[[#All],[First]],MATCH(Table5[[#This Row],[PID]],Table3[[#All],[PID]],0)))</f>
        <v>Ben</v>
      </c>
      <c r="F616" s="52" t="str">
        <f>IF($C616="B",INDEX(Batters[[#All],[Last]],MATCH(A616,Batters[[#All],[PID]],0)),INDEX(Table3[[#All],[Last]],MATCH(A616,Table3[[#All],[PID]],0)))</f>
        <v>MacAsgill</v>
      </c>
      <c r="G616" s="58">
        <f>IF($C616="B",INDEX(Batters[[#All],[Age]],MATCH(Table5[[#This Row],[PID]],Batters[[#All],[PID]],0)),INDEX(Table3[[#All],[Age]],MATCH(Table5[[#This Row],[PID]],Table3[[#All],[PID]],0)))</f>
        <v>18</v>
      </c>
      <c r="H616" s="54" t="str">
        <f>IF($C616="B",INDEX(Batters[[#All],[B]],MATCH(Table5[[#This Row],[PID]],Batters[[#All],[PID]],0)),INDEX(Table3[[#All],[B]],MATCH(Table5[[#This Row],[PID]],Table3[[#All],[PID]],0)))</f>
        <v>S</v>
      </c>
      <c r="I616" s="54" t="str">
        <f>IF($C616="B",INDEX(Batters[[#All],[T]],MATCH(Table5[[#This Row],[PID]],Batters[[#All],[PID]],0)),INDEX(Table3[[#All],[T]],MATCH(Table5[[#This Row],[PID]],Table3[[#All],[PID]],0)))</f>
        <v>R</v>
      </c>
      <c r="J616" s="54" t="str">
        <f>IF($C616="B",INDEX(Batters[[#All],[WE]],MATCH(Table5[[#This Row],[PID]],Batters[[#All],[PID]],0)),INDEX(Table3[[#All],[WE]],MATCH(Table5[[#This Row],[PID]],Table3[[#All],[PID]],0)))</f>
        <v>Normal</v>
      </c>
      <c r="K616" s="54" t="str">
        <f>IF($C616="B",INDEX(Batters[[#All],[INT]],MATCH(Table5[[#This Row],[PID]],Batters[[#All],[PID]],0)),INDEX(Table3[[#All],[INT]],MATCH(Table5[[#This Row],[PID]],Table3[[#All],[PID]],0)))</f>
        <v>Normal</v>
      </c>
      <c r="L616" s="62">
        <f>IF($C616="B",INDEX(Batters[[#All],[CON P]],MATCH(Table5[[#This Row],[PID]],Batters[[#All],[PID]],0)),INDEX(Table3[[#All],[STU P]],MATCH(Table5[[#This Row],[PID]],Table3[[#All],[PID]],0)))</f>
        <v>4</v>
      </c>
      <c r="M616" s="58">
        <f>IF($C616="B",INDEX(Batters[[#All],[GAP P]],MATCH(Table5[[#This Row],[PID]],Batters[[#All],[PID]],0)),INDEX(Table3[[#All],[MOV P]],MATCH(Table5[[#This Row],[PID]],Table3[[#All],[PID]],0)))</f>
        <v>2</v>
      </c>
      <c r="N616" s="58">
        <f>IF($C616="B",INDEX(Batters[[#All],[POW P]],MATCH(Table5[[#This Row],[PID]],Batters[[#All],[PID]],0)),INDEX(Table3[[#All],[CON P]],MATCH(Table5[[#This Row],[PID]],Table3[[#All],[PID]],0)))</f>
        <v>2</v>
      </c>
      <c r="O616" s="58" t="str">
        <f>IF($C616="B",INDEX(Batters[[#All],[EYE P]],MATCH(Table5[[#This Row],[PID]],Batters[[#All],[PID]],0)),INDEX(Table3[[#All],[VELO]],MATCH(Table5[[#This Row],[PID]],Table3[[#All],[PID]],0)))</f>
        <v>88-90 Mph</v>
      </c>
      <c r="P616" s="58">
        <f>IF($C616="B",INDEX(Batters[[#All],[K P]],MATCH(Table5[[#This Row],[PID]],Batters[[#All],[PID]],0)),INDEX(Table3[[#All],[STM]],MATCH(Table5[[#This Row],[PID]],Table3[[#All],[PID]],0)))</f>
        <v>10</v>
      </c>
      <c r="Q616" s="63">
        <f>IF($C616="B",INDEX(Batters[[#All],[Tot]],MATCH(Table5[[#This Row],[PID]],Batters[[#All],[PID]],0)),INDEX(Table3[[#All],[Tot]],MATCH(Table5[[#This Row],[PID]],Table3[[#All],[PID]],0)))</f>
        <v>28.815524871315692</v>
      </c>
      <c r="R616" s="54">
        <f>IF($C616="B",INDEX(Batters[[#All],[zScore]],MATCH(Table5[[#This Row],[PID]],Batters[[#All],[PID]],0)),INDEX(Table3[[#All],[zScore]],MATCH(Table5[[#This Row],[PID]],Table3[[#All],[PID]],0)))</f>
        <v>-0.35826347031555944</v>
      </c>
      <c r="S616" s="60" t="str">
        <f>IF($C616="B",INDEX(Batters[[#All],[DEM]],MATCH(Table5[[#This Row],[PID]],Batters[[#All],[PID]],0)),INDEX(Table3[[#All],[DEM]],MATCH(Table5[[#This Row],[PID]],Table3[[#All],[PID]],0)))</f>
        <v>$65k</v>
      </c>
      <c r="T616" s="64">
        <f>IF($C616="B",VLOOKUP($A616,Bat!$A$4:$AU$1417,46,FALSE),VLOOKUP($A616,Pit!$A$4:$BD$570,55,FALSE))</f>
        <v>0</v>
      </c>
      <c r="U616" s="52">
        <f>IF($C616="B",VLOOKUP($A616,Bat!$A$4:$BA$1417,47,FALSE),VLOOKUP($A616,Pit!$A$4:$BF$570,56,FALSE))</f>
        <v>0</v>
      </c>
      <c r="V616" s="52">
        <f>IF($C616="B",VLOOKUP($A616,Bat!$A$4:$BA$1417,48,FALSE),VLOOKUP($A616,Pit!$A$4:$BF$570,57,FALSE))</f>
        <v>0</v>
      </c>
      <c r="W616" s="52">
        <f>Table5[[#This Row],[posRnk]]+Table5[[#This Row],[zRnk]]+IF($W$3&lt;&gt;Table5[[#This Row],[Type]],50,0)</f>
        <v>662</v>
      </c>
      <c r="X616" s="53">
        <f>RANK(Table5[[#This Row],[zScore]],Table5[[#All],[zScore]])</f>
        <v>612</v>
      </c>
      <c r="Y616" s="52" t="str">
        <f>IFERROR(INDEX(DraftResults[[#All],[OVR]],MATCH(Table5[[#This Row],[PID]],DraftResults[[#All],[Player ID]],0)),"")</f>
        <v/>
      </c>
      <c r="Z6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6" s="52" t="str">
        <f>IFERROR(INDEX(DraftResults[[#All],[Pick in Round]],MATCH(Table5[[#This Row],[PID]],DraftResults[[#All],[Player ID]],0)),"")</f>
        <v/>
      </c>
      <c r="AB616" s="52" t="str">
        <f>IFERROR(INDEX(DraftResults[[#All],[Team Name]],MATCH(Table5[[#This Row],[PID]],DraftResults[[#All],[Player ID]],0)),"")</f>
        <v/>
      </c>
      <c r="AC616" s="52" t="str">
        <f>IF(Table5[[#This Row],[Ovr]]="","",IF(Table5[[#This Row],[cmbList]]="","",Table5[[#This Row],[cmbList]]-Table5[[#This Row],[Ovr]]))</f>
        <v/>
      </c>
      <c r="AD616" s="56" t="str">
        <f>IF(ISERROR(VLOOKUP($AB616&amp;"-"&amp;$E616&amp;" "&amp;F616,Bonuses!$B$1:$G$1006,4,FALSE)),"",INT(VLOOKUP($AB616&amp;"-"&amp;$E616&amp;" "&amp;$F616,Bonuses!$B$1:$G$1006,4,FALSE)))</f>
        <v/>
      </c>
      <c r="AE6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7" spans="1:31" s="52" customFormat="1" x14ac:dyDescent="0.25">
      <c r="A617" s="52">
        <v>6450</v>
      </c>
      <c r="B617" s="52">
        <f>COUNTIF(Table5[PID],A617)</f>
        <v>1</v>
      </c>
      <c r="C617" s="52" t="str">
        <f>IF(COUNTIF(Table3[[#All],[PID]],A617)&gt;0,"P","B")</f>
        <v>B</v>
      </c>
      <c r="D617" s="61" t="str">
        <f>IF($C617="B",INDEX(Batters[[#All],[POS]],MATCH(Table5[[#This Row],[PID]],Batters[[#All],[PID]],0)),INDEX(Table3[[#All],[POS]],MATCH(Table5[[#This Row],[PID]],Table3[[#All],[PID]],0)))</f>
        <v>C</v>
      </c>
      <c r="E617" s="54" t="str">
        <f>IF($C617="B",INDEX(Batters[[#All],[First]],MATCH(Table5[[#This Row],[PID]],Batters[[#All],[PID]],0)),INDEX(Table3[[#All],[First]],MATCH(Table5[[#This Row],[PID]],Table3[[#All],[PID]],0)))</f>
        <v>Jorge</v>
      </c>
      <c r="F617" s="52" t="str">
        <f>IF($C617="B",INDEX(Batters[[#All],[Last]],MATCH(A617,Batters[[#All],[PID]],0)),INDEX(Table3[[#All],[Last]],MATCH(A617,Table3[[#All],[PID]],0)))</f>
        <v>Flores</v>
      </c>
      <c r="G617" s="58">
        <f>IF($C617="B",INDEX(Batters[[#All],[Age]],MATCH(Table5[[#This Row],[PID]],Batters[[#All],[PID]],0)),INDEX(Table3[[#All],[Age]],MATCH(Table5[[#This Row],[PID]],Table3[[#All],[PID]],0)))</f>
        <v>18</v>
      </c>
      <c r="H617" s="54" t="str">
        <f>IF($C617="B",INDEX(Batters[[#All],[B]],MATCH(Table5[[#This Row],[PID]],Batters[[#All],[PID]],0)),INDEX(Table3[[#All],[B]],MATCH(Table5[[#This Row],[PID]],Table3[[#All],[PID]],0)))</f>
        <v>S</v>
      </c>
      <c r="I617" s="54" t="str">
        <f>IF($C617="B",INDEX(Batters[[#All],[T]],MATCH(Table5[[#This Row],[PID]],Batters[[#All],[PID]],0)),INDEX(Table3[[#All],[T]],MATCH(Table5[[#This Row],[PID]],Table3[[#All],[PID]],0)))</f>
        <v>R</v>
      </c>
      <c r="J617" s="54" t="str">
        <f>IF($C617="B",INDEX(Batters[[#All],[WE]],MATCH(Table5[[#This Row],[PID]],Batters[[#All],[PID]],0)),INDEX(Table3[[#All],[WE]],MATCH(Table5[[#This Row],[PID]],Table3[[#All],[PID]],0)))</f>
        <v>Normal</v>
      </c>
      <c r="K617" s="54" t="str">
        <f>IF($C617="B",INDEX(Batters[[#All],[INT]],MATCH(Table5[[#This Row],[PID]],Batters[[#All],[PID]],0)),INDEX(Table3[[#All],[INT]],MATCH(Table5[[#This Row],[PID]],Table3[[#All],[PID]],0)))</f>
        <v>Normal</v>
      </c>
      <c r="L617" s="62">
        <f>IF($C617="B",INDEX(Batters[[#All],[CON P]],MATCH(Table5[[#This Row],[PID]],Batters[[#All],[PID]],0)),INDEX(Table3[[#All],[STU P]],MATCH(Table5[[#This Row],[PID]],Table3[[#All],[PID]],0)))</f>
        <v>2</v>
      </c>
      <c r="M617" s="58">
        <f>IF($C617="B",INDEX(Batters[[#All],[GAP P]],MATCH(Table5[[#This Row],[PID]],Batters[[#All],[PID]],0)),INDEX(Table3[[#All],[MOV P]],MATCH(Table5[[#This Row],[PID]],Table3[[#All],[PID]],0)))</f>
        <v>4</v>
      </c>
      <c r="N617" s="58">
        <f>IF($C617="B",INDEX(Batters[[#All],[POW P]],MATCH(Table5[[#This Row],[PID]],Batters[[#All],[PID]],0)),INDEX(Table3[[#All],[CON P]],MATCH(Table5[[#This Row],[PID]],Table3[[#All],[PID]],0)))</f>
        <v>4</v>
      </c>
      <c r="O617" s="58">
        <f>IF($C617="B",INDEX(Batters[[#All],[EYE P]],MATCH(Table5[[#This Row],[PID]],Batters[[#All],[PID]],0)),INDEX(Table3[[#All],[VELO]],MATCH(Table5[[#This Row],[PID]],Table3[[#All],[PID]],0)))</f>
        <v>5</v>
      </c>
      <c r="P617" s="58">
        <f>IF($C617="B",INDEX(Batters[[#All],[K P]],MATCH(Table5[[#This Row],[PID]],Batters[[#All],[PID]],0)),INDEX(Table3[[#All],[STM]],MATCH(Table5[[#This Row],[PID]],Table3[[#All],[PID]],0)))</f>
        <v>2</v>
      </c>
      <c r="Q617" s="63">
        <f>IF($C617="B",INDEX(Batters[[#All],[Tot]],MATCH(Table5[[#This Row],[PID]],Batters[[#All],[PID]],0)),INDEX(Table3[[#All],[Tot]],MATCH(Table5[[#This Row],[PID]],Table3[[#All],[PID]],0)))</f>
        <v>38.29542867268475</v>
      </c>
      <c r="R617" s="54">
        <f>IF($C617="B",INDEX(Batters[[#All],[zScore]],MATCH(Table5[[#This Row],[PID]],Batters[[#All],[PID]],0)),INDEX(Table3[[#All],[zScore]],MATCH(Table5[[#This Row],[PID]],Table3[[#All],[PID]],0)))</f>
        <v>-0.36117980405444788</v>
      </c>
      <c r="S617" s="60" t="str">
        <f>IF($C617="B",INDEX(Batters[[#All],[DEM]],MATCH(Table5[[#This Row],[PID]],Batters[[#All],[PID]],0)),INDEX(Table3[[#All],[DEM]],MATCH(Table5[[#This Row],[PID]],Table3[[#All],[PID]],0)))</f>
        <v>$65k</v>
      </c>
      <c r="T617" s="64">
        <f>IF($C617="B",VLOOKUP($A617,Bat!$A$4:$AU$1417,46,FALSE),VLOOKUP($A617,Pit!$A$4:$BD$570,55,FALSE))</f>
        <v>0</v>
      </c>
      <c r="U617" s="52">
        <f>IF($C617="B",VLOOKUP($A617,Bat!$A$4:$BA$1417,47,FALSE),VLOOKUP($A617,Pit!$A$4:$BF$570,56,FALSE))</f>
        <v>0</v>
      </c>
      <c r="V617" s="52">
        <f>IF($C617="B",VLOOKUP($A617,Bat!$A$4:$BA$1417,48,FALSE),VLOOKUP($A617,Pit!$A$4:$BF$570,57,FALSE))</f>
        <v>0</v>
      </c>
      <c r="W617" s="52">
        <f>Table5[[#This Row],[posRnk]]+Table5[[#This Row],[zRnk]]+IF($W$3&lt;&gt;Table5[[#This Row],[Type]],50,0)</f>
        <v>663</v>
      </c>
      <c r="X617" s="53">
        <f>RANK(Table5[[#This Row],[zScore]],Table5[[#All],[zScore]])</f>
        <v>613</v>
      </c>
      <c r="Y617" s="52" t="str">
        <f>IFERROR(INDEX(DraftResults[[#All],[OVR]],MATCH(Table5[[#This Row],[PID]],DraftResults[[#All],[Player ID]],0)),"")</f>
        <v/>
      </c>
      <c r="Z6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7" s="52" t="str">
        <f>IFERROR(INDEX(DraftResults[[#All],[Pick in Round]],MATCH(Table5[[#This Row],[PID]],DraftResults[[#All],[Player ID]],0)),"")</f>
        <v/>
      </c>
      <c r="AB617" s="52" t="str">
        <f>IFERROR(INDEX(DraftResults[[#All],[Team Name]],MATCH(Table5[[#This Row],[PID]],DraftResults[[#All],[Player ID]],0)),"")</f>
        <v/>
      </c>
      <c r="AC617" s="52" t="str">
        <f>IF(Table5[[#This Row],[Ovr]]="","",IF(Table5[[#This Row],[cmbList]]="","",Table5[[#This Row],[cmbList]]-Table5[[#This Row],[Ovr]]))</f>
        <v/>
      </c>
      <c r="AD617" s="56" t="str">
        <f>IF(ISERROR(VLOOKUP($AB617&amp;"-"&amp;$E617&amp;" "&amp;F617,Bonuses!$B$1:$G$1006,4,FALSE)),"",INT(VLOOKUP($AB617&amp;"-"&amp;$E617&amp;" "&amp;$F617,Bonuses!$B$1:$G$1006,4,FALSE)))</f>
        <v/>
      </c>
      <c r="AE6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8" spans="1:31" s="52" customFormat="1" x14ac:dyDescent="0.25">
      <c r="A618" s="52">
        <v>17604</v>
      </c>
      <c r="B618" s="52">
        <f>COUNTIF(Table5[PID],A618)</f>
        <v>1</v>
      </c>
      <c r="C618" s="52" t="str">
        <f>IF(COUNTIF(Table3[[#All],[PID]],A618)&gt;0,"P","B")</f>
        <v>P</v>
      </c>
      <c r="D618" s="61" t="str">
        <f>IF($C618="B",INDEX(Batters[[#All],[POS]],MATCH(Table5[[#This Row],[PID]],Batters[[#All],[PID]],0)),INDEX(Table3[[#All],[POS]],MATCH(Table5[[#This Row],[PID]],Table3[[#All],[PID]],0)))</f>
        <v>RP</v>
      </c>
      <c r="E618" s="54" t="str">
        <f>IF($C618="B",INDEX(Batters[[#All],[First]],MATCH(Table5[[#This Row],[PID]],Batters[[#All],[PID]],0)),INDEX(Table3[[#All],[First]],MATCH(Table5[[#This Row],[PID]],Table3[[#All],[PID]],0)))</f>
        <v>José</v>
      </c>
      <c r="F618" s="52" t="str">
        <f>IF($C618="B",INDEX(Batters[[#All],[Last]],MATCH(A618,Batters[[#All],[PID]],0)),INDEX(Table3[[#All],[Last]],MATCH(A618,Table3[[#All],[PID]],0)))</f>
        <v>Gonzáles</v>
      </c>
      <c r="G618" s="58">
        <f>IF($C618="B",INDEX(Batters[[#All],[Age]],MATCH(Table5[[#This Row],[PID]],Batters[[#All],[PID]],0)),INDEX(Table3[[#All],[Age]],MATCH(Table5[[#This Row],[PID]],Table3[[#All],[PID]],0)))</f>
        <v>18</v>
      </c>
      <c r="H618" s="54" t="str">
        <f>IF($C618="B",INDEX(Batters[[#All],[B]],MATCH(Table5[[#This Row],[PID]],Batters[[#All],[PID]],0)),INDEX(Table3[[#All],[B]],MATCH(Table5[[#This Row],[PID]],Table3[[#All],[PID]],0)))</f>
        <v>R</v>
      </c>
      <c r="I618" s="54" t="str">
        <f>IF($C618="B",INDEX(Batters[[#All],[T]],MATCH(Table5[[#This Row],[PID]],Batters[[#All],[PID]],0)),INDEX(Table3[[#All],[T]],MATCH(Table5[[#This Row],[PID]],Table3[[#All],[PID]],0)))</f>
        <v>L</v>
      </c>
      <c r="J618" s="54" t="str">
        <f>IF($C618="B",INDEX(Batters[[#All],[WE]],MATCH(Table5[[#This Row],[PID]],Batters[[#All],[PID]],0)),INDEX(Table3[[#All],[WE]],MATCH(Table5[[#This Row],[PID]],Table3[[#All],[PID]],0)))</f>
        <v>Low</v>
      </c>
      <c r="K618" s="54" t="str">
        <f>IF($C618="B",INDEX(Batters[[#All],[INT]],MATCH(Table5[[#This Row],[PID]],Batters[[#All],[PID]],0)),INDEX(Table3[[#All],[INT]],MATCH(Table5[[#This Row],[PID]],Table3[[#All],[PID]],0)))</f>
        <v>Low</v>
      </c>
      <c r="L618" s="62">
        <f>IF($C618="B",INDEX(Batters[[#All],[CON P]],MATCH(Table5[[#This Row],[PID]],Batters[[#All],[PID]],0)),INDEX(Table3[[#All],[STU P]],MATCH(Table5[[#This Row],[PID]],Table3[[#All],[PID]],0)))</f>
        <v>4</v>
      </c>
      <c r="M618" s="58">
        <f>IF($C618="B",INDEX(Batters[[#All],[GAP P]],MATCH(Table5[[#This Row],[PID]],Batters[[#All],[PID]],0)),INDEX(Table3[[#All],[MOV P]],MATCH(Table5[[#This Row],[PID]],Table3[[#All],[PID]],0)))</f>
        <v>1</v>
      </c>
      <c r="N618" s="58">
        <f>IF($C618="B",INDEX(Batters[[#All],[POW P]],MATCH(Table5[[#This Row],[PID]],Batters[[#All],[PID]],0)),INDEX(Table3[[#All],[CON P]],MATCH(Table5[[#This Row],[PID]],Table3[[#All],[PID]],0)))</f>
        <v>2</v>
      </c>
      <c r="O618" s="58" t="str">
        <f>IF($C618="B",INDEX(Batters[[#All],[EYE P]],MATCH(Table5[[#This Row],[PID]],Batters[[#All],[PID]],0)),INDEX(Table3[[#All],[VELO]],MATCH(Table5[[#This Row],[PID]],Table3[[#All],[PID]],0)))</f>
        <v>84-86 Mph</v>
      </c>
      <c r="P618" s="58">
        <f>IF($C618="B",INDEX(Batters[[#All],[K P]],MATCH(Table5[[#This Row],[PID]],Batters[[#All],[PID]],0)),INDEX(Table3[[#All],[STM]],MATCH(Table5[[#This Row],[PID]],Table3[[#All],[PID]],0)))</f>
        <v>8</v>
      </c>
      <c r="Q618" s="63">
        <f>IF($C618="B",INDEX(Batters[[#All],[Tot]],MATCH(Table5[[#This Row],[PID]],Batters[[#All],[PID]],0)),INDEX(Table3[[#All],[Tot]],MATCH(Table5[[#This Row],[PID]],Table3[[#All],[PID]],0)))</f>
        <v>28.781023779485707</v>
      </c>
      <c r="R618" s="54">
        <f>IF($C618="B",INDEX(Batters[[#All],[zScore]],MATCH(Table5[[#This Row],[PID]],Batters[[#All],[PID]],0)),INDEX(Table3[[#All],[zScore]],MATCH(Table5[[#This Row],[PID]],Table3[[#All],[PID]],0)))</f>
        <v>-0.36142736789713464</v>
      </c>
      <c r="S618" s="60" t="str">
        <f>IF($C618="B",INDEX(Batters[[#All],[DEM]],MATCH(Table5[[#This Row],[PID]],Batters[[#All],[PID]],0)),INDEX(Table3[[#All],[DEM]],MATCH(Table5[[#This Row],[PID]],Table3[[#All],[PID]],0)))</f>
        <v>$65k</v>
      </c>
      <c r="T618" s="64">
        <f>IF($C618="B",VLOOKUP($A618,Bat!$A$4:$AU$1417,46,FALSE),VLOOKUP($A618,Pit!$A$4:$BD$570,55,FALSE))</f>
        <v>0</v>
      </c>
      <c r="U618" s="52">
        <f>IF($C618="B",VLOOKUP($A618,Bat!$A$4:$BA$1417,47,FALSE),VLOOKUP($A618,Pit!$A$4:$BF$570,56,FALSE))</f>
        <v>0</v>
      </c>
      <c r="V618" s="52">
        <f>IF($C618="B",VLOOKUP($A618,Bat!$A$4:$BA$1417,48,FALSE),VLOOKUP($A618,Pit!$A$4:$BF$570,57,FALSE))</f>
        <v>0</v>
      </c>
      <c r="W618" s="52">
        <f>Table5[[#This Row],[posRnk]]+Table5[[#This Row],[zRnk]]+IF($W$3&lt;&gt;Table5[[#This Row],[Type]],50,0)</f>
        <v>664</v>
      </c>
      <c r="X618" s="53">
        <f>RANK(Table5[[#This Row],[zScore]],Table5[[#All],[zScore]])</f>
        <v>614</v>
      </c>
      <c r="Y618" s="52" t="str">
        <f>IFERROR(INDEX(DraftResults[[#All],[OVR]],MATCH(Table5[[#This Row],[PID]],DraftResults[[#All],[Player ID]],0)),"")</f>
        <v/>
      </c>
      <c r="Z6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8" s="52" t="str">
        <f>IFERROR(INDEX(DraftResults[[#All],[Pick in Round]],MATCH(Table5[[#This Row],[PID]],DraftResults[[#All],[Player ID]],0)),"")</f>
        <v/>
      </c>
      <c r="AB618" s="52" t="str">
        <f>IFERROR(INDEX(DraftResults[[#All],[Team Name]],MATCH(Table5[[#This Row],[PID]],DraftResults[[#All],[Player ID]],0)),"")</f>
        <v/>
      </c>
      <c r="AC618" s="52" t="str">
        <f>IF(Table5[[#This Row],[Ovr]]="","",IF(Table5[[#This Row],[cmbList]]="","",Table5[[#This Row],[cmbList]]-Table5[[#This Row],[Ovr]]))</f>
        <v/>
      </c>
      <c r="AD618" s="56" t="str">
        <f>IF(ISERROR(VLOOKUP($AB618&amp;"-"&amp;$E618&amp;" "&amp;F618,Bonuses!$B$1:$G$1006,4,FALSE)),"",INT(VLOOKUP($AB618&amp;"-"&amp;$E618&amp;" "&amp;$F618,Bonuses!$B$1:$G$1006,4,FALSE)))</f>
        <v/>
      </c>
      <c r="AE6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9" spans="1:31" s="52" customFormat="1" x14ac:dyDescent="0.25">
      <c r="A619" s="52">
        <v>12407</v>
      </c>
      <c r="B619" s="52">
        <f>COUNTIF(Table5[PID],A619)</f>
        <v>1</v>
      </c>
      <c r="C619" s="52" t="str">
        <f>IF(COUNTIF(Table3[[#All],[PID]],A619)&gt;0,"P","B")</f>
        <v>P</v>
      </c>
      <c r="D619" s="61" t="str">
        <f>IF($C619="B",INDEX(Batters[[#All],[POS]],MATCH(Table5[[#This Row],[PID]],Batters[[#All],[PID]],0)),INDEX(Table3[[#All],[POS]],MATCH(Table5[[#This Row],[PID]],Table3[[#All],[PID]],0)))</f>
        <v>RP</v>
      </c>
      <c r="E619" s="54" t="str">
        <f>IF($C619="B",INDEX(Batters[[#All],[First]],MATCH(Table5[[#This Row],[PID]],Batters[[#All],[PID]],0)),INDEX(Table3[[#All],[First]],MATCH(Table5[[#This Row],[PID]],Table3[[#All],[PID]],0)))</f>
        <v>Tanzan</v>
      </c>
      <c r="F619" s="52" t="str">
        <f>IF($C619="B",INDEX(Batters[[#All],[Last]],MATCH(A619,Batters[[#All],[PID]],0)),INDEX(Table3[[#All],[Last]],MATCH(A619,Table3[[#All],[PID]],0)))</f>
        <v>Yoshida</v>
      </c>
      <c r="G619" s="58">
        <f>IF($C619="B",INDEX(Batters[[#All],[Age]],MATCH(Table5[[#This Row],[PID]],Batters[[#All],[PID]],0)),INDEX(Table3[[#All],[Age]],MATCH(Table5[[#This Row],[PID]],Table3[[#All],[PID]],0)))</f>
        <v>22</v>
      </c>
      <c r="H619" s="54" t="str">
        <f>IF($C619="B",INDEX(Batters[[#All],[B]],MATCH(Table5[[#This Row],[PID]],Batters[[#All],[PID]],0)),INDEX(Table3[[#All],[B]],MATCH(Table5[[#This Row],[PID]],Table3[[#All],[PID]],0)))</f>
        <v>L</v>
      </c>
      <c r="I619" s="54" t="str">
        <f>IF($C619="B",INDEX(Batters[[#All],[T]],MATCH(Table5[[#This Row],[PID]],Batters[[#All],[PID]],0)),INDEX(Table3[[#All],[T]],MATCH(Table5[[#This Row],[PID]],Table3[[#All],[PID]],0)))</f>
        <v>R</v>
      </c>
      <c r="J619" s="54" t="str">
        <f>IF($C619="B",INDEX(Batters[[#All],[WE]],MATCH(Table5[[#This Row],[PID]],Batters[[#All],[PID]],0)),INDEX(Table3[[#All],[WE]],MATCH(Table5[[#This Row],[PID]],Table3[[#All],[PID]],0)))</f>
        <v>Normal</v>
      </c>
      <c r="K619" s="54" t="str">
        <f>IF($C619="B",INDEX(Batters[[#All],[INT]],MATCH(Table5[[#This Row],[PID]],Batters[[#All],[PID]],0)),INDEX(Table3[[#All],[INT]],MATCH(Table5[[#This Row],[PID]],Table3[[#All],[PID]],0)))</f>
        <v>Normal</v>
      </c>
      <c r="L619" s="62">
        <f>IF($C619="B",INDEX(Batters[[#All],[CON P]],MATCH(Table5[[#This Row],[PID]],Batters[[#All],[PID]],0)),INDEX(Table3[[#All],[STU P]],MATCH(Table5[[#This Row],[PID]],Table3[[#All],[PID]],0)))</f>
        <v>4</v>
      </c>
      <c r="M619" s="58">
        <f>IF($C619="B",INDEX(Batters[[#All],[GAP P]],MATCH(Table5[[#This Row],[PID]],Batters[[#All],[PID]],0)),INDEX(Table3[[#All],[MOV P]],MATCH(Table5[[#This Row],[PID]],Table3[[#All],[PID]],0)))</f>
        <v>2</v>
      </c>
      <c r="N619" s="58">
        <f>IF($C619="B",INDEX(Batters[[#All],[POW P]],MATCH(Table5[[#This Row],[PID]],Batters[[#All],[PID]],0)),INDEX(Table3[[#All],[CON P]],MATCH(Table5[[#This Row],[PID]],Table3[[#All],[PID]],0)))</f>
        <v>3</v>
      </c>
      <c r="O619" s="58" t="str">
        <f>IF($C619="B",INDEX(Batters[[#All],[EYE P]],MATCH(Table5[[#This Row],[PID]],Batters[[#All],[PID]],0)),INDEX(Table3[[#All],[VELO]],MATCH(Table5[[#This Row],[PID]],Table3[[#All],[PID]],0)))</f>
        <v>87-89 Mph</v>
      </c>
      <c r="P619" s="58">
        <f>IF($C619="B",INDEX(Batters[[#All],[K P]],MATCH(Table5[[#This Row],[PID]],Batters[[#All],[PID]],0)),INDEX(Table3[[#All],[STM]],MATCH(Table5[[#This Row],[PID]],Table3[[#All],[PID]],0)))</f>
        <v>6</v>
      </c>
      <c r="Q619" s="63">
        <f>IF($C619="B",INDEX(Batters[[#All],[Tot]],MATCH(Table5[[#This Row],[PID]],Batters[[#All],[PID]],0)),INDEX(Table3[[#All],[Tot]],MATCH(Table5[[#This Row],[PID]],Table3[[#All],[PID]],0)))</f>
        <v>28.756069914527078</v>
      </c>
      <c r="R619" s="54">
        <f>IF($C619="B",INDEX(Batters[[#All],[zScore]],MATCH(Table5[[#This Row],[PID]],Batters[[#All],[PID]],0)),INDEX(Table3[[#All],[zScore]],MATCH(Table5[[#This Row],[PID]],Table3[[#All],[PID]],0)))</f>
        <v>-0.36371574396890133</v>
      </c>
      <c r="S619" s="60" t="str">
        <f>IF($C619="B",INDEX(Batters[[#All],[DEM]],MATCH(Table5[[#This Row],[PID]],Batters[[#All],[PID]],0)),INDEX(Table3[[#All],[DEM]],MATCH(Table5[[#This Row],[PID]],Table3[[#All],[PID]],0)))</f>
        <v>-</v>
      </c>
      <c r="T619" s="64">
        <f>IF($C619="B",VLOOKUP($A619,Bat!$A$4:$AU$1417,46,FALSE),VLOOKUP($A619,Pit!$A$4:$BD$570,55,FALSE))</f>
        <v>0</v>
      </c>
      <c r="U619" s="52">
        <f>IF($C619="B",VLOOKUP($A619,Bat!$A$4:$BA$1417,47,FALSE),VLOOKUP($A619,Pit!$A$4:$BF$570,56,FALSE))</f>
        <v>0</v>
      </c>
      <c r="V619" s="52">
        <f>IF($C619="B",VLOOKUP($A619,Bat!$A$4:$BA$1417,48,FALSE),VLOOKUP($A619,Pit!$A$4:$BF$570,57,FALSE))</f>
        <v>0</v>
      </c>
      <c r="W619" s="52">
        <f>Table5[[#This Row],[posRnk]]+Table5[[#This Row],[zRnk]]+IF($W$3&lt;&gt;Table5[[#This Row],[Type]],50,0)</f>
        <v>665</v>
      </c>
      <c r="X619" s="53">
        <f>RANK(Table5[[#This Row],[zScore]],Table5[[#All],[zScore]])</f>
        <v>615</v>
      </c>
      <c r="Y619" s="52" t="str">
        <f>IFERROR(INDEX(DraftResults[[#All],[OVR]],MATCH(Table5[[#This Row],[PID]],DraftResults[[#All],[Player ID]],0)),"")</f>
        <v/>
      </c>
      <c r="Z6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9" s="52" t="str">
        <f>IFERROR(INDEX(DraftResults[[#All],[Pick in Round]],MATCH(Table5[[#This Row],[PID]],DraftResults[[#All],[Player ID]],0)),"")</f>
        <v/>
      </c>
      <c r="AB619" s="52" t="str">
        <f>IFERROR(INDEX(DraftResults[[#All],[Team Name]],MATCH(Table5[[#This Row],[PID]],DraftResults[[#All],[Player ID]],0)),"")</f>
        <v/>
      </c>
      <c r="AC619" s="52" t="str">
        <f>IF(Table5[[#This Row],[Ovr]]="","",IF(Table5[[#This Row],[cmbList]]="","",Table5[[#This Row],[cmbList]]-Table5[[#This Row],[Ovr]]))</f>
        <v/>
      </c>
      <c r="AD619" s="56" t="str">
        <f>IF(ISERROR(VLOOKUP($AB619&amp;"-"&amp;$E619&amp;" "&amp;F619,Bonuses!$B$1:$G$1006,4,FALSE)),"",INT(VLOOKUP($AB619&amp;"-"&amp;$E619&amp;" "&amp;$F619,Bonuses!$B$1:$G$1006,4,FALSE)))</f>
        <v/>
      </c>
      <c r="AE6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0" spans="1:31" s="52" customFormat="1" x14ac:dyDescent="0.25">
      <c r="A620" s="52">
        <v>17903</v>
      </c>
      <c r="B620" s="52">
        <f>COUNTIF(Table5[PID],A620)</f>
        <v>1</v>
      </c>
      <c r="C620" s="52" t="str">
        <f>IF(COUNTIF(Table3[[#All],[PID]],A620)&gt;0,"P","B")</f>
        <v>P</v>
      </c>
      <c r="D620" s="61" t="str">
        <f>IF($C620="B",INDEX(Batters[[#All],[POS]],MATCH(Table5[[#This Row],[PID]],Batters[[#All],[PID]],0)),INDEX(Table3[[#All],[POS]],MATCH(Table5[[#This Row],[PID]],Table3[[#All],[PID]],0)))</f>
        <v>RP</v>
      </c>
      <c r="E620" s="54" t="str">
        <f>IF($C620="B",INDEX(Batters[[#All],[First]],MATCH(Table5[[#This Row],[PID]],Batters[[#All],[PID]],0)),INDEX(Table3[[#All],[First]],MATCH(Table5[[#This Row],[PID]],Table3[[#All],[PID]],0)))</f>
        <v>Lewis</v>
      </c>
      <c r="F620" s="52" t="str">
        <f>IF($C620="B",INDEX(Batters[[#All],[Last]],MATCH(A620,Batters[[#All],[PID]],0)),INDEX(Table3[[#All],[Last]],MATCH(A620,Table3[[#All],[PID]],0)))</f>
        <v>Lamont</v>
      </c>
      <c r="G620" s="58">
        <f>IF($C620="B",INDEX(Batters[[#All],[Age]],MATCH(Table5[[#This Row],[PID]],Batters[[#All],[PID]],0)),INDEX(Table3[[#All],[Age]],MATCH(Table5[[#This Row],[PID]],Table3[[#All],[PID]],0)))</f>
        <v>18</v>
      </c>
      <c r="H620" s="54" t="str">
        <f>IF($C620="B",INDEX(Batters[[#All],[B]],MATCH(Table5[[#This Row],[PID]],Batters[[#All],[PID]],0)),INDEX(Table3[[#All],[B]],MATCH(Table5[[#This Row],[PID]],Table3[[#All],[PID]],0)))</f>
        <v>L</v>
      </c>
      <c r="I620" s="54" t="str">
        <f>IF($C620="B",INDEX(Batters[[#All],[T]],MATCH(Table5[[#This Row],[PID]],Batters[[#All],[PID]],0)),INDEX(Table3[[#All],[T]],MATCH(Table5[[#This Row],[PID]],Table3[[#All],[PID]],0)))</f>
        <v>L</v>
      </c>
      <c r="J620" s="54" t="str">
        <f>IF($C620="B",INDEX(Batters[[#All],[WE]],MATCH(Table5[[#This Row],[PID]],Batters[[#All],[PID]],0)),INDEX(Table3[[#All],[WE]],MATCH(Table5[[#This Row],[PID]],Table3[[#All],[PID]],0)))</f>
        <v>Normal</v>
      </c>
      <c r="K620" s="54" t="str">
        <f>IF($C620="B",INDEX(Batters[[#All],[INT]],MATCH(Table5[[#This Row],[PID]],Batters[[#All],[PID]],0)),INDEX(Table3[[#All],[INT]],MATCH(Table5[[#This Row],[PID]],Table3[[#All],[PID]],0)))</f>
        <v>Normal</v>
      </c>
      <c r="L620" s="62">
        <f>IF($C620="B",INDEX(Batters[[#All],[CON P]],MATCH(Table5[[#This Row],[PID]],Batters[[#All],[PID]],0)),INDEX(Table3[[#All],[STU P]],MATCH(Table5[[#This Row],[PID]],Table3[[#All],[PID]],0)))</f>
        <v>3</v>
      </c>
      <c r="M620" s="58">
        <f>IF($C620="B",INDEX(Batters[[#All],[GAP P]],MATCH(Table5[[#This Row],[PID]],Batters[[#All],[PID]],0)),INDEX(Table3[[#All],[MOV P]],MATCH(Table5[[#This Row],[PID]],Table3[[#All],[PID]],0)))</f>
        <v>2</v>
      </c>
      <c r="N620" s="58">
        <f>IF($C620="B",INDEX(Batters[[#All],[POW P]],MATCH(Table5[[#This Row],[PID]],Batters[[#All],[PID]],0)),INDEX(Table3[[#All],[CON P]],MATCH(Table5[[#This Row],[PID]],Table3[[#All],[PID]],0)))</f>
        <v>2</v>
      </c>
      <c r="O620" s="58" t="str">
        <f>IF($C620="B",INDEX(Batters[[#All],[EYE P]],MATCH(Table5[[#This Row],[PID]],Batters[[#All],[PID]],0)),INDEX(Table3[[#All],[VELO]],MATCH(Table5[[#This Row],[PID]],Table3[[#All],[PID]],0)))</f>
        <v>85-87 Mph</v>
      </c>
      <c r="P620" s="58">
        <f>IF($C620="B",INDEX(Batters[[#All],[K P]],MATCH(Table5[[#This Row],[PID]],Batters[[#All],[PID]],0)),INDEX(Table3[[#All],[STM]],MATCH(Table5[[#This Row],[PID]],Table3[[#All],[PID]],0)))</f>
        <v>8</v>
      </c>
      <c r="Q620" s="63">
        <f>IF($C620="B",INDEX(Batters[[#All],[Tot]],MATCH(Table5[[#This Row],[PID]],Batters[[#All],[PID]],0)),INDEX(Table3[[#All],[Tot]],MATCH(Table5[[#This Row],[PID]],Table3[[#All],[PID]],0)))</f>
        <v>26.238481435953901</v>
      </c>
      <c r="R620" s="54">
        <f>IF($C620="B",INDEX(Batters[[#All],[zScore]],MATCH(Table5[[#This Row],[PID]],Batters[[#All],[PID]],0)),INDEX(Table3[[#All],[zScore]],MATCH(Table5[[#This Row],[PID]],Table3[[#All],[PID]],0)))</f>
        <v>-0.36430955336715137</v>
      </c>
      <c r="S620" s="60" t="str">
        <f>IF($C620="B",INDEX(Batters[[#All],[DEM]],MATCH(Table5[[#This Row],[PID]],Batters[[#All],[PID]],0)),INDEX(Table3[[#All],[DEM]],MATCH(Table5[[#This Row],[PID]],Table3[[#All],[PID]],0)))</f>
        <v>$85k</v>
      </c>
      <c r="T620" s="64">
        <f>IF($C620="B",VLOOKUP($A620,Bat!$A$4:$AU$1417,46,FALSE),VLOOKUP($A620,Pit!$A$4:$BD$570,55,FALSE))</f>
        <v>0</v>
      </c>
      <c r="U620" s="52">
        <f>IF($C620="B",VLOOKUP($A620,Bat!$A$4:$BA$1417,47,FALSE),VLOOKUP($A620,Pit!$A$4:$BF$570,56,FALSE))</f>
        <v>0</v>
      </c>
      <c r="V620" s="52">
        <f>IF($C620="B",VLOOKUP($A620,Bat!$A$4:$BA$1417,48,FALSE),VLOOKUP($A620,Pit!$A$4:$BF$570,57,FALSE))</f>
        <v>0</v>
      </c>
      <c r="W620" s="52">
        <f>Table5[[#This Row],[posRnk]]+Table5[[#This Row],[zRnk]]+IF($W$3&lt;&gt;Table5[[#This Row],[Type]],50,0)</f>
        <v>666</v>
      </c>
      <c r="X620" s="53">
        <f>RANK(Table5[[#This Row],[zScore]],Table5[[#All],[zScore]])</f>
        <v>616</v>
      </c>
      <c r="Y620" s="52" t="str">
        <f>IFERROR(INDEX(DraftResults[[#All],[OVR]],MATCH(Table5[[#This Row],[PID]],DraftResults[[#All],[Player ID]],0)),"")</f>
        <v/>
      </c>
      <c r="Z6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0" s="52" t="str">
        <f>IFERROR(INDEX(DraftResults[[#All],[Pick in Round]],MATCH(Table5[[#This Row],[PID]],DraftResults[[#All],[Player ID]],0)),"")</f>
        <v/>
      </c>
      <c r="AB620" s="52" t="str">
        <f>IFERROR(INDEX(DraftResults[[#All],[Team Name]],MATCH(Table5[[#This Row],[PID]],DraftResults[[#All],[Player ID]],0)),"")</f>
        <v/>
      </c>
      <c r="AC620" s="52" t="str">
        <f>IF(Table5[[#This Row],[Ovr]]="","",IF(Table5[[#This Row],[cmbList]]="","",Table5[[#This Row],[cmbList]]-Table5[[#This Row],[Ovr]]))</f>
        <v/>
      </c>
      <c r="AD620" s="56" t="str">
        <f>IF(ISERROR(VLOOKUP($AB620&amp;"-"&amp;$E620&amp;" "&amp;F620,Bonuses!$B$1:$G$1006,4,FALSE)),"",INT(VLOOKUP($AB620&amp;"-"&amp;$E620&amp;" "&amp;$F620,Bonuses!$B$1:$G$1006,4,FALSE)))</f>
        <v/>
      </c>
      <c r="AE6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1" spans="1:31" s="52" customFormat="1" x14ac:dyDescent="0.25">
      <c r="A621" s="52">
        <v>17877</v>
      </c>
      <c r="B621" s="52">
        <f>COUNTIF(Table5[PID],A621)</f>
        <v>1</v>
      </c>
      <c r="C621" s="52" t="str">
        <f>IF(COUNTIF(Table3[[#All],[PID]],A621)&gt;0,"P","B")</f>
        <v>P</v>
      </c>
      <c r="D621" s="61" t="str">
        <f>IF($C621="B",INDEX(Batters[[#All],[POS]],MATCH(Table5[[#This Row],[PID]],Batters[[#All],[PID]],0)),INDEX(Table3[[#All],[POS]],MATCH(Table5[[#This Row],[PID]],Table3[[#All],[PID]],0)))</f>
        <v>SP</v>
      </c>
      <c r="E621" s="54" t="str">
        <f>IF($C621="B",INDEX(Batters[[#All],[First]],MATCH(Table5[[#This Row],[PID]],Batters[[#All],[PID]],0)),INDEX(Table3[[#All],[First]],MATCH(Table5[[#This Row],[PID]],Table3[[#All],[PID]],0)))</f>
        <v>Chi-yong</v>
      </c>
      <c r="F621" s="52" t="str">
        <f>IF($C621="B",INDEX(Batters[[#All],[Last]],MATCH(A621,Batters[[#All],[PID]],0)),INDEX(Table3[[#All],[Last]],MATCH(A621,Table3[[#All],[PID]],0)))</f>
        <v>Sun</v>
      </c>
      <c r="G621" s="58">
        <f>IF($C621="B",INDEX(Batters[[#All],[Age]],MATCH(Table5[[#This Row],[PID]],Batters[[#All],[PID]],0)),INDEX(Table3[[#All],[Age]],MATCH(Table5[[#This Row],[PID]],Table3[[#All],[PID]],0)))</f>
        <v>18</v>
      </c>
      <c r="H621" s="54" t="str">
        <f>IF($C621="B",INDEX(Batters[[#All],[B]],MATCH(Table5[[#This Row],[PID]],Batters[[#All],[PID]],0)),INDEX(Table3[[#All],[B]],MATCH(Table5[[#This Row],[PID]],Table3[[#All],[PID]],0)))</f>
        <v>R</v>
      </c>
      <c r="I621" s="54" t="str">
        <f>IF($C621="B",INDEX(Batters[[#All],[T]],MATCH(Table5[[#This Row],[PID]],Batters[[#All],[PID]],0)),INDEX(Table3[[#All],[T]],MATCH(Table5[[#This Row],[PID]],Table3[[#All],[PID]],0)))</f>
        <v>R</v>
      </c>
      <c r="J621" s="54" t="str">
        <f>IF($C621="B",INDEX(Batters[[#All],[WE]],MATCH(Table5[[#This Row],[PID]],Batters[[#All],[PID]],0)),INDEX(Table3[[#All],[WE]],MATCH(Table5[[#This Row],[PID]],Table3[[#All],[PID]],0)))</f>
        <v>Low</v>
      </c>
      <c r="K621" s="54" t="str">
        <f>IF($C621="B",INDEX(Batters[[#All],[INT]],MATCH(Table5[[#This Row],[PID]],Batters[[#All],[PID]],0)),INDEX(Table3[[#All],[INT]],MATCH(Table5[[#This Row],[PID]],Table3[[#All],[PID]],0)))</f>
        <v>Low</v>
      </c>
      <c r="L621" s="62">
        <f>IF($C621="B",INDEX(Batters[[#All],[CON P]],MATCH(Table5[[#This Row],[PID]],Batters[[#All],[PID]],0)),INDEX(Table3[[#All],[STU P]],MATCH(Table5[[#This Row],[PID]],Table3[[#All],[PID]],0)))</f>
        <v>4</v>
      </c>
      <c r="M621" s="58">
        <f>IF($C621="B",INDEX(Batters[[#All],[GAP P]],MATCH(Table5[[#This Row],[PID]],Batters[[#All],[PID]],0)),INDEX(Table3[[#All],[MOV P]],MATCH(Table5[[#This Row],[PID]],Table3[[#All],[PID]],0)))</f>
        <v>2</v>
      </c>
      <c r="N621" s="58">
        <f>IF($C621="B",INDEX(Batters[[#All],[POW P]],MATCH(Table5[[#This Row],[PID]],Batters[[#All],[PID]],0)),INDEX(Table3[[#All],[CON P]],MATCH(Table5[[#This Row],[PID]],Table3[[#All],[PID]],0)))</f>
        <v>2</v>
      </c>
      <c r="O621" s="58" t="str">
        <f>IF($C621="B",INDEX(Batters[[#All],[EYE P]],MATCH(Table5[[#This Row],[PID]],Batters[[#All],[PID]],0)),INDEX(Table3[[#All],[VELO]],MATCH(Table5[[#This Row],[PID]],Table3[[#All],[PID]],0)))</f>
        <v>88-90 Mph</v>
      </c>
      <c r="P621" s="58">
        <f>IF($C621="B",INDEX(Batters[[#All],[K P]],MATCH(Table5[[#This Row],[PID]],Batters[[#All],[PID]],0)),INDEX(Table3[[#All],[STM]],MATCH(Table5[[#This Row],[PID]],Table3[[#All],[PID]],0)))</f>
        <v>8</v>
      </c>
      <c r="Q621" s="63">
        <f>IF($C621="B",INDEX(Batters[[#All],[Tot]],MATCH(Table5[[#This Row],[PID]],Batters[[#All],[PID]],0)),INDEX(Table3[[#All],[Tot]],MATCH(Table5[[#This Row],[PID]],Table3[[#All],[PID]],0)))</f>
        <v>28.71552487131569</v>
      </c>
      <c r="R621" s="54">
        <f>IF($C621="B",INDEX(Batters[[#All],[zScore]],MATCH(Table5[[#This Row],[PID]],Batters[[#All],[PID]],0)),INDEX(Table3[[#All],[zScore]],MATCH(Table5[[#This Row],[PID]],Table3[[#All],[PID]],0)))</f>
        <v>-0.36743389772454244</v>
      </c>
      <c r="S621" s="60" t="str">
        <f>IF($C621="B",INDEX(Batters[[#All],[DEM]],MATCH(Table5[[#This Row],[PID]],Batters[[#All],[PID]],0)),INDEX(Table3[[#All],[DEM]],MATCH(Table5[[#This Row],[PID]],Table3[[#All],[PID]],0)))</f>
        <v>$65k</v>
      </c>
      <c r="T621" s="64">
        <f>IF($C621="B",VLOOKUP($A621,Bat!$A$4:$AU$1417,46,FALSE),VLOOKUP($A621,Pit!$A$4:$BD$570,55,FALSE))</f>
        <v>0</v>
      </c>
      <c r="U621" s="52">
        <f>IF($C621="B",VLOOKUP($A621,Bat!$A$4:$BA$1417,47,FALSE),VLOOKUP($A621,Pit!$A$4:$BF$570,56,FALSE))</f>
        <v>0</v>
      </c>
      <c r="V621" s="52">
        <f>IF($C621="B",VLOOKUP($A621,Bat!$A$4:$BA$1417,48,FALSE),VLOOKUP($A621,Pit!$A$4:$BF$570,57,FALSE))</f>
        <v>0</v>
      </c>
      <c r="W621" s="52">
        <f>Table5[[#This Row],[posRnk]]+Table5[[#This Row],[zRnk]]+IF($W$3&lt;&gt;Table5[[#This Row],[Type]],50,0)</f>
        <v>667</v>
      </c>
      <c r="X621" s="53">
        <f>RANK(Table5[[#This Row],[zScore]],Table5[[#All],[zScore]])</f>
        <v>617</v>
      </c>
      <c r="Y621" s="52" t="str">
        <f>IFERROR(INDEX(DraftResults[[#All],[OVR]],MATCH(Table5[[#This Row],[PID]],DraftResults[[#All],[Player ID]],0)),"")</f>
        <v/>
      </c>
      <c r="Z6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1" s="52" t="str">
        <f>IFERROR(INDEX(DraftResults[[#All],[Pick in Round]],MATCH(Table5[[#This Row],[PID]],DraftResults[[#All],[Player ID]],0)),"")</f>
        <v/>
      </c>
      <c r="AB621" s="52" t="str">
        <f>IFERROR(INDEX(DraftResults[[#All],[Team Name]],MATCH(Table5[[#This Row],[PID]],DraftResults[[#All],[Player ID]],0)),"")</f>
        <v/>
      </c>
      <c r="AC621" s="52" t="str">
        <f>IF(Table5[[#This Row],[Ovr]]="","",IF(Table5[[#This Row],[cmbList]]="","",Table5[[#This Row],[cmbList]]-Table5[[#This Row],[Ovr]]))</f>
        <v/>
      </c>
      <c r="AD621" s="56" t="str">
        <f>IF(ISERROR(VLOOKUP($AB621&amp;"-"&amp;$E621&amp;" "&amp;F621,Bonuses!$B$1:$G$1006,4,FALSE)),"",INT(VLOOKUP($AB621&amp;"-"&amp;$E621&amp;" "&amp;$F621,Bonuses!$B$1:$G$1006,4,FALSE)))</f>
        <v/>
      </c>
      <c r="AE6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2" spans="1:31" s="52" customFormat="1" x14ac:dyDescent="0.25">
      <c r="A622" s="52">
        <v>5361</v>
      </c>
      <c r="B622" s="52">
        <f>COUNTIF(Table5[PID],A622)</f>
        <v>1</v>
      </c>
      <c r="C622" s="52" t="str">
        <f>IF(COUNTIF(Table3[[#All],[PID]],A622)&gt;0,"P","B")</f>
        <v>P</v>
      </c>
      <c r="D622" s="61" t="str">
        <f>IF($C622="B",INDEX(Batters[[#All],[POS]],MATCH(Table5[[#This Row],[PID]],Batters[[#All],[PID]],0)),INDEX(Table3[[#All],[POS]],MATCH(Table5[[#This Row],[PID]],Table3[[#All],[PID]],0)))</f>
        <v>RP</v>
      </c>
      <c r="E622" s="54" t="str">
        <f>IF($C622="B",INDEX(Batters[[#All],[First]],MATCH(Table5[[#This Row],[PID]],Batters[[#All],[PID]],0)),INDEX(Table3[[#All],[First]],MATCH(Table5[[#This Row],[PID]],Table3[[#All],[PID]],0)))</f>
        <v>Matt</v>
      </c>
      <c r="F622" s="52" t="str">
        <f>IF($C622="B",INDEX(Batters[[#All],[Last]],MATCH(A622,Batters[[#All],[PID]],0)),INDEX(Table3[[#All],[Last]],MATCH(A622,Table3[[#All],[PID]],0)))</f>
        <v>Blankenship</v>
      </c>
      <c r="G622" s="58">
        <f>IF($C622="B",INDEX(Batters[[#All],[Age]],MATCH(Table5[[#This Row],[PID]],Batters[[#All],[PID]],0)),INDEX(Table3[[#All],[Age]],MATCH(Table5[[#This Row],[PID]],Table3[[#All],[PID]],0)))</f>
        <v>22</v>
      </c>
      <c r="H622" s="54" t="str">
        <f>IF($C622="B",INDEX(Batters[[#All],[B]],MATCH(Table5[[#This Row],[PID]],Batters[[#All],[PID]],0)),INDEX(Table3[[#All],[B]],MATCH(Table5[[#This Row],[PID]],Table3[[#All],[PID]],0)))</f>
        <v>L</v>
      </c>
      <c r="I622" s="54" t="str">
        <f>IF($C622="B",INDEX(Batters[[#All],[T]],MATCH(Table5[[#This Row],[PID]],Batters[[#All],[PID]],0)),INDEX(Table3[[#All],[T]],MATCH(Table5[[#This Row],[PID]],Table3[[#All],[PID]],0)))</f>
        <v>L</v>
      </c>
      <c r="J622" s="54" t="str">
        <f>IF($C622="B",INDEX(Batters[[#All],[WE]],MATCH(Table5[[#This Row],[PID]],Batters[[#All],[PID]],0)),INDEX(Table3[[#All],[WE]],MATCH(Table5[[#This Row],[PID]],Table3[[#All],[PID]],0)))</f>
        <v>Normal</v>
      </c>
      <c r="K622" s="54" t="str">
        <f>IF($C622="B",INDEX(Batters[[#All],[INT]],MATCH(Table5[[#This Row],[PID]],Batters[[#All],[PID]],0)),INDEX(Table3[[#All],[INT]],MATCH(Table5[[#This Row],[PID]],Table3[[#All],[PID]],0)))</f>
        <v>Normal</v>
      </c>
      <c r="L622" s="62">
        <f>IF($C622="B",INDEX(Batters[[#All],[CON P]],MATCH(Table5[[#This Row],[PID]],Batters[[#All],[PID]],0)),INDEX(Table3[[#All],[STU P]],MATCH(Table5[[#This Row],[PID]],Table3[[#All],[PID]],0)))</f>
        <v>4</v>
      </c>
      <c r="M622" s="58">
        <f>IF($C622="B",INDEX(Batters[[#All],[GAP P]],MATCH(Table5[[#This Row],[PID]],Batters[[#All],[PID]],0)),INDEX(Table3[[#All],[MOV P]],MATCH(Table5[[#This Row],[PID]],Table3[[#All],[PID]],0)))</f>
        <v>2</v>
      </c>
      <c r="N622" s="58">
        <f>IF($C622="B",INDEX(Batters[[#All],[POW P]],MATCH(Table5[[#This Row],[PID]],Batters[[#All],[PID]],0)),INDEX(Table3[[#All],[CON P]],MATCH(Table5[[#This Row],[PID]],Table3[[#All],[PID]],0)))</f>
        <v>3</v>
      </c>
      <c r="O622" s="58" t="str">
        <f>IF($C622="B",INDEX(Batters[[#All],[EYE P]],MATCH(Table5[[#This Row],[PID]],Batters[[#All],[PID]],0)),INDEX(Table3[[#All],[VELO]],MATCH(Table5[[#This Row],[PID]],Table3[[#All],[PID]],0)))</f>
        <v>90-92 Mph</v>
      </c>
      <c r="P622" s="58">
        <f>IF($C622="B",INDEX(Batters[[#All],[K P]],MATCH(Table5[[#This Row],[PID]],Batters[[#All],[PID]],0)),INDEX(Table3[[#All],[STM]],MATCH(Table5[[#This Row],[PID]],Table3[[#All],[PID]],0)))</f>
        <v>8</v>
      </c>
      <c r="Q622" s="63">
        <f>IF($C622="B",INDEX(Batters[[#All],[Tot]],MATCH(Table5[[#This Row],[PID]],Batters[[#All],[PID]],0)),INDEX(Table3[[#All],[Tot]],MATCH(Table5[[#This Row],[PID]],Table3[[#All],[PID]],0)))</f>
        <v>28.71025222722454</v>
      </c>
      <c r="R622" s="54">
        <f>IF($C622="B",INDEX(Batters[[#All],[zScore]],MATCH(Table5[[#This Row],[PID]],Batters[[#All],[PID]],0)),INDEX(Table3[[#All],[zScore]],MATCH(Table5[[#This Row],[PID]],Table3[[#All],[PID]],0)))</f>
        <v>-0.36791742172345537</v>
      </c>
      <c r="S622" s="60" t="str">
        <f>IF($C622="B",INDEX(Batters[[#All],[DEM]],MATCH(Table5[[#This Row],[PID]],Batters[[#All],[PID]],0)),INDEX(Table3[[#All],[DEM]],MATCH(Table5[[#This Row],[PID]],Table3[[#All],[PID]],0)))</f>
        <v>-</v>
      </c>
      <c r="T622" s="64">
        <f>IF($C622="B",VLOOKUP($A622,Bat!$A$4:$AU$1417,46,FALSE),VLOOKUP($A622,Pit!$A$4:$BD$570,55,FALSE))</f>
        <v>0</v>
      </c>
      <c r="U622" s="52">
        <f>IF($C622="B",VLOOKUP($A622,Bat!$A$4:$BA$1417,47,FALSE),VLOOKUP($A622,Pit!$A$4:$BF$570,56,FALSE))</f>
        <v>0</v>
      </c>
      <c r="V622" s="52">
        <f>IF($C622="B",VLOOKUP($A622,Bat!$A$4:$BA$1417,48,FALSE),VLOOKUP($A622,Pit!$A$4:$BF$570,57,FALSE))</f>
        <v>0</v>
      </c>
      <c r="W622" s="52">
        <f>Table5[[#This Row],[posRnk]]+Table5[[#This Row],[zRnk]]+IF($W$3&lt;&gt;Table5[[#This Row],[Type]],50,0)</f>
        <v>668</v>
      </c>
      <c r="X622" s="53">
        <f>RANK(Table5[[#This Row],[zScore]],Table5[[#All],[zScore]])</f>
        <v>618</v>
      </c>
      <c r="Y622" s="52" t="str">
        <f>IFERROR(INDEX(DraftResults[[#All],[OVR]],MATCH(Table5[[#This Row],[PID]],DraftResults[[#All],[Player ID]],0)),"")</f>
        <v/>
      </c>
      <c r="Z6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2" s="52" t="str">
        <f>IFERROR(INDEX(DraftResults[[#All],[Pick in Round]],MATCH(Table5[[#This Row],[PID]],DraftResults[[#All],[Player ID]],0)),"")</f>
        <v/>
      </c>
      <c r="AB622" s="52" t="str">
        <f>IFERROR(INDEX(DraftResults[[#All],[Team Name]],MATCH(Table5[[#This Row],[PID]],DraftResults[[#All],[Player ID]],0)),"")</f>
        <v/>
      </c>
      <c r="AC622" s="52" t="str">
        <f>IF(Table5[[#This Row],[Ovr]]="","",IF(Table5[[#This Row],[cmbList]]="","",Table5[[#This Row],[cmbList]]-Table5[[#This Row],[Ovr]]))</f>
        <v/>
      </c>
      <c r="AD622" s="56" t="str">
        <f>IF(ISERROR(VLOOKUP($AB622&amp;"-"&amp;$E622&amp;" "&amp;F622,Bonuses!$B$1:$G$1006,4,FALSE)),"",INT(VLOOKUP($AB622&amp;"-"&amp;$E622&amp;" "&amp;$F622,Bonuses!$B$1:$G$1006,4,FALSE)))</f>
        <v/>
      </c>
      <c r="AE6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3" spans="1:31" s="52" customFormat="1" x14ac:dyDescent="0.25">
      <c r="A623" s="52">
        <v>4791</v>
      </c>
      <c r="B623" s="52">
        <f>COUNTIF(Table5[PID],A623)</f>
        <v>1</v>
      </c>
      <c r="C623" s="52" t="str">
        <f>IF(COUNTIF(Table3[[#All],[PID]],A623)&gt;0,"P","B")</f>
        <v>P</v>
      </c>
      <c r="D623" s="61" t="str">
        <f>IF($C623="B",INDEX(Batters[[#All],[POS]],MATCH(Table5[[#This Row],[PID]],Batters[[#All],[PID]],0)),INDEX(Table3[[#All],[POS]],MATCH(Table5[[#This Row],[PID]],Table3[[#All],[PID]],0)))</f>
        <v>RP</v>
      </c>
      <c r="E623" s="54" t="str">
        <f>IF($C623="B",INDEX(Batters[[#All],[First]],MATCH(Table5[[#This Row],[PID]],Batters[[#All],[PID]],0)),INDEX(Table3[[#All],[First]],MATCH(Table5[[#This Row],[PID]],Table3[[#All],[PID]],0)))</f>
        <v>Mike</v>
      </c>
      <c r="F623" s="52" t="str">
        <f>IF($C623="B",INDEX(Batters[[#All],[Last]],MATCH(A623,Batters[[#All],[PID]],0)),INDEX(Table3[[#All],[Last]],MATCH(A623,Table3[[#All],[PID]],0)))</f>
        <v>Scott</v>
      </c>
      <c r="G623" s="58">
        <f>IF($C623="B",INDEX(Batters[[#All],[Age]],MATCH(Table5[[#This Row],[PID]],Batters[[#All],[PID]],0)),INDEX(Table3[[#All],[Age]],MATCH(Table5[[#This Row],[PID]],Table3[[#All],[PID]],0)))</f>
        <v>22</v>
      </c>
      <c r="H623" s="54" t="str">
        <f>IF($C623="B",INDEX(Batters[[#All],[B]],MATCH(Table5[[#This Row],[PID]],Batters[[#All],[PID]],0)),INDEX(Table3[[#All],[B]],MATCH(Table5[[#This Row],[PID]],Table3[[#All],[PID]],0)))</f>
        <v>L</v>
      </c>
      <c r="I623" s="54" t="str">
        <f>IF($C623="B",INDEX(Batters[[#All],[T]],MATCH(Table5[[#This Row],[PID]],Batters[[#All],[PID]],0)),INDEX(Table3[[#All],[T]],MATCH(Table5[[#This Row],[PID]],Table3[[#All],[PID]],0)))</f>
        <v>L</v>
      </c>
      <c r="J623" s="54" t="str">
        <f>IF($C623="B",INDEX(Batters[[#All],[WE]],MATCH(Table5[[#This Row],[PID]],Batters[[#All],[PID]],0)),INDEX(Table3[[#All],[WE]],MATCH(Table5[[#This Row],[PID]],Table3[[#All],[PID]],0)))</f>
        <v>Normal</v>
      </c>
      <c r="K623" s="54" t="str">
        <f>IF($C623="B",INDEX(Batters[[#All],[INT]],MATCH(Table5[[#This Row],[PID]],Batters[[#All],[PID]],0)),INDEX(Table3[[#All],[INT]],MATCH(Table5[[#This Row],[PID]],Table3[[#All],[PID]],0)))</f>
        <v>Normal</v>
      </c>
      <c r="L623" s="62">
        <f>IF($C623="B",INDEX(Batters[[#All],[CON P]],MATCH(Table5[[#This Row],[PID]],Batters[[#All],[PID]],0)),INDEX(Table3[[#All],[STU P]],MATCH(Table5[[#This Row],[PID]],Table3[[#All],[PID]],0)))</f>
        <v>4</v>
      </c>
      <c r="M623" s="58">
        <f>IF($C623="B",INDEX(Batters[[#All],[GAP P]],MATCH(Table5[[#This Row],[PID]],Batters[[#All],[PID]],0)),INDEX(Table3[[#All],[MOV P]],MATCH(Table5[[#This Row],[PID]],Table3[[#All],[PID]],0)))</f>
        <v>2</v>
      </c>
      <c r="N623" s="58">
        <f>IF($C623="B",INDEX(Batters[[#All],[POW P]],MATCH(Table5[[#This Row],[PID]],Batters[[#All],[PID]],0)),INDEX(Table3[[#All],[CON P]],MATCH(Table5[[#This Row],[PID]],Table3[[#All],[PID]],0)))</f>
        <v>2</v>
      </c>
      <c r="O623" s="58" t="str">
        <f>IF($C623="B",INDEX(Batters[[#All],[EYE P]],MATCH(Table5[[#This Row],[PID]],Batters[[#All],[PID]],0)),INDEX(Table3[[#All],[VELO]],MATCH(Table5[[#This Row],[PID]],Table3[[#All],[PID]],0)))</f>
        <v>84-86 Mph</v>
      </c>
      <c r="P623" s="58">
        <f>IF($C623="B",INDEX(Batters[[#All],[K P]],MATCH(Table5[[#This Row],[PID]],Batters[[#All],[PID]],0)),INDEX(Table3[[#All],[STM]],MATCH(Table5[[#This Row],[PID]],Table3[[#All],[PID]],0)))</f>
        <v>6</v>
      </c>
      <c r="Q623" s="63">
        <f>IF($C623="B",INDEX(Batters[[#All],[Tot]],MATCH(Table5[[#This Row],[PID]],Batters[[#All],[PID]],0)),INDEX(Table3[[#All],[Tot]],MATCH(Table5[[#This Row],[PID]],Table3[[#All],[PID]],0)))</f>
        <v>28.678150333922016</v>
      </c>
      <c r="R623" s="54">
        <f>IF($C623="B",INDEX(Batters[[#All],[zScore]],MATCH(Table5[[#This Row],[PID]],Batters[[#All],[PID]],0)),INDEX(Table3[[#All],[zScore]],MATCH(Table5[[#This Row],[PID]],Table3[[#All],[PID]],0)))</f>
        <v>-0.37086130254567251</v>
      </c>
      <c r="S623" s="60" t="str">
        <f>IF($C623="B",INDEX(Batters[[#All],[DEM]],MATCH(Table5[[#This Row],[PID]],Batters[[#All],[PID]],0)),INDEX(Table3[[#All],[DEM]],MATCH(Table5[[#This Row],[PID]],Table3[[#All],[PID]],0)))</f>
        <v>-</v>
      </c>
      <c r="T623" s="64">
        <f>IF($C623="B",VLOOKUP($A623,Bat!$A$4:$AU$1417,46,FALSE),VLOOKUP($A623,Pit!$A$4:$BD$570,55,FALSE))</f>
        <v>0</v>
      </c>
      <c r="U623" s="52">
        <f>IF($C623="B",VLOOKUP($A623,Bat!$A$4:$BA$1417,47,FALSE),VLOOKUP($A623,Pit!$A$4:$BF$570,56,FALSE))</f>
        <v>0</v>
      </c>
      <c r="V623" s="52">
        <f>IF($C623="B",VLOOKUP($A623,Bat!$A$4:$BA$1417,48,FALSE),VLOOKUP($A623,Pit!$A$4:$BF$570,57,FALSE))</f>
        <v>0</v>
      </c>
      <c r="W623" s="52">
        <f>Table5[[#This Row],[posRnk]]+Table5[[#This Row],[zRnk]]+IF($W$3&lt;&gt;Table5[[#This Row],[Type]],50,0)</f>
        <v>669</v>
      </c>
      <c r="X623" s="53">
        <f>RANK(Table5[[#This Row],[zScore]],Table5[[#All],[zScore]])</f>
        <v>619</v>
      </c>
      <c r="Y623" s="52" t="str">
        <f>IFERROR(INDEX(DraftResults[[#All],[OVR]],MATCH(Table5[[#This Row],[PID]],DraftResults[[#All],[Player ID]],0)),"")</f>
        <v/>
      </c>
      <c r="Z6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3" s="52" t="str">
        <f>IFERROR(INDEX(DraftResults[[#All],[Pick in Round]],MATCH(Table5[[#This Row],[PID]],DraftResults[[#All],[Player ID]],0)),"")</f>
        <v/>
      </c>
      <c r="AB623" s="52" t="str">
        <f>IFERROR(INDEX(DraftResults[[#All],[Team Name]],MATCH(Table5[[#This Row],[PID]],DraftResults[[#All],[Player ID]],0)),"")</f>
        <v/>
      </c>
      <c r="AC623" s="52" t="str">
        <f>IF(Table5[[#This Row],[Ovr]]="","",IF(Table5[[#This Row],[cmbList]]="","",Table5[[#This Row],[cmbList]]-Table5[[#This Row],[Ovr]]))</f>
        <v/>
      </c>
      <c r="AD623" s="56" t="str">
        <f>IF(ISERROR(VLOOKUP($AB623&amp;"-"&amp;$E623&amp;" "&amp;F623,Bonuses!$B$1:$G$1006,4,FALSE)),"",INT(VLOOKUP($AB623&amp;"-"&amp;$E623&amp;" "&amp;$F623,Bonuses!$B$1:$G$1006,4,FALSE)))</f>
        <v/>
      </c>
      <c r="AE6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4" spans="1:31" s="52" customFormat="1" x14ac:dyDescent="0.25">
      <c r="A624" s="52">
        <v>7241</v>
      </c>
      <c r="B624" s="52">
        <f>COUNTIF(Table5[PID],A624)</f>
        <v>1</v>
      </c>
      <c r="C624" s="52" t="str">
        <f>IF(COUNTIF(Table3[[#All],[PID]],A624)&gt;0,"P","B")</f>
        <v>P</v>
      </c>
      <c r="D624" s="61" t="str">
        <f>IF($C624="B",INDEX(Batters[[#All],[POS]],MATCH(Table5[[#This Row],[PID]],Batters[[#All],[PID]],0)),INDEX(Table3[[#All],[POS]],MATCH(Table5[[#This Row],[PID]],Table3[[#All],[PID]],0)))</f>
        <v>RP</v>
      </c>
      <c r="E624" s="54" t="str">
        <f>IF($C624="B",INDEX(Batters[[#All],[First]],MATCH(Table5[[#This Row],[PID]],Batters[[#All],[PID]],0)),INDEX(Table3[[#All],[First]],MATCH(Table5[[#This Row],[PID]],Table3[[#All],[PID]],0)))</f>
        <v>Roku</v>
      </c>
      <c r="F624" s="52" t="str">
        <f>IF($C624="B",INDEX(Batters[[#All],[Last]],MATCH(A624,Batters[[#All],[PID]],0)),INDEX(Table3[[#All],[Last]],MATCH(A624,Table3[[#All],[PID]],0)))</f>
        <v>Watanabe</v>
      </c>
      <c r="G624" s="58">
        <f>IF($C624="B",INDEX(Batters[[#All],[Age]],MATCH(Table5[[#This Row],[PID]],Batters[[#All],[PID]],0)),INDEX(Table3[[#All],[Age]],MATCH(Table5[[#This Row],[PID]],Table3[[#All],[PID]],0)))</f>
        <v>21</v>
      </c>
      <c r="H624" s="54" t="str">
        <f>IF($C624="B",INDEX(Batters[[#All],[B]],MATCH(Table5[[#This Row],[PID]],Batters[[#All],[PID]],0)),INDEX(Table3[[#All],[B]],MATCH(Table5[[#This Row],[PID]],Table3[[#All],[PID]],0)))</f>
        <v>R</v>
      </c>
      <c r="I624" s="54" t="str">
        <f>IF($C624="B",INDEX(Batters[[#All],[T]],MATCH(Table5[[#This Row],[PID]],Batters[[#All],[PID]],0)),INDEX(Table3[[#All],[T]],MATCH(Table5[[#This Row],[PID]],Table3[[#All],[PID]],0)))</f>
        <v>R</v>
      </c>
      <c r="J624" s="54" t="str">
        <f>IF($C624="B",INDEX(Batters[[#All],[WE]],MATCH(Table5[[#This Row],[PID]],Batters[[#All],[PID]],0)),INDEX(Table3[[#All],[WE]],MATCH(Table5[[#This Row],[PID]],Table3[[#All],[PID]],0)))</f>
        <v>Low</v>
      </c>
      <c r="K624" s="54" t="str">
        <f>IF($C624="B",INDEX(Batters[[#All],[INT]],MATCH(Table5[[#This Row],[PID]],Batters[[#All],[PID]],0)),INDEX(Table3[[#All],[INT]],MATCH(Table5[[#This Row],[PID]],Table3[[#All],[PID]],0)))</f>
        <v>Low</v>
      </c>
      <c r="L624" s="62">
        <f>IF($C624="B",INDEX(Batters[[#All],[CON P]],MATCH(Table5[[#This Row],[PID]],Batters[[#All],[PID]],0)),INDEX(Table3[[#All],[STU P]],MATCH(Table5[[#This Row],[PID]],Table3[[#All],[PID]],0)))</f>
        <v>4</v>
      </c>
      <c r="M624" s="58">
        <f>IF($C624="B",INDEX(Batters[[#All],[GAP P]],MATCH(Table5[[#This Row],[PID]],Batters[[#All],[PID]],0)),INDEX(Table3[[#All],[MOV P]],MATCH(Table5[[#This Row],[PID]],Table3[[#All],[PID]],0)))</f>
        <v>2</v>
      </c>
      <c r="N624" s="58">
        <f>IF($C624="B",INDEX(Batters[[#All],[POW P]],MATCH(Table5[[#This Row],[PID]],Batters[[#All],[PID]],0)),INDEX(Table3[[#All],[CON P]],MATCH(Table5[[#This Row],[PID]],Table3[[#All],[PID]],0)))</f>
        <v>3</v>
      </c>
      <c r="O624" s="58" t="str">
        <f>IF($C624="B",INDEX(Batters[[#All],[EYE P]],MATCH(Table5[[#This Row],[PID]],Batters[[#All],[PID]],0)),INDEX(Table3[[#All],[VELO]],MATCH(Table5[[#This Row],[PID]],Table3[[#All],[PID]],0)))</f>
        <v>88-90 Mph</v>
      </c>
      <c r="P624" s="58">
        <f>IF($C624="B",INDEX(Batters[[#All],[K P]],MATCH(Table5[[#This Row],[PID]],Batters[[#All],[PID]],0)),INDEX(Table3[[#All],[STM]],MATCH(Table5[[#This Row],[PID]],Table3[[#All],[PID]],0)))</f>
        <v>6</v>
      </c>
      <c r="Q624" s="63">
        <f>IF($C624="B",INDEX(Batters[[#All],[Tot]],MATCH(Table5[[#This Row],[PID]],Batters[[#All],[PID]],0)),INDEX(Table3[[#All],[Tot]],MATCH(Table5[[#This Row],[PID]],Table3[[#All],[PID]],0)))</f>
        <v>28.643569914527074</v>
      </c>
      <c r="R624" s="54">
        <f>IF($C624="B",INDEX(Batters[[#All],[zScore]],MATCH(Table5[[#This Row],[PID]],Batters[[#All],[PID]],0)),INDEX(Table3[[#All],[zScore]],MATCH(Table5[[#This Row],[PID]],Table3[[#All],[PID]],0)))</f>
        <v>-0.37403247480400748</v>
      </c>
      <c r="S624" s="60" t="str">
        <f>IF($C624="B",INDEX(Batters[[#All],[DEM]],MATCH(Table5[[#This Row],[PID]],Batters[[#All],[PID]],0)),INDEX(Table3[[#All],[DEM]],MATCH(Table5[[#This Row],[PID]],Table3[[#All],[PID]],0)))</f>
        <v>-</v>
      </c>
      <c r="T624" s="64">
        <f>IF($C624="B",VLOOKUP($A624,Bat!$A$4:$AU$1417,46,FALSE),VLOOKUP($A624,Pit!$A$4:$BD$570,55,FALSE))</f>
        <v>0</v>
      </c>
      <c r="U624" s="52">
        <f>IF($C624="B",VLOOKUP($A624,Bat!$A$4:$BA$1417,47,FALSE),VLOOKUP($A624,Pit!$A$4:$BF$570,56,FALSE))</f>
        <v>0</v>
      </c>
      <c r="V624" s="52">
        <f>IF($C624="B",VLOOKUP($A624,Bat!$A$4:$BA$1417,48,FALSE),VLOOKUP($A624,Pit!$A$4:$BF$570,57,FALSE))</f>
        <v>0</v>
      </c>
      <c r="W624" s="52">
        <f>Table5[[#This Row],[posRnk]]+Table5[[#This Row],[zRnk]]+IF($W$3&lt;&gt;Table5[[#This Row],[Type]],50,0)</f>
        <v>670</v>
      </c>
      <c r="X624" s="53">
        <f>RANK(Table5[[#This Row],[zScore]],Table5[[#All],[zScore]])</f>
        <v>620</v>
      </c>
      <c r="Y624" s="52" t="str">
        <f>IFERROR(INDEX(DraftResults[[#All],[OVR]],MATCH(Table5[[#This Row],[PID]],DraftResults[[#All],[Player ID]],0)),"")</f>
        <v/>
      </c>
      <c r="Z6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4" s="52" t="str">
        <f>IFERROR(INDEX(DraftResults[[#All],[Pick in Round]],MATCH(Table5[[#This Row],[PID]],DraftResults[[#All],[Player ID]],0)),"")</f>
        <v/>
      </c>
      <c r="AB624" s="52" t="str">
        <f>IFERROR(INDEX(DraftResults[[#All],[Team Name]],MATCH(Table5[[#This Row],[PID]],DraftResults[[#All],[Player ID]],0)),"")</f>
        <v/>
      </c>
      <c r="AC624" s="52" t="str">
        <f>IF(Table5[[#This Row],[Ovr]]="","",IF(Table5[[#This Row],[cmbList]]="","",Table5[[#This Row],[cmbList]]-Table5[[#This Row],[Ovr]]))</f>
        <v/>
      </c>
      <c r="AD624" s="56" t="str">
        <f>IF(ISERROR(VLOOKUP($AB624&amp;"-"&amp;$E624&amp;" "&amp;F624,Bonuses!$B$1:$G$1006,4,FALSE)),"",INT(VLOOKUP($AB624&amp;"-"&amp;$E624&amp;" "&amp;$F624,Bonuses!$B$1:$G$1006,4,FALSE)))</f>
        <v/>
      </c>
      <c r="AE6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5" spans="1:31" s="52" customFormat="1" x14ac:dyDescent="0.25">
      <c r="A625" s="52">
        <v>7892</v>
      </c>
      <c r="B625" s="52">
        <f>COUNTIF(Table5[PID],A625)</f>
        <v>1</v>
      </c>
      <c r="C625" s="52" t="str">
        <f>IF(COUNTIF(Table3[[#All],[PID]],A625)&gt;0,"P","B")</f>
        <v>B</v>
      </c>
      <c r="D625" s="61" t="str">
        <f>IF($C625="B",INDEX(Batters[[#All],[POS]],MATCH(Table5[[#This Row],[PID]],Batters[[#All],[PID]],0)),INDEX(Table3[[#All],[POS]],MATCH(Table5[[#This Row],[PID]],Table3[[#All],[PID]],0)))</f>
        <v>C</v>
      </c>
      <c r="E625" s="54" t="str">
        <f>IF($C625="B",INDEX(Batters[[#All],[First]],MATCH(Table5[[#This Row],[PID]],Batters[[#All],[PID]],0)),INDEX(Table3[[#All],[First]],MATCH(Table5[[#This Row],[PID]],Table3[[#All],[PID]],0)))</f>
        <v>Bryan</v>
      </c>
      <c r="F625" s="52" t="str">
        <f>IF($C625="B",INDEX(Batters[[#All],[Last]],MATCH(A625,Batters[[#All],[PID]],0)),INDEX(Table3[[#All],[Last]],MATCH(A625,Table3[[#All],[PID]],0)))</f>
        <v>Colón</v>
      </c>
      <c r="G625" s="58">
        <f>IF($C625="B",INDEX(Batters[[#All],[Age]],MATCH(Table5[[#This Row],[PID]],Batters[[#All],[PID]],0)),INDEX(Table3[[#All],[Age]],MATCH(Table5[[#This Row],[PID]],Table3[[#All],[PID]],0)))</f>
        <v>18</v>
      </c>
      <c r="H625" s="54" t="str">
        <f>IF($C625="B",INDEX(Batters[[#All],[B]],MATCH(Table5[[#This Row],[PID]],Batters[[#All],[PID]],0)),INDEX(Table3[[#All],[B]],MATCH(Table5[[#This Row],[PID]],Table3[[#All],[PID]],0)))</f>
        <v>R</v>
      </c>
      <c r="I625" s="54" t="str">
        <f>IF($C625="B",INDEX(Batters[[#All],[T]],MATCH(Table5[[#This Row],[PID]],Batters[[#All],[PID]],0)),INDEX(Table3[[#All],[T]],MATCH(Table5[[#This Row],[PID]],Table3[[#All],[PID]],0)))</f>
        <v>R</v>
      </c>
      <c r="J625" s="54" t="str">
        <f>IF($C625="B",INDEX(Batters[[#All],[WE]],MATCH(Table5[[#This Row],[PID]],Batters[[#All],[PID]],0)),INDEX(Table3[[#All],[WE]],MATCH(Table5[[#This Row],[PID]],Table3[[#All],[PID]],0)))</f>
        <v>Normal</v>
      </c>
      <c r="K625" s="54" t="str">
        <f>IF($C625="B",INDEX(Batters[[#All],[INT]],MATCH(Table5[[#This Row],[PID]],Batters[[#All],[PID]],0)),INDEX(Table3[[#All],[INT]],MATCH(Table5[[#This Row],[PID]],Table3[[#All],[PID]],0)))</f>
        <v>Normal</v>
      </c>
      <c r="L625" s="62">
        <f>IF($C625="B",INDEX(Batters[[#All],[CON P]],MATCH(Table5[[#This Row],[PID]],Batters[[#All],[PID]],0)),INDEX(Table3[[#All],[STU P]],MATCH(Table5[[#This Row],[PID]],Table3[[#All],[PID]],0)))</f>
        <v>2</v>
      </c>
      <c r="M625" s="58">
        <f>IF($C625="B",INDEX(Batters[[#All],[GAP P]],MATCH(Table5[[#This Row],[PID]],Batters[[#All],[PID]],0)),INDEX(Table3[[#All],[MOV P]],MATCH(Table5[[#This Row],[PID]],Table3[[#All],[PID]],0)))</f>
        <v>2</v>
      </c>
      <c r="N625" s="58">
        <f>IF($C625="B",INDEX(Batters[[#All],[POW P]],MATCH(Table5[[#This Row],[PID]],Batters[[#All],[PID]],0)),INDEX(Table3[[#All],[CON P]],MATCH(Table5[[#This Row],[PID]],Table3[[#All],[PID]],0)))</f>
        <v>4</v>
      </c>
      <c r="O625" s="58">
        <f>IF($C625="B",INDEX(Batters[[#All],[EYE P]],MATCH(Table5[[#This Row],[PID]],Batters[[#All],[PID]],0)),INDEX(Table3[[#All],[VELO]],MATCH(Table5[[#This Row],[PID]],Table3[[#All],[PID]],0)))</f>
        <v>5</v>
      </c>
      <c r="P625" s="58">
        <f>IF($C625="B",INDEX(Batters[[#All],[K P]],MATCH(Table5[[#This Row],[PID]],Batters[[#All],[PID]],0)),INDEX(Table3[[#All],[STM]],MATCH(Table5[[#This Row],[PID]],Table3[[#All],[PID]],0)))</f>
        <v>2</v>
      </c>
      <c r="Q625" s="63">
        <f>IF($C625="B",INDEX(Batters[[#All],[Tot]],MATCH(Table5[[#This Row],[PID]],Batters[[#All],[PID]],0)),INDEX(Table3[[#All],[Tot]],MATCH(Table5[[#This Row],[PID]],Table3[[#All],[PID]],0)))</f>
        <v>38.214275136137317</v>
      </c>
      <c r="R625" s="54">
        <f>IF($C625="B",INDEX(Batters[[#All],[zScore]],MATCH(Table5[[#This Row],[PID]],Batters[[#All],[PID]],0)),INDEX(Table3[[#All],[zScore]],MATCH(Table5[[#This Row],[PID]],Table3[[#All],[PID]],0)))</f>
        <v>-0.37545822943894464</v>
      </c>
      <c r="S625" s="60" t="str">
        <f>IF($C625="B",INDEX(Batters[[#All],[DEM]],MATCH(Table5[[#This Row],[PID]],Batters[[#All],[PID]],0)),INDEX(Table3[[#All],[DEM]],MATCH(Table5[[#This Row],[PID]],Table3[[#All],[PID]],0)))</f>
        <v>$65k</v>
      </c>
      <c r="T625" s="64">
        <f>IF($C625="B",VLOOKUP($A625,Bat!$A$4:$AU$1417,46,FALSE),VLOOKUP($A625,Pit!$A$4:$BD$570,55,FALSE))</f>
        <v>0</v>
      </c>
      <c r="U625" s="52">
        <f>IF($C625="B",VLOOKUP($A625,Bat!$A$4:$BA$1417,47,FALSE),VLOOKUP($A625,Pit!$A$4:$BF$570,56,FALSE))</f>
        <v>0</v>
      </c>
      <c r="V625" s="52">
        <f>IF($C625="B",VLOOKUP($A625,Bat!$A$4:$BA$1417,48,FALSE),VLOOKUP($A625,Pit!$A$4:$BF$570,57,FALSE))</f>
        <v>0</v>
      </c>
      <c r="W625" s="52">
        <f>Table5[[#This Row],[posRnk]]+Table5[[#This Row],[zRnk]]+IF($W$3&lt;&gt;Table5[[#This Row],[Type]],50,0)</f>
        <v>671</v>
      </c>
      <c r="X625" s="53">
        <f>RANK(Table5[[#This Row],[zScore]],Table5[[#All],[zScore]])</f>
        <v>621</v>
      </c>
      <c r="Y625" s="52" t="str">
        <f>IFERROR(INDEX(DraftResults[[#All],[OVR]],MATCH(Table5[[#This Row],[PID]],DraftResults[[#All],[Player ID]],0)),"")</f>
        <v/>
      </c>
      <c r="Z6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5" s="52" t="str">
        <f>IFERROR(INDEX(DraftResults[[#All],[Pick in Round]],MATCH(Table5[[#This Row],[PID]],DraftResults[[#All],[Player ID]],0)),"")</f>
        <v/>
      </c>
      <c r="AB625" s="52" t="str">
        <f>IFERROR(INDEX(DraftResults[[#All],[Team Name]],MATCH(Table5[[#This Row],[PID]],DraftResults[[#All],[Player ID]],0)),"")</f>
        <v/>
      </c>
      <c r="AC625" s="52" t="str">
        <f>IF(Table5[[#This Row],[Ovr]]="","",IF(Table5[[#This Row],[cmbList]]="","",Table5[[#This Row],[cmbList]]-Table5[[#This Row],[Ovr]]))</f>
        <v/>
      </c>
      <c r="AD625" s="56" t="str">
        <f>IF(ISERROR(VLOOKUP($AB625&amp;"-"&amp;$E625&amp;" "&amp;F625,Bonuses!$B$1:$G$1006,4,FALSE)),"",INT(VLOOKUP($AB625&amp;"-"&amp;$E625&amp;" "&amp;$F625,Bonuses!$B$1:$G$1006,4,FALSE)))</f>
        <v/>
      </c>
      <c r="AE6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6" spans="1:31" s="52" customFormat="1" x14ac:dyDescent="0.25">
      <c r="A626" s="52">
        <v>8079</v>
      </c>
      <c r="B626" s="52">
        <f>COUNTIF(Table5[PID],A626)</f>
        <v>1</v>
      </c>
      <c r="C626" s="52" t="str">
        <f>IF(COUNTIF(Table3[[#All],[PID]],A626)&gt;0,"P","B")</f>
        <v>P</v>
      </c>
      <c r="D626" s="61" t="str">
        <f>IF($C626="B",INDEX(Batters[[#All],[POS]],MATCH(Table5[[#This Row],[PID]],Batters[[#All],[PID]],0)),INDEX(Table3[[#All],[POS]],MATCH(Table5[[#This Row],[PID]],Table3[[#All],[PID]],0)))</f>
        <v>RP</v>
      </c>
      <c r="E626" s="54" t="str">
        <f>IF($C626="B",INDEX(Batters[[#All],[First]],MATCH(Table5[[#This Row],[PID]],Batters[[#All],[PID]],0)),INDEX(Table3[[#All],[First]],MATCH(Table5[[#This Row],[PID]],Table3[[#All],[PID]],0)))</f>
        <v>Eisuke</v>
      </c>
      <c r="F626" s="52" t="str">
        <f>IF($C626="B",INDEX(Batters[[#All],[Last]],MATCH(A626,Batters[[#All],[PID]],0)),INDEX(Table3[[#All],[Last]],MATCH(A626,Table3[[#All],[PID]],0)))</f>
        <v>Fujita</v>
      </c>
      <c r="G626" s="58">
        <f>IF($C626="B",INDEX(Batters[[#All],[Age]],MATCH(Table5[[#This Row],[PID]],Batters[[#All],[PID]],0)),INDEX(Table3[[#All],[Age]],MATCH(Table5[[#This Row],[PID]],Table3[[#All],[PID]],0)))</f>
        <v>21</v>
      </c>
      <c r="H626" s="54" t="str">
        <f>IF($C626="B",INDEX(Batters[[#All],[B]],MATCH(Table5[[#This Row],[PID]],Batters[[#All],[PID]],0)),INDEX(Table3[[#All],[B]],MATCH(Table5[[#This Row],[PID]],Table3[[#All],[PID]],0)))</f>
        <v>R</v>
      </c>
      <c r="I626" s="54" t="str">
        <f>IF($C626="B",INDEX(Batters[[#All],[T]],MATCH(Table5[[#This Row],[PID]],Batters[[#All],[PID]],0)),INDEX(Table3[[#All],[T]],MATCH(Table5[[#This Row],[PID]],Table3[[#All],[PID]],0)))</f>
        <v>L</v>
      </c>
      <c r="J626" s="54" t="str">
        <f>IF($C626="B",INDEX(Batters[[#All],[WE]],MATCH(Table5[[#This Row],[PID]],Batters[[#All],[PID]],0)),INDEX(Table3[[#All],[WE]],MATCH(Table5[[#This Row],[PID]],Table3[[#All],[PID]],0)))</f>
        <v>Normal</v>
      </c>
      <c r="K626" s="54" t="str">
        <f>IF($C626="B",INDEX(Batters[[#All],[INT]],MATCH(Table5[[#This Row],[PID]],Batters[[#All],[PID]],0)),INDEX(Table3[[#All],[INT]],MATCH(Table5[[#This Row],[PID]],Table3[[#All],[PID]],0)))</f>
        <v>Normal</v>
      </c>
      <c r="L626" s="62">
        <f>IF($C626="B",INDEX(Batters[[#All],[CON P]],MATCH(Table5[[#This Row],[PID]],Batters[[#All],[PID]],0)),INDEX(Table3[[#All],[STU P]],MATCH(Table5[[#This Row],[PID]],Table3[[#All],[PID]],0)))</f>
        <v>5</v>
      </c>
      <c r="M626" s="58">
        <f>IF($C626="B",INDEX(Batters[[#All],[GAP P]],MATCH(Table5[[#This Row],[PID]],Batters[[#All],[PID]],0)),INDEX(Table3[[#All],[MOV P]],MATCH(Table5[[#This Row],[PID]],Table3[[#All],[PID]],0)))</f>
        <v>2</v>
      </c>
      <c r="N626" s="58">
        <f>IF($C626="B",INDEX(Batters[[#All],[POW P]],MATCH(Table5[[#This Row],[PID]],Batters[[#All],[PID]],0)),INDEX(Table3[[#All],[CON P]],MATCH(Table5[[#This Row],[PID]],Table3[[#All],[PID]],0)))</f>
        <v>2</v>
      </c>
      <c r="O626" s="58" t="str">
        <f>IF($C626="B",INDEX(Batters[[#All],[EYE P]],MATCH(Table5[[#This Row],[PID]],Batters[[#All],[PID]],0)),INDEX(Table3[[#All],[VELO]],MATCH(Table5[[#This Row],[PID]],Table3[[#All],[PID]],0)))</f>
        <v>90-92 Mph</v>
      </c>
      <c r="P626" s="58">
        <f>IF($C626="B",INDEX(Batters[[#All],[K P]],MATCH(Table5[[#This Row],[PID]],Batters[[#All],[PID]],0)),INDEX(Table3[[#All],[STM]],MATCH(Table5[[#This Row],[PID]],Table3[[#All],[PID]],0)))</f>
        <v>2</v>
      </c>
      <c r="Q626" s="63">
        <f>IF($C626="B",INDEX(Batters[[#All],[Tot]],MATCH(Table5[[#This Row],[PID]],Batters[[#All],[PID]],0)),INDEX(Table3[[#All],[Tot]],MATCH(Table5[[#This Row],[PID]],Table3[[#All],[PID]],0)))</f>
        <v>28.610734470615977</v>
      </c>
      <c r="R626" s="54">
        <f>IF($C626="B",INDEX(Batters[[#All],[zScore]],MATCH(Table5[[#This Row],[PID]],Batters[[#All],[PID]],0)),INDEX(Table3[[#All],[zScore]],MATCH(Table5[[#This Row],[PID]],Table3[[#All],[PID]],0)))</f>
        <v>-0.37704362535229191</v>
      </c>
      <c r="S626" s="60" t="str">
        <f>IF($C626="B",INDEX(Batters[[#All],[DEM]],MATCH(Table5[[#This Row],[PID]],Batters[[#All],[PID]],0)),INDEX(Table3[[#All],[DEM]],MATCH(Table5[[#This Row],[PID]],Table3[[#All],[PID]],0)))</f>
        <v>$20k</v>
      </c>
      <c r="T626" s="64">
        <f>IF($C626="B",VLOOKUP($A626,Bat!$A$4:$AU$1417,46,FALSE),VLOOKUP($A626,Pit!$A$4:$BD$570,55,FALSE))</f>
        <v>0</v>
      </c>
      <c r="U626" s="52">
        <f>IF($C626="B",VLOOKUP($A626,Bat!$A$4:$BA$1417,47,FALSE),VLOOKUP($A626,Pit!$A$4:$BF$570,56,FALSE))</f>
        <v>0</v>
      </c>
      <c r="V626" s="52">
        <f>IF($C626="B",VLOOKUP($A626,Bat!$A$4:$BA$1417,48,FALSE),VLOOKUP($A626,Pit!$A$4:$BF$570,57,FALSE))</f>
        <v>0</v>
      </c>
      <c r="W626" s="52">
        <f>Table5[[#This Row],[posRnk]]+Table5[[#This Row],[zRnk]]+IF($W$3&lt;&gt;Table5[[#This Row],[Type]],50,0)</f>
        <v>672</v>
      </c>
      <c r="X626" s="53">
        <f>RANK(Table5[[#This Row],[zScore]],Table5[[#All],[zScore]])</f>
        <v>622</v>
      </c>
      <c r="Y626" s="52" t="str">
        <f>IFERROR(INDEX(DraftResults[[#All],[OVR]],MATCH(Table5[[#This Row],[PID]],DraftResults[[#All],[Player ID]],0)),"")</f>
        <v/>
      </c>
      <c r="Z6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6" s="52" t="str">
        <f>IFERROR(INDEX(DraftResults[[#All],[Pick in Round]],MATCH(Table5[[#This Row],[PID]],DraftResults[[#All],[Player ID]],0)),"")</f>
        <v/>
      </c>
      <c r="AB626" s="52" t="str">
        <f>IFERROR(INDEX(DraftResults[[#All],[Team Name]],MATCH(Table5[[#This Row],[PID]],DraftResults[[#All],[Player ID]],0)),"")</f>
        <v/>
      </c>
      <c r="AC626" s="52" t="str">
        <f>IF(Table5[[#This Row],[Ovr]]="","",IF(Table5[[#This Row],[cmbList]]="","",Table5[[#This Row],[cmbList]]-Table5[[#This Row],[Ovr]]))</f>
        <v/>
      </c>
      <c r="AD626" s="56" t="str">
        <f>IF(ISERROR(VLOOKUP($AB626&amp;"-"&amp;$E626&amp;" "&amp;F626,Bonuses!$B$1:$G$1006,4,FALSE)),"",INT(VLOOKUP($AB626&amp;"-"&amp;$E626&amp;" "&amp;$F626,Bonuses!$B$1:$G$1006,4,FALSE)))</f>
        <v/>
      </c>
      <c r="AE6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7" spans="1:31" s="52" customFormat="1" x14ac:dyDescent="0.25">
      <c r="A627" s="52">
        <v>17902</v>
      </c>
      <c r="B627" s="52">
        <f>COUNTIF(Table5[PID],A627)</f>
        <v>1</v>
      </c>
      <c r="C627" s="52" t="str">
        <f>IF(COUNTIF(Table3[[#All],[PID]],A627)&gt;0,"P","B")</f>
        <v>P</v>
      </c>
      <c r="D627" s="61" t="str">
        <f>IF($C627="B",INDEX(Batters[[#All],[POS]],MATCH(Table5[[#This Row],[PID]],Batters[[#All],[PID]],0)),INDEX(Table3[[#All],[POS]],MATCH(Table5[[#This Row],[PID]],Table3[[#All],[PID]],0)))</f>
        <v>RP</v>
      </c>
      <c r="E627" s="54" t="str">
        <f>IF($C627="B",INDEX(Batters[[#All],[First]],MATCH(Table5[[#This Row],[PID]],Batters[[#All],[PID]],0)),INDEX(Table3[[#All],[First]],MATCH(Table5[[#This Row],[PID]],Table3[[#All],[PID]],0)))</f>
        <v>Shiba</v>
      </c>
      <c r="F627" s="52" t="str">
        <f>IF($C627="B",INDEX(Batters[[#All],[Last]],MATCH(A627,Batters[[#All],[PID]],0)),INDEX(Table3[[#All],[Last]],MATCH(A627,Table3[[#All],[PID]],0)))</f>
        <v>Chikuda</v>
      </c>
      <c r="G627" s="58">
        <f>IF($C627="B",INDEX(Batters[[#All],[Age]],MATCH(Table5[[#This Row],[PID]],Batters[[#All],[PID]],0)),INDEX(Table3[[#All],[Age]],MATCH(Table5[[#This Row],[PID]],Table3[[#All],[PID]],0)))</f>
        <v>18</v>
      </c>
      <c r="H627" s="54" t="str">
        <f>IF($C627="B",INDEX(Batters[[#All],[B]],MATCH(Table5[[#This Row],[PID]],Batters[[#All],[PID]],0)),INDEX(Table3[[#All],[B]],MATCH(Table5[[#This Row],[PID]],Table3[[#All],[PID]],0)))</f>
        <v>L</v>
      </c>
      <c r="I627" s="54" t="str">
        <f>IF($C627="B",INDEX(Batters[[#All],[T]],MATCH(Table5[[#This Row],[PID]],Batters[[#All],[PID]],0)),INDEX(Table3[[#All],[T]],MATCH(Table5[[#This Row],[PID]],Table3[[#All],[PID]],0)))</f>
        <v>L</v>
      </c>
      <c r="J627" s="54" t="str">
        <f>IF($C627="B",INDEX(Batters[[#All],[WE]],MATCH(Table5[[#This Row],[PID]],Batters[[#All],[PID]],0)),INDEX(Table3[[#All],[WE]],MATCH(Table5[[#This Row],[PID]],Table3[[#All],[PID]],0)))</f>
        <v>High</v>
      </c>
      <c r="K627" s="54" t="str">
        <f>IF($C627="B",INDEX(Batters[[#All],[INT]],MATCH(Table5[[#This Row],[PID]],Batters[[#All],[PID]],0)),INDEX(Table3[[#All],[INT]],MATCH(Table5[[#This Row],[PID]],Table3[[#All],[PID]],0)))</f>
        <v>Normal</v>
      </c>
      <c r="L627" s="62">
        <f>IF($C627="B",INDEX(Batters[[#All],[CON P]],MATCH(Table5[[#This Row],[PID]],Batters[[#All],[PID]],0)),INDEX(Table3[[#All],[STU P]],MATCH(Table5[[#This Row],[PID]],Table3[[#All],[PID]],0)))</f>
        <v>3</v>
      </c>
      <c r="M627" s="58">
        <f>IF($C627="B",INDEX(Batters[[#All],[GAP P]],MATCH(Table5[[#This Row],[PID]],Batters[[#All],[PID]],0)),INDEX(Table3[[#All],[MOV P]],MATCH(Table5[[#This Row],[PID]],Table3[[#All],[PID]],0)))</f>
        <v>2</v>
      </c>
      <c r="N627" s="58">
        <f>IF($C627="B",INDEX(Batters[[#All],[POW P]],MATCH(Table5[[#This Row],[PID]],Batters[[#All],[PID]],0)),INDEX(Table3[[#All],[CON P]],MATCH(Table5[[#This Row],[PID]],Table3[[#All],[PID]],0)))</f>
        <v>2</v>
      </c>
      <c r="O627" s="58" t="str">
        <f>IF($C627="B",INDEX(Batters[[#All],[EYE P]],MATCH(Table5[[#This Row],[PID]],Batters[[#All],[PID]],0)),INDEX(Table3[[#All],[VELO]],MATCH(Table5[[#This Row],[PID]],Table3[[#All],[PID]],0)))</f>
        <v>83-85 Mph</v>
      </c>
      <c r="P627" s="58">
        <f>IF($C627="B",INDEX(Batters[[#All],[K P]],MATCH(Table5[[#This Row],[PID]],Batters[[#All],[PID]],0)),INDEX(Table3[[#All],[STM]],MATCH(Table5[[#This Row],[PID]],Table3[[#All],[PID]],0)))</f>
        <v>8</v>
      </c>
      <c r="Q627" s="63">
        <f>IF($C627="B",INDEX(Batters[[#All],[Tot]],MATCH(Table5[[#This Row],[PID]],Batters[[#All],[PID]],0)),INDEX(Table3[[#All],[Tot]],MATCH(Table5[[#This Row],[PID]],Table3[[#All],[PID]],0)))</f>
        <v>28.604528543019001</v>
      </c>
      <c r="R627" s="54">
        <f>IF($C627="B",INDEX(Batters[[#All],[zScore]],MATCH(Table5[[#This Row],[PID]],Batters[[#All],[PID]],0)),INDEX(Table3[[#All],[zScore]],MATCH(Table5[[#This Row],[PID]],Table3[[#All],[PID]],0)))</f>
        <v>-0.37761273543762669</v>
      </c>
      <c r="S627" s="60" t="str">
        <f>IF($C627="B",INDEX(Batters[[#All],[DEM]],MATCH(Table5[[#This Row],[PID]],Batters[[#All],[PID]],0)),INDEX(Table3[[#All],[DEM]],MATCH(Table5[[#This Row],[PID]],Table3[[#All],[PID]],0)))</f>
        <v>$65k</v>
      </c>
      <c r="T627" s="64">
        <f>IF($C627="B",VLOOKUP($A627,Bat!$A$4:$AU$1417,46,FALSE),VLOOKUP($A627,Pit!$A$4:$BD$570,55,FALSE))</f>
        <v>0</v>
      </c>
      <c r="U627" s="52">
        <f>IF($C627="B",VLOOKUP($A627,Bat!$A$4:$BA$1417,47,FALSE),VLOOKUP($A627,Pit!$A$4:$BF$570,56,FALSE))</f>
        <v>0</v>
      </c>
      <c r="V627" s="52">
        <f>IF($C627="B",VLOOKUP($A627,Bat!$A$4:$BA$1417,48,FALSE),VLOOKUP($A627,Pit!$A$4:$BF$570,57,FALSE))</f>
        <v>0</v>
      </c>
      <c r="W627" s="52">
        <f>Table5[[#This Row],[posRnk]]+Table5[[#This Row],[zRnk]]+IF($W$3&lt;&gt;Table5[[#This Row],[Type]],50,0)</f>
        <v>673</v>
      </c>
      <c r="X627" s="53">
        <f>RANK(Table5[[#This Row],[zScore]],Table5[[#All],[zScore]])</f>
        <v>623</v>
      </c>
      <c r="Y627" s="52" t="str">
        <f>IFERROR(INDEX(DraftResults[[#All],[OVR]],MATCH(Table5[[#This Row],[PID]],DraftResults[[#All],[Player ID]],0)),"")</f>
        <v/>
      </c>
      <c r="Z6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7" s="52" t="str">
        <f>IFERROR(INDEX(DraftResults[[#All],[Pick in Round]],MATCH(Table5[[#This Row],[PID]],DraftResults[[#All],[Player ID]],0)),"")</f>
        <v/>
      </c>
      <c r="AB627" s="52" t="str">
        <f>IFERROR(INDEX(DraftResults[[#All],[Team Name]],MATCH(Table5[[#This Row],[PID]],DraftResults[[#All],[Player ID]],0)),"")</f>
        <v/>
      </c>
      <c r="AC627" s="52" t="str">
        <f>IF(Table5[[#This Row],[Ovr]]="","",IF(Table5[[#This Row],[cmbList]]="","",Table5[[#This Row],[cmbList]]-Table5[[#This Row],[Ovr]]))</f>
        <v/>
      </c>
      <c r="AD627" s="56" t="str">
        <f>IF(ISERROR(VLOOKUP($AB627&amp;"-"&amp;$E627&amp;" "&amp;F627,Bonuses!$B$1:$G$1006,4,FALSE)),"",INT(VLOOKUP($AB627&amp;"-"&amp;$E627&amp;" "&amp;$F627,Bonuses!$B$1:$G$1006,4,FALSE)))</f>
        <v/>
      </c>
      <c r="AE6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8" spans="1:31" s="52" customFormat="1" x14ac:dyDescent="0.25">
      <c r="A628" s="52">
        <v>10295</v>
      </c>
      <c r="B628" s="52">
        <f>COUNTIF(Table5[PID],A628)</f>
        <v>1</v>
      </c>
      <c r="C628" s="52" t="str">
        <f>IF(COUNTIF(Table3[[#All],[PID]],A628)&gt;0,"P","B")</f>
        <v>B</v>
      </c>
      <c r="D628" s="61" t="str">
        <f>IF($C628="B",INDEX(Batters[[#All],[POS]],MATCH(Table5[[#This Row],[PID]],Batters[[#All],[PID]],0)),INDEX(Table3[[#All],[POS]],MATCH(Table5[[#This Row],[PID]],Table3[[#All],[PID]],0)))</f>
        <v>2B</v>
      </c>
      <c r="E628" s="54" t="str">
        <f>IF($C628="B",INDEX(Batters[[#All],[First]],MATCH(Table5[[#This Row],[PID]],Batters[[#All],[PID]],0)),INDEX(Table3[[#All],[First]],MATCH(Table5[[#This Row],[PID]],Table3[[#All],[PID]],0)))</f>
        <v>Carlos</v>
      </c>
      <c r="F628" s="52" t="str">
        <f>IF($C628="B",INDEX(Batters[[#All],[Last]],MATCH(A628,Batters[[#All],[PID]],0)),INDEX(Table3[[#All],[Last]],MATCH(A628,Table3[[#All],[PID]],0)))</f>
        <v>Martínez</v>
      </c>
      <c r="G628" s="58">
        <f>IF($C628="B",INDEX(Batters[[#All],[Age]],MATCH(Table5[[#This Row],[PID]],Batters[[#All],[PID]],0)),INDEX(Table3[[#All],[Age]],MATCH(Table5[[#This Row],[PID]],Table3[[#All],[PID]],0)))</f>
        <v>21</v>
      </c>
      <c r="H628" s="54" t="str">
        <f>IF($C628="B",INDEX(Batters[[#All],[B]],MATCH(Table5[[#This Row],[PID]],Batters[[#All],[PID]],0)),INDEX(Table3[[#All],[B]],MATCH(Table5[[#This Row],[PID]],Table3[[#All],[PID]],0)))</f>
        <v>R</v>
      </c>
      <c r="I628" s="54" t="str">
        <f>IF($C628="B",INDEX(Batters[[#All],[T]],MATCH(Table5[[#This Row],[PID]],Batters[[#All],[PID]],0)),INDEX(Table3[[#All],[T]],MATCH(Table5[[#This Row],[PID]],Table3[[#All],[PID]],0)))</f>
        <v>R</v>
      </c>
      <c r="J628" s="54" t="str">
        <f>IF($C628="B",INDEX(Batters[[#All],[WE]],MATCH(Table5[[#This Row],[PID]],Batters[[#All],[PID]],0)),INDEX(Table3[[#All],[WE]],MATCH(Table5[[#This Row],[PID]],Table3[[#All],[PID]],0)))</f>
        <v>Normal</v>
      </c>
      <c r="K628" s="54" t="str">
        <f>IF($C628="B",INDEX(Batters[[#All],[INT]],MATCH(Table5[[#This Row],[PID]],Batters[[#All],[PID]],0)),INDEX(Table3[[#All],[INT]],MATCH(Table5[[#This Row],[PID]],Table3[[#All],[PID]],0)))</f>
        <v>Normal</v>
      </c>
      <c r="L628" s="62">
        <f>IF($C628="B",INDEX(Batters[[#All],[CON P]],MATCH(Table5[[#This Row],[PID]],Batters[[#All],[PID]],0)),INDEX(Table3[[#All],[STU P]],MATCH(Table5[[#This Row],[PID]],Table3[[#All],[PID]],0)))</f>
        <v>3</v>
      </c>
      <c r="M628" s="58">
        <f>IF($C628="B",INDEX(Batters[[#All],[GAP P]],MATCH(Table5[[#This Row],[PID]],Batters[[#All],[PID]],0)),INDEX(Table3[[#All],[MOV P]],MATCH(Table5[[#This Row],[PID]],Table3[[#All],[PID]],0)))</f>
        <v>5</v>
      </c>
      <c r="N628" s="58">
        <f>IF($C628="B",INDEX(Batters[[#All],[POW P]],MATCH(Table5[[#This Row],[PID]],Batters[[#All],[PID]],0)),INDEX(Table3[[#All],[CON P]],MATCH(Table5[[#This Row],[PID]],Table3[[#All],[PID]],0)))</f>
        <v>3</v>
      </c>
      <c r="O628" s="58">
        <f>IF($C628="B",INDEX(Batters[[#All],[EYE P]],MATCH(Table5[[#This Row],[PID]],Batters[[#All],[PID]],0)),INDEX(Table3[[#All],[VELO]],MATCH(Table5[[#This Row],[PID]],Table3[[#All],[PID]],0)))</f>
        <v>5</v>
      </c>
      <c r="P628" s="58">
        <f>IF($C628="B",INDEX(Batters[[#All],[K P]],MATCH(Table5[[#This Row],[PID]],Batters[[#All],[PID]],0)),INDEX(Table3[[#All],[STM]],MATCH(Table5[[#This Row],[PID]],Table3[[#All],[PID]],0)))</f>
        <v>4</v>
      </c>
      <c r="Q628" s="63">
        <f>IF($C628="B",INDEX(Batters[[#All],[Tot]],MATCH(Table5[[#This Row],[PID]],Batters[[#All],[PID]],0)),INDEX(Table3[[#All],[Tot]],MATCH(Table5[[#This Row],[PID]],Table3[[#All],[PID]],0)))</f>
        <v>38.17216453371185</v>
      </c>
      <c r="R628" s="54">
        <f>IF($C628="B",INDEX(Batters[[#All],[zScore]],MATCH(Table5[[#This Row],[PID]],Batters[[#All],[PID]],0)),INDEX(Table3[[#All],[zScore]],MATCH(Table5[[#This Row],[PID]],Table3[[#All],[PID]],0)))</f>
        <v>-0.38286731005586638</v>
      </c>
      <c r="S628" s="60" t="str">
        <f>IF($C628="B",INDEX(Batters[[#All],[DEM]],MATCH(Table5[[#This Row],[PID]],Batters[[#All],[PID]],0)),INDEX(Table3[[#All],[DEM]],MATCH(Table5[[#This Row],[PID]],Table3[[#All],[PID]],0)))</f>
        <v>$20k</v>
      </c>
      <c r="T628" s="64">
        <f>IF($C628="B",VLOOKUP($A628,Bat!$A$4:$AU$1417,46,FALSE),VLOOKUP($A628,Pit!$A$4:$BD$570,55,FALSE))</f>
        <v>0</v>
      </c>
      <c r="U628" s="52">
        <f>IF($C628="B",VLOOKUP($A628,Bat!$A$4:$BA$1417,47,FALSE),VLOOKUP($A628,Pit!$A$4:$BF$570,56,FALSE))</f>
        <v>0</v>
      </c>
      <c r="V628" s="52">
        <f>IF($C628="B",VLOOKUP($A628,Bat!$A$4:$BA$1417,48,FALSE),VLOOKUP($A628,Pit!$A$4:$BF$570,57,FALSE))</f>
        <v>0</v>
      </c>
      <c r="W628" s="52">
        <f>Table5[[#This Row],[posRnk]]+Table5[[#This Row],[zRnk]]+IF($W$3&lt;&gt;Table5[[#This Row],[Type]],50,0)</f>
        <v>674</v>
      </c>
      <c r="X628" s="53">
        <f>RANK(Table5[[#This Row],[zScore]],Table5[[#All],[zScore]])</f>
        <v>624</v>
      </c>
      <c r="Y628" s="52" t="str">
        <f>IFERROR(INDEX(DraftResults[[#All],[OVR]],MATCH(Table5[[#This Row],[PID]],DraftResults[[#All],[Player ID]],0)),"")</f>
        <v/>
      </c>
      <c r="Z6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8" s="52" t="str">
        <f>IFERROR(INDEX(DraftResults[[#All],[Pick in Round]],MATCH(Table5[[#This Row],[PID]],DraftResults[[#All],[Player ID]],0)),"")</f>
        <v/>
      </c>
      <c r="AB628" s="52" t="str">
        <f>IFERROR(INDEX(DraftResults[[#All],[Team Name]],MATCH(Table5[[#This Row],[PID]],DraftResults[[#All],[Player ID]],0)),"")</f>
        <v/>
      </c>
      <c r="AC628" s="52" t="str">
        <f>IF(Table5[[#This Row],[Ovr]]="","",IF(Table5[[#This Row],[cmbList]]="","",Table5[[#This Row],[cmbList]]-Table5[[#This Row],[Ovr]]))</f>
        <v/>
      </c>
      <c r="AD628" s="56" t="str">
        <f>IF(ISERROR(VLOOKUP($AB628&amp;"-"&amp;$E628&amp;" "&amp;F628,Bonuses!$B$1:$G$1006,4,FALSE)),"",INT(VLOOKUP($AB628&amp;"-"&amp;$E628&amp;" "&amp;$F628,Bonuses!$B$1:$G$1006,4,FALSE)))</f>
        <v/>
      </c>
      <c r="AE6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9" spans="1:31" s="52" customFormat="1" x14ac:dyDescent="0.25">
      <c r="A629" s="52">
        <v>11479</v>
      </c>
      <c r="B629" s="52">
        <f>COUNTIF(Table5[PID],A629)</f>
        <v>1</v>
      </c>
      <c r="C629" s="52" t="str">
        <f>IF(COUNTIF(Table3[[#All],[PID]],A629)&gt;0,"P","B")</f>
        <v>B</v>
      </c>
      <c r="D629" s="61" t="str">
        <f>IF($C629="B",INDEX(Batters[[#All],[POS]],MATCH(Table5[[#This Row],[PID]],Batters[[#All],[PID]],0)),INDEX(Table3[[#All],[POS]],MATCH(Table5[[#This Row],[PID]],Table3[[#All],[PID]],0)))</f>
        <v>LF</v>
      </c>
      <c r="E629" s="54" t="str">
        <f>IF($C629="B",INDEX(Batters[[#All],[First]],MATCH(Table5[[#This Row],[PID]],Batters[[#All],[PID]],0)),INDEX(Table3[[#All],[First]],MATCH(Table5[[#This Row],[PID]],Table3[[#All],[PID]],0)))</f>
        <v>Errol</v>
      </c>
      <c r="F629" s="52" t="str">
        <f>IF($C629="B",INDEX(Batters[[#All],[Last]],MATCH(A629,Batters[[#All],[PID]],0)),INDEX(Table3[[#All],[Last]],MATCH(A629,Table3[[#All],[PID]],0)))</f>
        <v>Blevins</v>
      </c>
      <c r="G629" s="58">
        <f>IF($C629="B",INDEX(Batters[[#All],[Age]],MATCH(Table5[[#This Row],[PID]],Batters[[#All],[PID]],0)),INDEX(Table3[[#All],[Age]],MATCH(Table5[[#This Row],[PID]],Table3[[#All],[PID]],0)))</f>
        <v>21</v>
      </c>
      <c r="H629" s="54" t="str">
        <f>IF($C629="B",INDEX(Batters[[#All],[B]],MATCH(Table5[[#This Row],[PID]],Batters[[#All],[PID]],0)),INDEX(Table3[[#All],[B]],MATCH(Table5[[#This Row],[PID]],Table3[[#All],[PID]],0)))</f>
        <v>R</v>
      </c>
      <c r="I629" s="54" t="str">
        <f>IF($C629="B",INDEX(Batters[[#All],[T]],MATCH(Table5[[#This Row],[PID]],Batters[[#All],[PID]],0)),INDEX(Table3[[#All],[T]],MATCH(Table5[[#This Row],[PID]],Table3[[#All],[PID]],0)))</f>
        <v>R</v>
      </c>
      <c r="J629" s="54" t="str">
        <f>IF($C629="B",INDEX(Batters[[#All],[WE]],MATCH(Table5[[#This Row],[PID]],Batters[[#All],[PID]],0)),INDEX(Table3[[#All],[WE]],MATCH(Table5[[#This Row],[PID]],Table3[[#All],[PID]],0)))</f>
        <v>Normal</v>
      </c>
      <c r="K629" s="54" t="str">
        <f>IF($C629="B",INDEX(Batters[[#All],[INT]],MATCH(Table5[[#This Row],[PID]],Batters[[#All],[PID]],0)),INDEX(Table3[[#All],[INT]],MATCH(Table5[[#This Row],[PID]],Table3[[#All],[PID]],0)))</f>
        <v>Normal</v>
      </c>
      <c r="L629" s="62">
        <f>IF($C629="B",INDEX(Batters[[#All],[CON P]],MATCH(Table5[[#This Row],[PID]],Batters[[#All],[PID]],0)),INDEX(Table3[[#All],[STU P]],MATCH(Table5[[#This Row],[PID]],Table3[[#All],[PID]],0)))</f>
        <v>3</v>
      </c>
      <c r="M629" s="58">
        <f>IF($C629="B",INDEX(Batters[[#All],[GAP P]],MATCH(Table5[[#This Row],[PID]],Batters[[#All],[PID]],0)),INDEX(Table3[[#All],[MOV P]],MATCH(Table5[[#This Row],[PID]],Table3[[#All],[PID]],0)))</f>
        <v>4</v>
      </c>
      <c r="N629" s="58">
        <f>IF($C629="B",INDEX(Batters[[#All],[POW P]],MATCH(Table5[[#This Row],[PID]],Batters[[#All],[PID]],0)),INDEX(Table3[[#All],[CON P]],MATCH(Table5[[#This Row],[PID]],Table3[[#All],[PID]],0)))</f>
        <v>5</v>
      </c>
      <c r="O629" s="58">
        <f>IF($C629="B",INDEX(Batters[[#All],[EYE P]],MATCH(Table5[[#This Row],[PID]],Batters[[#All],[PID]],0)),INDEX(Table3[[#All],[VELO]],MATCH(Table5[[#This Row],[PID]],Table3[[#All],[PID]],0)))</f>
        <v>5</v>
      </c>
      <c r="P629" s="58">
        <f>IF($C629="B",INDEX(Batters[[#All],[K P]],MATCH(Table5[[#This Row],[PID]],Batters[[#All],[PID]],0)),INDEX(Table3[[#All],[STM]],MATCH(Table5[[#This Row],[PID]],Table3[[#All],[PID]],0)))</f>
        <v>2</v>
      </c>
      <c r="Q629" s="63">
        <f>IF($C629="B",INDEX(Batters[[#All],[Tot]],MATCH(Table5[[#This Row],[PID]],Batters[[#All],[PID]],0)),INDEX(Table3[[#All],[Tot]],MATCH(Table5[[#This Row],[PID]],Table3[[#All],[PID]],0)))</f>
        <v>38.171807590404626</v>
      </c>
      <c r="R629" s="54">
        <f>IF($C629="B",INDEX(Batters[[#All],[zScore]],MATCH(Table5[[#This Row],[PID]],Batters[[#All],[PID]],0)),INDEX(Table3[[#All],[zScore]],MATCH(Table5[[#This Row],[PID]],Table3[[#All],[PID]],0)))</f>
        <v>-0.38293011185841902</v>
      </c>
      <c r="S629" s="60" t="str">
        <f>IF($C629="B",INDEX(Batters[[#All],[DEM]],MATCH(Table5[[#This Row],[PID]],Batters[[#All],[PID]],0)),INDEX(Table3[[#All],[DEM]],MATCH(Table5[[#This Row],[PID]],Table3[[#All],[PID]],0)))</f>
        <v>$80k</v>
      </c>
      <c r="T629" s="64">
        <f>IF($C629="B",VLOOKUP($A629,Bat!$A$4:$AU$1417,46,FALSE),VLOOKUP($A629,Pit!$A$4:$BD$570,55,FALSE))</f>
        <v>0</v>
      </c>
      <c r="U629" s="52">
        <f>IF($C629="B",VLOOKUP($A629,Bat!$A$4:$BA$1417,47,FALSE),VLOOKUP($A629,Pit!$A$4:$BF$570,56,FALSE))</f>
        <v>0</v>
      </c>
      <c r="V629" s="52">
        <f>IF($C629="B",VLOOKUP($A629,Bat!$A$4:$BA$1417,48,FALSE),VLOOKUP($A629,Pit!$A$4:$BF$570,57,FALSE))</f>
        <v>0</v>
      </c>
      <c r="W629" s="52">
        <f>Table5[[#This Row],[posRnk]]+Table5[[#This Row],[zRnk]]+IF($W$3&lt;&gt;Table5[[#This Row],[Type]],50,0)</f>
        <v>675</v>
      </c>
      <c r="X629" s="53">
        <f>RANK(Table5[[#This Row],[zScore]],Table5[[#All],[zScore]])</f>
        <v>625</v>
      </c>
      <c r="Y629" s="52" t="str">
        <f>IFERROR(INDEX(DraftResults[[#All],[OVR]],MATCH(Table5[[#This Row],[PID]],DraftResults[[#All],[Player ID]],0)),"")</f>
        <v/>
      </c>
      <c r="Z6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9" s="52" t="str">
        <f>IFERROR(INDEX(DraftResults[[#All],[Pick in Round]],MATCH(Table5[[#This Row],[PID]],DraftResults[[#All],[Player ID]],0)),"")</f>
        <v/>
      </c>
      <c r="AB629" s="52" t="str">
        <f>IFERROR(INDEX(DraftResults[[#All],[Team Name]],MATCH(Table5[[#This Row],[PID]],DraftResults[[#All],[Player ID]],0)),"")</f>
        <v/>
      </c>
      <c r="AC629" s="52" t="str">
        <f>IF(Table5[[#This Row],[Ovr]]="","",IF(Table5[[#This Row],[cmbList]]="","",Table5[[#This Row],[cmbList]]-Table5[[#This Row],[Ovr]]))</f>
        <v/>
      </c>
      <c r="AD629" s="56" t="str">
        <f>IF(ISERROR(VLOOKUP($AB629&amp;"-"&amp;$E629&amp;" "&amp;F629,Bonuses!$B$1:$G$1006,4,FALSE)),"",INT(VLOOKUP($AB629&amp;"-"&amp;$E629&amp;" "&amp;$F629,Bonuses!$B$1:$G$1006,4,FALSE)))</f>
        <v/>
      </c>
      <c r="AE6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0" spans="1:31" s="52" customFormat="1" x14ac:dyDescent="0.25">
      <c r="A630" s="52">
        <v>9649</v>
      </c>
      <c r="B630" s="52">
        <f>COUNTIF(Table5[PID],A630)</f>
        <v>1</v>
      </c>
      <c r="C630" s="52" t="str">
        <f>IF(COUNTIF(Table3[[#All],[PID]],A630)&gt;0,"P","B")</f>
        <v>P</v>
      </c>
      <c r="D630" s="61" t="str">
        <f>IF($C630="B",INDEX(Batters[[#All],[POS]],MATCH(Table5[[#This Row],[PID]],Batters[[#All],[PID]],0)),INDEX(Table3[[#All],[POS]],MATCH(Table5[[#This Row],[PID]],Table3[[#All],[PID]],0)))</f>
        <v>RP</v>
      </c>
      <c r="E630" s="54" t="str">
        <f>IF($C630="B",INDEX(Batters[[#All],[First]],MATCH(Table5[[#This Row],[PID]],Batters[[#All],[PID]],0)),INDEX(Table3[[#All],[First]],MATCH(Table5[[#This Row],[PID]],Table3[[#All],[PID]],0)))</f>
        <v>Adrian</v>
      </c>
      <c r="F630" s="52" t="str">
        <f>IF($C630="B",INDEX(Batters[[#All],[Last]],MATCH(A630,Batters[[#All],[PID]],0)),INDEX(Table3[[#All],[Last]],MATCH(A630,Table3[[#All],[PID]],0)))</f>
        <v>Dooley</v>
      </c>
      <c r="G630" s="58">
        <f>IF($C630="B",INDEX(Batters[[#All],[Age]],MATCH(Table5[[#This Row],[PID]],Batters[[#All],[PID]],0)),INDEX(Table3[[#All],[Age]],MATCH(Table5[[#This Row],[PID]],Table3[[#All],[PID]],0)))</f>
        <v>21</v>
      </c>
      <c r="H630" s="54" t="str">
        <f>IF($C630="B",INDEX(Batters[[#All],[B]],MATCH(Table5[[#This Row],[PID]],Batters[[#All],[PID]],0)),INDEX(Table3[[#All],[B]],MATCH(Table5[[#This Row],[PID]],Table3[[#All],[PID]],0)))</f>
        <v>R</v>
      </c>
      <c r="I630" s="54" t="str">
        <f>IF($C630="B",INDEX(Batters[[#All],[T]],MATCH(Table5[[#This Row],[PID]],Batters[[#All],[PID]],0)),INDEX(Table3[[#All],[T]],MATCH(Table5[[#This Row],[PID]],Table3[[#All],[PID]],0)))</f>
        <v>R</v>
      </c>
      <c r="J630" s="54" t="str">
        <f>IF($C630="B",INDEX(Batters[[#All],[WE]],MATCH(Table5[[#This Row],[PID]],Batters[[#All],[PID]],0)),INDEX(Table3[[#All],[WE]],MATCH(Table5[[#This Row],[PID]],Table3[[#All],[PID]],0)))</f>
        <v>Low</v>
      </c>
      <c r="K630" s="54" t="str">
        <f>IF($C630="B",INDEX(Batters[[#All],[INT]],MATCH(Table5[[#This Row],[PID]],Batters[[#All],[PID]],0)),INDEX(Table3[[#All],[INT]],MATCH(Table5[[#This Row],[PID]],Table3[[#All],[PID]],0)))</f>
        <v>Normal</v>
      </c>
      <c r="L630" s="62">
        <f>IF($C630="B",INDEX(Batters[[#All],[CON P]],MATCH(Table5[[#This Row],[PID]],Batters[[#All],[PID]],0)),INDEX(Table3[[#All],[STU P]],MATCH(Table5[[#This Row],[PID]],Table3[[#All],[PID]],0)))</f>
        <v>6</v>
      </c>
      <c r="M630" s="58">
        <f>IF($C630="B",INDEX(Batters[[#All],[GAP P]],MATCH(Table5[[#This Row],[PID]],Batters[[#All],[PID]],0)),INDEX(Table3[[#All],[MOV P]],MATCH(Table5[[#This Row],[PID]],Table3[[#All],[PID]],0)))</f>
        <v>2</v>
      </c>
      <c r="N630" s="58">
        <f>IF($C630="B",INDEX(Batters[[#All],[POW P]],MATCH(Table5[[#This Row],[PID]],Batters[[#All],[PID]],0)),INDEX(Table3[[#All],[CON P]],MATCH(Table5[[#This Row],[PID]],Table3[[#All],[PID]],0)))</f>
        <v>1</v>
      </c>
      <c r="O630" s="58" t="str">
        <f>IF($C630="B",INDEX(Batters[[#All],[EYE P]],MATCH(Table5[[#This Row],[PID]],Batters[[#All],[PID]],0)),INDEX(Table3[[#All],[VELO]],MATCH(Table5[[#This Row],[PID]],Table3[[#All],[PID]],0)))</f>
        <v>91-93 Mph</v>
      </c>
      <c r="P630" s="58">
        <f>IF($C630="B",INDEX(Batters[[#All],[K P]],MATCH(Table5[[#This Row],[PID]],Batters[[#All],[PID]],0)),INDEX(Table3[[#All],[STM]],MATCH(Table5[[#This Row],[PID]],Table3[[#All],[PID]],0)))</f>
        <v>10</v>
      </c>
      <c r="Q630" s="63">
        <f>IF($C630="B",INDEX(Batters[[#All],[Tot]],MATCH(Table5[[#This Row],[PID]],Batters[[#All],[PID]],0)),INDEX(Table3[[#All],[Tot]],MATCH(Table5[[#This Row],[PID]],Table3[[#All],[PID]],0)))</f>
        <v>28.53464306040409</v>
      </c>
      <c r="R630" s="54">
        <f>IF($C630="B",INDEX(Batters[[#All],[zScore]],MATCH(Table5[[#This Row],[PID]],Batters[[#All],[PID]],0)),INDEX(Table3[[#All],[zScore]],MATCH(Table5[[#This Row],[PID]],Table3[[#All],[PID]],0)))</f>
        <v>-0.38402153289024443</v>
      </c>
      <c r="S630" s="60" t="str">
        <f>IF($C630="B",INDEX(Batters[[#All],[DEM]],MATCH(Table5[[#This Row],[PID]],Batters[[#All],[PID]],0)),INDEX(Table3[[#All],[DEM]],MATCH(Table5[[#This Row],[PID]],Table3[[#All],[PID]],0)))</f>
        <v>-</v>
      </c>
      <c r="T630" s="64">
        <f>IF($C630="B",VLOOKUP($A630,Bat!$A$4:$AU$1417,46,FALSE),VLOOKUP($A630,Pit!$A$4:$BD$570,55,FALSE))</f>
        <v>0</v>
      </c>
      <c r="U630" s="52">
        <f>IF($C630="B",VLOOKUP($A630,Bat!$A$4:$BA$1417,47,FALSE),VLOOKUP($A630,Pit!$A$4:$BF$570,56,FALSE))</f>
        <v>0</v>
      </c>
      <c r="V630" s="52">
        <f>IF($C630="B",VLOOKUP($A630,Bat!$A$4:$BA$1417,48,FALSE),VLOOKUP($A630,Pit!$A$4:$BF$570,57,FALSE))</f>
        <v>0</v>
      </c>
      <c r="W630" s="52">
        <f>Table5[[#This Row],[posRnk]]+Table5[[#This Row],[zRnk]]+IF($W$3&lt;&gt;Table5[[#This Row],[Type]],50,0)</f>
        <v>676</v>
      </c>
      <c r="X630" s="53">
        <f>RANK(Table5[[#This Row],[zScore]],Table5[[#All],[zScore]])</f>
        <v>626</v>
      </c>
      <c r="Y630" s="52" t="str">
        <f>IFERROR(INDEX(DraftResults[[#All],[OVR]],MATCH(Table5[[#This Row],[PID]],DraftResults[[#All],[Player ID]],0)),"")</f>
        <v/>
      </c>
      <c r="Z6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0" s="52" t="str">
        <f>IFERROR(INDEX(DraftResults[[#All],[Pick in Round]],MATCH(Table5[[#This Row],[PID]],DraftResults[[#All],[Player ID]],0)),"")</f>
        <v/>
      </c>
      <c r="AB630" s="52" t="str">
        <f>IFERROR(INDEX(DraftResults[[#All],[Team Name]],MATCH(Table5[[#This Row],[PID]],DraftResults[[#All],[Player ID]],0)),"")</f>
        <v/>
      </c>
      <c r="AC630" s="52" t="str">
        <f>IF(Table5[[#This Row],[Ovr]]="","",IF(Table5[[#This Row],[cmbList]]="","",Table5[[#This Row],[cmbList]]-Table5[[#This Row],[Ovr]]))</f>
        <v/>
      </c>
      <c r="AD630" s="56" t="str">
        <f>IF(ISERROR(VLOOKUP($AB630&amp;"-"&amp;$E630&amp;" "&amp;F630,Bonuses!$B$1:$G$1006,4,FALSE)),"",INT(VLOOKUP($AB630&amp;"-"&amp;$E630&amp;" "&amp;$F630,Bonuses!$B$1:$G$1006,4,FALSE)))</f>
        <v/>
      </c>
      <c r="AE6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1" spans="1:31" s="52" customFormat="1" x14ac:dyDescent="0.25">
      <c r="A631" s="52">
        <v>12659</v>
      </c>
      <c r="B631" s="52">
        <f>COUNTIF(Table5[PID],A631)</f>
        <v>1</v>
      </c>
      <c r="C631" s="52" t="str">
        <f>IF(COUNTIF(Table3[[#All],[PID]],A631)&gt;0,"P","B")</f>
        <v>P</v>
      </c>
      <c r="D631" s="61" t="str">
        <f>IF($C631="B",INDEX(Batters[[#All],[POS]],MATCH(Table5[[#This Row],[PID]],Batters[[#All],[PID]],0)),INDEX(Table3[[#All],[POS]],MATCH(Table5[[#This Row],[PID]],Table3[[#All],[PID]],0)))</f>
        <v>RP</v>
      </c>
      <c r="E631" s="54" t="str">
        <f>IF($C631="B",INDEX(Batters[[#All],[First]],MATCH(Table5[[#This Row],[PID]],Batters[[#All],[PID]],0)),INDEX(Table3[[#All],[First]],MATCH(Table5[[#This Row],[PID]],Table3[[#All],[PID]],0)))</f>
        <v>Carlos</v>
      </c>
      <c r="F631" s="52" t="str">
        <f>IF($C631="B",INDEX(Batters[[#All],[Last]],MATCH(A631,Batters[[#All],[PID]],0)),INDEX(Table3[[#All],[Last]],MATCH(A631,Table3[[#All],[PID]],0)))</f>
        <v>Cruz</v>
      </c>
      <c r="G631" s="58">
        <f>IF($C631="B",INDEX(Batters[[#All],[Age]],MATCH(Table5[[#This Row],[PID]],Batters[[#All],[PID]],0)),INDEX(Table3[[#All],[Age]],MATCH(Table5[[#This Row],[PID]],Table3[[#All],[PID]],0)))</f>
        <v>18</v>
      </c>
      <c r="H631" s="54" t="str">
        <f>IF($C631="B",INDEX(Batters[[#All],[B]],MATCH(Table5[[#This Row],[PID]],Batters[[#All],[PID]],0)),INDEX(Table3[[#All],[B]],MATCH(Table5[[#This Row],[PID]],Table3[[#All],[PID]],0)))</f>
        <v>R</v>
      </c>
      <c r="I631" s="54" t="str">
        <f>IF($C631="B",INDEX(Batters[[#All],[T]],MATCH(Table5[[#This Row],[PID]],Batters[[#All],[PID]],0)),INDEX(Table3[[#All],[T]],MATCH(Table5[[#This Row],[PID]],Table3[[#All],[PID]],0)))</f>
        <v>R</v>
      </c>
      <c r="J631" s="54" t="str">
        <f>IF($C631="B",INDEX(Batters[[#All],[WE]],MATCH(Table5[[#This Row],[PID]],Batters[[#All],[PID]],0)),INDEX(Table3[[#All],[WE]],MATCH(Table5[[#This Row],[PID]],Table3[[#All],[PID]],0)))</f>
        <v>Low</v>
      </c>
      <c r="K631" s="54" t="str">
        <f>IF($C631="B",INDEX(Batters[[#All],[INT]],MATCH(Table5[[#This Row],[PID]],Batters[[#All],[PID]],0)),INDEX(Table3[[#All],[INT]],MATCH(Table5[[#This Row],[PID]],Table3[[#All],[PID]],0)))</f>
        <v>High</v>
      </c>
      <c r="L631" s="62">
        <f>IF($C631="B",INDEX(Batters[[#All],[CON P]],MATCH(Table5[[#This Row],[PID]],Batters[[#All],[PID]],0)),INDEX(Table3[[#All],[STU P]],MATCH(Table5[[#This Row],[PID]],Table3[[#All],[PID]],0)))</f>
        <v>3</v>
      </c>
      <c r="M631" s="58">
        <f>IF($C631="B",INDEX(Batters[[#All],[GAP P]],MATCH(Table5[[#This Row],[PID]],Batters[[#All],[PID]],0)),INDEX(Table3[[#All],[MOV P]],MATCH(Table5[[#This Row],[PID]],Table3[[#All],[PID]],0)))</f>
        <v>2</v>
      </c>
      <c r="N631" s="58">
        <f>IF($C631="B",INDEX(Batters[[#All],[POW P]],MATCH(Table5[[#This Row],[PID]],Batters[[#All],[PID]],0)),INDEX(Table3[[#All],[CON P]],MATCH(Table5[[#This Row],[PID]],Table3[[#All],[PID]],0)))</f>
        <v>2</v>
      </c>
      <c r="O631" s="58" t="str">
        <f>IF($C631="B",INDEX(Batters[[#All],[EYE P]],MATCH(Table5[[#This Row],[PID]],Batters[[#All],[PID]],0)),INDEX(Table3[[#All],[VELO]],MATCH(Table5[[#This Row],[PID]],Table3[[#All],[PID]],0)))</f>
        <v>84-86 Mph</v>
      </c>
      <c r="P631" s="58">
        <f>IF($C631="B",INDEX(Batters[[#All],[K P]],MATCH(Table5[[#This Row],[PID]],Batters[[#All],[PID]],0)),INDEX(Table3[[#All],[STM]],MATCH(Table5[[#This Row],[PID]],Table3[[#All],[PID]],0)))</f>
        <v>7</v>
      </c>
      <c r="Q631" s="63">
        <f>IF($C631="B",INDEX(Batters[[#All],[Tot]],MATCH(Table5[[#This Row],[PID]],Batters[[#All],[PID]],0)),INDEX(Table3[[#All],[Tot]],MATCH(Table5[[#This Row],[PID]],Table3[[#All],[PID]],0)))</f>
        <v>28.529528543019001</v>
      </c>
      <c r="R631" s="54">
        <f>IF($C631="B",INDEX(Batters[[#All],[zScore]],MATCH(Table5[[#This Row],[PID]],Batters[[#All],[PID]],0)),INDEX(Table3[[#All],[zScore]],MATCH(Table5[[#This Row],[PID]],Table3[[#All],[PID]],0)))</f>
        <v>-0.38449055599436377</v>
      </c>
      <c r="S631" s="60" t="str">
        <f>IF($C631="B",INDEX(Batters[[#All],[DEM]],MATCH(Table5[[#This Row],[PID]],Batters[[#All],[PID]],0)),INDEX(Table3[[#All],[DEM]],MATCH(Table5[[#This Row],[PID]],Table3[[#All],[PID]],0)))</f>
        <v>$65k</v>
      </c>
      <c r="T631" s="64">
        <f>IF($C631="B",VLOOKUP($A631,Bat!$A$4:$AU$1417,46,FALSE),VLOOKUP($A631,Pit!$A$4:$BD$570,55,FALSE))</f>
        <v>0</v>
      </c>
      <c r="U631" s="52">
        <f>IF($C631="B",VLOOKUP($A631,Bat!$A$4:$BA$1417,47,FALSE),VLOOKUP($A631,Pit!$A$4:$BF$570,56,FALSE))</f>
        <v>0</v>
      </c>
      <c r="V631" s="52">
        <f>IF($C631="B",VLOOKUP($A631,Bat!$A$4:$BA$1417,48,FALSE),VLOOKUP($A631,Pit!$A$4:$BF$570,57,FALSE))</f>
        <v>0</v>
      </c>
      <c r="W631" s="52">
        <f>Table5[[#This Row],[posRnk]]+Table5[[#This Row],[zRnk]]+IF($W$3&lt;&gt;Table5[[#This Row],[Type]],50,0)</f>
        <v>677</v>
      </c>
      <c r="X631" s="53">
        <f>RANK(Table5[[#This Row],[zScore]],Table5[[#All],[zScore]])</f>
        <v>627</v>
      </c>
      <c r="Y631" s="52" t="str">
        <f>IFERROR(INDEX(DraftResults[[#All],[OVR]],MATCH(Table5[[#This Row],[PID]],DraftResults[[#All],[Player ID]],0)),"")</f>
        <v/>
      </c>
      <c r="Z6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1" s="52" t="str">
        <f>IFERROR(INDEX(DraftResults[[#All],[Pick in Round]],MATCH(Table5[[#This Row],[PID]],DraftResults[[#All],[Player ID]],0)),"")</f>
        <v/>
      </c>
      <c r="AB631" s="52" t="str">
        <f>IFERROR(INDEX(DraftResults[[#All],[Team Name]],MATCH(Table5[[#This Row],[PID]],DraftResults[[#All],[Player ID]],0)),"")</f>
        <v/>
      </c>
      <c r="AC631" s="52" t="str">
        <f>IF(Table5[[#This Row],[Ovr]]="","",IF(Table5[[#This Row],[cmbList]]="","",Table5[[#This Row],[cmbList]]-Table5[[#This Row],[Ovr]]))</f>
        <v/>
      </c>
      <c r="AD631" s="56" t="str">
        <f>IF(ISERROR(VLOOKUP($AB631&amp;"-"&amp;$E631&amp;" "&amp;F631,Bonuses!$B$1:$G$1006,4,FALSE)),"",INT(VLOOKUP($AB631&amp;"-"&amp;$E631&amp;" "&amp;$F631,Bonuses!$B$1:$G$1006,4,FALSE)))</f>
        <v/>
      </c>
      <c r="AE6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2" spans="1:31" s="52" customFormat="1" x14ac:dyDescent="0.25">
      <c r="A632" s="52">
        <v>7309</v>
      </c>
      <c r="B632" s="52">
        <f>COUNTIF(Table5[PID],A632)</f>
        <v>1</v>
      </c>
      <c r="C632" s="52" t="str">
        <f>IF(COUNTIF(Table3[[#All],[PID]],A632)&gt;0,"P","B")</f>
        <v>B</v>
      </c>
      <c r="D632" s="61" t="str">
        <f>IF($C632="B",INDEX(Batters[[#All],[POS]],MATCH(Table5[[#This Row],[PID]],Batters[[#All],[PID]],0)),INDEX(Table3[[#All],[POS]],MATCH(Table5[[#This Row],[PID]],Table3[[#All],[PID]],0)))</f>
        <v>3B</v>
      </c>
      <c r="E632" s="54" t="str">
        <f>IF($C632="B",INDEX(Batters[[#All],[First]],MATCH(Table5[[#This Row],[PID]],Batters[[#All],[PID]],0)),INDEX(Table3[[#All],[First]],MATCH(Table5[[#This Row],[PID]],Table3[[#All],[PID]],0)))</f>
        <v>Yosuke</v>
      </c>
      <c r="F632" s="52" t="str">
        <f>IF($C632="B",INDEX(Batters[[#All],[Last]],MATCH(A632,Batters[[#All],[PID]],0)),INDEX(Table3[[#All],[Last]],MATCH(A632,Table3[[#All],[PID]],0)))</f>
        <v>Kojima</v>
      </c>
      <c r="G632" s="58">
        <f>IF($C632="B",INDEX(Batters[[#All],[Age]],MATCH(Table5[[#This Row],[PID]],Batters[[#All],[PID]],0)),INDEX(Table3[[#All],[Age]],MATCH(Table5[[#This Row],[PID]],Table3[[#All],[PID]],0)))</f>
        <v>21</v>
      </c>
      <c r="H632" s="54" t="str">
        <f>IF($C632="B",INDEX(Batters[[#All],[B]],MATCH(Table5[[#This Row],[PID]],Batters[[#All],[PID]],0)),INDEX(Table3[[#All],[B]],MATCH(Table5[[#This Row],[PID]],Table3[[#All],[PID]],0)))</f>
        <v>R</v>
      </c>
      <c r="I632" s="54" t="str">
        <f>IF($C632="B",INDEX(Batters[[#All],[T]],MATCH(Table5[[#This Row],[PID]],Batters[[#All],[PID]],0)),INDEX(Table3[[#All],[T]],MATCH(Table5[[#This Row],[PID]],Table3[[#All],[PID]],0)))</f>
        <v>R</v>
      </c>
      <c r="J632" s="54" t="str">
        <f>IF($C632="B",INDEX(Batters[[#All],[WE]],MATCH(Table5[[#This Row],[PID]],Batters[[#All],[PID]],0)),INDEX(Table3[[#All],[WE]],MATCH(Table5[[#This Row],[PID]],Table3[[#All],[PID]],0)))</f>
        <v>Normal</v>
      </c>
      <c r="K632" s="54" t="str">
        <f>IF($C632="B",INDEX(Batters[[#All],[INT]],MATCH(Table5[[#This Row],[PID]],Batters[[#All],[PID]],0)),INDEX(Table3[[#All],[INT]],MATCH(Table5[[#This Row],[PID]],Table3[[#All],[PID]],0)))</f>
        <v>High</v>
      </c>
      <c r="L632" s="62">
        <f>IF($C632="B",INDEX(Batters[[#All],[CON P]],MATCH(Table5[[#This Row],[PID]],Batters[[#All],[PID]],0)),INDEX(Table3[[#All],[STU P]],MATCH(Table5[[#This Row],[PID]],Table3[[#All],[PID]],0)))</f>
        <v>3</v>
      </c>
      <c r="M632" s="58">
        <f>IF($C632="B",INDEX(Batters[[#All],[GAP P]],MATCH(Table5[[#This Row],[PID]],Batters[[#All],[PID]],0)),INDEX(Table3[[#All],[MOV P]],MATCH(Table5[[#This Row],[PID]],Table3[[#All],[PID]],0)))</f>
        <v>4</v>
      </c>
      <c r="N632" s="58">
        <f>IF($C632="B",INDEX(Batters[[#All],[POW P]],MATCH(Table5[[#This Row],[PID]],Batters[[#All],[PID]],0)),INDEX(Table3[[#All],[CON P]],MATCH(Table5[[#This Row],[PID]],Table3[[#All],[PID]],0)))</f>
        <v>4</v>
      </c>
      <c r="O632" s="58">
        <f>IF($C632="B",INDEX(Batters[[#All],[EYE P]],MATCH(Table5[[#This Row],[PID]],Batters[[#All],[PID]],0)),INDEX(Table3[[#All],[VELO]],MATCH(Table5[[#This Row],[PID]],Table3[[#All],[PID]],0)))</f>
        <v>5</v>
      </c>
      <c r="P632" s="58">
        <f>IF($C632="B",INDEX(Batters[[#All],[K P]],MATCH(Table5[[#This Row],[PID]],Batters[[#All],[PID]],0)),INDEX(Table3[[#All],[STM]],MATCH(Table5[[#This Row],[PID]],Table3[[#All],[PID]],0)))</f>
        <v>3</v>
      </c>
      <c r="Q632" s="63">
        <f>IF($C632="B",INDEX(Batters[[#All],[Tot]],MATCH(Table5[[#This Row],[PID]],Batters[[#All],[PID]],0)),INDEX(Table3[[#All],[Tot]],MATCH(Table5[[#This Row],[PID]],Table3[[#All],[PID]],0)))</f>
        <v>38.159293978171618</v>
      </c>
      <c r="R632" s="54">
        <f>IF($C632="B",INDEX(Batters[[#All],[zScore]],MATCH(Table5[[#This Row],[PID]],Batters[[#All],[PID]],0)),INDEX(Table3[[#All],[zScore]],MATCH(Table5[[#This Row],[PID]],Table3[[#All],[PID]],0)))</f>
        <v>-0.38513179876155346</v>
      </c>
      <c r="S632" s="60" t="str">
        <f>IF($C632="B",INDEX(Batters[[#All],[DEM]],MATCH(Table5[[#This Row],[PID]],Batters[[#All],[PID]],0)),INDEX(Table3[[#All],[DEM]],MATCH(Table5[[#This Row],[PID]],Table3[[#All],[PID]],0)))</f>
        <v>-</v>
      </c>
      <c r="T632" s="64">
        <f>IF($C632="B",VLOOKUP($A632,Bat!$A$4:$AU$1417,46,FALSE),VLOOKUP($A632,Pit!$A$4:$BD$570,55,FALSE))</f>
        <v>0</v>
      </c>
      <c r="U632" s="52">
        <f>IF($C632="B",VLOOKUP($A632,Bat!$A$4:$BA$1417,47,FALSE),VLOOKUP($A632,Pit!$A$4:$BF$570,56,FALSE))</f>
        <v>0</v>
      </c>
      <c r="V632" s="52">
        <f>IF($C632="B",VLOOKUP($A632,Bat!$A$4:$BA$1417,48,FALSE),VLOOKUP($A632,Pit!$A$4:$BF$570,57,FALSE))</f>
        <v>0</v>
      </c>
      <c r="W632" s="52">
        <f>Table5[[#This Row],[posRnk]]+Table5[[#This Row],[zRnk]]+IF($W$3&lt;&gt;Table5[[#This Row],[Type]],50,0)</f>
        <v>678</v>
      </c>
      <c r="X632" s="53">
        <f>RANK(Table5[[#This Row],[zScore]],Table5[[#All],[zScore]])</f>
        <v>628</v>
      </c>
      <c r="Y632" s="52" t="str">
        <f>IFERROR(INDEX(DraftResults[[#All],[OVR]],MATCH(Table5[[#This Row],[PID]],DraftResults[[#All],[Player ID]],0)),"")</f>
        <v/>
      </c>
      <c r="Z6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2" s="52" t="str">
        <f>IFERROR(INDEX(DraftResults[[#All],[Pick in Round]],MATCH(Table5[[#This Row],[PID]],DraftResults[[#All],[Player ID]],0)),"")</f>
        <v/>
      </c>
      <c r="AB632" s="52" t="str">
        <f>IFERROR(INDEX(DraftResults[[#All],[Team Name]],MATCH(Table5[[#This Row],[PID]],DraftResults[[#All],[Player ID]],0)),"")</f>
        <v/>
      </c>
      <c r="AC632" s="52" t="str">
        <f>IF(Table5[[#This Row],[Ovr]]="","",IF(Table5[[#This Row],[cmbList]]="","",Table5[[#This Row],[cmbList]]-Table5[[#This Row],[Ovr]]))</f>
        <v/>
      </c>
      <c r="AD632" s="56" t="str">
        <f>IF(ISERROR(VLOOKUP($AB632&amp;"-"&amp;$E632&amp;" "&amp;F632,Bonuses!$B$1:$G$1006,4,FALSE)),"",INT(VLOOKUP($AB632&amp;"-"&amp;$E632&amp;" "&amp;$F632,Bonuses!$B$1:$G$1006,4,FALSE)))</f>
        <v/>
      </c>
      <c r="AE6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3" spans="1:31" s="52" customFormat="1" x14ac:dyDescent="0.25">
      <c r="A633" s="52">
        <v>7987</v>
      </c>
      <c r="B633" s="52">
        <f>COUNTIF(Table5[PID],A633)</f>
        <v>1</v>
      </c>
      <c r="C633" s="52" t="str">
        <f>IF(COUNTIF(Table3[[#All],[PID]],A633)&gt;0,"P","B")</f>
        <v>B</v>
      </c>
      <c r="D633" s="61" t="str">
        <f>IF($C633="B",INDEX(Batters[[#All],[POS]],MATCH(Table5[[#This Row],[PID]],Batters[[#All],[PID]],0)),INDEX(Table3[[#All],[POS]],MATCH(Table5[[#This Row],[PID]],Table3[[#All],[PID]],0)))</f>
        <v>C</v>
      </c>
      <c r="E633" s="54" t="str">
        <f>IF($C633="B",INDEX(Batters[[#All],[First]],MATCH(Table5[[#This Row],[PID]],Batters[[#All],[PID]],0)),INDEX(Table3[[#All],[First]],MATCH(Table5[[#This Row],[PID]],Table3[[#All],[PID]],0)))</f>
        <v>Matt</v>
      </c>
      <c r="F633" s="52" t="str">
        <f>IF($C633="B",INDEX(Batters[[#All],[Last]],MATCH(A633,Batters[[#All],[PID]],0)),INDEX(Table3[[#All],[Last]],MATCH(A633,Table3[[#All],[PID]],0)))</f>
        <v>Estrada</v>
      </c>
      <c r="G633" s="58">
        <f>IF($C633="B",INDEX(Batters[[#All],[Age]],MATCH(Table5[[#This Row],[PID]],Batters[[#All],[PID]],0)),INDEX(Table3[[#All],[Age]],MATCH(Table5[[#This Row],[PID]],Table3[[#All],[PID]],0)))</f>
        <v>18</v>
      </c>
      <c r="H633" s="54" t="str">
        <f>IF($C633="B",INDEX(Batters[[#All],[B]],MATCH(Table5[[#This Row],[PID]],Batters[[#All],[PID]],0)),INDEX(Table3[[#All],[B]],MATCH(Table5[[#This Row],[PID]],Table3[[#All],[PID]],0)))</f>
        <v>R</v>
      </c>
      <c r="I633" s="54" t="str">
        <f>IF($C633="B",INDEX(Batters[[#All],[T]],MATCH(Table5[[#This Row],[PID]],Batters[[#All],[PID]],0)),INDEX(Table3[[#All],[T]],MATCH(Table5[[#This Row],[PID]],Table3[[#All],[PID]],0)))</f>
        <v>R</v>
      </c>
      <c r="J633" s="54" t="str">
        <f>IF($C633="B",INDEX(Batters[[#All],[WE]],MATCH(Table5[[#This Row],[PID]],Batters[[#All],[PID]],0)),INDEX(Table3[[#All],[WE]],MATCH(Table5[[#This Row],[PID]],Table3[[#All],[PID]],0)))</f>
        <v>Normal</v>
      </c>
      <c r="K633" s="54" t="str">
        <f>IF($C633="B",INDEX(Batters[[#All],[INT]],MATCH(Table5[[#This Row],[PID]],Batters[[#All],[PID]],0)),INDEX(Table3[[#All],[INT]],MATCH(Table5[[#This Row],[PID]],Table3[[#All],[PID]],0)))</f>
        <v>Normal</v>
      </c>
      <c r="L633" s="62">
        <f>IF($C633="B",INDEX(Batters[[#All],[CON P]],MATCH(Table5[[#This Row],[PID]],Batters[[#All],[PID]],0)),INDEX(Table3[[#All],[STU P]],MATCH(Table5[[#This Row],[PID]],Table3[[#All],[PID]],0)))</f>
        <v>2</v>
      </c>
      <c r="M633" s="58">
        <f>IF($C633="B",INDEX(Batters[[#All],[GAP P]],MATCH(Table5[[#This Row],[PID]],Batters[[#All],[PID]],0)),INDEX(Table3[[#All],[MOV P]],MATCH(Table5[[#This Row],[PID]],Table3[[#All],[PID]],0)))</f>
        <v>2</v>
      </c>
      <c r="N633" s="58">
        <f>IF($C633="B",INDEX(Batters[[#All],[POW P]],MATCH(Table5[[#This Row],[PID]],Batters[[#All],[PID]],0)),INDEX(Table3[[#All],[CON P]],MATCH(Table5[[#This Row],[PID]],Table3[[#All],[PID]],0)))</f>
        <v>4</v>
      </c>
      <c r="O633" s="58">
        <f>IF($C633="B",INDEX(Batters[[#All],[EYE P]],MATCH(Table5[[#This Row],[PID]],Batters[[#All],[PID]],0)),INDEX(Table3[[#All],[VELO]],MATCH(Table5[[#This Row],[PID]],Table3[[#All],[PID]],0)))</f>
        <v>5</v>
      </c>
      <c r="P633" s="58">
        <f>IF($C633="B",INDEX(Batters[[#All],[K P]],MATCH(Table5[[#This Row],[PID]],Batters[[#All],[PID]],0)),INDEX(Table3[[#All],[STM]],MATCH(Table5[[#This Row],[PID]],Table3[[#All],[PID]],0)))</f>
        <v>2</v>
      </c>
      <c r="Q633" s="63">
        <f>IF($C633="B",INDEX(Batters[[#All],[Tot]],MATCH(Table5[[#This Row],[PID]],Batters[[#All],[PID]],0)),INDEX(Table3[[#All],[Tot]],MATCH(Table5[[#This Row],[PID]],Table3[[#All],[PID]],0)))</f>
        <v>38.147608469470654</v>
      </c>
      <c r="R633" s="54">
        <f>IF($C633="B",INDEX(Batters[[#All],[zScore]],MATCH(Table5[[#This Row],[PID]],Batters[[#All],[PID]],0)),INDEX(Table3[[#All],[zScore]],MATCH(Table5[[#This Row],[PID]],Table3[[#All],[PID]],0)))</f>
        <v>-0.38718778635205214</v>
      </c>
      <c r="S633" s="60" t="str">
        <f>IF($C633="B",INDEX(Batters[[#All],[DEM]],MATCH(Table5[[#This Row],[PID]],Batters[[#All],[PID]],0)),INDEX(Table3[[#All],[DEM]],MATCH(Table5[[#This Row],[PID]],Table3[[#All],[PID]],0)))</f>
        <v>$200k</v>
      </c>
      <c r="T633" s="64">
        <f>IF($C633="B",VLOOKUP($A633,Bat!$A$4:$AU$1417,46,FALSE),VLOOKUP($A633,Pit!$A$4:$BD$570,55,FALSE))</f>
        <v>0</v>
      </c>
      <c r="U633" s="52">
        <f>IF($C633="B",VLOOKUP($A633,Bat!$A$4:$BA$1417,47,FALSE),VLOOKUP($A633,Pit!$A$4:$BF$570,56,FALSE))</f>
        <v>0</v>
      </c>
      <c r="V633" s="52">
        <f>IF($C633="B",VLOOKUP($A633,Bat!$A$4:$BA$1417,48,FALSE),VLOOKUP($A633,Pit!$A$4:$BF$570,57,FALSE))</f>
        <v>0</v>
      </c>
      <c r="W633" s="52">
        <f>Table5[[#This Row],[posRnk]]+Table5[[#This Row],[zRnk]]+IF($W$3&lt;&gt;Table5[[#This Row],[Type]],50,0)</f>
        <v>679</v>
      </c>
      <c r="X633" s="53">
        <f>RANK(Table5[[#This Row],[zScore]],Table5[[#All],[zScore]])</f>
        <v>629</v>
      </c>
      <c r="Y633" s="52" t="str">
        <f>IFERROR(INDEX(DraftResults[[#All],[OVR]],MATCH(Table5[[#This Row],[PID]],DraftResults[[#All],[Player ID]],0)),"")</f>
        <v/>
      </c>
      <c r="Z6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3" s="52" t="str">
        <f>IFERROR(INDEX(DraftResults[[#All],[Pick in Round]],MATCH(Table5[[#This Row],[PID]],DraftResults[[#All],[Player ID]],0)),"")</f>
        <v/>
      </c>
      <c r="AB633" s="52" t="str">
        <f>IFERROR(INDEX(DraftResults[[#All],[Team Name]],MATCH(Table5[[#This Row],[PID]],DraftResults[[#All],[Player ID]],0)),"")</f>
        <v/>
      </c>
      <c r="AC633" s="52" t="str">
        <f>IF(Table5[[#This Row],[Ovr]]="","",IF(Table5[[#This Row],[cmbList]]="","",Table5[[#This Row],[cmbList]]-Table5[[#This Row],[Ovr]]))</f>
        <v/>
      </c>
      <c r="AD633" s="56" t="str">
        <f>IF(ISERROR(VLOOKUP($AB633&amp;"-"&amp;$E633&amp;" "&amp;F633,Bonuses!$B$1:$G$1006,4,FALSE)),"",INT(VLOOKUP($AB633&amp;"-"&amp;$E633&amp;" "&amp;$F633,Bonuses!$B$1:$G$1006,4,FALSE)))</f>
        <v/>
      </c>
      <c r="AE6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4" spans="1:31" s="52" customFormat="1" x14ac:dyDescent="0.25">
      <c r="A634" s="52">
        <v>5310</v>
      </c>
      <c r="B634" s="57">
        <f>COUNTIF(Table5[PID],A634)</f>
        <v>1</v>
      </c>
      <c r="C634" s="57" t="str">
        <f>IF(COUNTIF(Table3[[#All],[PID]],A634)&gt;0,"P","B")</f>
        <v>B</v>
      </c>
      <c r="D634" s="61" t="str">
        <f>IF($C634="B",INDEX(Batters[[#All],[POS]],MATCH(Table5[[#This Row],[PID]],Batters[[#All],[PID]],0)),INDEX(Table3[[#All],[POS]],MATCH(Table5[[#This Row],[PID]],Table3[[#All],[PID]],0)))</f>
        <v>RF</v>
      </c>
      <c r="E634" s="54" t="str">
        <f>IF($C634="B",INDEX(Batters[[#All],[First]],MATCH(Table5[[#This Row],[PID]],Batters[[#All],[PID]],0)),INDEX(Table3[[#All],[First]],MATCH(Table5[[#This Row],[PID]],Table3[[#All],[PID]],0)))</f>
        <v>Burt</v>
      </c>
      <c r="F634" s="52" t="str">
        <f>IF($C634="B",INDEX(Batters[[#All],[Last]],MATCH(A634,Batters[[#All],[PID]],0)),INDEX(Table3[[#All],[Last]],MATCH(A634,Table3[[#All],[PID]],0)))</f>
        <v>Bly</v>
      </c>
      <c r="G634" s="58">
        <f>IF($C634="B",INDEX(Batters[[#All],[Age]],MATCH(Table5[[#This Row],[PID]],Batters[[#All],[PID]],0)),INDEX(Table3[[#All],[Age]],MATCH(Table5[[#This Row],[PID]],Table3[[#All],[PID]],0)))</f>
        <v>21</v>
      </c>
      <c r="H634" s="54" t="str">
        <f>IF($C634="B",INDEX(Batters[[#All],[B]],MATCH(Table5[[#This Row],[PID]],Batters[[#All],[PID]],0)),INDEX(Table3[[#All],[B]],MATCH(Table5[[#This Row],[PID]],Table3[[#All],[PID]],0)))</f>
        <v>R</v>
      </c>
      <c r="I634" s="54" t="str">
        <f>IF($C634="B",INDEX(Batters[[#All],[T]],MATCH(Table5[[#This Row],[PID]],Batters[[#All],[PID]],0)),INDEX(Table3[[#All],[T]],MATCH(Table5[[#This Row],[PID]],Table3[[#All],[PID]],0)))</f>
        <v>R</v>
      </c>
      <c r="J634" s="54" t="str">
        <f>IF($C634="B",INDEX(Batters[[#All],[WE]],MATCH(Table5[[#This Row],[PID]],Batters[[#All],[PID]],0)),INDEX(Table3[[#All],[WE]],MATCH(Table5[[#This Row],[PID]],Table3[[#All],[PID]],0)))</f>
        <v>High</v>
      </c>
      <c r="K634" s="54" t="str">
        <f>IF($C634="B",INDEX(Batters[[#All],[INT]],MATCH(Table5[[#This Row],[PID]],Batters[[#All],[PID]],0)),INDEX(Table3[[#All],[INT]],MATCH(Table5[[#This Row],[PID]],Table3[[#All],[PID]],0)))</f>
        <v>High</v>
      </c>
      <c r="L634" s="62">
        <f>IF($C634="B",INDEX(Batters[[#All],[CON P]],MATCH(Table5[[#This Row],[PID]],Batters[[#All],[PID]],0)),INDEX(Table3[[#All],[STU P]],MATCH(Table5[[#This Row],[PID]],Table3[[#All],[PID]],0)))</f>
        <v>3</v>
      </c>
      <c r="M634" s="58">
        <f>IF($C634="B",INDEX(Batters[[#All],[GAP P]],MATCH(Table5[[#This Row],[PID]],Batters[[#All],[PID]],0)),INDEX(Table3[[#All],[MOV P]],MATCH(Table5[[#This Row],[PID]],Table3[[#All],[PID]],0)))</f>
        <v>4</v>
      </c>
      <c r="N634" s="58">
        <f>IF($C634="B",INDEX(Batters[[#All],[POW P]],MATCH(Table5[[#This Row],[PID]],Batters[[#All],[PID]],0)),INDEX(Table3[[#All],[CON P]],MATCH(Table5[[#This Row],[PID]],Table3[[#All],[PID]],0)))</f>
        <v>4</v>
      </c>
      <c r="O634" s="58">
        <f>IF($C634="B",INDEX(Batters[[#All],[EYE P]],MATCH(Table5[[#This Row],[PID]],Batters[[#All],[PID]],0)),INDEX(Table3[[#All],[VELO]],MATCH(Table5[[#This Row],[PID]],Table3[[#All],[PID]],0)))</f>
        <v>4</v>
      </c>
      <c r="P634" s="58">
        <f>IF($C634="B",INDEX(Batters[[#All],[K P]],MATCH(Table5[[#This Row],[PID]],Batters[[#All],[PID]],0)),INDEX(Table3[[#All],[STM]],MATCH(Table5[[#This Row],[PID]],Table3[[#All],[PID]],0)))</f>
        <v>3</v>
      </c>
      <c r="Q634" s="63">
        <f>IF($C634="B",INDEX(Batters[[#All],[Tot]],MATCH(Table5[[#This Row],[PID]],Batters[[#All],[PID]],0)),INDEX(Table3[[#All],[Tot]],MATCH(Table5[[#This Row],[PID]],Table3[[#All],[PID]],0)))</f>
        <v>38.14480736873783</v>
      </c>
      <c r="R634" s="54">
        <f>IF($C634="B",INDEX(Batters[[#All],[zScore]],MATCH(Table5[[#This Row],[PID]],Batters[[#All],[PID]],0)),INDEX(Table3[[#All],[zScore]],MATCH(Table5[[#This Row],[PID]],Table3[[#All],[PID]],0)))</f>
        <v>-0.38768062140902737</v>
      </c>
      <c r="S634" s="60" t="str">
        <f>IF($C634="B",INDEX(Batters[[#All],[DEM]],MATCH(Table5[[#This Row],[PID]],Batters[[#All],[PID]],0)),INDEX(Table3[[#All],[DEM]],MATCH(Table5[[#This Row],[PID]],Table3[[#All],[PID]],0)))</f>
        <v>-</v>
      </c>
      <c r="T634" s="64">
        <f>IF($C634="B",VLOOKUP($A634,Bat!$A$4:$AU$1417,46,FALSE),VLOOKUP($A634,Pit!$A$4:$BD$570,55,FALSE))</f>
        <v>0</v>
      </c>
      <c r="U634" s="52">
        <f>IF($C634="B",VLOOKUP($A634,Bat!$A$4:$BA$1417,47,FALSE),VLOOKUP($A634,Pit!$A$4:$BF$570,56,FALSE))</f>
        <v>0</v>
      </c>
      <c r="V634" s="52">
        <f>IF($C634="B",VLOOKUP($A634,Bat!$A$4:$BA$1417,48,FALSE),VLOOKUP($A634,Pit!$A$4:$BF$570,57,FALSE))</f>
        <v>0</v>
      </c>
      <c r="W634" s="52">
        <f>Table5[[#This Row],[posRnk]]+Table5[[#This Row],[zRnk]]+IF($W$3&lt;&gt;Table5[[#This Row],[Type]],50,0)</f>
        <v>680</v>
      </c>
      <c r="X634" s="53">
        <f>RANK(Table5[[#This Row],[zScore]],Table5[[#All],[zScore]])</f>
        <v>630</v>
      </c>
      <c r="Y634" s="52" t="str">
        <f>IFERROR(INDEX(DraftResults[[#All],[OVR]],MATCH(Table5[[#This Row],[PID]],DraftResults[[#All],[Player ID]],0)),"")</f>
        <v/>
      </c>
      <c r="Z6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4" s="52" t="str">
        <f>IFERROR(INDEX(DraftResults[[#All],[Pick in Round]],MATCH(Table5[[#This Row],[PID]],DraftResults[[#All],[Player ID]],0)),"")</f>
        <v/>
      </c>
      <c r="AB634" s="52" t="str">
        <f>IFERROR(INDEX(DraftResults[[#All],[Team Name]],MATCH(Table5[[#This Row],[PID]],DraftResults[[#All],[Player ID]],0)),"")</f>
        <v/>
      </c>
      <c r="AC634" s="52" t="str">
        <f>IF(Table5[[#This Row],[Ovr]]="","",IF(Table5[[#This Row],[cmbList]]="","",Table5[[#This Row],[cmbList]]-Table5[[#This Row],[Ovr]]))</f>
        <v/>
      </c>
      <c r="AD634" s="56" t="str">
        <f>IF(ISERROR(VLOOKUP($AB634&amp;"-"&amp;$E634&amp;" "&amp;F634,Bonuses!$B$1:$G$1006,4,FALSE)),"",INT(VLOOKUP($AB634&amp;"-"&amp;$E634&amp;" "&amp;$F634,Bonuses!$B$1:$G$1006,4,FALSE)))</f>
        <v/>
      </c>
      <c r="AE6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5" spans="1:31" s="52" customFormat="1" x14ac:dyDescent="0.25">
      <c r="A635" s="52">
        <v>7516</v>
      </c>
      <c r="B635" s="52">
        <f>COUNTIF(Table5[PID],A635)</f>
        <v>1</v>
      </c>
      <c r="C635" s="52" t="str">
        <f>IF(COUNTIF(Table3[[#All],[PID]],A635)&gt;0,"P","B")</f>
        <v>P</v>
      </c>
      <c r="D635" s="61" t="str">
        <f>IF($C635="B",INDEX(Batters[[#All],[POS]],MATCH(Table5[[#This Row],[PID]],Batters[[#All],[PID]],0)),INDEX(Table3[[#All],[POS]],MATCH(Table5[[#This Row],[PID]],Table3[[#All],[PID]],0)))</f>
        <v>RP</v>
      </c>
      <c r="E635" s="54" t="str">
        <f>IF($C635="B",INDEX(Batters[[#All],[First]],MATCH(Table5[[#This Row],[PID]],Batters[[#All],[PID]],0)),INDEX(Table3[[#All],[First]],MATCH(Table5[[#This Row],[PID]],Table3[[#All],[PID]],0)))</f>
        <v>Tim</v>
      </c>
      <c r="F635" s="52" t="str">
        <f>IF($C635="B",INDEX(Batters[[#All],[Last]],MATCH(A635,Batters[[#All],[PID]],0)),INDEX(Table3[[#All],[Last]],MATCH(A635,Table3[[#All],[PID]],0)))</f>
        <v>Smallman</v>
      </c>
      <c r="G635" s="58">
        <f>IF($C635="B",INDEX(Batters[[#All],[Age]],MATCH(Table5[[#This Row],[PID]],Batters[[#All],[PID]],0)),INDEX(Table3[[#All],[Age]],MATCH(Table5[[#This Row],[PID]],Table3[[#All],[PID]],0)))</f>
        <v>17</v>
      </c>
      <c r="H635" s="54" t="str">
        <f>IF($C635="B",INDEX(Batters[[#All],[B]],MATCH(Table5[[#This Row],[PID]],Batters[[#All],[PID]],0)),INDEX(Table3[[#All],[B]],MATCH(Table5[[#This Row],[PID]],Table3[[#All],[PID]],0)))</f>
        <v>R</v>
      </c>
      <c r="I635" s="54" t="str">
        <f>IF($C635="B",INDEX(Batters[[#All],[T]],MATCH(Table5[[#This Row],[PID]],Batters[[#All],[PID]],0)),INDEX(Table3[[#All],[T]],MATCH(Table5[[#This Row],[PID]],Table3[[#All],[PID]],0)))</f>
        <v>R</v>
      </c>
      <c r="J635" s="54" t="str">
        <f>IF($C635="B",INDEX(Batters[[#All],[WE]],MATCH(Table5[[#This Row],[PID]],Batters[[#All],[PID]],0)),INDEX(Table3[[#All],[WE]],MATCH(Table5[[#This Row],[PID]],Table3[[#All],[PID]],0)))</f>
        <v>Low</v>
      </c>
      <c r="K635" s="54" t="str">
        <f>IF($C635="B",INDEX(Batters[[#All],[INT]],MATCH(Table5[[#This Row],[PID]],Batters[[#All],[PID]],0)),INDEX(Table3[[#All],[INT]],MATCH(Table5[[#This Row],[PID]],Table3[[#All],[PID]],0)))</f>
        <v>Normal</v>
      </c>
      <c r="L635" s="62">
        <f>IF($C635="B",INDEX(Batters[[#All],[CON P]],MATCH(Table5[[#This Row],[PID]],Batters[[#All],[PID]],0)),INDEX(Table3[[#All],[STU P]],MATCH(Table5[[#This Row],[PID]],Table3[[#All],[PID]],0)))</f>
        <v>3</v>
      </c>
      <c r="M635" s="58">
        <f>IF($C635="B",INDEX(Batters[[#All],[GAP P]],MATCH(Table5[[#This Row],[PID]],Batters[[#All],[PID]],0)),INDEX(Table3[[#All],[MOV P]],MATCH(Table5[[#This Row],[PID]],Table3[[#All],[PID]],0)))</f>
        <v>2</v>
      </c>
      <c r="N635" s="58">
        <f>IF($C635="B",INDEX(Batters[[#All],[POW P]],MATCH(Table5[[#This Row],[PID]],Batters[[#All],[PID]],0)),INDEX(Table3[[#All],[CON P]],MATCH(Table5[[#This Row],[PID]],Table3[[#All],[PID]],0)))</f>
        <v>2</v>
      </c>
      <c r="O635" s="58" t="str">
        <f>IF($C635="B",INDEX(Batters[[#All],[EYE P]],MATCH(Table5[[#This Row],[PID]],Batters[[#All],[PID]],0)),INDEX(Table3[[#All],[VELO]],MATCH(Table5[[#This Row],[PID]],Table3[[#All],[PID]],0)))</f>
        <v>85-87 Mph</v>
      </c>
      <c r="P635" s="58">
        <f>IF($C635="B",INDEX(Batters[[#All],[K P]],MATCH(Table5[[#This Row],[PID]],Batters[[#All],[PID]],0)),INDEX(Table3[[#All],[STM]],MATCH(Table5[[#This Row],[PID]],Table3[[#All],[PID]],0)))</f>
        <v>4</v>
      </c>
      <c r="Q635" s="63">
        <f>IF($C635="B",INDEX(Batters[[#All],[Tot]],MATCH(Table5[[#This Row],[PID]],Batters[[#All],[PID]],0)),INDEX(Table3[[#All],[Tot]],MATCH(Table5[[#This Row],[PID]],Table3[[#All],[PID]],0)))</f>
        <v>25.938707788971833</v>
      </c>
      <c r="R635" s="54">
        <f>IF($C635="B",INDEX(Batters[[#All],[zScore]],MATCH(Table5[[#This Row],[PID]],Batters[[#All],[PID]],0)),INDEX(Table3[[#All],[zScore]],MATCH(Table5[[#This Row],[PID]],Table3[[#All],[PID]],0)))</f>
        <v>-0.39058249570287934</v>
      </c>
      <c r="S635" s="60" t="str">
        <f>IF($C635="B",INDEX(Batters[[#All],[DEM]],MATCH(Table5[[#This Row],[PID]],Batters[[#All],[PID]],0)),INDEX(Table3[[#All],[DEM]],MATCH(Table5[[#This Row],[PID]],Table3[[#All],[PID]],0)))</f>
        <v>$65k</v>
      </c>
      <c r="T635" s="64">
        <f>IF($C635="B",VLOOKUP($A635,Bat!$A$4:$AU$1417,46,FALSE),VLOOKUP($A635,Pit!$A$4:$BD$570,55,FALSE))</f>
        <v>0</v>
      </c>
      <c r="U635" s="52">
        <f>IF($C635="B",VLOOKUP($A635,Bat!$A$4:$BA$1417,47,FALSE),VLOOKUP($A635,Pit!$A$4:$BF$570,56,FALSE))</f>
        <v>0</v>
      </c>
      <c r="V635" s="52">
        <f>IF($C635="B",VLOOKUP($A635,Bat!$A$4:$BA$1417,48,FALSE),VLOOKUP($A635,Pit!$A$4:$BF$570,57,FALSE))</f>
        <v>0</v>
      </c>
      <c r="W635" s="52">
        <f>Table5[[#This Row],[posRnk]]+Table5[[#This Row],[zRnk]]+IF($W$3&lt;&gt;Table5[[#This Row],[Type]],50,0)</f>
        <v>681</v>
      </c>
      <c r="X635" s="53">
        <f>RANK(Table5[[#This Row],[zScore]],Table5[[#All],[zScore]])</f>
        <v>631</v>
      </c>
      <c r="Y635" s="52" t="str">
        <f>IFERROR(INDEX(DraftResults[[#All],[OVR]],MATCH(Table5[[#This Row],[PID]],DraftResults[[#All],[Player ID]],0)),"")</f>
        <v/>
      </c>
      <c r="Z6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5" s="52" t="str">
        <f>IFERROR(INDEX(DraftResults[[#All],[Pick in Round]],MATCH(Table5[[#This Row],[PID]],DraftResults[[#All],[Player ID]],0)),"")</f>
        <v/>
      </c>
      <c r="AB635" s="52" t="str">
        <f>IFERROR(INDEX(DraftResults[[#All],[Team Name]],MATCH(Table5[[#This Row],[PID]],DraftResults[[#All],[Player ID]],0)),"")</f>
        <v/>
      </c>
      <c r="AC635" s="52" t="str">
        <f>IF(Table5[[#This Row],[Ovr]]="","",IF(Table5[[#This Row],[cmbList]]="","",Table5[[#This Row],[cmbList]]-Table5[[#This Row],[Ovr]]))</f>
        <v/>
      </c>
      <c r="AD635" s="56" t="str">
        <f>IF(ISERROR(VLOOKUP($AB635&amp;"-"&amp;$E635&amp;" "&amp;F635,Bonuses!$B$1:$G$1006,4,FALSE)),"",INT(VLOOKUP($AB635&amp;"-"&amp;$E635&amp;" "&amp;$F635,Bonuses!$B$1:$G$1006,4,FALSE)))</f>
        <v/>
      </c>
      <c r="AE6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6" spans="1:31" s="52" customFormat="1" x14ac:dyDescent="0.25">
      <c r="A636" s="52">
        <v>12326</v>
      </c>
      <c r="B636" s="52">
        <f>COUNTIF(Table5[PID],A636)</f>
        <v>1</v>
      </c>
      <c r="C636" s="52" t="str">
        <f>IF(COUNTIF(Table3[[#All],[PID]],A636)&gt;0,"P","B")</f>
        <v>P</v>
      </c>
      <c r="D636" s="61" t="str">
        <f>IF($C636="B",INDEX(Batters[[#All],[POS]],MATCH(Table5[[#This Row],[PID]],Batters[[#All],[PID]],0)),INDEX(Table3[[#All],[POS]],MATCH(Table5[[#This Row],[PID]],Table3[[#All],[PID]],0)))</f>
        <v>RP</v>
      </c>
      <c r="E636" s="54" t="str">
        <f>IF($C636="B",INDEX(Batters[[#All],[First]],MATCH(Table5[[#This Row],[PID]],Batters[[#All],[PID]],0)),INDEX(Table3[[#All],[First]],MATCH(Table5[[#This Row],[PID]],Table3[[#All],[PID]],0)))</f>
        <v>Roderick</v>
      </c>
      <c r="F636" s="52" t="str">
        <f>IF($C636="B",INDEX(Batters[[#All],[Last]],MATCH(A636,Batters[[#All],[PID]],0)),INDEX(Table3[[#All],[Last]],MATCH(A636,Table3[[#All],[PID]],0)))</f>
        <v>Stewart</v>
      </c>
      <c r="G636" s="58">
        <f>IF($C636="B",INDEX(Batters[[#All],[Age]],MATCH(Table5[[#This Row],[PID]],Batters[[#All],[PID]],0)),INDEX(Table3[[#All],[Age]],MATCH(Table5[[#This Row],[PID]],Table3[[#All],[PID]],0)))</f>
        <v>22</v>
      </c>
      <c r="H636" s="54" t="str">
        <f>IF($C636="B",INDEX(Batters[[#All],[B]],MATCH(Table5[[#This Row],[PID]],Batters[[#All],[PID]],0)),INDEX(Table3[[#All],[B]],MATCH(Table5[[#This Row],[PID]],Table3[[#All],[PID]],0)))</f>
        <v>R</v>
      </c>
      <c r="I636" s="54" t="str">
        <f>IF($C636="B",INDEX(Batters[[#All],[T]],MATCH(Table5[[#This Row],[PID]],Batters[[#All],[PID]],0)),INDEX(Table3[[#All],[T]],MATCH(Table5[[#This Row],[PID]],Table3[[#All],[PID]],0)))</f>
        <v>R</v>
      </c>
      <c r="J636" s="54" t="str">
        <f>IF($C636="B",INDEX(Batters[[#All],[WE]],MATCH(Table5[[#This Row],[PID]],Batters[[#All],[PID]],0)),INDEX(Table3[[#All],[WE]],MATCH(Table5[[#This Row],[PID]],Table3[[#All],[PID]],0)))</f>
        <v>Low</v>
      </c>
      <c r="K636" s="54" t="str">
        <f>IF($C636="B",INDEX(Batters[[#All],[INT]],MATCH(Table5[[#This Row],[PID]],Batters[[#All],[PID]],0)),INDEX(Table3[[#All],[INT]],MATCH(Table5[[#This Row],[PID]],Table3[[#All],[PID]],0)))</f>
        <v>Normal</v>
      </c>
      <c r="L636" s="62">
        <f>IF($C636="B",INDEX(Batters[[#All],[CON P]],MATCH(Table5[[#This Row],[PID]],Batters[[#All],[PID]],0)),INDEX(Table3[[#All],[STU P]],MATCH(Table5[[#This Row],[PID]],Table3[[#All],[PID]],0)))</f>
        <v>4</v>
      </c>
      <c r="M636" s="58">
        <f>IF($C636="B",INDEX(Batters[[#All],[GAP P]],MATCH(Table5[[#This Row],[PID]],Batters[[#All],[PID]],0)),INDEX(Table3[[#All],[MOV P]],MATCH(Table5[[#This Row],[PID]],Table3[[#All],[PID]],0)))</f>
        <v>2</v>
      </c>
      <c r="N636" s="58">
        <f>IF($C636="B",INDEX(Batters[[#All],[POW P]],MATCH(Table5[[#This Row],[PID]],Batters[[#All],[PID]],0)),INDEX(Table3[[#All],[CON P]],MATCH(Table5[[#This Row],[PID]],Table3[[#All],[PID]],0)))</f>
        <v>3</v>
      </c>
      <c r="O636" s="58" t="str">
        <f>IF($C636="B",INDEX(Batters[[#All],[EYE P]],MATCH(Table5[[#This Row],[PID]],Batters[[#All],[PID]],0)),INDEX(Table3[[#All],[VELO]],MATCH(Table5[[#This Row],[PID]],Table3[[#All],[PID]],0)))</f>
        <v>89-91 Mph</v>
      </c>
      <c r="P636" s="58">
        <f>IF($C636="B",INDEX(Batters[[#All],[K P]],MATCH(Table5[[#This Row],[PID]],Batters[[#All],[PID]],0)),INDEX(Table3[[#All],[STM]],MATCH(Table5[[#This Row],[PID]],Table3[[#All],[PID]],0)))</f>
        <v>6</v>
      </c>
      <c r="Q636" s="63">
        <f>IF($C636="B",INDEX(Batters[[#All],[Tot]],MATCH(Table5[[#This Row],[PID]],Batters[[#All],[PID]],0)),INDEX(Table3[[#All],[Tot]],MATCH(Table5[[#This Row],[PID]],Table3[[#All],[PID]],0)))</f>
        <v>28.456069914527077</v>
      </c>
      <c r="R636" s="54">
        <f>IF($C636="B",INDEX(Batters[[#All],[zScore]],MATCH(Table5[[#This Row],[PID]],Batters[[#All],[PID]],0)),INDEX(Table3[[#All],[zScore]],MATCH(Table5[[#This Row],[PID]],Table3[[#All],[PID]],0)))</f>
        <v>-0.39122702619585009</v>
      </c>
      <c r="S636" s="60" t="str">
        <f>IF($C636="B",INDEX(Batters[[#All],[DEM]],MATCH(Table5[[#This Row],[PID]],Batters[[#All],[PID]],0)),INDEX(Table3[[#All],[DEM]],MATCH(Table5[[#This Row],[PID]],Table3[[#All],[PID]],0)))</f>
        <v>-</v>
      </c>
      <c r="T636" s="64">
        <f>IF($C636="B",VLOOKUP($A636,Bat!$A$4:$AU$1417,46,FALSE),VLOOKUP($A636,Pit!$A$4:$BD$570,55,FALSE))</f>
        <v>0</v>
      </c>
      <c r="U636" s="52">
        <f>IF($C636="B",VLOOKUP($A636,Bat!$A$4:$BA$1417,47,FALSE),VLOOKUP($A636,Pit!$A$4:$BF$570,56,FALSE))</f>
        <v>0</v>
      </c>
      <c r="V636" s="52">
        <f>IF($C636="B",VLOOKUP($A636,Bat!$A$4:$BA$1417,48,FALSE),VLOOKUP($A636,Pit!$A$4:$BF$570,57,FALSE))</f>
        <v>0</v>
      </c>
      <c r="W636" s="52">
        <f>Table5[[#This Row],[posRnk]]+Table5[[#This Row],[zRnk]]+IF($W$3&lt;&gt;Table5[[#This Row],[Type]],50,0)</f>
        <v>682</v>
      </c>
      <c r="X636" s="53">
        <f>RANK(Table5[[#This Row],[zScore]],Table5[[#All],[zScore]])</f>
        <v>632</v>
      </c>
      <c r="Y636" s="52" t="str">
        <f>IFERROR(INDEX(DraftResults[[#All],[OVR]],MATCH(Table5[[#This Row],[PID]],DraftResults[[#All],[Player ID]],0)),"")</f>
        <v/>
      </c>
      <c r="Z6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6" s="52" t="str">
        <f>IFERROR(INDEX(DraftResults[[#All],[Pick in Round]],MATCH(Table5[[#This Row],[PID]],DraftResults[[#All],[Player ID]],0)),"")</f>
        <v/>
      </c>
      <c r="AB636" s="52" t="str">
        <f>IFERROR(INDEX(DraftResults[[#All],[Team Name]],MATCH(Table5[[#This Row],[PID]],DraftResults[[#All],[Player ID]],0)),"")</f>
        <v/>
      </c>
      <c r="AC636" s="52" t="str">
        <f>IF(Table5[[#This Row],[Ovr]]="","",IF(Table5[[#This Row],[cmbList]]="","",Table5[[#This Row],[cmbList]]-Table5[[#This Row],[Ovr]]))</f>
        <v/>
      </c>
      <c r="AD636" s="56" t="str">
        <f>IF(ISERROR(VLOOKUP($AB636&amp;"-"&amp;$E636&amp;" "&amp;F636,Bonuses!$B$1:$G$1006,4,FALSE)),"",INT(VLOOKUP($AB636&amp;"-"&amp;$E636&amp;" "&amp;$F636,Bonuses!$B$1:$G$1006,4,FALSE)))</f>
        <v/>
      </c>
      <c r="AE6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7" spans="1:31" s="52" customFormat="1" x14ac:dyDescent="0.25">
      <c r="A637" s="52">
        <v>8616</v>
      </c>
      <c r="B637" s="52">
        <f>COUNTIF(Table5[PID],A637)</f>
        <v>1</v>
      </c>
      <c r="C637" s="52" t="str">
        <f>IF(COUNTIF(Table3[[#All],[PID]],A637)&gt;0,"P","B")</f>
        <v>P</v>
      </c>
      <c r="D637" s="61" t="str">
        <f>IF($C637="B",INDEX(Batters[[#All],[POS]],MATCH(Table5[[#This Row],[PID]],Batters[[#All],[PID]],0)),INDEX(Table3[[#All],[POS]],MATCH(Table5[[#This Row],[PID]],Table3[[#All],[PID]],0)))</f>
        <v>CL</v>
      </c>
      <c r="E637" s="54" t="str">
        <f>IF($C637="B",INDEX(Batters[[#All],[First]],MATCH(Table5[[#This Row],[PID]],Batters[[#All],[PID]],0)),INDEX(Table3[[#All],[First]],MATCH(Table5[[#This Row],[PID]],Table3[[#All],[PID]],0)))</f>
        <v>Greg</v>
      </c>
      <c r="F637" s="52" t="str">
        <f>IF($C637="B",INDEX(Batters[[#All],[Last]],MATCH(A637,Batters[[#All],[PID]],0)),INDEX(Table3[[#All],[Last]],MATCH(A637,Table3[[#All],[PID]],0)))</f>
        <v>McNeal</v>
      </c>
      <c r="G637" s="58">
        <f>IF($C637="B",INDEX(Batters[[#All],[Age]],MATCH(Table5[[#This Row],[PID]],Batters[[#All],[PID]],0)),INDEX(Table3[[#All],[Age]],MATCH(Table5[[#This Row],[PID]],Table3[[#All],[PID]],0)))</f>
        <v>18</v>
      </c>
      <c r="H637" s="54" t="str">
        <f>IF($C637="B",INDEX(Batters[[#All],[B]],MATCH(Table5[[#This Row],[PID]],Batters[[#All],[PID]],0)),INDEX(Table3[[#All],[B]],MATCH(Table5[[#This Row],[PID]],Table3[[#All],[PID]],0)))</f>
        <v>L</v>
      </c>
      <c r="I637" s="54" t="str">
        <f>IF($C637="B",INDEX(Batters[[#All],[T]],MATCH(Table5[[#This Row],[PID]],Batters[[#All],[PID]],0)),INDEX(Table3[[#All],[T]],MATCH(Table5[[#This Row],[PID]],Table3[[#All],[PID]],0)))</f>
        <v>L</v>
      </c>
      <c r="J637" s="54" t="str">
        <f>IF($C637="B",INDEX(Batters[[#All],[WE]],MATCH(Table5[[#This Row],[PID]],Batters[[#All],[PID]],0)),INDEX(Table3[[#All],[WE]],MATCH(Table5[[#This Row],[PID]],Table3[[#All],[PID]],0)))</f>
        <v>High</v>
      </c>
      <c r="K637" s="54" t="str">
        <f>IF($C637="B",INDEX(Batters[[#All],[INT]],MATCH(Table5[[#This Row],[PID]],Batters[[#All],[PID]],0)),INDEX(Table3[[#All],[INT]],MATCH(Table5[[#This Row],[PID]],Table3[[#All],[PID]],0)))</f>
        <v>Normal</v>
      </c>
      <c r="L637" s="62">
        <f>IF($C637="B",INDEX(Batters[[#All],[CON P]],MATCH(Table5[[#This Row],[PID]],Batters[[#All],[PID]],0)),INDEX(Table3[[#All],[STU P]],MATCH(Table5[[#This Row],[PID]],Table3[[#All],[PID]],0)))</f>
        <v>5</v>
      </c>
      <c r="M637" s="58">
        <f>IF($C637="B",INDEX(Batters[[#All],[GAP P]],MATCH(Table5[[#This Row],[PID]],Batters[[#All],[PID]],0)),INDEX(Table3[[#All],[MOV P]],MATCH(Table5[[#This Row],[PID]],Table3[[#All],[PID]],0)))</f>
        <v>2</v>
      </c>
      <c r="N637" s="58">
        <f>IF($C637="B",INDEX(Batters[[#All],[POW P]],MATCH(Table5[[#This Row],[PID]],Batters[[#All],[PID]],0)),INDEX(Table3[[#All],[CON P]],MATCH(Table5[[#This Row],[PID]],Table3[[#All],[PID]],0)))</f>
        <v>2</v>
      </c>
      <c r="O637" s="58" t="str">
        <f>IF($C637="B",INDEX(Batters[[#All],[EYE P]],MATCH(Table5[[#This Row],[PID]],Batters[[#All],[PID]],0)),INDEX(Table3[[#All],[VELO]],MATCH(Table5[[#This Row],[PID]],Table3[[#All],[PID]],0)))</f>
        <v>90-92 Mph</v>
      </c>
      <c r="P637" s="58">
        <f>IF($C637="B",INDEX(Batters[[#All],[K P]],MATCH(Table5[[#This Row],[PID]],Batters[[#All],[PID]],0)),INDEX(Table3[[#All],[STM]],MATCH(Table5[[#This Row],[PID]],Table3[[#All],[PID]],0)))</f>
        <v>2</v>
      </c>
      <c r="Q637" s="63">
        <f>IF($C637="B",INDEX(Batters[[#All],[Tot]],MATCH(Table5[[#This Row],[PID]],Batters[[#All],[PID]],0)),INDEX(Table3[[#All],[Tot]],MATCH(Table5[[#This Row],[PID]],Table3[[#All],[PID]],0)))</f>
        <v>28.435875145080946</v>
      </c>
      <c r="R637" s="54">
        <f>IF($C637="B",INDEX(Batters[[#All],[zScore]],MATCH(Table5[[#This Row],[PID]],Batters[[#All],[PID]],0)),INDEX(Table3[[#All],[zScore]],MATCH(Table5[[#This Row],[PID]],Table3[[#All],[PID]],0)))</f>
        <v>-0.39307897286831905</v>
      </c>
      <c r="S637" s="60" t="str">
        <f>IF($C637="B",INDEX(Batters[[#All],[DEM]],MATCH(Table5[[#This Row],[PID]],Batters[[#All],[PID]],0)),INDEX(Table3[[#All],[DEM]],MATCH(Table5[[#This Row],[PID]],Table3[[#All],[PID]],0)))</f>
        <v>$65k</v>
      </c>
      <c r="T637" s="64">
        <f>IF($C637="B",VLOOKUP($A637,Bat!$A$4:$AU$1417,46,FALSE),VLOOKUP($A637,Pit!$A$4:$BD$570,55,FALSE))</f>
        <v>0</v>
      </c>
      <c r="U637" s="52">
        <f>IF($C637="B",VLOOKUP($A637,Bat!$A$4:$BA$1417,47,FALSE),VLOOKUP($A637,Pit!$A$4:$BF$570,56,FALSE))</f>
        <v>0</v>
      </c>
      <c r="V637" s="52">
        <f>IF($C637="B",VLOOKUP($A637,Bat!$A$4:$BA$1417,48,FALSE),VLOOKUP($A637,Pit!$A$4:$BF$570,57,FALSE))</f>
        <v>0</v>
      </c>
      <c r="W637" s="52">
        <f>Table5[[#This Row],[posRnk]]+Table5[[#This Row],[zRnk]]+IF($W$3&lt;&gt;Table5[[#This Row],[Type]],50,0)</f>
        <v>683</v>
      </c>
      <c r="X637" s="53">
        <f>RANK(Table5[[#This Row],[zScore]],Table5[[#All],[zScore]])</f>
        <v>633</v>
      </c>
      <c r="Y637" s="52" t="str">
        <f>IFERROR(INDEX(DraftResults[[#All],[OVR]],MATCH(Table5[[#This Row],[PID]],DraftResults[[#All],[Player ID]],0)),"")</f>
        <v/>
      </c>
      <c r="Z6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7" s="52" t="str">
        <f>IFERROR(INDEX(DraftResults[[#All],[Pick in Round]],MATCH(Table5[[#This Row],[PID]],DraftResults[[#All],[Player ID]],0)),"")</f>
        <v/>
      </c>
      <c r="AB637" s="52" t="str">
        <f>IFERROR(INDEX(DraftResults[[#All],[Team Name]],MATCH(Table5[[#This Row],[PID]],DraftResults[[#All],[Player ID]],0)),"")</f>
        <v/>
      </c>
      <c r="AC637" s="52" t="str">
        <f>IF(Table5[[#This Row],[Ovr]]="","",IF(Table5[[#This Row],[cmbList]]="","",Table5[[#This Row],[cmbList]]-Table5[[#This Row],[Ovr]]))</f>
        <v/>
      </c>
      <c r="AD637" s="56" t="str">
        <f>IF(ISERROR(VLOOKUP($AB637&amp;"-"&amp;$E637&amp;" "&amp;F637,Bonuses!$B$1:$G$1006,4,FALSE)),"",INT(VLOOKUP($AB637&amp;"-"&amp;$E637&amp;" "&amp;$F637,Bonuses!$B$1:$G$1006,4,FALSE)))</f>
        <v/>
      </c>
      <c r="AE6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8" spans="1:31" s="52" customFormat="1" x14ac:dyDescent="0.25">
      <c r="A638" s="52">
        <v>6223</v>
      </c>
      <c r="B638" s="52">
        <f>COUNTIF(Table5[PID],A638)</f>
        <v>1</v>
      </c>
      <c r="C638" s="52" t="str">
        <f>IF(COUNTIF(Table3[[#All],[PID]],A638)&gt;0,"P","B")</f>
        <v>P</v>
      </c>
      <c r="D638" s="61" t="str">
        <f>IF($C638="B",INDEX(Batters[[#All],[POS]],MATCH(Table5[[#This Row],[PID]],Batters[[#All],[PID]],0)),INDEX(Table3[[#All],[POS]],MATCH(Table5[[#This Row],[PID]],Table3[[#All],[PID]],0)))</f>
        <v>SP</v>
      </c>
      <c r="E638" s="54" t="str">
        <f>IF($C638="B",INDEX(Batters[[#All],[First]],MATCH(Table5[[#This Row],[PID]],Batters[[#All],[PID]],0)),INDEX(Table3[[#All],[First]],MATCH(Table5[[#This Row],[PID]],Table3[[#All],[PID]],0)))</f>
        <v>Tyler</v>
      </c>
      <c r="F638" s="52" t="str">
        <f>IF($C638="B",INDEX(Batters[[#All],[Last]],MATCH(A638,Batters[[#All],[PID]],0)),INDEX(Table3[[#All],[Last]],MATCH(A638,Table3[[#All],[PID]],0)))</f>
        <v>Tattershall</v>
      </c>
      <c r="G638" s="58">
        <f>IF($C638="B",INDEX(Batters[[#All],[Age]],MATCH(Table5[[#This Row],[PID]],Batters[[#All],[PID]],0)),INDEX(Table3[[#All],[Age]],MATCH(Table5[[#This Row],[PID]],Table3[[#All],[PID]],0)))</f>
        <v>18</v>
      </c>
      <c r="H638" s="54" t="str">
        <f>IF($C638="B",INDEX(Batters[[#All],[B]],MATCH(Table5[[#This Row],[PID]],Batters[[#All],[PID]],0)),INDEX(Table3[[#All],[B]],MATCH(Table5[[#This Row],[PID]],Table3[[#All],[PID]],0)))</f>
        <v>R</v>
      </c>
      <c r="I638" s="54" t="str">
        <f>IF($C638="B",INDEX(Batters[[#All],[T]],MATCH(Table5[[#This Row],[PID]],Batters[[#All],[PID]],0)),INDEX(Table3[[#All],[T]],MATCH(Table5[[#This Row],[PID]],Table3[[#All],[PID]],0)))</f>
        <v>R</v>
      </c>
      <c r="J638" s="54" t="str">
        <f>IF($C638="B",INDEX(Batters[[#All],[WE]],MATCH(Table5[[#This Row],[PID]],Batters[[#All],[PID]],0)),INDEX(Table3[[#All],[WE]],MATCH(Table5[[#This Row],[PID]],Table3[[#All],[PID]],0)))</f>
        <v>High</v>
      </c>
      <c r="K638" s="54" t="str">
        <f>IF($C638="B",INDEX(Batters[[#All],[INT]],MATCH(Table5[[#This Row],[PID]],Batters[[#All],[PID]],0)),INDEX(Table3[[#All],[INT]],MATCH(Table5[[#This Row],[PID]],Table3[[#All],[PID]],0)))</f>
        <v>Normal</v>
      </c>
      <c r="L638" s="62">
        <f>IF($C638="B",INDEX(Batters[[#All],[CON P]],MATCH(Table5[[#This Row],[PID]],Batters[[#All],[PID]],0)),INDEX(Table3[[#All],[STU P]],MATCH(Table5[[#This Row],[PID]],Table3[[#All],[PID]],0)))</f>
        <v>4</v>
      </c>
      <c r="M638" s="58">
        <f>IF($C638="B",INDEX(Batters[[#All],[GAP P]],MATCH(Table5[[#This Row],[PID]],Batters[[#All],[PID]],0)),INDEX(Table3[[#All],[MOV P]],MATCH(Table5[[#This Row],[PID]],Table3[[#All],[PID]],0)))</f>
        <v>1</v>
      </c>
      <c r="N638" s="58">
        <f>IF($C638="B",INDEX(Batters[[#All],[POW P]],MATCH(Table5[[#This Row],[PID]],Batters[[#All],[PID]],0)),INDEX(Table3[[#All],[CON P]],MATCH(Table5[[#This Row],[PID]],Table3[[#All],[PID]],0)))</f>
        <v>2</v>
      </c>
      <c r="O638" s="58" t="str">
        <f>IF($C638="B",INDEX(Batters[[#All],[EYE P]],MATCH(Table5[[#This Row],[PID]],Batters[[#All],[PID]],0)),INDEX(Table3[[#All],[VELO]],MATCH(Table5[[#This Row],[PID]],Table3[[#All],[PID]],0)))</f>
        <v>90-92 Mph</v>
      </c>
      <c r="P638" s="58">
        <f>IF($C638="B",INDEX(Batters[[#All],[K P]],MATCH(Table5[[#This Row],[PID]],Batters[[#All],[PID]],0)),INDEX(Table3[[#All],[STM]],MATCH(Table5[[#This Row],[PID]],Table3[[#All],[PID]],0)))</f>
        <v>8</v>
      </c>
      <c r="Q638" s="63">
        <f>IF($C638="B",INDEX(Batters[[#All],[Tot]],MATCH(Table5[[#This Row],[PID]],Batters[[#All],[PID]],0)),INDEX(Table3[[#All],[Tot]],MATCH(Table5[[#This Row],[PID]],Table3[[#All],[PID]],0)))</f>
        <v>28.417804199428566</v>
      </c>
      <c r="R638" s="54">
        <f>IF($C638="B",INDEX(Batters[[#All],[zScore]],MATCH(Table5[[#This Row],[PID]],Batters[[#All],[PID]],0)),INDEX(Table3[[#All],[zScore]],MATCH(Table5[[#This Row],[PID]],Table3[[#All],[PID]],0)))</f>
        <v>-0.39473615582148724</v>
      </c>
      <c r="S638" s="60" t="str">
        <f>IF($C638="B",INDEX(Batters[[#All],[DEM]],MATCH(Table5[[#This Row],[PID]],Batters[[#All],[PID]],0)),INDEX(Table3[[#All],[DEM]],MATCH(Table5[[#This Row],[PID]],Table3[[#All],[PID]],0)))</f>
        <v>$65k</v>
      </c>
      <c r="T638" s="64">
        <f>IF($C638="B",VLOOKUP($A638,Bat!$A$4:$AU$1417,46,FALSE),VLOOKUP($A638,Pit!$A$4:$BD$570,55,FALSE))</f>
        <v>0</v>
      </c>
      <c r="U638" s="52">
        <f>IF($C638="B",VLOOKUP($A638,Bat!$A$4:$BA$1417,47,FALSE),VLOOKUP($A638,Pit!$A$4:$BF$570,56,FALSE))</f>
        <v>0</v>
      </c>
      <c r="V638" s="52">
        <f>IF($C638="B",VLOOKUP($A638,Bat!$A$4:$BA$1417,48,FALSE),VLOOKUP($A638,Pit!$A$4:$BF$570,57,FALSE))</f>
        <v>0</v>
      </c>
      <c r="W638" s="52">
        <f>Table5[[#This Row],[posRnk]]+Table5[[#This Row],[zRnk]]+IF($W$3&lt;&gt;Table5[[#This Row],[Type]],50,0)</f>
        <v>684</v>
      </c>
      <c r="X638" s="53">
        <f>RANK(Table5[[#This Row],[zScore]],Table5[[#All],[zScore]])</f>
        <v>634</v>
      </c>
      <c r="Y638" s="52" t="str">
        <f>IFERROR(INDEX(DraftResults[[#All],[OVR]],MATCH(Table5[[#This Row],[PID]],DraftResults[[#All],[Player ID]],0)),"")</f>
        <v/>
      </c>
      <c r="Z6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8" s="52" t="str">
        <f>IFERROR(INDEX(DraftResults[[#All],[Pick in Round]],MATCH(Table5[[#This Row],[PID]],DraftResults[[#All],[Player ID]],0)),"")</f>
        <v/>
      </c>
      <c r="AB638" s="52" t="str">
        <f>IFERROR(INDEX(DraftResults[[#All],[Team Name]],MATCH(Table5[[#This Row],[PID]],DraftResults[[#All],[Player ID]],0)),"")</f>
        <v/>
      </c>
      <c r="AC638" s="52" t="str">
        <f>IF(Table5[[#This Row],[Ovr]]="","",IF(Table5[[#This Row],[cmbList]]="","",Table5[[#This Row],[cmbList]]-Table5[[#This Row],[Ovr]]))</f>
        <v/>
      </c>
      <c r="AD638" s="56" t="str">
        <f>IF(ISERROR(VLOOKUP($AB638&amp;"-"&amp;$E638&amp;" "&amp;F638,Bonuses!$B$1:$G$1006,4,FALSE)),"",INT(VLOOKUP($AB638&amp;"-"&amp;$E638&amp;" "&amp;$F638,Bonuses!$B$1:$G$1006,4,FALSE)))</f>
        <v/>
      </c>
      <c r="AE6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9" spans="1:31" s="52" customFormat="1" x14ac:dyDescent="0.25">
      <c r="A639" s="52">
        <v>12244</v>
      </c>
      <c r="B639" s="52">
        <f>COUNTIF(Table5[PID],A639)</f>
        <v>1</v>
      </c>
      <c r="C639" s="52" t="str">
        <f>IF(COUNTIF(Table3[[#All],[PID]],A639)&gt;0,"P","B")</f>
        <v>P</v>
      </c>
      <c r="D639" s="61" t="str">
        <f>IF($C639="B",INDEX(Batters[[#All],[POS]],MATCH(Table5[[#This Row],[PID]],Batters[[#All],[PID]],0)),INDEX(Table3[[#All],[POS]],MATCH(Table5[[#This Row],[PID]],Table3[[#All],[PID]],0)))</f>
        <v>SP</v>
      </c>
      <c r="E639" s="54" t="str">
        <f>IF($C639="B",INDEX(Batters[[#All],[First]],MATCH(Table5[[#This Row],[PID]],Batters[[#All],[PID]],0)),INDEX(Table3[[#All],[First]],MATCH(Table5[[#This Row],[PID]],Table3[[#All],[PID]],0)))</f>
        <v>Shuncho</v>
      </c>
      <c r="F639" s="52" t="str">
        <f>IF($C639="B",INDEX(Batters[[#All],[Last]],MATCH(A639,Batters[[#All],[PID]],0)),INDEX(Table3[[#All],[Last]],MATCH(A639,Table3[[#All],[PID]],0)))</f>
        <v>Nakagawa</v>
      </c>
      <c r="G639" s="58">
        <f>IF($C639="B",INDEX(Batters[[#All],[Age]],MATCH(Table5[[#This Row],[PID]],Batters[[#All],[PID]],0)),INDEX(Table3[[#All],[Age]],MATCH(Table5[[#This Row],[PID]],Table3[[#All],[PID]],0)))</f>
        <v>22</v>
      </c>
      <c r="H639" s="54" t="str">
        <f>IF($C639="B",INDEX(Batters[[#All],[B]],MATCH(Table5[[#This Row],[PID]],Batters[[#All],[PID]],0)),INDEX(Table3[[#All],[B]],MATCH(Table5[[#This Row],[PID]],Table3[[#All],[PID]],0)))</f>
        <v>S</v>
      </c>
      <c r="I639" s="54" t="str">
        <f>IF($C639="B",INDEX(Batters[[#All],[T]],MATCH(Table5[[#This Row],[PID]],Batters[[#All],[PID]],0)),INDEX(Table3[[#All],[T]],MATCH(Table5[[#This Row],[PID]],Table3[[#All],[PID]],0)))</f>
        <v>R</v>
      </c>
      <c r="J639" s="54" t="str">
        <f>IF($C639="B",INDEX(Batters[[#All],[WE]],MATCH(Table5[[#This Row],[PID]],Batters[[#All],[PID]],0)),INDEX(Table3[[#All],[WE]],MATCH(Table5[[#This Row],[PID]],Table3[[#All],[PID]],0)))</f>
        <v>Normal</v>
      </c>
      <c r="K639" s="54" t="str">
        <f>IF($C639="B",INDEX(Batters[[#All],[INT]],MATCH(Table5[[#This Row],[PID]],Batters[[#All],[PID]],0)),INDEX(Table3[[#All],[INT]],MATCH(Table5[[#This Row],[PID]],Table3[[#All],[PID]],0)))</f>
        <v>Normal</v>
      </c>
      <c r="L639" s="62">
        <f>IF($C639="B",INDEX(Batters[[#All],[CON P]],MATCH(Table5[[#This Row],[PID]],Batters[[#All],[PID]],0)),INDEX(Table3[[#All],[STU P]],MATCH(Table5[[#This Row],[PID]],Table3[[#All],[PID]],0)))</f>
        <v>4</v>
      </c>
      <c r="M639" s="58">
        <f>IF($C639="B",INDEX(Batters[[#All],[GAP P]],MATCH(Table5[[#This Row],[PID]],Batters[[#All],[PID]],0)),INDEX(Table3[[#All],[MOV P]],MATCH(Table5[[#This Row],[PID]],Table3[[#All],[PID]],0)))</f>
        <v>1</v>
      </c>
      <c r="N639" s="58">
        <f>IF($C639="B",INDEX(Batters[[#All],[POW P]],MATCH(Table5[[#This Row],[PID]],Batters[[#All],[PID]],0)),INDEX(Table3[[#All],[CON P]],MATCH(Table5[[#This Row],[PID]],Table3[[#All],[PID]],0)))</f>
        <v>3</v>
      </c>
      <c r="O639" s="58" t="str">
        <f>IF($C639="B",INDEX(Batters[[#All],[EYE P]],MATCH(Table5[[#This Row],[PID]],Batters[[#All],[PID]],0)),INDEX(Table3[[#All],[VELO]],MATCH(Table5[[#This Row],[PID]],Table3[[#All],[PID]],0)))</f>
        <v>90-92 Mph</v>
      </c>
      <c r="P639" s="58">
        <f>IF($C639="B",INDEX(Batters[[#All],[K P]],MATCH(Table5[[#This Row],[PID]],Batters[[#All],[PID]],0)),INDEX(Table3[[#All],[STM]],MATCH(Table5[[#This Row],[PID]],Table3[[#All],[PID]],0)))</f>
        <v>6</v>
      </c>
      <c r="Q639" s="63">
        <f>IF($C639="B",INDEX(Batters[[#All],[Tot]],MATCH(Table5[[#This Row],[PID]],Batters[[#All],[PID]],0)),INDEX(Table3[[#All],[Tot]],MATCH(Table5[[#This Row],[PID]],Table3[[#All],[PID]],0)))</f>
        <v>28.413292259437135</v>
      </c>
      <c r="R639" s="54">
        <f>IF($C639="B",INDEX(Batters[[#All],[zScore]],MATCH(Table5[[#This Row],[PID]],Batters[[#All],[PID]],0)),INDEX(Table3[[#All],[zScore]],MATCH(Table5[[#This Row],[PID]],Table3[[#All],[PID]],0)))</f>
        <v>-0.39514992000313831</v>
      </c>
      <c r="S639" s="60" t="str">
        <f>IF($C639="B",INDEX(Batters[[#All],[DEM]],MATCH(Table5[[#This Row],[PID]],Batters[[#All],[PID]],0)),INDEX(Table3[[#All],[DEM]],MATCH(Table5[[#This Row],[PID]],Table3[[#All],[PID]],0)))</f>
        <v>-</v>
      </c>
      <c r="T639" s="64">
        <f>IF($C639="B",VLOOKUP($A639,Bat!$A$4:$AU$1417,46,FALSE),VLOOKUP($A639,Pit!$A$4:$BD$570,55,FALSE))</f>
        <v>0</v>
      </c>
      <c r="U639" s="52">
        <f>IF($C639="B",VLOOKUP($A639,Bat!$A$4:$BA$1417,47,FALSE),VLOOKUP($A639,Pit!$A$4:$BF$570,56,FALSE))</f>
        <v>0</v>
      </c>
      <c r="V639" s="52">
        <f>IF($C639="B",VLOOKUP($A639,Bat!$A$4:$BA$1417,48,FALSE),VLOOKUP($A639,Pit!$A$4:$BF$570,57,FALSE))</f>
        <v>0</v>
      </c>
      <c r="W639" s="52">
        <f>Table5[[#This Row],[posRnk]]+Table5[[#This Row],[zRnk]]+IF($W$3&lt;&gt;Table5[[#This Row],[Type]],50,0)</f>
        <v>685</v>
      </c>
      <c r="X639" s="53">
        <f>RANK(Table5[[#This Row],[zScore]],Table5[[#All],[zScore]])</f>
        <v>635</v>
      </c>
      <c r="Y639" s="52" t="str">
        <f>IFERROR(INDEX(DraftResults[[#All],[OVR]],MATCH(Table5[[#This Row],[PID]],DraftResults[[#All],[Player ID]],0)),"")</f>
        <v/>
      </c>
      <c r="Z6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9" s="52" t="str">
        <f>IFERROR(INDEX(DraftResults[[#All],[Pick in Round]],MATCH(Table5[[#This Row],[PID]],DraftResults[[#All],[Player ID]],0)),"")</f>
        <v/>
      </c>
      <c r="AB639" s="52" t="str">
        <f>IFERROR(INDEX(DraftResults[[#All],[Team Name]],MATCH(Table5[[#This Row],[PID]],DraftResults[[#All],[Player ID]],0)),"")</f>
        <v/>
      </c>
      <c r="AC639" s="52" t="str">
        <f>IF(Table5[[#This Row],[Ovr]]="","",IF(Table5[[#This Row],[cmbList]]="","",Table5[[#This Row],[cmbList]]-Table5[[#This Row],[Ovr]]))</f>
        <v/>
      </c>
      <c r="AD639" s="56" t="str">
        <f>IF(ISERROR(VLOOKUP($AB639&amp;"-"&amp;$E639&amp;" "&amp;F639,Bonuses!$B$1:$G$1006,4,FALSE)),"",INT(VLOOKUP($AB639&amp;"-"&amp;$E639&amp;" "&amp;$F639,Bonuses!$B$1:$G$1006,4,FALSE)))</f>
        <v/>
      </c>
      <c r="AE6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0" spans="1:31" s="52" customFormat="1" x14ac:dyDescent="0.25">
      <c r="A640" s="52">
        <v>2108</v>
      </c>
      <c r="B640" s="52">
        <f>COUNTIF(Table5[PID],A640)</f>
        <v>1</v>
      </c>
      <c r="C640" s="52" t="str">
        <f>IF(COUNTIF(Table3[[#All],[PID]],A640)&gt;0,"P","B")</f>
        <v>B</v>
      </c>
      <c r="D640" s="61" t="str">
        <f>IF($C640="B",INDEX(Batters[[#All],[POS]],MATCH(Table5[[#This Row],[PID]],Batters[[#All],[PID]],0)),INDEX(Table3[[#All],[POS]],MATCH(Table5[[#This Row],[PID]],Table3[[#All],[PID]],0)))</f>
        <v>1B</v>
      </c>
      <c r="E640" s="54" t="str">
        <f>IF($C640="B",INDEX(Batters[[#All],[First]],MATCH(Table5[[#This Row],[PID]],Batters[[#All],[PID]],0)),INDEX(Table3[[#All],[First]],MATCH(Table5[[#This Row],[PID]],Table3[[#All],[PID]],0)))</f>
        <v>Ichiyo</v>
      </c>
      <c r="F640" s="52" t="str">
        <f>IF($C640="B",INDEX(Batters[[#All],[Last]],MATCH(A640,Batters[[#All],[PID]],0)),INDEX(Table3[[#All],[Last]],MATCH(A640,Table3[[#All],[PID]],0)))</f>
        <v>Hakui</v>
      </c>
      <c r="G640" s="58">
        <f>IF($C640="B",INDEX(Batters[[#All],[Age]],MATCH(Table5[[#This Row],[PID]],Batters[[#All],[PID]],0)),INDEX(Table3[[#All],[Age]],MATCH(Table5[[#This Row],[PID]],Table3[[#All],[PID]],0)))</f>
        <v>21</v>
      </c>
      <c r="H640" s="54" t="str">
        <f>IF($C640="B",INDEX(Batters[[#All],[B]],MATCH(Table5[[#This Row],[PID]],Batters[[#All],[PID]],0)),INDEX(Table3[[#All],[B]],MATCH(Table5[[#This Row],[PID]],Table3[[#All],[PID]],0)))</f>
        <v>L</v>
      </c>
      <c r="I640" s="54" t="str">
        <f>IF($C640="B",INDEX(Batters[[#All],[T]],MATCH(Table5[[#This Row],[PID]],Batters[[#All],[PID]],0)),INDEX(Table3[[#All],[T]],MATCH(Table5[[#This Row],[PID]],Table3[[#All],[PID]],0)))</f>
        <v>L</v>
      </c>
      <c r="J640" s="54" t="str">
        <f>IF($C640="B",INDEX(Batters[[#All],[WE]],MATCH(Table5[[#This Row],[PID]],Batters[[#All],[PID]],0)),INDEX(Table3[[#All],[WE]],MATCH(Table5[[#This Row],[PID]],Table3[[#All],[PID]],0)))</f>
        <v>Normal</v>
      </c>
      <c r="K640" s="54" t="str">
        <f>IF($C640="B",INDEX(Batters[[#All],[INT]],MATCH(Table5[[#This Row],[PID]],Batters[[#All],[PID]],0)),INDEX(Table3[[#All],[INT]],MATCH(Table5[[#This Row],[PID]],Table3[[#All],[PID]],0)))</f>
        <v>Normal</v>
      </c>
      <c r="L640" s="62">
        <f>IF($C640="B",INDEX(Batters[[#All],[CON P]],MATCH(Table5[[#This Row],[PID]],Batters[[#All],[PID]],0)),INDEX(Table3[[#All],[STU P]],MATCH(Table5[[#This Row],[PID]],Table3[[#All],[PID]],0)))</f>
        <v>3</v>
      </c>
      <c r="M640" s="58">
        <f>IF($C640="B",INDEX(Batters[[#All],[GAP P]],MATCH(Table5[[#This Row],[PID]],Batters[[#All],[PID]],0)),INDEX(Table3[[#All],[MOV P]],MATCH(Table5[[#This Row],[PID]],Table3[[#All],[PID]],0)))</f>
        <v>4</v>
      </c>
      <c r="N640" s="58">
        <f>IF($C640="B",INDEX(Batters[[#All],[POW P]],MATCH(Table5[[#This Row],[PID]],Batters[[#All],[PID]],0)),INDEX(Table3[[#All],[CON P]],MATCH(Table5[[#This Row],[PID]],Table3[[#All],[PID]],0)))</f>
        <v>5</v>
      </c>
      <c r="O640" s="58">
        <f>IF($C640="B",INDEX(Batters[[#All],[EYE P]],MATCH(Table5[[#This Row],[PID]],Batters[[#All],[PID]],0)),INDEX(Table3[[#All],[VELO]],MATCH(Table5[[#This Row],[PID]],Table3[[#All],[PID]],0)))</f>
        <v>4</v>
      </c>
      <c r="P640" s="58">
        <f>IF($C640="B",INDEX(Batters[[#All],[K P]],MATCH(Table5[[#This Row],[PID]],Batters[[#All],[PID]],0)),INDEX(Table3[[#All],[STM]],MATCH(Table5[[#This Row],[PID]],Table3[[#All],[PID]],0)))</f>
        <v>4</v>
      </c>
      <c r="Q640" s="63">
        <f>IF($C640="B",INDEX(Batters[[#All],[Tot]],MATCH(Table5[[#This Row],[PID]],Batters[[#All],[PID]],0)),INDEX(Table3[[#All],[Tot]],MATCH(Table5[[#This Row],[PID]],Table3[[#All],[PID]],0)))</f>
        <v>38.097048351463506</v>
      </c>
      <c r="R640" s="54">
        <f>IF($C640="B",INDEX(Batters[[#All],[zScore]],MATCH(Table5[[#This Row],[PID]],Batters[[#All],[PID]],0)),INDEX(Table3[[#All],[zScore]],MATCH(Table5[[#This Row],[PID]],Table3[[#All],[PID]],0)))</f>
        <v>-0.39608350307752671</v>
      </c>
      <c r="S640" s="60" t="str">
        <f>IF($C640="B",INDEX(Batters[[#All],[DEM]],MATCH(Table5[[#This Row],[PID]],Batters[[#All],[PID]],0)),INDEX(Table3[[#All],[DEM]],MATCH(Table5[[#This Row],[PID]],Table3[[#All],[PID]],0)))</f>
        <v>-</v>
      </c>
      <c r="T640" s="64">
        <f>IF($C640="B",VLOOKUP($A640,Bat!$A$4:$AU$1417,46,FALSE),VLOOKUP($A640,Pit!$A$4:$BD$570,55,FALSE))</f>
        <v>0</v>
      </c>
      <c r="U640" s="52">
        <f>IF($C640="B",VLOOKUP($A640,Bat!$A$4:$BA$1417,47,FALSE),VLOOKUP($A640,Pit!$A$4:$BF$570,56,FALSE))</f>
        <v>0</v>
      </c>
      <c r="V640" s="52">
        <f>IF($C640="B",VLOOKUP($A640,Bat!$A$4:$BA$1417,48,FALSE),VLOOKUP($A640,Pit!$A$4:$BF$570,57,FALSE))</f>
        <v>0</v>
      </c>
      <c r="W640" s="52">
        <f>Table5[[#This Row],[posRnk]]+Table5[[#This Row],[zRnk]]+IF($W$3&lt;&gt;Table5[[#This Row],[Type]],50,0)</f>
        <v>686</v>
      </c>
      <c r="X640" s="53">
        <f>RANK(Table5[[#This Row],[zScore]],Table5[[#All],[zScore]])</f>
        <v>636</v>
      </c>
      <c r="Y640" s="52" t="str">
        <f>IFERROR(INDEX(DraftResults[[#All],[OVR]],MATCH(Table5[[#This Row],[PID]],DraftResults[[#All],[Player ID]],0)),"")</f>
        <v/>
      </c>
      <c r="Z6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0" s="52" t="str">
        <f>IFERROR(INDEX(DraftResults[[#All],[Pick in Round]],MATCH(Table5[[#This Row],[PID]],DraftResults[[#All],[Player ID]],0)),"")</f>
        <v/>
      </c>
      <c r="AB640" s="52" t="str">
        <f>IFERROR(INDEX(DraftResults[[#All],[Team Name]],MATCH(Table5[[#This Row],[PID]],DraftResults[[#All],[Player ID]],0)),"")</f>
        <v/>
      </c>
      <c r="AC640" s="52" t="str">
        <f>IF(Table5[[#This Row],[Ovr]]="","",IF(Table5[[#This Row],[cmbList]]="","",Table5[[#This Row],[cmbList]]-Table5[[#This Row],[Ovr]]))</f>
        <v/>
      </c>
      <c r="AD640" s="56" t="str">
        <f>IF(ISERROR(VLOOKUP($AB640&amp;"-"&amp;$E640&amp;" "&amp;F640,Bonuses!$B$1:$G$1006,4,FALSE)),"",INT(VLOOKUP($AB640&amp;"-"&amp;$E640&amp;" "&amp;$F640,Bonuses!$B$1:$G$1006,4,FALSE)))</f>
        <v/>
      </c>
      <c r="AE6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1" spans="1:31" s="52" customFormat="1" x14ac:dyDescent="0.25">
      <c r="A641" s="52">
        <v>8233</v>
      </c>
      <c r="B641" s="52">
        <f>COUNTIF(Table5[PID],A641)</f>
        <v>1</v>
      </c>
      <c r="C641" s="52" t="str">
        <f>IF(COUNTIF(Table3[[#All],[PID]],A641)&gt;0,"P","B")</f>
        <v>P</v>
      </c>
      <c r="D641" s="61" t="str">
        <f>IF($C641="B",INDEX(Batters[[#All],[POS]],MATCH(Table5[[#This Row],[PID]],Batters[[#All],[PID]],0)),INDEX(Table3[[#All],[POS]],MATCH(Table5[[#This Row],[PID]],Table3[[#All],[PID]],0)))</f>
        <v>RP</v>
      </c>
      <c r="E641" s="54" t="str">
        <f>IF($C641="B",INDEX(Batters[[#All],[First]],MATCH(Table5[[#This Row],[PID]],Batters[[#All],[PID]],0)),INDEX(Table3[[#All],[First]],MATCH(Table5[[#This Row],[PID]],Table3[[#All],[PID]],0)))</f>
        <v>Jack</v>
      </c>
      <c r="F641" s="52" t="str">
        <f>IF($C641="B",INDEX(Batters[[#All],[Last]],MATCH(A641,Batters[[#All],[PID]],0)),INDEX(Table3[[#All],[Last]],MATCH(A641,Table3[[#All],[PID]],0)))</f>
        <v>Green</v>
      </c>
      <c r="G641" s="58">
        <f>IF($C641="B",INDEX(Batters[[#All],[Age]],MATCH(Table5[[#This Row],[PID]],Batters[[#All],[PID]],0)),INDEX(Table3[[#All],[Age]],MATCH(Table5[[#This Row],[PID]],Table3[[#All],[PID]],0)))</f>
        <v>18</v>
      </c>
      <c r="H641" s="54" t="str">
        <f>IF($C641="B",INDEX(Batters[[#All],[B]],MATCH(Table5[[#This Row],[PID]],Batters[[#All],[PID]],0)),INDEX(Table3[[#All],[B]],MATCH(Table5[[#This Row],[PID]],Table3[[#All],[PID]],0)))</f>
        <v>S</v>
      </c>
      <c r="I641" s="54" t="str">
        <f>IF($C641="B",INDEX(Batters[[#All],[T]],MATCH(Table5[[#This Row],[PID]],Batters[[#All],[PID]],0)),INDEX(Table3[[#All],[T]],MATCH(Table5[[#This Row],[PID]],Table3[[#All],[PID]],0)))</f>
        <v>R</v>
      </c>
      <c r="J641" s="54" t="str">
        <f>IF($C641="B",INDEX(Batters[[#All],[WE]],MATCH(Table5[[#This Row],[PID]],Batters[[#All],[PID]],0)),INDEX(Table3[[#All],[WE]],MATCH(Table5[[#This Row],[PID]],Table3[[#All],[PID]],0)))</f>
        <v>Normal</v>
      </c>
      <c r="K641" s="54" t="str">
        <f>IF($C641="B",INDEX(Batters[[#All],[INT]],MATCH(Table5[[#This Row],[PID]],Batters[[#All],[PID]],0)),INDEX(Table3[[#All],[INT]],MATCH(Table5[[#This Row],[PID]],Table3[[#All],[PID]],0)))</f>
        <v>Normal</v>
      </c>
      <c r="L641" s="62">
        <f>IF($C641="B",INDEX(Batters[[#All],[CON P]],MATCH(Table5[[#This Row],[PID]],Batters[[#All],[PID]],0)),INDEX(Table3[[#All],[STU P]],MATCH(Table5[[#This Row],[PID]],Table3[[#All],[PID]],0)))</f>
        <v>4</v>
      </c>
      <c r="M641" s="58">
        <f>IF($C641="B",INDEX(Batters[[#All],[GAP P]],MATCH(Table5[[#This Row],[PID]],Batters[[#All],[PID]],0)),INDEX(Table3[[#All],[MOV P]],MATCH(Table5[[#This Row],[PID]],Table3[[#All],[PID]],0)))</f>
        <v>2</v>
      </c>
      <c r="N641" s="58">
        <f>IF($C641="B",INDEX(Batters[[#All],[POW P]],MATCH(Table5[[#This Row],[PID]],Batters[[#All],[PID]],0)),INDEX(Table3[[#All],[CON P]],MATCH(Table5[[#This Row],[PID]],Table3[[#All],[PID]],0)))</f>
        <v>2</v>
      </c>
      <c r="O641" s="58" t="str">
        <f>IF($C641="B",INDEX(Batters[[#All],[EYE P]],MATCH(Table5[[#This Row],[PID]],Batters[[#All],[PID]],0)),INDEX(Table3[[#All],[VELO]],MATCH(Table5[[#This Row],[PID]],Table3[[#All],[PID]],0)))</f>
        <v>91-93 Mph</v>
      </c>
      <c r="P641" s="58">
        <f>IF($C641="B",INDEX(Batters[[#All],[K P]],MATCH(Table5[[#This Row],[PID]],Batters[[#All],[PID]],0)),INDEX(Table3[[#All],[STM]],MATCH(Table5[[#This Row],[PID]],Table3[[#All],[PID]],0)))</f>
        <v>10</v>
      </c>
      <c r="Q641" s="63">
        <f>IF($C641="B",INDEX(Batters[[#All],[Tot]],MATCH(Table5[[#This Row],[PID]],Batters[[#All],[PID]],0)),INDEX(Table3[[#All],[Tot]],MATCH(Table5[[#This Row],[PID]],Table3[[#All],[PID]],0)))</f>
        <v>28.393401401119359</v>
      </c>
      <c r="R641" s="54">
        <f>IF($C641="B",INDEX(Batters[[#All],[zScore]],MATCH(Table5[[#This Row],[PID]],Batters[[#All],[PID]],0)),INDEX(Table3[[#All],[zScore]],MATCH(Table5[[#This Row],[PID]],Table3[[#All],[PID]],0)))</f>
        <v>-0.3969739967261936</v>
      </c>
      <c r="S641" s="60" t="str">
        <f>IF($C641="B",INDEX(Batters[[#All],[DEM]],MATCH(Table5[[#This Row],[PID]],Batters[[#All],[PID]],0)),INDEX(Table3[[#All],[DEM]],MATCH(Table5[[#This Row],[PID]],Table3[[#All],[PID]],0)))</f>
        <v>$90k</v>
      </c>
      <c r="T641" s="64">
        <f>IF($C641="B",VLOOKUP($A641,Bat!$A$4:$AU$1417,46,FALSE),VLOOKUP($A641,Pit!$A$4:$BD$570,55,FALSE))</f>
        <v>0</v>
      </c>
      <c r="U641" s="52">
        <f>IF($C641="B",VLOOKUP($A641,Bat!$A$4:$BA$1417,47,FALSE),VLOOKUP($A641,Pit!$A$4:$BF$570,56,FALSE))</f>
        <v>0</v>
      </c>
      <c r="V641" s="52">
        <f>IF($C641="B",VLOOKUP($A641,Bat!$A$4:$BA$1417,48,FALSE),VLOOKUP($A641,Pit!$A$4:$BF$570,57,FALSE))</f>
        <v>0</v>
      </c>
      <c r="W641" s="52">
        <f>Table5[[#This Row],[posRnk]]+Table5[[#This Row],[zRnk]]+IF($W$3&lt;&gt;Table5[[#This Row],[Type]],50,0)</f>
        <v>687</v>
      </c>
      <c r="X641" s="53">
        <f>RANK(Table5[[#This Row],[zScore]],Table5[[#All],[zScore]])</f>
        <v>637</v>
      </c>
      <c r="Y641" s="52" t="str">
        <f>IFERROR(INDEX(DraftResults[[#All],[OVR]],MATCH(Table5[[#This Row],[PID]],DraftResults[[#All],[Player ID]],0)),"")</f>
        <v/>
      </c>
      <c r="Z6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1" s="52" t="str">
        <f>IFERROR(INDEX(DraftResults[[#All],[Pick in Round]],MATCH(Table5[[#This Row],[PID]],DraftResults[[#All],[Player ID]],0)),"")</f>
        <v/>
      </c>
      <c r="AB641" s="52" t="str">
        <f>IFERROR(INDEX(DraftResults[[#All],[Team Name]],MATCH(Table5[[#This Row],[PID]],DraftResults[[#All],[Player ID]],0)),"")</f>
        <v/>
      </c>
      <c r="AC641" s="52" t="str">
        <f>IF(Table5[[#This Row],[Ovr]]="","",IF(Table5[[#This Row],[cmbList]]="","",Table5[[#This Row],[cmbList]]-Table5[[#This Row],[Ovr]]))</f>
        <v/>
      </c>
      <c r="AD641" s="56" t="str">
        <f>IF(ISERROR(VLOOKUP($AB641&amp;"-"&amp;$E641&amp;" "&amp;F641,Bonuses!$B$1:$G$1006,4,FALSE)),"",INT(VLOOKUP($AB641&amp;"-"&amp;$E641&amp;" "&amp;$F641,Bonuses!$B$1:$G$1006,4,FALSE)))</f>
        <v/>
      </c>
      <c r="AE6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2" spans="1:31" s="52" customFormat="1" x14ac:dyDescent="0.25">
      <c r="A642" s="52">
        <v>7691</v>
      </c>
      <c r="B642" s="52">
        <f>COUNTIF(Table5[PID],A642)</f>
        <v>1</v>
      </c>
      <c r="C642" s="52" t="str">
        <f>IF(COUNTIF(Table3[[#All],[PID]],A642)&gt;0,"P","B")</f>
        <v>B</v>
      </c>
      <c r="D642" s="61" t="str">
        <f>IF($C642="B",INDEX(Batters[[#All],[POS]],MATCH(Table5[[#This Row],[PID]],Batters[[#All],[PID]],0)),INDEX(Table3[[#All],[POS]],MATCH(Table5[[#This Row],[PID]],Table3[[#All],[PID]],0)))</f>
        <v>2B</v>
      </c>
      <c r="E642" s="54" t="str">
        <f>IF($C642="B",INDEX(Batters[[#All],[First]],MATCH(Table5[[#This Row],[PID]],Batters[[#All],[PID]],0)),INDEX(Table3[[#All],[First]],MATCH(Table5[[#This Row],[PID]],Table3[[#All],[PID]],0)))</f>
        <v>Brent</v>
      </c>
      <c r="F642" s="52" t="str">
        <f>IF($C642="B",INDEX(Batters[[#All],[Last]],MATCH(A642,Batters[[#All],[PID]],0)),INDEX(Table3[[#All],[Last]],MATCH(A642,Table3[[#All],[PID]],0)))</f>
        <v>Gray</v>
      </c>
      <c r="G642" s="58">
        <f>IF($C642="B",INDEX(Batters[[#All],[Age]],MATCH(Table5[[#This Row],[PID]],Batters[[#All],[PID]],0)),INDEX(Table3[[#All],[Age]],MATCH(Table5[[#This Row],[PID]],Table3[[#All],[PID]],0)))</f>
        <v>18</v>
      </c>
      <c r="H642" s="54" t="str">
        <f>IF($C642="B",INDEX(Batters[[#All],[B]],MATCH(Table5[[#This Row],[PID]],Batters[[#All],[PID]],0)),INDEX(Table3[[#All],[B]],MATCH(Table5[[#This Row],[PID]],Table3[[#All],[PID]],0)))</f>
        <v>R</v>
      </c>
      <c r="I642" s="54" t="str">
        <f>IF($C642="B",INDEX(Batters[[#All],[T]],MATCH(Table5[[#This Row],[PID]],Batters[[#All],[PID]],0)),INDEX(Table3[[#All],[T]],MATCH(Table5[[#This Row],[PID]],Table3[[#All],[PID]],0)))</f>
        <v>R</v>
      </c>
      <c r="J642" s="54" t="str">
        <f>IF($C642="B",INDEX(Batters[[#All],[WE]],MATCH(Table5[[#This Row],[PID]],Batters[[#All],[PID]],0)),INDEX(Table3[[#All],[WE]],MATCH(Table5[[#This Row],[PID]],Table3[[#All],[PID]],0)))</f>
        <v>Normal</v>
      </c>
      <c r="K642" s="54" t="str">
        <f>IF($C642="B",INDEX(Batters[[#All],[INT]],MATCH(Table5[[#This Row],[PID]],Batters[[#All],[PID]],0)),INDEX(Table3[[#All],[INT]],MATCH(Table5[[#This Row],[PID]],Table3[[#All],[PID]],0)))</f>
        <v>Normal</v>
      </c>
      <c r="L642" s="62">
        <f>IF($C642="B",INDEX(Batters[[#All],[CON P]],MATCH(Table5[[#This Row],[PID]],Batters[[#All],[PID]],0)),INDEX(Table3[[#All],[STU P]],MATCH(Table5[[#This Row],[PID]],Table3[[#All],[PID]],0)))</f>
        <v>2</v>
      </c>
      <c r="M642" s="58">
        <f>IF($C642="B",INDEX(Batters[[#All],[GAP P]],MATCH(Table5[[#This Row],[PID]],Batters[[#All],[PID]],0)),INDEX(Table3[[#All],[MOV P]],MATCH(Table5[[#This Row],[PID]],Table3[[#All],[PID]],0)))</f>
        <v>4</v>
      </c>
      <c r="N642" s="58">
        <f>IF($C642="B",INDEX(Batters[[#All],[POW P]],MATCH(Table5[[#This Row],[PID]],Batters[[#All],[PID]],0)),INDEX(Table3[[#All],[CON P]],MATCH(Table5[[#This Row],[PID]],Table3[[#All],[PID]],0)))</f>
        <v>3</v>
      </c>
      <c r="O642" s="58">
        <f>IF($C642="B",INDEX(Batters[[#All],[EYE P]],MATCH(Table5[[#This Row],[PID]],Batters[[#All],[PID]],0)),INDEX(Table3[[#All],[VELO]],MATCH(Table5[[#This Row],[PID]],Table3[[#All],[PID]],0)))</f>
        <v>5</v>
      </c>
      <c r="P642" s="58">
        <f>IF($C642="B",INDEX(Batters[[#All],[K P]],MATCH(Table5[[#This Row],[PID]],Batters[[#All],[PID]],0)),INDEX(Table3[[#All],[STM]],MATCH(Table5[[#This Row],[PID]],Table3[[#All],[PID]],0)))</f>
        <v>4</v>
      </c>
      <c r="Q642" s="63">
        <f>IF($C642="B",INDEX(Batters[[#All],[Tot]],MATCH(Table5[[#This Row],[PID]],Batters[[#All],[PID]],0)),INDEX(Table3[[#All],[Tot]],MATCH(Table5[[#This Row],[PID]],Table3[[#All],[PID]],0)))</f>
        <v>38.086699807642724</v>
      </c>
      <c r="R642" s="54">
        <f>IF($C642="B",INDEX(Batters[[#All],[zScore]],MATCH(Table5[[#This Row],[PID]],Batters[[#All],[PID]],0)),INDEX(Table3[[#All],[zScore]],MATCH(Table5[[#This Row],[PID]],Table3[[#All],[PID]],0)))</f>
        <v>-0.39790426058323169</v>
      </c>
      <c r="S642" s="60" t="str">
        <f>IF($C642="B",INDEX(Batters[[#All],[DEM]],MATCH(Table5[[#This Row],[PID]],Batters[[#All],[PID]],0)),INDEX(Table3[[#All],[DEM]],MATCH(Table5[[#This Row],[PID]],Table3[[#All],[PID]],0)))</f>
        <v>$75k</v>
      </c>
      <c r="T642" s="64">
        <f>IF($C642="B",VLOOKUP($A642,Bat!$A$4:$AU$1417,46,FALSE),VLOOKUP($A642,Pit!$A$4:$BD$570,55,FALSE))</f>
        <v>0</v>
      </c>
      <c r="U642" s="52">
        <f>IF($C642="B",VLOOKUP($A642,Bat!$A$4:$BA$1417,47,FALSE),VLOOKUP($A642,Pit!$A$4:$BF$570,56,FALSE))</f>
        <v>0</v>
      </c>
      <c r="V642" s="52">
        <f>IF($C642="B",VLOOKUP($A642,Bat!$A$4:$BA$1417,48,FALSE),VLOOKUP($A642,Pit!$A$4:$BF$570,57,FALSE))</f>
        <v>0</v>
      </c>
      <c r="W642" s="52">
        <f>Table5[[#This Row],[posRnk]]+Table5[[#This Row],[zRnk]]+IF($W$3&lt;&gt;Table5[[#This Row],[Type]],50,0)</f>
        <v>688</v>
      </c>
      <c r="X642" s="53">
        <f>RANK(Table5[[#This Row],[zScore]],Table5[[#All],[zScore]])</f>
        <v>638</v>
      </c>
      <c r="Y642" s="52" t="str">
        <f>IFERROR(INDEX(DraftResults[[#All],[OVR]],MATCH(Table5[[#This Row],[PID]],DraftResults[[#All],[Player ID]],0)),"")</f>
        <v/>
      </c>
      <c r="Z6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2" s="52" t="str">
        <f>IFERROR(INDEX(DraftResults[[#All],[Pick in Round]],MATCH(Table5[[#This Row],[PID]],DraftResults[[#All],[Player ID]],0)),"")</f>
        <v/>
      </c>
      <c r="AB642" s="52" t="str">
        <f>IFERROR(INDEX(DraftResults[[#All],[Team Name]],MATCH(Table5[[#This Row],[PID]],DraftResults[[#All],[Player ID]],0)),"")</f>
        <v/>
      </c>
      <c r="AC642" s="52" t="str">
        <f>IF(Table5[[#This Row],[Ovr]]="","",IF(Table5[[#This Row],[cmbList]]="","",Table5[[#This Row],[cmbList]]-Table5[[#This Row],[Ovr]]))</f>
        <v/>
      </c>
      <c r="AD642" s="56" t="str">
        <f>IF(ISERROR(VLOOKUP($AB642&amp;"-"&amp;$E642&amp;" "&amp;F642,Bonuses!$B$1:$G$1006,4,FALSE)),"",INT(VLOOKUP($AB642&amp;"-"&amp;$E642&amp;" "&amp;$F642,Bonuses!$B$1:$G$1006,4,FALSE)))</f>
        <v/>
      </c>
      <c r="AE6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3" spans="1:31" s="52" customFormat="1" x14ac:dyDescent="0.25">
      <c r="A643" s="52">
        <v>5884</v>
      </c>
      <c r="B643" s="52">
        <f>COUNTIF(Table5[PID],A643)</f>
        <v>1</v>
      </c>
      <c r="C643" s="52" t="str">
        <f>IF(COUNTIF(Table3[[#All],[PID]],A643)&gt;0,"P","B")</f>
        <v>P</v>
      </c>
      <c r="D643" s="61" t="str">
        <f>IF($C643="B",INDEX(Batters[[#All],[POS]],MATCH(Table5[[#This Row],[PID]],Batters[[#All],[PID]],0)),INDEX(Table3[[#All],[POS]],MATCH(Table5[[#This Row],[PID]],Table3[[#All],[PID]],0)))</f>
        <v>RP</v>
      </c>
      <c r="E643" s="54" t="str">
        <f>IF($C643="B",INDEX(Batters[[#All],[First]],MATCH(Table5[[#This Row],[PID]],Batters[[#All],[PID]],0)),INDEX(Table3[[#All],[First]],MATCH(Table5[[#This Row],[PID]],Table3[[#All],[PID]],0)))</f>
        <v>Tynan</v>
      </c>
      <c r="F643" s="52" t="str">
        <f>IF($C643="B",INDEX(Batters[[#All],[Last]],MATCH(A643,Batters[[#All],[PID]],0)),INDEX(Table3[[#All],[Last]],MATCH(A643,Table3[[#All],[PID]],0)))</f>
        <v>Alexander</v>
      </c>
      <c r="G643" s="58">
        <f>IF($C643="B",INDEX(Batters[[#All],[Age]],MATCH(Table5[[#This Row],[PID]],Batters[[#All],[PID]],0)),INDEX(Table3[[#All],[Age]],MATCH(Table5[[#This Row],[PID]],Table3[[#All],[PID]],0)))</f>
        <v>18</v>
      </c>
      <c r="H643" s="54" t="str">
        <f>IF($C643="B",INDEX(Batters[[#All],[B]],MATCH(Table5[[#This Row],[PID]],Batters[[#All],[PID]],0)),INDEX(Table3[[#All],[B]],MATCH(Table5[[#This Row],[PID]],Table3[[#All],[PID]],0)))</f>
        <v>R</v>
      </c>
      <c r="I643" s="54" t="str">
        <f>IF($C643="B",INDEX(Batters[[#All],[T]],MATCH(Table5[[#This Row],[PID]],Batters[[#All],[PID]],0)),INDEX(Table3[[#All],[T]],MATCH(Table5[[#This Row],[PID]],Table3[[#All],[PID]],0)))</f>
        <v>R</v>
      </c>
      <c r="J643" s="54" t="str">
        <f>IF($C643="B",INDEX(Batters[[#All],[WE]],MATCH(Table5[[#This Row],[PID]],Batters[[#All],[PID]],0)),INDEX(Table3[[#All],[WE]],MATCH(Table5[[#This Row],[PID]],Table3[[#All],[PID]],0)))</f>
        <v>Normal</v>
      </c>
      <c r="K643" s="54" t="str">
        <f>IF($C643="B",INDEX(Batters[[#All],[INT]],MATCH(Table5[[#This Row],[PID]],Batters[[#All],[PID]],0)),INDEX(Table3[[#All],[INT]],MATCH(Table5[[#This Row],[PID]],Table3[[#All],[PID]],0)))</f>
        <v>Normal</v>
      </c>
      <c r="L643" s="62">
        <f>IF($C643="B",INDEX(Batters[[#All],[CON P]],MATCH(Table5[[#This Row],[PID]],Batters[[#All],[PID]],0)),INDEX(Table3[[#All],[STU P]],MATCH(Table5[[#This Row],[PID]],Table3[[#All],[PID]],0)))</f>
        <v>3</v>
      </c>
      <c r="M643" s="58">
        <f>IF($C643="B",INDEX(Batters[[#All],[GAP P]],MATCH(Table5[[#This Row],[PID]],Batters[[#All],[PID]],0)),INDEX(Table3[[#All],[MOV P]],MATCH(Table5[[#This Row],[PID]],Table3[[#All],[PID]],0)))</f>
        <v>2</v>
      </c>
      <c r="N643" s="58">
        <f>IF($C643="B",INDEX(Batters[[#All],[POW P]],MATCH(Table5[[#This Row],[PID]],Batters[[#All],[PID]],0)),INDEX(Table3[[#All],[CON P]],MATCH(Table5[[#This Row],[PID]],Table3[[#All],[PID]],0)))</f>
        <v>2</v>
      </c>
      <c r="O643" s="58" t="str">
        <f>IF($C643="B",INDEX(Batters[[#All],[EYE P]],MATCH(Table5[[#This Row],[PID]],Batters[[#All],[PID]],0)),INDEX(Table3[[#All],[VELO]],MATCH(Table5[[#This Row],[PID]],Table3[[#All],[PID]],0)))</f>
        <v>84-86 Mph</v>
      </c>
      <c r="P643" s="58">
        <f>IF($C643="B",INDEX(Batters[[#All],[K P]],MATCH(Table5[[#This Row],[PID]],Batters[[#All],[PID]],0)),INDEX(Table3[[#All],[STM]],MATCH(Table5[[#This Row],[PID]],Table3[[#All],[PID]],0)))</f>
        <v>9</v>
      </c>
      <c r="Q643" s="63">
        <f>IF($C643="B",INDEX(Batters[[#All],[Tot]],MATCH(Table5[[#This Row],[PID]],Batters[[#All],[PID]],0)),INDEX(Table3[[#All],[Tot]],MATCH(Table5[[#This Row],[PID]],Table3[[#All],[PID]],0)))</f>
        <v>28.379528543018999</v>
      </c>
      <c r="R643" s="54">
        <f>IF($C643="B",INDEX(Batters[[#All],[zScore]],MATCH(Table5[[#This Row],[PID]],Batters[[#All],[PID]],0)),INDEX(Table3[[#All],[zScore]],MATCH(Table5[[#This Row],[PID]],Table3[[#All],[PID]],0)))</f>
        <v>-0.39824619710783832</v>
      </c>
      <c r="S643" s="60" t="str">
        <f>IF($C643="B",INDEX(Batters[[#All],[DEM]],MATCH(Table5[[#This Row],[PID]],Batters[[#All],[PID]],0)),INDEX(Table3[[#All],[DEM]],MATCH(Table5[[#This Row],[PID]],Table3[[#All],[PID]],0)))</f>
        <v>$65k</v>
      </c>
      <c r="T643" s="64">
        <f>IF($C643="B",VLOOKUP($A643,Bat!$A$4:$AU$1417,46,FALSE),VLOOKUP($A643,Pit!$A$4:$BD$570,55,FALSE))</f>
        <v>0</v>
      </c>
      <c r="U643" s="52">
        <f>IF($C643="B",VLOOKUP($A643,Bat!$A$4:$BA$1417,47,FALSE),VLOOKUP($A643,Pit!$A$4:$BF$570,56,FALSE))</f>
        <v>0</v>
      </c>
      <c r="V643" s="52">
        <f>IF($C643="B",VLOOKUP($A643,Bat!$A$4:$BA$1417,48,FALSE),VLOOKUP($A643,Pit!$A$4:$BF$570,57,FALSE))</f>
        <v>0</v>
      </c>
      <c r="W643" s="52">
        <f>Table5[[#This Row],[posRnk]]+Table5[[#This Row],[zRnk]]+IF($W$3&lt;&gt;Table5[[#This Row],[Type]],50,0)</f>
        <v>689</v>
      </c>
      <c r="X643" s="53">
        <f>RANK(Table5[[#This Row],[zScore]],Table5[[#All],[zScore]])</f>
        <v>639</v>
      </c>
      <c r="Y643" s="52" t="str">
        <f>IFERROR(INDEX(DraftResults[[#All],[OVR]],MATCH(Table5[[#This Row],[PID]],DraftResults[[#All],[Player ID]],0)),"")</f>
        <v/>
      </c>
      <c r="Z6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3" s="52" t="str">
        <f>IFERROR(INDEX(DraftResults[[#All],[Pick in Round]],MATCH(Table5[[#This Row],[PID]],DraftResults[[#All],[Player ID]],0)),"")</f>
        <v/>
      </c>
      <c r="AB643" s="52" t="str">
        <f>IFERROR(INDEX(DraftResults[[#All],[Team Name]],MATCH(Table5[[#This Row],[PID]],DraftResults[[#All],[Player ID]],0)),"")</f>
        <v/>
      </c>
      <c r="AC643" s="52" t="str">
        <f>IF(Table5[[#This Row],[Ovr]]="","",IF(Table5[[#This Row],[cmbList]]="","",Table5[[#This Row],[cmbList]]-Table5[[#This Row],[Ovr]]))</f>
        <v/>
      </c>
      <c r="AD643" s="56" t="str">
        <f>IF(ISERROR(VLOOKUP($AB643&amp;"-"&amp;$E643&amp;" "&amp;F643,Bonuses!$B$1:$G$1006,4,FALSE)),"",INT(VLOOKUP($AB643&amp;"-"&amp;$E643&amp;" "&amp;$F643,Bonuses!$B$1:$G$1006,4,FALSE)))</f>
        <v/>
      </c>
      <c r="AE6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4" spans="1:31" s="52" customFormat="1" x14ac:dyDescent="0.25">
      <c r="A644" s="52">
        <v>9530</v>
      </c>
      <c r="B644" s="52">
        <f>COUNTIF(Table5[PID],A644)</f>
        <v>1</v>
      </c>
      <c r="C644" s="52" t="str">
        <f>IF(COUNTIF(Table3[[#All],[PID]],A644)&gt;0,"P","B")</f>
        <v>B</v>
      </c>
      <c r="D644" s="61" t="str">
        <f>IF($C644="B",INDEX(Batters[[#All],[POS]],MATCH(Table5[[#This Row],[PID]],Batters[[#All],[PID]],0)),INDEX(Table3[[#All],[POS]],MATCH(Table5[[#This Row],[PID]],Table3[[#All],[PID]],0)))</f>
        <v>2B</v>
      </c>
      <c r="E644" s="54" t="str">
        <f>IF($C644="B",INDEX(Batters[[#All],[First]],MATCH(Table5[[#This Row],[PID]],Batters[[#All],[PID]],0)),INDEX(Table3[[#All],[First]],MATCH(Table5[[#This Row],[PID]],Table3[[#All],[PID]],0)))</f>
        <v>Thomas</v>
      </c>
      <c r="F644" s="52" t="str">
        <f>IF($C644="B",INDEX(Batters[[#All],[Last]],MATCH(A644,Batters[[#All],[PID]],0)),INDEX(Table3[[#All],[Last]],MATCH(A644,Table3[[#All],[PID]],0)))</f>
        <v>Wilson</v>
      </c>
      <c r="G644" s="58">
        <f>IF($C644="B",INDEX(Batters[[#All],[Age]],MATCH(Table5[[#This Row],[PID]],Batters[[#All],[PID]],0)),INDEX(Table3[[#All],[Age]],MATCH(Table5[[#This Row],[PID]],Table3[[#All],[PID]],0)))</f>
        <v>21</v>
      </c>
      <c r="H644" s="54" t="str">
        <f>IF($C644="B",INDEX(Batters[[#All],[B]],MATCH(Table5[[#This Row],[PID]],Batters[[#All],[PID]],0)),INDEX(Table3[[#All],[B]],MATCH(Table5[[#This Row],[PID]],Table3[[#All],[PID]],0)))</f>
        <v>R</v>
      </c>
      <c r="I644" s="54" t="str">
        <f>IF($C644="B",INDEX(Batters[[#All],[T]],MATCH(Table5[[#This Row],[PID]],Batters[[#All],[PID]],0)),INDEX(Table3[[#All],[T]],MATCH(Table5[[#This Row],[PID]],Table3[[#All],[PID]],0)))</f>
        <v>R</v>
      </c>
      <c r="J644" s="54" t="str">
        <f>IF($C644="B",INDEX(Batters[[#All],[WE]],MATCH(Table5[[#This Row],[PID]],Batters[[#All],[PID]],0)),INDEX(Table3[[#All],[WE]],MATCH(Table5[[#This Row],[PID]],Table3[[#All],[PID]],0)))</f>
        <v>Normal</v>
      </c>
      <c r="K644" s="54" t="str">
        <f>IF($C644="B",INDEX(Batters[[#All],[INT]],MATCH(Table5[[#This Row],[PID]],Batters[[#All],[PID]],0)),INDEX(Table3[[#All],[INT]],MATCH(Table5[[#This Row],[PID]],Table3[[#All],[PID]],0)))</f>
        <v>Normal</v>
      </c>
      <c r="L644" s="62">
        <f>IF($C644="B",INDEX(Batters[[#All],[CON P]],MATCH(Table5[[#This Row],[PID]],Batters[[#All],[PID]],0)),INDEX(Table3[[#All],[STU P]],MATCH(Table5[[#This Row],[PID]],Table3[[#All],[PID]],0)))</f>
        <v>4</v>
      </c>
      <c r="M644" s="58">
        <f>IF($C644="B",INDEX(Batters[[#All],[GAP P]],MATCH(Table5[[#This Row],[PID]],Batters[[#All],[PID]],0)),INDEX(Table3[[#All],[MOV P]],MATCH(Table5[[#This Row],[PID]],Table3[[#All],[PID]],0)))</f>
        <v>2</v>
      </c>
      <c r="N644" s="58">
        <f>IF($C644="B",INDEX(Batters[[#All],[POW P]],MATCH(Table5[[#This Row],[PID]],Batters[[#All],[PID]],0)),INDEX(Table3[[#All],[CON P]],MATCH(Table5[[#This Row],[PID]],Table3[[#All],[PID]],0)))</f>
        <v>3</v>
      </c>
      <c r="O644" s="58">
        <f>IF($C644="B",INDEX(Batters[[#All],[EYE P]],MATCH(Table5[[#This Row],[PID]],Batters[[#All],[PID]],0)),INDEX(Table3[[#All],[VELO]],MATCH(Table5[[#This Row],[PID]],Table3[[#All],[PID]],0)))</f>
        <v>3</v>
      </c>
      <c r="P644" s="58">
        <f>IF($C644="B",INDEX(Batters[[#All],[K P]],MATCH(Table5[[#This Row],[PID]],Batters[[#All],[PID]],0)),INDEX(Table3[[#All],[STM]],MATCH(Table5[[#This Row],[PID]],Table3[[#All],[PID]],0)))</f>
        <v>5</v>
      </c>
      <c r="Q644" s="63">
        <f>IF($C644="B",INDEX(Batters[[#All],[Tot]],MATCH(Table5[[#This Row],[PID]],Batters[[#All],[PID]],0)),INDEX(Table3[[#All],[Tot]],MATCH(Table5[[#This Row],[PID]],Table3[[#All],[PID]],0)))</f>
        <v>38.079769643233092</v>
      </c>
      <c r="R644" s="54">
        <f>IF($C644="B",INDEX(Batters[[#All],[zScore]],MATCH(Table5[[#This Row],[PID]],Batters[[#All],[PID]],0)),INDEX(Table3[[#All],[zScore]],MATCH(Table5[[#This Row],[PID]],Table3[[#All],[PID]],0)))</f>
        <v>-0.39912357695113121</v>
      </c>
      <c r="S644" s="60" t="str">
        <f>IF($C644="B",INDEX(Batters[[#All],[DEM]],MATCH(Table5[[#This Row],[PID]],Batters[[#All],[PID]],0)),INDEX(Table3[[#All],[DEM]],MATCH(Table5[[#This Row],[PID]],Table3[[#All],[PID]],0)))</f>
        <v>-</v>
      </c>
      <c r="T644" s="64">
        <f>IF($C644="B",VLOOKUP($A644,Bat!$A$4:$AU$1417,46,FALSE),VLOOKUP($A644,Pit!$A$4:$BD$570,55,FALSE))</f>
        <v>0</v>
      </c>
      <c r="U644" s="52">
        <f>IF($C644="B",VLOOKUP($A644,Bat!$A$4:$BA$1417,47,FALSE),VLOOKUP($A644,Pit!$A$4:$BF$570,56,FALSE))</f>
        <v>0</v>
      </c>
      <c r="V644" s="52">
        <f>IF($C644="B",VLOOKUP($A644,Bat!$A$4:$BA$1417,48,FALSE),VLOOKUP($A644,Pit!$A$4:$BF$570,57,FALSE))</f>
        <v>0</v>
      </c>
      <c r="W644" s="52">
        <f>Table5[[#This Row],[posRnk]]+Table5[[#This Row],[zRnk]]+IF($W$3&lt;&gt;Table5[[#This Row],[Type]],50,0)</f>
        <v>690</v>
      </c>
      <c r="X644" s="53">
        <f>RANK(Table5[[#This Row],[zScore]],Table5[[#All],[zScore]])</f>
        <v>640</v>
      </c>
      <c r="Y644" s="52" t="str">
        <f>IFERROR(INDEX(DraftResults[[#All],[OVR]],MATCH(Table5[[#This Row],[PID]],DraftResults[[#All],[Player ID]],0)),"")</f>
        <v/>
      </c>
      <c r="Z6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4" s="52" t="str">
        <f>IFERROR(INDEX(DraftResults[[#All],[Pick in Round]],MATCH(Table5[[#This Row],[PID]],DraftResults[[#All],[Player ID]],0)),"")</f>
        <v/>
      </c>
      <c r="AB644" s="52" t="str">
        <f>IFERROR(INDEX(DraftResults[[#All],[Team Name]],MATCH(Table5[[#This Row],[PID]],DraftResults[[#All],[Player ID]],0)),"")</f>
        <v/>
      </c>
      <c r="AC644" s="52" t="str">
        <f>IF(Table5[[#This Row],[Ovr]]="","",IF(Table5[[#This Row],[cmbList]]="","",Table5[[#This Row],[cmbList]]-Table5[[#This Row],[Ovr]]))</f>
        <v/>
      </c>
      <c r="AD644" s="56" t="str">
        <f>IF(ISERROR(VLOOKUP($AB644&amp;"-"&amp;$E644&amp;" "&amp;F644,Bonuses!$B$1:$G$1006,4,FALSE)),"",INT(VLOOKUP($AB644&amp;"-"&amp;$E644&amp;" "&amp;$F644,Bonuses!$B$1:$G$1006,4,FALSE)))</f>
        <v/>
      </c>
      <c r="AE6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5" spans="1:31" s="52" customFormat="1" x14ac:dyDescent="0.25">
      <c r="A645" s="52">
        <v>17607</v>
      </c>
      <c r="B645" s="52">
        <f>COUNTIF(Table5[PID],A645)</f>
        <v>1</v>
      </c>
      <c r="C645" s="52" t="str">
        <f>IF(COUNTIF(Table3[[#All],[PID]],A645)&gt;0,"P","B")</f>
        <v>P</v>
      </c>
      <c r="D645" s="61" t="str">
        <f>IF($C645="B",INDEX(Batters[[#All],[POS]],MATCH(Table5[[#This Row],[PID]],Batters[[#All],[PID]],0)),INDEX(Table3[[#All],[POS]],MATCH(Table5[[#This Row],[PID]],Table3[[#All],[PID]],0)))</f>
        <v>RP</v>
      </c>
      <c r="E645" s="54" t="str">
        <f>IF($C645="B",INDEX(Batters[[#All],[First]],MATCH(Table5[[#This Row],[PID]],Batters[[#All],[PID]],0)),INDEX(Table3[[#All],[First]],MATCH(Table5[[#This Row],[PID]],Table3[[#All],[PID]],0)))</f>
        <v>Norbert</v>
      </c>
      <c r="F645" s="52" t="str">
        <f>IF($C645="B",INDEX(Batters[[#All],[Last]],MATCH(A645,Batters[[#All],[PID]],0)),INDEX(Table3[[#All],[Last]],MATCH(A645,Table3[[#All],[PID]],0)))</f>
        <v>Holmes</v>
      </c>
      <c r="G645" s="58">
        <f>IF($C645="B",INDEX(Batters[[#All],[Age]],MATCH(Table5[[#This Row],[PID]],Batters[[#All],[PID]],0)),INDEX(Table3[[#All],[Age]],MATCH(Table5[[#This Row],[PID]],Table3[[#All],[PID]],0)))</f>
        <v>18</v>
      </c>
      <c r="H645" s="54" t="str">
        <f>IF($C645="B",INDEX(Batters[[#All],[B]],MATCH(Table5[[#This Row],[PID]],Batters[[#All],[PID]],0)),INDEX(Table3[[#All],[B]],MATCH(Table5[[#This Row],[PID]],Table3[[#All],[PID]],0)))</f>
        <v>L</v>
      </c>
      <c r="I645" s="54" t="str">
        <f>IF($C645="B",INDEX(Batters[[#All],[T]],MATCH(Table5[[#This Row],[PID]],Batters[[#All],[PID]],0)),INDEX(Table3[[#All],[T]],MATCH(Table5[[#This Row],[PID]],Table3[[#All],[PID]],0)))</f>
        <v>L</v>
      </c>
      <c r="J645" s="54" t="str">
        <f>IF($C645="B",INDEX(Batters[[#All],[WE]],MATCH(Table5[[#This Row],[PID]],Batters[[#All],[PID]],0)),INDEX(Table3[[#All],[WE]],MATCH(Table5[[#This Row],[PID]],Table3[[#All],[PID]],0)))</f>
        <v>Normal</v>
      </c>
      <c r="K645" s="54" t="str">
        <f>IF($C645="B",INDEX(Batters[[#All],[INT]],MATCH(Table5[[#This Row],[PID]],Batters[[#All],[PID]],0)),INDEX(Table3[[#All],[INT]],MATCH(Table5[[#This Row],[PID]],Table3[[#All],[PID]],0)))</f>
        <v>Normal</v>
      </c>
      <c r="L645" s="62">
        <f>IF($C645="B",INDEX(Batters[[#All],[CON P]],MATCH(Table5[[#This Row],[PID]],Batters[[#All],[PID]],0)),INDEX(Table3[[#All],[STU P]],MATCH(Table5[[#This Row],[PID]],Table3[[#All],[PID]],0)))</f>
        <v>4</v>
      </c>
      <c r="M645" s="58">
        <f>IF($C645="B",INDEX(Batters[[#All],[GAP P]],MATCH(Table5[[#This Row],[PID]],Batters[[#All],[PID]],0)),INDEX(Table3[[#All],[MOV P]],MATCH(Table5[[#This Row],[PID]],Table3[[#All],[PID]],0)))</f>
        <v>2</v>
      </c>
      <c r="N645" s="58">
        <f>IF($C645="B",INDEX(Batters[[#All],[POW P]],MATCH(Table5[[#This Row],[PID]],Batters[[#All],[PID]],0)),INDEX(Table3[[#All],[CON P]],MATCH(Table5[[#This Row],[PID]],Table3[[#All],[PID]],0)))</f>
        <v>2</v>
      </c>
      <c r="O645" s="58" t="str">
        <f>IF($C645="B",INDEX(Batters[[#All],[EYE P]],MATCH(Table5[[#This Row],[PID]],Batters[[#All],[PID]],0)),INDEX(Table3[[#All],[VELO]],MATCH(Table5[[#This Row],[PID]],Table3[[#All],[PID]],0)))</f>
        <v>88-90 Mph</v>
      </c>
      <c r="P645" s="58">
        <f>IF($C645="B",INDEX(Batters[[#All],[K P]],MATCH(Table5[[#This Row],[PID]],Batters[[#All],[PID]],0)),INDEX(Table3[[#All],[STM]],MATCH(Table5[[#This Row],[PID]],Table3[[#All],[PID]],0)))</f>
        <v>7</v>
      </c>
      <c r="Q645" s="63">
        <f>IF($C645="B",INDEX(Batters[[#All],[Tot]],MATCH(Table5[[#This Row],[PID]],Batters[[#All],[PID]],0)),INDEX(Table3[[#All],[Tot]],MATCH(Table5[[#This Row],[PID]],Table3[[#All],[PID]],0)))</f>
        <v>28.354463136217525</v>
      </c>
      <c r="R645" s="54">
        <f>IF($C645="B",INDEX(Batters[[#All],[zScore]],MATCH(Table5[[#This Row],[PID]],Batters[[#All],[PID]],0)),INDEX(Table3[[#All],[zScore]],MATCH(Table5[[#This Row],[PID]],Table3[[#All],[PID]],0)))</f>
        <v>-0.40054480204333376</v>
      </c>
      <c r="S645" s="60" t="str">
        <f>IF($C645="B",INDEX(Batters[[#All],[DEM]],MATCH(Table5[[#This Row],[PID]],Batters[[#All],[PID]],0)),INDEX(Table3[[#All],[DEM]],MATCH(Table5[[#This Row],[PID]],Table3[[#All],[PID]],0)))</f>
        <v>$65k</v>
      </c>
      <c r="T645" s="64">
        <f>IF($C645="B",VLOOKUP($A645,Bat!$A$4:$AU$1417,46,FALSE),VLOOKUP($A645,Pit!$A$4:$BD$570,55,FALSE))</f>
        <v>0</v>
      </c>
      <c r="U645" s="52">
        <f>IF($C645="B",VLOOKUP($A645,Bat!$A$4:$BA$1417,47,FALSE),VLOOKUP($A645,Pit!$A$4:$BF$570,56,FALSE))</f>
        <v>0</v>
      </c>
      <c r="V645" s="52">
        <f>IF($C645="B",VLOOKUP($A645,Bat!$A$4:$BA$1417,48,FALSE),VLOOKUP($A645,Pit!$A$4:$BF$570,57,FALSE))</f>
        <v>0</v>
      </c>
      <c r="W645" s="52">
        <f>Table5[[#This Row],[posRnk]]+Table5[[#This Row],[zRnk]]+IF($W$3&lt;&gt;Table5[[#This Row],[Type]],50,0)</f>
        <v>691</v>
      </c>
      <c r="X645" s="53">
        <f>RANK(Table5[[#This Row],[zScore]],Table5[[#All],[zScore]])</f>
        <v>641</v>
      </c>
      <c r="Y645" s="52" t="str">
        <f>IFERROR(INDEX(DraftResults[[#All],[OVR]],MATCH(Table5[[#This Row],[PID]],DraftResults[[#All],[Player ID]],0)),"")</f>
        <v/>
      </c>
      <c r="Z6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5" s="52" t="str">
        <f>IFERROR(INDEX(DraftResults[[#All],[Pick in Round]],MATCH(Table5[[#This Row],[PID]],DraftResults[[#All],[Player ID]],0)),"")</f>
        <v/>
      </c>
      <c r="AB645" s="52" t="str">
        <f>IFERROR(INDEX(DraftResults[[#All],[Team Name]],MATCH(Table5[[#This Row],[PID]],DraftResults[[#All],[Player ID]],0)),"")</f>
        <v/>
      </c>
      <c r="AC645" s="52" t="str">
        <f>IF(Table5[[#This Row],[Ovr]]="","",IF(Table5[[#This Row],[cmbList]]="","",Table5[[#This Row],[cmbList]]-Table5[[#This Row],[Ovr]]))</f>
        <v/>
      </c>
      <c r="AD645" s="56" t="str">
        <f>IF(ISERROR(VLOOKUP($AB645&amp;"-"&amp;$E645&amp;" "&amp;F645,Bonuses!$B$1:$G$1006,4,FALSE)),"",INT(VLOOKUP($AB645&amp;"-"&amp;$E645&amp;" "&amp;$F645,Bonuses!$B$1:$G$1006,4,FALSE)))</f>
        <v/>
      </c>
      <c r="AE6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6" spans="1:31" s="52" customFormat="1" x14ac:dyDescent="0.25">
      <c r="A646" s="52">
        <v>6437</v>
      </c>
      <c r="B646" s="52">
        <f>COUNTIF(Table5[PID],A646)</f>
        <v>1</v>
      </c>
      <c r="C646" s="52" t="str">
        <f>IF(COUNTIF(Table3[[#All],[PID]],A646)&gt;0,"P","B")</f>
        <v>P</v>
      </c>
      <c r="D646" s="61" t="str">
        <f>IF($C646="B",INDEX(Batters[[#All],[POS]],MATCH(Table5[[#This Row],[PID]],Batters[[#All],[PID]],0)),INDEX(Table3[[#All],[POS]],MATCH(Table5[[#This Row],[PID]],Table3[[#All],[PID]],0)))</f>
        <v>RP</v>
      </c>
      <c r="E646" s="54" t="str">
        <f>IF($C646="B",INDEX(Batters[[#All],[First]],MATCH(Table5[[#This Row],[PID]],Batters[[#All],[PID]],0)),INDEX(Table3[[#All],[First]],MATCH(Table5[[#This Row],[PID]],Table3[[#All],[PID]],0)))</f>
        <v>Kazuyuki</v>
      </c>
      <c r="F646" s="52" t="str">
        <f>IF($C646="B",INDEX(Batters[[#All],[Last]],MATCH(A646,Batters[[#All],[PID]],0)),INDEX(Table3[[#All],[Last]],MATCH(A646,Table3[[#All],[PID]],0)))</f>
        <v>Abe</v>
      </c>
      <c r="G646" s="58">
        <f>IF($C646="B",INDEX(Batters[[#All],[Age]],MATCH(Table5[[#This Row],[PID]],Batters[[#All],[PID]],0)),INDEX(Table3[[#All],[Age]],MATCH(Table5[[#This Row],[PID]],Table3[[#All],[PID]],0)))</f>
        <v>18</v>
      </c>
      <c r="H646" s="54" t="str">
        <f>IF($C646="B",INDEX(Batters[[#All],[B]],MATCH(Table5[[#This Row],[PID]],Batters[[#All],[PID]],0)),INDEX(Table3[[#All],[B]],MATCH(Table5[[#This Row],[PID]],Table3[[#All],[PID]],0)))</f>
        <v>R</v>
      </c>
      <c r="I646" s="54" t="str">
        <f>IF($C646="B",INDEX(Batters[[#All],[T]],MATCH(Table5[[#This Row],[PID]],Batters[[#All],[PID]],0)),INDEX(Table3[[#All],[T]],MATCH(Table5[[#This Row],[PID]],Table3[[#All],[PID]],0)))</f>
        <v>R</v>
      </c>
      <c r="J646" s="54" t="str">
        <f>IF($C646="B",INDEX(Batters[[#All],[WE]],MATCH(Table5[[#This Row],[PID]],Batters[[#All],[PID]],0)),INDEX(Table3[[#All],[WE]],MATCH(Table5[[#This Row],[PID]],Table3[[#All],[PID]],0)))</f>
        <v>Normal</v>
      </c>
      <c r="K646" s="54" t="str">
        <f>IF($C646="B",INDEX(Batters[[#All],[INT]],MATCH(Table5[[#This Row],[PID]],Batters[[#All],[PID]],0)),INDEX(Table3[[#All],[INT]],MATCH(Table5[[#This Row],[PID]],Table3[[#All],[PID]],0)))</f>
        <v>Low</v>
      </c>
      <c r="L646" s="62">
        <f>IF($C646="B",INDEX(Batters[[#All],[CON P]],MATCH(Table5[[#This Row],[PID]],Batters[[#All],[PID]],0)),INDEX(Table3[[#All],[STU P]],MATCH(Table5[[#This Row],[PID]],Table3[[#All],[PID]],0)))</f>
        <v>5</v>
      </c>
      <c r="M646" s="58">
        <f>IF($C646="B",INDEX(Batters[[#All],[GAP P]],MATCH(Table5[[#This Row],[PID]],Batters[[#All],[PID]],0)),INDEX(Table3[[#All],[MOV P]],MATCH(Table5[[#This Row],[PID]],Table3[[#All],[PID]],0)))</f>
        <v>2</v>
      </c>
      <c r="N646" s="58">
        <f>IF($C646="B",INDEX(Batters[[#All],[POW P]],MATCH(Table5[[#This Row],[PID]],Batters[[#All],[PID]],0)),INDEX(Table3[[#All],[CON P]],MATCH(Table5[[#This Row],[PID]],Table3[[#All],[PID]],0)))</f>
        <v>1</v>
      </c>
      <c r="O646" s="58" t="str">
        <f>IF($C646="B",INDEX(Batters[[#All],[EYE P]],MATCH(Table5[[#This Row],[PID]],Batters[[#All],[PID]],0)),INDEX(Table3[[#All],[VELO]],MATCH(Table5[[#This Row],[PID]],Table3[[#All],[PID]],0)))</f>
        <v>88-90 Mph</v>
      </c>
      <c r="P646" s="58">
        <f>IF($C646="B",INDEX(Batters[[#All],[K P]],MATCH(Table5[[#This Row],[PID]],Batters[[#All],[PID]],0)),INDEX(Table3[[#All],[STM]],MATCH(Table5[[#This Row],[PID]],Table3[[#All],[PID]],0)))</f>
        <v>8</v>
      </c>
      <c r="Q646" s="63">
        <f>IF($C646="B",INDEX(Batters[[#All],[Tot]],MATCH(Table5[[#This Row],[PID]],Batters[[#All],[PID]],0)),INDEX(Table3[[#All],[Tot]],MATCH(Table5[[#This Row],[PID]],Table3[[#All],[PID]],0)))</f>
        <v>28.351878305318785</v>
      </c>
      <c r="R646" s="54">
        <f>IF($C646="B",INDEX(Batters[[#All],[zScore]],MATCH(Table5[[#This Row],[PID]],Batters[[#All],[PID]],0)),INDEX(Table3[[#All],[zScore]],MATCH(Table5[[#This Row],[PID]],Table3[[#All],[PID]],0)))</f>
        <v>-0.4007818420845477</v>
      </c>
      <c r="S646" s="60" t="str">
        <f>IF($C646="B",INDEX(Batters[[#All],[DEM]],MATCH(Table5[[#This Row],[PID]],Batters[[#All],[PID]],0)),INDEX(Table3[[#All],[DEM]],MATCH(Table5[[#This Row],[PID]],Table3[[#All],[PID]],0)))</f>
        <v>$70k</v>
      </c>
      <c r="T646" s="64">
        <f>IF($C646="B",VLOOKUP($A646,Bat!$A$4:$AU$1417,46,FALSE),VLOOKUP($A646,Pit!$A$4:$BD$570,55,FALSE))</f>
        <v>0</v>
      </c>
      <c r="U646" s="52">
        <f>IF($C646="B",VLOOKUP($A646,Bat!$A$4:$BA$1417,47,FALSE),VLOOKUP($A646,Pit!$A$4:$BF$570,56,FALSE))</f>
        <v>0</v>
      </c>
      <c r="V646" s="52">
        <f>IF($C646="B",VLOOKUP($A646,Bat!$A$4:$BA$1417,48,FALSE),VLOOKUP($A646,Pit!$A$4:$BF$570,57,FALSE))</f>
        <v>0</v>
      </c>
      <c r="W646" s="52">
        <f>Table5[[#This Row],[posRnk]]+Table5[[#This Row],[zRnk]]+IF($W$3&lt;&gt;Table5[[#This Row],[Type]],50,0)</f>
        <v>692</v>
      </c>
      <c r="X646" s="53">
        <f>RANK(Table5[[#This Row],[zScore]],Table5[[#All],[zScore]])</f>
        <v>642</v>
      </c>
      <c r="Y646" s="52" t="str">
        <f>IFERROR(INDEX(DraftResults[[#All],[OVR]],MATCH(Table5[[#This Row],[PID]],DraftResults[[#All],[Player ID]],0)),"")</f>
        <v/>
      </c>
      <c r="Z6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6" s="52" t="str">
        <f>IFERROR(INDEX(DraftResults[[#All],[Pick in Round]],MATCH(Table5[[#This Row],[PID]],DraftResults[[#All],[Player ID]],0)),"")</f>
        <v/>
      </c>
      <c r="AB646" s="52" t="str">
        <f>IFERROR(INDEX(DraftResults[[#All],[Team Name]],MATCH(Table5[[#This Row],[PID]],DraftResults[[#All],[Player ID]],0)),"")</f>
        <v/>
      </c>
      <c r="AC646" s="52" t="str">
        <f>IF(Table5[[#This Row],[Ovr]]="","",IF(Table5[[#This Row],[cmbList]]="","",Table5[[#This Row],[cmbList]]-Table5[[#This Row],[Ovr]]))</f>
        <v/>
      </c>
      <c r="AD646" s="56" t="str">
        <f>IF(ISERROR(VLOOKUP($AB646&amp;"-"&amp;$E646&amp;" "&amp;F646,Bonuses!$B$1:$G$1006,4,FALSE)),"",INT(VLOOKUP($AB646&amp;"-"&amp;$E646&amp;" "&amp;$F646,Bonuses!$B$1:$G$1006,4,FALSE)))</f>
        <v/>
      </c>
      <c r="AE6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7" spans="1:31" s="52" customFormat="1" x14ac:dyDescent="0.25">
      <c r="A647" s="52">
        <v>10401</v>
      </c>
      <c r="B647" s="52">
        <f>COUNTIF(Table5[PID],A647)</f>
        <v>1</v>
      </c>
      <c r="C647" s="52" t="str">
        <f>IF(COUNTIF(Table3[[#All],[PID]],A647)&gt;0,"P","B")</f>
        <v>B</v>
      </c>
      <c r="D647" s="61" t="str">
        <f>IF($C647="B",INDEX(Batters[[#All],[POS]],MATCH(Table5[[#This Row],[PID]],Batters[[#All],[PID]],0)),INDEX(Table3[[#All],[POS]],MATCH(Table5[[#This Row],[PID]],Table3[[#All],[PID]],0)))</f>
        <v>3B</v>
      </c>
      <c r="E647" s="54" t="str">
        <f>IF($C647="B",INDEX(Batters[[#All],[First]],MATCH(Table5[[#This Row],[PID]],Batters[[#All],[PID]],0)),INDEX(Table3[[#All],[First]],MATCH(Table5[[#This Row],[PID]],Table3[[#All],[PID]],0)))</f>
        <v>River</v>
      </c>
      <c r="F647" s="52" t="str">
        <f>IF($C647="B",INDEX(Batters[[#All],[Last]],MATCH(A647,Batters[[#All],[PID]],0)),INDEX(Table3[[#All],[Last]],MATCH(A647,Table3[[#All],[PID]],0)))</f>
        <v>Edwards</v>
      </c>
      <c r="G647" s="58">
        <f>IF($C647="B",INDEX(Batters[[#All],[Age]],MATCH(Table5[[#This Row],[PID]],Batters[[#All],[PID]],0)),INDEX(Table3[[#All],[Age]],MATCH(Table5[[#This Row],[PID]],Table3[[#All],[PID]],0)))</f>
        <v>21</v>
      </c>
      <c r="H647" s="54" t="str">
        <f>IF($C647="B",INDEX(Batters[[#All],[B]],MATCH(Table5[[#This Row],[PID]],Batters[[#All],[PID]],0)),INDEX(Table3[[#All],[B]],MATCH(Table5[[#This Row],[PID]],Table3[[#All],[PID]],0)))</f>
        <v>R</v>
      </c>
      <c r="I647" s="54" t="str">
        <f>IF($C647="B",INDEX(Batters[[#All],[T]],MATCH(Table5[[#This Row],[PID]],Batters[[#All],[PID]],0)),INDEX(Table3[[#All],[T]],MATCH(Table5[[#This Row],[PID]],Table3[[#All],[PID]],0)))</f>
        <v>R</v>
      </c>
      <c r="J647" s="54" t="str">
        <f>IF($C647="B",INDEX(Batters[[#All],[WE]],MATCH(Table5[[#This Row],[PID]],Batters[[#All],[PID]],0)),INDEX(Table3[[#All],[WE]],MATCH(Table5[[#This Row],[PID]],Table3[[#All],[PID]],0)))</f>
        <v>Low</v>
      </c>
      <c r="K647" s="54" t="str">
        <f>IF($C647="B",INDEX(Batters[[#All],[INT]],MATCH(Table5[[#This Row],[PID]],Batters[[#All],[PID]],0)),INDEX(Table3[[#All],[INT]],MATCH(Table5[[#This Row],[PID]],Table3[[#All],[PID]],0)))</f>
        <v>Normal</v>
      </c>
      <c r="L647" s="62">
        <f>IF($C647="B",INDEX(Batters[[#All],[CON P]],MATCH(Table5[[#This Row],[PID]],Batters[[#All],[PID]],0)),INDEX(Table3[[#All],[STU P]],MATCH(Table5[[#This Row],[PID]],Table3[[#All],[PID]],0)))</f>
        <v>3</v>
      </c>
      <c r="M647" s="58">
        <f>IF($C647="B",INDEX(Batters[[#All],[GAP P]],MATCH(Table5[[#This Row],[PID]],Batters[[#All],[PID]],0)),INDEX(Table3[[#All],[MOV P]],MATCH(Table5[[#This Row],[PID]],Table3[[#All],[PID]],0)))</f>
        <v>4</v>
      </c>
      <c r="N647" s="58">
        <f>IF($C647="B",INDEX(Batters[[#All],[POW P]],MATCH(Table5[[#This Row],[PID]],Batters[[#All],[PID]],0)),INDEX(Table3[[#All],[CON P]],MATCH(Table5[[#This Row],[PID]],Table3[[#All],[PID]],0)))</f>
        <v>4</v>
      </c>
      <c r="O647" s="58">
        <f>IF($C647="B",INDEX(Batters[[#All],[EYE P]],MATCH(Table5[[#This Row],[PID]],Batters[[#All],[PID]],0)),INDEX(Table3[[#All],[VELO]],MATCH(Table5[[#This Row],[PID]],Table3[[#All],[PID]],0)))</f>
        <v>5</v>
      </c>
      <c r="P647" s="58">
        <f>IF($C647="B",INDEX(Batters[[#All],[K P]],MATCH(Table5[[#This Row],[PID]],Batters[[#All],[PID]],0)),INDEX(Table3[[#All],[STM]],MATCH(Table5[[#This Row],[PID]],Table3[[#All],[PID]],0)))</f>
        <v>3</v>
      </c>
      <c r="Q647" s="63">
        <f>IF($C647="B",INDEX(Batters[[#All],[Tot]],MATCH(Table5[[#This Row],[PID]],Batters[[#All],[PID]],0)),INDEX(Table3[[#All],[Tot]],MATCH(Table5[[#This Row],[PID]],Table3[[#All],[PID]],0)))</f>
        <v>38.061883701875452</v>
      </c>
      <c r="R647" s="54">
        <f>IF($C647="B",INDEX(Batters[[#All],[zScore]],MATCH(Table5[[#This Row],[PID]],Batters[[#All],[PID]],0)),INDEX(Table3[[#All],[zScore]],MATCH(Table5[[#This Row],[PID]],Table3[[#All],[PID]],0)))</f>
        <v>-0.40227048945761557</v>
      </c>
      <c r="S647" s="60" t="str">
        <f>IF($C647="B",INDEX(Batters[[#All],[DEM]],MATCH(Table5[[#This Row],[PID]],Batters[[#All],[PID]],0)),INDEX(Table3[[#All],[DEM]],MATCH(Table5[[#This Row],[PID]],Table3[[#All],[PID]],0)))</f>
        <v>$90k</v>
      </c>
      <c r="T647" s="64">
        <f>IF($C647="B",VLOOKUP($A647,Bat!$A$4:$AU$1417,46,FALSE),VLOOKUP($A647,Pit!$A$4:$BD$570,55,FALSE))</f>
        <v>0</v>
      </c>
      <c r="U647" s="52">
        <f>IF($C647="B",VLOOKUP($A647,Bat!$A$4:$BA$1417,47,FALSE),VLOOKUP($A647,Pit!$A$4:$BF$570,56,FALSE))</f>
        <v>0</v>
      </c>
      <c r="V647" s="52">
        <f>IF($C647="B",VLOOKUP($A647,Bat!$A$4:$BA$1417,48,FALSE),VLOOKUP($A647,Pit!$A$4:$BF$570,57,FALSE))</f>
        <v>0</v>
      </c>
      <c r="W647" s="52">
        <f>Table5[[#This Row],[posRnk]]+Table5[[#This Row],[zRnk]]+IF($W$3&lt;&gt;Table5[[#This Row],[Type]],50,0)</f>
        <v>693</v>
      </c>
      <c r="X647" s="53">
        <f>RANK(Table5[[#This Row],[zScore]],Table5[[#All],[zScore]])</f>
        <v>643</v>
      </c>
      <c r="Y647" s="52" t="str">
        <f>IFERROR(INDEX(DraftResults[[#All],[OVR]],MATCH(Table5[[#This Row],[PID]],DraftResults[[#All],[Player ID]],0)),"")</f>
        <v/>
      </c>
      <c r="Z6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7" s="52" t="str">
        <f>IFERROR(INDEX(DraftResults[[#All],[Pick in Round]],MATCH(Table5[[#This Row],[PID]],DraftResults[[#All],[Player ID]],0)),"")</f>
        <v/>
      </c>
      <c r="AB647" s="52" t="str">
        <f>IFERROR(INDEX(DraftResults[[#All],[Team Name]],MATCH(Table5[[#This Row],[PID]],DraftResults[[#All],[Player ID]],0)),"")</f>
        <v/>
      </c>
      <c r="AC647" s="52" t="str">
        <f>IF(Table5[[#This Row],[Ovr]]="","",IF(Table5[[#This Row],[cmbList]]="","",Table5[[#This Row],[cmbList]]-Table5[[#This Row],[Ovr]]))</f>
        <v/>
      </c>
      <c r="AD647" s="56" t="str">
        <f>IF(ISERROR(VLOOKUP($AB647&amp;"-"&amp;$E647&amp;" "&amp;F647,Bonuses!$B$1:$G$1006,4,FALSE)),"",INT(VLOOKUP($AB647&amp;"-"&amp;$E647&amp;" "&amp;$F647,Bonuses!$B$1:$G$1006,4,FALSE)))</f>
        <v/>
      </c>
      <c r="AE6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8" spans="1:31" s="52" customFormat="1" x14ac:dyDescent="0.25">
      <c r="A648" s="52">
        <v>8900</v>
      </c>
      <c r="B648" s="52">
        <f>COUNTIF(Table5[PID],A648)</f>
        <v>1</v>
      </c>
      <c r="C648" s="52" t="str">
        <f>IF(COUNTIF(Table3[[#All],[PID]],A648)&gt;0,"P","B")</f>
        <v>P</v>
      </c>
      <c r="D648" s="61" t="str">
        <f>IF($C648="B",INDEX(Batters[[#All],[POS]],MATCH(Table5[[#This Row],[PID]],Batters[[#All],[PID]],0)),INDEX(Table3[[#All],[POS]],MATCH(Table5[[#This Row],[PID]],Table3[[#All],[PID]],0)))</f>
        <v>RP</v>
      </c>
      <c r="E648" s="54" t="str">
        <f>IF($C648="B",INDEX(Batters[[#All],[First]],MATCH(Table5[[#This Row],[PID]],Batters[[#All],[PID]],0)),INDEX(Table3[[#All],[First]],MATCH(Table5[[#This Row],[PID]],Table3[[#All],[PID]],0)))</f>
        <v>Joseph</v>
      </c>
      <c r="F648" s="52" t="str">
        <f>IF($C648="B",INDEX(Batters[[#All],[Last]],MATCH(A648,Batters[[#All],[PID]],0)),INDEX(Table3[[#All],[Last]],MATCH(A648,Table3[[#All],[PID]],0)))</f>
        <v>Olson</v>
      </c>
      <c r="G648" s="58">
        <f>IF($C648="B",INDEX(Batters[[#All],[Age]],MATCH(Table5[[#This Row],[PID]],Batters[[#All],[PID]],0)),INDEX(Table3[[#All],[Age]],MATCH(Table5[[#This Row],[PID]],Table3[[#All],[PID]],0)))</f>
        <v>18</v>
      </c>
      <c r="H648" s="54" t="str">
        <f>IF($C648="B",INDEX(Batters[[#All],[B]],MATCH(Table5[[#This Row],[PID]],Batters[[#All],[PID]],0)),INDEX(Table3[[#All],[B]],MATCH(Table5[[#This Row],[PID]],Table3[[#All],[PID]],0)))</f>
        <v>R</v>
      </c>
      <c r="I648" s="54" t="str">
        <f>IF($C648="B",INDEX(Batters[[#All],[T]],MATCH(Table5[[#This Row],[PID]],Batters[[#All],[PID]],0)),INDEX(Table3[[#All],[T]],MATCH(Table5[[#This Row],[PID]],Table3[[#All],[PID]],0)))</f>
        <v>R</v>
      </c>
      <c r="J648" s="54" t="str">
        <f>IF($C648="B",INDEX(Batters[[#All],[WE]],MATCH(Table5[[#This Row],[PID]],Batters[[#All],[PID]],0)),INDEX(Table3[[#All],[WE]],MATCH(Table5[[#This Row],[PID]],Table3[[#All],[PID]],0)))</f>
        <v>Low</v>
      </c>
      <c r="K648" s="54" t="str">
        <f>IF($C648="B",INDEX(Batters[[#All],[INT]],MATCH(Table5[[#This Row],[PID]],Batters[[#All],[PID]],0)),INDEX(Table3[[#All],[INT]],MATCH(Table5[[#This Row],[PID]],Table3[[#All],[PID]],0)))</f>
        <v>Normal</v>
      </c>
      <c r="L648" s="62">
        <f>IF($C648="B",INDEX(Batters[[#All],[CON P]],MATCH(Table5[[#This Row],[PID]],Batters[[#All],[PID]],0)),INDEX(Table3[[#All],[STU P]],MATCH(Table5[[#This Row],[PID]],Table3[[#All],[PID]],0)))</f>
        <v>3</v>
      </c>
      <c r="M648" s="58">
        <f>IF($C648="B",INDEX(Batters[[#All],[GAP P]],MATCH(Table5[[#This Row],[PID]],Batters[[#All],[PID]],0)),INDEX(Table3[[#All],[MOV P]],MATCH(Table5[[#This Row],[PID]],Table3[[#All],[PID]],0)))</f>
        <v>2</v>
      </c>
      <c r="N648" s="58">
        <f>IF($C648="B",INDEX(Batters[[#All],[POW P]],MATCH(Table5[[#This Row],[PID]],Batters[[#All],[PID]],0)),INDEX(Table3[[#All],[CON P]],MATCH(Table5[[#This Row],[PID]],Table3[[#All],[PID]],0)))</f>
        <v>2</v>
      </c>
      <c r="O648" s="58" t="str">
        <f>IF($C648="B",INDEX(Batters[[#All],[EYE P]],MATCH(Table5[[#This Row],[PID]],Batters[[#All],[PID]],0)),INDEX(Table3[[#All],[VELO]],MATCH(Table5[[#This Row],[PID]],Table3[[#All],[PID]],0)))</f>
        <v>86-88 Mph</v>
      </c>
      <c r="P648" s="58">
        <f>IF($C648="B",INDEX(Batters[[#All],[K P]],MATCH(Table5[[#This Row],[PID]],Batters[[#All],[PID]],0)),INDEX(Table3[[#All],[STM]],MATCH(Table5[[#This Row],[PID]],Table3[[#All],[PID]],0)))</f>
        <v>3</v>
      </c>
      <c r="Q648" s="63">
        <f>IF($C648="B",INDEX(Batters[[#All],[Tot]],MATCH(Table5[[#This Row],[PID]],Batters[[#All],[PID]],0)),INDEX(Table3[[#All],[Tot]],MATCH(Table5[[#This Row],[PID]],Table3[[#All],[PID]],0)))</f>
        <v>25.788707788971834</v>
      </c>
      <c r="R648" s="54">
        <f>IF($C648="B",INDEX(Batters[[#All],[zScore]],MATCH(Table5[[#This Row],[PID]],Batters[[#All],[PID]],0)),INDEX(Table3[[#All],[zScore]],MATCH(Table5[[#This Row],[PID]],Table3[[#All],[PID]],0)))</f>
        <v>-0.40372888595443773</v>
      </c>
      <c r="S648" s="60" t="str">
        <f>IF($C648="B",INDEX(Batters[[#All],[DEM]],MATCH(Table5[[#This Row],[PID]],Batters[[#All],[PID]],0)),INDEX(Table3[[#All],[DEM]],MATCH(Table5[[#This Row],[PID]],Table3[[#All],[PID]],0)))</f>
        <v>$100k</v>
      </c>
      <c r="T648" s="64">
        <f>IF($C648="B",VLOOKUP($A648,Bat!$A$4:$AU$1417,46,FALSE),VLOOKUP($A648,Pit!$A$4:$BD$570,55,FALSE))</f>
        <v>0</v>
      </c>
      <c r="U648" s="52">
        <f>IF($C648="B",VLOOKUP($A648,Bat!$A$4:$BA$1417,47,FALSE),VLOOKUP($A648,Pit!$A$4:$BF$570,56,FALSE))</f>
        <v>0</v>
      </c>
      <c r="V648" s="52">
        <f>IF($C648="B",VLOOKUP($A648,Bat!$A$4:$BA$1417,48,FALSE),VLOOKUP($A648,Pit!$A$4:$BF$570,57,FALSE))</f>
        <v>0</v>
      </c>
      <c r="W648" s="52">
        <f>Table5[[#This Row],[posRnk]]+Table5[[#This Row],[zRnk]]+IF($W$3&lt;&gt;Table5[[#This Row],[Type]],50,0)</f>
        <v>694</v>
      </c>
      <c r="X648" s="53">
        <f>RANK(Table5[[#This Row],[zScore]],Table5[[#All],[zScore]])</f>
        <v>644</v>
      </c>
      <c r="Y648" s="52" t="str">
        <f>IFERROR(INDEX(DraftResults[[#All],[OVR]],MATCH(Table5[[#This Row],[PID]],DraftResults[[#All],[Player ID]],0)),"")</f>
        <v/>
      </c>
      <c r="Z6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8" s="52" t="str">
        <f>IFERROR(INDEX(DraftResults[[#All],[Pick in Round]],MATCH(Table5[[#This Row],[PID]],DraftResults[[#All],[Player ID]],0)),"")</f>
        <v/>
      </c>
      <c r="AB648" s="52" t="str">
        <f>IFERROR(INDEX(DraftResults[[#All],[Team Name]],MATCH(Table5[[#This Row],[PID]],DraftResults[[#All],[Player ID]],0)),"")</f>
        <v/>
      </c>
      <c r="AC648" s="52" t="str">
        <f>IF(Table5[[#This Row],[Ovr]]="","",IF(Table5[[#This Row],[cmbList]]="","",Table5[[#This Row],[cmbList]]-Table5[[#This Row],[Ovr]]))</f>
        <v/>
      </c>
      <c r="AD648" s="56" t="str">
        <f>IF(ISERROR(VLOOKUP($AB648&amp;"-"&amp;$E648&amp;" "&amp;F648,Bonuses!$B$1:$G$1006,4,FALSE)),"",INT(VLOOKUP($AB648&amp;"-"&amp;$E648&amp;" "&amp;$F648,Bonuses!$B$1:$G$1006,4,FALSE)))</f>
        <v/>
      </c>
      <c r="AE6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9" spans="1:31" s="52" customFormat="1" x14ac:dyDescent="0.25">
      <c r="A649" s="52">
        <v>6358</v>
      </c>
      <c r="B649" s="52">
        <f>COUNTIF(Table5[PID],A649)</f>
        <v>1</v>
      </c>
      <c r="C649" s="52" t="str">
        <f>IF(COUNTIF(Table3[[#All],[PID]],A649)&gt;0,"P","B")</f>
        <v>P</v>
      </c>
      <c r="D649" s="61" t="str">
        <f>IF($C649="B",INDEX(Batters[[#All],[POS]],MATCH(Table5[[#This Row],[PID]],Batters[[#All],[PID]],0)),INDEX(Table3[[#All],[POS]],MATCH(Table5[[#This Row],[PID]],Table3[[#All],[PID]],0)))</f>
        <v>RP</v>
      </c>
      <c r="E649" s="54" t="str">
        <f>IF($C649="B",INDEX(Batters[[#All],[First]],MATCH(Table5[[#This Row],[PID]],Batters[[#All],[PID]],0)),INDEX(Table3[[#All],[First]],MATCH(Table5[[#This Row],[PID]],Table3[[#All],[PID]],0)))</f>
        <v>Tokutomi</v>
      </c>
      <c r="F649" s="52" t="str">
        <f>IF($C649="B",INDEX(Batters[[#All],[Last]],MATCH(A649,Batters[[#All],[PID]],0)),INDEX(Table3[[#All],[Last]],MATCH(A649,Table3[[#All],[PID]],0)))</f>
        <v>Masuda</v>
      </c>
      <c r="G649" s="58">
        <f>IF($C649="B",INDEX(Batters[[#All],[Age]],MATCH(Table5[[#This Row],[PID]],Batters[[#All],[PID]],0)),INDEX(Table3[[#All],[Age]],MATCH(Table5[[#This Row],[PID]],Table3[[#All],[PID]],0)))</f>
        <v>18</v>
      </c>
      <c r="H649" s="54" t="str">
        <f>IF($C649="B",INDEX(Batters[[#All],[B]],MATCH(Table5[[#This Row],[PID]],Batters[[#All],[PID]],0)),INDEX(Table3[[#All],[B]],MATCH(Table5[[#This Row],[PID]],Table3[[#All],[PID]],0)))</f>
        <v>R</v>
      </c>
      <c r="I649" s="54" t="str">
        <f>IF($C649="B",INDEX(Batters[[#All],[T]],MATCH(Table5[[#This Row],[PID]],Batters[[#All],[PID]],0)),INDEX(Table3[[#All],[T]],MATCH(Table5[[#This Row],[PID]],Table3[[#All],[PID]],0)))</f>
        <v>R</v>
      </c>
      <c r="J649" s="54" t="str">
        <f>IF($C649="B",INDEX(Batters[[#All],[WE]],MATCH(Table5[[#This Row],[PID]],Batters[[#All],[PID]],0)),INDEX(Table3[[#All],[WE]],MATCH(Table5[[#This Row],[PID]],Table3[[#All],[PID]],0)))</f>
        <v>High</v>
      </c>
      <c r="K649" s="54" t="str">
        <f>IF($C649="B",INDEX(Batters[[#All],[INT]],MATCH(Table5[[#This Row],[PID]],Batters[[#All],[PID]],0)),INDEX(Table3[[#All],[INT]],MATCH(Table5[[#This Row],[PID]],Table3[[#All],[PID]],0)))</f>
        <v>Normal</v>
      </c>
      <c r="L649" s="62">
        <f>IF($C649="B",INDEX(Batters[[#All],[CON P]],MATCH(Table5[[#This Row],[PID]],Batters[[#All],[PID]],0)),INDEX(Table3[[#All],[STU P]],MATCH(Table5[[#This Row],[PID]],Table3[[#All],[PID]],0)))</f>
        <v>3</v>
      </c>
      <c r="M649" s="58">
        <f>IF($C649="B",INDEX(Batters[[#All],[GAP P]],MATCH(Table5[[#This Row],[PID]],Batters[[#All],[PID]],0)),INDEX(Table3[[#All],[MOV P]],MATCH(Table5[[#This Row],[PID]],Table3[[#All],[PID]],0)))</f>
        <v>2</v>
      </c>
      <c r="N649" s="58">
        <f>IF($C649="B",INDEX(Batters[[#All],[POW P]],MATCH(Table5[[#This Row],[PID]],Batters[[#All],[PID]],0)),INDEX(Table3[[#All],[CON P]],MATCH(Table5[[#This Row],[PID]],Table3[[#All],[PID]],0)))</f>
        <v>2</v>
      </c>
      <c r="O649" s="58" t="str">
        <f>IF($C649="B",INDEX(Batters[[#All],[EYE P]],MATCH(Table5[[#This Row],[PID]],Batters[[#All],[PID]],0)),INDEX(Table3[[#All],[VELO]],MATCH(Table5[[#This Row],[PID]],Table3[[#All],[PID]],0)))</f>
        <v>87-89 Mph</v>
      </c>
      <c r="P649" s="58">
        <f>IF($C649="B",INDEX(Batters[[#All],[K P]],MATCH(Table5[[#This Row],[PID]],Batters[[#All],[PID]],0)),INDEX(Table3[[#All],[STM]],MATCH(Table5[[#This Row],[PID]],Table3[[#All],[PID]],0)))</f>
        <v>10</v>
      </c>
      <c r="Q649" s="63">
        <f>IF($C649="B",INDEX(Batters[[#All],[Tot]],MATCH(Table5[[#This Row],[PID]],Batters[[#All],[PID]],0)),INDEX(Table3[[#All],[Tot]],MATCH(Table5[[#This Row],[PID]],Table3[[#All],[PID]],0)))</f>
        <v>25.721698381132224</v>
      </c>
      <c r="R649" s="54">
        <f>IF($C649="B",INDEX(Batters[[#All],[zScore]],MATCH(Table5[[#This Row],[PID]],Batters[[#All],[PID]],0)),INDEX(Table3[[#All],[zScore]],MATCH(Table5[[#This Row],[PID]],Table3[[#All],[PID]],0)))</f>
        <v>-0.40960176479434007</v>
      </c>
      <c r="S649" s="60" t="str">
        <f>IF($C649="B",INDEX(Batters[[#All],[DEM]],MATCH(Table5[[#This Row],[PID]],Batters[[#All],[PID]],0)),INDEX(Table3[[#All],[DEM]],MATCH(Table5[[#This Row],[PID]],Table3[[#All],[PID]],0)))</f>
        <v>$65k</v>
      </c>
      <c r="T649" s="64">
        <f>IF($C649="B",VLOOKUP($A649,Bat!$A$4:$AU$1417,46,FALSE),VLOOKUP($A649,Pit!$A$4:$BD$570,55,FALSE))</f>
        <v>0</v>
      </c>
      <c r="U649" s="52">
        <f>IF($C649="B",VLOOKUP($A649,Bat!$A$4:$BA$1417,47,FALSE),VLOOKUP($A649,Pit!$A$4:$BF$570,56,FALSE))</f>
        <v>0</v>
      </c>
      <c r="V649" s="52">
        <f>IF($C649="B",VLOOKUP($A649,Bat!$A$4:$BA$1417,48,FALSE),VLOOKUP($A649,Pit!$A$4:$BF$570,57,FALSE))</f>
        <v>0</v>
      </c>
      <c r="W649" s="52">
        <f>Table5[[#This Row],[posRnk]]+Table5[[#This Row],[zRnk]]+IF($W$3&lt;&gt;Table5[[#This Row],[Type]],50,0)</f>
        <v>695</v>
      </c>
      <c r="X649" s="53">
        <f>RANK(Table5[[#This Row],[zScore]],Table5[[#All],[zScore]])</f>
        <v>645</v>
      </c>
      <c r="Y649" s="52" t="str">
        <f>IFERROR(INDEX(DraftResults[[#All],[OVR]],MATCH(Table5[[#This Row],[PID]],DraftResults[[#All],[Player ID]],0)),"")</f>
        <v/>
      </c>
      <c r="Z6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9" s="52" t="str">
        <f>IFERROR(INDEX(DraftResults[[#All],[Pick in Round]],MATCH(Table5[[#This Row],[PID]],DraftResults[[#All],[Player ID]],0)),"")</f>
        <v/>
      </c>
      <c r="AB649" s="52" t="str">
        <f>IFERROR(INDEX(DraftResults[[#All],[Team Name]],MATCH(Table5[[#This Row],[PID]],DraftResults[[#All],[Player ID]],0)),"")</f>
        <v/>
      </c>
      <c r="AC649" s="52" t="str">
        <f>IF(Table5[[#This Row],[Ovr]]="","",IF(Table5[[#This Row],[cmbList]]="","",Table5[[#This Row],[cmbList]]-Table5[[#This Row],[Ovr]]))</f>
        <v/>
      </c>
      <c r="AD649" s="56" t="str">
        <f>IF(ISERROR(VLOOKUP($AB649&amp;"-"&amp;$E649&amp;" "&amp;F649,Bonuses!$B$1:$G$1006,4,FALSE)),"",INT(VLOOKUP($AB649&amp;"-"&amp;$E649&amp;" "&amp;$F649,Bonuses!$B$1:$G$1006,4,FALSE)))</f>
        <v/>
      </c>
      <c r="AE6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0" spans="1:31" s="52" customFormat="1" x14ac:dyDescent="0.25">
      <c r="A650" s="52">
        <v>11825</v>
      </c>
      <c r="B650" s="52">
        <f>COUNTIF(Table5[PID],A650)</f>
        <v>1</v>
      </c>
      <c r="C650" s="52" t="str">
        <f>IF(COUNTIF(Table3[[#All],[PID]],A650)&gt;0,"P","B")</f>
        <v>P</v>
      </c>
      <c r="D650" s="61" t="str">
        <f>IF($C650="B",INDEX(Batters[[#All],[POS]],MATCH(Table5[[#This Row],[PID]],Batters[[#All],[PID]],0)),INDEX(Table3[[#All],[POS]],MATCH(Table5[[#This Row],[PID]],Table3[[#All],[PID]],0)))</f>
        <v>SP</v>
      </c>
      <c r="E650" s="54" t="str">
        <f>IF($C650="B",INDEX(Batters[[#All],[First]],MATCH(Table5[[#This Row],[PID]],Batters[[#All],[PID]],0)),INDEX(Table3[[#All],[First]],MATCH(Table5[[#This Row],[PID]],Table3[[#All],[PID]],0)))</f>
        <v>Jack</v>
      </c>
      <c r="F650" s="52" t="str">
        <f>IF($C650="B",INDEX(Batters[[#All],[Last]],MATCH(A650,Batters[[#All],[PID]],0)),INDEX(Table3[[#All],[Last]],MATCH(A650,Table3[[#All],[PID]],0)))</f>
        <v>Gutiérrez</v>
      </c>
      <c r="G650" s="58">
        <f>IF($C650="B",INDEX(Batters[[#All],[Age]],MATCH(Table5[[#This Row],[PID]],Batters[[#All],[PID]],0)),INDEX(Table3[[#All],[Age]],MATCH(Table5[[#This Row],[PID]],Table3[[#All],[PID]],0)))</f>
        <v>21</v>
      </c>
      <c r="H650" s="54" t="str">
        <f>IF($C650="B",INDEX(Batters[[#All],[B]],MATCH(Table5[[#This Row],[PID]],Batters[[#All],[PID]],0)),INDEX(Table3[[#All],[B]],MATCH(Table5[[#This Row],[PID]],Table3[[#All],[PID]],0)))</f>
        <v>R</v>
      </c>
      <c r="I650" s="54" t="str">
        <f>IF($C650="B",INDEX(Batters[[#All],[T]],MATCH(Table5[[#This Row],[PID]],Batters[[#All],[PID]],0)),INDEX(Table3[[#All],[T]],MATCH(Table5[[#This Row],[PID]],Table3[[#All],[PID]],0)))</f>
        <v>R</v>
      </c>
      <c r="J650" s="54" t="str">
        <f>IF($C650="B",INDEX(Batters[[#All],[WE]],MATCH(Table5[[#This Row],[PID]],Batters[[#All],[PID]],0)),INDEX(Table3[[#All],[WE]],MATCH(Table5[[#This Row],[PID]],Table3[[#All],[PID]],0)))</f>
        <v>Normal</v>
      </c>
      <c r="K650" s="54" t="str">
        <f>IF($C650="B",INDEX(Batters[[#All],[INT]],MATCH(Table5[[#This Row],[PID]],Batters[[#All],[PID]],0)),INDEX(Table3[[#All],[INT]],MATCH(Table5[[#This Row],[PID]],Table3[[#All],[PID]],0)))</f>
        <v>Normal</v>
      </c>
      <c r="L650" s="62">
        <f>IF($C650="B",INDEX(Batters[[#All],[CON P]],MATCH(Table5[[#This Row],[PID]],Batters[[#All],[PID]],0)),INDEX(Table3[[#All],[STU P]],MATCH(Table5[[#This Row],[PID]],Table3[[#All],[PID]],0)))</f>
        <v>4</v>
      </c>
      <c r="M650" s="58">
        <f>IF($C650="B",INDEX(Batters[[#All],[GAP P]],MATCH(Table5[[#This Row],[PID]],Batters[[#All],[PID]],0)),INDEX(Table3[[#All],[MOV P]],MATCH(Table5[[#This Row],[PID]],Table3[[#All],[PID]],0)))</f>
        <v>2</v>
      </c>
      <c r="N650" s="58">
        <f>IF($C650="B",INDEX(Batters[[#All],[POW P]],MATCH(Table5[[#This Row],[PID]],Batters[[#All],[PID]],0)),INDEX(Table3[[#All],[CON P]],MATCH(Table5[[#This Row],[PID]],Table3[[#All],[PID]],0)))</f>
        <v>3</v>
      </c>
      <c r="O650" s="58" t="str">
        <f>IF($C650="B",INDEX(Batters[[#All],[EYE P]],MATCH(Table5[[#This Row],[PID]],Batters[[#All],[PID]],0)),INDEX(Table3[[#All],[VELO]],MATCH(Table5[[#This Row],[PID]],Table3[[#All],[PID]],0)))</f>
        <v>88-90 Mph</v>
      </c>
      <c r="P650" s="58">
        <f>IF($C650="B",INDEX(Batters[[#All],[K P]],MATCH(Table5[[#This Row],[PID]],Batters[[#All],[PID]],0)),INDEX(Table3[[#All],[STM]],MATCH(Table5[[#This Row],[PID]],Table3[[#All],[PID]],0)))</f>
        <v>9</v>
      </c>
      <c r="Q650" s="63">
        <f>IF($C650="B",INDEX(Batters[[#All],[Tot]],MATCH(Table5[[#This Row],[PID]],Batters[[#All],[PID]],0)),INDEX(Table3[[#All],[Tot]],MATCH(Table5[[#This Row],[PID]],Table3[[#All],[PID]],0)))</f>
        <v>28.210400305608719</v>
      </c>
      <c r="R650" s="54">
        <f>IF($C650="B",INDEX(Batters[[#All],[zScore]],MATCH(Table5[[#This Row],[PID]],Batters[[#All],[PID]],0)),INDEX(Table3[[#All],[zScore]],MATCH(Table5[[#This Row],[PID]],Table3[[#All],[PID]],0)))</f>
        <v>-0.4137559793476403</v>
      </c>
      <c r="S650" s="60" t="str">
        <f>IF($C650="B",INDEX(Batters[[#All],[DEM]],MATCH(Table5[[#This Row],[PID]],Batters[[#All],[PID]],0)),INDEX(Table3[[#All],[DEM]],MATCH(Table5[[#This Row],[PID]],Table3[[#All],[PID]],0)))</f>
        <v>-</v>
      </c>
      <c r="T650" s="64">
        <f>IF($C650="B",VLOOKUP($A650,Bat!$A$4:$AU$1417,46,FALSE),VLOOKUP($A650,Pit!$A$4:$BD$570,55,FALSE))</f>
        <v>0</v>
      </c>
      <c r="U650" s="52">
        <f>IF($C650="B",VLOOKUP($A650,Bat!$A$4:$BA$1417,47,FALSE),VLOOKUP($A650,Pit!$A$4:$BF$570,56,FALSE))</f>
        <v>0</v>
      </c>
      <c r="V650" s="52">
        <f>IF($C650="B",VLOOKUP($A650,Bat!$A$4:$BA$1417,48,FALSE),VLOOKUP($A650,Pit!$A$4:$BF$570,57,FALSE))</f>
        <v>0</v>
      </c>
      <c r="W650" s="52">
        <f>Table5[[#This Row],[posRnk]]+Table5[[#This Row],[zRnk]]+IF($W$3&lt;&gt;Table5[[#This Row],[Type]],50,0)</f>
        <v>696</v>
      </c>
      <c r="X650" s="53">
        <f>RANK(Table5[[#This Row],[zScore]],Table5[[#All],[zScore]])</f>
        <v>646</v>
      </c>
      <c r="Y650" s="52" t="str">
        <f>IFERROR(INDEX(DraftResults[[#All],[OVR]],MATCH(Table5[[#This Row],[PID]],DraftResults[[#All],[Player ID]],0)),"")</f>
        <v/>
      </c>
      <c r="Z6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0" s="52" t="str">
        <f>IFERROR(INDEX(DraftResults[[#All],[Pick in Round]],MATCH(Table5[[#This Row],[PID]],DraftResults[[#All],[Player ID]],0)),"")</f>
        <v/>
      </c>
      <c r="AB650" s="52" t="str">
        <f>IFERROR(INDEX(DraftResults[[#All],[Team Name]],MATCH(Table5[[#This Row],[PID]],DraftResults[[#All],[Player ID]],0)),"")</f>
        <v/>
      </c>
      <c r="AC650" s="52" t="str">
        <f>IF(Table5[[#This Row],[Ovr]]="","",IF(Table5[[#This Row],[cmbList]]="","",Table5[[#This Row],[cmbList]]-Table5[[#This Row],[Ovr]]))</f>
        <v/>
      </c>
      <c r="AD650" s="56" t="str">
        <f>IF(ISERROR(VLOOKUP($AB650&amp;"-"&amp;$E650&amp;" "&amp;F650,Bonuses!$B$1:$G$1006,4,FALSE)),"",INT(VLOOKUP($AB650&amp;"-"&amp;$E650&amp;" "&amp;$F650,Bonuses!$B$1:$G$1006,4,FALSE)))</f>
        <v/>
      </c>
      <c r="AE6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1" spans="1:31" s="52" customFormat="1" x14ac:dyDescent="0.25">
      <c r="A651" s="52">
        <v>6566</v>
      </c>
      <c r="B651" s="52">
        <f>COUNTIF(Table5[PID],A651)</f>
        <v>1</v>
      </c>
      <c r="C651" s="52" t="str">
        <f>IF(COUNTIF(Table3[[#All],[PID]],A651)&gt;0,"P","B")</f>
        <v>P</v>
      </c>
      <c r="D651" s="61" t="str">
        <f>IF($C651="B",INDEX(Batters[[#All],[POS]],MATCH(Table5[[#This Row],[PID]],Batters[[#All],[PID]],0)),INDEX(Table3[[#All],[POS]],MATCH(Table5[[#This Row],[PID]],Table3[[#All],[PID]],0)))</f>
        <v>RP</v>
      </c>
      <c r="E651" s="54" t="str">
        <f>IF($C651="B",INDEX(Batters[[#All],[First]],MATCH(Table5[[#This Row],[PID]],Batters[[#All],[PID]],0)),INDEX(Table3[[#All],[First]],MATCH(Table5[[#This Row],[PID]],Table3[[#All],[PID]],0)))</f>
        <v>Yoshimatsu</v>
      </c>
      <c r="F651" s="52" t="str">
        <f>IF($C651="B",INDEX(Batters[[#All],[Last]],MATCH(A651,Batters[[#All],[PID]],0)),INDEX(Table3[[#All],[Last]],MATCH(A651,Table3[[#All],[PID]],0)))</f>
        <v>Komatsu</v>
      </c>
      <c r="G651" s="58">
        <f>IF($C651="B",INDEX(Batters[[#All],[Age]],MATCH(Table5[[#This Row],[PID]],Batters[[#All],[PID]],0)),INDEX(Table3[[#All],[Age]],MATCH(Table5[[#This Row],[PID]],Table3[[#All],[PID]],0)))</f>
        <v>18</v>
      </c>
      <c r="H651" s="54" t="str">
        <f>IF($C651="B",INDEX(Batters[[#All],[B]],MATCH(Table5[[#This Row],[PID]],Batters[[#All],[PID]],0)),INDEX(Table3[[#All],[B]],MATCH(Table5[[#This Row],[PID]],Table3[[#All],[PID]],0)))</f>
        <v>R</v>
      </c>
      <c r="I651" s="54" t="str">
        <f>IF($C651="B",INDEX(Batters[[#All],[T]],MATCH(Table5[[#This Row],[PID]],Batters[[#All],[PID]],0)),INDEX(Table3[[#All],[T]],MATCH(Table5[[#This Row],[PID]],Table3[[#All],[PID]],0)))</f>
        <v>R</v>
      </c>
      <c r="J651" s="54" t="str">
        <f>IF($C651="B",INDEX(Batters[[#All],[WE]],MATCH(Table5[[#This Row],[PID]],Batters[[#All],[PID]],0)),INDEX(Table3[[#All],[WE]],MATCH(Table5[[#This Row],[PID]],Table3[[#All],[PID]],0)))</f>
        <v>High</v>
      </c>
      <c r="K651" s="54" t="str">
        <f>IF($C651="B",INDEX(Batters[[#All],[INT]],MATCH(Table5[[#This Row],[PID]],Batters[[#All],[PID]],0)),INDEX(Table3[[#All],[INT]],MATCH(Table5[[#This Row],[PID]],Table3[[#All],[PID]],0)))</f>
        <v>High</v>
      </c>
      <c r="L651" s="62">
        <f>IF($C651="B",INDEX(Batters[[#All],[CON P]],MATCH(Table5[[#This Row],[PID]],Batters[[#All],[PID]],0)),INDEX(Table3[[#All],[STU P]],MATCH(Table5[[#This Row],[PID]],Table3[[#All],[PID]],0)))</f>
        <v>4</v>
      </c>
      <c r="M651" s="58">
        <f>IF($C651="B",INDEX(Batters[[#All],[GAP P]],MATCH(Table5[[#This Row],[PID]],Batters[[#All],[PID]],0)),INDEX(Table3[[#All],[MOV P]],MATCH(Table5[[#This Row],[PID]],Table3[[#All],[PID]],0)))</f>
        <v>1</v>
      </c>
      <c r="N651" s="58">
        <f>IF($C651="B",INDEX(Batters[[#All],[POW P]],MATCH(Table5[[#This Row],[PID]],Batters[[#All],[PID]],0)),INDEX(Table3[[#All],[CON P]],MATCH(Table5[[#This Row],[PID]],Table3[[#All],[PID]],0)))</f>
        <v>2</v>
      </c>
      <c r="O651" s="58" t="str">
        <f>IF($C651="B",INDEX(Batters[[#All],[EYE P]],MATCH(Table5[[#This Row],[PID]],Batters[[#All],[PID]],0)),INDEX(Table3[[#All],[VELO]],MATCH(Table5[[#This Row],[PID]],Table3[[#All],[PID]],0)))</f>
        <v>85-87 Mph</v>
      </c>
      <c r="P651" s="58">
        <f>IF($C651="B",INDEX(Batters[[#All],[K P]],MATCH(Table5[[#This Row],[PID]],Batters[[#All],[PID]],0)),INDEX(Table3[[#All],[STM]],MATCH(Table5[[#This Row],[PID]],Table3[[#All],[PID]],0)))</f>
        <v>6</v>
      </c>
      <c r="Q651" s="63">
        <f>IF($C651="B",INDEX(Batters[[#All],[Tot]],MATCH(Table5[[#This Row],[PID]],Batters[[#All],[PID]],0)),INDEX(Table3[[#All],[Tot]],MATCH(Table5[[#This Row],[PID]],Table3[[#All],[PID]],0)))</f>
        <v>28.163491139720712</v>
      </c>
      <c r="R651" s="54">
        <f>IF($C651="B",INDEX(Batters[[#All],[zScore]],MATCH(Table5[[#This Row],[PID]],Batters[[#All],[PID]],0)),INDEX(Table3[[#All],[zScore]],MATCH(Table5[[#This Row],[PID]],Table3[[#All],[PID]],0)))</f>
        <v>-0.41805775035355935</v>
      </c>
      <c r="S651" s="60" t="str">
        <f>IF($C651="B",INDEX(Batters[[#All],[DEM]],MATCH(Table5[[#This Row],[PID]],Batters[[#All],[PID]],0)),INDEX(Table3[[#All],[DEM]],MATCH(Table5[[#This Row],[PID]],Table3[[#All],[PID]],0)))</f>
        <v>$65k</v>
      </c>
      <c r="T651" s="64">
        <f>IF($C651="B",VLOOKUP($A651,Bat!$A$4:$AU$1417,46,FALSE),VLOOKUP($A651,Pit!$A$4:$BD$570,55,FALSE))</f>
        <v>0</v>
      </c>
      <c r="U651" s="52">
        <f>IF($C651="B",VLOOKUP($A651,Bat!$A$4:$BA$1417,47,FALSE),VLOOKUP($A651,Pit!$A$4:$BF$570,56,FALSE))</f>
        <v>0</v>
      </c>
      <c r="V651" s="52">
        <f>IF($C651="B",VLOOKUP($A651,Bat!$A$4:$BA$1417,48,FALSE),VLOOKUP($A651,Pit!$A$4:$BF$570,57,FALSE))</f>
        <v>0</v>
      </c>
      <c r="W651" s="52">
        <f>Table5[[#This Row],[posRnk]]+Table5[[#This Row],[zRnk]]+IF($W$3&lt;&gt;Table5[[#This Row],[Type]],50,0)</f>
        <v>697</v>
      </c>
      <c r="X651" s="53">
        <f>RANK(Table5[[#This Row],[zScore]],Table5[[#All],[zScore]])</f>
        <v>647</v>
      </c>
      <c r="Y651" s="52" t="str">
        <f>IFERROR(INDEX(DraftResults[[#All],[OVR]],MATCH(Table5[[#This Row],[PID]],DraftResults[[#All],[Player ID]],0)),"")</f>
        <v/>
      </c>
      <c r="Z6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1" s="52" t="str">
        <f>IFERROR(INDEX(DraftResults[[#All],[Pick in Round]],MATCH(Table5[[#This Row],[PID]],DraftResults[[#All],[Player ID]],0)),"")</f>
        <v/>
      </c>
      <c r="AB651" s="52" t="str">
        <f>IFERROR(INDEX(DraftResults[[#All],[Team Name]],MATCH(Table5[[#This Row],[PID]],DraftResults[[#All],[Player ID]],0)),"")</f>
        <v/>
      </c>
      <c r="AC651" s="52" t="str">
        <f>IF(Table5[[#This Row],[Ovr]]="","",IF(Table5[[#This Row],[cmbList]]="","",Table5[[#This Row],[cmbList]]-Table5[[#This Row],[Ovr]]))</f>
        <v/>
      </c>
      <c r="AD651" s="56" t="str">
        <f>IF(ISERROR(VLOOKUP($AB651&amp;"-"&amp;$E651&amp;" "&amp;F651,Bonuses!$B$1:$G$1006,4,FALSE)),"",INT(VLOOKUP($AB651&amp;"-"&amp;$E651&amp;" "&amp;$F651,Bonuses!$B$1:$G$1006,4,FALSE)))</f>
        <v/>
      </c>
      <c r="AE6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2" spans="1:31" s="52" customFormat="1" x14ac:dyDescent="0.25">
      <c r="A652" s="52">
        <v>9531</v>
      </c>
      <c r="B652" s="52">
        <f>COUNTIF(Table5[PID],A652)</f>
        <v>1</v>
      </c>
      <c r="C652" s="52" t="str">
        <f>IF(COUNTIF(Table3[[#All],[PID]],A652)&gt;0,"P","B")</f>
        <v>P</v>
      </c>
      <c r="D652" s="61" t="str">
        <f>IF($C652="B",INDEX(Batters[[#All],[POS]],MATCH(Table5[[#This Row],[PID]],Batters[[#All],[PID]],0)),INDEX(Table3[[#All],[POS]],MATCH(Table5[[#This Row],[PID]],Table3[[#All],[PID]],0)))</f>
        <v>SP</v>
      </c>
      <c r="E652" s="54" t="str">
        <f>IF($C652="B",INDEX(Batters[[#All],[First]],MATCH(Table5[[#This Row],[PID]],Batters[[#All],[PID]],0)),INDEX(Table3[[#All],[First]],MATCH(Table5[[#This Row],[PID]],Table3[[#All],[PID]],0)))</f>
        <v>Ron</v>
      </c>
      <c r="F652" s="52" t="str">
        <f>IF($C652="B",INDEX(Batters[[#All],[Last]],MATCH(A652,Batters[[#All],[PID]],0)),INDEX(Table3[[#All],[Last]],MATCH(A652,Table3[[#All],[PID]],0)))</f>
        <v>Kelley</v>
      </c>
      <c r="G652" s="58">
        <f>IF($C652="B",INDEX(Batters[[#All],[Age]],MATCH(Table5[[#This Row],[PID]],Batters[[#All],[PID]],0)),INDEX(Table3[[#All],[Age]],MATCH(Table5[[#This Row],[PID]],Table3[[#All],[PID]],0)))</f>
        <v>21</v>
      </c>
      <c r="H652" s="54" t="str">
        <f>IF($C652="B",INDEX(Batters[[#All],[B]],MATCH(Table5[[#This Row],[PID]],Batters[[#All],[PID]],0)),INDEX(Table3[[#All],[B]],MATCH(Table5[[#This Row],[PID]],Table3[[#All],[PID]],0)))</f>
        <v>R</v>
      </c>
      <c r="I652" s="54" t="str">
        <f>IF($C652="B",INDEX(Batters[[#All],[T]],MATCH(Table5[[#This Row],[PID]],Batters[[#All],[PID]],0)),INDEX(Table3[[#All],[T]],MATCH(Table5[[#This Row],[PID]],Table3[[#All],[PID]],0)))</f>
        <v>L</v>
      </c>
      <c r="J652" s="54" t="str">
        <f>IF($C652="B",INDEX(Batters[[#All],[WE]],MATCH(Table5[[#This Row],[PID]],Batters[[#All],[PID]],0)),INDEX(Table3[[#All],[WE]],MATCH(Table5[[#This Row],[PID]],Table3[[#All],[PID]],0)))</f>
        <v>High</v>
      </c>
      <c r="K652" s="54" t="str">
        <f>IF($C652="B",INDEX(Batters[[#All],[INT]],MATCH(Table5[[#This Row],[PID]],Batters[[#All],[PID]],0)),INDEX(Table3[[#All],[INT]],MATCH(Table5[[#This Row],[PID]],Table3[[#All],[PID]],0)))</f>
        <v>Normal</v>
      </c>
      <c r="L652" s="62">
        <f>IF($C652="B",INDEX(Batters[[#All],[CON P]],MATCH(Table5[[#This Row],[PID]],Batters[[#All],[PID]],0)),INDEX(Table3[[#All],[STU P]],MATCH(Table5[[#This Row],[PID]],Table3[[#All],[PID]],0)))</f>
        <v>3</v>
      </c>
      <c r="M652" s="58">
        <f>IF($C652="B",INDEX(Batters[[#All],[GAP P]],MATCH(Table5[[#This Row],[PID]],Batters[[#All],[PID]],0)),INDEX(Table3[[#All],[MOV P]],MATCH(Table5[[#This Row],[PID]],Table3[[#All],[PID]],0)))</f>
        <v>2</v>
      </c>
      <c r="N652" s="58">
        <f>IF($C652="B",INDEX(Batters[[#All],[POW P]],MATCH(Table5[[#This Row],[PID]],Batters[[#All],[PID]],0)),INDEX(Table3[[#All],[CON P]],MATCH(Table5[[#This Row],[PID]],Table3[[#All],[PID]],0)))</f>
        <v>3</v>
      </c>
      <c r="O652" s="58" t="str">
        <f>IF($C652="B",INDEX(Batters[[#All],[EYE P]],MATCH(Table5[[#This Row],[PID]],Batters[[#All],[PID]],0)),INDEX(Table3[[#All],[VELO]],MATCH(Table5[[#This Row],[PID]],Table3[[#All],[PID]],0)))</f>
        <v>87-89 Mph</v>
      </c>
      <c r="P652" s="58">
        <f>IF($C652="B",INDEX(Batters[[#All],[K P]],MATCH(Table5[[#This Row],[PID]],Batters[[#All],[PID]],0)),INDEX(Table3[[#All],[STM]],MATCH(Table5[[#This Row],[PID]],Table3[[#All],[PID]],0)))</f>
        <v>8</v>
      </c>
      <c r="Q652" s="63">
        <f>IF($C652="B",INDEX(Batters[[#All],[Tot]],MATCH(Table5[[#This Row],[PID]],Batters[[#All],[PID]],0)),INDEX(Table3[[#All],[Tot]],MATCH(Table5[[#This Row],[PID]],Table3[[#All],[PID]],0)))</f>
        <v>25.616573815425255</v>
      </c>
      <c r="R652" s="54">
        <f>IF($C652="B",INDEX(Batters[[#All],[zScore]],MATCH(Table5[[#This Row],[PID]],Batters[[#All],[PID]],0)),INDEX(Table3[[#All],[zScore]],MATCH(Table5[[#This Row],[PID]],Table3[[#All],[PID]],0)))</f>
        <v>-0.41881515523306956</v>
      </c>
      <c r="S652" s="60" t="str">
        <f>IF($C652="B",INDEX(Batters[[#All],[DEM]],MATCH(Table5[[#This Row],[PID]],Batters[[#All],[PID]],0)),INDEX(Table3[[#All],[DEM]],MATCH(Table5[[#This Row],[PID]],Table3[[#All],[PID]],0)))</f>
        <v>$20k</v>
      </c>
      <c r="T652" s="64">
        <f>IF($C652="B",VLOOKUP($A652,Bat!$A$4:$AU$1417,46,FALSE),VLOOKUP($A652,Pit!$A$4:$BD$570,55,FALSE))</f>
        <v>0</v>
      </c>
      <c r="U652" s="52">
        <f>IF($C652="B",VLOOKUP($A652,Bat!$A$4:$BA$1417,47,FALSE),VLOOKUP($A652,Pit!$A$4:$BF$570,56,FALSE))</f>
        <v>0</v>
      </c>
      <c r="V652" s="52">
        <f>IF($C652="B",VLOOKUP($A652,Bat!$A$4:$BA$1417,48,FALSE),VLOOKUP($A652,Pit!$A$4:$BF$570,57,FALSE))</f>
        <v>0</v>
      </c>
      <c r="W652" s="52">
        <f>Table5[[#This Row],[posRnk]]+Table5[[#This Row],[zRnk]]+IF($W$3&lt;&gt;Table5[[#This Row],[Type]],50,0)</f>
        <v>698</v>
      </c>
      <c r="X652" s="53">
        <f>RANK(Table5[[#This Row],[zScore]],Table5[[#All],[zScore]])</f>
        <v>648</v>
      </c>
      <c r="Y652" s="52" t="str">
        <f>IFERROR(INDEX(DraftResults[[#All],[OVR]],MATCH(Table5[[#This Row],[PID]],DraftResults[[#All],[Player ID]],0)),"")</f>
        <v/>
      </c>
      <c r="Z6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2" s="52" t="str">
        <f>IFERROR(INDEX(DraftResults[[#All],[Pick in Round]],MATCH(Table5[[#This Row],[PID]],DraftResults[[#All],[Player ID]],0)),"")</f>
        <v/>
      </c>
      <c r="AB652" s="52" t="str">
        <f>IFERROR(INDEX(DraftResults[[#All],[Team Name]],MATCH(Table5[[#This Row],[PID]],DraftResults[[#All],[Player ID]],0)),"")</f>
        <v/>
      </c>
      <c r="AC652" s="52" t="str">
        <f>IF(Table5[[#This Row],[Ovr]]="","",IF(Table5[[#This Row],[cmbList]]="","",Table5[[#This Row],[cmbList]]-Table5[[#This Row],[Ovr]]))</f>
        <v/>
      </c>
      <c r="AD652" s="56" t="str">
        <f>IF(ISERROR(VLOOKUP($AB652&amp;"-"&amp;$E652&amp;" "&amp;F652,Bonuses!$B$1:$G$1006,4,FALSE)),"",INT(VLOOKUP($AB652&amp;"-"&amp;$E652&amp;" "&amp;$F652,Bonuses!$B$1:$G$1006,4,FALSE)))</f>
        <v/>
      </c>
      <c r="AE6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3" spans="1:31" s="52" customFormat="1" x14ac:dyDescent="0.25">
      <c r="A653" s="52">
        <v>17616</v>
      </c>
      <c r="B653" s="52">
        <f>COUNTIF(Table5[PID],A653)</f>
        <v>1</v>
      </c>
      <c r="C653" s="52" t="str">
        <f>IF(COUNTIF(Table3[[#All],[PID]],A653)&gt;0,"P","B")</f>
        <v>P</v>
      </c>
      <c r="D653" s="61" t="str">
        <f>IF($C653="B",INDEX(Batters[[#All],[POS]],MATCH(Table5[[#This Row],[PID]],Batters[[#All],[PID]],0)),INDEX(Table3[[#All],[POS]],MATCH(Table5[[#This Row],[PID]],Table3[[#All],[PID]],0)))</f>
        <v>RP</v>
      </c>
      <c r="E653" s="54" t="str">
        <f>IF($C653="B",INDEX(Batters[[#All],[First]],MATCH(Table5[[#This Row],[PID]],Batters[[#All],[PID]],0)),INDEX(Table3[[#All],[First]],MATCH(Table5[[#This Row],[PID]],Table3[[#All],[PID]],0)))</f>
        <v>Britt</v>
      </c>
      <c r="F653" s="52" t="str">
        <f>IF($C653="B",INDEX(Batters[[#All],[Last]],MATCH(A653,Batters[[#All],[PID]],0)),INDEX(Table3[[#All],[Last]],MATCH(A653,Table3[[#All],[PID]],0)))</f>
        <v>Hall</v>
      </c>
      <c r="G653" s="58">
        <f>IF($C653="B",INDEX(Batters[[#All],[Age]],MATCH(Table5[[#This Row],[PID]],Batters[[#All],[PID]],0)),INDEX(Table3[[#All],[Age]],MATCH(Table5[[#This Row],[PID]],Table3[[#All],[PID]],0)))</f>
        <v>18</v>
      </c>
      <c r="H653" s="54" t="str">
        <f>IF($C653="B",INDEX(Batters[[#All],[B]],MATCH(Table5[[#This Row],[PID]],Batters[[#All],[PID]],0)),INDEX(Table3[[#All],[B]],MATCH(Table5[[#This Row],[PID]],Table3[[#All],[PID]],0)))</f>
        <v>R</v>
      </c>
      <c r="I653" s="54" t="str">
        <f>IF($C653="B",INDEX(Batters[[#All],[T]],MATCH(Table5[[#This Row],[PID]],Batters[[#All],[PID]],0)),INDEX(Table3[[#All],[T]],MATCH(Table5[[#This Row],[PID]],Table3[[#All],[PID]],0)))</f>
        <v>R</v>
      </c>
      <c r="J653" s="54" t="str">
        <f>IF($C653="B",INDEX(Batters[[#All],[WE]],MATCH(Table5[[#This Row],[PID]],Batters[[#All],[PID]],0)),INDEX(Table3[[#All],[WE]],MATCH(Table5[[#This Row],[PID]],Table3[[#All],[PID]],0)))</f>
        <v>Normal</v>
      </c>
      <c r="K653" s="54" t="str">
        <f>IF($C653="B",INDEX(Batters[[#All],[INT]],MATCH(Table5[[#This Row],[PID]],Batters[[#All],[PID]],0)),INDEX(Table3[[#All],[INT]],MATCH(Table5[[#This Row],[PID]],Table3[[#All],[PID]],0)))</f>
        <v>Normal</v>
      </c>
      <c r="L653" s="62">
        <f>IF($C653="B",INDEX(Batters[[#All],[CON P]],MATCH(Table5[[#This Row],[PID]],Batters[[#All],[PID]],0)),INDEX(Table3[[#All],[STU P]],MATCH(Table5[[#This Row],[PID]],Table3[[#All],[PID]],0)))</f>
        <v>4</v>
      </c>
      <c r="M653" s="58">
        <f>IF($C653="B",INDEX(Batters[[#All],[GAP P]],MATCH(Table5[[#This Row],[PID]],Batters[[#All],[PID]],0)),INDEX(Table3[[#All],[MOV P]],MATCH(Table5[[#This Row],[PID]],Table3[[#All],[PID]],0)))</f>
        <v>1</v>
      </c>
      <c r="N653" s="58">
        <f>IF($C653="B",INDEX(Batters[[#All],[POW P]],MATCH(Table5[[#This Row],[PID]],Batters[[#All],[PID]],0)),INDEX(Table3[[#All],[CON P]],MATCH(Table5[[#This Row],[PID]],Table3[[#All],[PID]],0)))</f>
        <v>2</v>
      </c>
      <c r="O653" s="58" t="str">
        <f>IF($C653="B",INDEX(Batters[[#All],[EYE P]],MATCH(Table5[[#This Row],[PID]],Batters[[#All],[PID]],0)),INDEX(Table3[[#All],[VELO]],MATCH(Table5[[#This Row],[PID]],Table3[[#All],[PID]],0)))</f>
        <v>86-88 Mph</v>
      </c>
      <c r="P653" s="58">
        <f>IF($C653="B",INDEX(Batters[[#All],[K P]],MATCH(Table5[[#This Row],[PID]],Batters[[#All],[PID]],0)),INDEX(Table3[[#All],[STM]],MATCH(Table5[[#This Row],[PID]],Table3[[#All],[PID]],0)))</f>
        <v>7</v>
      </c>
      <c r="Q653" s="63">
        <f>IF($C653="B",INDEX(Batters[[#All],[Tot]],MATCH(Table5[[#This Row],[PID]],Batters[[#All],[PID]],0)),INDEX(Table3[[#All],[Tot]],MATCH(Table5[[#This Row],[PID]],Table3[[#All],[PID]],0)))</f>
        <v>28.124413989457139</v>
      </c>
      <c r="R653" s="54">
        <f>IF($C653="B",INDEX(Batters[[#All],[zScore]],MATCH(Table5[[#This Row],[PID]],Batters[[#All],[PID]],0)),INDEX(Table3[[#All],[zScore]],MATCH(Table5[[#This Row],[PID]],Table3[[#All],[PID]],0)))</f>
        <v>-0.42164129205197948</v>
      </c>
      <c r="S653" s="60" t="str">
        <f>IF($C653="B",INDEX(Batters[[#All],[DEM]],MATCH(Table5[[#This Row],[PID]],Batters[[#All],[PID]],0)),INDEX(Table3[[#All],[DEM]],MATCH(Table5[[#This Row],[PID]],Table3[[#All],[PID]],0)))</f>
        <v>$65k</v>
      </c>
      <c r="T653" s="64">
        <f>IF($C653="B",VLOOKUP($A653,Bat!$A$4:$AU$1417,46,FALSE),VLOOKUP($A653,Pit!$A$4:$BD$570,55,FALSE))</f>
        <v>0</v>
      </c>
      <c r="U653" s="52">
        <f>IF($C653="B",VLOOKUP($A653,Bat!$A$4:$BA$1417,47,FALSE),VLOOKUP($A653,Pit!$A$4:$BF$570,56,FALSE))</f>
        <v>0</v>
      </c>
      <c r="V653" s="52">
        <f>IF($C653="B",VLOOKUP($A653,Bat!$A$4:$BA$1417,48,FALSE),VLOOKUP($A653,Pit!$A$4:$BF$570,57,FALSE))</f>
        <v>0</v>
      </c>
      <c r="W653" s="52">
        <f>Table5[[#This Row],[posRnk]]+Table5[[#This Row],[zRnk]]+IF($W$3&lt;&gt;Table5[[#This Row],[Type]],50,0)</f>
        <v>699</v>
      </c>
      <c r="X653" s="53">
        <f>RANK(Table5[[#This Row],[zScore]],Table5[[#All],[zScore]])</f>
        <v>649</v>
      </c>
      <c r="Y653" s="52" t="str">
        <f>IFERROR(INDEX(DraftResults[[#All],[OVR]],MATCH(Table5[[#This Row],[PID]],DraftResults[[#All],[Player ID]],0)),"")</f>
        <v/>
      </c>
      <c r="Z6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3" s="52" t="str">
        <f>IFERROR(INDEX(DraftResults[[#All],[Pick in Round]],MATCH(Table5[[#This Row],[PID]],DraftResults[[#All],[Player ID]],0)),"")</f>
        <v/>
      </c>
      <c r="AB653" s="52" t="str">
        <f>IFERROR(INDEX(DraftResults[[#All],[Team Name]],MATCH(Table5[[#This Row],[PID]],DraftResults[[#All],[Player ID]],0)),"")</f>
        <v/>
      </c>
      <c r="AC653" s="52" t="str">
        <f>IF(Table5[[#This Row],[Ovr]]="","",IF(Table5[[#This Row],[cmbList]]="","",Table5[[#This Row],[cmbList]]-Table5[[#This Row],[Ovr]]))</f>
        <v/>
      </c>
      <c r="AD653" s="56" t="str">
        <f>IF(ISERROR(VLOOKUP($AB653&amp;"-"&amp;$E653&amp;" "&amp;F653,Bonuses!$B$1:$G$1006,4,FALSE)),"",INT(VLOOKUP($AB653&amp;"-"&amp;$E653&amp;" "&amp;$F653,Bonuses!$B$1:$G$1006,4,FALSE)))</f>
        <v/>
      </c>
      <c r="AE6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4" spans="1:31" s="52" customFormat="1" x14ac:dyDescent="0.25">
      <c r="A654" s="52">
        <v>7615</v>
      </c>
      <c r="B654" s="52">
        <f>COUNTIF(Table5[PID],A654)</f>
        <v>1</v>
      </c>
      <c r="C654" s="52" t="str">
        <f>IF(COUNTIF(Table3[[#All],[PID]],A654)&gt;0,"P","B")</f>
        <v>P</v>
      </c>
      <c r="D654" s="61" t="str">
        <f>IF($C654="B",INDEX(Batters[[#All],[POS]],MATCH(Table5[[#This Row],[PID]],Batters[[#All],[PID]],0)),INDEX(Table3[[#All],[POS]],MATCH(Table5[[#This Row],[PID]],Table3[[#All],[PID]],0)))</f>
        <v>RP</v>
      </c>
      <c r="E654" s="54" t="str">
        <f>IF($C654="B",INDEX(Batters[[#All],[First]],MATCH(Table5[[#This Row],[PID]],Batters[[#All],[PID]],0)),INDEX(Table3[[#All],[First]],MATCH(Table5[[#This Row],[PID]],Table3[[#All],[PID]],0)))</f>
        <v>Jermaine</v>
      </c>
      <c r="F654" s="52" t="str">
        <f>IF($C654="B",INDEX(Batters[[#All],[Last]],MATCH(A654,Batters[[#All],[PID]],0)),INDEX(Table3[[#All],[Last]],MATCH(A654,Table3[[#All],[PID]],0)))</f>
        <v>Livingston</v>
      </c>
      <c r="G654" s="58">
        <f>IF($C654="B",INDEX(Batters[[#All],[Age]],MATCH(Table5[[#This Row],[PID]],Batters[[#All],[PID]],0)),INDEX(Table3[[#All],[Age]],MATCH(Table5[[#This Row],[PID]],Table3[[#All],[PID]],0)))</f>
        <v>18</v>
      </c>
      <c r="H654" s="54" t="str">
        <f>IF($C654="B",INDEX(Batters[[#All],[B]],MATCH(Table5[[#This Row],[PID]],Batters[[#All],[PID]],0)),INDEX(Table3[[#All],[B]],MATCH(Table5[[#This Row],[PID]],Table3[[#All],[PID]],0)))</f>
        <v>R</v>
      </c>
      <c r="I654" s="54" t="str">
        <f>IF($C654="B",INDEX(Batters[[#All],[T]],MATCH(Table5[[#This Row],[PID]],Batters[[#All],[PID]],0)),INDEX(Table3[[#All],[T]],MATCH(Table5[[#This Row],[PID]],Table3[[#All],[PID]],0)))</f>
        <v>R</v>
      </c>
      <c r="J654" s="54" t="str">
        <f>IF($C654="B",INDEX(Batters[[#All],[WE]],MATCH(Table5[[#This Row],[PID]],Batters[[#All],[PID]],0)),INDEX(Table3[[#All],[WE]],MATCH(Table5[[#This Row],[PID]],Table3[[#All],[PID]],0)))</f>
        <v>Low</v>
      </c>
      <c r="K654" s="54" t="str">
        <f>IF($C654="B",INDEX(Batters[[#All],[INT]],MATCH(Table5[[#This Row],[PID]],Batters[[#All],[PID]],0)),INDEX(Table3[[#All],[INT]],MATCH(Table5[[#This Row],[PID]],Table3[[#All],[PID]],0)))</f>
        <v>Normal</v>
      </c>
      <c r="L654" s="62">
        <f>IF($C654="B",INDEX(Batters[[#All],[CON P]],MATCH(Table5[[#This Row],[PID]],Batters[[#All],[PID]],0)),INDEX(Table3[[#All],[STU P]],MATCH(Table5[[#This Row],[PID]],Table3[[#All],[PID]],0)))</f>
        <v>4</v>
      </c>
      <c r="M654" s="58">
        <f>IF($C654="B",INDEX(Batters[[#All],[GAP P]],MATCH(Table5[[#This Row],[PID]],Batters[[#All],[PID]],0)),INDEX(Table3[[#All],[MOV P]],MATCH(Table5[[#This Row],[PID]],Table3[[#All],[PID]],0)))</f>
        <v>1</v>
      </c>
      <c r="N654" s="58">
        <f>IF($C654="B",INDEX(Batters[[#All],[POW P]],MATCH(Table5[[#This Row],[PID]],Batters[[#All],[PID]],0)),INDEX(Table3[[#All],[CON P]],MATCH(Table5[[#This Row],[PID]],Table3[[#All],[PID]],0)))</f>
        <v>3</v>
      </c>
      <c r="O654" s="58" t="str">
        <f>IF($C654="B",INDEX(Batters[[#All],[EYE P]],MATCH(Table5[[#This Row],[PID]],Batters[[#All],[PID]],0)),INDEX(Table3[[#All],[VELO]],MATCH(Table5[[#This Row],[PID]],Table3[[#All],[PID]],0)))</f>
        <v>90-92 Mph</v>
      </c>
      <c r="P654" s="58">
        <f>IF($C654="B",INDEX(Batters[[#All],[K P]],MATCH(Table5[[#This Row],[PID]],Batters[[#All],[PID]],0)),INDEX(Table3[[#All],[STM]],MATCH(Table5[[#This Row],[PID]],Table3[[#All],[PID]],0)))</f>
        <v>4</v>
      </c>
      <c r="Q654" s="63">
        <f>IF($C654="B",INDEX(Batters[[#All],[Tot]],MATCH(Table5[[#This Row],[PID]],Batters[[#All],[PID]],0)),INDEX(Table3[[#All],[Tot]],MATCH(Table5[[#This Row],[PID]],Table3[[#All],[PID]],0)))</f>
        <v>28.090496096141976</v>
      </c>
      <c r="R654" s="54">
        <f>IF($C654="B",INDEX(Batters[[#All],[zScore]],MATCH(Table5[[#This Row],[PID]],Batters[[#All],[PID]],0)),INDEX(Table3[[#All],[zScore]],MATCH(Table5[[#This Row],[PID]],Table3[[#All],[PID]],0)))</f>
        <v>-0.42475170783710275</v>
      </c>
      <c r="S654" s="60" t="str">
        <f>IF($C654="B",INDEX(Batters[[#All],[DEM]],MATCH(Table5[[#This Row],[PID]],Batters[[#All],[PID]],0)),INDEX(Table3[[#All],[DEM]],MATCH(Table5[[#This Row],[PID]],Table3[[#All],[PID]],0)))</f>
        <v>$75k</v>
      </c>
      <c r="T654" s="64">
        <f>IF($C654="B",VLOOKUP($A654,Bat!$A$4:$AU$1417,46,FALSE),VLOOKUP($A654,Pit!$A$4:$BD$570,55,FALSE))</f>
        <v>0</v>
      </c>
      <c r="U654" s="52">
        <f>IF($C654="B",VLOOKUP($A654,Bat!$A$4:$BA$1417,47,FALSE),VLOOKUP($A654,Pit!$A$4:$BF$570,56,FALSE))</f>
        <v>0</v>
      </c>
      <c r="V654" s="52">
        <f>IF($C654="B",VLOOKUP($A654,Bat!$A$4:$BA$1417,48,FALSE),VLOOKUP($A654,Pit!$A$4:$BF$570,57,FALSE))</f>
        <v>0</v>
      </c>
      <c r="W654" s="52">
        <f>Table5[[#This Row],[posRnk]]+Table5[[#This Row],[zRnk]]+IF($W$3&lt;&gt;Table5[[#This Row],[Type]],50,0)</f>
        <v>700</v>
      </c>
      <c r="X654" s="53">
        <f>RANK(Table5[[#This Row],[zScore]],Table5[[#All],[zScore]])</f>
        <v>650</v>
      </c>
      <c r="Y654" s="52" t="str">
        <f>IFERROR(INDEX(DraftResults[[#All],[OVR]],MATCH(Table5[[#This Row],[PID]],DraftResults[[#All],[Player ID]],0)),"")</f>
        <v/>
      </c>
      <c r="Z6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4" s="52" t="str">
        <f>IFERROR(INDEX(DraftResults[[#All],[Pick in Round]],MATCH(Table5[[#This Row],[PID]],DraftResults[[#All],[Player ID]],0)),"")</f>
        <v/>
      </c>
      <c r="AB654" s="52" t="str">
        <f>IFERROR(INDEX(DraftResults[[#All],[Team Name]],MATCH(Table5[[#This Row],[PID]],DraftResults[[#All],[Player ID]],0)),"")</f>
        <v/>
      </c>
      <c r="AC654" s="52" t="str">
        <f>IF(Table5[[#This Row],[Ovr]]="","",IF(Table5[[#This Row],[cmbList]]="","",Table5[[#This Row],[cmbList]]-Table5[[#This Row],[Ovr]]))</f>
        <v/>
      </c>
      <c r="AD654" s="56" t="str">
        <f>IF(ISERROR(VLOOKUP($AB654&amp;"-"&amp;$E654&amp;" "&amp;F654,Bonuses!$B$1:$G$1006,4,FALSE)),"",INT(VLOOKUP($AB654&amp;"-"&amp;$E654&amp;" "&amp;$F654,Bonuses!$B$1:$G$1006,4,FALSE)))</f>
        <v/>
      </c>
      <c r="AE6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5" spans="1:31" s="52" customFormat="1" x14ac:dyDescent="0.25">
      <c r="A655" s="52">
        <v>15274</v>
      </c>
      <c r="B655" s="52">
        <f>COUNTIF(Table5[PID],A655)</f>
        <v>1</v>
      </c>
      <c r="C655" s="52" t="str">
        <f>IF(COUNTIF(Table3[[#All],[PID]],A655)&gt;0,"P","B")</f>
        <v>P</v>
      </c>
      <c r="D655" s="61" t="str">
        <f>IF($C655="B",INDEX(Batters[[#All],[POS]],MATCH(Table5[[#This Row],[PID]],Batters[[#All],[PID]],0)),INDEX(Table3[[#All],[POS]],MATCH(Table5[[#This Row],[PID]],Table3[[#All],[PID]],0)))</f>
        <v>RP</v>
      </c>
      <c r="E655" s="54" t="str">
        <f>IF($C655="B",INDEX(Batters[[#All],[First]],MATCH(Table5[[#This Row],[PID]],Batters[[#All],[PID]],0)),INDEX(Table3[[#All],[First]],MATCH(Table5[[#This Row],[PID]],Table3[[#All],[PID]],0)))</f>
        <v>Naoaki</v>
      </c>
      <c r="F655" s="52" t="str">
        <f>IF($C655="B",INDEX(Batters[[#All],[Last]],MATCH(A655,Batters[[#All],[PID]],0)),INDEX(Table3[[#All],[Last]],MATCH(A655,Table3[[#All],[PID]],0)))</f>
        <v>Sakamoto</v>
      </c>
      <c r="G655" s="58">
        <f>IF($C655="B",INDEX(Batters[[#All],[Age]],MATCH(Table5[[#This Row],[PID]],Batters[[#All],[PID]],0)),INDEX(Table3[[#All],[Age]],MATCH(Table5[[#This Row],[PID]],Table3[[#All],[PID]],0)))</f>
        <v>18</v>
      </c>
      <c r="H655" s="54" t="str">
        <f>IF($C655="B",INDEX(Batters[[#All],[B]],MATCH(Table5[[#This Row],[PID]],Batters[[#All],[PID]],0)),INDEX(Table3[[#All],[B]],MATCH(Table5[[#This Row],[PID]],Table3[[#All],[PID]],0)))</f>
        <v>R</v>
      </c>
      <c r="I655" s="54" t="str">
        <f>IF($C655="B",INDEX(Batters[[#All],[T]],MATCH(Table5[[#This Row],[PID]],Batters[[#All],[PID]],0)),INDEX(Table3[[#All],[T]],MATCH(Table5[[#This Row],[PID]],Table3[[#All],[PID]],0)))</f>
        <v>R</v>
      </c>
      <c r="J655" s="54" t="str">
        <f>IF($C655="B",INDEX(Batters[[#All],[WE]],MATCH(Table5[[#This Row],[PID]],Batters[[#All],[PID]],0)),INDEX(Table3[[#All],[WE]],MATCH(Table5[[#This Row],[PID]],Table3[[#All],[PID]],0)))</f>
        <v>Low</v>
      </c>
      <c r="K655" s="54" t="str">
        <f>IF($C655="B",INDEX(Batters[[#All],[INT]],MATCH(Table5[[#This Row],[PID]],Batters[[#All],[PID]],0)),INDEX(Table3[[#All],[INT]],MATCH(Table5[[#This Row],[PID]],Table3[[#All],[PID]],0)))</f>
        <v>Normal</v>
      </c>
      <c r="L655" s="62">
        <f>IF($C655="B",INDEX(Batters[[#All],[CON P]],MATCH(Table5[[#This Row],[PID]],Batters[[#All],[PID]],0)),INDEX(Table3[[#All],[STU P]],MATCH(Table5[[#This Row],[PID]],Table3[[#All],[PID]],0)))</f>
        <v>4</v>
      </c>
      <c r="M655" s="58">
        <f>IF($C655="B",INDEX(Batters[[#All],[GAP P]],MATCH(Table5[[#This Row],[PID]],Batters[[#All],[PID]],0)),INDEX(Table3[[#All],[MOV P]],MATCH(Table5[[#This Row],[PID]],Table3[[#All],[PID]],0)))</f>
        <v>2</v>
      </c>
      <c r="N655" s="58">
        <f>IF($C655="B",INDEX(Batters[[#All],[POW P]],MATCH(Table5[[#This Row],[PID]],Batters[[#All],[PID]],0)),INDEX(Table3[[#All],[CON P]],MATCH(Table5[[#This Row],[PID]],Table3[[#All],[PID]],0)))</f>
        <v>2</v>
      </c>
      <c r="O655" s="58" t="str">
        <f>IF($C655="B",INDEX(Batters[[#All],[EYE P]],MATCH(Table5[[#This Row],[PID]],Batters[[#All],[PID]],0)),INDEX(Table3[[#All],[VELO]],MATCH(Table5[[#This Row],[PID]],Table3[[#All],[PID]],0)))</f>
        <v>87-89 Mph</v>
      </c>
      <c r="P655" s="58">
        <f>IF($C655="B",INDEX(Batters[[#All],[K P]],MATCH(Table5[[#This Row],[PID]],Batters[[#All],[PID]],0)),INDEX(Table3[[#All],[STM]],MATCH(Table5[[#This Row],[PID]],Table3[[#All],[PID]],0)))</f>
        <v>8</v>
      </c>
      <c r="Q655" s="63">
        <f>IF($C655="B",INDEX(Batters[[#All],[Tot]],MATCH(Table5[[#This Row],[PID]],Batters[[#All],[PID]],0)),INDEX(Table3[[#All],[Tot]],MATCH(Table5[[#This Row],[PID]],Table3[[#All],[PID]],0)))</f>
        <v>28.054463136217525</v>
      </c>
      <c r="R655" s="54">
        <f>IF($C655="B",INDEX(Batters[[#All],[zScore]],MATCH(Table5[[#This Row],[PID]],Batters[[#All],[PID]],0)),INDEX(Table3[[#All],[zScore]],MATCH(Table5[[#This Row],[PID]],Table3[[#All],[PID]],0)))</f>
        <v>-0.42805608427028247</v>
      </c>
      <c r="S655" s="60" t="str">
        <f>IF($C655="B",INDEX(Batters[[#All],[DEM]],MATCH(Table5[[#This Row],[PID]],Batters[[#All],[PID]],0)),INDEX(Table3[[#All],[DEM]],MATCH(Table5[[#This Row],[PID]],Table3[[#All],[PID]],0)))</f>
        <v>$65k</v>
      </c>
      <c r="T655" s="64">
        <f>IF($C655="B",VLOOKUP($A655,Bat!$A$4:$AU$1417,46,FALSE),VLOOKUP($A655,Pit!$A$4:$BD$570,55,FALSE))</f>
        <v>0</v>
      </c>
      <c r="U655" s="52">
        <f>IF($C655="B",VLOOKUP($A655,Bat!$A$4:$BA$1417,47,FALSE),VLOOKUP($A655,Pit!$A$4:$BF$570,56,FALSE))</f>
        <v>0</v>
      </c>
      <c r="V655" s="52">
        <f>IF($C655="B",VLOOKUP($A655,Bat!$A$4:$BA$1417,48,FALSE),VLOOKUP($A655,Pit!$A$4:$BF$570,57,FALSE))</f>
        <v>0</v>
      </c>
      <c r="W655" s="52">
        <f>Table5[[#This Row],[posRnk]]+Table5[[#This Row],[zRnk]]+IF($W$3&lt;&gt;Table5[[#This Row],[Type]],50,0)</f>
        <v>701</v>
      </c>
      <c r="X655" s="53">
        <f>RANK(Table5[[#This Row],[zScore]],Table5[[#All],[zScore]])</f>
        <v>651</v>
      </c>
      <c r="Y655" s="52" t="str">
        <f>IFERROR(INDEX(DraftResults[[#All],[OVR]],MATCH(Table5[[#This Row],[PID]],DraftResults[[#All],[Player ID]],0)),"")</f>
        <v/>
      </c>
      <c r="Z6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5" s="52" t="str">
        <f>IFERROR(INDEX(DraftResults[[#All],[Pick in Round]],MATCH(Table5[[#This Row],[PID]],DraftResults[[#All],[Player ID]],0)),"")</f>
        <v/>
      </c>
      <c r="AB655" s="52" t="str">
        <f>IFERROR(INDEX(DraftResults[[#All],[Team Name]],MATCH(Table5[[#This Row],[PID]],DraftResults[[#All],[Player ID]],0)),"")</f>
        <v/>
      </c>
      <c r="AC655" s="52" t="str">
        <f>IF(Table5[[#This Row],[Ovr]]="","",IF(Table5[[#This Row],[cmbList]]="","",Table5[[#This Row],[cmbList]]-Table5[[#This Row],[Ovr]]))</f>
        <v/>
      </c>
      <c r="AD655" s="56" t="str">
        <f>IF(ISERROR(VLOOKUP($AB655&amp;"-"&amp;$E655&amp;" "&amp;F655,Bonuses!$B$1:$G$1006,4,FALSE)),"",INT(VLOOKUP($AB655&amp;"-"&amp;$E655&amp;" "&amp;$F655,Bonuses!$B$1:$G$1006,4,FALSE)))</f>
        <v/>
      </c>
      <c r="AE6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6" spans="1:31" s="52" customFormat="1" x14ac:dyDescent="0.25">
      <c r="A656" s="52">
        <v>17593</v>
      </c>
      <c r="B656" s="52">
        <f>COUNTIF(Table5[PID],A656)</f>
        <v>1</v>
      </c>
      <c r="C656" s="52" t="str">
        <f>IF(COUNTIF(Table3[[#All],[PID]],A656)&gt;0,"P","B")</f>
        <v>P</v>
      </c>
      <c r="D656" s="61" t="str">
        <f>IF($C656="B",INDEX(Batters[[#All],[POS]],MATCH(Table5[[#This Row],[PID]],Batters[[#All],[PID]],0)),INDEX(Table3[[#All],[POS]],MATCH(Table5[[#This Row],[PID]],Table3[[#All],[PID]],0)))</f>
        <v>RP</v>
      </c>
      <c r="E656" s="54" t="str">
        <f>IF($C656="B",INDEX(Batters[[#All],[First]],MATCH(Table5[[#This Row],[PID]],Batters[[#All],[PID]],0)),INDEX(Table3[[#All],[First]],MATCH(Table5[[#This Row],[PID]],Table3[[#All],[PID]],0)))</f>
        <v>Joe</v>
      </c>
      <c r="F656" s="52" t="str">
        <f>IF($C656="B",INDEX(Batters[[#All],[Last]],MATCH(A656,Batters[[#All],[PID]],0)),INDEX(Table3[[#All],[Last]],MATCH(A656,Table3[[#All],[PID]],0)))</f>
        <v>Sears</v>
      </c>
      <c r="G656" s="58">
        <f>IF($C656="B",INDEX(Batters[[#All],[Age]],MATCH(Table5[[#This Row],[PID]],Batters[[#All],[PID]],0)),INDEX(Table3[[#All],[Age]],MATCH(Table5[[#This Row],[PID]],Table3[[#All],[PID]],0)))</f>
        <v>18</v>
      </c>
      <c r="H656" s="54" t="str">
        <f>IF($C656="B",INDEX(Batters[[#All],[B]],MATCH(Table5[[#This Row],[PID]],Batters[[#All],[PID]],0)),INDEX(Table3[[#All],[B]],MATCH(Table5[[#This Row],[PID]],Table3[[#All],[PID]],0)))</f>
        <v>R</v>
      </c>
      <c r="I656" s="54" t="str">
        <f>IF($C656="B",INDEX(Batters[[#All],[T]],MATCH(Table5[[#This Row],[PID]],Batters[[#All],[PID]],0)),INDEX(Table3[[#All],[T]],MATCH(Table5[[#This Row],[PID]],Table3[[#All],[PID]],0)))</f>
        <v>R</v>
      </c>
      <c r="J656" s="54" t="str">
        <f>IF($C656="B",INDEX(Batters[[#All],[WE]],MATCH(Table5[[#This Row],[PID]],Batters[[#All],[PID]],0)),INDEX(Table3[[#All],[WE]],MATCH(Table5[[#This Row],[PID]],Table3[[#All],[PID]],0)))</f>
        <v>Low</v>
      </c>
      <c r="K656" s="54" t="str">
        <f>IF($C656="B",INDEX(Batters[[#All],[INT]],MATCH(Table5[[#This Row],[PID]],Batters[[#All],[PID]],0)),INDEX(Table3[[#All],[INT]],MATCH(Table5[[#This Row],[PID]],Table3[[#All],[PID]],0)))</f>
        <v>Normal</v>
      </c>
      <c r="L656" s="62">
        <f>IF($C656="B",INDEX(Batters[[#All],[CON P]],MATCH(Table5[[#This Row],[PID]],Batters[[#All],[PID]],0)),INDEX(Table3[[#All],[STU P]],MATCH(Table5[[#This Row],[PID]],Table3[[#All],[PID]],0)))</f>
        <v>4</v>
      </c>
      <c r="M656" s="58">
        <f>IF($C656="B",INDEX(Batters[[#All],[GAP P]],MATCH(Table5[[#This Row],[PID]],Batters[[#All],[PID]],0)),INDEX(Table3[[#All],[MOV P]],MATCH(Table5[[#This Row],[PID]],Table3[[#All],[PID]],0)))</f>
        <v>2</v>
      </c>
      <c r="N656" s="58">
        <f>IF($C656="B",INDEX(Batters[[#All],[POW P]],MATCH(Table5[[#This Row],[PID]],Batters[[#All],[PID]],0)),INDEX(Table3[[#All],[CON P]],MATCH(Table5[[#This Row],[PID]],Table3[[#All],[PID]],0)))</f>
        <v>2</v>
      </c>
      <c r="O656" s="58" t="str">
        <f>IF($C656="B",INDEX(Batters[[#All],[EYE P]],MATCH(Table5[[#This Row],[PID]],Batters[[#All],[PID]],0)),INDEX(Table3[[#All],[VELO]],MATCH(Table5[[#This Row],[PID]],Table3[[#All],[PID]],0)))</f>
        <v>88-90 Mph</v>
      </c>
      <c r="P656" s="58">
        <f>IF($C656="B",INDEX(Batters[[#All],[K P]],MATCH(Table5[[#This Row],[PID]],Batters[[#All],[PID]],0)),INDEX(Table3[[#All],[STM]],MATCH(Table5[[#This Row],[PID]],Table3[[#All],[PID]],0)))</f>
        <v>8</v>
      </c>
      <c r="Q656" s="63">
        <f>IF($C656="B",INDEX(Batters[[#All],[Tot]],MATCH(Table5[[#This Row],[PID]],Batters[[#All],[PID]],0)),INDEX(Table3[[#All],[Tot]],MATCH(Table5[[#This Row],[PID]],Table3[[#All],[PID]],0)))</f>
        <v>28.054463136217525</v>
      </c>
      <c r="R656" s="54">
        <f>IF($C656="B",INDEX(Batters[[#All],[zScore]],MATCH(Table5[[#This Row],[PID]],Batters[[#All],[PID]],0)),INDEX(Table3[[#All],[zScore]],MATCH(Table5[[#This Row],[PID]],Table3[[#All],[PID]],0)))</f>
        <v>-0.42805608427028247</v>
      </c>
      <c r="S656" s="60" t="str">
        <f>IF($C656="B",INDEX(Batters[[#All],[DEM]],MATCH(Table5[[#This Row],[PID]],Batters[[#All],[PID]],0)),INDEX(Table3[[#All],[DEM]],MATCH(Table5[[#This Row],[PID]],Table3[[#All],[PID]],0)))</f>
        <v>$38k</v>
      </c>
      <c r="T656" s="64">
        <f>IF($C656="B",VLOOKUP($A656,Bat!$A$4:$AU$1417,46,FALSE),VLOOKUP($A656,Pit!$A$4:$BD$570,55,FALSE))</f>
        <v>0</v>
      </c>
      <c r="U656" s="52">
        <f>IF($C656="B",VLOOKUP($A656,Bat!$A$4:$BA$1417,47,FALSE),VLOOKUP($A656,Pit!$A$4:$BF$570,56,FALSE))</f>
        <v>0</v>
      </c>
      <c r="V656" s="52">
        <f>IF($C656="B",VLOOKUP($A656,Bat!$A$4:$BA$1417,48,FALSE),VLOOKUP($A656,Pit!$A$4:$BF$570,57,FALSE))</f>
        <v>0</v>
      </c>
      <c r="W656" s="52">
        <f>Table5[[#This Row],[posRnk]]+Table5[[#This Row],[zRnk]]+IF($W$3&lt;&gt;Table5[[#This Row],[Type]],50,0)</f>
        <v>701</v>
      </c>
      <c r="X656" s="53">
        <f>RANK(Table5[[#This Row],[zScore]],Table5[[#All],[zScore]])</f>
        <v>651</v>
      </c>
      <c r="Y656" s="52" t="str">
        <f>IFERROR(INDEX(DraftResults[[#All],[OVR]],MATCH(Table5[[#This Row],[PID]],DraftResults[[#All],[Player ID]],0)),"")</f>
        <v/>
      </c>
      <c r="Z6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6" s="52" t="str">
        <f>IFERROR(INDEX(DraftResults[[#All],[Pick in Round]],MATCH(Table5[[#This Row],[PID]],DraftResults[[#All],[Player ID]],0)),"")</f>
        <v/>
      </c>
      <c r="AB656" s="52" t="str">
        <f>IFERROR(INDEX(DraftResults[[#All],[Team Name]],MATCH(Table5[[#This Row],[PID]],DraftResults[[#All],[Player ID]],0)),"")</f>
        <v/>
      </c>
      <c r="AC656" s="52" t="str">
        <f>IF(Table5[[#This Row],[Ovr]]="","",IF(Table5[[#This Row],[cmbList]]="","",Table5[[#This Row],[cmbList]]-Table5[[#This Row],[Ovr]]))</f>
        <v/>
      </c>
      <c r="AD656" s="56" t="str">
        <f>IF(ISERROR(VLOOKUP($AB656&amp;"-"&amp;$E656&amp;" "&amp;F656,Bonuses!$B$1:$G$1006,4,FALSE)),"",INT(VLOOKUP($AB656&amp;"-"&amp;$E656&amp;" "&amp;$F656,Bonuses!$B$1:$G$1006,4,FALSE)))</f>
        <v/>
      </c>
      <c r="AE6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7" spans="1:31" s="52" customFormat="1" x14ac:dyDescent="0.25">
      <c r="A657" s="52">
        <v>13926</v>
      </c>
      <c r="B657" s="52">
        <f>COUNTIF(Table5[PID],A657)</f>
        <v>1</v>
      </c>
      <c r="C657" s="52" t="str">
        <f>IF(COUNTIF(Table3[[#All],[PID]],A657)&gt;0,"P","B")</f>
        <v>P</v>
      </c>
      <c r="D657" s="61" t="str">
        <f>IF($C657="B",INDEX(Batters[[#All],[POS]],MATCH(Table5[[#This Row],[PID]],Batters[[#All],[PID]],0)),INDEX(Table3[[#All],[POS]],MATCH(Table5[[#This Row],[PID]],Table3[[#All],[PID]],0)))</f>
        <v>RP</v>
      </c>
      <c r="E657" s="54" t="str">
        <f>IF($C657="B",INDEX(Batters[[#All],[First]],MATCH(Table5[[#This Row],[PID]],Batters[[#All],[PID]],0)),INDEX(Table3[[#All],[First]],MATCH(Table5[[#This Row],[PID]],Table3[[#All],[PID]],0)))</f>
        <v>Jorge</v>
      </c>
      <c r="F657" s="52" t="str">
        <f>IF($C657="B",INDEX(Batters[[#All],[Last]],MATCH(A657,Batters[[#All],[PID]],0)),INDEX(Table3[[#All],[Last]],MATCH(A657,Table3[[#All],[PID]],0)))</f>
        <v>Barrios</v>
      </c>
      <c r="G657" s="58">
        <f>IF($C657="B",INDEX(Batters[[#All],[Age]],MATCH(Table5[[#This Row],[PID]],Batters[[#All],[PID]],0)),INDEX(Table3[[#All],[Age]],MATCH(Table5[[#This Row],[PID]],Table3[[#All],[PID]],0)))</f>
        <v>18</v>
      </c>
      <c r="H657" s="54" t="str">
        <f>IF($C657="B",INDEX(Batters[[#All],[B]],MATCH(Table5[[#This Row],[PID]],Batters[[#All],[PID]],0)),INDEX(Table3[[#All],[B]],MATCH(Table5[[#This Row],[PID]],Table3[[#All],[PID]],0)))</f>
        <v>R</v>
      </c>
      <c r="I657" s="54" t="str">
        <f>IF($C657="B",INDEX(Batters[[#All],[T]],MATCH(Table5[[#This Row],[PID]],Batters[[#All],[PID]],0)),INDEX(Table3[[#All],[T]],MATCH(Table5[[#This Row],[PID]],Table3[[#All],[PID]],0)))</f>
        <v>R</v>
      </c>
      <c r="J657" s="54" t="str">
        <f>IF($C657="B",INDEX(Batters[[#All],[WE]],MATCH(Table5[[#This Row],[PID]],Batters[[#All],[PID]],0)),INDEX(Table3[[#All],[WE]],MATCH(Table5[[#This Row],[PID]],Table3[[#All],[PID]],0)))</f>
        <v>Normal</v>
      </c>
      <c r="K657" s="54" t="str">
        <f>IF($C657="B",INDEX(Batters[[#All],[INT]],MATCH(Table5[[#This Row],[PID]],Batters[[#All],[PID]],0)),INDEX(Table3[[#All],[INT]],MATCH(Table5[[#This Row],[PID]],Table3[[#All],[PID]],0)))</f>
        <v>High</v>
      </c>
      <c r="L657" s="62">
        <f>IF($C657="B",INDEX(Batters[[#All],[CON P]],MATCH(Table5[[#This Row],[PID]],Batters[[#All],[PID]],0)),INDEX(Table3[[#All],[STU P]],MATCH(Table5[[#This Row],[PID]],Table3[[#All],[PID]],0)))</f>
        <v>3</v>
      </c>
      <c r="M657" s="58">
        <f>IF($C657="B",INDEX(Batters[[#All],[GAP P]],MATCH(Table5[[#This Row],[PID]],Batters[[#All],[PID]],0)),INDEX(Table3[[#All],[MOV P]],MATCH(Table5[[#This Row],[PID]],Table3[[#All],[PID]],0)))</f>
        <v>1</v>
      </c>
      <c r="N657" s="58">
        <f>IF($C657="B",INDEX(Batters[[#All],[POW P]],MATCH(Table5[[#This Row],[PID]],Batters[[#All],[PID]],0)),INDEX(Table3[[#All],[CON P]],MATCH(Table5[[#This Row],[PID]],Table3[[#All],[PID]],0)))</f>
        <v>3</v>
      </c>
      <c r="O657" s="58" t="str">
        <f>IF($C657="B",INDEX(Batters[[#All],[EYE P]],MATCH(Table5[[#This Row],[PID]],Batters[[#All],[PID]],0)),INDEX(Table3[[#All],[VELO]],MATCH(Table5[[#This Row],[PID]],Table3[[#All],[PID]],0)))</f>
        <v>85-87 Mph</v>
      </c>
      <c r="P657" s="58">
        <f>IF($C657="B",INDEX(Batters[[#All],[K P]],MATCH(Table5[[#This Row],[PID]],Batters[[#All],[PID]],0)),INDEX(Table3[[#All],[STM]],MATCH(Table5[[#This Row],[PID]],Table3[[#All],[PID]],0)))</f>
        <v>6</v>
      </c>
      <c r="Q657" s="63">
        <f>IF($C657="B",INDEX(Batters[[#All],[Tot]],MATCH(Table5[[#This Row],[PID]],Batters[[#All],[PID]],0)),INDEX(Table3[[#All],[Tot]],MATCH(Table5[[#This Row],[PID]],Table3[[#All],[PID]],0)))</f>
        <v>28.051135339340671</v>
      </c>
      <c r="R657" s="54">
        <f>IF($C657="B",INDEX(Batters[[#All],[zScore]],MATCH(Table5[[#This Row],[PID]],Batters[[#All],[PID]],0)),INDEX(Table3[[#All],[zScore]],MATCH(Table5[[#This Row],[PID]],Table3[[#All],[PID]],0)))</f>
        <v>-0.42836125746719267</v>
      </c>
      <c r="S657" s="60" t="str">
        <f>IF($C657="B",INDEX(Batters[[#All],[DEM]],MATCH(Table5[[#This Row],[PID]],Batters[[#All],[PID]],0)),INDEX(Table3[[#All],[DEM]],MATCH(Table5[[#This Row],[PID]],Table3[[#All],[PID]],0)))</f>
        <v>$70k</v>
      </c>
      <c r="T657" s="64">
        <f>IF($C657="B",VLOOKUP($A657,Bat!$A$4:$AU$1417,46,FALSE),VLOOKUP($A657,Pit!$A$4:$BD$570,55,FALSE))</f>
        <v>0</v>
      </c>
      <c r="U657" s="52">
        <f>IF($C657="B",VLOOKUP($A657,Bat!$A$4:$BA$1417,47,FALSE),VLOOKUP($A657,Pit!$A$4:$BF$570,56,FALSE))</f>
        <v>0</v>
      </c>
      <c r="V657" s="52">
        <f>IF($C657="B",VLOOKUP($A657,Bat!$A$4:$BA$1417,48,FALSE),VLOOKUP($A657,Pit!$A$4:$BF$570,57,FALSE))</f>
        <v>0</v>
      </c>
      <c r="W657" s="52">
        <f>Table5[[#This Row],[posRnk]]+Table5[[#This Row],[zRnk]]+IF($W$3&lt;&gt;Table5[[#This Row],[Type]],50,0)</f>
        <v>703</v>
      </c>
      <c r="X657" s="53">
        <f>RANK(Table5[[#This Row],[zScore]],Table5[[#All],[zScore]])</f>
        <v>653</v>
      </c>
      <c r="Y657" s="52" t="str">
        <f>IFERROR(INDEX(DraftResults[[#All],[OVR]],MATCH(Table5[[#This Row],[PID]],DraftResults[[#All],[Player ID]],0)),"")</f>
        <v/>
      </c>
      <c r="Z6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7" s="52" t="str">
        <f>IFERROR(INDEX(DraftResults[[#All],[Pick in Round]],MATCH(Table5[[#This Row],[PID]],DraftResults[[#All],[Player ID]],0)),"")</f>
        <v/>
      </c>
      <c r="AB657" s="52" t="str">
        <f>IFERROR(INDEX(DraftResults[[#All],[Team Name]],MATCH(Table5[[#This Row],[PID]],DraftResults[[#All],[Player ID]],0)),"")</f>
        <v/>
      </c>
      <c r="AC657" s="52" t="str">
        <f>IF(Table5[[#This Row],[Ovr]]="","",IF(Table5[[#This Row],[cmbList]]="","",Table5[[#This Row],[cmbList]]-Table5[[#This Row],[Ovr]]))</f>
        <v/>
      </c>
      <c r="AD657" s="56" t="str">
        <f>IF(ISERROR(VLOOKUP($AB657&amp;"-"&amp;$E657&amp;" "&amp;F657,Bonuses!$B$1:$G$1006,4,FALSE)),"",INT(VLOOKUP($AB657&amp;"-"&amp;$E657&amp;" "&amp;$F657,Bonuses!$B$1:$G$1006,4,FALSE)))</f>
        <v/>
      </c>
      <c r="AE6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8" spans="1:31" s="52" customFormat="1" x14ac:dyDescent="0.25">
      <c r="A658" s="52">
        <v>2988</v>
      </c>
      <c r="B658" s="52">
        <f>COUNTIF(Table5[PID],A658)</f>
        <v>1</v>
      </c>
      <c r="C658" s="52" t="str">
        <f>IF(COUNTIF(Table3[[#All],[PID]],A658)&gt;0,"P","B")</f>
        <v>B</v>
      </c>
      <c r="D658" s="61" t="str">
        <f>IF($C658="B",INDEX(Batters[[#All],[POS]],MATCH(Table5[[#This Row],[PID]],Batters[[#All],[PID]],0)),INDEX(Table3[[#All],[POS]],MATCH(Table5[[#This Row],[PID]],Table3[[#All],[PID]],0)))</f>
        <v>1B</v>
      </c>
      <c r="E658" s="54" t="str">
        <f>IF($C658="B",INDEX(Batters[[#All],[First]],MATCH(Table5[[#This Row],[PID]],Batters[[#All],[PID]],0)),INDEX(Table3[[#All],[First]],MATCH(Table5[[#This Row],[PID]],Table3[[#All],[PID]],0)))</f>
        <v>Toshinobu</v>
      </c>
      <c r="F658" s="52" t="str">
        <f>IF($C658="B",INDEX(Batters[[#All],[Last]],MATCH(A658,Batters[[#All],[PID]],0)),INDEX(Table3[[#All],[Last]],MATCH(A658,Table3[[#All],[PID]],0)))</f>
        <v>Narita</v>
      </c>
      <c r="G658" s="58">
        <f>IF($C658="B",INDEX(Batters[[#All],[Age]],MATCH(Table5[[#This Row],[PID]],Batters[[#All],[PID]],0)),INDEX(Table3[[#All],[Age]],MATCH(Table5[[#This Row],[PID]],Table3[[#All],[PID]],0)))</f>
        <v>21</v>
      </c>
      <c r="H658" s="54" t="str">
        <f>IF($C658="B",INDEX(Batters[[#All],[B]],MATCH(Table5[[#This Row],[PID]],Batters[[#All],[PID]],0)),INDEX(Table3[[#All],[B]],MATCH(Table5[[#This Row],[PID]],Table3[[#All],[PID]],0)))</f>
        <v>L</v>
      </c>
      <c r="I658" s="54" t="str">
        <f>IF($C658="B",INDEX(Batters[[#All],[T]],MATCH(Table5[[#This Row],[PID]],Batters[[#All],[PID]],0)),INDEX(Table3[[#All],[T]],MATCH(Table5[[#This Row],[PID]],Table3[[#All],[PID]],0)))</f>
        <v>R</v>
      </c>
      <c r="J658" s="54" t="str">
        <f>IF($C658="B",INDEX(Batters[[#All],[WE]],MATCH(Table5[[#This Row],[PID]],Batters[[#All],[PID]],0)),INDEX(Table3[[#All],[WE]],MATCH(Table5[[#This Row],[PID]],Table3[[#All],[PID]],0)))</f>
        <v>High</v>
      </c>
      <c r="K658" s="54" t="str">
        <f>IF($C658="B",INDEX(Batters[[#All],[INT]],MATCH(Table5[[#This Row],[PID]],Batters[[#All],[PID]],0)),INDEX(Table3[[#All],[INT]],MATCH(Table5[[#This Row],[PID]],Table3[[#All],[PID]],0)))</f>
        <v>High</v>
      </c>
      <c r="L658" s="62">
        <f>IF($C658="B",INDEX(Batters[[#All],[CON P]],MATCH(Table5[[#This Row],[PID]],Batters[[#All],[PID]],0)),INDEX(Table3[[#All],[STU P]],MATCH(Table5[[#This Row],[PID]],Table3[[#All],[PID]],0)))</f>
        <v>3</v>
      </c>
      <c r="M658" s="58">
        <f>IF($C658="B",INDEX(Batters[[#All],[GAP P]],MATCH(Table5[[#This Row],[PID]],Batters[[#All],[PID]],0)),INDEX(Table3[[#All],[MOV P]],MATCH(Table5[[#This Row],[PID]],Table3[[#All],[PID]],0)))</f>
        <v>5</v>
      </c>
      <c r="N658" s="58">
        <f>IF($C658="B",INDEX(Batters[[#All],[POW P]],MATCH(Table5[[#This Row],[PID]],Batters[[#All],[PID]],0)),INDEX(Table3[[#All],[CON P]],MATCH(Table5[[#This Row],[PID]],Table3[[#All],[PID]],0)))</f>
        <v>3</v>
      </c>
      <c r="O658" s="58">
        <f>IF($C658="B",INDEX(Batters[[#All],[EYE P]],MATCH(Table5[[#This Row],[PID]],Batters[[#All],[PID]],0)),INDEX(Table3[[#All],[VELO]],MATCH(Table5[[#This Row],[PID]],Table3[[#All],[PID]],0)))</f>
        <v>5</v>
      </c>
      <c r="P658" s="58">
        <f>IF($C658="B",INDEX(Batters[[#All],[K P]],MATCH(Table5[[#This Row],[PID]],Batters[[#All],[PID]],0)),INDEX(Table3[[#All],[STM]],MATCH(Table5[[#This Row],[PID]],Table3[[#All],[PID]],0)))</f>
        <v>3</v>
      </c>
      <c r="Q658" s="63">
        <f>IF($C658="B",INDEX(Batters[[#All],[Tot]],MATCH(Table5[[#This Row],[PID]],Batters[[#All],[PID]],0)),INDEX(Table3[[#All],[Tot]],MATCH(Table5[[#This Row],[PID]],Table3[[#All],[PID]],0)))</f>
        <v>37.912609572624284</v>
      </c>
      <c r="R658" s="54">
        <f>IF($C658="B",INDEX(Batters[[#All],[zScore]],MATCH(Table5[[#This Row],[PID]],Batters[[#All],[PID]],0)),INDEX(Table3[[#All],[zScore]],MATCH(Table5[[#This Row],[PID]],Table3[[#All],[PID]],0)))</f>
        <v>-0.42853428037820918</v>
      </c>
      <c r="S658" s="60" t="str">
        <f>IF($C658="B",INDEX(Batters[[#All],[DEM]],MATCH(Table5[[#This Row],[PID]],Batters[[#All],[PID]],0)),INDEX(Table3[[#All],[DEM]],MATCH(Table5[[#This Row],[PID]],Table3[[#All],[PID]],0)))</f>
        <v>-</v>
      </c>
      <c r="T658" s="64">
        <f>IF($C658="B",VLOOKUP($A658,Bat!$A$4:$AU$1417,46,FALSE),VLOOKUP($A658,Pit!$A$4:$BD$570,55,FALSE))</f>
        <v>0</v>
      </c>
      <c r="U658" s="52">
        <f>IF($C658="B",VLOOKUP($A658,Bat!$A$4:$BA$1417,47,FALSE),VLOOKUP($A658,Pit!$A$4:$BF$570,56,FALSE))</f>
        <v>0</v>
      </c>
      <c r="V658" s="52">
        <f>IF($C658="B",VLOOKUP($A658,Bat!$A$4:$BA$1417,48,FALSE),VLOOKUP($A658,Pit!$A$4:$BF$570,57,FALSE))</f>
        <v>0</v>
      </c>
      <c r="W658" s="52">
        <f>Table5[[#This Row],[posRnk]]+Table5[[#This Row],[zRnk]]+IF($W$3&lt;&gt;Table5[[#This Row],[Type]],50,0)</f>
        <v>704</v>
      </c>
      <c r="X658" s="53">
        <f>RANK(Table5[[#This Row],[zScore]],Table5[[#All],[zScore]])</f>
        <v>654</v>
      </c>
      <c r="Y658" s="52" t="str">
        <f>IFERROR(INDEX(DraftResults[[#All],[OVR]],MATCH(Table5[[#This Row],[PID]],DraftResults[[#All],[Player ID]],0)),"")</f>
        <v/>
      </c>
      <c r="Z6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8" s="52" t="str">
        <f>IFERROR(INDEX(DraftResults[[#All],[Pick in Round]],MATCH(Table5[[#This Row],[PID]],DraftResults[[#All],[Player ID]],0)),"")</f>
        <v/>
      </c>
      <c r="AB658" s="52" t="str">
        <f>IFERROR(INDEX(DraftResults[[#All],[Team Name]],MATCH(Table5[[#This Row],[PID]],DraftResults[[#All],[Player ID]],0)),"")</f>
        <v/>
      </c>
      <c r="AC658" s="52" t="str">
        <f>IF(Table5[[#This Row],[Ovr]]="","",IF(Table5[[#This Row],[cmbList]]="","",Table5[[#This Row],[cmbList]]-Table5[[#This Row],[Ovr]]))</f>
        <v/>
      </c>
      <c r="AD658" s="56" t="str">
        <f>IF(ISERROR(VLOOKUP($AB658&amp;"-"&amp;$E658&amp;" "&amp;F658,Bonuses!$B$1:$G$1006,4,FALSE)),"",INT(VLOOKUP($AB658&amp;"-"&amp;$E658&amp;" "&amp;$F658,Bonuses!$B$1:$G$1006,4,FALSE)))</f>
        <v/>
      </c>
      <c r="AE6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9" spans="1:31" s="52" customFormat="1" x14ac:dyDescent="0.25">
      <c r="A659" s="52">
        <v>13244</v>
      </c>
      <c r="B659" s="52">
        <f>COUNTIF(Table5[PID],A659)</f>
        <v>1</v>
      </c>
      <c r="C659" s="52" t="str">
        <f>IF(COUNTIF(Table3[[#All],[PID]],A659)&gt;0,"P","B")</f>
        <v>B</v>
      </c>
      <c r="D659" s="61" t="str">
        <f>IF($C659="B",INDEX(Batters[[#All],[POS]],MATCH(Table5[[#This Row],[PID]],Batters[[#All],[PID]],0)),INDEX(Table3[[#All],[POS]],MATCH(Table5[[#This Row],[PID]],Table3[[#All],[PID]],0)))</f>
        <v>1B</v>
      </c>
      <c r="E659" s="54" t="str">
        <f>IF($C659="B",INDEX(Batters[[#All],[First]],MATCH(Table5[[#This Row],[PID]],Batters[[#All],[PID]],0)),INDEX(Table3[[#All],[First]],MATCH(Table5[[#This Row],[PID]],Table3[[#All],[PID]],0)))</f>
        <v>David</v>
      </c>
      <c r="F659" s="52" t="str">
        <f>IF($C659="B",INDEX(Batters[[#All],[Last]],MATCH(A659,Batters[[#All],[PID]],0)),INDEX(Table3[[#All],[Last]],MATCH(A659,Table3[[#All],[PID]],0)))</f>
        <v>Allen</v>
      </c>
      <c r="G659" s="58">
        <f>IF($C659="B",INDEX(Batters[[#All],[Age]],MATCH(Table5[[#This Row],[PID]],Batters[[#All],[PID]],0)),INDEX(Table3[[#All],[Age]],MATCH(Table5[[#This Row],[PID]],Table3[[#All],[PID]],0)))</f>
        <v>18</v>
      </c>
      <c r="H659" s="54" t="str">
        <f>IF($C659="B",INDEX(Batters[[#All],[B]],MATCH(Table5[[#This Row],[PID]],Batters[[#All],[PID]],0)),INDEX(Table3[[#All],[B]],MATCH(Table5[[#This Row],[PID]],Table3[[#All],[PID]],0)))</f>
        <v>L</v>
      </c>
      <c r="I659" s="54" t="str">
        <f>IF($C659="B",INDEX(Batters[[#All],[T]],MATCH(Table5[[#This Row],[PID]],Batters[[#All],[PID]],0)),INDEX(Table3[[#All],[T]],MATCH(Table5[[#This Row],[PID]],Table3[[#All],[PID]],0)))</f>
        <v>R</v>
      </c>
      <c r="J659" s="54" t="str">
        <f>IF($C659="B",INDEX(Batters[[#All],[WE]],MATCH(Table5[[#This Row],[PID]],Batters[[#All],[PID]],0)),INDEX(Table3[[#All],[WE]],MATCH(Table5[[#This Row],[PID]],Table3[[#All],[PID]],0)))</f>
        <v>Low</v>
      </c>
      <c r="K659" s="54" t="str">
        <f>IF($C659="B",INDEX(Batters[[#All],[INT]],MATCH(Table5[[#This Row],[PID]],Batters[[#All],[PID]],0)),INDEX(Table3[[#All],[INT]],MATCH(Table5[[#This Row],[PID]],Table3[[#All],[PID]],0)))</f>
        <v>Low</v>
      </c>
      <c r="L659" s="62">
        <f>IF($C659="B",INDEX(Batters[[#All],[CON P]],MATCH(Table5[[#This Row],[PID]],Batters[[#All],[PID]],0)),INDEX(Table3[[#All],[STU P]],MATCH(Table5[[#This Row],[PID]],Table3[[#All],[PID]],0)))</f>
        <v>2</v>
      </c>
      <c r="M659" s="58">
        <f>IF($C659="B",INDEX(Batters[[#All],[GAP P]],MATCH(Table5[[#This Row],[PID]],Batters[[#All],[PID]],0)),INDEX(Table3[[#All],[MOV P]],MATCH(Table5[[#This Row],[PID]],Table3[[#All],[PID]],0)))</f>
        <v>5</v>
      </c>
      <c r="N659" s="58">
        <f>IF($C659="B",INDEX(Batters[[#All],[POW P]],MATCH(Table5[[#This Row],[PID]],Batters[[#All],[PID]],0)),INDEX(Table3[[#All],[CON P]],MATCH(Table5[[#This Row],[PID]],Table3[[#All],[PID]],0)))</f>
        <v>3</v>
      </c>
      <c r="O659" s="58">
        <f>IF($C659="B",INDEX(Batters[[#All],[EYE P]],MATCH(Table5[[#This Row],[PID]],Batters[[#All],[PID]],0)),INDEX(Table3[[#All],[VELO]],MATCH(Table5[[#This Row],[PID]],Table3[[#All],[PID]],0)))</f>
        <v>6</v>
      </c>
      <c r="P659" s="58">
        <f>IF($C659="B",INDEX(Batters[[#All],[K P]],MATCH(Table5[[#This Row],[PID]],Batters[[#All],[PID]],0)),INDEX(Table3[[#All],[STM]],MATCH(Table5[[#This Row],[PID]],Table3[[#All],[PID]],0)))</f>
        <v>1</v>
      </c>
      <c r="Q659" s="63">
        <f>IF($C659="B",INDEX(Batters[[#All],[Tot]],MATCH(Table5[[#This Row],[PID]],Batters[[#All],[PID]],0)),INDEX(Table3[[#All],[Tot]],MATCH(Table5[[#This Row],[PID]],Table3[[#All],[PID]],0)))</f>
        <v>37.885344729767127</v>
      </c>
      <c r="R659" s="54">
        <f>IF($C659="B",INDEX(Batters[[#All],[zScore]],MATCH(Table5[[#This Row],[PID]],Batters[[#All],[PID]],0)),INDEX(Table3[[#All],[zScore]],MATCH(Table5[[#This Row],[PID]],Table3[[#All],[PID]],0)))</f>
        <v>-0.43333134826850883</v>
      </c>
      <c r="S659" s="60" t="str">
        <f>IF($C659="B",INDEX(Batters[[#All],[DEM]],MATCH(Table5[[#This Row],[PID]],Batters[[#All],[PID]],0)),INDEX(Table3[[#All],[DEM]],MATCH(Table5[[#This Row],[PID]],Table3[[#All],[PID]],0)))</f>
        <v>$65k</v>
      </c>
      <c r="T659" s="64">
        <f>IF($C659="B",VLOOKUP($A659,Bat!$A$4:$AU$1417,46,FALSE),VLOOKUP($A659,Pit!$A$4:$BD$570,55,FALSE))</f>
        <v>0</v>
      </c>
      <c r="U659" s="52">
        <f>IF($C659="B",VLOOKUP($A659,Bat!$A$4:$BA$1417,47,FALSE),VLOOKUP($A659,Pit!$A$4:$BF$570,56,FALSE))</f>
        <v>0</v>
      </c>
      <c r="V659" s="52">
        <f>IF($C659="B",VLOOKUP($A659,Bat!$A$4:$BA$1417,48,FALSE),VLOOKUP($A659,Pit!$A$4:$BF$570,57,FALSE))</f>
        <v>0</v>
      </c>
      <c r="W659" s="52">
        <f>Table5[[#This Row],[posRnk]]+Table5[[#This Row],[zRnk]]+IF($W$3&lt;&gt;Table5[[#This Row],[Type]],50,0)</f>
        <v>705</v>
      </c>
      <c r="X659" s="53">
        <f>RANK(Table5[[#This Row],[zScore]],Table5[[#All],[zScore]])</f>
        <v>655</v>
      </c>
      <c r="Y659" s="52" t="str">
        <f>IFERROR(INDEX(DraftResults[[#All],[OVR]],MATCH(Table5[[#This Row],[PID]],DraftResults[[#All],[Player ID]],0)),"")</f>
        <v/>
      </c>
      <c r="Z6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9" s="52" t="str">
        <f>IFERROR(INDEX(DraftResults[[#All],[Pick in Round]],MATCH(Table5[[#This Row],[PID]],DraftResults[[#All],[Player ID]],0)),"")</f>
        <v/>
      </c>
      <c r="AB659" s="52" t="str">
        <f>IFERROR(INDEX(DraftResults[[#All],[Team Name]],MATCH(Table5[[#This Row],[PID]],DraftResults[[#All],[Player ID]],0)),"")</f>
        <v/>
      </c>
      <c r="AC659" s="52" t="str">
        <f>IF(Table5[[#This Row],[Ovr]]="","",IF(Table5[[#This Row],[cmbList]]="","",Table5[[#This Row],[cmbList]]-Table5[[#This Row],[Ovr]]))</f>
        <v/>
      </c>
      <c r="AD659" s="56" t="str">
        <f>IF(ISERROR(VLOOKUP($AB659&amp;"-"&amp;$E659&amp;" "&amp;F659,Bonuses!$B$1:$G$1006,4,FALSE)),"",INT(VLOOKUP($AB659&amp;"-"&amp;$E659&amp;" "&amp;$F659,Bonuses!$B$1:$G$1006,4,FALSE)))</f>
        <v/>
      </c>
      <c r="AE6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0" spans="1:31" s="52" customFormat="1" x14ac:dyDescent="0.25">
      <c r="A660" s="52">
        <v>5932</v>
      </c>
      <c r="B660" s="52">
        <f>COUNTIF(Table5[PID],A660)</f>
        <v>1</v>
      </c>
      <c r="C660" s="52" t="str">
        <f>IF(COUNTIF(Table3[[#All],[PID]],A660)&gt;0,"P","B")</f>
        <v>P</v>
      </c>
      <c r="D660" s="61" t="str">
        <f>IF($C660="B",INDEX(Batters[[#All],[POS]],MATCH(Table5[[#This Row],[PID]],Batters[[#All],[PID]],0)),INDEX(Table3[[#All],[POS]],MATCH(Table5[[#This Row],[PID]],Table3[[#All],[PID]],0)))</f>
        <v>RP</v>
      </c>
      <c r="E660" s="54" t="str">
        <f>IF($C660="B",INDEX(Batters[[#All],[First]],MATCH(Table5[[#This Row],[PID]],Batters[[#All],[PID]],0)),INDEX(Table3[[#All],[First]],MATCH(Table5[[#This Row],[PID]],Table3[[#All],[PID]],0)))</f>
        <v>Rafael</v>
      </c>
      <c r="F660" s="52" t="str">
        <f>IF($C660="B",INDEX(Batters[[#All],[Last]],MATCH(A660,Batters[[#All],[PID]],0)),INDEX(Table3[[#All],[Last]],MATCH(A660,Table3[[#All],[PID]],0)))</f>
        <v>Martínez</v>
      </c>
      <c r="G660" s="58">
        <f>IF($C660="B",INDEX(Batters[[#All],[Age]],MATCH(Table5[[#This Row],[PID]],Batters[[#All],[PID]],0)),INDEX(Table3[[#All],[Age]],MATCH(Table5[[#This Row],[PID]],Table3[[#All],[PID]],0)))</f>
        <v>18</v>
      </c>
      <c r="H660" s="54" t="str">
        <f>IF($C660="B",INDEX(Batters[[#All],[B]],MATCH(Table5[[#This Row],[PID]],Batters[[#All],[PID]],0)),INDEX(Table3[[#All],[B]],MATCH(Table5[[#This Row],[PID]],Table3[[#All],[PID]],0)))</f>
        <v>L</v>
      </c>
      <c r="I660" s="54" t="str">
        <f>IF($C660="B",INDEX(Batters[[#All],[T]],MATCH(Table5[[#This Row],[PID]],Batters[[#All],[PID]],0)),INDEX(Table3[[#All],[T]],MATCH(Table5[[#This Row],[PID]],Table3[[#All],[PID]],0)))</f>
        <v>L</v>
      </c>
      <c r="J660" s="54" t="str">
        <f>IF($C660="B",INDEX(Batters[[#All],[WE]],MATCH(Table5[[#This Row],[PID]],Batters[[#All],[PID]],0)),INDEX(Table3[[#All],[WE]],MATCH(Table5[[#This Row],[PID]],Table3[[#All],[PID]],0)))</f>
        <v>Normal</v>
      </c>
      <c r="K660" s="54" t="str">
        <f>IF($C660="B",INDEX(Batters[[#All],[INT]],MATCH(Table5[[#This Row],[PID]],Batters[[#All],[PID]],0)),INDEX(Table3[[#All],[INT]],MATCH(Table5[[#This Row],[PID]],Table3[[#All],[PID]],0)))</f>
        <v>Normal</v>
      </c>
      <c r="L660" s="62">
        <f>IF($C660="B",INDEX(Batters[[#All],[CON P]],MATCH(Table5[[#This Row],[PID]],Batters[[#All],[PID]],0)),INDEX(Table3[[#All],[STU P]],MATCH(Table5[[#This Row],[PID]],Table3[[#All],[PID]],0)))</f>
        <v>3</v>
      </c>
      <c r="M660" s="58">
        <f>IF($C660="B",INDEX(Batters[[#All],[GAP P]],MATCH(Table5[[#This Row],[PID]],Batters[[#All],[PID]],0)),INDEX(Table3[[#All],[MOV P]],MATCH(Table5[[#This Row],[PID]],Table3[[#All],[PID]],0)))</f>
        <v>2</v>
      </c>
      <c r="N660" s="58">
        <f>IF($C660="B",INDEX(Batters[[#All],[POW P]],MATCH(Table5[[#This Row],[PID]],Batters[[#All],[PID]],0)),INDEX(Table3[[#All],[CON P]],MATCH(Table5[[#This Row],[PID]],Table3[[#All],[PID]],0)))</f>
        <v>2</v>
      </c>
      <c r="O660" s="58" t="str">
        <f>IF($C660="B",INDEX(Batters[[#All],[EYE P]],MATCH(Table5[[#This Row],[PID]],Batters[[#All],[PID]],0)),INDEX(Table3[[#All],[VELO]],MATCH(Table5[[#This Row],[PID]],Table3[[#All],[PID]],0)))</f>
        <v>87-89 Mph</v>
      </c>
      <c r="P660" s="58">
        <f>IF($C660="B",INDEX(Batters[[#All],[K P]],MATCH(Table5[[#This Row],[PID]],Batters[[#All],[PID]],0)),INDEX(Table3[[#All],[STM]],MATCH(Table5[[#This Row],[PID]],Table3[[#All],[PID]],0)))</f>
        <v>6</v>
      </c>
      <c r="Q660" s="63">
        <f>IF($C660="B",INDEX(Batters[[#All],[Tot]],MATCH(Table5[[#This Row],[PID]],Batters[[#All],[PID]],0)),INDEX(Table3[[#All],[Tot]],MATCH(Table5[[#This Row],[PID]],Table3[[#All],[PID]],0)))</f>
        <v>25.448655921603915</v>
      </c>
      <c r="R660" s="54">
        <f>IF($C660="B",INDEX(Batters[[#All],[zScore]],MATCH(Table5[[#This Row],[PID]],Batters[[#All],[PID]],0)),INDEX(Table3[[#All],[zScore]],MATCH(Table5[[#This Row],[PID]],Table3[[#All],[PID]],0)))</f>
        <v>-0.43353191631570354</v>
      </c>
      <c r="S660" s="60" t="str">
        <f>IF($C660="B",INDEX(Batters[[#All],[DEM]],MATCH(Table5[[#This Row],[PID]],Batters[[#All],[PID]],0)),INDEX(Table3[[#All],[DEM]],MATCH(Table5[[#This Row],[PID]],Table3[[#All],[PID]],0)))</f>
        <v>$90k</v>
      </c>
      <c r="T660" s="64">
        <f>IF($C660="B",VLOOKUP($A660,Bat!$A$4:$AU$1417,46,FALSE),VLOOKUP($A660,Pit!$A$4:$BD$570,55,FALSE))</f>
        <v>0</v>
      </c>
      <c r="U660" s="52">
        <f>IF($C660="B",VLOOKUP($A660,Bat!$A$4:$BA$1417,47,FALSE),VLOOKUP($A660,Pit!$A$4:$BF$570,56,FALSE))</f>
        <v>0</v>
      </c>
      <c r="V660" s="52">
        <f>IF($C660="B",VLOOKUP($A660,Bat!$A$4:$BA$1417,48,FALSE),VLOOKUP($A660,Pit!$A$4:$BF$570,57,FALSE))</f>
        <v>0</v>
      </c>
      <c r="W660" s="52">
        <f>Table5[[#This Row],[posRnk]]+Table5[[#This Row],[zRnk]]+IF($W$3&lt;&gt;Table5[[#This Row],[Type]],50,0)</f>
        <v>706</v>
      </c>
      <c r="X660" s="53">
        <f>RANK(Table5[[#This Row],[zScore]],Table5[[#All],[zScore]])</f>
        <v>656</v>
      </c>
      <c r="Y660" s="52" t="str">
        <f>IFERROR(INDEX(DraftResults[[#All],[OVR]],MATCH(Table5[[#This Row],[PID]],DraftResults[[#All],[Player ID]],0)),"")</f>
        <v/>
      </c>
      <c r="Z6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0" s="52" t="str">
        <f>IFERROR(INDEX(DraftResults[[#All],[Pick in Round]],MATCH(Table5[[#This Row],[PID]],DraftResults[[#All],[Player ID]],0)),"")</f>
        <v/>
      </c>
      <c r="AB660" s="52" t="str">
        <f>IFERROR(INDEX(DraftResults[[#All],[Team Name]],MATCH(Table5[[#This Row],[PID]],DraftResults[[#All],[Player ID]],0)),"")</f>
        <v/>
      </c>
      <c r="AC660" s="52" t="str">
        <f>IF(Table5[[#This Row],[Ovr]]="","",IF(Table5[[#This Row],[cmbList]]="","",Table5[[#This Row],[cmbList]]-Table5[[#This Row],[Ovr]]))</f>
        <v/>
      </c>
      <c r="AD660" s="56" t="str">
        <f>IF(ISERROR(VLOOKUP($AB660&amp;"-"&amp;$E660&amp;" "&amp;F660,Bonuses!$B$1:$G$1006,4,FALSE)),"",INT(VLOOKUP($AB660&amp;"-"&amp;$E660&amp;" "&amp;$F660,Bonuses!$B$1:$G$1006,4,FALSE)))</f>
        <v/>
      </c>
      <c r="AE6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1" spans="1:31" s="52" customFormat="1" x14ac:dyDescent="0.25">
      <c r="A661" s="52">
        <v>7588</v>
      </c>
      <c r="B661" s="52">
        <f>COUNTIF(Table5[PID],A661)</f>
        <v>1</v>
      </c>
      <c r="C661" s="52" t="str">
        <f>IF(COUNTIF(Table3[[#All],[PID]],A661)&gt;0,"P","B")</f>
        <v>P</v>
      </c>
      <c r="D661" s="61" t="str">
        <f>IF($C661="B",INDEX(Batters[[#All],[POS]],MATCH(Table5[[#This Row],[PID]],Batters[[#All],[PID]],0)),INDEX(Table3[[#All],[POS]],MATCH(Table5[[#This Row],[PID]],Table3[[#All],[PID]],0)))</f>
        <v>RP</v>
      </c>
      <c r="E661" s="54" t="str">
        <f>IF($C661="B",INDEX(Batters[[#All],[First]],MATCH(Table5[[#This Row],[PID]],Batters[[#All],[PID]],0)),INDEX(Table3[[#All],[First]],MATCH(Table5[[#This Row],[PID]],Table3[[#All],[PID]],0)))</f>
        <v>Jason</v>
      </c>
      <c r="F661" s="52" t="str">
        <f>IF($C661="B",INDEX(Batters[[#All],[Last]],MATCH(A661,Batters[[#All],[PID]],0)),INDEX(Table3[[#All],[Last]],MATCH(A661,Table3[[#All],[PID]],0)))</f>
        <v>Caldcleuch</v>
      </c>
      <c r="G661" s="58">
        <f>IF($C661="B",INDEX(Batters[[#All],[Age]],MATCH(Table5[[#This Row],[PID]],Batters[[#All],[PID]],0)),INDEX(Table3[[#All],[Age]],MATCH(Table5[[#This Row],[PID]],Table3[[#All],[PID]],0)))</f>
        <v>18</v>
      </c>
      <c r="H661" s="54" t="str">
        <f>IF($C661="B",INDEX(Batters[[#All],[B]],MATCH(Table5[[#This Row],[PID]],Batters[[#All],[PID]],0)),INDEX(Table3[[#All],[B]],MATCH(Table5[[#This Row],[PID]],Table3[[#All],[PID]],0)))</f>
        <v>R</v>
      </c>
      <c r="I661" s="54" t="str">
        <f>IF($C661="B",INDEX(Batters[[#All],[T]],MATCH(Table5[[#This Row],[PID]],Batters[[#All],[PID]],0)),INDEX(Table3[[#All],[T]],MATCH(Table5[[#This Row],[PID]],Table3[[#All],[PID]],0)))</f>
        <v>R</v>
      </c>
      <c r="J661" s="54" t="str">
        <f>IF($C661="B",INDEX(Batters[[#All],[WE]],MATCH(Table5[[#This Row],[PID]],Batters[[#All],[PID]],0)),INDEX(Table3[[#All],[WE]],MATCH(Table5[[#This Row],[PID]],Table3[[#All],[PID]],0)))</f>
        <v>Normal</v>
      </c>
      <c r="K661" s="54" t="str">
        <f>IF($C661="B",INDEX(Batters[[#All],[INT]],MATCH(Table5[[#This Row],[PID]],Batters[[#All],[PID]],0)),INDEX(Table3[[#All],[INT]],MATCH(Table5[[#This Row],[PID]],Table3[[#All],[PID]],0)))</f>
        <v>Normal</v>
      </c>
      <c r="L661" s="62">
        <f>IF($C661="B",INDEX(Batters[[#All],[CON P]],MATCH(Table5[[#This Row],[PID]],Batters[[#All],[PID]],0)),INDEX(Table3[[#All],[STU P]],MATCH(Table5[[#This Row],[PID]],Table3[[#All],[PID]],0)))</f>
        <v>3</v>
      </c>
      <c r="M661" s="58">
        <f>IF($C661="B",INDEX(Batters[[#All],[GAP P]],MATCH(Table5[[#This Row],[PID]],Batters[[#All],[PID]],0)),INDEX(Table3[[#All],[MOV P]],MATCH(Table5[[#This Row],[PID]],Table3[[#All],[PID]],0)))</f>
        <v>1</v>
      </c>
      <c r="N661" s="58">
        <f>IF($C661="B",INDEX(Batters[[#All],[POW P]],MATCH(Table5[[#This Row],[PID]],Batters[[#All],[PID]],0)),INDEX(Table3[[#All],[CON P]],MATCH(Table5[[#This Row],[PID]],Table3[[#All],[PID]],0)))</f>
        <v>3</v>
      </c>
      <c r="O661" s="58" t="str">
        <f>IF($C661="B",INDEX(Batters[[#All],[EYE P]],MATCH(Table5[[#This Row],[PID]],Batters[[#All],[PID]],0)),INDEX(Table3[[#All],[VELO]],MATCH(Table5[[#This Row],[PID]],Table3[[#All],[PID]],0)))</f>
        <v>84-86 Mph</v>
      </c>
      <c r="P661" s="58">
        <f>IF($C661="B",INDEX(Batters[[#All],[K P]],MATCH(Table5[[#This Row],[PID]],Batters[[#All],[PID]],0)),INDEX(Table3[[#All],[STM]],MATCH(Table5[[#This Row],[PID]],Table3[[#All],[PID]],0)))</f>
        <v>10</v>
      </c>
      <c r="Q661" s="63">
        <f>IF($C661="B",INDEX(Batters[[#All],[Tot]],MATCH(Table5[[#This Row],[PID]],Batters[[#All],[PID]],0)),INDEX(Table3[[#All],[Tot]],MATCH(Table5[[#This Row],[PID]],Table3[[#All],[PID]],0)))</f>
        <v>27.988350127294577</v>
      </c>
      <c r="R661" s="54">
        <f>IF($C661="B",INDEX(Batters[[#All],[zScore]],MATCH(Table5[[#This Row],[PID]],Batters[[#All],[PID]],0)),INDEX(Table3[[#All],[zScore]],MATCH(Table5[[#This Row],[PID]],Table3[[#All],[PID]],0)))</f>
        <v>-0.43411892976145572</v>
      </c>
      <c r="S661" s="60" t="str">
        <f>IF($C661="B",INDEX(Batters[[#All],[DEM]],MATCH(Table5[[#This Row],[PID]],Batters[[#All],[PID]],0)),INDEX(Table3[[#All],[DEM]],MATCH(Table5[[#This Row],[PID]],Table3[[#All],[PID]],0)))</f>
        <v>$75k</v>
      </c>
      <c r="T661" s="64">
        <f>IF($C661="B",VLOOKUP($A661,Bat!$A$4:$AU$1417,46,FALSE),VLOOKUP($A661,Pit!$A$4:$BD$570,55,FALSE))</f>
        <v>0</v>
      </c>
      <c r="U661" s="52">
        <f>IF($C661="B",VLOOKUP($A661,Bat!$A$4:$BA$1417,47,FALSE),VLOOKUP($A661,Pit!$A$4:$BF$570,56,FALSE))</f>
        <v>0</v>
      </c>
      <c r="V661" s="52">
        <f>IF($C661="B",VLOOKUP($A661,Bat!$A$4:$BA$1417,48,FALSE),VLOOKUP($A661,Pit!$A$4:$BF$570,57,FALSE))</f>
        <v>0</v>
      </c>
      <c r="W661" s="52">
        <f>Table5[[#This Row],[posRnk]]+Table5[[#This Row],[zRnk]]+IF($W$3&lt;&gt;Table5[[#This Row],[Type]],50,0)</f>
        <v>707</v>
      </c>
      <c r="X661" s="53">
        <f>RANK(Table5[[#This Row],[zScore]],Table5[[#All],[zScore]])</f>
        <v>657</v>
      </c>
      <c r="Y661" s="52" t="str">
        <f>IFERROR(INDEX(DraftResults[[#All],[OVR]],MATCH(Table5[[#This Row],[PID]],DraftResults[[#All],[Player ID]],0)),"")</f>
        <v/>
      </c>
      <c r="Z6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1" s="52" t="str">
        <f>IFERROR(INDEX(DraftResults[[#All],[Pick in Round]],MATCH(Table5[[#This Row],[PID]],DraftResults[[#All],[Player ID]],0)),"")</f>
        <v/>
      </c>
      <c r="AB661" s="52" t="str">
        <f>IFERROR(INDEX(DraftResults[[#All],[Team Name]],MATCH(Table5[[#This Row],[PID]],DraftResults[[#All],[Player ID]],0)),"")</f>
        <v/>
      </c>
      <c r="AC661" s="52" t="str">
        <f>IF(Table5[[#This Row],[Ovr]]="","",IF(Table5[[#This Row],[cmbList]]="","",Table5[[#This Row],[cmbList]]-Table5[[#This Row],[Ovr]]))</f>
        <v/>
      </c>
      <c r="AD661" s="56" t="str">
        <f>IF(ISERROR(VLOOKUP($AB661&amp;"-"&amp;$E661&amp;" "&amp;F661,Bonuses!$B$1:$G$1006,4,FALSE)),"",INT(VLOOKUP($AB661&amp;"-"&amp;$E661&amp;" "&amp;$F661,Bonuses!$B$1:$G$1006,4,FALSE)))</f>
        <v/>
      </c>
      <c r="AE6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2" spans="1:31" s="52" customFormat="1" x14ac:dyDescent="0.25">
      <c r="A662" s="52">
        <v>17874</v>
      </c>
      <c r="B662" s="52">
        <f>COUNTIF(Table5[PID],A662)</f>
        <v>1</v>
      </c>
      <c r="C662" s="52" t="str">
        <f>IF(COUNTIF(Table3[[#All],[PID]],A662)&gt;0,"P","B")</f>
        <v>P</v>
      </c>
      <c r="D662" s="61" t="str">
        <f>IF($C662="B",INDEX(Batters[[#All],[POS]],MATCH(Table5[[#This Row],[PID]],Batters[[#All],[PID]],0)),INDEX(Table3[[#All],[POS]],MATCH(Table5[[#This Row],[PID]],Table3[[#All],[PID]],0)))</f>
        <v>SP</v>
      </c>
      <c r="E662" s="54" t="str">
        <f>IF($C662="B",INDEX(Batters[[#All],[First]],MATCH(Table5[[#This Row],[PID]],Batters[[#All],[PID]],0)),INDEX(Table3[[#All],[First]],MATCH(Table5[[#This Row],[PID]],Table3[[#All],[PID]],0)))</f>
        <v>Hamish</v>
      </c>
      <c r="F662" s="52" t="str">
        <f>IF($C662="B",INDEX(Batters[[#All],[Last]],MATCH(A662,Batters[[#All],[PID]],0)),INDEX(Table3[[#All],[Last]],MATCH(A662,Table3[[#All],[PID]],0)))</f>
        <v>Maxwell</v>
      </c>
      <c r="G662" s="58">
        <f>IF($C662="B",INDEX(Batters[[#All],[Age]],MATCH(Table5[[#This Row],[PID]],Batters[[#All],[PID]],0)),INDEX(Table3[[#All],[Age]],MATCH(Table5[[#This Row],[PID]],Table3[[#All],[PID]],0)))</f>
        <v>18</v>
      </c>
      <c r="H662" s="54" t="str">
        <f>IF($C662="B",INDEX(Batters[[#All],[B]],MATCH(Table5[[#This Row],[PID]],Batters[[#All],[PID]],0)),INDEX(Table3[[#All],[B]],MATCH(Table5[[#This Row],[PID]],Table3[[#All],[PID]],0)))</f>
        <v>R</v>
      </c>
      <c r="I662" s="54" t="str">
        <f>IF($C662="B",INDEX(Batters[[#All],[T]],MATCH(Table5[[#This Row],[PID]],Batters[[#All],[PID]],0)),INDEX(Table3[[#All],[T]],MATCH(Table5[[#This Row],[PID]],Table3[[#All],[PID]],0)))</f>
        <v>R</v>
      </c>
      <c r="J662" s="54" t="str">
        <f>IF($C662="B",INDEX(Batters[[#All],[WE]],MATCH(Table5[[#This Row],[PID]],Batters[[#All],[PID]],0)),INDEX(Table3[[#All],[WE]],MATCH(Table5[[#This Row],[PID]],Table3[[#All],[PID]],0)))</f>
        <v>Normal</v>
      </c>
      <c r="K662" s="54" t="str">
        <f>IF($C662="B",INDEX(Batters[[#All],[INT]],MATCH(Table5[[#This Row],[PID]],Batters[[#All],[PID]],0)),INDEX(Table3[[#All],[INT]],MATCH(Table5[[#This Row],[PID]],Table3[[#All],[PID]],0)))</f>
        <v>Normal</v>
      </c>
      <c r="L662" s="62">
        <f>IF($C662="B",INDEX(Batters[[#All],[CON P]],MATCH(Table5[[#This Row],[PID]],Batters[[#All],[PID]],0)),INDEX(Table3[[#All],[STU P]],MATCH(Table5[[#This Row],[PID]],Table3[[#All],[PID]],0)))</f>
        <v>4</v>
      </c>
      <c r="M662" s="58">
        <f>IF($C662="B",INDEX(Batters[[#All],[GAP P]],MATCH(Table5[[#This Row],[PID]],Batters[[#All],[PID]],0)),INDEX(Table3[[#All],[MOV P]],MATCH(Table5[[#This Row],[PID]],Table3[[#All],[PID]],0)))</f>
        <v>2</v>
      </c>
      <c r="N662" s="58">
        <f>IF($C662="B",INDEX(Batters[[#All],[POW P]],MATCH(Table5[[#This Row],[PID]],Batters[[#All],[PID]],0)),INDEX(Table3[[#All],[CON P]],MATCH(Table5[[#This Row],[PID]],Table3[[#All],[PID]],0)))</f>
        <v>2</v>
      </c>
      <c r="O662" s="58" t="str">
        <f>IF($C662="B",INDEX(Batters[[#All],[EYE P]],MATCH(Table5[[#This Row],[PID]],Batters[[#All],[PID]],0)),INDEX(Table3[[#All],[VELO]],MATCH(Table5[[#This Row],[PID]],Table3[[#All],[PID]],0)))</f>
        <v>89-91 Mph</v>
      </c>
      <c r="P662" s="58">
        <f>IF($C662="B",INDEX(Batters[[#All],[K P]],MATCH(Table5[[#This Row],[PID]],Batters[[#All],[PID]],0)),INDEX(Table3[[#All],[STM]],MATCH(Table5[[#This Row],[PID]],Table3[[#All],[PID]],0)))</f>
        <v>4</v>
      </c>
      <c r="Q662" s="63">
        <f>IF($C662="B",INDEX(Batters[[#All],[Tot]],MATCH(Table5[[#This Row],[PID]],Batters[[#All],[PID]],0)),INDEX(Table3[[#All],[Tot]],MATCH(Table5[[#This Row],[PID]],Table3[[#All],[PID]],0)))</f>
        <v>27.974607953284938</v>
      </c>
      <c r="R662" s="54">
        <f>IF($C662="B",INDEX(Batters[[#All],[zScore]],MATCH(Table5[[#This Row],[PID]],Batters[[#All],[PID]],0)),INDEX(Table3[[#All],[zScore]],MATCH(Table5[[#This Row],[PID]],Table3[[#All],[PID]],0)))</f>
        <v>-0.4353791458534258</v>
      </c>
      <c r="S662" s="60" t="str">
        <f>IF($C662="B",INDEX(Batters[[#All],[DEM]],MATCH(Table5[[#This Row],[PID]],Batters[[#All],[PID]],0)),INDEX(Table3[[#All],[DEM]],MATCH(Table5[[#This Row],[PID]],Table3[[#All],[PID]],0)))</f>
        <v>$38k</v>
      </c>
      <c r="T662" s="64">
        <f>IF($C662="B",VLOOKUP($A662,Bat!$A$4:$AU$1417,46,FALSE),VLOOKUP($A662,Pit!$A$4:$BD$570,55,FALSE))</f>
        <v>0</v>
      </c>
      <c r="U662" s="52">
        <f>IF($C662="B",VLOOKUP($A662,Bat!$A$4:$BA$1417,47,FALSE),VLOOKUP($A662,Pit!$A$4:$BF$570,56,FALSE))</f>
        <v>0</v>
      </c>
      <c r="V662" s="52">
        <f>IF($C662="B",VLOOKUP($A662,Bat!$A$4:$BA$1417,48,FALSE),VLOOKUP($A662,Pit!$A$4:$BF$570,57,FALSE))</f>
        <v>0</v>
      </c>
      <c r="W662" s="52">
        <f>Table5[[#This Row],[posRnk]]+Table5[[#This Row],[zRnk]]+IF($W$3&lt;&gt;Table5[[#This Row],[Type]],50,0)</f>
        <v>708</v>
      </c>
      <c r="X662" s="53">
        <f>RANK(Table5[[#This Row],[zScore]],Table5[[#All],[zScore]])</f>
        <v>658</v>
      </c>
      <c r="Y662" s="52" t="str">
        <f>IFERROR(INDEX(DraftResults[[#All],[OVR]],MATCH(Table5[[#This Row],[PID]],DraftResults[[#All],[Player ID]],0)),"")</f>
        <v/>
      </c>
      <c r="Z6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2" s="52" t="str">
        <f>IFERROR(INDEX(DraftResults[[#All],[Pick in Round]],MATCH(Table5[[#This Row],[PID]],DraftResults[[#All],[Player ID]],0)),"")</f>
        <v/>
      </c>
      <c r="AB662" s="52" t="str">
        <f>IFERROR(INDEX(DraftResults[[#All],[Team Name]],MATCH(Table5[[#This Row],[PID]],DraftResults[[#All],[Player ID]],0)),"")</f>
        <v/>
      </c>
      <c r="AC662" s="52" t="str">
        <f>IF(Table5[[#This Row],[Ovr]]="","",IF(Table5[[#This Row],[cmbList]]="","",Table5[[#This Row],[cmbList]]-Table5[[#This Row],[Ovr]]))</f>
        <v/>
      </c>
      <c r="AD662" s="56" t="str">
        <f>IF(ISERROR(VLOOKUP($AB662&amp;"-"&amp;$E662&amp;" "&amp;F662,Bonuses!$B$1:$G$1006,4,FALSE)),"",INT(VLOOKUP($AB662&amp;"-"&amp;$E662&amp;" "&amp;$F662,Bonuses!$B$1:$G$1006,4,FALSE)))</f>
        <v/>
      </c>
      <c r="AE6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3" spans="1:31" s="52" customFormat="1" x14ac:dyDescent="0.25">
      <c r="A663" s="52">
        <v>6386</v>
      </c>
      <c r="B663" s="52">
        <f>COUNTIF(Table5[PID],A663)</f>
        <v>1</v>
      </c>
      <c r="C663" s="52" t="str">
        <f>IF(COUNTIF(Table3[[#All],[PID]],A663)&gt;0,"P","B")</f>
        <v>B</v>
      </c>
      <c r="D663" s="61" t="str">
        <f>IF($C663="B",INDEX(Batters[[#All],[POS]],MATCH(Table5[[#This Row],[PID]],Batters[[#All],[PID]],0)),INDEX(Table3[[#All],[POS]],MATCH(Table5[[#This Row],[PID]],Table3[[#All],[PID]],0)))</f>
        <v>C</v>
      </c>
      <c r="E663" s="54" t="str">
        <f>IF($C663="B",INDEX(Batters[[#All],[First]],MATCH(Table5[[#This Row],[PID]],Batters[[#All],[PID]],0)),INDEX(Table3[[#All],[First]],MATCH(Table5[[#This Row],[PID]],Table3[[#All],[PID]],0)))</f>
        <v>Hikaru</v>
      </c>
      <c r="F663" s="52" t="str">
        <f>IF($C663="B",INDEX(Batters[[#All],[Last]],MATCH(A663,Batters[[#All],[PID]],0)),INDEX(Table3[[#All],[Last]],MATCH(A663,Table3[[#All],[PID]],0)))</f>
        <v>Fujii</v>
      </c>
      <c r="G663" s="58">
        <f>IF($C663="B",INDEX(Batters[[#All],[Age]],MATCH(Table5[[#This Row],[PID]],Batters[[#All],[PID]],0)),INDEX(Table3[[#All],[Age]],MATCH(Table5[[#This Row],[PID]],Table3[[#All],[PID]],0)))</f>
        <v>22</v>
      </c>
      <c r="H663" s="54" t="str">
        <f>IF($C663="B",INDEX(Batters[[#All],[B]],MATCH(Table5[[#This Row],[PID]],Batters[[#All],[PID]],0)),INDEX(Table3[[#All],[B]],MATCH(Table5[[#This Row],[PID]],Table3[[#All],[PID]],0)))</f>
        <v>R</v>
      </c>
      <c r="I663" s="54" t="str">
        <f>IF($C663="B",INDEX(Batters[[#All],[T]],MATCH(Table5[[#This Row],[PID]],Batters[[#All],[PID]],0)),INDEX(Table3[[#All],[T]],MATCH(Table5[[#This Row],[PID]],Table3[[#All],[PID]],0)))</f>
        <v>R</v>
      </c>
      <c r="J663" s="54" t="str">
        <f>IF($C663="B",INDEX(Batters[[#All],[WE]],MATCH(Table5[[#This Row],[PID]],Batters[[#All],[PID]],0)),INDEX(Table3[[#All],[WE]],MATCH(Table5[[#This Row],[PID]],Table3[[#All],[PID]],0)))</f>
        <v>Low</v>
      </c>
      <c r="K663" s="54" t="str">
        <f>IF($C663="B",INDEX(Batters[[#All],[INT]],MATCH(Table5[[#This Row],[PID]],Batters[[#All],[PID]],0)),INDEX(Table3[[#All],[INT]],MATCH(Table5[[#This Row],[PID]],Table3[[#All],[PID]],0)))</f>
        <v>Normal</v>
      </c>
      <c r="L663" s="62">
        <f>IF($C663="B",INDEX(Batters[[#All],[CON P]],MATCH(Table5[[#This Row],[PID]],Batters[[#All],[PID]],0)),INDEX(Table3[[#All],[STU P]],MATCH(Table5[[#This Row],[PID]],Table3[[#All],[PID]],0)))</f>
        <v>3</v>
      </c>
      <c r="M663" s="58">
        <f>IF($C663="B",INDEX(Batters[[#All],[GAP P]],MATCH(Table5[[#This Row],[PID]],Batters[[#All],[PID]],0)),INDEX(Table3[[#All],[MOV P]],MATCH(Table5[[#This Row],[PID]],Table3[[#All],[PID]],0)))</f>
        <v>3</v>
      </c>
      <c r="N663" s="58">
        <f>IF($C663="B",INDEX(Batters[[#All],[POW P]],MATCH(Table5[[#This Row],[PID]],Batters[[#All],[PID]],0)),INDEX(Table3[[#All],[CON P]],MATCH(Table5[[#This Row],[PID]],Table3[[#All],[PID]],0)))</f>
        <v>3</v>
      </c>
      <c r="O663" s="58">
        <f>IF($C663="B",INDEX(Batters[[#All],[EYE P]],MATCH(Table5[[#This Row],[PID]],Batters[[#All],[PID]],0)),INDEX(Table3[[#All],[VELO]],MATCH(Table5[[#This Row],[PID]],Table3[[#All],[PID]],0)))</f>
        <v>5</v>
      </c>
      <c r="P663" s="58">
        <f>IF($C663="B",INDEX(Batters[[#All],[K P]],MATCH(Table5[[#This Row],[PID]],Batters[[#All],[PID]],0)),INDEX(Table3[[#All],[STM]],MATCH(Table5[[#This Row],[PID]],Table3[[#All],[PID]],0)))</f>
        <v>5</v>
      </c>
      <c r="Q663" s="63">
        <f>IF($C663="B",INDEX(Batters[[#All],[Tot]],MATCH(Table5[[#This Row],[PID]],Batters[[#All],[PID]],0)),INDEX(Table3[[#All],[Tot]],MATCH(Table5[[#This Row],[PID]],Table3[[#All],[PID]],0)))</f>
        <v>37.855431218406196</v>
      </c>
      <c r="R663" s="54">
        <f>IF($C663="B",INDEX(Batters[[#All],[zScore]],MATCH(Table5[[#This Row],[PID]],Batters[[#All],[PID]],0)),INDEX(Table3[[#All],[zScore]],MATCH(Table5[[#This Row],[PID]],Table3[[#All],[PID]],0)))</f>
        <v>-0.43859443177819302</v>
      </c>
      <c r="S663" s="60" t="str">
        <f>IF($C663="B",INDEX(Batters[[#All],[DEM]],MATCH(Table5[[#This Row],[PID]],Batters[[#All],[PID]],0)),INDEX(Table3[[#All],[DEM]],MATCH(Table5[[#This Row],[PID]],Table3[[#All],[PID]],0)))</f>
        <v>-</v>
      </c>
      <c r="T663" s="64">
        <f>IF($C663="B",VLOOKUP($A663,Bat!$A$4:$AU$1417,46,FALSE),VLOOKUP($A663,Pit!$A$4:$BD$570,55,FALSE))</f>
        <v>0</v>
      </c>
      <c r="U663" s="52">
        <f>IF($C663="B",VLOOKUP($A663,Bat!$A$4:$BA$1417,47,FALSE),VLOOKUP($A663,Pit!$A$4:$BF$570,56,FALSE))</f>
        <v>0</v>
      </c>
      <c r="V663" s="52">
        <f>IF($C663="B",VLOOKUP($A663,Bat!$A$4:$BA$1417,48,FALSE),VLOOKUP($A663,Pit!$A$4:$BF$570,57,FALSE))</f>
        <v>0</v>
      </c>
      <c r="W663" s="52">
        <f>Table5[[#This Row],[posRnk]]+Table5[[#This Row],[zRnk]]+IF($W$3&lt;&gt;Table5[[#This Row],[Type]],50,0)</f>
        <v>709</v>
      </c>
      <c r="X663" s="53">
        <f>RANK(Table5[[#This Row],[zScore]],Table5[[#All],[zScore]])</f>
        <v>659</v>
      </c>
      <c r="Y663" s="52" t="str">
        <f>IFERROR(INDEX(DraftResults[[#All],[OVR]],MATCH(Table5[[#This Row],[PID]],DraftResults[[#All],[Player ID]],0)),"")</f>
        <v/>
      </c>
      <c r="Z6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3" s="52" t="str">
        <f>IFERROR(INDEX(DraftResults[[#All],[Pick in Round]],MATCH(Table5[[#This Row],[PID]],DraftResults[[#All],[Player ID]],0)),"")</f>
        <v/>
      </c>
      <c r="AB663" s="52" t="str">
        <f>IFERROR(INDEX(DraftResults[[#All],[Team Name]],MATCH(Table5[[#This Row],[PID]],DraftResults[[#All],[Player ID]],0)),"")</f>
        <v/>
      </c>
      <c r="AC663" s="52" t="str">
        <f>IF(Table5[[#This Row],[Ovr]]="","",IF(Table5[[#This Row],[cmbList]]="","",Table5[[#This Row],[cmbList]]-Table5[[#This Row],[Ovr]]))</f>
        <v/>
      </c>
      <c r="AD663" s="56" t="str">
        <f>IF(ISERROR(VLOOKUP($AB663&amp;"-"&amp;$E663&amp;" "&amp;F663,Bonuses!$B$1:$G$1006,4,FALSE)),"",INT(VLOOKUP($AB663&amp;"-"&amp;$E663&amp;" "&amp;$F663,Bonuses!$B$1:$G$1006,4,FALSE)))</f>
        <v/>
      </c>
      <c r="AE6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4" spans="1:31" s="52" customFormat="1" x14ac:dyDescent="0.25">
      <c r="A664" s="52">
        <v>10095</v>
      </c>
      <c r="B664" s="52">
        <f>COUNTIF(Table5[PID],A664)</f>
        <v>1</v>
      </c>
      <c r="C664" s="52" t="str">
        <f>IF(COUNTIF(Table3[[#All],[PID]],A664)&gt;0,"P","B")</f>
        <v>B</v>
      </c>
      <c r="D664" s="61" t="str">
        <f>IF($C664="B",INDEX(Batters[[#All],[POS]],MATCH(Table5[[#This Row],[PID]],Batters[[#All],[PID]],0)),INDEX(Table3[[#All],[POS]],MATCH(Table5[[#This Row],[PID]],Table3[[#All],[PID]],0)))</f>
        <v>C</v>
      </c>
      <c r="E664" s="54" t="str">
        <f>IF($C664="B",INDEX(Batters[[#All],[First]],MATCH(Table5[[#This Row],[PID]],Batters[[#All],[PID]],0)),INDEX(Table3[[#All],[First]],MATCH(Table5[[#This Row],[PID]],Table3[[#All],[PID]],0)))</f>
        <v>Whit</v>
      </c>
      <c r="F664" s="52" t="str">
        <f>IF($C664="B",INDEX(Batters[[#All],[Last]],MATCH(A664,Batters[[#All],[PID]],0)),INDEX(Table3[[#All],[Last]],MATCH(A664,Table3[[#All],[PID]],0)))</f>
        <v>McCormick</v>
      </c>
      <c r="G664" s="58">
        <f>IF($C664="B",INDEX(Batters[[#All],[Age]],MATCH(Table5[[#This Row],[PID]],Batters[[#All],[PID]],0)),INDEX(Table3[[#All],[Age]],MATCH(Table5[[#This Row],[PID]],Table3[[#All],[PID]],0)))</f>
        <v>21</v>
      </c>
      <c r="H664" s="54" t="str">
        <f>IF($C664="B",INDEX(Batters[[#All],[B]],MATCH(Table5[[#This Row],[PID]],Batters[[#All],[PID]],0)),INDEX(Table3[[#All],[B]],MATCH(Table5[[#This Row],[PID]],Table3[[#All],[PID]],0)))</f>
        <v>R</v>
      </c>
      <c r="I664" s="54" t="str">
        <f>IF($C664="B",INDEX(Batters[[#All],[T]],MATCH(Table5[[#This Row],[PID]],Batters[[#All],[PID]],0)),INDEX(Table3[[#All],[T]],MATCH(Table5[[#This Row],[PID]],Table3[[#All],[PID]],0)))</f>
        <v>R</v>
      </c>
      <c r="J664" s="54" t="str">
        <f>IF($C664="B",INDEX(Batters[[#All],[WE]],MATCH(Table5[[#This Row],[PID]],Batters[[#All],[PID]],0)),INDEX(Table3[[#All],[WE]],MATCH(Table5[[#This Row],[PID]],Table3[[#All],[PID]],0)))</f>
        <v>High</v>
      </c>
      <c r="K664" s="54" t="str">
        <f>IF($C664="B",INDEX(Batters[[#All],[INT]],MATCH(Table5[[#This Row],[PID]],Batters[[#All],[PID]],0)),INDEX(Table3[[#All],[INT]],MATCH(Table5[[#This Row],[PID]],Table3[[#All],[PID]],0)))</f>
        <v>Normal</v>
      </c>
      <c r="L664" s="62">
        <f>IF($C664="B",INDEX(Batters[[#All],[CON P]],MATCH(Table5[[#This Row],[PID]],Batters[[#All],[PID]],0)),INDEX(Table3[[#All],[STU P]],MATCH(Table5[[#This Row],[PID]],Table3[[#All],[PID]],0)))</f>
        <v>3</v>
      </c>
      <c r="M664" s="58">
        <f>IF($C664="B",INDEX(Batters[[#All],[GAP P]],MATCH(Table5[[#This Row],[PID]],Batters[[#All],[PID]],0)),INDEX(Table3[[#All],[MOV P]],MATCH(Table5[[#This Row],[PID]],Table3[[#All],[PID]],0)))</f>
        <v>4</v>
      </c>
      <c r="N664" s="58">
        <f>IF($C664="B",INDEX(Batters[[#All],[POW P]],MATCH(Table5[[#This Row],[PID]],Batters[[#All],[PID]],0)),INDEX(Table3[[#All],[CON P]],MATCH(Table5[[#This Row],[PID]],Table3[[#All],[PID]],0)))</f>
        <v>3</v>
      </c>
      <c r="O664" s="58">
        <f>IF($C664="B",INDEX(Batters[[#All],[EYE P]],MATCH(Table5[[#This Row],[PID]],Batters[[#All],[PID]],0)),INDEX(Table3[[#All],[VELO]],MATCH(Table5[[#This Row],[PID]],Table3[[#All],[PID]],0)))</f>
        <v>5</v>
      </c>
      <c r="P664" s="58">
        <f>IF($C664="B",INDEX(Batters[[#All],[K P]],MATCH(Table5[[#This Row],[PID]],Batters[[#All],[PID]],0)),INDEX(Table3[[#All],[STM]],MATCH(Table5[[#This Row],[PID]],Table3[[#All],[PID]],0)))</f>
        <v>2</v>
      </c>
      <c r="Q664" s="63">
        <f>IF($C664="B",INDEX(Batters[[#All],[Tot]],MATCH(Table5[[#This Row],[PID]],Batters[[#All],[PID]],0)),INDEX(Table3[[#All],[Tot]],MATCH(Table5[[#This Row],[PID]],Table3[[#All],[PID]],0)))</f>
        <v>37.852281168048869</v>
      </c>
      <c r="R664" s="54">
        <f>IF($C664="B",INDEX(Batters[[#All],[zScore]],MATCH(Table5[[#This Row],[PID]],Batters[[#All],[PID]],0)),INDEX(Table3[[#All],[zScore]],MATCH(Table5[[#This Row],[PID]],Table3[[#All],[PID]],0)))</f>
        <v>-0.43914866220237436</v>
      </c>
      <c r="S664" s="60" t="str">
        <f>IF($C664="B",INDEX(Batters[[#All],[DEM]],MATCH(Table5[[#This Row],[PID]],Batters[[#All],[PID]],0)),INDEX(Table3[[#All],[DEM]],MATCH(Table5[[#This Row],[PID]],Table3[[#All],[PID]],0)))</f>
        <v>-</v>
      </c>
      <c r="T664" s="64">
        <f>IF($C664="B",VLOOKUP($A664,Bat!$A$4:$AU$1417,46,FALSE),VLOOKUP($A664,Pit!$A$4:$BD$570,55,FALSE))</f>
        <v>0</v>
      </c>
      <c r="U664" s="52">
        <f>IF($C664="B",VLOOKUP($A664,Bat!$A$4:$BA$1417,47,FALSE),VLOOKUP($A664,Pit!$A$4:$BF$570,56,FALSE))</f>
        <v>0</v>
      </c>
      <c r="V664" s="52">
        <f>IF($C664="B",VLOOKUP($A664,Bat!$A$4:$BA$1417,48,FALSE),VLOOKUP($A664,Pit!$A$4:$BF$570,57,FALSE))</f>
        <v>0</v>
      </c>
      <c r="W664" s="52">
        <f>Table5[[#This Row],[posRnk]]+Table5[[#This Row],[zRnk]]+IF($W$3&lt;&gt;Table5[[#This Row],[Type]],50,0)</f>
        <v>710</v>
      </c>
      <c r="X664" s="53">
        <f>RANK(Table5[[#This Row],[zScore]],Table5[[#All],[zScore]])</f>
        <v>660</v>
      </c>
      <c r="Y664" s="52" t="str">
        <f>IFERROR(INDEX(DraftResults[[#All],[OVR]],MATCH(Table5[[#This Row],[PID]],DraftResults[[#All],[Player ID]],0)),"")</f>
        <v/>
      </c>
      <c r="Z6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4" s="52" t="str">
        <f>IFERROR(INDEX(DraftResults[[#All],[Pick in Round]],MATCH(Table5[[#This Row],[PID]],DraftResults[[#All],[Player ID]],0)),"")</f>
        <v/>
      </c>
      <c r="AB664" s="52" t="str">
        <f>IFERROR(INDEX(DraftResults[[#All],[Team Name]],MATCH(Table5[[#This Row],[PID]],DraftResults[[#All],[Player ID]],0)),"")</f>
        <v/>
      </c>
      <c r="AC664" s="52" t="str">
        <f>IF(Table5[[#This Row],[Ovr]]="","",IF(Table5[[#This Row],[cmbList]]="","",Table5[[#This Row],[cmbList]]-Table5[[#This Row],[Ovr]]))</f>
        <v/>
      </c>
      <c r="AD664" s="56" t="str">
        <f>IF(ISERROR(VLOOKUP($AB664&amp;"-"&amp;$E664&amp;" "&amp;F664,Bonuses!$B$1:$G$1006,4,FALSE)),"",INT(VLOOKUP($AB664&amp;"-"&amp;$E664&amp;" "&amp;$F664,Bonuses!$B$1:$G$1006,4,FALSE)))</f>
        <v/>
      </c>
      <c r="AE6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5" spans="1:31" s="52" customFormat="1" x14ac:dyDescent="0.25">
      <c r="A665" s="52">
        <v>12772</v>
      </c>
      <c r="B665" s="52">
        <f>COUNTIF(Table5[PID],A665)</f>
        <v>1</v>
      </c>
      <c r="C665" s="52" t="str">
        <f>IF(COUNTIF(Table3[[#All],[PID]],A665)&gt;0,"P","B")</f>
        <v>P</v>
      </c>
      <c r="D665" s="61" t="str">
        <f>IF($C665="B",INDEX(Batters[[#All],[POS]],MATCH(Table5[[#This Row],[PID]],Batters[[#All],[PID]],0)),INDEX(Table3[[#All],[POS]],MATCH(Table5[[#This Row],[PID]],Table3[[#All],[PID]],0)))</f>
        <v>SP</v>
      </c>
      <c r="E665" s="54" t="str">
        <f>IF($C665="B",INDEX(Batters[[#All],[First]],MATCH(Table5[[#This Row],[PID]],Batters[[#All],[PID]],0)),INDEX(Table3[[#All],[First]],MATCH(Table5[[#This Row],[PID]],Table3[[#All],[PID]],0)))</f>
        <v>Juriaan</v>
      </c>
      <c r="F665" s="52" t="str">
        <f>IF($C665="B",INDEX(Batters[[#All],[Last]],MATCH(A665,Batters[[#All],[PID]],0)),INDEX(Table3[[#All],[Last]],MATCH(A665,Table3[[#All],[PID]],0)))</f>
        <v>Quik</v>
      </c>
      <c r="G665" s="58">
        <f>IF($C665="B",INDEX(Batters[[#All],[Age]],MATCH(Table5[[#This Row],[PID]],Batters[[#All],[PID]],0)),INDEX(Table3[[#All],[Age]],MATCH(Table5[[#This Row],[PID]],Table3[[#All],[PID]],0)))</f>
        <v>21</v>
      </c>
      <c r="H665" s="54" t="str">
        <f>IF($C665="B",INDEX(Batters[[#All],[B]],MATCH(Table5[[#This Row],[PID]],Batters[[#All],[PID]],0)),INDEX(Table3[[#All],[B]],MATCH(Table5[[#This Row],[PID]],Table3[[#All],[PID]],0)))</f>
        <v>R</v>
      </c>
      <c r="I665" s="54" t="str">
        <f>IF($C665="B",INDEX(Batters[[#All],[T]],MATCH(Table5[[#This Row],[PID]],Batters[[#All],[PID]],0)),INDEX(Table3[[#All],[T]],MATCH(Table5[[#This Row],[PID]],Table3[[#All],[PID]],0)))</f>
        <v>R</v>
      </c>
      <c r="J665" s="54" t="str">
        <f>IF($C665="B",INDEX(Batters[[#All],[WE]],MATCH(Table5[[#This Row],[PID]],Batters[[#All],[PID]],0)),INDEX(Table3[[#All],[WE]],MATCH(Table5[[#This Row],[PID]],Table3[[#All],[PID]],0)))</f>
        <v>High</v>
      </c>
      <c r="K665" s="54" t="str">
        <f>IF($C665="B",INDEX(Batters[[#All],[INT]],MATCH(Table5[[#This Row],[PID]],Batters[[#All],[PID]],0)),INDEX(Table3[[#All],[INT]],MATCH(Table5[[#This Row],[PID]],Table3[[#All],[PID]],0)))</f>
        <v>Normal</v>
      </c>
      <c r="L665" s="62">
        <f>IF($C665="B",INDEX(Batters[[#All],[CON P]],MATCH(Table5[[#This Row],[PID]],Batters[[#All],[PID]],0)),INDEX(Table3[[#All],[STU P]],MATCH(Table5[[#This Row],[PID]],Table3[[#All],[PID]],0)))</f>
        <v>4</v>
      </c>
      <c r="M665" s="58">
        <f>IF($C665="B",INDEX(Batters[[#All],[GAP P]],MATCH(Table5[[#This Row],[PID]],Batters[[#All],[PID]],0)),INDEX(Table3[[#All],[MOV P]],MATCH(Table5[[#This Row],[PID]],Table3[[#All],[PID]],0)))</f>
        <v>1</v>
      </c>
      <c r="N665" s="58">
        <f>IF($C665="B",INDEX(Batters[[#All],[POW P]],MATCH(Table5[[#This Row],[PID]],Batters[[#All],[PID]],0)),INDEX(Table3[[#All],[CON P]],MATCH(Table5[[#This Row],[PID]],Table3[[#All],[PID]],0)))</f>
        <v>3</v>
      </c>
      <c r="O665" s="58" t="str">
        <f>IF($C665="B",INDEX(Batters[[#All],[EYE P]],MATCH(Table5[[#This Row],[PID]],Batters[[#All],[PID]],0)),INDEX(Table3[[#All],[VELO]],MATCH(Table5[[#This Row],[PID]],Table3[[#All],[PID]],0)))</f>
        <v>90-92 Mph</v>
      </c>
      <c r="P665" s="58">
        <f>IF($C665="B",INDEX(Batters[[#All],[K P]],MATCH(Table5[[#This Row],[PID]],Batters[[#All],[PID]],0)),INDEX(Table3[[#All],[STM]],MATCH(Table5[[#This Row],[PID]],Table3[[#All],[PID]],0)))</f>
        <v>9</v>
      </c>
      <c r="Q665" s="63">
        <f>IF($C665="B",INDEX(Batters[[#All],[Tot]],MATCH(Table5[[#This Row],[PID]],Batters[[#All],[PID]],0)),INDEX(Table3[[#All],[Tot]],MATCH(Table5[[#This Row],[PID]],Table3[[#All],[PID]],0)))</f>
        <v>27.826617898623429</v>
      </c>
      <c r="R665" s="54">
        <f>IF($C665="B",INDEX(Batters[[#All],[zScore]],MATCH(Table5[[#This Row],[PID]],Batters[[#All],[PID]],0)),INDEX(Table3[[#All],[zScore]],MATCH(Table5[[#This Row],[PID]],Table3[[#All],[PID]],0)))</f>
        <v>-0.44895046638867359</v>
      </c>
      <c r="S665" s="60" t="str">
        <f>IF($C665="B",INDEX(Batters[[#All],[DEM]],MATCH(Table5[[#This Row],[PID]],Batters[[#All],[PID]],0)),INDEX(Table3[[#All],[DEM]],MATCH(Table5[[#This Row],[PID]],Table3[[#All],[PID]],0)))</f>
        <v>-</v>
      </c>
      <c r="T665" s="64">
        <f>IF($C665="B",VLOOKUP($A665,Bat!$A$4:$AU$1417,46,FALSE),VLOOKUP($A665,Pit!$A$4:$BD$570,55,FALSE))</f>
        <v>0</v>
      </c>
      <c r="U665" s="52">
        <f>IF($C665="B",VLOOKUP($A665,Bat!$A$4:$BA$1417,47,FALSE),VLOOKUP($A665,Pit!$A$4:$BF$570,56,FALSE))</f>
        <v>0</v>
      </c>
      <c r="V665" s="52">
        <f>IF($C665="B",VLOOKUP($A665,Bat!$A$4:$BA$1417,48,FALSE),VLOOKUP($A665,Pit!$A$4:$BF$570,57,FALSE))</f>
        <v>0</v>
      </c>
      <c r="W665" s="52">
        <f>Table5[[#This Row],[posRnk]]+Table5[[#This Row],[zRnk]]+IF($W$3&lt;&gt;Table5[[#This Row],[Type]],50,0)</f>
        <v>711</v>
      </c>
      <c r="X665" s="53">
        <f>RANK(Table5[[#This Row],[zScore]],Table5[[#All],[zScore]])</f>
        <v>661</v>
      </c>
      <c r="Y665" s="52" t="str">
        <f>IFERROR(INDEX(DraftResults[[#All],[OVR]],MATCH(Table5[[#This Row],[PID]],DraftResults[[#All],[Player ID]],0)),"")</f>
        <v/>
      </c>
      <c r="Z6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5" s="52" t="str">
        <f>IFERROR(INDEX(DraftResults[[#All],[Pick in Round]],MATCH(Table5[[#This Row],[PID]],DraftResults[[#All],[Player ID]],0)),"")</f>
        <v/>
      </c>
      <c r="AB665" s="52" t="str">
        <f>IFERROR(INDEX(DraftResults[[#All],[Team Name]],MATCH(Table5[[#This Row],[PID]],DraftResults[[#All],[Player ID]],0)),"")</f>
        <v/>
      </c>
      <c r="AC665" s="52" t="str">
        <f>IF(Table5[[#This Row],[Ovr]]="","",IF(Table5[[#This Row],[cmbList]]="","",Table5[[#This Row],[cmbList]]-Table5[[#This Row],[Ovr]]))</f>
        <v/>
      </c>
      <c r="AD665" s="56" t="str">
        <f>IF(ISERROR(VLOOKUP($AB665&amp;"-"&amp;$E665&amp;" "&amp;F665,Bonuses!$B$1:$G$1006,4,FALSE)),"",INT(VLOOKUP($AB665&amp;"-"&amp;$E665&amp;" "&amp;$F665,Bonuses!$B$1:$G$1006,4,FALSE)))</f>
        <v/>
      </c>
      <c r="AE6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6" spans="1:31" s="52" customFormat="1" x14ac:dyDescent="0.25">
      <c r="A666" s="52">
        <v>9231</v>
      </c>
      <c r="B666" s="52">
        <f>COUNTIF(Table5[PID],A666)</f>
        <v>1</v>
      </c>
      <c r="C666" s="52" t="str">
        <f>IF(COUNTIF(Table3[[#All],[PID]],A666)&gt;0,"P","B")</f>
        <v>P</v>
      </c>
      <c r="D666" s="61" t="str">
        <f>IF($C666="B",INDEX(Batters[[#All],[POS]],MATCH(Table5[[#This Row],[PID]],Batters[[#All],[PID]],0)),INDEX(Table3[[#All],[POS]],MATCH(Table5[[#This Row],[PID]],Table3[[#All],[PID]],0)))</f>
        <v>RP</v>
      </c>
      <c r="E666" s="54" t="str">
        <f>IF($C666="B",INDEX(Batters[[#All],[First]],MATCH(Table5[[#This Row],[PID]],Batters[[#All],[PID]],0)),INDEX(Table3[[#All],[First]],MATCH(Table5[[#This Row],[PID]],Table3[[#All],[PID]],0)))</f>
        <v>Steve</v>
      </c>
      <c r="F666" s="52" t="str">
        <f>IF($C666="B",INDEX(Batters[[#All],[Last]],MATCH(A666,Batters[[#All],[PID]],0)),INDEX(Table3[[#All],[Last]],MATCH(A666,Table3[[#All],[PID]],0)))</f>
        <v>Horton</v>
      </c>
      <c r="G666" s="58">
        <f>IF($C666="B",INDEX(Batters[[#All],[Age]],MATCH(Table5[[#This Row],[PID]],Batters[[#All],[PID]],0)),INDEX(Table3[[#All],[Age]],MATCH(Table5[[#This Row],[PID]],Table3[[#All],[PID]],0)))</f>
        <v>21</v>
      </c>
      <c r="H666" s="54" t="str">
        <f>IF($C666="B",INDEX(Batters[[#All],[B]],MATCH(Table5[[#This Row],[PID]],Batters[[#All],[PID]],0)),INDEX(Table3[[#All],[B]],MATCH(Table5[[#This Row],[PID]],Table3[[#All],[PID]],0)))</f>
        <v>L</v>
      </c>
      <c r="I666" s="54" t="str">
        <f>IF($C666="B",INDEX(Batters[[#All],[T]],MATCH(Table5[[#This Row],[PID]],Batters[[#All],[PID]],0)),INDEX(Table3[[#All],[T]],MATCH(Table5[[#This Row],[PID]],Table3[[#All],[PID]],0)))</f>
        <v>L</v>
      </c>
      <c r="J666" s="54" t="str">
        <f>IF($C666="B",INDEX(Batters[[#All],[WE]],MATCH(Table5[[#This Row],[PID]],Batters[[#All],[PID]],0)),INDEX(Table3[[#All],[WE]],MATCH(Table5[[#This Row],[PID]],Table3[[#All],[PID]],0)))</f>
        <v>Normal</v>
      </c>
      <c r="K666" s="54" t="str">
        <f>IF($C666="B",INDEX(Batters[[#All],[INT]],MATCH(Table5[[#This Row],[PID]],Batters[[#All],[PID]],0)),INDEX(Table3[[#All],[INT]],MATCH(Table5[[#This Row],[PID]],Table3[[#All],[PID]],0)))</f>
        <v>Normal</v>
      </c>
      <c r="L666" s="62">
        <f>IF($C666="B",INDEX(Batters[[#All],[CON P]],MATCH(Table5[[#This Row],[PID]],Batters[[#All],[PID]],0)),INDEX(Table3[[#All],[STU P]],MATCH(Table5[[#This Row],[PID]],Table3[[#All],[PID]],0)))</f>
        <v>5</v>
      </c>
      <c r="M666" s="58">
        <f>IF($C666="B",INDEX(Batters[[#All],[GAP P]],MATCH(Table5[[#This Row],[PID]],Batters[[#All],[PID]],0)),INDEX(Table3[[#All],[MOV P]],MATCH(Table5[[#This Row],[PID]],Table3[[#All],[PID]],0)))</f>
        <v>2</v>
      </c>
      <c r="N666" s="58">
        <f>IF($C666="B",INDEX(Batters[[#All],[POW P]],MATCH(Table5[[#This Row],[PID]],Batters[[#All],[PID]],0)),INDEX(Table3[[#All],[CON P]],MATCH(Table5[[#This Row],[PID]],Table3[[#All],[PID]],0)))</f>
        <v>3</v>
      </c>
      <c r="O666" s="58" t="str">
        <f>IF($C666="B",INDEX(Batters[[#All],[EYE P]],MATCH(Table5[[#This Row],[PID]],Batters[[#All],[PID]],0)),INDEX(Table3[[#All],[VELO]],MATCH(Table5[[#This Row],[PID]],Table3[[#All],[PID]],0)))</f>
        <v>92-94 Mph</v>
      </c>
      <c r="P666" s="58">
        <f>IF($C666="B",INDEX(Batters[[#All],[K P]],MATCH(Table5[[#This Row],[PID]],Batters[[#All],[PID]],0)),INDEX(Table3[[#All],[STM]],MATCH(Table5[[#This Row],[PID]],Table3[[#All],[PID]],0)))</f>
        <v>3</v>
      </c>
      <c r="Q666" s="63">
        <f>IF($C666="B",INDEX(Batters[[#All],[Tot]],MATCH(Table5[[#This Row],[PID]],Batters[[#All],[PID]],0)),INDEX(Table3[[#All],[Tot]],MATCH(Table5[[#This Row],[PID]],Table3[[#All],[PID]],0)))</f>
        <v>27.822998159316072</v>
      </c>
      <c r="R666" s="54">
        <f>IF($C666="B",INDEX(Batters[[#All],[zScore]],MATCH(Table5[[#This Row],[PID]],Batters[[#All],[PID]],0)),INDEX(Table3[[#All],[zScore]],MATCH(Table5[[#This Row],[PID]],Table3[[#All],[PID]],0)))</f>
        <v>-0.44928241195424923</v>
      </c>
      <c r="S666" s="60" t="str">
        <f>IF($C666="B",INDEX(Batters[[#All],[DEM]],MATCH(Table5[[#This Row],[PID]],Batters[[#All],[PID]],0)),INDEX(Table3[[#All],[DEM]],MATCH(Table5[[#This Row],[PID]],Table3[[#All],[PID]],0)))</f>
        <v>-</v>
      </c>
      <c r="T666" s="64">
        <f>IF($C666="B",VLOOKUP($A666,Bat!$A$4:$AU$1417,46,FALSE),VLOOKUP($A666,Pit!$A$4:$BD$570,55,FALSE))</f>
        <v>0</v>
      </c>
      <c r="U666" s="52">
        <f>IF($C666="B",VLOOKUP($A666,Bat!$A$4:$BA$1417,47,FALSE),VLOOKUP($A666,Pit!$A$4:$BF$570,56,FALSE))</f>
        <v>0</v>
      </c>
      <c r="V666" s="52">
        <f>IF($C666="B",VLOOKUP($A666,Bat!$A$4:$BA$1417,48,FALSE),VLOOKUP($A666,Pit!$A$4:$BF$570,57,FALSE))</f>
        <v>0</v>
      </c>
      <c r="W666" s="52">
        <f>Table5[[#This Row],[posRnk]]+Table5[[#This Row],[zRnk]]+IF($W$3&lt;&gt;Table5[[#This Row],[Type]],50,0)</f>
        <v>712</v>
      </c>
      <c r="X666" s="53">
        <f>RANK(Table5[[#This Row],[zScore]],Table5[[#All],[zScore]])</f>
        <v>662</v>
      </c>
      <c r="Y666" s="52" t="str">
        <f>IFERROR(INDEX(DraftResults[[#All],[OVR]],MATCH(Table5[[#This Row],[PID]],DraftResults[[#All],[Player ID]],0)),"")</f>
        <v/>
      </c>
      <c r="Z6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6" s="52" t="str">
        <f>IFERROR(INDEX(DraftResults[[#All],[Pick in Round]],MATCH(Table5[[#This Row],[PID]],DraftResults[[#All],[Player ID]],0)),"")</f>
        <v/>
      </c>
      <c r="AB666" s="52" t="str">
        <f>IFERROR(INDEX(DraftResults[[#All],[Team Name]],MATCH(Table5[[#This Row],[PID]],DraftResults[[#All],[Player ID]],0)),"")</f>
        <v/>
      </c>
      <c r="AC666" s="52" t="str">
        <f>IF(Table5[[#This Row],[Ovr]]="","",IF(Table5[[#This Row],[cmbList]]="","",Table5[[#This Row],[cmbList]]-Table5[[#This Row],[Ovr]]))</f>
        <v/>
      </c>
      <c r="AD666" s="56" t="str">
        <f>IF(ISERROR(VLOOKUP($AB666&amp;"-"&amp;$E666&amp;" "&amp;F666,Bonuses!$B$1:$G$1006,4,FALSE)),"",INT(VLOOKUP($AB666&amp;"-"&amp;$E666&amp;" "&amp;$F666,Bonuses!$B$1:$G$1006,4,FALSE)))</f>
        <v/>
      </c>
      <c r="AE6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7" spans="1:31" s="52" customFormat="1" x14ac:dyDescent="0.25">
      <c r="A667" s="52">
        <v>7683</v>
      </c>
      <c r="B667" s="52">
        <f>COUNTIF(Table5[PID],A667)</f>
        <v>1</v>
      </c>
      <c r="C667" s="52" t="str">
        <f>IF(COUNTIF(Table3[[#All],[PID]],A667)&gt;0,"P","B")</f>
        <v>P</v>
      </c>
      <c r="D667" s="61" t="str">
        <f>IF($C667="B",INDEX(Batters[[#All],[POS]],MATCH(Table5[[#This Row],[PID]],Batters[[#All],[PID]],0)),INDEX(Table3[[#All],[POS]],MATCH(Table5[[#This Row],[PID]],Table3[[#All],[PID]],0)))</f>
        <v>SP</v>
      </c>
      <c r="E667" s="54" t="str">
        <f>IF($C667="B",INDEX(Batters[[#All],[First]],MATCH(Table5[[#This Row],[PID]],Batters[[#All],[PID]],0)),INDEX(Table3[[#All],[First]],MATCH(Table5[[#This Row],[PID]],Table3[[#All],[PID]],0)))</f>
        <v>Esteban</v>
      </c>
      <c r="F667" s="52" t="str">
        <f>IF($C667="B",INDEX(Batters[[#All],[Last]],MATCH(A667,Batters[[#All],[PID]],0)),INDEX(Table3[[#All],[Last]],MATCH(A667,Table3[[#All],[PID]],0)))</f>
        <v>Bryant</v>
      </c>
      <c r="G667" s="58">
        <f>IF($C667="B",INDEX(Batters[[#All],[Age]],MATCH(Table5[[#This Row],[PID]],Batters[[#All],[PID]],0)),INDEX(Table3[[#All],[Age]],MATCH(Table5[[#This Row],[PID]],Table3[[#All],[PID]],0)))</f>
        <v>18</v>
      </c>
      <c r="H667" s="54" t="str">
        <f>IF($C667="B",INDEX(Batters[[#All],[B]],MATCH(Table5[[#This Row],[PID]],Batters[[#All],[PID]],0)),INDEX(Table3[[#All],[B]],MATCH(Table5[[#This Row],[PID]],Table3[[#All],[PID]],0)))</f>
        <v>R</v>
      </c>
      <c r="I667" s="54" t="str">
        <f>IF($C667="B",INDEX(Batters[[#All],[T]],MATCH(Table5[[#This Row],[PID]],Batters[[#All],[PID]],0)),INDEX(Table3[[#All],[T]],MATCH(Table5[[#This Row],[PID]],Table3[[#All],[PID]],0)))</f>
        <v>R</v>
      </c>
      <c r="J667" s="54" t="str">
        <f>IF($C667="B",INDEX(Batters[[#All],[WE]],MATCH(Table5[[#This Row],[PID]],Batters[[#All],[PID]],0)),INDEX(Table3[[#All],[WE]],MATCH(Table5[[#This Row],[PID]],Table3[[#All],[PID]],0)))</f>
        <v>Low</v>
      </c>
      <c r="K667" s="54" t="str">
        <f>IF($C667="B",INDEX(Batters[[#All],[INT]],MATCH(Table5[[#This Row],[PID]],Batters[[#All],[PID]],0)),INDEX(Table3[[#All],[INT]],MATCH(Table5[[#This Row],[PID]],Table3[[#All],[PID]],0)))</f>
        <v>Normal</v>
      </c>
      <c r="L667" s="62">
        <f>IF($C667="B",INDEX(Batters[[#All],[CON P]],MATCH(Table5[[#This Row],[PID]],Batters[[#All],[PID]],0)),INDEX(Table3[[#All],[STU P]],MATCH(Table5[[#This Row],[PID]],Table3[[#All],[PID]],0)))</f>
        <v>4</v>
      </c>
      <c r="M667" s="58">
        <f>IF($C667="B",INDEX(Batters[[#All],[GAP P]],MATCH(Table5[[#This Row],[PID]],Batters[[#All],[PID]],0)),INDEX(Table3[[#All],[MOV P]],MATCH(Table5[[#This Row],[PID]],Table3[[#All],[PID]],0)))</f>
        <v>1</v>
      </c>
      <c r="N667" s="58">
        <f>IF($C667="B",INDEX(Batters[[#All],[POW P]],MATCH(Table5[[#This Row],[PID]],Batters[[#All],[PID]],0)),INDEX(Table3[[#All],[CON P]],MATCH(Table5[[#This Row],[PID]],Table3[[#All],[PID]],0)))</f>
        <v>2</v>
      </c>
      <c r="O667" s="58" t="str">
        <f>IF($C667="B",INDEX(Batters[[#All],[EYE P]],MATCH(Table5[[#This Row],[PID]],Batters[[#All],[PID]],0)),INDEX(Table3[[#All],[VELO]],MATCH(Table5[[#This Row],[PID]],Table3[[#All],[PID]],0)))</f>
        <v>91-93 Mph</v>
      </c>
      <c r="P667" s="58">
        <f>IF($C667="B",INDEX(Batters[[#All],[K P]],MATCH(Table5[[#This Row],[PID]],Batters[[#All],[PID]],0)),INDEX(Table3[[#All],[STM]],MATCH(Table5[[#This Row],[PID]],Table3[[#All],[PID]],0)))</f>
        <v>10</v>
      </c>
      <c r="Q667" s="63">
        <f>IF($C667="B",INDEX(Batters[[#All],[Tot]],MATCH(Table5[[#This Row],[PID]],Batters[[#All],[PID]],0)),INDEX(Table3[[#All],[Tot]],MATCH(Table5[[#This Row],[PID]],Table3[[#All],[PID]],0)))</f>
        <v>27.817804199428565</v>
      </c>
      <c r="R667" s="54">
        <f>IF($C667="B",INDEX(Batters[[#All],[zScore]],MATCH(Table5[[#This Row],[PID]],Batters[[#All],[PID]],0)),INDEX(Table3[[#All],[zScore]],MATCH(Table5[[#This Row],[PID]],Table3[[#All],[PID]],0)))</f>
        <v>-0.44975872027538472</v>
      </c>
      <c r="S667" s="60" t="str">
        <f>IF($C667="B",INDEX(Batters[[#All],[DEM]],MATCH(Table5[[#This Row],[PID]],Batters[[#All],[PID]],0)),INDEX(Table3[[#All],[DEM]],MATCH(Table5[[#This Row],[PID]],Table3[[#All],[PID]],0)))</f>
        <v>$65k</v>
      </c>
      <c r="T667" s="64">
        <f>IF($C667="B",VLOOKUP($A667,Bat!$A$4:$AU$1417,46,FALSE),VLOOKUP($A667,Pit!$A$4:$BD$570,55,FALSE))</f>
        <v>0</v>
      </c>
      <c r="U667" s="52">
        <f>IF($C667="B",VLOOKUP($A667,Bat!$A$4:$BA$1417,47,FALSE),VLOOKUP($A667,Pit!$A$4:$BF$570,56,FALSE))</f>
        <v>0</v>
      </c>
      <c r="V667" s="52">
        <f>IF($C667="B",VLOOKUP($A667,Bat!$A$4:$BA$1417,48,FALSE),VLOOKUP($A667,Pit!$A$4:$BF$570,57,FALSE))</f>
        <v>0</v>
      </c>
      <c r="W667" s="52">
        <f>Table5[[#This Row],[posRnk]]+Table5[[#This Row],[zRnk]]+IF($W$3&lt;&gt;Table5[[#This Row],[Type]],50,0)</f>
        <v>713</v>
      </c>
      <c r="X667" s="53">
        <f>RANK(Table5[[#This Row],[zScore]],Table5[[#All],[zScore]])</f>
        <v>663</v>
      </c>
      <c r="Y667" s="52" t="str">
        <f>IFERROR(INDEX(DraftResults[[#All],[OVR]],MATCH(Table5[[#This Row],[PID]],DraftResults[[#All],[Player ID]],0)),"")</f>
        <v/>
      </c>
      <c r="Z6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7" s="52" t="str">
        <f>IFERROR(INDEX(DraftResults[[#All],[Pick in Round]],MATCH(Table5[[#This Row],[PID]],DraftResults[[#All],[Player ID]],0)),"")</f>
        <v/>
      </c>
      <c r="AB667" s="52" t="str">
        <f>IFERROR(INDEX(DraftResults[[#All],[Team Name]],MATCH(Table5[[#This Row],[PID]],DraftResults[[#All],[Player ID]],0)),"")</f>
        <v/>
      </c>
      <c r="AC667" s="52" t="str">
        <f>IF(Table5[[#This Row],[Ovr]]="","",IF(Table5[[#This Row],[cmbList]]="","",Table5[[#This Row],[cmbList]]-Table5[[#This Row],[Ovr]]))</f>
        <v/>
      </c>
      <c r="AD667" s="56" t="str">
        <f>IF(ISERROR(VLOOKUP($AB667&amp;"-"&amp;$E667&amp;" "&amp;F667,Bonuses!$B$1:$G$1006,4,FALSE)),"",INT(VLOOKUP($AB667&amp;"-"&amp;$E667&amp;" "&amp;$F667,Bonuses!$B$1:$G$1006,4,FALSE)))</f>
        <v/>
      </c>
      <c r="AE6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8" spans="1:31" s="52" customFormat="1" x14ac:dyDescent="0.25">
      <c r="A668" s="52">
        <v>6814</v>
      </c>
      <c r="B668" s="52">
        <f>COUNTIF(Table5[PID],A668)</f>
        <v>1</v>
      </c>
      <c r="C668" s="52" t="str">
        <f>IF(COUNTIF(Table3[[#All],[PID]],A668)&gt;0,"P","B")</f>
        <v>B</v>
      </c>
      <c r="D668" s="61" t="str">
        <f>IF($C668="B",INDEX(Batters[[#All],[POS]],MATCH(Table5[[#This Row],[PID]],Batters[[#All],[PID]],0)),INDEX(Table3[[#All],[POS]],MATCH(Table5[[#This Row],[PID]],Table3[[#All],[PID]],0)))</f>
        <v>C</v>
      </c>
      <c r="E668" s="54" t="str">
        <f>IF($C668="B",INDEX(Batters[[#All],[First]],MATCH(Table5[[#This Row],[PID]],Batters[[#All],[PID]],0)),INDEX(Table3[[#All],[First]],MATCH(Table5[[#This Row],[PID]],Table3[[#All],[PID]],0)))</f>
        <v>Sumio</v>
      </c>
      <c r="F668" s="52" t="str">
        <f>IF($C668="B",INDEX(Batters[[#All],[Last]],MATCH(A668,Batters[[#All],[PID]],0)),INDEX(Table3[[#All],[Last]],MATCH(A668,Table3[[#All],[PID]],0)))</f>
        <v>Tanaka</v>
      </c>
      <c r="G668" s="58">
        <f>IF($C668="B",INDEX(Batters[[#All],[Age]],MATCH(Table5[[#This Row],[PID]],Batters[[#All],[PID]],0)),INDEX(Table3[[#All],[Age]],MATCH(Table5[[#This Row],[PID]],Table3[[#All],[PID]],0)))</f>
        <v>21</v>
      </c>
      <c r="H668" s="54" t="str">
        <f>IF($C668="B",INDEX(Batters[[#All],[B]],MATCH(Table5[[#This Row],[PID]],Batters[[#All],[PID]],0)),INDEX(Table3[[#All],[B]],MATCH(Table5[[#This Row],[PID]],Table3[[#All],[PID]],0)))</f>
        <v>R</v>
      </c>
      <c r="I668" s="54" t="str">
        <f>IF($C668="B",INDEX(Batters[[#All],[T]],MATCH(Table5[[#This Row],[PID]],Batters[[#All],[PID]],0)),INDEX(Table3[[#All],[T]],MATCH(Table5[[#This Row],[PID]],Table3[[#All],[PID]],0)))</f>
        <v>R</v>
      </c>
      <c r="J668" s="54" t="str">
        <f>IF($C668="B",INDEX(Batters[[#All],[WE]],MATCH(Table5[[#This Row],[PID]],Batters[[#All],[PID]],0)),INDEX(Table3[[#All],[WE]],MATCH(Table5[[#This Row],[PID]],Table3[[#All],[PID]],0)))</f>
        <v>Low</v>
      </c>
      <c r="K668" s="54" t="str">
        <f>IF($C668="B",INDEX(Batters[[#All],[INT]],MATCH(Table5[[#This Row],[PID]],Batters[[#All],[PID]],0)),INDEX(Table3[[#All],[INT]],MATCH(Table5[[#This Row],[PID]],Table3[[#All],[PID]],0)))</f>
        <v>High</v>
      </c>
      <c r="L668" s="62">
        <f>IF($C668="B",INDEX(Batters[[#All],[CON P]],MATCH(Table5[[#This Row],[PID]],Batters[[#All],[PID]],0)),INDEX(Table3[[#All],[STU P]],MATCH(Table5[[#This Row],[PID]],Table3[[#All],[PID]],0)))</f>
        <v>3</v>
      </c>
      <c r="M668" s="58">
        <f>IF($C668="B",INDEX(Batters[[#All],[GAP P]],MATCH(Table5[[#This Row],[PID]],Batters[[#All],[PID]],0)),INDEX(Table3[[#All],[MOV P]],MATCH(Table5[[#This Row],[PID]],Table3[[#All],[PID]],0)))</f>
        <v>3</v>
      </c>
      <c r="N668" s="58">
        <f>IF($C668="B",INDEX(Batters[[#All],[POW P]],MATCH(Table5[[#This Row],[PID]],Batters[[#All],[PID]],0)),INDEX(Table3[[#All],[CON P]],MATCH(Table5[[#This Row],[PID]],Table3[[#All],[PID]],0)))</f>
        <v>3</v>
      </c>
      <c r="O668" s="58">
        <f>IF($C668="B",INDEX(Batters[[#All],[EYE P]],MATCH(Table5[[#This Row],[PID]],Batters[[#All],[PID]],0)),INDEX(Table3[[#All],[VELO]],MATCH(Table5[[#This Row],[PID]],Table3[[#All],[PID]],0)))</f>
        <v>7</v>
      </c>
      <c r="P668" s="58">
        <f>IF($C668="B",INDEX(Batters[[#All],[K P]],MATCH(Table5[[#This Row],[PID]],Batters[[#All],[PID]],0)),INDEX(Table3[[#All],[STM]],MATCH(Table5[[#This Row],[PID]],Table3[[#All],[PID]],0)))</f>
        <v>2</v>
      </c>
      <c r="Q668" s="63">
        <f>IF($C668="B",INDEX(Batters[[#All],[Tot]],MATCH(Table5[[#This Row],[PID]],Batters[[#All],[PID]],0)),INDEX(Table3[[#All],[Tot]],MATCH(Table5[[#This Row],[PID]],Table3[[#All],[PID]],0)))</f>
        <v>37.768839872258681</v>
      </c>
      <c r="R668" s="54">
        <f>IF($C668="B",INDEX(Batters[[#All],[zScore]],MATCH(Table5[[#This Row],[PID]],Batters[[#All],[PID]],0)),INDEX(Table3[[#All],[zScore]],MATCH(Table5[[#This Row],[PID]],Table3[[#All],[PID]],0)))</f>
        <v>-0.45382960362049185</v>
      </c>
      <c r="S668" s="60" t="str">
        <f>IF($C668="B",INDEX(Batters[[#All],[DEM]],MATCH(Table5[[#This Row],[PID]],Batters[[#All],[PID]],0)),INDEX(Table3[[#All],[DEM]],MATCH(Table5[[#This Row],[PID]],Table3[[#All],[PID]],0)))</f>
        <v>$20k</v>
      </c>
      <c r="T668" s="64">
        <f>IF($C668="B",VLOOKUP($A668,Bat!$A$4:$AU$1417,46,FALSE),VLOOKUP($A668,Pit!$A$4:$BD$570,55,FALSE))</f>
        <v>0</v>
      </c>
      <c r="U668" s="52">
        <f>IF($C668="B",VLOOKUP($A668,Bat!$A$4:$BA$1417,47,FALSE),VLOOKUP($A668,Pit!$A$4:$BF$570,56,FALSE))</f>
        <v>0</v>
      </c>
      <c r="V668" s="52">
        <f>IF($C668="B",VLOOKUP($A668,Bat!$A$4:$BA$1417,48,FALSE),VLOOKUP($A668,Pit!$A$4:$BF$570,57,FALSE))</f>
        <v>0</v>
      </c>
      <c r="W668" s="52">
        <f>Table5[[#This Row],[posRnk]]+Table5[[#This Row],[zRnk]]+IF($W$3&lt;&gt;Table5[[#This Row],[Type]],50,0)</f>
        <v>714</v>
      </c>
      <c r="X668" s="53">
        <f>RANK(Table5[[#This Row],[zScore]],Table5[[#All],[zScore]])</f>
        <v>664</v>
      </c>
      <c r="Y668" s="52" t="str">
        <f>IFERROR(INDEX(DraftResults[[#All],[OVR]],MATCH(Table5[[#This Row],[PID]],DraftResults[[#All],[Player ID]],0)),"")</f>
        <v/>
      </c>
      <c r="Z6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8" s="52" t="str">
        <f>IFERROR(INDEX(DraftResults[[#All],[Pick in Round]],MATCH(Table5[[#This Row],[PID]],DraftResults[[#All],[Player ID]],0)),"")</f>
        <v/>
      </c>
      <c r="AB668" s="52" t="str">
        <f>IFERROR(INDEX(DraftResults[[#All],[Team Name]],MATCH(Table5[[#This Row],[PID]],DraftResults[[#All],[Player ID]],0)),"")</f>
        <v/>
      </c>
      <c r="AC668" s="52" t="str">
        <f>IF(Table5[[#This Row],[Ovr]]="","",IF(Table5[[#This Row],[cmbList]]="","",Table5[[#This Row],[cmbList]]-Table5[[#This Row],[Ovr]]))</f>
        <v/>
      </c>
      <c r="AD668" s="56" t="str">
        <f>IF(ISERROR(VLOOKUP($AB668&amp;"-"&amp;$E668&amp;" "&amp;F668,Bonuses!$B$1:$G$1006,4,FALSE)),"",INT(VLOOKUP($AB668&amp;"-"&amp;$E668&amp;" "&amp;$F668,Bonuses!$B$1:$G$1006,4,FALSE)))</f>
        <v/>
      </c>
      <c r="AE6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9" spans="1:31" s="52" customFormat="1" x14ac:dyDescent="0.25">
      <c r="A669" s="52">
        <v>17622</v>
      </c>
      <c r="B669" s="52">
        <f>COUNTIF(Table5[PID],A669)</f>
        <v>1</v>
      </c>
      <c r="C669" s="52" t="str">
        <f>IF(COUNTIF(Table3[[#All],[PID]],A669)&gt;0,"P","B")</f>
        <v>P</v>
      </c>
      <c r="D669" s="61" t="str">
        <f>IF($C669="B",INDEX(Batters[[#All],[POS]],MATCH(Table5[[#This Row],[PID]],Batters[[#All],[PID]],0)),INDEX(Table3[[#All],[POS]],MATCH(Table5[[#This Row],[PID]],Table3[[#All],[PID]],0)))</f>
        <v>RP</v>
      </c>
      <c r="E669" s="54" t="str">
        <f>IF($C669="B",INDEX(Batters[[#All],[First]],MATCH(Table5[[#This Row],[PID]],Batters[[#All],[PID]],0)),INDEX(Table3[[#All],[First]],MATCH(Table5[[#This Row],[PID]],Table3[[#All],[PID]],0)))</f>
        <v>Fred</v>
      </c>
      <c r="F669" s="52" t="str">
        <f>IF($C669="B",INDEX(Batters[[#All],[Last]],MATCH(A669,Batters[[#All],[PID]],0)),INDEX(Table3[[#All],[Last]],MATCH(A669,Table3[[#All],[PID]],0)))</f>
        <v>Cox</v>
      </c>
      <c r="G669" s="58">
        <f>IF($C669="B",INDEX(Batters[[#All],[Age]],MATCH(Table5[[#This Row],[PID]],Batters[[#All],[PID]],0)),INDEX(Table3[[#All],[Age]],MATCH(Table5[[#This Row],[PID]],Table3[[#All],[PID]],0)))</f>
        <v>18</v>
      </c>
      <c r="H669" s="54" t="str">
        <f>IF($C669="B",INDEX(Batters[[#All],[B]],MATCH(Table5[[#This Row],[PID]],Batters[[#All],[PID]],0)),INDEX(Table3[[#All],[B]],MATCH(Table5[[#This Row],[PID]],Table3[[#All],[PID]],0)))</f>
        <v>R</v>
      </c>
      <c r="I669" s="54" t="str">
        <f>IF($C669="B",INDEX(Batters[[#All],[T]],MATCH(Table5[[#This Row],[PID]],Batters[[#All],[PID]],0)),INDEX(Table3[[#All],[T]],MATCH(Table5[[#This Row],[PID]],Table3[[#All],[PID]],0)))</f>
        <v>R</v>
      </c>
      <c r="J669" s="54" t="str">
        <f>IF($C669="B",INDEX(Batters[[#All],[WE]],MATCH(Table5[[#This Row],[PID]],Batters[[#All],[PID]],0)),INDEX(Table3[[#All],[WE]],MATCH(Table5[[#This Row],[PID]],Table3[[#All],[PID]],0)))</f>
        <v>Normal</v>
      </c>
      <c r="K669" s="54" t="str">
        <f>IF($C669="B",INDEX(Batters[[#All],[INT]],MATCH(Table5[[#This Row],[PID]],Batters[[#All],[PID]],0)),INDEX(Table3[[#All],[INT]],MATCH(Table5[[#This Row],[PID]],Table3[[#All],[PID]],0)))</f>
        <v>Normal</v>
      </c>
      <c r="L669" s="62">
        <f>IF($C669="B",INDEX(Batters[[#All],[CON P]],MATCH(Table5[[#This Row],[PID]],Batters[[#All],[PID]],0)),INDEX(Table3[[#All],[STU P]],MATCH(Table5[[#This Row],[PID]],Table3[[#All],[PID]],0)))</f>
        <v>3</v>
      </c>
      <c r="M669" s="58">
        <f>IF($C669="B",INDEX(Batters[[#All],[GAP P]],MATCH(Table5[[#This Row],[PID]],Batters[[#All],[PID]],0)),INDEX(Table3[[#All],[MOV P]],MATCH(Table5[[#This Row],[PID]],Table3[[#All],[PID]],0)))</f>
        <v>2</v>
      </c>
      <c r="N669" s="58">
        <f>IF($C669="B",INDEX(Batters[[#All],[POW P]],MATCH(Table5[[#This Row],[PID]],Batters[[#All],[PID]],0)),INDEX(Table3[[#All],[CON P]],MATCH(Table5[[#This Row],[PID]],Table3[[#All],[PID]],0)))</f>
        <v>2</v>
      </c>
      <c r="O669" s="58" t="str">
        <f>IF($C669="B",INDEX(Batters[[#All],[EYE P]],MATCH(Table5[[#This Row],[PID]],Batters[[#All],[PID]],0)),INDEX(Table3[[#All],[VELO]],MATCH(Table5[[#This Row],[PID]],Table3[[#All],[PID]],0)))</f>
        <v>83-85 Mph</v>
      </c>
      <c r="P669" s="58">
        <f>IF($C669="B",INDEX(Batters[[#All],[K P]],MATCH(Table5[[#This Row],[PID]],Batters[[#All],[PID]],0)),INDEX(Table3[[#All],[STM]],MATCH(Table5[[#This Row],[PID]],Table3[[#All],[PID]],0)))</f>
        <v>6</v>
      </c>
      <c r="Q669" s="63">
        <f>IF($C669="B",INDEX(Batters[[#All],[Tot]],MATCH(Table5[[#This Row],[PID]],Batters[[#All],[PID]],0)),INDEX(Table3[[#All],[Tot]],MATCH(Table5[[#This Row],[PID]],Table3[[#All],[PID]],0)))</f>
        <v>27.765742063210052</v>
      </c>
      <c r="R669" s="54">
        <f>IF($C669="B",INDEX(Batters[[#All],[zScore]],MATCH(Table5[[#This Row],[PID]],Batters[[#All],[PID]],0)),INDEX(Table3[[#All],[zScore]],MATCH(Table5[[#This Row],[PID]],Table3[[#All],[PID]],0)))</f>
        <v>-0.45453304068486922</v>
      </c>
      <c r="S669" s="60" t="str">
        <f>IF($C669="B",INDEX(Batters[[#All],[DEM]],MATCH(Table5[[#This Row],[PID]],Batters[[#All],[PID]],0)),INDEX(Table3[[#All],[DEM]],MATCH(Table5[[#This Row],[PID]],Table3[[#All],[PID]],0)))</f>
        <v>$75k</v>
      </c>
      <c r="T669" s="64">
        <f>IF($C669="B",VLOOKUP($A669,Bat!$A$4:$AU$1417,46,FALSE),VLOOKUP($A669,Pit!$A$4:$BD$570,55,FALSE))</f>
        <v>0</v>
      </c>
      <c r="U669" s="52">
        <f>IF($C669="B",VLOOKUP($A669,Bat!$A$4:$BA$1417,47,FALSE),VLOOKUP($A669,Pit!$A$4:$BF$570,56,FALSE))</f>
        <v>0</v>
      </c>
      <c r="V669" s="52">
        <f>IF($C669="B",VLOOKUP($A669,Bat!$A$4:$BA$1417,48,FALSE),VLOOKUP($A669,Pit!$A$4:$BF$570,57,FALSE))</f>
        <v>0</v>
      </c>
      <c r="W669" s="52">
        <f>Table5[[#This Row],[posRnk]]+Table5[[#This Row],[zRnk]]+IF($W$3&lt;&gt;Table5[[#This Row],[Type]],50,0)</f>
        <v>715</v>
      </c>
      <c r="X669" s="53">
        <f>RANK(Table5[[#This Row],[zScore]],Table5[[#All],[zScore]])</f>
        <v>665</v>
      </c>
      <c r="Y669" s="52" t="str">
        <f>IFERROR(INDEX(DraftResults[[#All],[OVR]],MATCH(Table5[[#This Row],[PID]],DraftResults[[#All],[Player ID]],0)),"")</f>
        <v/>
      </c>
      <c r="Z6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9" s="52" t="str">
        <f>IFERROR(INDEX(DraftResults[[#All],[Pick in Round]],MATCH(Table5[[#This Row],[PID]],DraftResults[[#All],[Player ID]],0)),"")</f>
        <v/>
      </c>
      <c r="AB669" s="52" t="str">
        <f>IFERROR(INDEX(DraftResults[[#All],[Team Name]],MATCH(Table5[[#This Row],[PID]],DraftResults[[#All],[Player ID]],0)),"")</f>
        <v/>
      </c>
      <c r="AC669" s="52" t="str">
        <f>IF(Table5[[#This Row],[Ovr]]="","",IF(Table5[[#This Row],[cmbList]]="","",Table5[[#This Row],[cmbList]]-Table5[[#This Row],[Ovr]]))</f>
        <v/>
      </c>
      <c r="AD669" s="56" t="str">
        <f>IF(ISERROR(VLOOKUP($AB669&amp;"-"&amp;$E669&amp;" "&amp;F669,Bonuses!$B$1:$G$1006,4,FALSE)),"",INT(VLOOKUP($AB669&amp;"-"&amp;$E669&amp;" "&amp;$F669,Bonuses!$B$1:$G$1006,4,FALSE)))</f>
        <v/>
      </c>
      <c r="AE6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0" spans="1:31" s="52" customFormat="1" x14ac:dyDescent="0.25">
      <c r="A670" s="52">
        <v>4659</v>
      </c>
      <c r="B670" s="52">
        <f>COUNTIF(Table5[PID],A670)</f>
        <v>1</v>
      </c>
      <c r="C670" s="52" t="str">
        <f>IF(COUNTIF(Table3[[#All],[PID]],A670)&gt;0,"P","B")</f>
        <v>B</v>
      </c>
      <c r="D670" s="61" t="str">
        <f>IF($C670="B",INDEX(Batters[[#All],[POS]],MATCH(Table5[[#This Row],[PID]],Batters[[#All],[PID]],0)),INDEX(Table3[[#All],[POS]],MATCH(Table5[[#This Row],[PID]],Table3[[#All],[PID]],0)))</f>
        <v>C</v>
      </c>
      <c r="E670" s="54" t="str">
        <f>IF($C670="B",INDEX(Batters[[#All],[First]],MATCH(Table5[[#This Row],[PID]],Batters[[#All],[PID]],0)),INDEX(Table3[[#All],[First]],MATCH(Table5[[#This Row],[PID]],Table3[[#All],[PID]],0)))</f>
        <v>Jim</v>
      </c>
      <c r="F670" s="52" t="str">
        <f>IF($C670="B",INDEX(Batters[[#All],[Last]],MATCH(A670,Batters[[#All],[PID]],0)),INDEX(Table3[[#All],[Last]],MATCH(A670,Table3[[#All],[PID]],0)))</f>
        <v>Ames</v>
      </c>
      <c r="G670" s="58">
        <f>IF($C670="B",INDEX(Batters[[#All],[Age]],MATCH(Table5[[#This Row],[PID]],Batters[[#All],[PID]],0)),INDEX(Table3[[#All],[Age]],MATCH(Table5[[#This Row],[PID]],Table3[[#All],[PID]],0)))</f>
        <v>22</v>
      </c>
      <c r="H670" s="54" t="str">
        <f>IF($C670="B",INDEX(Batters[[#All],[B]],MATCH(Table5[[#This Row],[PID]],Batters[[#All],[PID]],0)),INDEX(Table3[[#All],[B]],MATCH(Table5[[#This Row],[PID]],Table3[[#All],[PID]],0)))</f>
        <v>S</v>
      </c>
      <c r="I670" s="54" t="str">
        <f>IF($C670="B",INDEX(Batters[[#All],[T]],MATCH(Table5[[#This Row],[PID]],Batters[[#All],[PID]],0)),INDEX(Table3[[#All],[T]],MATCH(Table5[[#This Row],[PID]],Table3[[#All],[PID]],0)))</f>
        <v>R</v>
      </c>
      <c r="J670" s="54" t="str">
        <f>IF($C670="B",INDEX(Batters[[#All],[WE]],MATCH(Table5[[#This Row],[PID]],Batters[[#All],[PID]],0)),INDEX(Table3[[#All],[WE]],MATCH(Table5[[#This Row],[PID]],Table3[[#All],[PID]],0)))</f>
        <v>Normal</v>
      </c>
      <c r="K670" s="54" t="str">
        <f>IF($C670="B",INDEX(Batters[[#All],[INT]],MATCH(Table5[[#This Row],[PID]],Batters[[#All],[PID]],0)),INDEX(Table3[[#All],[INT]],MATCH(Table5[[#This Row],[PID]],Table3[[#All],[PID]],0)))</f>
        <v>Normal</v>
      </c>
      <c r="L670" s="62">
        <f>IF($C670="B",INDEX(Batters[[#All],[CON P]],MATCH(Table5[[#This Row],[PID]],Batters[[#All],[PID]],0)),INDEX(Table3[[#All],[STU P]],MATCH(Table5[[#This Row],[PID]],Table3[[#All],[PID]],0)))</f>
        <v>3</v>
      </c>
      <c r="M670" s="58">
        <f>IF($C670="B",INDEX(Batters[[#All],[GAP P]],MATCH(Table5[[#This Row],[PID]],Batters[[#All],[PID]],0)),INDEX(Table3[[#All],[MOV P]],MATCH(Table5[[#This Row],[PID]],Table3[[#All],[PID]],0)))</f>
        <v>4</v>
      </c>
      <c r="N670" s="58">
        <f>IF($C670="B",INDEX(Batters[[#All],[POW P]],MATCH(Table5[[#This Row],[PID]],Batters[[#All],[PID]],0)),INDEX(Table3[[#All],[CON P]],MATCH(Table5[[#This Row],[PID]],Table3[[#All],[PID]],0)))</f>
        <v>3</v>
      </c>
      <c r="O670" s="58">
        <f>IF($C670="B",INDEX(Batters[[#All],[EYE P]],MATCH(Table5[[#This Row],[PID]],Batters[[#All],[PID]],0)),INDEX(Table3[[#All],[VELO]],MATCH(Table5[[#This Row],[PID]],Table3[[#All],[PID]],0)))</f>
        <v>5</v>
      </c>
      <c r="P670" s="58">
        <f>IF($C670="B",INDEX(Batters[[#All],[K P]],MATCH(Table5[[#This Row],[PID]],Batters[[#All],[PID]],0)),INDEX(Table3[[#All],[STM]],MATCH(Table5[[#This Row],[PID]],Table3[[#All],[PID]],0)))</f>
        <v>3</v>
      </c>
      <c r="Q670" s="63">
        <f>IF($C670="B",INDEX(Batters[[#All],[Tot]],MATCH(Table5[[#This Row],[PID]],Batters[[#All],[PID]],0)),INDEX(Table3[[#All],[Tot]],MATCH(Table5[[#This Row],[PID]],Table3[[#All],[PID]],0)))</f>
        <v>37.760433638157345</v>
      </c>
      <c r="R670" s="54">
        <f>IF($C670="B",INDEX(Batters[[#All],[zScore]],MATCH(Table5[[#This Row],[PID]],Batters[[#All],[PID]],0)),INDEX(Table3[[#All],[zScore]],MATCH(Table5[[#This Row],[PID]],Table3[[#All],[PID]],0)))</f>
        <v>-0.45530862464023991</v>
      </c>
      <c r="S670" s="60" t="str">
        <f>IF($C670="B",INDEX(Batters[[#All],[DEM]],MATCH(Table5[[#This Row],[PID]],Batters[[#All],[PID]],0)),INDEX(Table3[[#All],[DEM]],MATCH(Table5[[#This Row],[PID]],Table3[[#All],[PID]],0)))</f>
        <v>-</v>
      </c>
      <c r="T670" s="64">
        <f>IF($C670="B",VLOOKUP($A670,Bat!$A$4:$AU$1417,46,FALSE),VLOOKUP($A670,Pit!$A$4:$BD$570,55,FALSE))</f>
        <v>0</v>
      </c>
      <c r="U670" s="52">
        <f>IF($C670="B",VLOOKUP($A670,Bat!$A$4:$BA$1417,47,FALSE),VLOOKUP($A670,Pit!$A$4:$BF$570,56,FALSE))</f>
        <v>0</v>
      </c>
      <c r="V670" s="52">
        <f>IF($C670="B",VLOOKUP($A670,Bat!$A$4:$BA$1417,48,FALSE),VLOOKUP($A670,Pit!$A$4:$BF$570,57,FALSE))</f>
        <v>0</v>
      </c>
      <c r="W670" s="52">
        <f>Table5[[#This Row],[posRnk]]+Table5[[#This Row],[zRnk]]+IF($W$3&lt;&gt;Table5[[#This Row],[Type]],50,0)</f>
        <v>716</v>
      </c>
      <c r="X670" s="53">
        <f>RANK(Table5[[#This Row],[zScore]],Table5[[#All],[zScore]])</f>
        <v>666</v>
      </c>
      <c r="Y670" s="52" t="str">
        <f>IFERROR(INDEX(DraftResults[[#All],[OVR]],MATCH(Table5[[#This Row],[PID]],DraftResults[[#All],[Player ID]],0)),"")</f>
        <v/>
      </c>
      <c r="Z6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0" s="52" t="str">
        <f>IFERROR(INDEX(DraftResults[[#All],[Pick in Round]],MATCH(Table5[[#This Row],[PID]],DraftResults[[#All],[Player ID]],0)),"")</f>
        <v/>
      </c>
      <c r="AB670" s="52" t="str">
        <f>IFERROR(INDEX(DraftResults[[#All],[Team Name]],MATCH(Table5[[#This Row],[PID]],DraftResults[[#All],[Player ID]],0)),"")</f>
        <v/>
      </c>
      <c r="AC670" s="52" t="str">
        <f>IF(Table5[[#This Row],[Ovr]]="","",IF(Table5[[#This Row],[cmbList]]="","",Table5[[#This Row],[cmbList]]-Table5[[#This Row],[Ovr]]))</f>
        <v/>
      </c>
      <c r="AD670" s="56" t="str">
        <f>IF(ISERROR(VLOOKUP($AB670&amp;"-"&amp;$E670&amp;" "&amp;F670,Bonuses!$B$1:$G$1006,4,FALSE)),"",INT(VLOOKUP($AB670&amp;"-"&amp;$E670&amp;" "&amp;$F670,Bonuses!$B$1:$G$1006,4,FALSE)))</f>
        <v/>
      </c>
      <c r="AE6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1" spans="1:31" s="52" customFormat="1" x14ac:dyDescent="0.25">
      <c r="A671" s="52">
        <v>8383</v>
      </c>
      <c r="B671" s="52">
        <f>COUNTIF(Table5[PID],A671)</f>
        <v>1</v>
      </c>
      <c r="C671" s="52" t="str">
        <f>IF(COUNTIF(Table3[[#All],[PID]],A671)&gt;0,"P","B")</f>
        <v>P</v>
      </c>
      <c r="D671" s="61" t="str">
        <f>IF($C671="B",INDEX(Batters[[#All],[POS]],MATCH(Table5[[#This Row],[PID]],Batters[[#All],[PID]],0)),INDEX(Table3[[#All],[POS]],MATCH(Table5[[#This Row],[PID]],Table3[[#All],[PID]],0)))</f>
        <v>RP</v>
      </c>
      <c r="E671" s="54" t="str">
        <f>IF($C671="B",INDEX(Batters[[#All],[First]],MATCH(Table5[[#This Row],[PID]],Batters[[#All],[PID]],0)),INDEX(Table3[[#All],[First]],MATCH(Table5[[#This Row],[PID]],Table3[[#All],[PID]],0)))</f>
        <v>Michizane</v>
      </c>
      <c r="F671" s="52" t="str">
        <f>IF($C671="B",INDEX(Batters[[#All],[Last]],MATCH(A671,Batters[[#All],[PID]],0)),INDEX(Table3[[#All],[Last]],MATCH(A671,Table3[[#All],[PID]],0)))</f>
        <v>Matsuo</v>
      </c>
      <c r="G671" s="58">
        <f>IF($C671="B",INDEX(Batters[[#All],[Age]],MATCH(Table5[[#This Row],[PID]],Batters[[#All],[PID]],0)),INDEX(Table3[[#All],[Age]],MATCH(Table5[[#This Row],[PID]],Table3[[#All],[PID]],0)))</f>
        <v>21</v>
      </c>
      <c r="H671" s="54" t="str">
        <f>IF($C671="B",INDEX(Batters[[#All],[B]],MATCH(Table5[[#This Row],[PID]],Batters[[#All],[PID]],0)),INDEX(Table3[[#All],[B]],MATCH(Table5[[#This Row],[PID]],Table3[[#All],[PID]],0)))</f>
        <v>R</v>
      </c>
      <c r="I671" s="54" t="str">
        <f>IF($C671="B",INDEX(Batters[[#All],[T]],MATCH(Table5[[#This Row],[PID]],Batters[[#All],[PID]],0)),INDEX(Table3[[#All],[T]],MATCH(Table5[[#This Row],[PID]],Table3[[#All],[PID]],0)))</f>
        <v>R</v>
      </c>
      <c r="J671" s="54" t="str">
        <f>IF($C671="B",INDEX(Batters[[#All],[WE]],MATCH(Table5[[#This Row],[PID]],Batters[[#All],[PID]],0)),INDEX(Table3[[#All],[WE]],MATCH(Table5[[#This Row],[PID]],Table3[[#All],[PID]],0)))</f>
        <v>Low</v>
      </c>
      <c r="K671" s="54" t="str">
        <f>IF($C671="B",INDEX(Batters[[#All],[INT]],MATCH(Table5[[#This Row],[PID]],Batters[[#All],[PID]],0)),INDEX(Table3[[#All],[INT]],MATCH(Table5[[#This Row],[PID]],Table3[[#All],[PID]],0)))</f>
        <v>Low</v>
      </c>
      <c r="L671" s="62">
        <f>IF($C671="B",INDEX(Batters[[#All],[CON P]],MATCH(Table5[[#This Row],[PID]],Batters[[#All],[PID]],0)),INDEX(Table3[[#All],[STU P]],MATCH(Table5[[#This Row],[PID]],Table3[[#All],[PID]],0)))</f>
        <v>5</v>
      </c>
      <c r="M671" s="58">
        <f>IF($C671="B",INDEX(Batters[[#All],[GAP P]],MATCH(Table5[[#This Row],[PID]],Batters[[#All],[PID]],0)),INDEX(Table3[[#All],[MOV P]],MATCH(Table5[[#This Row],[PID]],Table3[[#All],[PID]],0)))</f>
        <v>2</v>
      </c>
      <c r="N671" s="58">
        <f>IF($C671="B",INDEX(Batters[[#All],[POW P]],MATCH(Table5[[#This Row],[PID]],Batters[[#All],[PID]],0)),INDEX(Table3[[#All],[CON P]],MATCH(Table5[[#This Row],[PID]],Table3[[#All],[PID]],0)))</f>
        <v>2</v>
      </c>
      <c r="O671" s="58" t="str">
        <f>IF($C671="B",INDEX(Batters[[#All],[EYE P]],MATCH(Table5[[#This Row],[PID]],Batters[[#All],[PID]],0)),INDEX(Table3[[#All],[VELO]],MATCH(Table5[[#This Row],[PID]],Table3[[#All],[PID]],0)))</f>
        <v>89-91 Mph</v>
      </c>
      <c r="P671" s="58">
        <f>IF($C671="B",INDEX(Batters[[#All],[K P]],MATCH(Table5[[#This Row],[PID]],Batters[[#All],[PID]],0)),INDEX(Table3[[#All],[STM]],MATCH(Table5[[#This Row],[PID]],Table3[[#All],[PID]],0)))</f>
        <v>8</v>
      </c>
      <c r="Q671" s="63">
        <f>IF($C671="B",INDEX(Batters[[#All],[Tot]],MATCH(Table5[[#This Row],[PID]],Batters[[#All],[PID]],0)),INDEX(Table3[[#All],[Tot]],MATCH(Table5[[#This Row],[PID]],Table3[[#All],[PID]],0)))</f>
        <v>27.74828962640099</v>
      </c>
      <c r="R671" s="54">
        <f>IF($C671="B",INDEX(Batters[[#All],[zScore]],MATCH(Table5[[#This Row],[PID]],Batters[[#All],[PID]],0)),INDEX(Table3[[#All],[zScore]],MATCH(Table5[[#This Row],[PID]],Table3[[#All],[PID]],0)))</f>
        <v>-0.45613350373354289</v>
      </c>
      <c r="S671" s="60" t="str">
        <f>IF($C671="B",INDEX(Batters[[#All],[DEM]],MATCH(Table5[[#This Row],[PID]],Batters[[#All],[PID]],0)),INDEX(Table3[[#All],[DEM]],MATCH(Table5[[#This Row],[PID]],Table3[[#All],[PID]],0)))</f>
        <v>-</v>
      </c>
      <c r="T671" s="64">
        <f>IF($C671="B",VLOOKUP($A671,Bat!$A$4:$AU$1417,46,FALSE),VLOOKUP($A671,Pit!$A$4:$BD$570,55,FALSE))</f>
        <v>0</v>
      </c>
      <c r="U671" s="52">
        <f>IF($C671="B",VLOOKUP($A671,Bat!$A$4:$BA$1417,47,FALSE),VLOOKUP($A671,Pit!$A$4:$BF$570,56,FALSE))</f>
        <v>0</v>
      </c>
      <c r="V671" s="52">
        <f>IF($C671="B",VLOOKUP($A671,Bat!$A$4:$BA$1417,48,FALSE),VLOOKUP($A671,Pit!$A$4:$BF$570,57,FALSE))</f>
        <v>0</v>
      </c>
      <c r="W671" s="52">
        <f>Table5[[#This Row],[posRnk]]+Table5[[#This Row],[zRnk]]+IF($W$3&lt;&gt;Table5[[#This Row],[Type]],50,0)</f>
        <v>717</v>
      </c>
      <c r="X671" s="53">
        <f>RANK(Table5[[#This Row],[zScore]],Table5[[#All],[zScore]])</f>
        <v>667</v>
      </c>
      <c r="Y671" s="52" t="str">
        <f>IFERROR(INDEX(DraftResults[[#All],[OVR]],MATCH(Table5[[#This Row],[PID]],DraftResults[[#All],[Player ID]],0)),"")</f>
        <v/>
      </c>
      <c r="Z6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1" s="52" t="str">
        <f>IFERROR(INDEX(DraftResults[[#All],[Pick in Round]],MATCH(Table5[[#This Row],[PID]],DraftResults[[#All],[Player ID]],0)),"")</f>
        <v/>
      </c>
      <c r="AB671" s="52" t="str">
        <f>IFERROR(INDEX(DraftResults[[#All],[Team Name]],MATCH(Table5[[#This Row],[PID]],DraftResults[[#All],[Player ID]],0)),"")</f>
        <v/>
      </c>
      <c r="AC671" s="52" t="str">
        <f>IF(Table5[[#This Row],[Ovr]]="","",IF(Table5[[#This Row],[cmbList]]="","",Table5[[#This Row],[cmbList]]-Table5[[#This Row],[Ovr]]))</f>
        <v/>
      </c>
      <c r="AD671" s="56" t="str">
        <f>IF(ISERROR(VLOOKUP($AB671&amp;"-"&amp;$E671&amp;" "&amp;F671,Bonuses!$B$1:$G$1006,4,FALSE)),"",INT(VLOOKUP($AB671&amp;"-"&amp;$E671&amp;" "&amp;$F671,Bonuses!$B$1:$G$1006,4,FALSE)))</f>
        <v/>
      </c>
      <c r="AE6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2" spans="1:31" s="52" customFormat="1" x14ac:dyDescent="0.25">
      <c r="A672" s="52">
        <v>5118</v>
      </c>
      <c r="B672" s="52">
        <f>COUNTIF(Table5[PID],A672)</f>
        <v>1</v>
      </c>
      <c r="C672" s="52" t="str">
        <f>IF(COUNTIF(Table3[[#All],[PID]],A672)&gt;0,"P","B")</f>
        <v>P</v>
      </c>
      <c r="D672" s="61" t="str">
        <f>IF($C672="B",INDEX(Batters[[#All],[POS]],MATCH(Table5[[#This Row],[PID]],Batters[[#All],[PID]],0)),INDEX(Table3[[#All],[POS]],MATCH(Table5[[#This Row],[PID]],Table3[[#All],[PID]],0)))</f>
        <v>RP</v>
      </c>
      <c r="E672" s="54" t="str">
        <f>IF($C672="B",INDEX(Batters[[#All],[First]],MATCH(Table5[[#This Row],[PID]],Batters[[#All],[PID]],0)),INDEX(Table3[[#All],[First]],MATCH(Table5[[#This Row],[PID]],Table3[[#All],[PID]],0)))</f>
        <v>Earl</v>
      </c>
      <c r="F672" s="52" t="str">
        <f>IF($C672="B",INDEX(Batters[[#All],[Last]],MATCH(A672,Batters[[#All],[PID]],0)),INDEX(Table3[[#All],[Last]],MATCH(A672,Table3[[#All],[PID]],0)))</f>
        <v>Ross</v>
      </c>
      <c r="G672" s="58">
        <f>IF($C672="B",INDEX(Batters[[#All],[Age]],MATCH(Table5[[#This Row],[PID]],Batters[[#All],[PID]],0)),INDEX(Table3[[#All],[Age]],MATCH(Table5[[#This Row],[PID]],Table3[[#All],[PID]],0)))</f>
        <v>18</v>
      </c>
      <c r="H672" s="54" t="str">
        <f>IF($C672="B",INDEX(Batters[[#All],[B]],MATCH(Table5[[#This Row],[PID]],Batters[[#All],[PID]],0)),INDEX(Table3[[#All],[B]],MATCH(Table5[[#This Row],[PID]],Table3[[#All],[PID]],0)))</f>
        <v>R</v>
      </c>
      <c r="I672" s="54" t="str">
        <f>IF($C672="B",INDEX(Batters[[#All],[T]],MATCH(Table5[[#This Row],[PID]],Batters[[#All],[PID]],0)),INDEX(Table3[[#All],[T]],MATCH(Table5[[#This Row],[PID]],Table3[[#All],[PID]],0)))</f>
        <v>R</v>
      </c>
      <c r="J672" s="54" t="str">
        <f>IF($C672="B",INDEX(Batters[[#All],[WE]],MATCH(Table5[[#This Row],[PID]],Batters[[#All],[PID]],0)),INDEX(Table3[[#All],[WE]],MATCH(Table5[[#This Row],[PID]],Table3[[#All],[PID]],0)))</f>
        <v>Low</v>
      </c>
      <c r="K672" s="54" t="str">
        <f>IF($C672="B",INDEX(Batters[[#All],[INT]],MATCH(Table5[[#This Row],[PID]],Batters[[#All],[PID]],0)),INDEX(Table3[[#All],[INT]],MATCH(Table5[[#This Row],[PID]],Table3[[#All],[PID]],0)))</f>
        <v>Normal</v>
      </c>
      <c r="L672" s="62">
        <f>IF($C672="B",INDEX(Batters[[#All],[CON P]],MATCH(Table5[[#This Row],[PID]],Batters[[#All],[PID]],0)),INDEX(Table3[[#All],[STU P]],MATCH(Table5[[#This Row],[PID]],Table3[[#All],[PID]],0)))</f>
        <v>4</v>
      </c>
      <c r="M672" s="58">
        <f>IF($C672="B",INDEX(Batters[[#All],[GAP P]],MATCH(Table5[[#This Row],[PID]],Batters[[#All],[PID]],0)),INDEX(Table3[[#All],[MOV P]],MATCH(Table5[[#This Row],[PID]],Table3[[#All],[PID]],0)))</f>
        <v>2</v>
      </c>
      <c r="N672" s="58">
        <f>IF($C672="B",INDEX(Batters[[#All],[POW P]],MATCH(Table5[[#This Row],[PID]],Batters[[#All],[PID]],0)),INDEX(Table3[[#All],[CON P]],MATCH(Table5[[#This Row],[PID]],Table3[[#All],[PID]],0)))</f>
        <v>2</v>
      </c>
      <c r="O672" s="58" t="str">
        <f>IF($C672="B",INDEX(Batters[[#All],[EYE P]],MATCH(Table5[[#This Row],[PID]],Batters[[#All],[PID]],0)),INDEX(Table3[[#All],[VELO]],MATCH(Table5[[#This Row],[PID]],Table3[[#All],[PID]],0)))</f>
        <v>88-90 Mph</v>
      </c>
      <c r="P672" s="58">
        <f>IF($C672="B",INDEX(Batters[[#All],[K P]],MATCH(Table5[[#This Row],[PID]],Batters[[#All],[PID]],0)),INDEX(Table3[[#All],[STM]],MATCH(Table5[[#This Row],[PID]],Table3[[#All],[PID]],0)))</f>
        <v>3</v>
      </c>
      <c r="Q672" s="63">
        <f>IF($C672="B",INDEX(Batters[[#All],[Tot]],MATCH(Table5[[#This Row],[PID]],Batters[[#All],[PID]],0)),INDEX(Table3[[#All],[Tot]],MATCH(Table5[[#This Row],[PID]],Table3[[#All],[PID]],0)))</f>
        <v>27.711739979406648</v>
      </c>
      <c r="R672" s="54">
        <f>IF($C672="B",INDEX(Batters[[#All],[zScore]],MATCH(Table5[[#This Row],[PID]],Batters[[#All],[PID]],0)),INDEX(Table3[[#All],[zScore]],MATCH(Table5[[#This Row],[PID]],Table3[[#All],[PID]],0)))</f>
        <v>-0.45948526257939848</v>
      </c>
      <c r="S672" s="60" t="str">
        <f>IF($C672="B",INDEX(Batters[[#All],[DEM]],MATCH(Table5[[#This Row],[PID]],Batters[[#All],[PID]],0)),INDEX(Table3[[#All],[DEM]],MATCH(Table5[[#This Row],[PID]],Table3[[#All],[PID]],0)))</f>
        <v>$75k</v>
      </c>
      <c r="T672" s="64">
        <f>IF($C672="B",VLOOKUP($A672,Bat!$A$4:$AU$1417,46,FALSE),VLOOKUP($A672,Pit!$A$4:$BD$570,55,FALSE))</f>
        <v>0</v>
      </c>
      <c r="U672" s="52">
        <f>IF($C672="B",VLOOKUP($A672,Bat!$A$4:$BA$1417,47,FALSE),VLOOKUP($A672,Pit!$A$4:$BF$570,56,FALSE))</f>
        <v>0</v>
      </c>
      <c r="V672" s="52">
        <f>IF($C672="B",VLOOKUP($A672,Bat!$A$4:$BA$1417,48,FALSE),VLOOKUP($A672,Pit!$A$4:$BF$570,57,FALSE))</f>
        <v>0</v>
      </c>
      <c r="W672" s="52">
        <f>Table5[[#This Row],[posRnk]]+Table5[[#This Row],[zRnk]]+IF($W$3&lt;&gt;Table5[[#This Row],[Type]],50,0)</f>
        <v>718</v>
      </c>
      <c r="X672" s="53">
        <f>RANK(Table5[[#This Row],[zScore]],Table5[[#All],[zScore]])</f>
        <v>668</v>
      </c>
      <c r="Y672" s="52" t="str">
        <f>IFERROR(INDEX(DraftResults[[#All],[OVR]],MATCH(Table5[[#This Row],[PID]],DraftResults[[#All],[Player ID]],0)),"")</f>
        <v/>
      </c>
      <c r="Z6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2" s="52" t="str">
        <f>IFERROR(INDEX(DraftResults[[#All],[Pick in Round]],MATCH(Table5[[#This Row],[PID]],DraftResults[[#All],[Player ID]],0)),"")</f>
        <v/>
      </c>
      <c r="AB672" s="52" t="str">
        <f>IFERROR(INDEX(DraftResults[[#All],[Team Name]],MATCH(Table5[[#This Row],[PID]],DraftResults[[#All],[Player ID]],0)),"")</f>
        <v/>
      </c>
      <c r="AC672" s="52" t="str">
        <f>IF(Table5[[#This Row],[Ovr]]="","",IF(Table5[[#This Row],[cmbList]]="","",Table5[[#This Row],[cmbList]]-Table5[[#This Row],[Ovr]]))</f>
        <v/>
      </c>
      <c r="AD672" s="56" t="str">
        <f>IF(ISERROR(VLOOKUP($AB672&amp;"-"&amp;$E672&amp;" "&amp;F672,Bonuses!$B$1:$G$1006,4,FALSE)),"",INT(VLOOKUP($AB672&amp;"-"&amp;$E672&amp;" "&amp;$F672,Bonuses!$B$1:$G$1006,4,FALSE)))</f>
        <v/>
      </c>
      <c r="AE6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3" spans="1:31" s="52" customFormat="1" x14ac:dyDescent="0.25">
      <c r="A673" s="52">
        <v>8249</v>
      </c>
      <c r="B673" s="52">
        <f>COUNTIF(Table5[PID],A673)</f>
        <v>1</v>
      </c>
      <c r="C673" s="52" t="str">
        <f>IF(COUNTIF(Table3[[#All],[PID]],A673)&gt;0,"P","B")</f>
        <v>P</v>
      </c>
      <c r="D673" s="61" t="str">
        <f>IF($C673="B",INDEX(Batters[[#All],[POS]],MATCH(Table5[[#This Row],[PID]],Batters[[#All],[PID]],0)),INDEX(Table3[[#All],[POS]],MATCH(Table5[[#This Row],[PID]],Table3[[#All],[PID]],0)))</f>
        <v>RP</v>
      </c>
      <c r="E673" s="54" t="str">
        <f>IF($C673="B",INDEX(Batters[[#All],[First]],MATCH(Table5[[#This Row],[PID]],Batters[[#All],[PID]],0)),INDEX(Table3[[#All],[First]],MATCH(Table5[[#This Row],[PID]],Table3[[#All],[PID]],0)))</f>
        <v>Mike</v>
      </c>
      <c r="F673" s="52" t="str">
        <f>IF($C673="B",INDEX(Batters[[#All],[Last]],MATCH(A673,Batters[[#All],[PID]],0)),INDEX(Table3[[#All],[Last]],MATCH(A673,Table3[[#All],[PID]],0)))</f>
        <v>McNeal</v>
      </c>
      <c r="G673" s="58">
        <f>IF($C673="B",INDEX(Batters[[#All],[Age]],MATCH(Table5[[#This Row],[PID]],Batters[[#All],[PID]],0)),INDEX(Table3[[#All],[Age]],MATCH(Table5[[#This Row],[PID]],Table3[[#All],[PID]],0)))</f>
        <v>18</v>
      </c>
      <c r="H673" s="54" t="str">
        <f>IF($C673="B",INDEX(Batters[[#All],[B]],MATCH(Table5[[#This Row],[PID]],Batters[[#All],[PID]],0)),INDEX(Table3[[#All],[B]],MATCH(Table5[[#This Row],[PID]],Table3[[#All],[PID]],0)))</f>
        <v>S</v>
      </c>
      <c r="I673" s="54" t="str">
        <f>IF($C673="B",INDEX(Batters[[#All],[T]],MATCH(Table5[[#This Row],[PID]],Batters[[#All],[PID]],0)),INDEX(Table3[[#All],[T]],MATCH(Table5[[#This Row],[PID]],Table3[[#All],[PID]],0)))</f>
        <v>R</v>
      </c>
      <c r="J673" s="54" t="str">
        <f>IF($C673="B",INDEX(Batters[[#All],[WE]],MATCH(Table5[[#This Row],[PID]],Batters[[#All],[PID]],0)),INDEX(Table3[[#All],[WE]],MATCH(Table5[[#This Row],[PID]],Table3[[#All],[PID]],0)))</f>
        <v>Normal</v>
      </c>
      <c r="K673" s="54" t="str">
        <f>IF($C673="B",INDEX(Batters[[#All],[INT]],MATCH(Table5[[#This Row],[PID]],Batters[[#All],[PID]],0)),INDEX(Table3[[#All],[INT]],MATCH(Table5[[#This Row],[PID]],Table3[[#All],[PID]],0)))</f>
        <v>Normal</v>
      </c>
      <c r="L673" s="62">
        <f>IF($C673="B",INDEX(Batters[[#All],[CON P]],MATCH(Table5[[#This Row],[PID]],Batters[[#All],[PID]],0)),INDEX(Table3[[#All],[STU P]],MATCH(Table5[[#This Row],[PID]],Table3[[#All],[PID]],0)))</f>
        <v>3</v>
      </c>
      <c r="M673" s="58">
        <f>IF($C673="B",INDEX(Batters[[#All],[GAP P]],MATCH(Table5[[#This Row],[PID]],Batters[[#All],[PID]],0)),INDEX(Table3[[#All],[MOV P]],MATCH(Table5[[#This Row],[PID]],Table3[[#All],[PID]],0)))</f>
        <v>2</v>
      </c>
      <c r="N673" s="58">
        <f>IF($C673="B",INDEX(Batters[[#All],[POW P]],MATCH(Table5[[#This Row],[PID]],Batters[[#All],[PID]],0)),INDEX(Table3[[#All],[CON P]],MATCH(Table5[[#This Row],[PID]],Table3[[#All],[PID]],0)))</f>
        <v>2</v>
      </c>
      <c r="O673" s="58" t="str">
        <f>IF($C673="B",INDEX(Batters[[#All],[EYE P]],MATCH(Table5[[#This Row],[PID]],Batters[[#All],[PID]],0)),INDEX(Table3[[#All],[VELO]],MATCH(Table5[[#This Row],[PID]],Table3[[#All],[PID]],0)))</f>
        <v>87-89 Mph</v>
      </c>
      <c r="P673" s="58">
        <f>IF($C673="B",INDEX(Batters[[#All],[K P]],MATCH(Table5[[#This Row],[PID]],Batters[[#All],[PID]],0)),INDEX(Table3[[#All],[STM]],MATCH(Table5[[#This Row],[PID]],Table3[[#All],[PID]],0)))</f>
        <v>5</v>
      </c>
      <c r="Q673" s="63">
        <f>IF($C673="B",INDEX(Batters[[#All],[Tot]],MATCH(Table5[[#This Row],[PID]],Batters[[#All],[PID]],0)),INDEX(Table3[[#All],[Tot]],MATCH(Table5[[#This Row],[PID]],Table3[[#All],[PID]],0)))</f>
        <v>25.11115592160392</v>
      </c>
      <c r="R673" s="54">
        <f>IF($C673="B",INDEX(Batters[[#All],[zScore]],MATCH(Table5[[#This Row],[PID]],Batters[[#All],[PID]],0)),INDEX(Table3[[#All],[zScore]],MATCH(Table5[[#This Row],[PID]],Table3[[#All],[PID]],0)))</f>
        <v>-0.46311129438170973</v>
      </c>
      <c r="S673" s="60" t="str">
        <f>IF($C673="B",INDEX(Batters[[#All],[DEM]],MATCH(Table5[[#This Row],[PID]],Batters[[#All],[PID]],0)),INDEX(Table3[[#All],[DEM]],MATCH(Table5[[#This Row],[PID]],Table3[[#All],[PID]],0)))</f>
        <v>$65k</v>
      </c>
      <c r="T673" s="64">
        <f>IF($C673="B",VLOOKUP($A673,Bat!$A$4:$AU$1417,46,FALSE),VLOOKUP($A673,Pit!$A$4:$BD$570,55,FALSE))</f>
        <v>0</v>
      </c>
      <c r="U673" s="52">
        <f>IF($C673="B",VLOOKUP($A673,Bat!$A$4:$BA$1417,47,FALSE),VLOOKUP($A673,Pit!$A$4:$BF$570,56,FALSE))</f>
        <v>0</v>
      </c>
      <c r="V673" s="52">
        <f>IF($C673="B",VLOOKUP($A673,Bat!$A$4:$BA$1417,48,FALSE),VLOOKUP($A673,Pit!$A$4:$BF$570,57,FALSE))</f>
        <v>0</v>
      </c>
      <c r="W673" s="52">
        <f>Table5[[#This Row],[posRnk]]+Table5[[#This Row],[zRnk]]+IF($W$3&lt;&gt;Table5[[#This Row],[Type]],50,0)</f>
        <v>719</v>
      </c>
      <c r="X673" s="53">
        <f>RANK(Table5[[#This Row],[zScore]],Table5[[#All],[zScore]])</f>
        <v>669</v>
      </c>
      <c r="Y673" s="52" t="str">
        <f>IFERROR(INDEX(DraftResults[[#All],[OVR]],MATCH(Table5[[#This Row],[PID]],DraftResults[[#All],[Player ID]],0)),"")</f>
        <v/>
      </c>
      <c r="Z6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3" s="52" t="str">
        <f>IFERROR(INDEX(DraftResults[[#All],[Pick in Round]],MATCH(Table5[[#This Row],[PID]],DraftResults[[#All],[Player ID]],0)),"")</f>
        <v/>
      </c>
      <c r="AB673" s="52" t="str">
        <f>IFERROR(INDEX(DraftResults[[#All],[Team Name]],MATCH(Table5[[#This Row],[PID]],DraftResults[[#All],[Player ID]],0)),"")</f>
        <v/>
      </c>
      <c r="AC673" s="52" t="str">
        <f>IF(Table5[[#This Row],[Ovr]]="","",IF(Table5[[#This Row],[cmbList]]="","",Table5[[#This Row],[cmbList]]-Table5[[#This Row],[Ovr]]))</f>
        <v/>
      </c>
      <c r="AD673" s="56" t="str">
        <f>IF(ISERROR(VLOOKUP($AB673&amp;"-"&amp;$E673&amp;" "&amp;F673,Bonuses!$B$1:$G$1006,4,FALSE)),"",INT(VLOOKUP($AB673&amp;"-"&amp;$E673&amp;" "&amp;$F673,Bonuses!$B$1:$G$1006,4,FALSE)))</f>
        <v/>
      </c>
      <c r="AE6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4" spans="1:31" s="52" customFormat="1" x14ac:dyDescent="0.25">
      <c r="A674" s="52">
        <v>12669</v>
      </c>
      <c r="B674" s="52">
        <f>COUNTIF(Table5[PID],A674)</f>
        <v>1</v>
      </c>
      <c r="C674" s="52" t="str">
        <f>IF(COUNTIF(Table3[[#All],[PID]],A674)&gt;0,"P","B")</f>
        <v>P</v>
      </c>
      <c r="D674" s="61" t="str">
        <f>IF($C674="B",INDEX(Batters[[#All],[POS]],MATCH(Table5[[#This Row],[PID]],Batters[[#All],[PID]],0)),INDEX(Table3[[#All],[POS]],MATCH(Table5[[#This Row],[PID]],Table3[[#All],[PID]],0)))</f>
        <v>RP</v>
      </c>
      <c r="E674" s="54" t="str">
        <f>IF($C674="B",INDEX(Batters[[#All],[First]],MATCH(Table5[[#This Row],[PID]],Batters[[#All],[PID]],0)),INDEX(Table3[[#All],[First]],MATCH(Table5[[#This Row],[PID]],Table3[[#All],[PID]],0)))</f>
        <v>Yoshiaga</v>
      </c>
      <c r="F674" s="52" t="str">
        <f>IF($C674="B",INDEX(Batters[[#All],[Last]],MATCH(A674,Batters[[#All],[PID]],0)),INDEX(Table3[[#All],[Last]],MATCH(A674,Table3[[#All],[PID]],0)))</f>
        <v>Kobayashi</v>
      </c>
      <c r="G674" s="58">
        <f>IF($C674="B",INDEX(Batters[[#All],[Age]],MATCH(Table5[[#This Row],[PID]],Batters[[#All],[PID]],0)),INDEX(Table3[[#All],[Age]],MATCH(Table5[[#This Row],[PID]],Table3[[#All],[PID]],0)))</f>
        <v>20</v>
      </c>
      <c r="H674" s="54" t="str">
        <f>IF($C674="B",INDEX(Batters[[#All],[B]],MATCH(Table5[[#This Row],[PID]],Batters[[#All],[PID]],0)),INDEX(Table3[[#All],[B]],MATCH(Table5[[#This Row],[PID]],Table3[[#All],[PID]],0)))</f>
        <v>R</v>
      </c>
      <c r="I674" s="54" t="str">
        <f>IF($C674="B",INDEX(Batters[[#All],[T]],MATCH(Table5[[#This Row],[PID]],Batters[[#All],[PID]],0)),INDEX(Table3[[#All],[T]],MATCH(Table5[[#This Row],[PID]],Table3[[#All],[PID]],0)))</f>
        <v>R</v>
      </c>
      <c r="J674" s="54" t="str">
        <f>IF($C674="B",INDEX(Batters[[#All],[WE]],MATCH(Table5[[#This Row],[PID]],Batters[[#All],[PID]],0)),INDEX(Table3[[#All],[WE]],MATCH(Table5[[#This Row],[PID]],Table3[[#All],[PID]],0)))</f>
        <v>Normal</v>
      </c>
      <c r="K674" s="54" t="str">
        <f>IF($C674="B",INDEX(Batters[[#All],[INT]],MATCH(Table5[[#This Row],[PID]],Batters[[#All],[PID]],0)),INDEX(Table3[[#All],[INT]],MATCH(Table5[[#This Row],[PID]],Table3[[#All],[PID]],0)))</f>
        <v>Low</v>
      </c>
      <c r="L674" s="62">
        <f>IF($C674="B",INDEX(Batters[[#All],[CON P]],MATCH(Table5[[#This Row],[PID]],Batters[[#All],[PID]],0)),INDEX(Table3[[#All],[STU P]],MATCH(Table5[[#This Row],[PID]],Table3[[#All],[PID]],0)))</f>
        <v>3</v>
      </c>
      <c r="M674" s="58">
        <f>IF($C674="B",INDEX(Batters[[#All],[GAP P]],MATCH(Table5[[#This Row],[PID]],Batters[[#All],[PID]],0)),INDEX(Table3[[#All],[MOV P]],MATCH(Table5[[#This Row],[PID]],Table3[[#All],[PID]],0)))</f>
        <v>2</v>
      </c>
      <c r="N674" s="58">
        <f>IF($C674="B",INDEX(Batters[[#All],[POW P]],MATCH(Table5[[#This Row],[PID]],Batters[[#All],[PID]],0)),INDEX(Table3[[#All],[CON P]],MATCH(Table5[[#This Row],[PID]],Table3[[#All],[PID]],0)))</f>
        <v>3</v>
      </c>
      <c r="O674" s="58" t="str">
        <f>IF($C674="B",INDEX(Batters[[#All],[EYE P]],MATCH(Table5[[#This Row],[PID]],Batters[[#All],[PID]],0)),INDEX(Table3[[#All],[VELO]],MATCH(Table5[[#This Row],[PID]],Table3[[#All],[PID]],0)))</f>
        <v>88-90 Mph</v>
      </c>
      <c r="P674" s="58">
        <f>IF($C674="B",INDEX(Batters[[#All],[K P]],MATCH(Table5[[#This Row],[PID]],Batters[[#All],[PID]],0)),INDEX(Table3[[#All],[STM]],MATCH(Table5[[#This Row],[PID]],Table3[[#All],[PID]],0)))</f>
        <v>6</v>
      </c>
      <c r="Q674" s="63">
        <f>IF($C674="B",INDEX(Batters[[#All],[Tot]],MATCH(Table5[[#This Row],[PID]],Batters[[#All],[PID]],0)),INDEX(Table3[[#All],[Tot]],MATCH(Table5[[#This Row],[PID]],Table3[[#All],[PID]],0)))</f>
        <v>25.109124278318912</v>
      </c>
      <c r="R674" s="54">
        <f>IF($C674="B",INDEX(Batters[[#All],[zScore]],MATCH(Table5[[#This Row],[PID]],Batters[[#All],[PID]],0)),INDEX(Table3[[#All],[zScore]],MATCH(Table5[[#This Row],[PID]],Table3[[#All],[PID]],0)))</f>
        <v>-0.46328935288488754</v>
      </c>
      <c r="S674" s="60" t="str">
        <f>IF($C674="B",INDEX(Batters[[#All],[DEM]],MATCH(Table5[[#This Row],[PID]],Batters[[#All],[PID]],0)),INDEX(Table3[[#All],[DEM]],MATCH(Table5[[#This Row],[PID]],Table3[[#All],[PID]],0)))</f>
        <v>-</v>
      </c>
      <c r="T674" s="64">
        <f>IF($C674="B",VLOOKUP($A674,Bat!$A$4:$AU$1417,46,FALSE),VLOOKUP($A674,Pit!$A$4:$BD$570,55,FALSE))</f>
        <v>0</v>
      </c>
      <c r="U674" s="52">
        <f>IF($C674="B",VLOOKUP($A674,Bat!$A$4:$BA$1417,47,FALSE),VLOOKUP($A674,Pit!$A$4:$BF$570,56,FALSE))</f>
        <v>0</v>
      </c>
      <c r="V674" s="52">
        <f>IF($C674="B",VLOOKUP($A674,Bat!$A$4:$BA$1417,48,FALSE),VLOOKUP($A674,Pit!$A$4:$BF$570,57,FALSE))</f>
        <v>0</v>
      </c>
      <c r="W674" s="52">
        <f>Table5[[#This Row],[posRnk]]+Table5[[#This Row],[zRnk]]+IF($W$3&lt;&gt;Table5[[#This Row],[Type]],50,0)</f>
        <v>720</v>
      </c>
      <c r="X674" s="53">
        <f>RANK(Table5[[#This Row],[zScore]],Table5[[#All],[zScore]])</f>
        <v>670</v>
      </c>
      <c r="Y674" s="52" t="str">
        <f>IFERROR(INDEX(DraftResults[[#All],[OVR]],MATCH(Table5[[#This Row],[PID]],DraftResults[[#All],[Player ID]],0)),"")</f>
        <v/>
      </c>
      <c r="Z6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4" s="52" t="str">
        <f>IFERROR(INDEX(DraftResults[[#All],[Pick in Round]],MATCH(Table5[[#This Row],[PID]],DraftResults[[#All],[Player ID]],0)),"")</f>
        <v/>
      </c>
      <c r="AB674" s="52" t="str">
        <f>IFERROR(INDEX(DraftResults[[#All],[Team Name]],MATCH(Table5[[#This Row],[PID]],DraftResults[[#All],[Player ID]],0)),"")</f>
        <v/>
      </c>
      <c r="AC674" s="52" t="str">
        <f>IF(Table5[[#This Row],[Ovr]]="","",IF(Table5[[#This Row],[cmbList]]="","",Table5[[#This Row],[cmbList]]-Table5[[#This Row],[Ovr]]))</f>
        <v/>
      </c>
      <c r="AD674" s="56" t="str">
        <f>IF(ISERROR(VLOOKUP($AB674&amp;"-"&amp;$E674&amp;" "&amp;F674,Bonuses!$B$1:$G$1006,4,FALSE)),"",INT(VLOOKUP($AB674&amp;"-"&amp;$E674&amp;" "&amp;$F674,Bonuses!$B$1:$G$1006,4,FALSE)))</f>
        <v/>
      </c>
      <c r="AE6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5" spans="1:31" s="52" customFormat="1" x14ac:dyDescent="0.25">
      <c r="A675" s="52">
        <v>7480</v>
      </c>
      <c r="B675" s="57">
        <f>COUNTIF(Table5[PID],A675)</f>
        <v>1</v>
      </c>
      <c r="C675" s="57" t="str">
        <f>IF(COUNTIF(Table3[[#All],[PID]],A675)&gt;0,"P","B")</f>
        <v>B</v>
      </c>
      <c r="D675" s="61" t="str">
        <f>IF($C675="B",INDEX(Batters[[#All],[POS]],MATCH(Table5[[#This Row],[PID]],Batters[[#All],[PID]],0)),INDEX(Table3[[#All],[POS]],MATCH(Table5[[#This Row],[PID]],Table3[[#All],[PID]],0)))</f>
        <v>LF</v>
      </c>
      <c r="E675" s="54" t="str">
        <f>IF($C675="B",INDEX(Batters[[#All],[First]],MATCH(Table5[[#This Row],[PID]],Batters[[#All],[PID]],0)),INDEX(Table3[[#All],[First]],MATCH(Table5[[#This Row],[PID]],Table3[[#All],[PID]],0)))</f>
        <v>Jordan</v>
      </c>
      <c r="F675" s="52" t="str">
        <f>IF($C675="B",INDEX(Batters[[#All],[Last]],MATCH(A675,Batters[[#All],[PID]],0)),INDEX(Table3[[#All],[Last]],MATCH(A675,Table3[[#All],[PID]],0)))</f>
        <v>Shaw</v>
      </c>
      <c r="G675" s="58">
        <f>IF($C675="B",INDEX(Batters[[#All],[Age]],MATCH(Table5[[#This Row],[PID]],Batters[[#All],[PID]],0)),INDEX(Table3[[#All],[Age]],MATCH(Table5[[#This Row],[PID]],Table3[[#All],[PID]],0)))</f>
        <v>22</v>
      </c>
      <c r="H675" s="54" t="str">
        <f>IF($C675="B",INDEX(Batters[[#All],[B]],MATCH(Table5[[#This Row],[PID]],Batters[[#All],[PID]],0)),INDEX(Table3[[#All],[B]],MATCH(Table5[[#This Row],[PID]],Table3[[#All],[PID]],0)))</f>
        <v>S</v>
      </c>
      <c r="I675" s="54" t="str">
        <f>IF($C675="B",INDEX(Batters[[#All],[T]],MATCH(Table5[[#This Row],[PID]],Batters[[#All],[PID]],0)),INDEX(Table3[[#All],[T]],MATCH(Table5[[#This Row],[PID]],Table3[[#All],[PID]],0)))</f>
        <v>R</v>
      </c>
      <c r="J675" s="54" t="str">
        <f>IF($C675="B",INDEX(Batters[[#All],[WE]],MATCH(Table5[[#This Row],[PID]],Batters[[#All],[PID]],0)),INDEX(Table3[[#All],[WE]],MATCH(Table5[[#This Row],[PID]],Table3[[#All],[PID]],0)))</f>
        <v>Normal</v>
      </c>
      <c r="K675" s="54" t="str">
        <f>IF($C675="B",INDEX(Batters[[#All],[INT]],MATCH(Table5[[#This Row],[PID]],Batters[[#All],[PID]],0)),INDEX(Table3[[#All],[INT]],MATCH(Table5[[#This Row],[PID]],Table3[[#All],[PID]],0)))</f>
        <v>High</v>
      </c>
      <c r="L675" s="62">
        <f>IF($C675="B",INDEX(Batters[[#All],[CON P]],MATCH(Table5[[#This Row],[PID]],Batters[[#All],[PID]],0)),INDEX(Table3[[#All],[STU P]],MATCH(Table5[[#This Row],[PID]],Table3[[#All],[PID]],0)))</f>
        <v>3</v>
      </c>
      <c r="M675" s="58">
        <f>IF($C675="B",INDEX(Batters[[#All],[GAP P]],MATCH(Table5[[#This Row],[PID]],Batters[[#All],[PID]],0)),INDEX(Table3[[#All],[MOV P]],MATCH(Table5[[#This Row],[PID]],Table3[[#All],[PID]],0)))</f>
        <v>3</v>
      </c>
      <c r="N675" s="58">
        <f>IF($C675="B",INDEX(Batters[[#All],[POW P]],MATCH(Table5[[#This Row],[PID]],Batters[[#All],[PID]],0)),INDEX(Table3[[#All],[CON P]],MATCH(Table5[[#This Row],[PID]],Table3[[#All],[PID]],0)))</f>
        <v>4</v>
      </c>
      <c r="O675" s="58">
        <f>IF($C675="B",INDEX(Batters[[#All],[EYE P]],MATCH(Table5[[#This Row],[PID]],Batters[[#All],[PID]],0)),INDEX(Table3[[#All],[VELO]],MATCH(Table5[[#This Row],[PID]],Table3[[#All],[PID]],0)))</f>
        <v>5</v>
      </c>
      <c r="P675" s="58">
        <f>IF($C675="B",INDEX(Batters[[#All],[K P]],MATCH(Table5[[#This Row],[PID]],Batters[[#All],[PID]],0)),INDEX(Table3[[#All],[STM]],MATCH(Table5[[#This Row],[PID]],Table3[[#All],[PID]],0)))</f>
        <v>4</v>
      </c>
      <c r="Q675" s="63">
        <f>IF($C675="B",INDEX(Batters[[#All],[Tot]],MATCH(Table5[[#This Row],[PID]],Batters[[#All],[PID]],0)),INDEX(Table3[[#All],[Tot]],MATCH(Table5[[#This Row],[PID]],Table3[[#All],[PID]],0)))</f>
        <v>37.713002113887057</v>
      </c>
      <c r="R675" s="54">
        <f>IF($C675="B",INDEX(Batters[[#All],[zScore]],MATCH(Table5[[#This Row],[PID]],Batters[[#All],[PID]],0)),INDEX(Table3[[#All],[zScore]],MATCH(Table5[[#This Row],[PID]],Table3[[#All],[PID]],0)))</f>
        <v>-0.46365388609129699</v>
      </c>
      <c r="S675" s="60" t="str">
        <f>IF($C675="B",INDEX(Batters[[#All],[DEM]],MATCH(Table5[[#This Row],[PID]],Batters[[#All],[PID]],0)),INDEX(Table3[[#All],[DEM]],MATCH(Table5[[#This Row],[PID]],Table3[[#All],[PID]],0)))</f>
        <v>-</v>
      </c>
      <c r="T675" s="64">
        <f>IF($C675="B",VLOOKUP($A675,Bat!$A$4:$AU$1417,46,FALSE),VLOOKUP($A675,Pit!$A$4:$BD$570,55,FALSE))</f>
        <v>0</v>
      </c>
      <c r="U675" s="52">
        <f>IF($C675="B",VLOOKUP($A675,Bat!$A$4:$BA$1417,47,FALSE),VLOOKUP($A675,Pit!$A$4:$BF$570,56,FALSE))</f>
        <v>0</v>
      </c>
      <c r="V675" s="52">
        <f>IF($C675="B",VLOOKUP($A675,Bat!$A$4:$BA$1417,48,FALSE),VLOOKUP($A675,Pit!$A$4:$BF$570,57,FALSE))</f>
        <v>0</v>
      </c>
      <c r="W675" s="52">
        <f>Table5[[#This Row],[posRnk]]+Table5[[#This Row],[zRnk]]+IF($W$3&lt;&gt;Table5[[#This Row],[Type]],50,0)</f>
        <v>721</v>
      </c>
      <c r="X675" s="53">
        <f>RANK(Table5[[#This Row],[zScore]],Table5[[#All],[zScore]])</f>
        <v>671</v>
      </c>
      <c r="Y675" s="52" t="str">
        <f>IFERROR(INDEX(DraftResults[[#All],[OVR]],MATCH(Table5[[#This Row],[PID]],DraftResults[[#All],[Player ID]],0)),"")</f>
        <v/>
      </c>
      <c r="Z6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5" s="52" t="str">
        <f>IFERROR(INDEX(DraftResults[[#All],[Pick in Round]],MATCH(Table5[[#This Row],[PID]],DraftResults[[#All],[Player ID]],0)),"")</f>
        <v/>
      </c>
      <c r="AB675" s="52" t="str">
        <f>IFERROR(INDEX(DraftResults[[#All],[Team Name]],MATCH(Table5[[#This Row],[PID]],DraftResults[[#All],[Player ID]],0)),"")</f>
        <v/>
      </c>
      <c r="AC675" s="52" t="str">
        <f>IF(Table5[[#This Row],[Ovr]]="","",IF(Table5[[#This Row],[cmbList]]="","",Table5[[#This Row],[cmbList]]-Table5[[#This Row],[Ovr]]))</f>
        <v/>
      </c>
      <c r="AD675" s="56" t="str">
        <f>IF(ISERROR(VLOOKUP($AB675&amp;"-"&amp;$E675&amp;" "&amp;F675,Bonuses!$B$1:$G$1006,4,FALSE)),"",INT(VLOOKUP($AB675&amp;"-"&amp;$E675&amp;" "&amp;$F675,Bonuses!$B$1:$G$1006,4,FALSE)))</f>
        <v/>
      </c>
      <c r="AE6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6" spans="1:31" s="52" customFormat="1" x14ac:dyDescent="0.25">
      <c r="A676" s="52">
        <v>15374</v>
      </c>
      <c r="B676" s="52">
        <f>COUNTIF(Table5[PID],A676)</f>
        <v>1</v>
      </c>
      <c r="C676" s="52" t="str">
        <f>IF(COUNTIF(Table3[[#All],[PID]],A676)&gt;0,"P","B")</f>
        <v>B</v>
      </c>
      <c r="D676" s="61" t="str">
        <f>IF($C676="B",INDEX(Batters[[#All],[POS]],MATCH(Table5[[#This Row],[PID]],Batters[[#All],[PID]],0)),INDEX(Table3[[#All],[POS]],MATCH(Table5[[#This Row],[PID]],Table3[[#All],[PID]],0)))</f>
        <v>C</v>
      </c>
      <c r="E676" s="54" t="str">
        <f>IF($C676="B",INDEX(Batters[[#All],[First]],MATCH(Table5[[#This Row],[PID]],Batters[[#All],[PID]],0)),INDEX(Table3[[#All],[First]],MATCH(Table5[[#This Row],[PID]],Table3[[#All],[PID]],0)))</f>
        <v>Nobuhisa</v>
      </c>
      <c r="F676" s="52" t="str">
        <f>IF($C676="B",INDEX(Batters[[#All],[Last]],MATCH(A676,Batters[[#All],[PID]],0)),INDEX(Table3[[#All],[Last]],MATCH(A676,Table3[[#All],[PID]],0)))</f>
        <v>Ine</v>
      </c>
      <c r="G676" s="58">
        <f>IF($C676="B",INDEX(Batters[[#All],[Age]],MATCH(Table5[[#This Row],[PID]],Batters[[#All],[PID]],0)),INDEX(Table3[[#All],[Age]],MATCH(Table5[[#This Row],[PID]],Table3[[#All],[PID]],0)))</f>
        <v>22</v>
      </c>
      <c r="H676" s="54" t="str">
        <f>IF($C676="B",INDEX(Batters[[#All],[B]],MATCH(Table5[[#This Row],[PID]],Batters[[#All],[PID]],0)),INDEX(Table3[[#All],[B]],MATCH(Table5[[#This Row],[PID]],Table3[[#All],[PID]],0)))</f>
        <v>R</v>
      </c>
      <c r="I676" s="54" t="str">
        <f>IF($C676="B",INDEX(Batters[[#All],[T]],MATCH(Table5[[#This Row],[PID]],Batters[[#All],[PID]],0)),INDEX(Table3[[#All],[T]],MATCH(Table5[[#This Row],[PID]],Table3[[#All],[PID]],0)))</f>
        <v>R</v>
      </c>
      <c r="J676" s="54" t="str">
        <f>IF($C676="B",INDEX(Batters[[#All],[WE]],MATCH(Table5[[#This Row],[PID]],Batters[[#All],[PID]],0)),INDEX(Table3[[#All],[WE]],MATCH(Table5[[#This Row],[PID]],Table3[[#All],[PID]],0)))</f>
        <v>Low</v>
      </c>
      <c r="K676" s="54" t="str">
        <f>IF($C676="B",INDEX(Batters[[#All],[INT]],MATCH(Table5[[#This Row],[PID]],Batters[[#All],[PID]],0)),INDEX(Table3[[#All],[INT]],MATCH(Table5[[#This Row],[PID]],Table3[[#All],[PID]],0)))</f>
        <v>Low</v>
      </c>
      <c r="L676" s="62">
        <f>IF($C676="B",INDEX(Batters[[#All],[CON P]],MATCH(Table5[[#This Row],[PID]],Batters[[#All],[PID]],0)),INDEX(Table3[[#All],[STU P]],MATCH(Table5[[#This Row],[PID]],Table3[[#All],[PID]],0)))</f>
        <v>3</v>
      </c>
      <c r="M676" s="58">
        <f>IF($C676="B",INDEX(Batters[[#All],[GAP P]],MATCH(Table5[[#This Row],[PID]],Batters[[#All],[PID]],0)),INDEX(Table3[[#All],[MOV P]],MATCH(Table5[[#This Row],[PID]],Table3[[#All],[PID]],0)))</f>
        <v>4</v>
      </c>
      <c r="N676" s="58">
        <f>IF($C676="B",INDEX(Batters[[#All],[POW P]],MATCH(Table5[[#This Row],[PID]],Batters[[#All],[PID]],0)),INDEX(Table3[[#All],[CON P]],MATCH(Table5[[#This Row],[PID]],Table3[[#All],[PID]],0)))</f>
        <v>4</v>
      </c>
      <c r="O676" s="58">
        <f>IF($C676="B",INDEX(Batters[[#All],[EYE P]],MATCH(Table5[[#This Row],[PID]],Batters[[#All],[PID]],0)),INDEX(Table3[[#All],[VELO]],MATCH(Table5[[#This Row],[PID]],Table3[[#All],[PID]],0)))</f>
        <v>6</v>
      </c>
      <c r="P676" s="58">
        <f>IF($C676="B",INDEX(Batters[[#All],[K P]],MATCH(Table5[[#This Row],[PID]],Batters[[#All],[PID]],0)),INDEX(Table3[[#All],[STM]],MATCH(Table5[[#This Row],[PID]],Table3[[#All],[PID]],0)))</f>
        <v>2</v>
      </c>
      <c r="Q676" s="63">
        <f>IF($C676="B",INDEX(Batters[[#All],[Tot]],MATCH(Table5[[#This Row],[PID]],Batters[[#All],[PID]],0)),INDEX(Table3[[#All],[Tot]],MATCH(Table5[[#This Row],[PID]],Table3[[#All],[PID]],0)))</f>
        <v>37.703022776777743</v>
      </c>
      <c r="R676" s="54">
        <f>IF($C676="B",INDEX(Batters[[#All],[zScore]],MATCH(Table5[[#This Row],[PID]],Batters[[#All],[PID]],0)),INDEX(Table3[[#All],[zScore]],MATCH(Table5[[#This Row],[PID]],Table3[[#All],[PID]],0)))</f>
        <v>-0.46540968412997885</v>
      </c>
      <c r="S676" s="60" t="str">
        <f>IF($C676="B",INDEX(Batters[[#All],[DEM]],MATCH(Table5[[#This Row],[PID]],Batters[[#All],[PID]],0)),INDEX(Table3[[#All],[DEM]],MATCH(Table5[[#This Row],[PID]],Table3[[#All],[PID]],0)))</f>
        <v>-</v>
      </c>
      <c r="T676" s="64">
        <f>IF($C676="B",VLOOKUP($A676,Bat!$A$4:$AU$1417,46,FALSE),VLOOKUP($A676,Pit!$A$4:$BD$570,55,FALSE))</f>
        <v>0</v>
      </c>
      <c r="U676" s="52">
        <f>IF($C676="B",VLOOKUP($A676,Bat!$A$4:$BA$1417,47,FALSE),VLOOKUP($A676,Pit!$A$4:$BF$570,56,FALSE))</f>
        <v>0</v>
      </c>
      <c r="V676" s="52">
        <f>IF($C676="B",VLOOKUP($A676,Bat!$A$4:$BA$1417,48,FALSE),VLOOKUP($A676,Pit!$A$4:$BF$570,57,FALSE))</f>
        <v>0</v>
      </c>
      <c r="W676" s="52">
        <f>Table5[[#This Row],[posRnk]]+Table5[[#This Row],[zRnk]]+IF($W$3&lt;&gt;Table5[[#This Row],[Type]],50,0)</f>
        <v>722</v>
      </c>
      <c r="X676" s="53">
        <f>RANK(Table5[[#This Row],[zScore]],Table5[[#All],[zScore]])</f>
        <v>672</v>
      </c>
      <c r="Y676" s="52" t="str">
        <f>IFERROR(INDEX(DraftResults[[#All],[OVR]],MATCH(Table5[[#This Row],[PID]],DraftResults[[#All],[Player ID]],0)),"")</f>
        <v/>
      </c>
      <c r="Z6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6" s="52" t="str">
        <f>IFERROR(INDEX(DraftResults[[#All],[Pick in Round]],MATCH(Table5[[#This Row],[PID]],DraftResults[[#All],[Player ID]],0)),"")</f>
        <v/>
      </c>
      <c r="AB676" s="52" t="str">
        <f>IFERROR(INDEX(DraftResults[[#All],[Team Name]],MATCH(Table5[[#This Row],[PID]],DraftResults[[#All],[Player ID]],0)),"")</f>
        <v/>
      </c>
      <c r="AC676" s="52" t="str">
        <f>IF(Table5[[#This Row],[Ovr]]="","",IF(Table5[[#This Row],[cmbList]]="","",Table5[[#This Row],[cmbList]]-Table5[[#This Row],[Ovr]]))</f>
        <v/>
      </c>
      <c r="AD676" s="56" t="str">
        <f>IF(ISERROR(VLOOKUP($AB676&amp;"-"&amp;$E676&amp;" "&amp;F676,Bonuses!$B$1:$G$1006,4,FALSE)),"",INT(VLOOKUP($AB676&amp;"-"&amp;$E676&amp;" "&amp;$F676,Bonuses!$B$1:$G$1006,4,FALSE)))</f>
        <v/>
      </c>
      <c r="AE6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7" spans="1:31" s="52" customFormat="1" x14ac:dyDescent="0.25">
      <c r="A677" s="52">
        <v>14643</v>
      </c>
      <c r="B677" s="52">
        <f>COUNTIF(Table5[PID],A677)</f>
        <v>1</v>
      </c>
      <c r="C677" s="52" t="str">
        <f>IF(COUNTIF(Table3[[#All],[PID]],A677)&gt;0,"P","B")</f>
        <v>P</v>
      </c>
      <c r="D677" s="61" t="str">
        <f>IF($C677="B",INDEX(Batters[[#All],[POS]],MATCH(Table5[[#This Row],[PID]],Batters[[#All],[PID]],0)),INDEX(Table3[[#All],[POS]],MATCH(Table5[[#This Row],[PID]],Table3[[#All],[PID]],0)))</f>
        <v>RP</v>
      </c>
      <c r="E677" s="54" t="str">
        <f>IF($C677="B",INDEX(Batters[[#All],[First]],MATCH(Table5[[#This Row],[PID]],Batters[[#All],[PID]],0)),INDEX(Table3[[#All],[First]],MATCH(Table5[[#This Row],[PID]],Table3[[#All],[PID]],0)))</f>
        <v>Mito</v>
      </c>
      <c r="F677" s="52" t="str">
        <f>IF($C677="B",INDEX(Batters[[#All],[Last]],MATCH(A677,Batters[[#All],[PID]],0)),INDEX(Table3[[#All],[Last]],MATCH(A677,Table3[[#All],[PID]],0)))</f>
        <v>Suzuki</v>
      </c>
      <c r="G677" s="58">
        <f>IF($C677="B",INDEX(Batters[[#All],[Age]],MATCH(Table5[[#This Row],[PID]],Batters[[#All],[PID]],0)),INDEX(Table3[[#All],[Age]],MATCH(Table5[[#This Row],[PID]],Table3[[#All],[PID]],0)))</f>
        <v>21</v>
      </c>
      <c r="H677" s="54" t="str">
        <f>IF($C677="B",INDEX(Batters[[#All],[B]],MATCH(Table5[[#This Row],[PID]],Batters[[#All],[PID]],0)),INDEX(Table3[[#All],[B]],MATCH(Table5[[#This Row],[PID]],Table3[[#All],[PID]],0)))</f>
        <v>R</v>
      </c>
      <c r="I677" s="54" t="str">
        <f>IF($C677="B",INDEX(Batters[[#All],[T]],MATCH(Table5[[#This Row],[PID]],Batters[[#All],[PID]],0)),INDEX(Table3[[#All],[T]],MATCH(Table5[[#This Row],[PID]],Table3[[#All],[PID]],0)))</f>
        <v>L</v>
      </c>
      <c r="J677" s="54" t="str">
        <f>IF($C677="B",INDEX(Batters[[#All],[WE]],MATCH(Table5[[#This Row],[PID]],Batters[[#All],[PID]],0)),INDEX(Table3[[#All],[WE]],MATCH(Table5[[#This Row],[PID]],Table3[[#All],[PID]],0)))</f>
        <v>Low</v>
      </c>
      <c r="K677" s="54" t="str">
        <f>IF($C677="B",INDEX(Batters[[#All],[INT]],MATCH(Table5[[#This Row],[PID]],Batters[[#All],[PID]],0)),INDEX(Table3[[#All],[INT]],MATCH(Table5[[#This Row],[PID]],Table3[[#All],[PID]],0)))</f>
        <v>Normal</v>
      </c>
      <c r="L677" s="62">
        <f>IF($C677="B",INDEX(Batters[[#All],[CON P]],MATCH(Table5[[#This Row],[PID]],Batters[[#All],[PID]],0)),INDEX(Table3[[#All],[STU P]],MATCH(Table5[[#This Row],[PID]],Table3[[#All],[PID]],0)))</f>
        <v>4</v>
      </c>
      <c r="M677" s="58">
        <f>IF($C677="B",INDEX(Batters[[#All],[GAP P]],MATCH(Table5[[#This Row],[PID]],Batters[[#All],[PID]],0)),INDEX(Table3[[#All],[MOV P]],MATCH(Table5[[#This Row],[PID]],Table3[[#All],[PID]],0)))</f>
        <v>2</v>
      </c>
      <c r="N677" s="58">
        <f>IF($C677="B",INDEX(Batters[[#All],[POW P]],MATCH(Table5[[#This Row],[PID]],Batters[[#All],[PID]],0)),INDEX(Table3[[#All],[CON P]],MATCH(Table5[[#This Row],[PID]],Table3[[#All],[PID]],0)))</f>
        <v>2</v>
      </c>
      <c r="O677" s="58" t="str">
        <f>IF($C677="B",INDEX(Batters[[#All],[EYE P]],MATCH(Table5[[#This Row],[PID]],Batters[[#All],[PID]],0)),INDEX(Table3[[#All],[VELO]],MATCH(Table5[[#This Row],[PID]],Table3[[#All],[PID]],0)))</f>
        <v>83-85 Mph</v>
      </c>
      <c r="P677" s="58">
        <f>IF($C677="B",INDEX(Batters[[#All],[K P]],MATCH(Table5[[#This Row],[PID]],Batters[[#All],[PID]],0)),INDEX(Table3[[#All],[STM]],MATCH(Table5[[#This Row],[PID]],Table3[[#All],[PID]],0)))</f>
        <v>9</v>
      </c>
      <c r="Q677" s="63">
        <f>IF($C677="B",INDEX(Batters[[#All],[Tot]],MATCH(Table5[[#This Row],[PID]],Batters[[#All],[PID]],0)),INDEX(Table3[[#All],[Tot]],MATCH(Table5[[#This Row],[PID]],Table3[[#All],[PID]],0)))</f>
        <v>27.633839113638359</v>
      </c>
      <c r="R677" s="54">
        <f>IF($C677="B",INDEX(Batters[[#All],[zScore]],MATCH(Table5[[#This Row],[PID]],Batters[[#All],[PID]],0)),INDEX(Table3[[#All],[zScore]],MATCH(Table5[[#This Row],[PID]],Table3[[#All],[PID]],0)))</f>
        <v>-0.46662910492564863</v>
      </c>
      <c r="S677" s="60" t="str">
        <f>IF($C677="B",INDEX(Batters[[#All],[DEM]],MATCH(Table5[[#This Row],[PID]],Batters[[#All],[PID]],0)),INDEX(Table3[[#All],[DEM]],MATCH(Table5[[#This Row],[PID]],Table3[[#All],[PID]],0)))</f>
        <v>$20k</v>
      </c>
      <c r="T677" s="64">
        <f>IF($C677="B",VLOOKUP($A677,Bat!$A$4:$AU$1417,46,FALSE),VLOOKUP($A677,Pit!$A$4:$BD$570,55,FALSE))</f>
        <v>0</v>
      </c>
      <c r="U677" s="52">
        <f>IF($C677="B",VLOOKUP($A677,Bat!$A$4:$BA$1417,47,FALSE),VLOOKUP($A677,Pit!$A$4:$BF$570,56,FALSE))</f>
        <v>0</v>
      </c>
      <c r="V677" s="52">
        <f>IF($C677="B",VLOOKUP($A677,Bat!$A$4:$BA$1417,48,FALSE),VLOOKUP($A677,Pit!$A$4:$BF$570,57,FALSE))</f>
        <v>0</v>
      </c>
      <c r="W677" s="52">
        <f>Table5[[#This Row],[posRnk]]+Table5[[#This Row],[zRnk]]+IF($W$3&lt;&gt;Table5[[#This Row],[Type]],50,0)</f>
        <v>723</v>
      </c>
      <c r="X677" s="53">
        <f>RANK(Table5[[#This Row],[zScore]],Table5[[#All],[zScore]])</f>
        <v>673</v>
      </c>
      <c r="Y677" s="52" t="str">
        <f>IFERROR(INDEX(DraftResults[[#All],[OVR]],MATCH(Table5[[#This Row],[PID]],DraftResults[[#All],[Player ID]],0)),"")</f>
        <v/>
      </c>
      <c r="Z6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7" s="52" t="str">
        <f>IFERROR(INDEX(DraftResults[[#All],[Pick in Round]],MATCH(Table5[[#This Row],[PID]],DraftResults[[#All],[Player ID]],0)),"")</f>
        <v/>
      </c>
      <c r="AB677" s="52" t="str">
        <f>IFERROR(INDEX(DraftResults[[#All],[Team Name]],MATCH(Table5[[#This Row],[PID]],DraftResults[[#All],[Player ID]],0)),"")</f>
        <v/>
      </c>
      <c r="AC677" s="52" t="str">
        <f>IF(Table5[[#This Row],[Ovr]]="","",IF(Table5[[#This Row],[cmbList]]="","",Table5[[#This Row],[cmbList]]-Table5[[#This Row],[Ovr]]))</f>
        <v/>
      </c>
      <c r="AD677" s="56" t="str">
        <f>IF(ISERROR(VLOOKUP($AB677&amp;"-"&amp;$E677&amp;" "&amp;F677,Bonuses!$B$1:$G$1006,4,FALSE)),"",INT(VLOOKUP($AB677&amp;"-"&amp;$E677&amp;" "&amp;$F677,Bonuses!$B$1:$G$1006,4,FALSE)))</f>
        <v/>
      </c>
      <c r="AE6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8" spans="1:31" s="52" customFormat="1" x14ac:dyDescent="0.25">
      <c r="A678" s="52">
        <v>6492</v>
      </c>
      <c r="B678" s="52">
        <f>COUNTIF(Table5[PID],A678)</f>
        <v>1</v>
      </c>
      <c r="C678" s="52" t="str">
        <f>IF(COUNTIF(Table3[[#All],[PID]],A678)&gt;0,"P","B")</f>
        <v>P</v>
      </c>
      <c r="D678" s="61" t="str">
        <f>IF($C678="B",INDEX(Batters[[#All],[POS]],MATCH(Table5[[#This Row],[PID]],Batters[[#All],[PID]],0)),INDEX(Table3[[#All],[POS]],MATCH(Table5[[#This Row],[PID]],Table3[[#All],[PID]],0)))</f>
        <v>RP</v>
      </c>
      <c r="E678" s="54" t="str">
        <f>IF($C678="B",INDEX(Batters[[#All],[First]],MATCH(Table5[[#This Row],[PID]],Batters[[#All],[PID]],0)),INDEX(Table3[[#All],[First]],MATCH(Table5[[#This Row],[PID]],Table3[[#All],[PID]],0)))</f>
        <v>Ramón</v>
      </c>
      <c r="F678" s="52" t="str">
        <f>IF($C678="B",INDEX(Batters[[#All],[Last]],MATCH(A678,Batters[[#All],[PID]],0)),INDEX(Table3[[#All],[Last]],MATCH(A678,Table3[[#All],[PID]],0)))</f>
        <v>González</v>
      </c>
      <c r="G678" s="58">
        <f>IF($C678="B",INDEX(Batters[[#All],[Age]],MATCH(Table5[[#This Row],[PID]],Batters[[#All],[PID]],0)),INDEX(Table3[[#All],[Age]],MATCH(Table5[[#This Row],[PID]],Table3[[#All],[PID]],0)))</f>
        <v>18</v>
      </c>
      <c r="H678" s="54" t="str">
        <f>IF($C678="B",INDEX(Batters[[#All],[B]],MATCH(Table5[[#This Row],[PID]],Batters[[#All],[PID]],0)),INDEX(Table3[[#All],[B]],MATCH(Table5[[#This Row],[PID]],Table3[[#All],[PID]],0)))</f>
        <v>R</v>
      </c>
      <c r="I678" s="54" t="str">
        <f>IF($C678="B",INDEX(Batters[[#All],[T]],MATCH(Table5[[#This Row],[PID]],Batters[[#All],[PID]],0)),INDEX(Table3[[#All],[T]],MATCH(Table5[[#This Row],[PID]],Table3[[#All],[PID]],0)))</f>
        <v>R</v>
      </c>
      <c r="J678" s="54" t="str">
        <f>IF($C678="B",INDEX(Batters[[#All],[WE]],MATCH(Table5[[#This Row],[PID]],Batters[[#All],[PID]],0)),INDEX(Table3[[#All],[WE]],MATCH(Table5[[#This Row],[PID]],Table3[[#All],[PID]],0)))</f>
        <v>High</v>
      </c>
      <c r="K678" s="54" t="str">
        <f>IF($C678="B",INDEX(Batters[[#All],[INT]],MATCH(Table5[[#This Row],[PID]],Batters[[#All],[PID]],0)),INDEX(Table3[[#All],[INT]],MATCH(Table5[[#This Row],[PID]],Table3[[#All],[PID]],0)))</f>
        <v>Normal</v>
      </c>
      <c r="L678" s="62">
        <f>IF($C678="B",INDEX(Batters[[#All],[CON P]],MATCH(Table5[[#This Row],[PID]],Batters[[#All],[PID]],0)),INDEX(Table3[[#All],[STU P]],MATCH(Table5[[#This Row],[PID]],Table3[[#All],[PID]],0)))</f>
        <v>4</v>
      </c>
      <c r="M678" s="58">
        <f>IF($C678="B",INDEX(Batters[[#All],[GAP P]],MATCH(Table5[[#This Row],[PID]],Batters[[#All],[PID]],0)),INDEX(Table3[[#All],[MOV P]],MATCH(Table5[[#This Row],[PID]],Table3[[#All],[PID]],0)))</f>
        <v>1</v>
      </c>
      <c r="N678" s="58">
        <f>IF($C678="B",INDEX(Batters[[#All],[POW P]],MATCH(Table5[[#This Row],[PID]],Batters[[#All],[PID]],0)),INDEX(Table3[[#All],[CON P]],MATCH(Table5[[#This Row],[PID]],Table3[[#All],[PID]],0)))</f>
        <v>2</v>
      </c>
      <c r="O678" s="58" t="str">
        <f>IF($C678="B",INDEX(Batters[[#All],[EYE P]],MATCH(Table5[[#This Row],[PID]],Batters[[#All],[PID]],0)),INDEX(Table3[[#All],[VELO]],MATCH(Table5[[#This Row],[PID]],Table3[[#All],[PID]],0)))</f>
        <v>86-88 Mph</v>
      </c>
      <c r="P678" s="58">
        <f>IF($C678="B",INDEX(Batters[[#All],[K P]],MATCH(Table5[[#This Row],[PID]],Batters[[#All],[PID]],0)),INDEX(Table3[[#All],[STM]],MATCH(Table5[[#This Row],[PID]],Table3[[#All],[PID]],0)))</f>
        <v>5</v>
      </c>
      <c r="Q678" s="63">
        <f>IF($C678="B",INDEX(Batters[[#All],[Tot]],MATCH(Table5[[#This Row],[PID]],Batters[[#All],[PID]],0)),INDEX(Table3[[#All],[Tot]],MATCH(Table5[[#This Row],[PID]],Table3[[#All],[PID]],0)))</f>
        <v>27.631928639720712</v>
      </c>
      <c r="R678" s="54">
        <f>IF($C678="B",INDEX(Batters[[#All],[zScore]],MATCH(Table5[[#This Row],[PID]],Batters[[#All],[PID]],0)),INDEX(Table3[[#All],[zScore]],MATCH(Table5[[#This Row],[PID]],Table3[[#All],[PID]],0)))</f>
        <v>-0.46680430354943397</v>
      </c>
      <c r="S678" s="60" t="str">
        <f>IF($C678="B",INDEX(Batters[[#All],[DEM]],MATCH(Table5[[#This Row],[PID]],Batters[[#All],[PID]],0)),INDEX(Table3[[#All],[DEM]],MATCH(Table5[[#This Row],[PID]],Table3[[#All],[PID]],0)))</f>
        <v>$65k</v>
      </c>
      <c r="T678" s="64">
        <f>IF($C678="B",VLOOKUP($A678,Bat!$A$4:$AU$1417,46,FALSE),VLOOKUP($A678,Pit!$A$4:$BD$570,55,FALSE))</f>
        <v>0</v>
      </c>
      <c r="U678" s="52">
        <f>IF($C678="B",VLOOKUP($A678,Bat!$A$4:$BA$1417,47,FALSE),VLOOKUP($A678,Pit!$A$4:$BF$570,56,FALSE))</f>
        <v>0</v>
      </c>
      <c r="V678" s="52">
        <f>IF($C678="B",VLOOKUP($A678,Bat!$A$4:$BA$1417,48,FALSE),VLOOKUP($A678,Pit!$A$4:$BF$570,57,FALSE))</f>
        <v>0</v>
      </c>
      <c r="W678" s="52">
        <f>Table5[[#This Row],[posRnk]]+Table5[[#This Row],[zRnk]]+IF($W$3&lt;&gt;Table5[[#This Row],[Type]],50,0)</f>
        <v>724</v>
      </c>
      <c r="X678" s="53">
        <f>RANK(Table5[[#This Row],[zScore]],Table5[[#All],[zScore]])</f>
        <v>674</v>
      </c>
      <c r="Y678" s="52" t="str">
        <f>IFERROR(INDEX(DraftResults[[#All],[OVR]],MATCH(Table5[[#This Row],[PID]],DraftResults[[#All],[Player ID]],0)),"")</f>
        <v/>
      </c>
      <c r="Z6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8" s="52" t="str">
        <f>IFERROR(INDEX(DraftResults[[#All],[Pick in Round]],MATCH(Table5[[#This Row],[PID]],DraftResults[[#All],[Player ID]],0)),"")</f>
        <v/>
      </c>
      <c r="AB678" s="52" t="str">
        <f>IFERROR(INDEX(DraftResults[[#All],[Team Name]],MATCH(Table5[[#This Row],[PID]],DraftResults[[#All],[Player ID]],0)),"")</f>
        <v/>
      </c>
      <c r="AC678" s="52" t="str">
        <f>IF(Table5[[#This Row],[Ovr]]="","",IF(Table5[[#This Row],[cmbList]]="","",Table5[[#This Row],[cmbList]]-Table5[[#This Row],[Ovr]]))</f>
        <v/>
      </c>
      <c r="AD678" s="56" t="str">
        <f>IF(ISERROR(VLOOKUP($AB678&amp;"-"&amp;$E678&amp;" "&amp;F678,Bonuses!$B$1:$G$1006,4,FALSE)),"",INT(VLOOKUP($AB678&amp;"-"&amp;$E678&amp;" "&amp;$F678,Bonuses!$B$1:$G$1006,4,FALSE)))</f>
        <v/>
      </c>
      <c r="AE6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9" spans="1:31" s="52" customFormat="1" x14ac:dyDescent="0.25">
      <c r="A679" s="52">
        <v>9331</v>
      </c>
      <c r="B679" s="52">
        <f>COUNTIF(Table5[PID],A679)</f>
        <v>1</v>
      </c>
      <c r="C679" s="52" t="str">
        <f>IF(COUNTIF(Table3[[#All],[PID]],A679)&gt;0,"P","B")</f>
        <v>P</v>
      </c>
      <c r="D679" s="61" t="str">
        <f>IF($C679="B",INDEX(Batters[[#All],[POS]],MATCH(Table5[[#This Row],[PID]],Batters[[#All],[PID]],0)),INDEX(Table3[[#All],[POS]],MATCH(Table5[[#This Row],[PID]],Table3[[#All],[PID]],0)))</f>
        <v>RP</v>
      </c>
      <c r="E679" s="54" t="str">
        <f>IF($C679="B",INDEX(Batters[[#All],[First]],MATCH(Table5[[#This Row],[PID]],Batters[[#All],[PID]],0)),INDEX(Table3[[#All],[First]],MATCH(Table5[[#This Row],[PID]],Table3[[#All],[PID]],0)))</f>
        <v>Francisco</v>
      </c>
      <c r="F679" s="52" t="str">
        <f>IF($C679="B",INDEX(Batters[[#All],[Last]],MATCH(A679,Batters[[#All],[PID]],0)),INDEX(Table3[[#All],[Last]],MATCH(A679,Table3[[#All],[PID]],0)))</f>
        <v>Delgado</v>
      </c>
      <c r="G679" s="58">
        <f>IF($C679="B",INDEX(Batters[[#All],[Age]],MATCH(Table5[[#This Row],[PID]],Batters[[#All],[PID]],0)),INDEX(Table3[[#All],[Age]],MATCH(Table5[[#This Row],[PID]],Table3[[#All],[PID]],0)))</f>
        <v>18</v>
      </c>
      <c r="H679" s="54" t="str">
        <f>IF($C679="B",INDEX(Batters[[#All],[B]],MATCH(Table5[[#This Row],[PID]],Batters[[#All],[PID]],0)),INDEX(Table3[[#All],[B]],MATCH(Table5[[#This Row],[PID]],Table3[[#All],[PID]],0)))</f>
        <v>L</v>
      </c>
      <c r="I679" s="54" t="str">
        <f>IF($C679="B",INDEX(Batters[[#All],[T]],MATCH(Table5[[#This Row],[PID]],Batters[[#All],[PID]],0)),INDEX(Table3[[#All],[T]],MATCH(Table5[[#This Row],[PID]],Table3[[#All],[PID]],0)))</f>
        <v>L</v>
      </c>
      <c r="J679" s="54" t="str">
        <f>IF($C679="B",INDEX(Batters[[#All],[WE]],MATCH(Table5[[#This Row],[PID]],Batters[[#All],[PID]],0)),INDEX(Table3[[#All],[WE]],MATCH(Table5[[#This Row],[PID]],Table3[[#All],[PID]],0)))</f>
        <v>Normal</v>
      </c>
      <c r="K679" s="54" t="str">
        <f>IF($C679="B",INDEX(Batters[[#All],[INT]],MATCH(Table5[[#This Row],[PID]],Batters[[#All],[PID]],0)),INDEX(Table3[[#All],[INT]],MATCH(Table5[[#This Row],[PID]],Table3[[#All],[PID]],0)))</f>
        <v>Normal</v>
      </c>
      <c r="L679" s="62">
        <f>IF($C679="B",INDEX(Batters[[#All],[CON P]],MATCH(Table5[[#This Row],[PID]],Batters[[#All],[PID]],0)),INDEX(Table3[[#All],[STU P]],MATCH(Table5[[#This Row],[PID]],Table3[[#All],[PID]],0)))</f>
        <v>4</v>
      </c>
      <c r="M679" s="58">
        <f>IF($C679="B",INDEX(Batters[[#All],[GAP P]],MATCH(Table5[[#This Row],[PID]],Batters[[#All],[PID]],0)),INDEX(Table3[[#All],[MOV P]],MATCH(Table5[[#This Row],[PID]],Table3[[#All],[PID]],0)))</f>
        <v>1</v>
      </c>
      <c r="N679" s="58">
        <f>IF($C679="B",INDEX(Batters[[#All],[POW P]],MATCH(Table5[[#This Row],[PID]],Batters[[#All],[PID]],0)),INDEX(Table3[[#All],[CON P]],MATCH(Table5[[#This Row],[PID]],Table3[[#All],[PID]],0)))</f>
        <v>2</v>
      </c>
      <c r="O679" s="58" t="str">
        <f>IF($C679="B",INDEX(Batters[[#All],[EYE P]],MATCH(Table5[[#This Row],[PID]],Batters[[#All],[PID]],0)),INDEX(Table3[[#All],[VELO]],MATCH(Table5[[#This Row],[PID]],Table3[[#All],[PID]],0)))</f>
        <v>85-87 Mph</v>
      </c>
      <c r="P679" s="58">
        <f>IF($C679="B",INDEX(Batters[[#All],[K P]],MATCH(Table5[[#This Row],[PID]],Batters[[#All],[PID]],0)),INDEX(Table3[[#All],[STM]],MATCH(Table5[[#This Row],[PID]],Table3[[#All],[PID]],0)))</f>
        <v>6</v>
      </c>
      <c r="Q679" s="63">
        <f>IF($C679="B",INDEX(Batters[[#All],[Tot]],MATCH(Table5[[#This Row],[PID]],Batters[[#All],[PID]],0)),INDEX(Table3[[#All],[Tot]],MATCH(Table5[[#This Row],[PID]],Table3[[#All],[PID]],0)))</f>
        <v>27.563491139720711</v>
      </c>
      <c r="R679" s="54">
        <f>IF($C679="B",INDEX(Batters[[#All],[zScore]],MATCH(Table5[[#This Row],[PID]],Batters[[#All],[PID]],0)),INDEX(Table3[[#All],[zScore]],MATCH(Table5[[#This Row],[PID]],Table3[[#All],[PID]],0)))</f>
        <v>-0.47308031480745677</v>
      </c>
      <c r="S679" s="60" t="str">
        <f>IF($C679="B",INDEX(Batters[[#All],[DEM]],MATCH(Table5[[#This Row],[PID]],Batters[[#All],[PID]],0)),INDEX(Table3[[#All],[DEM]],MATCH(Table5[[#This Row],[PID]],Table3[[#All],[PID]],0)))</f>
        <v>$70k</v>
      </c>
      <c r="T679" s="64">
        <f>IF($C679="B",VLOOKUP($A679,Bat!$A$4:$AU$1417,46,FALSE),VLOOKUP($A679,Pit!$A$4:$BD$570,55,FALSE))</f>
        <v>0</v>
      </c>
      <c r="U679" s="52">
        <f>IF($C679="B",VLOOKUP($A679,Bat!$A$4:$BA$1417,47,FALSE),VLOOKUP($A679,Pit!$A$4:$BF$570,56,FALSE))</f>
        <v>0</v>
      </c>
      <c r="V679" s="52">
        <f>IF($C679="B",VLOOKUP($A679,Bat!$A$4:$BA$1417,48,FALSE),VLOOKUP($A679,Pit!$A$4:$BF$570,57,FALSE))</f>
        <v>0</v>
      </c>
      <c r="W679" s="52">
        <f>Table5[[#This Row],[posRnk]]+Table5[[#This Row],[zRnk]]+IF($W$3&lt;&gt;Table5[[#This Row],[Type]],50,0)</f>
        <v>725</v>
      </c>
      <c r="X679" s="53">
        <f>RANK(Table5[[#This Row],[zScore]],Table5[[#All],[zScore]])</f>
        <v>675</v>
      </c>
      <c r="Y679" s="52" t="str">
        <f>IFERROR(INDEX(DraftResults[[#All],[OVR]],MATCH(Table5[[#This Row],[PID]],DraftResults[[#All],[Player ID]],0)),"")</f>
        <v/>
      </c>
      <c r="Z6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9" s="52" t="str">
        <f>IFERROR(INDEX(DraftResults[[#All],[Pick in Round]],MATCH(Table5[[#This Row],[PID]],DraftResults[[#All],[Player ID]],0)),"")</f>
        <v/>
      </c>
      <c r="AB679" s="52" t="str">
        <f>IFERROR(INDEX(DraftResults[[#All],[Team Name]],MATCH(Table5[[#This Row],[PID]],DraftResults[[#All],[Player ID]],0)),"")</f>
        <v/>
      </c>
      <c r="AC679" s="52" t="str">
        <f>IF(Table5[[#This Row],[Ovr]]="","",IF(Table5[[#This Row],[cmbList]]="","",Table5[[#This Row],[cmbList]]-Table5[[#This Row],[Ovr]]))</f>
        <v/>
      </c>
      <c r="AD679" s="56" t="str">
        <f>IF(ISERROR(VLOOKUP($AB679&amp;"-"&amp;$E679&amp;" "&amp;F679,Bonuses!$B$1:$G$1006,4,FALSE)),"",INT(VLOOKUP($AB679&amp;"-"&amp;$E679&amp;" "&amp;$F679,Bonuses!$B$1:$G$1006,4,FALSE)))</f>
        <v/>
      </c>
      <c r="AE6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0" spans="1:31" s="52" customFormat="1" x14ac:dyDescent="0.25">
      <c r="A680" s="52">
        <v>6233</v>
      </c>
      <c r="B680" s="52">
        <f>COUNTIF(Table5[PID],A680)</f>
        <v>1</v>
      </c>
      <c r="C680" s="52" t="str">
        <f>IF(COUNTIF(Table3[[#All],[PID]],A680)&gt;0,"P","B")</f>
        <v>P</v>
      </c>
      <c r="D680" s="61" t="str">
        <f>IF($C680="B",INDEX(Batters[[#All],[POS]],MATCH(Table5[[#This Row],[PID]],Batters[[#All],[PID]],0)),INDEX(Table3[[#All],[POS]],MATCH(Table5[[#This Row],[PID]],Table3[[#All],[PID]],0)))</f>
        <v>RP</v>
      </c>
      <c r="E680" s="54" t="str">
        <f>IF($C680="B",INDEX(Batters[[#All],[First]],MATCH(Table5[[#This Row],[PID]],Batters[[#All],[PID]],0)),INDEX(Table3[[#All],[First]],MATCH(Table5[[#This Row],[PID]],Table3[[#All],[PID]],0)))</f>
        <v>Jesús</v>
      </c>
      <c r="F680" s="52" t="str">
        <f>IF($C680="B",INDEX(Batters[[#All],[Last]],MATCH(A680,Batters[[#All],[PID]],0)),INDEX(Table3[[#All],[Last]],MATCH(A680,Table3[[#All],[PID]],0)))</f>
        <v>Trevino</v>
      </c>
      <c r="G680" s="58">
        <f>IF($C680="B",INDEX(Batters[[#All],[Age]],MATCH(Table5[[#This Row],[PID]],Batters[[#All],[PID]],0)),INDEX(Table3[[#All],[Age]],MATCH(Table5[[#This Row],[PID]],Table3[[#All],[PID]],0)))</f>
        <v>18</v>
      </c>
      <c r="H680" s="54" t="str">
        <f>IF($C680="B",INDEX(Batters[[#All],[B]],MATCH(Table5[[#This Row],[PID]],Batters[[#All],[PID]],0)),INDEX(Table3[[#All],[B]],MATCH(Table5[[#This Row],[PID]],Table3[[#All],[PID]],0)))</f>
        <v>S</v>
      </c>
      <c r="I680" s="54" t="str">
        <f>IF($C680="B",INDEX(Batters[[#All],[T]],MATCH(Table5[[#This Row],[PID]],Batters[[#All],[PID]],0)),INDEX(Table3[[#All],[T]],MATCH(Table5[[#This Row],[PID]],Table3[[#All],[PID]],0)))</f>
        <v>R</v>
      </c>
      <c r="J680" s="54" t="str">
        <f>IF($C680="B",INDEX(Batters[[#All],[WE]],MATCH(Table5[[#This Row],[PID]],Batters[[#All],[PID]],0)),INDEX(Table3[[#All],[WE]],MATCH(Table5[[#This Row],[PID]],Table3[[#All],[PID]],0)))</f>
        <v>Low</v>
      </c>
      <c r="K680" s="54" t="str">
        <f>IF($C680="B",INDEX(Batters[[#All],[INT]],MATCH(Table5[[#This Row],[PID]],Batters[[#All],[PID]],0)),INDEX(Table3[[#All],[INT]],MATCH(Table5[[#This Row],[PID]],Table3[[#All],[PID]],0)))</f>
        <v>Normal</v>
      </c>
      <c r="L680" s="62">
        <f>IF($C680="B",INDEX(Batters[[#All],[CON P]],MATCH(Table5[[#This Row],[PID]],Batters[[#All],[PID]],0)),INDEX(Table3[[#All],[STU P]],MATCH(Table5[[#This Row],[PID]],Table3[[#All],[PID]],0)))</f>
        <v>3</v>
      </c>
      <c r="M680" s="58">
        <f>IF($C680="B",INDEX(Batters[[#All],[GAP P]],MATCH(Table5[[#This Row],[PID]],Batters[[#All],[PID]],0)),INDEX(Table3[[#All],[MOV P]],MATCH(Table5[[#This Row],[PID]],Table3[[#All],[PID]],0)))</f>
        <v>1</v>
      </c>
      <c r="N680" s="58">
        <f>IF($C680="B",INDEX(Batters[[#All],[POW P]],MATCH(Table5[[#This Row],[PID]],Batters[[#All],[PID]],0)),INDEX(Table3[[#All],[CON P]],MATCH(Table5[[#This Row],[PID]],Table3[[#All],[PID]],0)))</f>
        <v>3</v>
      </c>
      <c r="O680" s="58" t="str">
        <f>IF($C680="B",INDEX(Batters[[#All],[EYE P]],MATCH(Table5[[#This Row],[PID]],Batters[[#All],[PID]],0)),INDEX(Table3[[#All],[VELO]],MATCH(Table5[[#This Row],[PID]],Table3[[#All],[PID]],0)))</f>
        <v>90-92 Mph</v>
      </c>
      <c r="P680" s="58">
        <f>IF($C680="B",INDEX(Batters[[#All],[K P]],MATCH(Table5[[#This Row],[PID]],Batters[[#All],[PID]],0)),INDEX(Table3[[#All],[STM]],MATCH(Table5[[#This Row],[PID]],Table3[[#All],[PID]],0)))</f>
        <v>7</v>
      </c>
      <c r="Q680" s="63">
        <f>IF($C680="B",INDEX(Batters[[#All],[Tot]],MATCH(Table5[[#This Row],[PID]],Batters[[#All],[PID]],0)),INDEX(Table3[[#All],[Tot]],MATCH(Table5[[#This Row],[PID]],Table3[[#All],[PID]],0)))</f>
        <v>24.90932729522914</v>
      </c>
      <c r="R680" s="54">
        <f>IF($C680="B",INDEX(Batters[[#All],[zScore]],MATCH(Table5[[#This Row],[PID]],Batters[[#All],[PID]],0)),INDEX(Table3[[#All],[zScore]],MATCH(Table5[[#This Row],[PID]],Table3[[#All],[PID]],0)))</f>
        <v>-0.48080008029010207</v>
      </c>
      <c r="S680" s="60" t="str">
        <f>IF($C680="B",INDEX(Batters[[#All],[DEM]],MATCH(Table5[[#This Row],[PID]],Batters[[#All],[PID]],0)),INDEX(Table3[[#All],[DEM]],MATCH(Table5[[#This Row],[PID]],Table3[[#All],[PID]],0)))</f>
        <v>$70k</v>
      </c>
      <c r="T680" s="64">
        <f>IF($C680="B",VLOOKUP($A680,Bat!$A$4:$AU$1417,46,FALSE),VLOOKUP($A680,Pit!$A$4:$BD$570,55,FALSE))</f>
        <v>0</v>
      </c>
      <c r="U680" s="52">
        <f>IF($C680="B",VLOOKUP($A680,Bat!$A$4:$BA$1417,47,FALSE),VLOOKUP($A680,Pit!$A$4:$BF$570,56,FALSE))</f>
        <v>0</v>
      </c>
      <c r="V680" s="52">
        <f>IF($C680="B",VLOOKUP($A680,Bat!$A$4:$BA$1417,48,FALSE),VLOOKUP($A680,Pit!$A$4:$BF$570,57,FALSE))</f>
        <v>0</v>
      </c>
      <c r="W680" s="52">
        <f>Table5[[#This Row],[posRnk]]+Table5[[#This Row],[zRnk]]+IF($W$3&lt;&gt;Table5[[#This Row],[Type]],50,0)</f>
        <v>726</v>
      </c>
      <c r="X680" s="53">
        <f>RANK(Table5[[#This Row],[zScore]],Table5[[#All],[zScore]])</f>
        <v>676</v>
      </c>
      <c r="Y680" s="52" t="str">
        <f>IFERROR(INDEX(DraftResults[[#All],[OVR]],MATCH(Table5[[#This Row],[PID]],DraftResults[[#All],[Player ID]],0)),"")</f>
        <v/>
      </c>
      <c r="Z6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0" s="52" t="str">
        <f>IFERROR(INDEX(DraftResults[[#All],[Pick in Round]],MATCH(Table5[[#This Row],[PID]],DraftResults[[#All],[Player ID]],0)),"")</f>
        <v/>
      </c>
      <c r="AB680" s="52" t="str">
        <f>IFERROR(INDEX(DraftResults[[#All],[Team Name]],MATCH(Table5[[#This Row],[PID]],DraftResults[[#All],[Player ID]],0)),"")</f>
        <v/>
      </c>
      <c r="AC680" s="52" t="str">
        <f>IF(Table5[[#This Row],[Ovr]]="","",IF(Table5[[#This Row],[cmbList]]="","",Table5[[#This Row],[cmbList]]-Table5[[#This Row],[Ovr]]))</f>
        <v/>
      </c>
      <c r="AD680" s="56" t="str">
        <f>IF(ISERROR(VLOOKUP($AB680&amp;"-"&amp;$E680&amp;" "&amp;F680,Bonuses!$B$1:$G$1006,4,FALSE)),"",INT(VLOOKUP($AB680&amp;"-"&amp;$E680&amp;" "&amp;$F680,Bonuses!$B$1:$G$1006,4,FALSE)))</f>
        <v/>
      </c>
      <c r="AE6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1" spans="1:31" s="52" customFormat="1" x14ac:dyDescent="0.25">
      <c r="A681" s="52">
        <v>11543</v>
      </c>
      <c r="B681" s="52">
        <f>COUNTIF(Table5[PID],A681)</f>
        <v>1</v>
      </c>
      <c r="C681" s="52" t="str">
        <f>IF(COUNTIF(Table3[[#All],[PID]],A681)&gt;0,"P","B")</f>
        <v>P</v>
      </c>
      <c r="D681" s="61" t="str">
        <f>IF($C681="B",INDEX(Batters[[#All],[POS]],MATCH(Table5[[#This Row],[PID]],Batters[[#All],[PID]],0)),INDEX(Table3[[#All],[POS]],MATCH(Table5[[#This Row],[PID]],Table3[[#All],[PID]],0)))</f>
        <v>RP</v>
      </c>
      <c r="E681" s="54" t="str">
        <f>IF($C681="B",INDEX(Batters[[#All],[First]],MATCH(Table5[[#This Row],[PID]],Batters[[#All],[PID]],0)),INDEX(Table3[[#All],[First]],MATCH(Table5[[#This Row],[PID]],Table3[[#All],[PID]],0)))</f>
        <v>Artie</v>
      </c>
      <c r="F681" s="52" t="str">
        <f>IF($C681="B",INDEX(Batters[[#All],[Last]],MATCH(A681,Batters[[#All],[PID]],0)),INDEX(Table3[[#All],[Last]],MATCH(A681,Table3[[#All],[PID]],0)))</f>
        <v>Lewis</v>
      </c>
      <c r="G681" s="58">
        <f>IF($C681="B",INDEX(Batters[[#All],[Age]],MATCH(Table5[[#This Row],[PID]],Batters[[#All],[PID]],0)),INDEX(Table3[[#All],[Age]],MATCH(Table5[[#This Row],[PID]],Table3[[#All],[PID]],0)))</f>
        <v>22</v>
      </c>
      <c r="H681" s="54" t="str">
        <f>IF($C681="B",INDEX(Batters[[#All],[B]],MATCH(Table5[[#This Row],[PID]],Batters[[#All],[PID]],0)),INDEX(Table3[[#All],[B]],MATCH(Table5[[#This Row],[PID]],Table3[[#All],[PID]],0)))</f>
        <v>R</v>
      </c>
      <c r="I681" s="54" t="str">
        <f>IF($C681="B",INDEX(Batters[[#All],[T]],MATCH(Table5[[#This Row],[PID]],Batters[[#All],[PID]],0)),INDEX(Table3[[#All],[T]],MATCH(Table5[[#This Row],[PID]],Table3[[#All],[PID]],0)))</f>
        <v>R</v>
      </c>
      <c r="J681" s="54" t="str">
        <f>IF($C681="B",INDEX(Batters[[#All],[WE]],MATCH(Table5[[#This Row],[PID]],Batters[[#All],[PID]],0)),INDEX(Table3[[#All],[WE]],MATCH(Table5[[#This Row],[PID]],Table3[[#All],[PID]],0)))</f>
        <v>Normal</v>
      </c>
      <c r="K681" s="54" t="str">
        <f>IF($C681="B",INDEX(Batters[[#All],[INT]],MATCH(Table5[[#This Row],[PID]],Batters[[#All],[PID]],0)),INDEX(Table3[[#All],[INT]],MATCH(Table5[[#This Row],[PID]],Table3[[#All],[PID]],0)))</f>
        <v>Normal</v>
      </c>
      <c r="L681" s="62">
        <f>IF($C681="B",INDEX(Batters[[#All],[CON P]],MATCH(Table5[[#This Row],[PID]],Batters[[#All],[PID]],0)),INDEX(Table3[[#All],[STU P]],MATCH(Table5[[#This Row],[PID]],Table3[[#All],[PID]],0)))</f>
        <v>4</v>
      </c>
      <c r="M681" s="58">
        <f>IF($C681="B",INDEX(Batters[[#All],[GAP P]],MATCH(Table5[[#This Row],[PID]],Batters[[#All],[PID]],0)),INDEX(Table3[[#All],[MOV P]],MATCH(Table5[[#This Row],[PID]],Table3[[#All],[PID]],0)))</f>
        <v>3</v>
      </c>
      <c r="N681" s="58">
        <f>IF($C681="B",INDEX(Batters[[#All],[POW P]],MATCH(Table5[[#This Row],[PID]],Batters[[#All],[PID]],0)),INDEX(Table3[[#All],[CON P]],MATCH(Table5[[#This Row],[PID]],Table3[[#All],[PID]],0)))</f>
        <v>2</v>
      </c>
      <c r="O681" s="58" t="str">
        <f>IF($C681="B",INDEX(Batters[[#All],[EYE P]],MATCH(Table5[[#This Row],[PID]],Batters[[#All],[PID]],0)),INDEX(Table3[[#All],[VELO]],MATCH(Table5[[#This Row],[PID]],Table3[[#All],[PID]],0)))</f>
        <v>91-93 Mph</v>
      </c>
      <c r="P681" s="58">
        <f>IF($C681="B",INDEX(Batters[[#All],[K P]],MATCH(Table5[[#This Row],[PID]],Batters[[#All],[PID]],0)),INDEX(Table3[[#All],[STM]],MATCH(Table5[[#This Row],[PID]],Table3[[#All],[PID]],0)))</f>
        <v>4</v>
      </c>
      <c r="Q681" s="63">
        <f>IF($C681="B",INDEX(Batters[[#All],[Tot]],MATCH(Table5[[#This Row],[PID]],Batters[[#All],[PID]],0)),INDEX(Table3[[#All],[Tot]],MATCH(Table5[[#This Row],[PID]],Table3[[#All],[PID]],0)))</f>
        <v>27.474433943234445</v>
      </c>
      <c r="R681" s="54">
        <f>IF($C681="B",INDEX(Batters[[#All],[zScore]],MATCH(Table5[[#This Row],[PID]],Batters[[#All],[PID]],0)),INDEX(Table3[[#All],[zScore]],MATCH(Table5[[#This Row],[PID]],Table3[[#All],[PID]],0)))</f>
        <v>-0.48124724036370509</v>
      </c>
      <c r="S681" s="60" t="str">
        <f>IF($C681="B",INDEX(Batters[[#All],[DEM]],MATCH(Table5[[#This Row],[PID]],Batters[[#All],[PID]],0)),INDEX(Table3[[#All],[DEM]],MATCH(Table5[[#This Row],[PID]],Table3[[#All],[PID]],0)))</f>
        <v>-</v>
      </c>
      <c r="T681" s="64">
        <f>IF($C681="B",VLOOKUP($A681,Bat!$A$4:$AU$1417,46,FALSE),VLOOKUP($A681,Pit!$A$4:$BD$570,55,FALSE))</f>
        <v>0</v>
      </c>
      <c r="U681" s="52">
        <f>IF($C681="B",VLOOKUP($A681,Bat!$A$4:$BA$1417,47,FALSE),VLOOKUP($A681,Pit!$A$4:$BF$570,56,FALSE))</f>
        <v>0</v>
      </c>
      <c r="V681" s="52">
        <f>IF($C681="B",VLOOKUP($A681,Bat!$A$4:$BA$1417,48,FALSE),VLOOKUP($A681,Pit!$A$4:$BF$570,57,FALSE))</f>
        <v>0</v>
      </c>
      <c r="W681" s="52">
        <f>Table5[[#This Row],[posRnk]]+Table5[[#This Row],[zRnk]]+IF($W$3&lt;&gt;Table5[[#This Row],[Type]],50,0)</f>
        <v>727</v>
      </c>
      <c r="X681" s="53">
        <f>RANK(Table5[[#This Row],[zScore]],Table5[[#All],[zScore]])</f>
        <v>677</v>
      </c>
      <c r="Y681" s="52" t="str">
        <f>IFERROR(INDEX(DraftResults[[#All],[OVR]],MATCH(Table5[[#This Row],[PID]],DraftResults[[#All],[Player ID]],0)),"")</f>
        <v/>
      </c>
      <c r="Z6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1" s="52" t="str">
        <f>IFERROR(INDEX(DraftResults[[#All],[Pick in Round]],MATCH(Table5[[#This Row],[PID]],DraftResults[[#All],[Player ID]],0)),"")</f>
        <v/>
      </c>
      <c r="AB681" s="52" t="str">
        <f>IFERROR(INDEX(DraftResults[[#All],[Team Name]],MATCH(Table5[[#This Row],[PID]],DraftResults[[#All],[Player ID]],0)),"")</f>
        <v/>
      </c>
      <c r="AC681" s="52" t="str">
        <f>IF(Table5[[#This Row],[Ovr]]="","",IF(Table5[[#This Row],[cmbList]]="","",Table5[[#This Row],[cmbList]]-Table5[[#This Row],[Ovr]]))</f>
        <v/>
      </c>
      <c r="AD681" s="56" t="str">
        <f>IF(ISERROR(VLOOKUP($AB681&amp;"-"&amp;$E681&amp;" "&amp;F681,Bonuses!$B$1:$G$1006,4,FALSE)),"",INT(VLOOKUP($AB681&amp;"-"&amp;$E681&amp;" "&amp;$F681,Bonuses!$B$1:$G$1006,4,FALSE)))</f>
        <v/>
      </c>
      <c r="AE6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2" spans="1:31" s="52" customFormat="1" x14ac:dyDescent="0.25">
      <c r="A682" s="52">
        <v>11198</v>
      </c>
      <c r="B682" s="52">
        <f>COUNTIF(Table5[PID],A682)</f>
        <v>1</v>
      </c>
      <c r="C682" s="52" t="str">
        <f>IF(COUNTIF(Table3[[#All],[PID]],A682)&gt;0,"P","B")</f>
        <v>P</v>
      </c>
      <c r="D682" s="61" t="str">
        <f>IF($C682="B",INDEX(Batters[[#All],[POS]],MATCH(Table5[[#This Row],[PID]],Batters[[#All],[PID]],0)),INDEX(Table3[[#All],[POS]],MATCH(Table5[[#This Row],[PID]],Table3[[#All],[PID]],0)))</f>
        <v>SP</v>
      </c>
      <c r="E682" s="54" t="str">
        <f>IF($C682="B",INDEX(Batters[[#All],[First]],MATCH(Table5[[#This Row],[PID]],Batters[[#All],[PID]],0)),INDEX(Table3[[#All],[First]],MATCH(Table5[[#This Row],[PID]],Table3[[#All],[PID]],0)))</f>
        <v>Iván</v>
      </c>
      <c r="F682" s="52" t="str">
        <f>IF($C682="B",INDEX(Batters[[#All],[Last]],MATCH(A682,Batters[[#All],[PID]],0)),INDEX(Table3[[#All],[Last]],MATCH(A682,Table3[[#All],[PID]],0)))</f>
        <v>Ramírez</v>
      </c>
      <c r="G682" s="58">
        <f>IF($C682="B",INDEX(Batters[[#All],[Age]],MATCH(Table5[[#This Row],[PID]],Batters[[#All],[PID]],0)),INDEX(Table3[[#All],[Age]],MATCH(Table5[[#This Row],[PID]],Table3[[#All],[PID]],0)))</f>
        <v>22</v>
      </c>
      <c r="H682" s="54" t="str">
        <f>IF($C682="B",INDEX(Batters[[#All],[B]],MATCH(Table5[[#This Row],[PID]],Batters[[#All],[PID]],0)),INDEX(Table3[[#All],[B]],MATCH(Table5[[#This Row],[PID]],Table3[[#All],[PID]],0)))</f>
        <v>L</v>
      </c>
      <c r="I682" s="54" t="str">
        <f>IF($C682="B",INDEX(Batters[[#All],[T]],MATCH(Table5[[#This Row],[PID]],Batters[[#All],[PID]],0)),INDEX(Table3[[#All],[T]],MATCH(Table5[[#This Row],[PID]],Table3[[#All],[PID]],0)))</f>
        <v>R</v>
      </c>
      <c r="J682" s="54" t="str">
        <f>IF($C682="B",INDEX(Batters[[#All],[WE]],MATCH(Table5[[#This Row],[PID]],Batters[[#All],[PID]],0)),INDEX(Table3[[#All],[WE]],MATCH(Table5[[#This Row],[PID]],Table3[[#All],[PID]],0)))</f>
        <v>Normal</v>
      </c>
      <c r="K682" s="54" t="str">
        <f>IF($C682="B",INDEX(Batters[[#All],[INT]],MATCH(Table5[[#This Row],[PID]],Batters[[#All],[PID]],0)),INDEX(Table3[[#All],[INT]],MATCH(Table5[[#This Row],[PID]],Table3[[#All],[PID]],0)))</f>
        <v>High</v>
      </c>
      <c r="L682" s="62">
        <f>IF($C682="B",INDEX(Batters[[#All],[CON P]],MATCH(Table5[[#This Row],[PID]],Batters[[#All],[PID]],0)),INDEX(Table3[[#All],[STU P]],MATCH(Table5[[#This Row],[PID]],Table3[[#All],[PID]],0)))</f>
        <v>5</v>
      </c>
      <c r="M682" s="58">
        <f>IF($C682="B",INDEX(Batters[[#All],[GAP P]],MATCH(Table5[[#This Row],[PID]],Batters[[#All],[PID]],0)),INDEX(Table3[[#All],[MOV P]],MATCH(Table5[[#This Row],[PID]],Table3[[#All],[PID]],0)))</f>
        <v>1</v>
      </c>
      <c r="N682" s="58">
        <f>IF($C682="B",INDEX(Batters[[#All],[POW P]],MATCH(Table5[[#This Row],[PID]],Batters[[#All],[PID]],0)),INDEX(Table3[[#All],[CON P]],MATCH(Table5[[#This Row],[PID]],Table3[[#All],[PID]],0)))</f>
        <v>2</v>
      </c>
      <c r="O682" s="58" t="str">
        <f>IF($C682="B",INDEX(Batters[[#All],[EYE P]],MATCH(Table5[[#This Row],[PID]],Batters[[#All],[PID]],0)),INDEX(Table3[[#All],[VELO]],MATCH(Table5[[#This Row],[PID]],Table3[[#All],[PID]],0)))</f>
        <v>93-95 Mph</v>
      </c>
      <c r="P682" s="58">
        <f>IF($C682="B",INDEX(Batters[[#All],[K P]],MATCH(Table5[[#This Row],[PID]],Batters[[#All],[PID]],0)),INDEX(Table3[[#All],[STM]],MATCH(Table5[[#This Row],[PID]],Table3[[#All],[PID]],0)))</f>
        <v>6</v>
      </c>
      <c r="Q682" s="63">
        <f>IF($C682="B",INDEX(Batters[[#All],[Tot]],MATCH(Table5[[#This Row],[PID]],Batters[[#All],[PID]],0)),INDEX(Table3[[#All],[Tot]],MATCH(Table5[[#This Row],[PID]],Table3[[#All],[PID]],0)))</f>
        <v>27.450385100543645</v>
      </c>
      <c r="R682" s="54">
        <f>IF($C682="B",INDEX(Batters[[#All],[zScore]],MATCH(Table5[[#This Row],[PID]],Batters[[#All],[PID]],0)),INDEX(Table3[[#All],[zScore]],MATCH(Table5[[#This Row],[PID]],Table3[[#All],[PID]],0)))</f>
        <v>-0.48345262202536532</v>
      </c>
      <c r="S682" s="60" t="str">
        <f>IF($C682="B",INDEX(Batters[[#All],[DEM]],MATCH(Table5[[#This Row],[PID]],Batters[[#All],[PID]],0)),INDEX(Table3[[#All],[DEM]],MATCH(Table5[[#This Row],[PID]],Table3[[#All],[PID]],0)))</f>
        <v>-</v>
      </c>
      <c r="T682" s="64">
        <f>IF($C682="B",VLOOKUP($A682,Bat!$A$4:$AU$1417,46,FALSE),VLOOKUP($A682,Pit!$A$4:$BD$570,55,FALSE))</f>
        <v>0</v>
      </c>
      <c r="U682" s="52">
        <f>IF($C682="B",VLOOKUP($A682,Bat!$A$4:$BA$1417,47,FALSE),VLOOKUP($A682,Pit!$A$4:$BF$570,56,FALSE))</f>
        <v>0</v>
      </c>
      <c r="V682" s="52">
        <f>IF($C682="B",VLOOKUP($A682,Bat!$A$4:$BA$1417,48,FALSE),VLOOKUP($A682,Pit!$A$4:$BF$570,57,FALSE))</f>
        <v>0</v>
      </c>
      <c r="W682" s="52">
        <f>Table5[[#This Row],[posRnk]]+Table5[[#This Row],[zRnk]]+IF($W$3&lt;&gt;Table5[[#This Row],[Type]],50,0)</f>
        <v>728</v>
      </c>
      <c r="X682" s="53">
        <f>RANK(Table5[[#This Row],[zScore]],Table5[[#All],[zScore]])</f>
        <v>678</v>
      </c>
      <c r="Y682" s="52" t="str">
        <f>IFERROR(INDEX(DraftResults[[#All],[OVR]],MATCH(Table5[[#This Row],[PID]],DraftResults[[#All],[Player ID]],0)),"")</f>
        <v/>
      </c>
      <c r="Z6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2" s="52" t="str">
        <f>IFERROR(INDEX(DraftResults[[#All],[Pick in Round]],MATCH(Table5[[#This Row],[PID]],DraftResults[[#All],[Player ID]],0)),"")</f>
        <v/>
      </c>
      <c r="AB682" s="52" t="str">
        <f>IFERROR(INDEX(DraftResults[[#All],[Team Name]],MATCH(Table5[[#This Row],[PID]],DraftResults[[#All],[Player ID]],0)),"")</f>
        <v/>
      </c>
      <c r="AC682" s="52" t="str">
        <f>IF(Table5[[#This Row],[Ovr]]="","",IF(Table5[[#This Row],[cmbList]]="","",Table5[[#This Row],[cmbList]]-Table5[[#This Row],[Ovr]]))</f>
        <v/>
      </c>
      <c r="AD682" s="56" t="str">
        <f>IF(ISERROR(VLOOKUP($AB682&amp;"-"&amp;$E682&amp;" "&amp;F682,Bonuses!$B$1:$G$1006,4,FALSE)),"",INT(VLOOKUP($AB682&amp;"-"&amp;$E682&amp;" "&amp;$F682,Bonuses!$B$1:$G$1006,4,FALSE)))</f>
        <v/>
      </c>
      <c r="AE6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3" spans="1:31" s="52" customFormat="1" x14ac:dyDescent="0.25">
      <c r="A683" s="52">
        <v>7566</v>
      </c>
      <c r="B683" s="52">
        <f>COUNTIF(Table5[PID],A683)</f>
        <v>1</v>
      </c>
      <c r="C683" s="52" t="str">
        <f>IF(COUNTIF(Table3[[#All],[PID]],A683)&gt;0,"P","B")</f>
        <v>B</v>
      </c>
      <c r="D683" s="61" t="str">
        <f>IF($C683="B",INDEX(Batters[[#All],[POS]],MATCH(Table5[[#This Row],[PID]],Batters[[#All],[PID]],0)),INDEX(Table3[[#All],[POS]],MATCH(Table5[[#This Row],[PID]],Table3[[#All],[PID]],0)))</f>
        <v>2B</v>
      </c>
      <c r="E683" s="54" t="str">
        <f>IF($C683="B",INDEX(Batters[[#All],[First]],MATCH(Table5[[#This Row],[PID]],Batters[[#All],[PID]],0)),INDEX(Table3[[#All],[First]],MATCH(Table5[[#This Row],[PID]],Table3[[#All],[PID]],0)))</f>
        <v>Roberto</v>
      </c>
      <c r="F683" s="52" t="str">
        <f>IF($C683="B",INDEX(Batters[[#All],[Last]],MATCH(A683,Batters[[#All],[PID]],0)),INDEX(Table3[[#All],[Last]],MATCH(A683,Table3[[#All],[PID]],0)))</f>
        <v>Pérez</v>
      </c>
      <c r="G683" s="58">
        <f>IF($C683="B",INDEX(Batters[[#All],[Age]],MATCH(Table5[[#This Row],[PID]],Batters[[#All],[PID]],0)),INDEX(Table3[[#All],[Age]],MATCH(Table5[[#This Row],[PID]],Table3[[#All],[PID]],0)))</f>
        <v>18</v>
      </c>
      <c r="H683" s="54" t="str">
        <f>IF($C683="B",INDEX(Batters[[#All],[B]],MATCH(Table5[[#This Row],[PID]],Batters[[#All],[PID]],0)),INDEX(Table3[[#All],[B]],MATCH(Table5[[#This Row],[PID]],Table3[[#All],[PID]],0)))</f>
        <v>R</v>
      </c>
      <c r="I683" s="54" t="str">
        <f>IF($C683="B",INDEX(Batters[[#All],[T]],MATCH(Table5[[#This Row],[PID]],Batters[[#All],[PID]],0)),INDEX(Table3[[#All],[T]],MATCH(Table5[[#This Row],[PID]],Table3[[#All],[PID]],0)))</f>
        <v>R</v>
      </c>
      <c r="J683" s="54" t="str">
        <f>IF($C683="B",INDEX(Batters[[#All],[WE]],MATCH(Table5[[#This Row],[PID]],Batters[[#All],[PID]],0)),INDEX(Table3[[#All],[WE]],MATCH(Table5[[#This Row],[PID]],Table3[[#All],[PID]],0)))</f>
        <v>High</v>
      </c>
      <c r="K683" s="54" t="str">
        <f>IF($C683="B",INDEX(Batters[[#All],[INT]],MATCH(Table5[[#This Row],[PID]],Batters[[#All],[PID]],0)),INDEX(Table3[[#All],[INT]],MATCH(Table5[[#This Row],[PID]],Table3[[#All],[PID]],0)))</f>
        <v>Normal</v>
      </c>
      <c r="L683" s="62">
        <f>IF($C683="B",INDEX(Batters[[#All],[CON P]],MATCH(Table5[[#This Row],[PID]],Batters[[#All],[PID]],0)),INDEX(Table3[[#All],[STU P]],MATCH(Table5[[#This Row],[PID]],Table3[[#All],[PID]],0)))</f>
        <v>2</v>
      </c>
      <c r="M683" s="58">
        <f>IF($C683="B",INDEX(Batters[[#All],[GAP P]],MATCH(Table5[[#This Row],[PID]],Batters[[#All],[PID]],0)),INDEX(Table3[[#All],[MOV P]],MATCH(Table5[[#This Row],[PID]],Table3[[#All],[PID]],0)))</f>
        <v>4</v>
      </c>
      <c r="N683" s="58">
        <f>IF($C683="B",INDEX(Batters[[#All],[POW P]],MATCH(Table5[[#This Row],[PID]],Batters[[#All],[PID]],0)),INDEX(Table3[[#All],[CON P]],MATCH(Table5[[#This Row],[PID]],Table3[[#All],[PID]],0)))</f>
        <v>3</v>
      </c>
      <c r="O683" s="58">
        <f>IF($C683="B",INDEX(Batters[[#All],[EYE P]],MATCH(Table5[[#This Row],[PID]],Batters[[#All],[PID]],0)),INDEX(Table3[[#All],[VELO]],MATCH(Table5[[#This Row],[PID]],Table3[[#All],[PID]],0)))</f>
        <v>5</v>
      </c>
      <c r="P683" s="58">
        <f>IF($C683="B",INDEX(Batters[[#All],[K P]],MATCH(Table5[[#This Row],[PID]],Batters[[#All],[PID]],0)),INDEX(Table3[[#All],[STM]],MATCH(Table5[[#This Row],[PID]],Table3[[#All],[PID]],0)))</f>
        <v>2</v>
      </c>
      <c r="Q683" s="63">
        <f>IF($C683="B",INDEX(Batters[[#All],[Tot]],MATCH(Table5[[#This Row],[PID]],Batters[[#All],[PID]],0)),INDEX(Table3[[#All],[Tot]],MATCH(Table5[[#This Row],[PID]],Table3[[#All],[PID]],0)))</f>
        <v>37.590384594995548</v>
      </c>
      <c r="R683" s="54">
        <f>IF($C683="B",INDEX(Batters[[#All],[zScore]],MATCH(Table5[[#This Row],[PID]],Batters[[#All],[PID]],0)),INDEX(Table3[[#All],[zScore]],MATCH(Table5[[#This Row],[PID]],Table3[[#All],[PID]],0)))</f>
        <v>-0.48522762358702809</v>
      </c>
      <c r="S683" s="60" t="str">
        <f>IF($C683="B",INDEX(Batters[[#All],[DEM]],MATCH(Table5[[#This Row],[PID]],Batters[[#All],[PID]],0)),INDEX(Table3[[#All],[DEM]],MATCH(Table5[[#This Row],[PID]],Table3[[#All],[PID]],0)))</f>
        <v>$38k</v>
      </c>
      <c r="T683" s="64">
        <f>IF($C683="B",VLOOKUP($A683,Bat!$A$4:$AU$1417,46,FALSE),VLOOKUP($A683,Pit!$A$4:$BD$570,55,FALSE))</f>
        <v>0</v>
      </c>
      <c r="U683" s="52">
        <f>IF($C683="B",VLOOKUP($A683,Bat!$A$4:$BA$1417,47,FALSE),VLOOKUP($A683,Pit!$A$4:$BF$570,56,FALSE))</f>
        <v>0</v>
      </c>
      <c r="V683" s="52">
        <f>IF($C683="B",VLOOKUP($A683,Bat!$A$4:$BA$1417,48,FALSE),VLOOKUP($A683,Pit!$A$4:$BF$570,57,FALSE))</f>
        <v>0</v>
      </c>
      <c r="W683" s="52">
        <f>Table5[[#This Row],[posRnk]]+Table5[[#This Row],[zRnk]]+IF($W$3&lt;&gt;Table5[[#This Row],[Type]],50,0)</f>
        <v>729</v>
      </c>
      <c r="X683" s="53">
        <f>RANK(Table5[[#This Row],[zScore]],Table5[[#All],[zScore]])</f>
        <v>679</v>
      </c>
      <c r="Y683" s="52" t="str">
        <f>IFERROR(INDEX(DraftResults[[#All],[OVR]],MATCH(Table5[[#This Row],[PID]],DraftResults[[#All],[Player ID]],0)),"")</f>
        <v/>
      </c>
      <c r="Z6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3" s="52" t="str">
        <f>IFERROR(INDEX(DraftResults[[#All],[Pick in Round]],MATCH(Table5[[#This Row],[PID]],DraftResults[[#All],[Player ID]],0)),"")</f>
        <v/>
      </c>
      <c r="AB683" s="52" t="str">
        <f>IFERROR(INDEX(DraftResults[[#All],[Team Name]],MATCH(Table5[[#This Row],[PID]],DraftResults[[#All],[Player ID]],0)),"")</f>
        <v/>
      </c>
      <c r="AC683" s="52" t="str">
        <f>IF(Table5[[#This Row],[Ovr]]="","",IF(Table5[[#This Row],[cmbList]]="","",Table5[[#This Row],[cmbList]]-Table5[[#This Row],[Ovr]]))</f>
        <v/>
      </c>
      <c r="AD683" s="56" t="str">
        <f>IF(ISERROR(VLOOKUP($AB683&amp;"-"&amp;$E683&amp;" "&amp;F683,Bonuses!$B$1:$G$1006,4,FALSE)),"",INT(VLOOKUP($AB683&amp;"-"&amp;$E683&amp;" "&amp;$F683,Bonuses!$B$1:$G$1006,4,FALSE)))</f>
        <v/>
      </c>
      <c r="AE6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4" spans="1:31" s="52" customFormat="1" x14ac:dyDescent="0.25">
      <c r="A684" s="52">
        <v>16283</v>
      </c>
      <c r="B684" s="52">
        <f>COUNTIF(Table5[PID],A684)</f>
        <v>1</v>
      </c>
      <c r="C684" s="52" t="str">
        <f>IF(COUNTIF(Table3[[#All],[PID]],A684)&gt;0,"P","B")</f>
        <v>B</v>
      </c>
      <c r="D684" s="61" t="str">
        <f>IF($C684="B",INDEX(Batters[[#All],[POS]],MATCH(Table5[[#This Row],[PID]],Batters[[#All],[PID]],0)),INDEX(Table3[[#All],[POS]],MATCH(Table5[[#This Row],[PID]],Table3[[#All],[PID]],0)))</f>
        <v>1B</v>
      </c>
      <c r="E684" s="54" t="str">
        <f>IF($C684="B",INDEX(Batters[[#All],[First]],MATCH(Table5[[#This Row],[PID]],Batters[[#All],[PID]],0)),INDEX(Table3[[#All],[First]],MATCH(Table5[[#This Row],[PID]],Table3[[#All],[PID]],0)))</f>
        <v>Aurelio</v>
      </c>
      <c r="F684" s="52" t="str">
        <f>IF($C684="B",INDEX(Batters[[#All],[Last]],MATCH(A684,Batters[[#All],[PID]],0)),INDEX(Table3[[#All],[Last]],MATCH(A684,Table3[[#All],[PID]],0)))</f>
        <v>López</v>
      </c>
      <c r="G684" s="58">
        <f>IF($C684="B",INDEX(Batters[[#All],[Age]],MATCH(Table5[[#This Row],[PID]],Batters[[#All],[PID]],0)),INDEX(Table3[[#All],[Age]],MATCH(Table5[[#This Row],[PID]],Table3[[#All],[PID]],0)))</f>
        <v>18</v>
      </c>
      <c r="H684" s="54" t="str">
        <f>IF($C684="B",INDEX(Batters[[#All],[B]],MATCH(Table5[[#This Row],[PID]],Batters[[#All],[PID]],0)),INDEX(Table3[[#All],[B]],MATCH(Table5[[#This Row],[PID]],Table3[[#All],[PID]],0)))</f>
        <v>R</v>
      </c>
      <c r="I684" s="54" t="str">
        <f>IF($C684="B",INDEX(Batters[[#All],[T]],MATCH(Table5[[#This Row],[PID]],Batters[[#All],[PID]],0)),INDEX(Table3[[#All],[T]],MATCH(Table5[[#This Row],[PID]],Table3[[#All],[PID]],0)))</f>
        <v>R</v>
      </c>
      <c r="J684" s="54" t="str">
        <f>IF($C684="B",INDEX(Batters[[#All],[WE]],MATCH(Table5[[#This Row],[PID]],Batters[[#All],[PID]],0)),INDEX(Table3[[#All],[WE]],MATCH(Table5[[#This Row],[PID]],Table3[[#All],[PID]],0)))</f>
        <v>Normal</v>
      </c>
      <c r="K684" s="54" t="str">
        <f>IF($C684="B",INDEX(Batters[[#All],[INT]],MATCH(Table5[[#This Row],[PID]],Batters[[#All],[PID]],0)),INDEX(Table3[[#All],[INT]],MATCH(Table5[[#This Row],[PID]],Table3[[#All],[PID]],0)))</f>
        <v>Normal</v>
      </c>
      <c r="L684" s="62">
        <f>IF($C684="B",INDEX(Batters[[#All],[CON P]],MATCH(Table5[[#This Row],[PID]],Batters[[#All],[PID]],0)),INDEX(Table3[[#All],[STU P]],MATCH(Table5[[#This Row],[PID]],Table3[[#All],[PID]],0)))</f>
        <v>3</v>
      </c>
      <c r="M684" s="58">
        <f>IF($C684="B",INDEX(Batters[[#All],[GAP P]],MATCH(Table5[[#This Row],[PID]],Batters[[#All],[PID]],0)),INDEX(Table3[[#All],[MOV P]],MATCH(Table5[[#This Row],[PID]],Table3[[#All],[PID]],0)))</f>
        <v>2</v>
      </c>
      <c r="N684" s="58">
        <f>IF($C684="B",INDEX(Batters[[#All],[POW P]],MATCH(Table5[[#This Row],[PID]],Batters[[#All],[PID]],0)),INDEX(Table3[[#All],[CON P]],MATCH(Table5[[#This Row],[PID]],Table3[[#All],[PID]],0)))</f>
        <v>2</v>
      </c>
      <c r="O684" s="58">
        <f>IF($C684="B",INDEX(Batters[[#All],[EYE P]],MATCH(Table5[[#This Row],[PID]],Batters[[#All],[PID]],0)),INDEX(Table3[[#All],[VELO]],MATCH(Table5[[#This Row],[PID]],Table3[[#All],[PID]],0)))</f>
        <v>3</v>
      </c>
      <c r="P684" s="58">
        <f>IF($C684="B",INDEX(Batters[[#All],[K P]],MATCH(Table5[[#This Row],[PID]],Batters[[#All],[PID]],0)),INDEX(Table3[[#All],[STM]],MATCH(Table5[[#This Row],[PID]],Table3[[#All],[PID]],0)))</f>
        <v>4</v>
      </c>
      <c r="Q684" s="63">
        <f>IF($C684="B",INDEX(Batters[[#All],[Tot]],MATCH(Table5[[#This Row],[PID]],Batters[[#All],[PID]],0)),INDEX(Table3[[#All],[Tot]],MATCH(Table5[[#This Row],[PID]],Table3[[#All],[PID]],0)))</f>
        <v>37.582165602709168</v>
      </c>
      <c r="R684" s="54">
        <f>IF($C684="B",INDEX(Batters[[#All],[zScore]],MATCH(Table5[[#This Row],[PID]],Batters[[#All],[PID]],0)),INDEX(Table3[[#All],[zScore]],MATCH(Table5[[#This Row],[PID]],Table3[[#All],[PID]],0)))</f>
        <v>-0.48667370065390053</v>
      </c>
      <c r="S684" s="60" t="str">
        <f>IF($C684="B",INDEX(Batters[[#All],[DEM]],MATCH(Table5[[#This Row],[PID]],Batters[[#All],[PID]],0)),INDEX(Table3[[#All],[DEM]],MATCH(Table5[[#This Row],[PID]],Table3[[#All],[PID]],0)))</f>
        <v>$110k</v>
      </c>
      <c r="T684" s="64">
        <f>IF($C684="B",VLOOKUP($A684,Bat!$A$4:$AU$1417,46,FALSE),VLOOKUP($A684,Pit!$A$4:$BD$570,55,FALSE))</f>
        <v>0</v>
      </c>
      <c r="U684" s="52">
        <f>IF($C684="B",VLOOKUP($A684,Bat!$A$4:$BA$1417,47,FALSE),VLOOKUP($A684,Pit!$A$4:$BF$570,56,FALSE))</f>
        <v>0</v>
      </c>
      <c r="V684" s="52">
        <f>IF($C684="B",VLOOKUP($A684,Bat!$A$4:$BA$1417,48,FALSE),VLOOKUP($A684,Pit!$A$4:$BF$570,57,FALSE))</f>
        <v>0</v>
      </c>
      <c r="W684" s="52">
        <f>Table5[[#This Row],[posRnk]]+Table5[[#This Row],[zRnk]]+IF($W$3&lt;&gt;Table5[[#This Row],[Type]],50,0)</f>
        <v>730</v>
      </c>
      <c r="X684" s="53">
        <f>RANK(Table5[[#This Row],[zScore]],Table5[[#All],[zScore]])</f>
        <v>680</v>
      </c>
      <c r="Y684" s="52" t="str">
        <f>IFERROR(INDEX(DraftResults[[#All],[OVR]],MATCH(Table5[[#This Row],[PID]],DraftResults[[#All],[Player ID]],0)),"")</f>
        <v/>
      </c>
      <c r="Z6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4" s="52" t="str">
        <f>IFERROR(INDEX(DraftResults[[#All],[Pick in Round]],MATCH(Table5[[#This Row],[PID]],DraftResults[[#All],[Player ID]],0)),"")</f>
        <v/>
      </c>
      <c r="AB684" s="52" t="str">
        <f>IFERROR(INDEX(DraftResults[[#All],[Team Name]],MATCH(Table5[[#This Row],[PID]],DraftResults[[#All],[Player ID]],0)),"")</f>
        <v/>
      </c>
      <c r="AC684" s="52" t="str">
        <f>IF(Table5[[#This Row],[Ovr]]="","",IF(Table5[[#This Row],[cmbList]]="","",Table5[[#This Row],[cmbList]]-Table5[[#This Row],[Ovr]]))</f>
        <v/>
      </c>
      <c r="AD684" s="56" t="str">
        <f>IF(ISERROR(VLOOKUP($AB684&amp;"-"&amp;$E684&amp;" "&amp;F684,Bonuses!$B$1:$G$1006,4,FALSE)),"",INT(VLOOKUP($AB684&amp;"-"&amp;$E684&amp;" "&amp;$F684,Bonuses!$B$1:$G$1006,4,FALSE)))</f>
        <v/>
      </c>
      <c r="AE6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5" spans="1:31" s="52" customFormat="1" x14ac:dyDescent="0.25">
      <c r="A685" s="52">
        <v>6088</v>
      </c>
      <c r="B685" s="52">
        <f>COUNTIF(Table5[PID],A685)</f>
        <v>1</v>
      </c>
      <c r="C685" s="52" t="str">
        <f>IF(COUNTIF(Table3[[#All],[PID]],A685)&gt;0,"P","B")</f>
        <v>B</v>
      </c>
      <c r="D685" s="61" t="str">
        <f>IF($C685="B",INDEX(Batters[[#All],[POS]],MATCH(Table5[[#This Row],[PID]],Batters[[#All],[PID]],0)),INDEX(Table3[[#All],[POS]],MATCH(Table5[[#This Row],[PID]],Table3[[#All],[PID]],0)))</f>
        <v>3B</v>
      </c>
      <c r="E685" s="54" t="str">
        <f>IF($C685="B",INDEX(Batters[[#All],[First]],MATCH(Table5[[#This Row],[PID]],Batters[[#All],[PID]],0)),INDEX(Table3[[#All],[First]],MATCH(Table5[[#This Row],[PID]],Table3[[#All],[PID]],0)))</f>
        <v>Ray</v>
      </c>
      <c r="F685" s="52" t="str">
        <f>IF($C685="B",INDEX(Batters[[#All],[Last]],MATCH(A685,Batters[[#All],[PID]],0)),INDEX(Table3[[#All],[Last]],MATCH(A685,Table3[[#All],[PID]],0)))</f>
        <v>Guerrero</v>
      </c>
      <c r="G685" s="58">
        <f>IF($C685="B",INDEX(Batters[[#All],[Age]],MATCH(Table5[[#This Row],[PID]],Batters[[#All],[PID]],0)),INDEX(Table3[[#All],[Age]],MATCH(Table5[[#This Row],[PID]],Table3[[#All],[PID]],0)))</f>
        <v>18</v>
      </c>
      <c r="H685" s="54" t="str">
        <f>IF($C685="B",INDEX(Batters[[#All],[B]],MATCH(Table5[[#This Row],[PID]],Batters[[#All],[PID]],0)),INDEX(Table3[[#All],[B]],MATCH(Table5[[#This Row],[PID]],Table3[[#All],[PID]],0)))</f>
        <v>R</v>
      </c>
      <c r="I685" s="54" t="str">
        <f>IF($C685="B",INDEX(Batters[[#All],[T]],MATCH(Table5[[#This Row],[PID]],Batters[[#All],[PID]],0)),INDEX(Table3[[#All],[T]],MATCH(Table5[[#This Row],[PID]],Table3[[#All],[PID]],0)))</f>
        <v>R</v>
      </c>
      <c r="J685" s="54" t="str">
        <f>IF($C685="B",INDEX(Batters[[#All],[WE]],MATCH(Table5[[#This Row],[PID]],Batters[[#All],[PID]],0)),INDEX(Table3[[#All],[WE]],MATCH(Table5[[#This Row],[PID]],Table3[[#All],[PID]],0)))</f>
        <v>Normal</v>
      </c>
      <c r="K685" s="54" t="str">
        <f>IF($C685="B",INDEX(Batters[[#All],[INT]],MATCH(Table5[[#This Row],[PID]],Batters[[#All],[PID]],0)),INDEX(Table3[[#All],[INT]],MATCH(Table5[[#This Row],[PID]],Table3[[#All],[PID]],0)))</f>
        <v>Normal</v>
      </c>
      <c r="L685" s="62">
        <f>IF($C685="B",INDEX(Batters[[#All],[CON P]],MATCH(Table5[[#This Row],[PID]],Batters[[#All],[PID]],0)),INDEX(Table3[[#All],[STU P]],MATCH(Table5[[#This Row],[PID]],Table3[[#All],[PID]],0)))</f>
        <v>3</v>
      </c>
      <c r="M685" s="58">
        <f>IF($C685="B",INDEX(Batters[[#All],[GAP P]],MATCH(Table5[[#This Row],[PID]],Batters[[#All],[PID]],0)),INDEX(Table3[[#All],[MOV P]],MATCH(Table5[[#This Row],[PID]],Table3[[#All],[PID]],0)))</f>
        <v>2</v>
      </c>
      <c r="N685" s="58">
        <f>IF($C685="B",INDEX(Batters[[#All],[POW P]],MATCH(Table5[[#This Row],[PID]],Batters[[#All],[PID]],0)),INDEX(Table3[[#All],[CON P]],MATCH(Table5[[#This Row],[PID]],Table3[[#All],[PID]],0)))</f>
        <v>2</v>
      </c>
      <c r="O685" s="58">
        <f>IF($C685="B",INDEX(Batters[[#All],[EYE P]],MATCH(Table5[[#This Row],[PID]],Batters[[#All],[PID]],0)),INDEX(Table3[[#All],[VELO]],MATCH(Table5[[#This Row],[PID]],Table3[[#All],[PID]],0)))</f>
        <v>3</v>
      </c>
      <c r="P685" s="58">
        <f>IF($C685="B",INDEX(Batters[[#All],[K P]],MATCH(Table5[[#This Row],[PID]],Batters[[#All],[PID]],0)),INDEX(Table3[[#All],[STM]],MATCH(Table5[[#This Row],[PID]],Table3[[#All],[PID]],0)))</f>
        <v>4</v>
      </c>
      <c r="Q685" s="63">
        <f>IF($C685="B",INDEX(Batters[[#All],[Tot]],MATCH(Table5[[#This Row],[PID]],Batters[[#All],[PID]],0)),INDEX(Table3[[#All],[Tot]],MATCH(Table5[[#This Row],[PID]],Table3[[#All],[PID]],0)))</f>
        <v>37.582165602709168</v>
      </c>
      <c r="R685" s="54">
        <f>IF($C685="B",INDEX(Batters[[#All],[zScore]],MATCH(Table5[[#This Row],[PID]],Batters[[#All],[PID]],0)),INDEX(Table3[[#All],[zScore]],MATCH(Table5[[#This Row],[PID]],Table3[[#All],[PID]],0)))</f>
        <v>-0.48667370065390053</v>
      </c>
      <c r="S685" s="60" t="str">
        <f>IF($C685="B",INDEX(Batters[[#All],[DEM]],MATCH(Table5[[#This Row],[PID]],Batters[[#All],[PID]],0)),INDEX(Table3[[#All],[DEM]],MATCH(Table5[[#This Row],[PID]],Table3[[#All],[PID]],0)))</f>
        <v>$75k</v>
      </c>
      <c r="T685" s="64">
        <f>IF($C685="B",VLOOKUP($A685,Bat!$A$4:$AU$1417,46,FALSE),VLOOKUP($A685,Pit!$A$4:$BD$570,55,FALSE))</f>
        <v>0</v>
      </c>
      <c r="U685" s="52">
        <f>IF($C685="B",VLOOKUP($A685,Bat!$A$4:$BA$1417,47,FALSE),VLOOKUP($A685,Pit!$A$4:$BF$570,56,FALSE))</f>
        <v>0</v>
      </c>
      <c r="V685" s="52">
        <f>IF($C685="B",VLOOKUP($A685,Bat!$A$4:$BA$1417,48,FALSE),VLOOKUP($A685,Pit!$A$4:$BF$570,57,FALSE))</f>
        <v>0</v>
      </c>
      <c r="W685" s="52">
        <f>Table5[[#This Row],[posRnk]]+Table5[[#This Row],[zRnk]]+IF($W$3&lt;&gt;Table5[[#This Row],[Type]],50,0)</f>
        <v>730</v>
      </c>
      <c r="X685" s="53">
        <f>RANK(Table5[[#This Row],[zScore]],Table5[[#All],[zScore]])</f>
        <v>680</v>
      </c>
      <c r="Y685" s="52" t="str">
        <f>IFERROR(INDEX(DraftResults[[#All],[OVR]],MATCH(Table5[[#This Row],[PID]],DraftResults[[#All],[Player ID]],0)),"")</f>
        <v/>
      </c>
      <c r="Z6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5" s="52" t="str">
        <f>IFERROR(INDEX(DraftResults[[#All],[Pick in Round]],MATCH(Table5[[#This Row],[PID]],DraftResults[[#All],[Player ID]],0)),"")</f>
        <v/>
      </c>
      <c r="AB685" s="52" t="str">
        <f>IFERROR(INDEX(DraftResults[[#All],[Team Name]],MATCH(Table5[[#This Row],[PID]],DraftResults[[#All],[Player ID]],0)),"")</f>
        <v/>
      </c>
      <c r="AC685" s="52" t="str">
        <f>IF(Table5[[#This Row],[Ovr]]="","",IF(Table5[[#This Row],[cmbList]]="","",Table5[[#This Row],[cmbList]]-Table5[[#This Row],[Ovr]]))</f>
        <v/>
      </c>
      <c r="AD685" s="56" t="str">
        <f>IF(ISERROR(VLOOKUP($AB685&amp;"-"&amp;$E685&amp;" "&amp;F685,Bonuses!$B$1:$G$1006,4,FALSE)),"",INT(VLOOKUP($AB685&amp;"-"&amp;$E685&amp;" "&amp;$F685,Bonuses!$B$1:$G$1006,4,FALSE)))</f>
        <v/>
      </c>
      <c r="AE6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6" spans="1:31" s="52" customFormat="1" x14ac:dyDescent="0.25">
      <c r="A686" s="52">
        <v>12649</v>
      </c>
      <c r="B686" s="52">
        <f>COUNTIF(Table5[PID],A686)</f>
        <v>1</v>
      </c>
      <c r="C686" s="52" t="str">
        <f>IF(COUNTIF(Table3[[#All],[PID]],A686)&gt;0,"P","B")</f>
        <v>B</v>
      </c>
      <c r="D686" s="61" t="str">
        <f>IF($C686="B",INDEX(Batters[[#All],[POS]],MATCH(Table5[[#This Row],[PID]],Batters[[#All],[PID]],0)),INDEX(Table3[[#All],[POS]],MATCH(Table5[[#This Row],[PID]],Table3[[#All],[PID]],0)))</f>
        <v>1B</v>
      </c>
      <c r="E686" s="54" t="str">
        <f>IF($C686="B",INDEX(Batters[[#All],[First]],MATCH(Table5[[#This Row],[PID]],Batters[[#All],[PID]],0)),INDEX(Table3[[#All],[First]],MATCH(Table5[[#This Row],[PID]],Table3[[#All],[PID]],0)))</f>
        <v>Ogai</v>
      </c>
      <c r="F686" s="52" t="str">
        <f>IF($C686="B",INDEX(Batters[[#All],[Last]],MATCH(A686,Batters[[#All],[PID]],0)),INDEX(Table3[[#All],[Last]],MATCH(A686,Table3[[#All],[PID]],0)))</f>
        <v>Hatsutori</v>
      </c>
      <c r="G686" s="58">
        <f>IF($C686="B",INDEX(Batters[[#All],[Age]],MATCH(Table5[[#This Row],[PID]],Batters[[#All],[PID]],0)),INDEX(Table3[[#All],[Age]],MATCH(Table5[[#This Row],[PID]],Table3[[#All],[PID]],0)))</f>
        <v>18</v>
      </c>
      <c r="H686" s="54" t="str">
        <f>IF($C686="B",INDEX(Batters[[#All],[B]],MATCH(Table5[[#This Row],[PID]],Batters[[#All],[PID]],0)),INDEX(Table3[[#All],[B]],MATCH(Table5[[#This Row],[PID]],Table3[[#All],[PID]],0)))</f>
        <v>R</v>
      </c>
      <c r="I686" s="54" t="str">
        <f>IF($C686="B",INDEX(Batters[[#All],[T]],MATCH(Table5[[#This Row],[PID]],Batters[[#All],[PID]],0)),INDEX(Table3[[#All],[T]],MATCH(Table5[[#This Row],[PID]],Table3[[#All],[PID]],0)))</f>
        <v>R</v>
      </c>
      <c r="J686" s="54" t="str">
        <f>IF($C686="B",INDEX(Batters[[#All],[WE]],MATCH(Table5[[#This Row],[PID]],Batters[[#All],[PID]],0)),INDEX(Table3[[#All],[WE]],MATCH(Table5[[#This Row],[PID]],Table3[[#All],[PID]],0)))</f>
        <v>High</v>
      </c>
      <c r="K686" s="54" t="str">
        <f>IF($C686="B",INDEX(Batters[[#All],[INT]],MATCH(Table5[[#This Row],[PID]],Batters[[#All],[PID]],0)),INDEX(Table3[[#All],[INT]],MATCH(Table5[[#This Row],[PID]],Table3[[#All],[PID]],0)))</f>
        <v>Normal</v>
      </c>
      <c r="L686" s="62">
        <f>IF($C686="B",INDEX(Batters[[#All],[CON P]],MATCH(Table5[[#This Row],[PID]],Batters[[#All],[PID]],0)),INDEX(Table3[[#All],[STU P]],MATCH(Table5[[#This Row],[PID]],Table3[[#All],[PID]],0)))</f>
        <v>3</v>
      </c>
      <c r="M686" s="58">
        <f>IF($C686="B",INDEX(Batters[[#All],[GAP P]],MATCH(Table5[[#This Row],[PID]],Batters[[#All],[PID]],0)),INDEX(Table3[[#All],[MOV P]],MATCH(Table5[[#This Row],[PID]],Table3[[#All],[PID]],0)))</f>
        <v>3</v>
      </c>
      <c r="N686" s="58">
        <f>IF($C686="B",INDEX(Batters[[#All],[POW P]],MATCH(Table5[[#This Row],[PID]],Batters[[#All],[PID]],0)),INDEX(Table3[[#All],[CON P]],MATCH(Table5[[#This Row],[PID]],Table3[[#All],[PID]],0)))</f>
        <v>2</v>
      </c>
      <c r="O686" s="58">
        <f>IF($C686="B",INDEX(Batters[[#All],[EYE P]],MATCH(Table5[[#This Row],[PID]],Batters[[#All],[PID]],0)),INDEX(Table3[[#All],[VELO]],MATCH(Table5[[#This Row],[PID]],Table3[[#All],[PID]],0)))</f>
        <v>2</v>
      </c>
      <c r="P686" s="58">
        <f>IF($C686="B",INDEX(Batters[[#All],[K P]],MATCH(Table5[[#This Row],[PID]],Batters[[#All],[PID]],0)),INDEX(Table3[[#All],[STM]],MATCH(Table5[[#This Row],[PID]],Table3[[#All],[PID]],0)))</f>
        <v>4</v>
      </c>
      <c r="Q686" s="63">
        <f>IF($C686="B",INDEX(Batters[[#All],[Tot]],MATCH(Table5[[#This Row],[PID]],Batters[[#All],[PID]],0)),INDEX(Table3[[#All],[Tot]],MATCH(Table5[[#This Row],[PID]],Table3[[#All],[PID]],0)))</f>
        <v>37.573475545980514</v>
      </c>
      <c r="R686" s="54">
        <f>IF($C686="B",INDEX(Batters[[#All],[zScore]],MATCH(Table5[[#This Row],[PID]],Batters[[#All],[PID]],0)),INDEX(Table3[[#All],[zScore]],MATCH(Table5[[#This Row],[PID]],Table3[[#All],[PID]],0)))</f>
        <v>-0.4882026583785537</v>
      </c>
      <c r="S686" s="60" t="str">
        <f>IF($C686="B",INDEX(Batters[[#All],[DEM]],MATCH(Table5[[#This Row],[PID]],Batters[[#All],[PID]],0)),INDEX(Table3[[#All],[DEM]],MATCH(Table5[[#This Row],[PID]],Table3[[#All],[PID]],0)))</f>
        <v>$75k</v>
      </c>
      <c r="T686" s="64">
        <f>IF($C686="B",VLOOKUP($A686,Bat!$A$4:$AU$1417,46,FALSE),VLOOKUP($A686,Pit!$A$4:$BD$570,55,FALSE))</f>
        <v>0</v>
      </c>
      <c r="U686" s="52">
        <f>IF($C686="B",VLOOKUP($A686,Bat!$A$4:$BA$1417,47,FALSE),VLOOKUP($A686,Pit!$A$4:$BF$570,56,FALSE))</f>
        <v>0</v>
      </c>
      <c r="V686" s="52">
        <f>IF($C686="B",VLOOKUP($A686,Bat!$A$4:$BA$1417,48,FALSE),VLOOKUP($A686,Pit!$A$4:$BF$570,57,FALSE))</f>
        <v>0</v>
      </c>
      <c r="W686" s="52">
        <f>Table5[[#This Row],[posRnk]]+Table5[[#This Row],[zRnk]]+IF($W$3&lt;&gt;Table5[[#This Row],[Type]],50,0)</f>
        <v>732</v>
      </c>
      <c r="X686" s="53">
        <f>RANK(Table5[[#This Row],[zScore]],Table5[[#All],[zScore]])</f>
        <v>682</v>
      </c>
      <c r="Y686" s="52" t="str">
        <f>IFERROR(INDEX(DraftResults[[#All],[OVR]],MATCH(Table5[[#This Row],[PID]],DraftResults[[#All],[Player ID]],0)),"")</f>
        <v/>
      </c>
      <c r="Z6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6" s="52" t="str">
        <f>IFERROR(INDEX(DraftResults[[#All],[Pick in Round]],MATCH(Table5[[#This Row],[PID]],DraftResults[[#All],[Player ID]],0)),"")</f>
        <v/>
      </c>
      <c r="AB686" s="52" t="str">
        <f>IFERROR(INDEX(DraftResults[[#All],[Team Name]],MATCH(Table5[[#This Row],[PID]],DraftResults[[#All],[Player ID]],0)),"")</f>
        <v/>
      </c>
      <c r="AC686" s="52" t="str">
        <f>IF(Table5[[#This Row],[Ovr]]="","",IF(Table5[[#This Row],[cmbList]]="","",Table5[[#This Row],[cmbList]]-Table5[[#This Row],[Ovr]]))</f>
        <v/>
      </c>
      <c r="AD686" s="56" t="str">
        <f>IF(ISERROR(VLOOKUP($AB686&amp;"-"&amp;$E686&amp;" "&amp;F686,Bonuses!$B$1:$G$1006,4,FALSE)),"",INT(VLOOKUP($AB686&amp;"-"&amp;$E686&amp;" "&amp;$F686,Bonuses!$B$1:$G$1006,4,FALSE)))</f>
        <v/>
      </c>
      <c r="AE6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7" spans="1:31" s="52" customFormat="1" x14ac:dyDescent="0.25">
      <c r="A687" s="52">
        <v>8695</v>
      </c>
      <c r="B687" s="52">
        <f>COUNTIF(Table5[PID],A687)</f>
        <v>1</v>
      </c>
      <c r="C687" s="52" t="str">
        <f>IF(COUNTIF(Table3[[#All],[PID]],A687)&gt;0,"P","B")</f>
        <v>B</v>
      </c>
      <c r="D687" s="61" t="str">
        <f>IF($C687="B",INDEX(Batters[[#All],[POS]],MATCH(Table5[[#This Row],[PID]],Batters[[#All],[PID]],0)),INDEX(Table3[[#All],[POS]],MATCH(Table5[[#This Row],[PID]],Table3[[#All],[PID]],0)))</f>
        <v>C</v>
      </c>
      <c r="E687" s="54" t="str">
        <f>IF($C687="B",INDEX(Batters[[#All],[First]],MATCH(Table5[[#This Row],[PID]],Batters[[#All],[PID]],0)),INDEX(Table3[[#All],[First]],MATCH(Table5[[#This Row],[PID]],Table3[[#All],[PID]],0)))</f>
        <v>Todd</v>
      </c>
      <c r="F687" s="52" t="str">
        <f>IF($C687="B",INDEX(Batters[[#All],[Last]],MATCH(A687,Batters[[#All],[PID]],0)),INDEX(Table3[[#All],[Last]],MATCH(A687,Table3[[#All],[PID]],0)))</f>
        <v>Lancaster</v>
      </c>
      <c r="G687" s="58">
        <f>IF($C687="B",INDEX(Batters[[#All],[Age]],MATCH(Table5[[#This Row],[PID]],Batters[[#All],[PID]],0)),INDEX(Table3[[#All],[Age]],MATCH(Table5[[#This Row],[PID]],Table3[[#All],[PID]],0)))</f>
        <v>22</v>
      </c>
      <c r="H687" s="54" t="str">
        <f>IF($C687="B",INDEX(Batters[[#All],[B]],MATCH(Table5[[#This Row],[PID]],Batters[[#All],[PID]],0)),INDEX(Table3[[#All],[B]],MATCH(Table5[[#This Row],[PID]],Table3[[#All],[PID]],0)))</f>
        <v>R</v>
      </c>
      <c r="I687" s="54" t="str">
        <f>IF($C687="B",INDEX(Batters[[#All],[T]],MATCH(Table5[[#This Row],[PID]],Batters[[#All],[PID]],0)),INDEX(Table3[[#All],[T]],MATCH(Table5[[#This Row],[PID]],Table3[[#All],[PID]],0)))</f>
        <v>R</v>
      </c>
      <c r="J687" s="54" t="str">
        <f>IF($C687="B",INDEX(Batters[[#All],[WE]],MATCH(Table5[[#This Row],[PID]],Batters[[#All],[PID]],0)),INDEX(Table3[[#All],[WE]],MATCH(Table5[[#This Row],[PID]],Table3[[#All],[PID]],0)))</f>
        <v>Low</v>
      </c>
      <c r="K687" s="54" t="str">
        <f>IF($C687="B",INDEX(Batters[[#All],[INT]],MATCH(Table5[[#This Row],[PID]],Batters[[#All],[PID]],0)),INDEX(Table3[[#All],[INT]],MATCH(Table5[[#This Row],[PID]],Table3[[#All],[PID]],0)))</f>
        <v>Normal</v>
      </c>
      <c r="L687" s="62">
        <f>IF($C687="B",INDEX(Batters[[#All],[CON P]],MATCH(Table5[[#This Row],[PID]],Batters[[#All],[PID]],0)),INDEX(Table3[[#All],[STU P]],MATCH(Table5[[#This Row],[PID]],Table3[[#All],[PID]],0)))</f>
        <v>3</v>
      </c>
      <c r="M687" s="58">
        <f>IF($C687="B",INDEX(Batters[[#All],[GAP P]],MATCH(Table5[[#This Row],[PID]],Batters[[#All],[PID]],0)),INDEX(Table3[[#All],[MOV P]],MATCH(Table5[[#This Row],[PID]],Table3[[#All],[PID]],0)))</f>
        <v>4</v>
      </c>
      <c r="N687" s="58">
        <f>IF($C687="B",INDEX(Batters[[#All],[POW P]],MATCH(Table5[[#This Row],[PID]],Batters[[#All],[PID]],0)),INDEX(Table3[[#All],[CON P]],MATCH(Table5[[#This Row],[PID]],Table3[[#All],[PID]],0)))</f>
        <v>4</v>
      </c>
      <c r="O687" s="58">
        <f>IF($C687="B",INDEX(Batters[[#All],[EYE P]],MATCH(Table5[[#This Row],[PID]],Batters[[#All],[PID]],0)),INDEX(Table3[[#All],[VELO]],MATCH(Table5[[#This Row],[PID]],Table3[[#All],[PID]],0)))</f>
        <v>5</v>
      </c>
      <c r="P687" s="58">
        <f>IF($C687="B",INDEX(Batters[[#All],[K P]],MATCH(Table5[[#This Row],[PID]],Batters[[#All],[PID]],0)),INDEX(Table3[[#All],[STM]],MATCH(Table5[[#This Row],[PID]],Table3[[#All],[PID]],0)))</f>
        <v>3</v>
      </c>
      <c r="Q687" s="63">
        <f>IF($C687="B",INDEX(Batters[[#All],[Tot]],MATCH(Table5[[#This Row],[PID]],Batters[[#All],[PID]],0)),INDEX(Table3[[#All],[Tot]],MATCH(Table5[[#This Row],[PID]],Table3[[#All],[PID]],0)))</f>
        <v>37.559293978171617</v>
      </c>
      <c r="R687" s="54">
        <f>IF($C687="B",INDEX(Batters[[#All],[zScore]],MATCH(Table5[[#This Row],[PID]],Batters[[#All],[PID]],0)),INDEX(Table3[[#All],[zScore]],MATCH(Table5[[#This Row],[PID]],Table3[[#All],[PID]],0)))</f>
        <v>-0.49069781097952719</v>
      </c>
      <c r="S687" s="60" t="str">
        <f>IF($C687="B",INDEX(Batters[[#All],[DEM]],MATCH(Table5[[#This Row],[PID]],Batters[[#All],[PID]],0)),INDEX(Table3[[#All],[DEM]],MATCH(Table5[[#This Row],[PID]],Table3[[#All],[PID]],0)))</f>
        <v>-</v>
      </c>
      <c r="T687" s="64">
        <f>IF($C687="B",VLOOKUP($A687,Bat!$A$4:$AU$1417,46,FALSE),VLOOKUP($A687,Pit!$A$4:$BD$570,55,FALSE))</f>
        <v>0</v>
      </c>
      <c r="U687" s="52">
        <f>IF($C687="B",VLOOKUP($A687,Bat!$A$4:$BA$1417,47,FALSE),VLOOKUP($A687,Pit!$A$4:$BF$570,56,FALSE))</f>
        <v>0</v>
      </c>
      <c r="V687" s="52">
        <f>IF($C687="B",VLOOKUP($A687,Bat!$A$4:$BA$1417,48,FALSE),VLOOKUP($A687,Pit!$A$4:$BF$570,57,FALSE))</f>
        <v>0</v>
      </c>
      <c r="W687" s="52">
        <f>Table5[[#This Row],[posRnk]]+Table5[[#This Row],[zRnk]]+IF($W$3&lt;&gt;Table5[[#This Row],[Type]],50,0)</f>
        <v>733</v>
      </c>
      <c r="X687" s="53">
        <f>RANK(Table5[[#This Row],[zScore]],Table5[[#All],[zScore]])</f>
        <v>683</v>
      </c>
      <c r="Y687" s="52" t="str">
        <f>IFERROR(INDEX(DraftResults[[#All],[OVR]],MATCH(Table5[[#This Row],[PID]],DraftResults[[#All],[Player ID]],0)),"")</f>
        <v/>
      </c>
      <c r="Z6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7" s="52" t="str">
        <f>IFERROR(INDEX(DraftResults[[#All],[Pick in Round]],MATCH(Table5[[#This Row],[PID]],DraftResults[[#All],[Player ID]],0)),"")</f>
        <v/>
      </c>
      <c r="AB687" s="52" t="str">
        <f>IFERROR(INDEX(DraftResults[[#All],[Team Name]],MATCH(Table5[[#This Row],[PID]],DraftResults[[#All],[Player ID]],0)),"")</f>
        <v/>
      </c>
      <c r="AC687" s="52" t="str">
        <f>IF(Table5[[#This Row],[Ovr]]="","",IF(Table5[[#This Row],[cmbList]]="","",Table5[[#This Row],[cmbList]]-Table5[[#This Row],[Ovr]]))</f>
        <v/>
      </c>
      <c r="AD687" s="56" t="str">
        <f>IF(ISERROR(VLOOKUP($AB687&amp;"-"&amp;$E687&amp;" "&amp;F687,Bonuses!$B$1:$G$1006,4,FALSE)),"",INT(VLOOKUP($AB687&amp;"-"&amp;$E687&amp;" "&amp;$F687,Bonuses!$B$1:$G$1006,4,FALSE)))</f>
        <v/>
      </c>
      <c r="AE6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8" spans="1:31" s="52" customFormat="1" x14ac:dyDescent="0.25">
      <c r="A688" s="52">
        <v>12663</v>
      </c>
      <c r="B688" s="52">
        <f>COUNTIF(Table5[PID],A688)</f>
        <v>1</v>
      </c>
      <c r="C688" s="52" t="str">
        <f>IF(COUNTIF(Table3[[#All],[PID]],A688)&gt;0,"P","B")</f>
        <v>B</v>
      </c>
      <c r="D688" s="61" t="str">
        <f>IF($C688="B",INDEX(Batters[[#All],[POS]],MATCH(Table5[[#This Row],[PID]],Batters[[#All],[PID]],0)),INDEX(Table3[[#All],[POS]],MATCH(Table5[[#This Row],[PID]],Table3[[#All],[PID]],0)))</f>
        <v>2B</v>
      </c>
      <c r="E688" s="54" t="str">
        <f>IF($C688="B",INDEX(Batters[[#All],[First]],MATCH(Table5[[#This Row],[PID]],Batters[[#All],[PID]],0)),INDEX(Table3[[#All],[First]],MATCH(Table5[[#This Row],[PID]],Table3[[#All],[PID]],0)))</f>
        <v>Iwao</v>
      </c>
      <c r="F688" s="52" t="str">
        <f>IF($C688="B",INDEX(Batters[[#All],[Last]],MATCH(A688,Batters[[#All],[PID]],0)),INDEX(Table3[[#All],[Last]],MATCH(A688,Table3[[#All],[PID]],0)))</f>
        <v>Narita</v>
      </c>
      <c r="G688" s="58">
        <f>IF($C688="B",INDEX(Batters[[#All],[Age]],MATCH(Table5[[#This Row],[PID]],Batters[[#All],[PID]],0)),INDEX(Table3[[#All],[Age]],MATCH(Table5[[#This Row],[PID]],Table3[[#All],[PID]],0)))</f>
        <v>21</v>
      </c>
      <c r="H688" s="54" t="str">
        <f>IF($C688="B",INDEX(Batters[[#All],[B]],MATCH(Table5[[#This Row],[PID]],Batters[[#All],[PID]],0)),INDEX(Table3[[#All],[B]],MATCH(Table5[[#This Row],[PID]],Table3[[#All],[PID]],0)))</f>
        <v>R</v>
      </c>
      <c r="I688" s="54" t="str">
        <f>IF($C688="B",INDEX(Batters[[#All],[T]],MATCH(Table5[[#This Row],[PID]],Batters[[#All],[PID]],0)),INDEX(Table3[[#All],[T]],MATCH(Table5[[#This Row],[PID]],Table3[[#All],[PID]],0)))</f>
        <v>R</v>
      </c>
      <c r="J688" s="54" t="str">
        <f>IF($C688="B",INDEX(Batters[[#All],[WE]],MATCH(Table5[[#This Row],[PID]],Batters[[#All],[PID]],0)),INDEX(Table3[[#All],[WE]],MATCH(Table5[[#This Row],[PID]],Table3[[#All],[PID]],0)))</f>
        <v>High</v>
      </c>
      <c r="K688" s="54" t="str">
        <f>IF($C688="B",INDEX(Batters[[#All],[INT]],MATCH(Table5[[#This Row],[PID]],Batters[[#All],[PID]],0)),INDEX(Table3[[#All],[INT]],MATCH(Table5[[#This Row],[PID]],Table3[[#All],[PID]],0)))</f>
        <v>High</v>
      </c>
      <c r="L688" s="62">
        <f>IF($C688="B",INDEX(Batters[[#All],[CON P]],MATCH(Table5[[#This Row],[PID]],Batters[[#All],[PID]],0)),INDEX(Table3[[#All],[STU P]],MATCH(Table5[[#This Row],[PID]],Table3[[#All],[PID]],0)))</f>
        <v>3</v>
      </c>
      <c r="M688" s="58">
        <f>IF($C688="B",INDEX(Batters[[#All],[GAP P]],MATCH(Table5[[#This Row],[PID]],Batters[[#All],[PID]],0)),INDEX(Table3[[#All],[MOV P]],MATCH(Table5[[#This Row],[PID]],Table3[[#All],[PID]],0)))</f>
        <v>3</v>
      </c>
      <c r="N688" s="58">
        <f>IF($C688="B",INDEX(Batters[[#All],[POW P]],MATCH(Table5[[#This Row],[PID]],Batters[[#All],[PID]],0)),INDEX(Table3[[#All],[CON P]],MATCH(Table5[[#This Row],[PID]],Table3[[#All],[PID]],0)))</f>
        <v>2</v>
      </c>
      <c r="O688" s="58">
        <f>IF($C688="B",INDEX(Batters[[#All],[EYE P]],MATCH(Table5[[#This Row],[PID]],Batters[[#All],[PID]],0)),INDEX(Table3[[#All],[VELO]],MATCH(Table5[[#This Row],[PID]],Table3[[#All],[PID]],0)))</f>
        <v>5</v>
      </c>
      <c r="P688" s="58">
        <f>IF($C688="B",INDEX(Batters[[#All],[K P]],MATCH(Table5[[#This Row],[PID]],Batters[[#All],[PID]],0)),INDEX(Table3[[#All],[STM]],MATCH(Table5[[#This Row],[PID]],Table3[[#All],[PID]],0)))</f>
        <v>4</v>
      </c>
      <c r="Q688" s="63">
        <f>IF($C688="B",INDEX(Batters[[#All],[Tot]],MATCH(Table5[[#This Row],[PID]],Batters[[#All],[PID]],0)),INDEX(Table3[[#All],[Tot]],MATCH(Table5[[#This Row],[PID]],Table3[[#All],[PID]],0)))</f>
        <v>37.558296223642387</v>
      </c>
      <c r="R688" s="54">
        <f>IF($C688="B",INDEX(Batters[[#All],[zScore]],MATCH(Table5[[#This Row],[PID]],Batters[[#All],[PID]],0)),INDEX(Table3[[#All],[zScore]],MATCH(Table5[[#This Row],[PID]],Table3[[#All],[PID]],0)))</f>
        <v>-0.49087335925756592</v>
      </c>
      <c r="S688" s="60" t="str">
        <f>IF($C688="B",INDEX(Batters[[#All],[DEM]],MATCH(Table5[[#This Row],[PID]],Batters[[#All],[PID]],0)),INDEX(Table3[[#All],[DEM]],MATCH(Table5[[#This Row],[PID]],Table3[[#All],[PID]],0)))</f>
        <v>$110k</v>
      </c>
      <c r="T688" s="64">
        <f>IF($C688="B",VLOOKUP($A688,Bat!$A$4:$AU$1417,46,FALSE),VLOOKUP($A688,Pit!$A$4:$BD$570,55,FALSE))</f>
        <v>0</v>
      </c>
      <c r="U688" s="52">
        <f>IF($C688="B",VLOOKUP($A688,Bat!$A$4:$BA$1417,47,FALSE),VLOOKUP($A688,Pit!$A$4:$BF$570,56,FALSE))</f>
        <v>0</v>
      </c>
      <c r="V688" s="52">
        <f>IF($C688="B",VLOOKUP($A688,Bat!$A$4:$BA$1417,48,FALSE),VLOOKUP($A688,Pit!$A$4:$BF$570,57,FALSE))</f>
        <v>0</v>
      </c>
      <c r="W688" s="52">
        <f>Table5[[#This Row],[posRnk]]+Table5[[#This Row],[zRnk]]+IF($W$3&lt;&gt;Table5[[#This Row],[Type]],50,0)</f>
        <v>734</v>
      </c>
      <c r="X688" s="53">
        <f>RANK(Table5[[#This Row],[zScore]],Table5[[#All],[zScore]])</f>
        <v>684</v>
      </c>
      <c r="Y688" s="52" t="str">
        <f>IFERROR(INDEX(DraftResults[[#All],[OVR]],MATCH(Table5[[#This Row],[PID]],DraftResults[[#All],[Player ID]],0)),"")</f>
        <v/>
      </c>
      <c r="Z6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8" s="52" t="str">
        <f>IFERROR(INDEX(DraftResults[[#All],[Pick in Round]],MATCH(Table5[[#This Row],[PID]],DraftResults[[#All],[Player ID]],0)),"")</f>
        <v/>
      </c>
      <c r="AB688" s="52" t="str">
        <f>IFERROR(INDEX(DraftResults[[#All],[Team Name]],MATCH(Table5[[#This Row],[PID]],DraftResults[[#All],[Player ID]],0)),"")</f>
        <v/>
      </c>
      <c r="AC688" s="52" t="str">
        <f>IF(Table5[[#This Row],[Ovr]]="","",IF(Table5[[#This Row],[cmbList]]="","",Table5[[#This Row],[cmbList]]-Table5[[#This Row],[Ovr]]))</f>
        <v/>
      </c>
      <c r="AD688" s="56" t="str">
        <f>IF(ISERROR(VLOOKUP($AB688&amp;"-"&amp;$E688&amp;" "&amp;F688,Bonuses!$B$1:$G$1006,4,FALSE)),"",INT(VLOOKUP($AB688&amp;"-"&amp;$E688&amp;" "&amp;$F688,Bonuses!$B$1:$G$1006,4,FALSE)))</f>
        <v/>
      </c>
      <c r="AE6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9" spans="1:31" s="52" customFormat="1" x14ac:dyDescent="0.25">
      <c r="A689" s="52">
        <v>9833</v>
      </c>
      <c r="B689" s="52">
        <f>COUNTIF(Table5[PID],A689)</f>
        <v>1</v>
      </c>
      <c r="C689" s="52" t="str">
        <f>IF(COUNTIF(Table3[[#All],[PID]],A689)&gt;0,"P","B")</f>
        <v>P</v>
      </c>
      <c r="D689" s="61" t="str">
        <f>IF($C689="B",INDEX(Batters[[#All],[POS]],MATCH(Table5[[#This Row],[PID]],Batters[[#All],[PID]],0)),INDEX(Table3[[#All],[POS]],MATCH(Table5[[#This Row],[PID]],Table3[[#All],[PID]],0)))</f>
        <v>RP</v>
      </c>
      <c r="E689" s="54" t="str">
        <f>IF($C689="B",INDEX(Batters[[#All],[First]],MATCH(Table5[[#This Row],[PID]],Batters[[#All],[PID]],0)),INDEX(Table3[[#All],[First]],MATCH(Table5[[#This Row],[PID]],Table3[[#All],[PID]],0)))</f>
        <v>Stephen</v>
      </c>
      <c r="F689" s="52" t="str">
        <f>IF($C689="B",INDEX(Batters[[#All],[Last]],MATCH(A689,Batters[[#All],[PID]],0)),INDEX(Table3[[#All],[Last]],MATCH(A689,Table3[[#All],[PID]],0)))</f>
        <v>Urmston</v>
      </c>
      <c r="G689" s="58">
        <f>IF($C689="B",INDEX(Batters[[#All],[Age]],MATCH(Table5[[#This Row],[PID]],Batters[[#All],[PID]],0)),INDEX(Table3[[#All],[Age]],MATCH(Table5[[#This Row],[PID]],Table3[[#All],[PID]],0)))</f>
        <v>22</v>
      </c>
      <c r="H689" s="54" t="str">
        <f>IF($C689="B",INDEX(Batters[[#All],[B]],MATCH(Table5[[#This Row],[PID]],Batters[[#All],[PID]],0)),INDEX(Table3[[#All],[B]],MATCH(Table5[[#This Row],[PID]],Table3[[#All],[PID]],0)))</f>
        <v>R</v>
      </c>
      <c r="I689" s="54" t="str">
        <f>IF($C689="B",INDEX(Batters[[#All],[T]],MATCH(Table5[[#This Row],[PID]],Batters[[#All],[PID]],0)),INDEX(Table3[[#All],[T]],MATCH(Table5[[#This Row],[PID]],Table3[[#All],[PID]],0)))</f>
        <v>R</v>
      </c>
      <c r="J689" s="54" t="str">
        <f>IF($C689="B",INDEX(Batters[[#All],[WE]],MATCH(Table5[[#This Row],[PID]],Batters[[#All],[PID]],0)),INDEX(Table3[[#All],[WE]],MATCH(Table5[[#This Row],[PID]],Table3[[#All],[PID]],0)))</f>
        <v>Normal</v>
      </c>
      <c r="K689" s="54" t="str">
        <f>IF($C689="B",INDEX(Batters[[#All],[INT]],MATCH(Table5[[#This Row],[PID]],Batters[[#All],[PID]],0)),INDEX(Table3[[#All],[INT]],MATCH(Table5[[#This Row],[PID]],Table3[[#All],[PID]],0)))</f>
        <v>Normal</v>
      </c>
      <c r="L689" s="62">
        <f>IF($C689="B",INDEX(Batters[[#All],[CON P]],MATCH(Table5[[#This Row],[PID]],Batters[[#All],[PID]],0)),INDEX(Table3[[#All],[STU P]],MATCH(Table5[[#This Row],[PID]],Table3[[#All],[PID]],0)))</f>
        <v>4</v>
      </c>
      <c r="M689" s="58">
        <f>IF($C689="B",INDEX(Batters[[#All],[GAP P]],MATCH(Table5[[#This Row],[PID]],Batters[[#All],[PID]],0)),INDEX(Table3[[#All],[MOV P]],MATCH(Table5[[#This Row],[PID]],Table3[[#All],[PID]],0)))</f>
        <v>3</v>
      </c>
      <c r="N689" s="58">
        <f>IF($C689="B",INDEX(Batters[[#All],[POW P]],MATCH(Table5[[#This Row],[PID]],Batters[[#All],[PID]],0)),INDEX(Table3[[#All],[CON P]],MATCH(Table5[[#This Row],[PID]],Table3[[#All],[PID]],0)))</f>
        <v>2</v>
      </c>
      <c r="O689" s="58" t="str">
        <f>IF($C689="B",INDEX(Batters[[#All],[EYE P]],MATCH(Table5[[#This Row],[PID]],Batters[[#All],[PID]],0)),INDEX(Table3[[#All],[VELO]],MATCH(Table5[[#This Row],[PID]],Table3[[#All],[PID]],0)))</f>
        <v>90-92 Mph</v>
      </c>
      <c r="P689" s="58">
        <f>IF($C689="B",INDEX(Batters[[#All],[K P]],MATCH(Table5[[#This Row],[PID]],Batters[[#All],[PID]],0)),INDEX(Table3[[#All],[STM]],MATCH(Table5[[#This Row],[PID]],Table3[[#All],[PID]],0)))</f>
        <v>7</v>
      </c>
      <c r="Q689" s="63">
        <f>IF($C689="B",INDEX(Batters[[#All],[Tot]],MATCH(Table5[[#This Row],[PID]],Batters[[#All],[PID]],0)),INDEX(Table3[[#All],[Tot]],MATCH(Table5[[#This Row],[PID]],Table3[[#All],[PID]],0)))</f>
        <v>27.350499842931292</v>
      </c>
      <c r="R689" s="54">
        <f>IF($C689="B",INDEX(Batters[[#All],[zScore]],MATCH(Table5[[#This Row],[PID]],Batters[[#All],[PID]],0)),INDEX(Table3[[#All],[zScore]],MATCH(Table5[[#This Row],[PID]],Table3[[#All],[PID]],0)))</f>
        <v>-0.49261252706698172</v>
      </c>
      <c r="S689" s="60" t="str">
        <f>IF($C689="B",INDEX(Batters[[#All],[DEM]],MATCH(Table5[[#This Row],[PID]],Batters[[#All],[PID]],0)),INDEX(Table3[[#All],[DEM]],MATCH(Table5[[#This Row],[PID]],Table3[[#All],[PID]],0)))</f>
        <v>-</v>
      </c>
      <c r="T689" s="64">
        <f>IF($C689="B",VLOOKUP($A689,Bat!$A$4:$AU$1417,46,FALSE),VLOOKUP($A689,Pit!$A$4:$BD$570,55,FALSE))</f>
        <v>0</v>
      </c>
      <c r="U689" s="52">
        <f>IF($C689="B",VLOOKUP($A689,Bat!$A$4:$BA$1417,47,FALSE),VLOOKUP($A689,Pit!$A$4:$BF$570,56,FALSE))</f>
        <v>0</v>
      </c>
      <c r="V689" s="52">
        <f>IF($C689="B",VLOOKUP($A689,Bat!$A$4:$BA$1417,48,FALSE),VLOOKUP($A689,Pit!$A$4:$BF$570,57,FALSE))</f>
        <v>0</v>
      </c>
      <c r="W689" s="52">
        <f>Table5[[#This Row],[posRnk]]+Table5[[#This Row],[zRnk]]+IF($W$3&lt;&gt;Table5[[#This Row],[Type]],50,0)</f>
        <v>735</v>
      </c>
      <c r="X689" s="53">
        <f>RANK(Table5[[#This Row],[zScore]],Table5[[#All],[zScore]])</f>
        <v>685</v>
      </c>
      <c r="Y689" s="52" t="str">
        <f>IFERROR(INDEX(DraftResults[[#All],[OVR]],MATCH(Table5[[#This Row],[PID]],DraftResults[[#All],[Player ID]],0)),"")</f>
        <v/>
      </c>
      <c r="Z6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9" s="52" t="str">
        <f>IFERROR(INDEX(DraftResults[[#All],[Pick in Round]],MATCH(Table5[[#This Row],[PID]],DraftResults[[#All],[Player ID]],0)),"")</f>
        <v/>
      </c>
      <c r="AB689" s="52" t="str">
        <f>IFERROR(INDEX(DraftResults[[#All],[Team Name]],MATCH(Table5[[#This Row],[PID]],DraftResults[[#All],[Player ID]],0)),"")</f>
        <v/>
      </c>
      <c r="AC689" s="52" t="str">
        <f>IF(Table5[[#This Row],[Ovr]]="","",IF(Table5[[#This Row],[cmbList]]="","",Table5[[#This Row],[cmbList]]-Table5[[#This Row],[Ovr]]))</f>
        <v/>
      </c>
      <c r="AD689" s="56" t="str">
        <f>IF(ISERROR(VLOOKUP($AB689&amp;"-"&amp;$E689&amp;" "&amp;F689,Bonuses!$B$1:$G$1006,4,FALSE)),"",INT(VLOOKUP($AB689&amp;"-"&amp;$E689&amp;" "&amp;$F689,Bonuses!$B$1:$G$1006,4,FALSE)))</f>
        <v/>
      </c>
      <c r="AE6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0" spans="1:31" s="52" customFormat="1" x14ac:dyDescent="0.25">
      <c r="A690" s="52">
        <v>6695</v>
      </c>
      <c r="B690" s="52">
        <f>COUNTIF(Table5[PID],A690)</f>
        <v>1</v>
      </c>
      <c r="C690" s="52" t="str">
        <f>IF(COUNTIF(Table3[[#All],[PID]],A690)&gt;0,"P","B")</f>
        <v>P</v>
      </c>
      <c r="D690" s="61" t="str">
        <f>IF($C690="B",INDEX(Batters[[#All],[POS]],MATCH(Table5[[#This Row],[PID]],Batters[[#All],[PID]],0)),INDEX(Table3[[#All],[POS]],MATCH(Table5[[#This Row],[PID]],Table3[[#All],[PID]],0)))</f>
        <v>RP</v>
      </c>
      <c r="E690" s="54" t="str">
        <f>IF($C690="B",INDEX(Batters[[#All],[First]],MATCH(Table5[[#This Row],[PID]],Batters[[#All],[PID]],0)),INDEX(Table3[[#All],[First]],MATCH(Table5[[#This Row],[PID]],Table3[[#All],[PID]],0)))</f>
        <v>Masayuki</v>
      </c>
      <c r="F690" s="52" t="str">
        <f>IF($C690="B",INDEX(Batters[[#All],[Last]],MATCH(A690,Batters[[#All],[PID]],0)),INDEX(Table3[[#All],[Last]],MATCH(A690,Table3[[#All],[PID]],0)))</f>
        <v>Ando</v>
      </c>
      <c r="G690" s="58">
        <f>IF($C690="B",INDEX(Batters[[#All],[Age]],MATCH(Table5[[#This Row],[PID]],Batters[[#All],[PID]],0)),INDEX(Table3[[#All],[Age]],MATCH(Table5[[#This Row],[PID]],Table3[[#All],[PID]],0)))</f>
        <v>18</v>
      </c>
      <c r="H690" s="54" t="str">
        <f>IF($C690="B",INDEX(Batters[[#All],[B]],MATCH(Table5[[#This Row],[PID]],Batters[[#All],[PID]],0)),INDEX(Table3[[#All],[B]],MATCH(Table5[[#This Row],[PID]],Table3[[#All],[PID]],0)))</f>
        <v>R</v>
      </c>
      <c r="I690" s="54" t="str">
        <f>IF($C690="B",INDEX(Batters[[#All],[T]],MATCH(Table5[[#This Row],[PID]],Batters[[#All],[PID]],0)),INDEX(Table3[[#All],[T]],MATCH(Table5[[#This Row],[PID]],Table3[[#All],[PID]],0)))</f>
        <v>R</v>
      </c>
      <c r="J690" s="54" t="str">
        <f>IF($C690="B",INDEX(Batters[[#All],[WE]],MATCH(Table5[[#This Row],[PID]],Batters[[#All],[PID]],0)),INDEX(Table3[[#All],[WE]],MATCH(Table5[[#This Row],[PID]],Table3[[#All],[PID]],0)))</f>
        <v>Low</v>
      </c>
      <c r="K690" s="54" t="str">
        <f>IF($C690="B",INDEX(Batters[[#All],[INT]],MATCH(Table5[[#This Row],[PID]],Batters[[#All],[PID]],0)),INDEX(Table3[[#All],[INT]],MATCH(Table5[[#This Row],[PID]],Table3[[#All],[PID]],0)))</f>
        <v>Normal</v>
      </c>
      <c r="L690" s="62">
        <f>IF($C690="B",INDEX(Batters[[#All],[CON P]],MATCH(Table5[[#This Row],[PID]],Batters[[#All],[PID]],0)),INDEX(Table3[[#All],[STU P]],MATCH(Table5[[#This Row],[PID]],Table3[[#All],[PID]],0)))</f>
        <v>3</v>
      </c>
      <c r="M690" s="58">
        <f>IF($C690="B",INDEX(Batters[[#All],[GAP P]],MATCH(Table5[[#This Row],[PID]],Batters[[#All],[PID]],0)),INDEX(Table3[[#All],[MOV P]],MATCH(Table5[[#This Row],[PID]],Table3[[#All],[PID]],0)))</f>
        <v>2</v>
      </c>
      <c r="N690" s="58">
        <f>IF($C690="B",INDEX(Batters[[#All],[POW P]],MATCH(Table5[[#This Row],[PID]],Batters[[#All],[PID]],0)),INDEX(Table3[[#All],[CON P]],MATCH(Table5[[#This Row],[PID]],Table3[[#All],[PID]],0)))</f>
        <v>2</v>
      </c>
      <c r="O690" s="58" t="str">
        <f>IF($C690="B",INDEX(Batters[[#All],[EYE P]],MATCH(Table5[[#This Row],[PID]],Batters[[#All],[PID]],0)),INDEX(Table3[[#All],[VELO]],MATCH(Table5[[#This Row],[PID]],Table3[[#All],[PID]],0)))</f>
        <v>84-86 Mph</v>
      </c>
      <c r="P690" s="58">
        <f>IF($C690="B",INDEX(Batters[[#All],[K P]],MATCH(Table5[[#This Row],[PID]],Batters[[#All],[PID]],0)),INDEX(Table3[[#All],[STM]],MATCH(Table5[[#This Row],[PID]],Table3[[#All],[PID]],0)))</f>
        <v>10</v>
      </c>
      <c r="Q690" s="63">
        <f>IF($C690="B",INDEX(Batters[[#All],[Tot]],MATCH(Table5[[#This Row],[PID]],Batters[[#All],[PID]],0)),INDEX(Table3[[#All],[Tot]],MATCH(Table5[[#This Row],[PID]],Table3[[#All],[PID]],0)))</f>
        <v>27.329528543018998</v>
      </c>
      <c r="R690" s="54">
        <f>IF($C690="B",INDEX(Batters[[#All],[zScore]],MATCH(Table5[[#This Row],[PID]],Batters[[#All],[PID]],0)),INDEX(Table3[[#All],[zScore]],MATCH(Table5[[#This Row],[PID]],Table3[[#All],[PID]],0)))</f>
        <v>-0.49453568490215871</v>
      </c>
      <c r="S690" s="60" t="str">
        <f>IF($C690="B",INDEX(Batters[[#All],[DEM]],MATCH(Table5[[#This Row],[PID]],Batters[[#All],[PID]],0)),INDEX(Table3[[#All],[DEM]],MATCH(Table5[[#This Row],[PID]],Table3[[#All],[PID]],0)))</f>
        <v>$70k</v>
      </c>
      <c r="T690" s="64">
        <f>IF($C690="B",VLOOKUP($A690,Bat!$A$4:$AU$1417,46,FALSE),VLOOKUP($A690,Pit!$A$4:$BD$570,55,FALSE))</f>
        <v>0</v>
      </c>
      <c r="U690" s="52">
        <f>IF($C690="B",VLOOKUP($A690,Bat!$A$4:$BA$1417,47,FALSE),VLOOKUP($A690,Pit!$A$4:$BF$570,56,FALSE))</f>
        <v>0</v>
      </c>
      <c r="V690" s="52">
        <f>IF($C690="B",VLOOKUP($A690,Bat!$A$4:$BA$1417,48,FALSE),VLOOKUP($A690,Pit!$A$4:$BF$570,57,FALSE))</f>
        <v>0</v>
      </c>
      <c r="W690" s="52">
        <f>Table5[[#This Row],[posRnk]]+Table5[[#This Row],[zRnk]]+IF($W$3&lt;&gt;Table5[[#This Row],[Type]],50,0)</f>
        <v>736</v>
      </c>
      <c r="X690" s="53">
        <f>RANK(Table5[[#This Row],[zScore]],Table5[[#All],[zScore]])</f>
        <v>686</v>
      </c>
      <c r="Y690" s="52" t="str">
        <f>IFERROR(INDEX(DraftResults[[#All],[OVR]],MATCH(Table5[[#This Row],[PID]],DraftResults[[#All],[Player ID]],0)),"")</f>
        <v/>
      </c>
      <c r="Z6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0" s="52" t="str">
        <f>IFERROR(INDEX(DraftResults[[#All],[Pick in Round]],MATCH(Table5[[#This Row],[PID]],DraftResults[[#All],[Player ID]],0)),"")</f>
        <v/>
      </c>
      <c r="AB690" s="52" t="str">
        <f>IFERROR(INDEX(DraftResults[[#All],[Team Name]],MATCH(Table5[[#This Row],[PID]],DraftResults[[#All],[Player ID]],0)),"")</f>
        <v/>
      </c>
      <c r="AC690" s="52" t="str">
        <f>IF(Table5[[#This Row],[Ovr]]="","",IF(Table5[[#This Row],[cmbList]]="","",Table5[[#This Row],[cmbList]]-Table5[[#This Row],[Ovr]]))</f>
        <v/>
      </c>
      <c r="AD690" s="56" t="str">
        <f>IF(ISERROR(VLOOKUP($AB690&amp;"-"&amp;$E690&amp;" "&amp;F690,Bonuses!$B$1:$G$1006,4,FALSE)),"",INT(VLOOKUP($AB690&amp;"-"&amp;$E690&amp;" "&amp;$F690,Bonuses!$B$1:$G$1006,4,FALSE)))</f>
        <v/>
      </c>
      <c r="AE6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1" spans="1:31" s="52" customFormat="1" x14ac:dyDescent="0.25">
      <c r="A691" s="52">
        <v>8270</v>
      </c>
      <c r="B691" s="57">
        <f>COUNTIF(Table5[PID],A691)</f>
        <v>1</v>
      </c>
      <c r="C691" s="57" t="str">
        <f>IF(COUNTIF(Table3[[#All],[PID]],A691)&gt;0,"P","B")</f>
        <v>B</v>
      </c>
      <c r="D691" s="61" t="str">
        <f>IF($C691="B",INDEX(Batters[[#All],[POS]],MATCH(Table5[[#This Row],[PID]],Batters[[#All],[PID]],0)),INDEX(Table3[[#All],[POS]],MATCH(Table5[[#This Row],[PID]],Table3[[#All],[PID]],0)))</f>
        <v>RF</v>
      </c>
      <c r="E691" s="54" t="str">
        <f>IF($C691="B",INDEX(Batters[[#All],[First]],MATCH(Table5[[#This Row],[PID]],Batters[[#All],[PID]],0)),INDEX(Table3[[#All],[First]],MATCH(Table5[[#This Row],[PID]],Table3[[#All],[PID]],0)))</f>
        <v>António</v>
      </c>
      <c r="F691" s="52" t="str">
        <f>IF($C691="B",INDEX(Batters[[#All],[Last]],MATCH(A691,Batters[[#All],[PID]],0)),INDEX(Table3[[#All],[Last]],MATCH(A691,Table3[[#All],[PID]],0)))</f>
        <v>Ramírez</v>
      </c>
      <c r="G691" s="58">
        <f>IF($C691="B",INDEX(Batters[[#All],[Age]],MATCH(Table5[[#This Row],[PID]],Batters[[#All],[PID]],0)),INDEX(Table3[[#All],[Age]],MATCH(Table5[[#This Row],[PID]],Table3[[#All],[PID]],0)))</f>
        <v>18</v>
      </c>
      <c r="H691" s="54" t="str">
        <f>IF($C691="B",INDEX(Batters[[#All],[B]],MATCH(Table5[[#This Row],[PID]],Batters[[#All],[PID]],0)),INDEX(Table3[[#All],[B]],MATCH(Table5[[#This Row],[PID]],Table3[[#All],[PID]],0)))</f>
        <v>R</v>
      </c>
      <c r="I691" s="54" t="str">
        <f>IF($C691="B",INDEX(Batters[[#All],[T]],MATCH(Table5[[#This Row],[PID]],Batters[[#All],[PID]],0)),INDEX(Table3[[#All],[T]],MATCH(Table5[[#This Row],[PID]],Table3[[#All],[PID]],0)))</f>
        <v>R</v>
      </c>
      <c r="J691" s="54" t="str">
        <f>IF($C691="B",INDEX(Batters[[#All],[WE]],MATCH(Table5[[#This Row],[PID]],Batters[[#All],[PID]],0)),INDEX(Table3[[#All],[WE]],MATCH(Table5[[#This Row],[PID]],Table3[[#All],[PID]],0)))</f>
        <v>Normal</v>
      </c>
      <c r="K691" s="54" t="str">
        <f>IF($C691="B",INDEX(Batters[[#All],[INT]],MATCH(Table5[[#This Row],[PID]],Batters[[#All],[PID]],0)),INDEX(Table3[[#All],[INT]],MATCH(Table5[[#This Row],[PID]],Table3[[#All],[PID]],0)))</f>
        <v>Low</v>
      </c>
      <c r="L691" s="62">
        <f>IF($C691="B",INDEX(Batters[[#All],[CON P]],MATCH(Table5[[#This Row],[PID]],Batters[[#All],[PID]],0)),INDEX(Table3[[#All],[STU P]],MATCH(Table5[[#This Row],[PID]],Table3[[#All],[PID]],0)))</f>
        <v>2</v>
      </c>
      <c r="M691" s="58">
        <f>IF($C691="B",INDEX(Batters[[#All],[GAP P]],MATCH(Table5[[#This Row],[PID]],Batters[[#All],[PID]],0)),INDEX(Table3[[#All],[MOV P]],MATCH(Table5[[#This Row],[PID]],Table3[[#All],[PID]],0)))</f>
        <v>3</v>
      </c>
      <c r="N691" s="58">
        <f>IF($C691="B",INDEX(Batters[[#All],[POW P]],MATCH(Table5[[#This Row],[PID]],Batters[[#All],[PID]],0)),INDEX(Table3[[#All],[CON P]],MATCH(Table5[[#This Row],[PID]],Table3[[#All],[PID]],0)))</f>
        <v>4</v>
      </c>
      <c r="O691" s="58">
        <f>IF($C691="B",INDEX(Batters[[#All],[EYE P]],MATCH(Table5[[#This Row],[PID]],Batters[[#All],[PID]],0)),INDEX(Table3[[#All],[VELO]],MATCH(Table5[[#This Row],[PID]],Table3[[#All],[PID]],0)))</f>
        <v>5</v>
      </c>
      <c r="P691" s="58">
        <f>IF($C691="B",INDEX(Batters[[#All],[K P]],MATCH(Table5[[#This Row],[PID]],Batters[[#All],[PID]],0)),INDEX(Table3[[#All],[STM]],MATCH(Table5[[#This Row],[PID]],Table3[[#All],[PID]],0)))</f>
        <v>2</v>
      </c>
      <c r="Q691" s="63">
        <f>IF($C691="B",INDEX(Batters[[#All],[Tot]],MATCH(Table5[[#This Row],[PID]],Batters[[#All],[PID]],0)),INDEX(Table3[[#All],[Tot]],MATCH(Table5[[#This Row],[PID]],Table3[[#All],[PID]],0)))</f>
        <v>37.535964646562718</v>
      </c>
      <c r="R691" s="54">
        <f>IF($C691="B",INDEX(Batters[[#All],[zScore]],MATCH(Table5[[#This Row],[PID]],Batters[[#All],[PID]],0)),INDEX(Table3[[#All],[zScore]],MATCH(Table5[[#This Row],[PID]],Table3[[#All],[PID]],0)))</f>
        <v>-0.49480245182229748</v>
      </c>
      <c r="S691" s="60" t="str">
        <f>IF($C691="B",INDEX(Batters[[#All],[DEM]],MATCH(Table5[[#This Row],[PID]],Batters[[#All],[PID]],0)),INDEX(Table3[[#All],[DEM]],MATCH(Table5[[#This Row],[PID]],Table3[[#All],[PID]],0)))</f>
        <v>$70k</v>
      </c>
      <c r="T691" s="64">
        <f>IF($C691="B",VLOOKUP($A691,Bat!$A$4:$AU$1417,46,FALSE),VLOOKUP($A691,Pit!$A$4:$BD$570,55,FALSE))</f>
        <v>0</v>
      </c>
      <c r="U691" s="52">
        <f>IF($C691="B",VLOOKUP($A691,Bat!$A$4:$BA$1417,47,FALSE),VLOOKUP($A691,Pit!$A$4:$BF$570,56,FALSE))</f>
        <v>0</v>
      </c>
      <c r="V691" s="52">
        <f>IF($C691="B",VLOOKUP($A691,Bat!$A$4:$BA$1417,48,FALSE),VLOOKUP($A691,Pit!$A$4:$BF$570,57,FALSE))</f>
        <v>0</v>
      </c>
      <c r="W691" s="52">
        <f>Table5[[#This Row],[posRnk]]+Table5[[#This Row],[zRnk]]+IF($W$3&lt;&gt;Table5[[#This Row],[Type]],50,0)</f>
        <v>737</v>
      </c>
      <c r="X691" s="53">
        <f>RANK(Table5[[#This Row],[zScore]],Table5[[#All],[zScore]])</f>
        <v>687</v>
      </c>
      <c r="Y691" s="52" t="str">
        <f>IFERROR(INDEX(DraftResults[[#All],[OVR]],MATCH(Table5[[#This Row],[PID]],DraftResults[[#All],[Player ID]],0)),"")</f>
        <v/>
      </c>
      <c r="Z6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1" s="52" t="str">
        <f>IFERROR(INDEX(DraftResults[[#All],[Pick in Round]],MATCH(Table5[[#This Row],[PID]],DraftResults[[#All],[Player ID]],0)),"")</f>
        <v/>
      </c>
      <c r="AB691" s="52" t="str">
        <f>IFERROR(INDEX(DraftResults[[#All],[Team Name]],MATCH(Table5[[#This Row],[PID]],DraftResults[[#All],[Player ID]],0)),"")</f>
        <v/>
      </c>
      <c r="AC691" s="52" t="str">
        <f>IF(Table5[[#This Row],[Ovr]]="","",IF(Table5[[#This Row],[cmbList]]="","",Table5[[#This Row],[cmbList]]-Table5[[#This Row],[Ovr]]))</f>
        <v/>
      </c>
      <c r="AD691" s="56" t="str">
        <f>IF(ISERROR(VLOOKUP($AB691&amp;"-"&amp;$E691&amp;" "&amp;F691,Bonuses!$B$1:$G$1006,4,FALSE)),"",INT(VLOOKUP($AB691&amp;"-"&amp;$E691&amp;" "&amp;$F691,Bonuses!$B$1:$G$1006,4,FALSE)))</f>
        <v/>
      </c>
      <c r="AE6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2" spans="1:31" s="52" customFormat="1" x14ac:dyDescent="0.25">
      <c r="A692" s="52">
        <v>7940</v>
      </c>
      <c r="B692" s="52">
        <f>COUNTIF(Table5[PID],A692)</f>
        <v>1</v>
      </c>
      <c r="C692" s="52" t="str">
        <f>IF(COUNTIF(Table3[[#All],[PID]],A692)&gt;0,"P","B")</f>
        <v>P</v>
      </c>
      <c r="D692" s="61" t="str">
        <f>IF($C692="B",INDEX(Batters[[#All],[POS]],MATCH(Table5[[#This Row],[PID]],Batters[[#All],[PID]],0)),INDEX(Table3[[#All],[POS]],MATCH(Table5[[#This Row],[PID]],Table3[[#All],[PID]],0)))</f>
        <v>SP</v>
      </c>
      <c r="E692" s="54" t="str">
        <f>IF($C692="B",INDEX(Batters[[#All],[First]],MATCH(Table5[[#This Row],[PID]],Batters[[#All],[PID]],0)),INDEX(Table3[[#All],[First]],MATCH(Table5[[#This Row],[PID]],Table3[[#All],[PID]],0)))</f>
        <v>Kingo</v>
      </c>
      <c r="F692" s="52" t="str">
        <f>IF($C692="B",INDEX(Batters[[#All],[Last]],MATCH(A692,Batters[[#All],[PID]],0)),INDEX(Table3[[#All],[Last]],MATCH(A692,Table3[[#All],[PID]],0)))</f>
        <v>Kitamura</v>
      </c>
      <c r="G692" s="58">
        <f>IF($C692="B",INDEX(Batters[[#All],[Age]],MATCH(Table5[[#This Row],[PID]],Batters[[#All],[PID]],0)),INDEX(Table3[[#All],[Age]],MATCH(Table5[[#This Row],[PID]],Table3[[#All],[PID]],0)))</f>
        <v>21</v>
      </c>
      <c r="H692" s="54" t="str">
        <f>IF($C692="B",INDEX(Batters[[#All],[B]],MATCH(Table5[[#This Row],[PID]],Batters[[#All],[PID]],0)),INDEX(Table3[[#All],[B]],MATCH(Table5[[#This Row],[PID]],Table3[[#All],[PID]],0)))</f>
        <v>R</v>
      </c>
      <c r="I692" s="54" t="str">
        <f>IF($C692="B",INDEX(Batters[[#All],[T]],MATCH(Table5[[#This Row],[PID]],Batters[[#All],[PID]],0)),INDEX(Table3[[#All],[T]],MATCH(Table5[[#This Row],[PID]],Table3[[#All],[PID]],0)))</f>
        <v>R</v>
      </c>
      <c r="J692" s="54" t="str">
        <f>IF($C692="B",INDEX(Batters[[#All],[WE]],MATCH(Table5[[#This Row],[PID]],Batters[[#All],[PID]],0)),INDEX(Table3[[#All],[WE]],MATCH(Table5[[#This Row],[PID]],Table3[[#All],[PID]],0)))</f>
        <v>Normal</v>
      </c>
      <c r="K692" s="54" t="str">
        <f>IF($C692="B",INDEX(Batters[[#All],[INT]],MATCH(Table5[[#This Row],[PID]],Batters[[#All],[PID]],0)),INDEX(Table3[[#All],[INT]],MATCH(Table5[[#This Row],[PID]],Table3[[#All],[PID]],0)))</f>
        <v>Normal</v>
      </c>
      <c r="L692" s="62">
        <f>IF($C692="B",INDEX(Batters[[#All],[CON P]],MATCH(Table5[[#This Row],[PID]],Batters[[#All],[PID]],0)),INDEX(Table3[[#All],[STU P]],MATCH(Table5[[#This Row],[PID]],Table3[[#All],[PID]],0)))</f>
        <v>4</v>
      </c>
      <c r="M692" s="58">
        <f>IF($C692="B",INDEX(Batters[[#All],[GAP P]],MATCH(Table5[[#This Row],[PID]],Batters[[#All],[PID]],0)),INDEX(Table3[[#All],[MOV P]],MATCH(Table5[[#This Row],[PID]],Table3[[#All],[PID]],0)))</f>
        <v>1</v>
      </c>
      <c r="N692" s="58">
        <f>IF($C692="B",INDEX(Batters[[#All],[POW P]],MATCH(Table5[[#This Row],[PID]],Batters[[#All],[PID]],0)),INDEX(Table3[[#All],[CON P]],MATCH(Table5[[#This Row],[PID]],Table3[[#All],[PID]],0)))</f>
        <v>3</v>
      </c>
      <c r="O692" s="58" t="str">
        <f>IF($C692="B",INDEX(Batters[[#All],[EYE P]],MATCH(Table5[[#This Row],[PID]],Batters[[#All],[PID]],0)),INDEX(Table3[[#All],[VELO]],MATCH(Table5[[#This Row],[PID]],Table3[[#All],[PID]],0)))</f>
        <v>88-90 Mph</v>
      </c>
      <c r="P692" s="58">
        <f>IF($C692="B",INDEX(Batters[[#All],[K P]],MATCH(Table5[[#This Row],[PID]],Batters[[#All],[PID]],0)),INDEX(Table3[[#All],[STM]],MATCH(Table5[[#This Row],[PID]],Table3[[#All],[PID]],0)))</f>
        <v>5</v>
      </c>
      <c r="Q692" s="63">
        <f>IF($C692="B",INDEX(Batters[[#All],[Tot]],MATCH(Table5[[#This Row],[PID]],Batters[[#All],[PID]],0)),INDEX(Table3[[#All],[Tot]],MATCH(Table5[[#This Row],[PID]],Table3[[#All],[PID]],0)))</f>
        <v>27.306577451157846</v>
      </c>
      <c r="R692" s="54">
        <f>IF($C692="B",INDEX(Batters[[#All],[zScore]],MATCH(Table5[[#This Row],[PID]],Batters[[#All],[PID]],0)),INDEX(Table3[[#All],[zScore]],MATCH(Table5[[#This Row],[PID]],Table3[[#All],[PID]],0)))</f>
        <v>-0.49664039812085464</v>
      </c>
      <c r="S692" s="60" t="str">
        <f>IF($C692="B",INDEX(Batters[[#All],[DEM]],MATCH(Table5[[#This Row],[PID]],Batters[[#All],[PID]],0)),INDEX(Table3[[#All],[DEM]],MATCH(Table5[[#This Row],[PID]],Table3[[#All],[PID]],0)))</f>
        <v>-</v>
      </c>
      <c r="T692" s="64">
        <f>IF($C692="B",VLOOKUP($A692,Bat!$A$4:$AU$1417,46,FALSE),VLOOKUP($A692,Pit!$A$4:$BD$570,55,FALSE))</f>
        <v>0</v>
      </c>
      <c r="U692" s="52">
        <f>IF($C692="B",VLOOKUP($A692,Bat!$A$4:$BA$1417,47,FALSE),VLOOKUP($A692,Pit!$A$4:$BF$570,56,FALSE))</f>
        <v>0</v>
      </c>
      <c r="V692" s="52">
        <f>IF($C692="B",VLOOKUP($A692,Bat!$A$4:$BA$1417,48,FALSE),VLOOKUP($A692,Pit!$A$4:$BF$570,57,FALSE))</f>
        <v>0</v>
      </c>
      <c r="W692" s="52">
        <f>Table5[[#This Row],[posRnk]]+Table5[[#This Row],[zRnk]]+IF($W$3&lt;&gt;Table5[[#This Row],[Type]],50,0)</f>
        <v>738</v>
      </c>
      <c r="X692" s="53">
        <f>RANK(Table5[[#This Row],[zScore]],Table5[[#All],[zScore]])</f>
        <v>688</v>
      </c>
      <c r="Y692" s="52" t="str">
        <f>IFERROR(INDEX(DraftResults[[#All],[OVR]],MATCH(Table5[[#This Row],[PID]],DraftResults[[#All],[Player ID]],0)),"")</f>
        <v/>
      </c>
      <c r="Z6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2" s="52" t="str">
        <f>IFERROR(INDEX(DraftResults[[#All],[Pick in Round]],MATCH(Table5[[#This Row],[PID]],DraftResults[[#All],[Player ID]],0)),"")</f>
        <v/>
      </c>
      <c r="AB692" s="52" t="str">
        <f>IFERROR(INDEX(DraftResults[[#All],[Team Name]],MATCH(Table5[[#This Row],[PID]],DraftResults[[#All],[Player ID]],0)),"")</f>
        <v/>
      </c>
      <c r="AC692" s="52" t="str">
        <f>IF(Table5[[#This Row],[Ovr]]="","",IF(Table5[[#This Row],[cmbList]]="","",Table5[[#This Row],[cmbList]]-Table5[[#This Row],[Ovr]]))</f>
        <v/>
      </c>
      <c r="AD692" s="56" t="str">
        <f>IF(ISERROR(VLOOKUP($AB692&amp;"-"&amp;$E692&amp;" "&amp;F692,Bonuses!$B$1:$G$1006,4,FALSE)),"",INT(VLOOKUP($AB692&amp;"-"&amp;$E692&amp;" "&amp;$F692,Bonuses!$B$1:$G$1006,4,FALSE)))</f>
        <v/>
      </c>
      <c r="AE6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3" spans="1:31" s="52" customFormat="1" x14ac:dyDescent="0.25">
      <c r="A693" s="52">
        <v>12215</v>
      </c>
      <c r="B693" s="57">
        <f>COUNTIF(Table5[PID],A693)</f>
        <v>1</v>
      </c>
      <c r="C693" s="57" t="str">
        <f>IF(COUNTIF(Table3[[#All],[PID]],A693)&gt;0,"P","B")</f>
        <v>B</v>
      </c>
      <c r="D693" s="61" t="str">
        <f>IF($C693="B",INDEX(Batters[[#All],[POS]],MATCH(Table5[[#This Row],[PID]],Batters[[#All],[PID]],0)),INDEX(Table3[[#All],[POS]],MATCH(Table5[[#This Row],[PID]],Table3[[#All],[PID]],0)))</f>
        <v>RF</v>
      </c>
      <c r="E693" s="54" t="str">
        <f>IF($C693="B",INDEX(Batters[[#All],[First]],MATCH(Table5[[#This Row],[PID]],Batters[[#All],[PID]],0)),INDEX(Table3[[#All],[First]],MATCH(Table5[[#This Row],[PID]],Table3[[#All],[PID]],0)))</f>
        <v>Duane</v>
      </c>
      <c r="F693" s="52" t="str">
        <f>IF($C693="B",INDEX(Batters[[#All],[Last]],MATCH(A693,Batters[[#All],[PID]],0)),INDEX(Table3[[#All],[Last]],MATCH(A693,Table3[[#All],[PID]],0)))</f>
        <v>Brooks</v>
      </c>
      <c r="G693" s="58">
        <f>IF($C693="B",INDEX(Batters[[#All],[Age]],MATCH(Table5[[#This Row],[PID]],Batters[[#All],[PID]],0)),INDEX(Table3[[#All],[Age]],MATCH(Table5[[#This Row],[PID]],Table3[[#All],[PID]],0)))</f>
        <v>21</v>
      </c>
      <c r="H693" s="54" t="str">
        <f>IF($C693="B",INDEX(Batters[[#All],[B]],MATCH(Table5[[#This Row],[PID]],Batters[[#All],[PID]],0)),INDEX(Table3[[#All],[B]],MATCH(Table5[[#This Row],[PID]],Table3[[#All],[PID]],0)))</f>
        <v>R</v>
      </c>
      <c r="I693" s="54" t="str">
        <f>IF($C693="B",INDEX(Batters[[#All],[T]],MATCH(Table5[[#This Row],[PID]],Batters[[#All],[PID]],0)),INDEX(Table3[[#All],[T]],MATCH(Table5[[#This Row],[PID]],Table3[[#All],[PID]],0)))</f>
        <v>R</v>
      </c>
      <c r="J693" s="54" t="str">
        <f>IF($C693="B",INDEX(Batters[[#All],[WE]],MATCH(Table5[[#This Row],[PID]],Batters[[#All],[PID]],0)),INDEX(Table3[[#All],[WE]],MATCH(Table5[[#This Row],[PID]],Table3[[#All],[PID]],0)))</f>
        <v>High</v>
      </c>
      <c r="K693" s="54" t="str">
        <f>IF($C693="B",INDEX(Batters[[#All],[INT]],MATCH(Table5[[#This Row],[PID]],Batters[[#All],[PID]],0)),INDEX(Table3[[#All],[INT]],MATCH(Table5[[#This Row],[PID]],Table3[[#All],[PID]],0)))</f>
        <v>Normal</v>
      </c>
      <c r="L693" s="62">
        <f>IF($C693="B",INDEX(Batters[[#All],[CON P]],MATCH(Table5[[#This Row],[PID]],Batters[[#All],[PID]],0)),INDEX(Table3[[#All],[STU P]],MATCH(Table5[[#This Row],[PID]],Table3[[#All],[PID]],0)))</f>
        <v>3</v>
      </c>
      <c r="M693" s="58">
        <f>IF($C693="B",INDEX(Batters[[#All],[GAP P]],MATCH(Table5[[#This Row],[PID]],Batters[[#All],[PID]],0)),INDEX(Table3[[#All],[MOV P]],MATCH(Table5[[#This Row],[PID]],Table3[[#All],[PID]],0)))</f>
        <v>4</v>
      </c>
      <c r="N693" s="58">
        <f>IF($C693="B",INDEX(Batters[[#All],[POW P]],MATCH(Table5[[#This Row],[PID]],Batters[[#All],[PID]],0)),INDEX(Table3[[#All],[CON P]],MATCH(Table5[[#This Row],[PID]],Table3[[#All],[PID]],0)))</f>
        <v>3</v>
      </c>
      <c r="O693" s="58">
        <f>IF($C693="B",INDEX(Batters[[#All],[EYE P]],MATCH(Table5[[#This Row],[PID]],Batters[[#All],[PID]],0)),INDEX(Table3[[#All],[VELO]],MATCH(Table5[[#This Row],[PID]],Table3[[#All],[PID]],0)))</f>
        <v>4</v>
      </c>
      <c r="P693" s="58">
        <f>IF($C693="B",INDEX(Batters[[#All],[K P]],MATCH(Table5[[#This Row],[PID]],Batters[[#All],[PID]],0)),INDEX(Table3[[#All],[STM]],MATCH(Table5[[#This Row],[PID]],Table3[[#All],[PID]],0)))</f>
        <v>3</v>
      </c>
      <c r="Q693" s="63">
        <f>IF($C693="B",INDEX(Batters[[#All],[Tot]],MATCH(Table5[[#This Row],[PID]],Batters[[#All],[PID]],0)),INDEX(Table3[[#All],[Tot]],MATCH(Table5[[#This Row],[PID]],Table3[[#All],[PID]],0)))</f>
        <v>37.523707062118632</v>
      </c>
      <c r="R693" s="54">
        <f>IF($C693="B",INDEX(Batters[[#All],[zScore]],MATCH(Table5[[#This Row],[PID]],Batters[[#All],[PID]],0)),INDEX(Table3[[#All],[zScore]],MATCH(Table5[[#This Row],[PID]],Table3[[#All],[PID]],0)))</f>
        <v>-0.49695909233760954</v>
      </c>
      <c r="S693" s="60" t="str">
        <f>IF($C693="B",INDEX(Batters[[#All],[DEM]],MATCH(Table5[[#This Row],[PID]],Batters[[#All],[PID]],0)),INDEX(Table3[[#All],[DEM]],MATCH(Table5[[#This Row],[PID]],Table3[[#All],[PID]],0)))</f>
        <v>-</v>
      </c>
      <c r="T693" s="64">
        <f>IF($C693="B",VLOOKUP($A693,Bat!$A$4:$AU$1417,46,FALSE),VLOOKUP($A693,Pit!$A$4:$BD$570,55,FALSE))</f>
        <v>0</v>
      </c>
      <c r="U693" s="52">
        <f>IF($C693="B",VLOOKUP($A693,Bat!$A$4:$BA$1417,47,FALSE),VLOOKUP($A693,Pit!$A$4:$BF$570,56,FALSE))</f>
        <v>0</v>
      </c>
      <c r="V693" s="52">
        <f>IF($C693="B",VLOOKUP($A693,Bat!$A$4:$BA$1417,48,FALSE),VLOOKUP($A693,Pit!$A$4:$BF$570,57,FALSE))</f>
        <v>0</v>
      </c>
      <c r="W693" s="52">
        <f>Table5[[#This Row],[posRnk]]+Table5[[#This Row],[zRnk]]+IF($W$3&lt;&gt;Table5[[#This Row],[Type]],50,0)</f>
        <v>739</v>
      </c>
      <c r="X693" s="53">
        <f>RANK(Table5[[#This Row],[zScore]],Table5[[#All],[zScore]])</f>
        <v>689</v>
      </c>
      <c r="Y693" s="52" t="str">
        <f>IFERROR(INDEX(DraftResults[[#All],[OVR]],MATCH(Table5[[#This Row],[PID]],DraftResults[[#All],[Player ID]],0)),"")</f>
        <v/>
      </c>
      <c r="Z6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3" s="52" t="str">
        <f>IFERROR(INDEX(DraftResults[[#All],[Pick in Round]],MATCH(Table5[[#This Row],[PID]],DraftResults[[#All],[Player ID]],0)),"")</f>
        <v/>
      </c>
      <c r="AB693" s="52" t="str">
        <f>IFERROR(INDEX(DraftResults[[#All],[Team Name]],MATCH(Table5[[#This Row],[PID]],DraftResults[[#All],[Player ID]],0)),"")</f>
        <v/>
      </c>
      <c r="AC693" s="52" t="str">
        <f>IF(Table5[[#This Row],[Ovr]]="","",IF(Table5[[#This Row],[cmbList]]="","",Table5[[#This Row],[cmbList]]-Table5[[#This Row],[Ovr]]))</f>
        <v/>
      </c>
      <c r="AD693" s="56" t="str">
        <f>IF(ISERROR(VLOOKUP($AB693&amp;"-"&amp;$E693&amp;" "&amp;F693,Bonuses!$B$1:$G$1006,4,FALSE)),"",INT(VLOOKUP($AB693&amp;"-"&amp;$E693&amp;" "&amp;$F693,Bonuses!$B$1:$G$1006,4,FALSE)))</f>
        <v/>
      </c>
      <c r="AE6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4" spans="1:31" s="52" customFormat="1" x14ac:dyDescent="0.25">
      <c r="A694" s="52">
        <v>2678</v>
      </c>
      <c r="B694" s="52">
        <f>COUNTIF(Table5[PID],A694)</f>
        <v>1</v>
      </c>
      <c r="C694" s="52" t="str">
        <f>IF(COUNTIF(Table3[[#All],[PID]],A694)&gt;0,"P","B")</f>
        <v>B</v>
      </c>
      <c r="D694" s="61" t="str">
        <f>IF($C694="B",INDEX(Batters[[#All],[POS]],MATCH(Table5[[#This Row],[PID]],Batters[[#All],[PID]],0)),INDEX(Table3[[#All],[POS]],MATCH(Table5[[#This Row],[PID]],Table3[[#All],[PID]],0)))</f>
        <v>CF</v>
      </c>
      <c r="E694" s="54" t="str">
        <f>IF($C694="B",INDEX(Batters[[#All],[First]],MATCH(Table5[[#This Row],[PID]],Batters[[#All],[PID]],0)),INDEX(Table3[[#All],[First]],MATCH(Table5[[#This Row],[PID]],Table3[[#All],[PID]],0)))</f>
        <v>Noboru</v>
      </c>
      <c r="F694" s="52" t="str">
        <f>IF($C694="B",INDEX(Batters[[#All],[Last]],MATCH(A694,Batters[[#All],[PID]],0)),INDEX(Table3[[#All],[Last]],MATCH(A694,Table3[[#All],[PID]],0)))</f>
        <v>Fujita</v>
      </c>
      <c r="G694" s="58">
        <f>IF($C694="B",INDEX(Batters[[#All],[Age]],MATCH(Table5[[#This Row],[PID]],Batters[[#All],[PID]],0)),INDEX(Table3[[#All],[Age]],MATCH(Table5[[#This Row],[PID]],Table3[[#All],[PID]],0)))</f>
        <v>20</v>
      </c>
      <c r="H694" s="54" t="str">
        <f>IF($C694="B",INDEX(Batters[[#All],[B]],MATCH(Table5[[#This Row],[PID]],Batters[[#All],[PID]],0)),INDEX(Table3[[#All],[B]],MATCH(Table5[[#This Row],[PID]],Table3[[#All],[PID]],0)))</f>
        <v>R</v>
      </c>
      <c r="I694" s="54" t="str">
        <f>IF($C694="B",INDEX(Batters[[#All],[T]],MATCH(Table5[[#This Row],[PID]],Batters[[#All],[PID]],0)),INDEX(Table3[[#All],[T]],MATCH(Table5[[#This Row],[PID]],Table3[[#All],[PID]],0)))</f>
        <v>R</v>
      </c>
      <c r="J694" s="54" t="str">
        <f>IF($C694="B",INDEX(Batters[[#All],[WE]],MATCH(Table5[[#This Row],[PID]],Batters[[#All],[PID]],0)),INDEX(Table3[[#All],[WE]],MATCH(Table5[[#This Row],[PID]],Table3[[#All],[PID]],0)))</f>
        <v>Low</v>
      </c>
      <c r="K694" s="54" t="str">
        <f>IF($C694="B",INDEX(Batters[[#All],[INT]],MATCH(Table5[[#This Row],[PID]],Batters[[#All],[PID]],0)),INDEX(Table3[[#All],[INT]],MATCH(Table5[[#This Row],[PID]],Table3[[#All],[PID]],0)))</f>
        <v>Normal</v>
      </c>
      <c r="L694" s="62">
        <f>IF($C694="B",INDEX(Batters[[#All],[CON P]],MATCH(Table5[[#This Row],[PID]],Batters[[#All],[PID]],0)),INDEX(Table3[[#All],[STU P]],MATCH(Table5[[#This Row],[PID]],Table3[[#All],[PID]],0)))</f>
        <v>3</v>
      </c>
      <c r="M694" s="58">
        <f>IF($C694="B",INDEX(Batters[[#All],[GAP P]],MATCH(Table5[[#This Row],[PID]],Batters[[#All],[PID]],0)),INDEX(Table3[[#All],[MOV P]],MATCH(Table5[[#This Row],[PID]],Table3[[#All],[PID]],0)))</f>
        <v>3</v>
      </c>
      <c r="N694" s="58">
        <f>IF($C694="B",INDEX(Batters[[#All],[POW P]],MATCH(Table5[[#This Row],[PID]],Batters[[#All],[PID]],0)),INDEX(Table3[[#All],[CON P]],MATCH(Table5[[#This Row],[PID]],Table3[[#All],[PID]],0)))</f>
        <v>3</v>
      </c>
      <c r="O694" s="58">
        <f>IF($C694="B",INDEX(Batters[[#All],[EYE P]],MATCH(Table5[[#This Row],[PID]],Batters[[#All],[PID]],0)),INDEX(Table3[[#All],[VELO]],MATCH(Table5[[#This Row],[PID]],Table3[[#All],[PID]],0)))</f>
        <v>5</v>
      </c>
      <c r="P694" s="58">
        <f>IF($C694="B",INDEX(Batters[[#All],[K P]],MATCH(Table5[[#This Row],[PID]],Batters[[#All],[PID]],0)),INDEX(Table3[[#All],[STM]],MATCH(Table5[[#This Row],[PID]],Table3[[#All],[PID]],0)))</f>
        <v>3</v>
      </c>
      <c r="Q694" s="63">
        <f>IF($C694="B",INDEX(Batters[[#All],[Tot]],MATCH(Table5[[#This Row],[PID]],Batters[[#All],[PID]],0)),INDEX(Table3[[#All],[Tot]],MATCH(Table5[[#This Row],[PID]],Table3[[#All],[PID]],0)))</f>
        <v>37.519758690429427</v>
      </c>
      <c r="R694" s="54">
        <f>IF($C694="B",INDEX(Batters[[#All],[zScore]],MATCH(Table5[[#This Row],[PID]],Batters[[#All],[PID]],0)),INDEX(Table3[[#All],[zScore]],MATCH(Table5[[#This Row],[PID]],Table3[[#All],[PID]],0)))</f>
        <v>-0.49765378209424904</v>
      </c>
      <c r="S694" s="60" t="str">
        <f>IF($C694="B",INDEX(Batters[[#All],[DEM]],MATCH(Table5[[#This Row],[PID]],Batters[[#All],[PID]],0)),INDEX(Table3[[#All],[DEM]],MATCH(Table5[[#This Row],[PID]],Table3[[#All],[PID]],0)))</f>
        <v>-</v>
      </c>
      <c r="T694" s="64">
        <f>IF($C694="B",VLOOKUP($A694,Bat!$A$4:$AU$1417,46,FALSE),VLOOKUP($A694,Pit!$A$4:$BD$570,55,FALSE))</f>
        <v>0</v>
      </c>
      <c r="U694" s="52">
        <f>IF($C694="B",VLOOKUP($A694,Bat!$A$4:$BA$1417,47,FALSE),VLOOKUP($A694,Pit!$A$4:$BF$570,56,FALSE))</f>
        <v>0</v>
      </c>
      <c r="V694" s="52">
        <f>IF($C694="B",VLOOKUP($A694,Bat!$A$4:$BA$1417,48,FALSE),VLOOKUP($A694,Pit!$A$4:$BF$570,57,FALSE))</f>
        <v>0</v>
      </c>
      <c r="W694" s="52">
        <f>Table5[[#This Row],[posRnk]]+Table5[[#This Row],[zRnk]]+IF($W$3&lt;&gt;Table5[[#This Row],[Type]],50,0)</f>
        <v>740</v>
      </c>
      <c r="X694" s="53">
        <f>RANK(Table5[[#This Row],[zScore]],Table5[[#All],[zScore]])</f>
        <v>690</v>
      </c>
      <c r="Y694" s="52" t="str">
        <f>IFERROR(INDEX(DraftResults[[#All],[OVR]],MATCH(Table5[[#This Row],[PID]],DraftResults[[#All],[Player ID]],0)),"")</f>
        <v/>
      </c>
      <c r="Z6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4" s="52" t="str">
        <f>IFERROR(INDEX(DraftResults[[#All],[Pick in Round]],MATCH(Table5[[#This Row],[PID]],DraftResults[[#All],[Player ID]],0)),"")</f>
        <v/>
      </c>
      <c r="AB694" s="52" t="str">
        <f>IFERROR(INDEX(DraftResults[[#All],[Team Name]],MATCH(Table5[[#This Row],[PID]],DraftResults[[#All],[Player ID]],0)),"")</f>
        <v/>
      </c>
      <c r="AC694" s="52" t="str">
        <f>IF(Table5[[#This Row],[Ovr]]="","",IF(Table5[[#This Row],[cmbList]]="","",Table5[[#This Row],[cmbList]]-Table5[[#This Row],[Ovr]]))</f>
        <v/>
      </c>
      <c r="AD694" s="56" t="str">
        <f>IF(ISERROR(VLOOKUP($AB694&amp;"-"&amp;$E694&amp;" "&amp;F694,Bonuses!$B$1:$G$1006,4,FALSE)),"",INT(VLOOKUP($AB694&amp;"-"&amp;$E694&amp;" "&amp;$F694,Bonuses!$B$1:$G$1006,4,FALSE)))</f>
        <v/>
      </c>
      <c r="AE6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5" spans="1:31" s="52" customFormat="1" x14ac:dyDescent="0.25">
      <c r="A695" s="52">
        <v>8496</v>
      </c>
      <c r="B695" s="52">
        <f>COUNTIF(Table5[PID],A695)</f>
        <v>1</v>
      </c>
      <c r="C695" s="52" t="str">
        <f>IF(COUNTIF(Table3[[#All],[PID]],A695)&gt;0,"P","B")</f>
        <v>P</v>
      </c>
      <c r="D695" s="61" t="str">
        <f>IF($C695="B",INDEX(Batters[[#All],[POS]],MATCH(Table5[[#This Row],[PID]],Batters[[#All],[PID]],0)),INDEX(Table3[[#All],[POS]],MATCH(Table5[[#This Row],[PID]],Table3[[#All],[PID]],0)))</f>
        <v>RP</v>
      </c>
      <c r="E695" s="54" t="str">
        <f>IF($C695="B",INDEX(Batters[[#All],[First]],MATCH(Table5[[#This Row],[PID]],Batters[[#All],[PID]],0)),INDEX(Table3[[#All],[First]],MATCH(Table5[[#This Row],[PID]],Table3[[#All],[PID]],0)))</f>
        <v>Paco</v>
      </c>
      <c r="F695" s="52" t="str">
        <f>IF($C695="B",INDEX(Batters[[#All],[Last]],MATCH(A695,Batters[[#All],[PID]],0)),INDEX(Table3[[#All],[Last]],MATCH(A695,Table3[[#All],[PID]],0)))</f>
        <v>Matos</v>
      </c>
      <c r="G695" s="58">
        <f>IF($C695="B",INDEX(Batters[[#All],[Age]],MATCH(Table5[[#This Row],[PID]],Batters[[#All],[PID]],0)),INDEX(Table3[[#All],[Age]],MATCH(Table5[[#This Row],[PID]],Table3[[#All],[PID]],0)))</f>
        <v>18</v>
      </c>
      <c r="H695" s="54" t="str">
        <f>IF($C695="B",INDEX(Batters[[#All],[B]],MATCH(Table5[[#This Row],[PID]],Batters[[#All],[PID]],0)),INDEX(Table3[[#All],[B]],MATCH(Table5[[#This Row],[PID]],Table3[[#All],[PID]],0)))</f>
        <v>R</v>
      </c>
      <c r="I695" s="54" t="str">
        <f>IF($C695="B",INDEX(Batters[[#All],[T]],MATCH(Table5[[#This Row],[PID]],Batters[[#All],[PID]],0)),INDEX(Table3[[#All],[T]],MATCH(Table5[[#This Row],[PID]],Table3[[#All],[PID]],0)))</f>
        <v>R</v>
      </c>
      <c r="J695" s="54" t="str">
        <f>IF($C695="B",INDEX(Batters[[#All],[WE]],MATCH(Table5[[#This Row],[PID]],Batters[[#All],[PID]],0)),INDEX(Table3[[#All],[WE]],MATCH(Table5[[#This Row],[PID]],Table3[[#All],[PID]],0)))</f>
        <v>Low</v>
      </c>
      <c r="K695" s="54" t="str">
        <f>IF($C695="B",INDEX(Batters[[#All],[INT]],MATCH(Table5[[#This Row],[PID]],Batters[[#All],[PID]],0)),INDEX(Table3[[#All],[INT]],MATCH(Table5[[#This Row],[PID]],Table3[[#All],[PID]],0)))</f>
        <v>Normal</v>
      </c>
      <c r="L695" s="62">
        <f>IF($C695="B",INDEX(Batters[[#All],[CON P]],MATCH(Table5[[#This Row],[PID]],Batters[[#All],[PID]],0)),INDEX(Table3[[#All],[STU P]],MATCH(Table5[[#This Row],[PID]],Table3[[#All],[PID]],0)))</f>
        <v>4</v>
      </c>
      <c r="M695" s="58">
        <f>IF($C695="B",INDEX(Batters[[#All],[GAP P]],MATCH(Table5[[#This Row],[PID]],Batters[[#All],[PID]],0)),INDEX(Table3[[#All],[MOV P]],MATCH(Table5[[#This Row],[PID]],Table3[[#All],[PID]],0)))</f>
        <v>1</v>
      </c>
      <c r="N695" s="58">
        <f>IF($C695="B",INDEX(Batters[[#All],[POW P]],MATCH(Table5[[#This Row],[PID]],Batters[[#All],[PID]],0)),INDEX(Table3[[#All],[CON P]],MATCH(Table5[[#This Row],[PID]],Table3[[#All],[PID]],0)))</f>
        <v>2</v>
      </c>
      <c r="O695" s="58" t="str">
        <f>IF($C695="B",INDEX(Batters[[#All],[EYE P]],MATCH(Table5[[#This Row],[PID]],Batters[[#All],[PID]],0)),INDEX(Table3[[#All],[VELO]],MATCH(Table5[[#This Row],[PID]],Table3[[#All],[PID]],0)))</f>
        <v>86-88 Mph</v>
      </c>
      <c r="P695" s="58">
        <f>IF($C695="B",INDEX(Batters[[#All],[K P]],MATCH(Table5[[#This Row],[PID]],Batters[[#All],[PID]],0)),INDEX(Table3[[#All],[STM]],MATCH(Table5[[#This Row],[PID]],Table3[[#All],[PID]],0)))</f>
        <v>6</v>
      </c>
      <c r="Q695" s="63">
        <f>IF($C695="B",INDEX(Batters[[#All],[Tot]],MATCH(Table5[[#This Row],[PID]],Batters[[#All],[PID]],0)),INDEX(Table3[[#All],[Tot]],MATCH(Table5[[#This Row],[PID]],Table3[[#All],[PID]],0)))</f>
        <v>27.26349113972071</v>
      </c>
      <c r="R695" s="54">
        <f>IF($C695="B",INDEX(Batters[[#All],[zScore]],MATCH(Table5[[#This Row],[PID]],Batters[[#All],[PID]],0)),INDEX(Table3[[#All],[zScore]],MATCH(Table5[[#This Row],[PID]],Table3[[#All],[PID]],0)))</f>
        <v>-0.50059159703440548</v>
      </c>
      <c r="S695" s="60" t="str">
        <f>IF($C695="B",INDEX(Batters[[#All],[DEM]],MATCH(Table5[[#This Row],[PID]],Batters[[#All],[PID]],0)),INDEX(Table3[[#All],[DEM]],MATCH(Table5[[#This Row],[PID]],Table3[[#All],[PID]],0)))</f>
        <v>$65k</v>
      </c>
      <c r="T695" s="64">
        <f>IF($C695="B",VLOOKUP($A695,Bat!$A$4:$AU$1417,46,FALSE),VLOOKUP($A695,Pit!$A$4:$BD$570,55,FALSE))</f>
        <v>0</v>
      </c>
      <c r="U695" s="52">
        <f>IF($C695="B",VLOOKUP($A695,Bat!$A$4:$BA$1417,47,FALSE),VLOOKUP($A695,Pit!$A$4:$BF$570,56,FALSE))</f>
        <v>0</v>
      </c>
      <c r="V695" s="52">
        <f>IF($C695="B",VLOOKUP($A695,Bat!$A$4:$BA$1417,48,FALSE),VLOOKUP($A695,Pit!$A$4:$BF$570,57,FALSE))</f>
        <v>0</v>
      </c>
      <c r="W695" s="52">
        <f>Table5[[#This Row],[posRnk]]+Table5[[#This Row],[zRnk]]+IF($W$3&lt;&gt;Table5[[#This Row],[Type]],50,0)</f>
        <v>741</v>
      </c>
      <c r="X695" s="53">
        <f>RANK(Table5[[#This Row],[zScore]],Table5[[#All],[zScore]])</f>
        <v>691</v>
      </c>
      <c r="Y695" s="52" t="str">
        <f>IFERROR(INDEX(DraftResults[[#All],[OVR]],MATCH(Table5[[#This Row],[PID]],DraftResults[[#All],[Player ID]],0)),"")</f>
        <v/>
      </c>
      <c r="Z6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5" s="52" t="str">
        <f>IFERROR(INDEX(DraftResults[[#All],[Pick in Round]],MATCH(Table5[[#This Row],[PID]],DraftResults[[#All],[Player ID]],0)),"")</f>
        <v/>
      </c>
      <c r="AB695" s="52" t="str">
        <f>IFERROR(INDEX(DraftResults[[#All],[Team Name]],MATCH(Table5[[#This Row],[PID]],DraftResults[[#All],[Player ID]],0)),"")</f>
        <v/>
      </c>
      <c r="AC695" s="52" t="str">
        <f>IF(Table5[[#This Row],[Ovr]]="","",IF(Table5[[#This Row],[cmbList]]="","",Table5[[#This Row],[cmbList]]-Table5[[#This Row],[Ovr]]))</f>
        <v/>
      </c>
      <c r="AD695" s="56" t="str">
        <f>IF(ISERROR(VLOOKUP($AB695&amp;"-"&amp;$E695&amp;" "&amp;F695,Bonuses!$B$1:$G$1006,4,FALSE)),"",INT(VLOOKUP($AB695&amp;"-"&amp;$E695&amp;" "&amp;$F695,Bonuses!$B$1:$G$1006,4,FALSE)))</f>
        <v/>
      </c>
      <c r="AE6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6" spans="1:31" s="52" customFormat="1" x14ac:dyDescent="0.25">
      <c r="A696" s="52">
        <v>11965</v>
      </c>
      <c r="B696" s="57">
        <f>COUNTIF(Table5[PID],A696)</f>
        <v>1</v>
      </c>
      <c r="C696" s="57" t="str">
        <f>IF(COUNTIF(Table3[[#All],[PID]],A696)&gt;0,"P","B")</f>
        <v>B</v>
      </c>
      <c r="D696" s="61" t="str">
        <f>IF($C696="B",INDEX(Batters[[#All],[POS]],MATCH(Table5[[#This Row],[PID]],Batters[[#All],[PID]],0)),INDEX(Table3[[#All],[POS]],MATCH(Table5[[#This Row],[PID]],Table3[[#All],[PID]],0)))</f>
        <v>SS</v>
      </c>
      <c r="E696" s="54" t="str">
        <f>IF($C696="B",INDEX(Batters[[#All],[First]],MATCH(Table5[[#This Row],[PID]],Batters[[#All],[PID]],0)),INDEX(Table3[[#All],[First]],MATCH(Table5[[#This Row],[PID]],Table3[[#All],[PID]],0)))</f>
        <v>Bill</v>
      </c>
      <c r="F696" s="52" t="str">
        <f>IF($C696="B",INDEX(Batters[[#All],[Last]],MATCH(A696,Batters[[#All],[PID]],0)),INDEX(Table3[[#All],[Last]],MATCH(A696,Table3[[#All],[PID]],0)))</f>
        <v>Benson</v>
      </c>
      <c r="G696" s="58">
        <f>IF($C696="B",INDEX(Batters[[#All],[Age]],MATCH(Table5[[#This Row],[PID]],Batters[[#All],[PID]],0)),INDEX(Table3[[#All],[Age]],MATCH(Table5[[#This Row],[PID]],Table3[[#All],[PID]],0)))</f>
        <v>21</v>
      </c>
      <c r="H696" s="54" t="str">
        <f>IF($C696="B",INDEX(Batters[[#All],[B]],MATCH(Table5[[#This Row],[PID]],Batters[[#All],[PID]],0)),INDEX(Table3[[#All],[B]],MATCH(Table5[[#This Row],[PID]],Table3[[#All],[PID]],0)))</f>
        <v>R</v>
      </c>
      <c r="I696" s="54" t="str">
        <f>IF($C696="B",INDEX(Batters[[#All],[T]],MATCH(Table5[[#This Row],[PID]],Batters[[#All],[PID]],0)),INDEX(Table3[[#All],[T]],MATCH(Table5[[#This Row],[PID]],Table3[[#All],[PID]],0)))</f>
        <v>R</v>
      </c>
      <c r="J696" s="54" t="str">
        <f>IF($C696="B",INDEX(Batters[[#All],[WE]],MATCH(Table5[[#This Row],[PID]],Batters[[#All],[PID]],0)),INDEX(Table3[[#All],[WE]],MATCH(Table5[[#This Row],[PID]],Table3[[#All],[PID]],0)))</f>
        <v>High</v>
      </c>
      <c r="K696" s="54" t="str">
        <f>IF($C696="B",INDEX(Batters[[#All],[INT]],MATCH(Table5[[#This Row],[PID]],Batters[[#All],[PID]],0)),INDEX(Table3[[#All],[INT]],MATCH(Table5[[#This Row],[PID]],Table3[[#All],[PID]],0)))</f>
        <v>Normal</v>
      </c>
      <c r="L696" s="62">
        <f>IF($C696="B",INDEX(Batters[[#All],[CON P]],MATCH(Table5[[#This Row],[PID]],Batters[[#All],[PID]],0)),INDEX(Table3[[#All],[STU P]],MATCH(Table5[[#This Row],[PID]],Table3[[#All],[PID]],0)))</f>
        <v>3</v>
      </c>
      <c r="M696" s="58">
        <f>IF($C696="B",INDEX(Batters[[#All],[GAP P]],MATCH(Table5[[#This Row],[PID]],Batters[[#All],[PID]],0)),INDEX(Table3[[#All],[MOV P]],MATCH(Table5[[#This Row],[PID]],Table3[[#All],[PID]],0)))</f>
        <v>3</v>
      </c>
      <c r="N696" s="58">
        <f>IF($C696="B",INDEX(Batters[[#All],[POW P]],MATCH(Table5[[#This Row],[PID]],Batters[[#All],[PID]],0)),INDEX(Table3[[#All],[CON P]],MATCH(Table5[[#This Row],[PID]],Table3[[#All],[PID]],0)))</f>
        <v>3</v>
      </c>
      <c r="O696" s="58">
        <f>IF($C696="B",INDEX(Batters[[#All],[EYE P]],MATCH(Table5[[#This Row],[PID]],Batters[[#All],[PID]],0)),INDEX(Table3[[#All],[VELO]],MATCH(Table5[[#This Row],[PID]],Table3[[#All],[PID]],0)))</f>
        <v>5</v>
      </c>
      <c r="P696" s="58">
        <f>IF($C696="B",INDEX(Batters[[#All],[K P]],MATCH(Table5[[#This Row],[PID]],Batters[[#All],[PID]],0)),INDEX(Table3[[#All],[STM]],MATCH(Table5[[#This Row],[PID]],Table3[[#All],[PID]],0)))</f>
        <v>3</v>
      </c>
      <c r="Q696" s="63">
        <f>IF($C696="B",INDEX(Batters[[#All],[Tot]],MATCH(Table5[[#This Row],[PID]],Batters[[#All],[PID]],0)),INDEX(Table3[[#All],[Tot]],MATCH(Table5[[#This Row],[PID]],Table3[[#All],[PID]],0)))</f>
        <v>37.495198818474869</v>
      </c>
      <c r="R696" s="54">
        <f>IF($C696="B",INDEX(Batters[[#All],[zScore]],MATCH(Table5[[#This Row],[PID]],Batters[[#All],[PID]],0)),INDEX(Table3[[#All],[zScore]],MATCH(Table5[[#This Row],[PID]],Table3[[#All],[PID]],0)))</f>
        <v>-0.50197492833229362</v>
      </c>
      <c r="S696" s="60" t="str">
        <f>IF($C696="B",INDEX(Batters[[#All],[DEM]],MATCH(Table5[[#This Row],[PID]],Batters[[#All],[PID]],0)),INDEX(Table3[[#All],[DEM]],MATCH(Table5[[#This Row],[PID]],Table3[[#All],[PID]],0)))</f>
        <v>-</v>
      </c>
      <c r="T696" s="64">
        <f>IF($C696="B",VLOOKUP($A696,Bat!$A$4:$AU$1417,46,FALSE),VLOOKUP($A696,Pit!$A$4:$BD$570,55,FALSE))</f>
        <v>0</v>
      </c>
      <c r="U696" s="52">
        <f>IF($C696="B",VLOOKUP($A696,Bat!$A$4:$BA$1417,47,FALSE),VLOOKUP($A696,Pit!$A$4:$BF$570,56,FALSE))</f>
        <v>0</v>
      </c>
      <c r="V696" s="52">
        <f>IF($C696="B",VLOOKUP($A696,Bat!$A$4:$BA$1417,48,FALSE),VLOOKUP($A696,Pit!$A$4:$BF$570,57,FALSE))</f>
        <v>0</v>
      </c>
      <c r="W696" s="52">
        <f>Table5[[#This Row],[posRnk]]+Table5[[#This Row],[zRnk]]+IF($W$3&lt;&gt;Table5[[#This Row],[Type]],50,0)</f>
        <v>742</v>
      </c>
      <c r="X696" s="53">
        <f>RANK(Table5[[#This Row],[zScore]],Table5[[#All],[zScore]])</f>
        <v>692</v>
      </c>
      <c r="Y696" s="52" t="str">
        <f>IFERROR(INDEX(DraftResults[[#All],[OVR]],MATCH(Table5[[#This Row],[PID]],DraftResults[[#All],[Player ID]],0)),"")</f>
        <v/>
      </c>
      <c r="Z6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6" s="52" t="str">
        <f>IFERROR(INDEX(DraftResults[[#All],[Pick in Round]],MATCH(Table5[[#This Row],[PID]],DraftResults[[#All],[Player ID]],0)),"")</f>
        <v/>
      </c>
      <c r="AB696" s="52" t="str">
        <f>IFERROR(INDEX(DraftResults[[#All],[Team Name]],MATCH(Table5[[#This Row],[PID]],DraftResults[[#All],[Player ID]],0)),"")</f>
        <v/>
      </c>
      <c r="AC696" s="52" t="str">
        <f>IF(Table5[[#This Row],[Ovr]]="","",IF(Table5[[#This Row],[cmbList]]="","",Table5[[#This Row],[cmbList]]-Table5[[#This Row],[Ovr]]))</f>
        <v/>
      </c>
      <c r="AD696" s="56" t="str">
        <f>IF(ISERROR(VLOOKUP($AB696&amp;"-"&amp;$E696&amp;" "&amp;F696,Bonuses!$B$1:$G$1006,4,FALSE)),"",INT(VLOOKUP($AB696&amp;"-"&amp;$E696&amp;" "&amp;$F696,Bonuses!$B$1:$G$1006,4,FALSE)))</f>
        <v/>
      </c>
      <c r="AE6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7" spans="1:31" s="52" customFormat="1" x14ac:dyDescent="0.25">
      <c r="A697" s="52">
        <v>6359</v>
      </c>
      <c r="B697" s="52">
        <f>COUNTIF(Table5[PID],A697)</f>
        <v>1</v>
      </c>
      <c r="C697" s="52" t="str">
        <f>IF(COUNTIF(Table3[[#All],[PID]],A697)&gt;0,"P","B")</f>
        <v>P</v>
      </c>
      <c r="D697" s="61" t="str">
        <f>IF($C697="B",INDEX(Batters[[#All],[POS]],MATCH(Table5[[#This Row],[PID]],Batters[[#All],[PID]],0)),INDEX(Table3[[#All],[POS]],MATCH(Table5[[#This Row],[PID]],Table3[[#All],[PID]],0)))</f>
        <v>RP</v>
      </c>
      <c r="E697" s="54" t="str">
        <f>IF($C697="B",INDEX(Batters[[#All],[First]],MATCH(Table5[[#This Row],[PID]],Batters[[#All],[PID]],0)),INDEX(Table3[[#All],[First]],MATCH(Table5[[#This Row],[PID]],Table3[[#All],[PID]],0)))</f>
        <v>Ikki</v>
      </c>
      <c r="F697" s="52" t="str">
        <f>IF($C697="B",INDEX(Batters[[#All],[Last]],MATCH(A697,Batters[[#All],[PID]],0)),INDEX(Table3[[#All],[Last]],MATCH(A697,Table3[[#All],[PID]],0)))</f>
        <v>Yamashita</v>
      </c>
      <c r="G697" s="58">
        <f>IF($C697="B",INDEX(Batters[[#All],[Age]],MATCH(Table5[[#This Row],[PID]],Batters[[#All],[PID]],0)),INDEX(Table3[[#All],[Age]],MATCH(Table5[[#This Row],[PID]],Table3[[#All],[PID]],0)))</f>
        <v>18</v>
      </c>
      <c r="H697" s="54" t="str">
        <f>IF($C697="B",INDEX(Batters[[#All],[B]],MATCH(Table5[[#This Row],[PID]],Batters[[#All],[PID]],0)),INDEX(Table3[[#All],[B]],MATCH(Table5[[#This Row],[PID]],Table3[[#All],[PID]],0)))</f>
        <v>R</v>
      </c>
      <c r="I697" s="54" t="str">
        <f>IF($C697="B",INDEX(Batters[[#All],[T]],MATCH(Table5[[#This Row],[PID]],Batters[[#All],[PID]],0)),INDEX(Table3[[#All],[T]],MATCH(Table5[[#This Row],[PID]],Table3[[#All],[PID]],0)))</f>
        <v>R</v>
      </c>
      <c r="J697" s="54" t="str">
        <f>IF($C697="B",INDEX(Batters[[#All],[WE]],MATCH(Table5[[#This Row],[PID]],Batters[[#All],[PID]],0)),INDEX(Table3[[#All],[WE]],MATCH(Table5[[#This Row],[PID]],Table3[[#All],[PID]],0)))</f>
        <v>High</v>
      </c>
      <c r="K697" s="54" t="str">
        <f>IF($C697="B",INDEX(Batters[[#All],[INT]],MATCH(Table5[[#This Row],[PID]],Batters[[#All],[PID]],0)),INDEX(Table3[[#All],[INT]],MATCH(Table5[[#This Row],[PID]],Table3[[#All],[PID]],0)))</f>
        <v>Normal</v>
      </c>
      <c r="L697" s="62">
        <f>IF($C697="B",INDEX(Batters[[#All],[CON P]],MATCH(Table5[[#This Row],[PID]],Batters[[#All],[PID]],0)),INDEX(Table3[[#All],[STU P]],MATCH(Table5[[#This Row],[PID]],Table3[[#All],[PID]],0)))</f>
        <v>4</v>
      </c>
      <c r="M697" s="58">
        <f>IF($C697="B",INDEX(Batters[[#All],[GAP P]],MATCH(Table5[[#This Row],[PID]],Batters[[#All],[PID]],0)),INDEX(Table3[[#All],[MOV P]],MATCH(Table5[[#This Row],[PID]],Table3[[#All],[PID]],0)))</f>
        <v>1</v>
      </c>
      <c r="N697" s="58">
        <f>IF($C697="B",INDEX(Batters[[#All],[POW P]],MATCH(Table5[[#This Row],[PID]],Batters[[#All],[PID]],0)),INDEX(Table3[[#All],[CON P]],MATCH(Table5[[#This Row],[PID]],Table3[[#All],[PID]],0)))</f>
        <v>2</v>
      </c>
      <c r="O697" s="58" t="str">
        <f>IF($C697="B",INDEX(Batters[[#All],[EYE P]],MATCH(Table5[[#This Row],[PID]],Batters[[#All],[PID]],0)),INDEX(Table3[[#All],[VELO]],MATCH(Table5[[#This Row],[PID]],Table3[[#All],[PID]],0)))</f>
        <v>85-87 Mph</v>
      </c>
      <c r="P697" s="58">
        <f>IF($C697="B",INDEX(Batters[[#All],[K P]],MATCH(Table5[[#This Row],[PID]],Batters[[#All],[PID]],0)),INDEX(Table3[[#All],[STM]],MATCH(Table5[[#This Row],[PID]],Table3[[#All],[PID]],0)))</f>
        <v>8</v>
      </c>
      <c r="Q697" s="63">
        <f>IF($C697="B",INDEX(Batters[[#All],[Tot]],MATCH(Table5[[#This Row],[PID]],Batters[[#All],[PID]],0)),INDEX(Table3[[#All],[Tot]],MATCH(Table5[[#This Row],[PID]],Table3[[#All],[PID]],0)))</f>
        <v>27.23691398945714</v>
      </c>
      <c r="R697" s="54">
        <f>IF($C697="B",INDEX(Batters[[#All],[zScore]],MATCH(Table5[[#This Row],[PID]],Batters[[#All],[PID]],0)),INDEX(Table3[[#All],[zScore]],MATCH(Table5[[#This Row],[PID]],Table3[[#All],[PID]],0)))</f>
        <v>-0.5030288353067025</v>
      </c>
      <c r="S697" s="60" t="str">
        <f>IF($C697="B",INDEX(Batters[[#All],[DEM]],MATCH(Table5[[#This Row],[PID]],Batters[[#All],[PID]],0)),INDEX(Table3[[#All],[DEM]],MATCH(Table5[[#This Row],[PID]],Table3[[#All],[PID]],0)))</f>
        <v>$75k</v>
      </c>
      <c r="T697" s="64">
        <f>IF($C697="B",VLOOKUP($A697,Bat!$A$4:$AU$1417,46,FALSE),VLOOKUP($A697,Pit!$A$4:$BD$570,55,FALSE))</f>
        <v>0</v>
      </c>
      <c r="U697" s="52">
        <f>IF($C697="B",VLOOKUP($A697,Bat!$A$4:$BA$1417,47,FALSE),VLOOKUP($A697,Pit!$A$4:$BF$570,56,FALSE))</f>
        <v>0</v>
      </c>
      <c r="V697" s="52">
        <f>IF($C697="B",VLOOKUP($A697,Bat!$A$4:$BA$1417,48,FALSE),VLOOKUP($A697,Pit!$A$4:$BF$570,57,FALSE))</f>
        <v>0</v>
      </c>
      <c r="W697" s="52">
        <f>Table5[[#This Row],[posRnk]]+Table5[[#This Row],[zRnk]]+IF($W$3&lt;&gt;Table5[[#This Row],[Type]],50,0)</f>
        <v>743</v>
      </c>
      <c r="X697" s="53">
        <f>RANK(Table5[[#This Row],[zScore]],Table5[[#All],[zScore]])</f>
        <v>693</v>
      </c>
      <c r="Y697" s="52" t="str">
        <f>IFERROR(INDEX(DraftResults[[#All],[OVR]],MATCH(Table5[[#This Row],[PID]],DraftResults[[#All],[Player ID]],0)),"")</f>
        <v/>
      </c>
      <c r="Z6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7" s="52" t="str">
        <f>IFERROR(INDEX(DraftResults[[#All],[Pick in Round]],MATCH(Table5[[#This Row],[PID]],DraftResults[[#All],[Player ID]],0)),"")</f>
        <v/>
      </c>
      <c r="AB697" s="52" t="str">
        <f>IFERROR(INDEX(DraftResults[[#All],[Team Name]],MATCH(Table5[[#This Row],[PID]],DraftResults[[#All],[Player ID]],0)),"")</f>
        <v/>
      </c>
      <c r="AC697" s="52" t="str">
        <f>IF(Table5[[#This Row],[Ovr]]="","",IF(Table5[[#This Row],[cmbList]]="","",Table5[[#This Row],[cmbList]]-Table5[[#This Row],[Ovr]]))</f>
        <v/>
      </c>
      <c r="AD697" s="56" t="str">
        <f>IF(ISERROR(VLOOKUP($AB697&amp;"-"&amp;$E697&amp;" "&amp;F697,Bonuses!$B$1:$G$1006,4,FALSE)),"",INT(VLOOKUP($AB697&amp;"-"&amp;$E697&amp;" "&amp;$F697,Bonuses!$B$1:$G$1006,4,FALSE)))</f>
        <v/>
      </c>
      <c r="AE6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8" spans="1:31" s="52" customFormat="1" x14ac:dyDescent="0.25">
      <c r="A698" s="52">
        <v>12873</v>
      </c>
      <c r="B698" s="52">
        <f>COUNTIF(Table5[PID],A698)</f>
        <v>1</v>
      </c>
      <c r="C698" s="52" t="str">
        <f>IF(COUNTIF(Table3[[#All],[PID]],A698)&gt;0,"P","B")</f>
        <v>B</v>
      </c>
      <c r="D698" s="61" t="str">
        <f>IF($C698="B",INDEX(Batters[[#All],[POS]],MATCH(Table5[[#This Row],[PID]],Batters[[#All],[PID]],0)),INDEX(Table3[[#All],[POS]],MATCH(Table5[[#This Row],[PID]],Table3[[#All],[PID]],0)))</f>
        <v>CF</v>
      </c>
      <c r="E698" s="54" t="str">
        <f>IF($C698="B",INDEX(Batters[[#All],[First]],MATCH(Table5[[#This Row],[PID]],Batters[[#All],[PID]],0)),INDEX(Table3[[#All],[First]],MATCH(Table5[[#This Row],[PID]],Table3[[#All],[PID]],0)))</f>
        <v>Carl</v>
      </c>
      <c r="F698" s="52" t="str">
        <f>IF($C698="B",INDEX(Batters[[#All],[Last]],MATCH(A698,Batters[[#All],[PID]],0)),INDEX(Table3[[#All],[Last]],MATCH(A698,Table3[[#All],[PID]],0)))</f>
        <v>Eager</v>
      </c>
      <c r="G698" s="58">
        <f>IF($C698="B",INDEX(Batters[[#All],[Age]],MATCH(Table5[[#This Row],[PID]],Batters[[#All],[PID]],0)),INDEX(Table3[[#All],[Age]],MATCH(Table5[[#This Row],[PID]],Table3[[#All],[PID]],0)))</f>
        <v>21</v>
      </c>
      <c r="H698" s="54" t="str">
        <f>IF($C698="B",INDEX(Batters[[#All],[B]],MATCH(Table5[[#This Row],[PID]],Batters[[#All],[PID]],0)),INDEX(Table3[[#All],[B]],MATCH(Table5[[#This Row],[PID]],Table3[[#All],[PID]],0)))</f>
        <v>L</v>
      </c>
      <c r="I698" s="54" t="str">
        <f>IF($C698="B",INDEX(Batters[[#All],[T]],MATCH(Table5[[#This Row],[PID]],Batters[[#All],[PID]],0)),INDEX(Table3[[#All],[T]],MATCH(Table5[[#This Row],[PID]],Table3[[#All],[PID]],0)))</f>
        <v>L</v>
      </c>
      <c r="J698" s="54" t="str">
        <f>IF($C698="B",INDEX(Batters[[#All],[WE]],MATCH(Table5[[#This Row],[PID]],Batters[[#All],[PID]],0)),INDEX(Table3[[#All],[WE]],MATCH(Table5[[#This Row],[PID]],Table3[[#All],[PID]],0)))</f>
        <v>Low</v>
      </c>
      <c r="K698" s="54" t="str">
        <f>IF($C698="B",INDEX(Batters[[#All],[INT]],MATCH(Table5[[#This Row],[PID]],Batters[[#All],[PID]],0)),INDEX(Table3[[#All],[INT]],MATCH(Table5[[#This Row],[PID]],Table3[[#All],[PID]],0)))</f>
        <v>Normal</v>
      </c>
      <c r="L698" s="62">
        <f>IF($C698="B",INDEX(Batters[[#All],[CON P]],MATCH(Table5[[#This Row],[PID]],Batters[[#All],[PID]],0)),INDEX(Table3[[#All],[STU P]],MATCH(Table5[[#This Row],[PID]],Table3[[#All],[PID]],0)))</f>
        <v>3</v>
      </c>
      <c r="M698" s="58">
        <f>IF($C698="B",INDEX(Batters[[#All],[GAP P]],MATCH(Table5[[#This Row],[PID]],Batters[[#All],[PID]],0)),INDEX(Table3[[#All],[MOV P]],MATCH(Table5[[#This Row],[PID]],Table3[[#All],[PID]],0)))</f>
        <v>3</v>
      </c>
      <c r="N698" s="58">
        <f>IF($C698="B",INDEX(Batters[[#All],[POW P]],MATCH(Table5[[#This Row],[PID]],Batters[[#All],[PID]],0)),INDEX(Table3[[#All],[CON P]],MATCH(Table5[[#This Row],[PID]],Table3[[#All],[PID]],0)))</f>
        <v>3</v>
      </c>
      <c r="O698" s="58">
        <f>IF($C698="B",INDEX(Batters[[#All],[EYE P]],MATCH(Table5[[#This Row],[PID]],Batters[[#All],[PID]],0)),INDEX(Table3[[#All],[VELO]],MATCH(Table5[[#This Row],[PID]],Table3[[#All],[PID]],0)))</f>
        <v>5</v>
      </c>
      <c r="P698" s="58">
        <f>IF($C698="B",INDEX(Batters[[#All],[K P]],MATCH(Table5[[#This Row],[PID]],Batters[[#All],[PID]],0)),INDEX(Table3[[#All],[STM]],MATCH(Table5[[#This Row],[PID]],Table3[[#All],[PID]],0)))</f>
        <v>4</v>
      </c>
      <c r="Q698" s="63">
        <f>IF($C698="B",INDEX(Batters[[#All],[Tot]],MATCH(Table5[[#This Row],[PID]],Batters[[#All],[PID]],0)),INDEX(Table3[[#All],[Tot]],MATCH(Table5[[#This Row],[PID]],Table3[[#All],[PID]],0)))</f>
        <v>37.472805172576031</v>
      </c>
      <c r="R698" s="54">
        <f>IF($C698="B",INDEX(Batters[[#All],[zScore]],MATCH(Table5[[#This Row],[PID]],Batters[[#All],[PID]],0)),INDEX(Table3[[#All],[zScore]],MATCH(Table5[[#This Row],[PID]],Table3[[#All],[PID]],0)))</f>
        <v>-0.5059149414932298</v>
      </c>
      <c r="S698" s="60" t="str">
        <f>IF($C698="B",INDEX(Batters[[#All],[DEM]],MATCH(Table5[[#This Row],[PID]],Batters[[#All],[PID]],0)),INDEX(Table3[[#All],[DEM]],MATCH(Table5[[#This Row],[PID]],Table3[[#All],[PID]],0)))</f>
        <v>-</v>
      </c>
      <c r="T698" s="64">
        <f>IF($C698="B",VLOOKUP($A698,Bat!$A$4:$AU$1417,46,FALSE),VLOOKUP($A698,Pit!$A$4:$BD$570,55,FALSE))</f>
        <v>0</v>
      </c>
      <c r="U698" s="52">
        <f>IF($C698="B",VLOOKUP($A698,Bat!$A$4:$BA$1417,47,FALSE),VLOOKUP($A698,Pit!$A$4:$BF$570,56,FALSE))</f>
        <v>0</v>
      </c>
      <c r="V698" s="52">
        <f>IF($C698="B",VLOOKUP($A698,Bat!$A$4:$BA$1417,48,FALSE),VLOOKUP($A698,Pit!$A$4:$BF$570,57,FALSE))</f>
        <v>0</v>
      </c>
      <c r="W698" s="52">
        <f>Table5[[#This Row],[posRnk]]+Table5[[#This Row],[zRnk]]+IF($W$3&lt;&gt;Table5[[#This Row],[Type]],50,0)</f>
        <v>744</v>
      </c>
      <c r="X698" s="53">
        <f>RANK(Table5[[#This Row],[zScore]],Table5[[#All],[zScore]])</f>
        <v>694</v>
      </c>
      <c r="Y698" s="52" t="str">
        <f>IFERROR(INDEX(DraftResults[[#All],[OVR]],MATCH(Table5[[#This Row],[PID]],DraftResults[[#All],[Player ID]],0)),"")</f>
        <v/>
      </c>
      <c r="Z6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8" s="52" t="str">
        <f>IFERROR(INDEX(DraftResults[[#All],[Pick in Round]],MATCH(Table5[[#This Row],[PID]],DraftResults[[#All],[Player ID]],0)),"")</f>
        <v/>
      </c>
      <c r="AB698" s="52" t="str">
        <f>IFERROR(INDEX(DraftResults[[#All],[Team Name]],MATCH(Table5[[#This Row],[PID]],DraftResults[[#All],[Player ID]],0)),"")</f>
        <v/>
      </c>
      <c r="AC698" s="52" t="str">
        <f>IF(Table5[[#This Row],[Ovr]]="","",IF(Table5[[#This Row],[cmbList]]="","",Table5[[#This Row],[cmbList]]-Table5[[#This Row],[Ovr]]))</f>
        <v/>
      </c>
      <c r="AD698" s="56" t="str">
        <f>IF(ISERROR(VLOOKUP($AB698&amp;"-"&amp;$E698&amp;" "&amp;F698,Bonuses!$B$1:$G$1006,4,FALSE)),"",INT(VLOOKUP($AB698&amp;"-"&amp;$E698&amp;" "&amp;$F698,Bonuses!$B$1:$G$1006,4,FALSE)))</f>
        <v/>
      </c>
      <c r="AE6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9" spans="1:31" s="52" customFormat="1" x14ac:dyDescent="0.25">
      <c r="A699" s="52">
        <v>9629</v>
      </c>
      <c r="B699" s="52">
        <f>COUNTIF(Table5[PID],A699)</f>
        <v>1</v>
      </c>
      <c r="C699" s="52" t="str">
        <f>IF(COUNTIF(Table3[[#All],[PID]],A699)&gt;0,"P","B")</f>
        <v>B</v>
      </c>
      <c r="D699" s="61" t="str">
        <f>IF($C699="B",INDEX(Batters[[#All],[POS]],MATCH(Table5[[#This Row],[PID]],Batters[[#All],[PID]],0)),INDEX(Table3[[#All],[POS]],MATCH(Table5[[#This Row],[PID]],Table3[[#All],[PID]],0)))</f>
        <v>CF</v>
      </c>
      <c r="E699" s="54" t="str">
        <f>IF($C699="B",INDEX(Batters[[#All],[First]],MATCH(Table5[[#This Row],[PID]],Batters[[#All],[PID]],0)),INDEX(Table3[[#All],[First]],MATCH(Table5[[#This Row],[PID]],Table3[[#All],[PID]],0)))</f>
        <v>Dave</v>
      </c>
      <c r="F699" s="52" t="str">
        <f>IF($C699="B",INDEX(Batters[[#All],[Last]],MATCH(A699,Batters[[#All],[PID]],0)),INDEX(Table3[[#All],[Last]],MATCH(A699,Table3[[#All],[PID]],0)))</f>
        <v>Alvarado</v>
      </c>
      <c r="G699" s="58">
        <f>IF($C699="B",INDEX(Batters[[#All],[Age]],MATCH(Table5[[#This Row],[PID]],Batters[[#All],[PID]],0)),INDEX(Table3[[#All],[Age]],MATCH(Table5[[#This Row],[PID]],Table3[[#All],[PID]],0)))</f>
        <v>21</v>
      </c>
      <c r="H699" s="54" t="str">
        <f>IF($C699="B",INDEX(Batters[[#All],[B]],MATCH(Table5[[#This Row],[PID]],Batters[[#All],[PID]],0)),INDEX(Table3[[#All],[B]],MATCH(Table5[[#This Row],[PID]],Table3[[#All],[PID]],0)))</f>
        <v>R</v>
      </c>
      <c r="I699" s="54" t="str">
        <f>IF($C699="B",INDEX(Batters[[#All],[T]],MATCH(Table5[[#This Row],[PID]],Batters[[#All],[PID]],0)),INDEX(Table3[[#All],[T]],MATCH(Table5[[#This Row],[PID]],Table3[[#All],[PID]],0)))</f>
        <v>R</v>
      </c>
      <c r="J699" s="54" t="str">
        <f>IF($C699="B",INDEX(Batters[[#All],[WE]],MATCH(Table5[[#This Row],[PID]],Batters[[#All],[PID]],0)),INDEX(Table3[[#All],[WE]],MATCH(Table5[[#This Row],[PID]],Table3[[#All],[PID]],0)))</f>
        <v>Low</v>
      </c>
      <c r="K699" s="54" t="str">
        <f>IF($C699="B",INDEX(Batters[[#All],[INT]],MATCH(Table5[[#This Row],[PID]],Batters[[#All],[PID]],0)),INDEX(Table3[[#All],[INT]],MATCH(Table5[[#This Row],[PID]],Table3[[#All],[PID]],0)))</f>
        <v>Normal</v>
      </c>
      <c r="L699" s="62">
        <f>IF($C699="B",INDEX(Batters[[#All],[CON P]],MATCH(Table5[[#This Row],[PID]],Batters[[#All],[PID]],0)),INDEX(Table3[[#All],[STU P]],MATCH(Table5[[#This Row],[PID]],Table3[[#All],[PID]],0)))</f>
        <v>3</v>
      </c>
      <c r="M699" s="58">
        <f>IF($C699="B",INDEX(Batters[[#All],[GAP P]],MATCH(Table5[[#This Row],[PID]],Batters[[#All],[PID]],0)),INDEX(Table3[[#All],[MOV P]],MATCH(Table5[[#This Row],[PID]],Table3[[#All],[PID]],0)))</f>
        <v>4</v>
      </c>
      <c r="N699" s="58">
        <f>IF($C699="B",INDEX(Batters[[#All],[POW P]],MATCH(Table5[[#This Row],[PID]],Batters[[#All],[PID]],0)),INDEX(Table3[[#All],[CON P]],MATCH(Table5[[#This Row],[PID]],Table3[[#All],[PID]],0)))</f>
        <v>3</v>
      </c>
      <c r="O699" s="58">
        <f>IF($C699="B",INDEX(Batters[[#All],[EYE P]],MATCH(Table5[[#This Row],[PID]],Batters[[#All],[PID]],0)),INDEX(Table3[[#All],[VELO]],MATCH(Table5[[#This Row],[PID]],Table3[[#All],[PID]],0)))</f>
        <v>5</v>
      </c>
      <c r="P699" s="58">
        <f>IF($C699="B",INDEX(Batters[[#All],[K P]],MATCH(Table5[[#This Row],[PID]],Batters[[#All],[PID]],0)),INDEX(Table3[[#All],[STM]],MATCH(Table5[[#This Row],[PID]],Table3[[#All],[PID]],0)))</f>
        <v>3</v>
      </c>
      <c r="Q699" s="63">
        <f>IF($C699="B",INDEX(Batters[[#All],[Tot]],MATCH(Table5[[#This Row],[PID]],Batters[[#All],[PID]],0)),INDEX(Table3[[#All],[Tot]],MATCH(Table5[[#This Row],[PID]],Table3[[#All],[PID]],0)))</f>
        <v>37.470916567149075</v>
      </c>
      <c r="R699" s="54">
        <f>IF($C699="B",INDEX(Batters[[#All],[zScore]],MATCH(Table5[[#This Row],[PID]],Batters[[#All],[PID]],0)),INDEX(Table3[[#All],[zScore]],MATCH(Table5[[#This Row],[PID]],Table3[[#All],[PID]],0)))</f>
        <v>-0.50624722906585806</v>
      </c>
      <c r="S699" s="60" t="str">
        <f>IF($C699="B",INDEX(Batters[[#All],[DEM]],MATCH(Table5[[#This Row],[PID]],Batters[[#All],[PID]],0)),INDEX(Table3[[#All],[DEM]],MATCH(Table5[[#This Row],[PID]],Table3[[#All],[PID]],0)))</f>
        <v>-</v>
      </c>
      <c r="T699" s="64">
        <f>IF($C699="B",VLOOKUP($A699,Bat!$A$4:$AU$1417,46,FALSE),VLOOKUP($A699,Pit!$A$4:$BD$570,55,FALSE))</f>
        <v>0</v>
      </c>
      <c r="U699" s="52">
        <f>IF($C699="B",VLOOKUP($A699,Bat!$A$4:$BA$1417,47,FALSE),VLOOKUP($A699,Pit!$A$4:$BF$570,56,FALSE))</f>
        <v>0</v>
      </c>
      <c r="V699" s="52">
        <f>IF($C699="B",VLOOKUP($A699,Bat!$A$4:$BA$1417,48,FALSE),VLOOKUP($A699,Pit!$A$4:$BF$570,57,FALSE))</f>
        <v>0</v>
      </c>
      <c r="W699" s="52">
        <f>Table5[[#This Row],[posRnk]]+Table5[[#This Row],[zRnk]]+IF($W$3&lt;&gt;Table5[[#This Row],[Type]],50,0)</f>
        <v>745</v>
      </c>
      <c r="X699" s="53">
        <f>RANK(Table5[[#This Row],[zScore]],Table5[[#All],[zScore]])</f>
        <v>695</v>
      </c>
      <c r="Y699" s="52" t="str">
        <f>IFERROR(INDEX(DraftResults[[#All],[OVR]],MATCH(Table5[[#This Row],[PID]],DraftResults[[#All],[Player ID]],0)),"")</f>
        <v/>
      </c>
      <c r="Z6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9" s="52" t="str">
        <f>IFERROR(INDEX(DraftResults[[#All],[Pick in Round]],MATCH(Table5[[#This Row],[PID]],DraftResults[[#All],[Player ID]],0)),"")</f>
        <v/>
      </c>
      <c r="AB699" s="52" t="str">
        <f>IFERROR(INDEX(DraftResults[[#All],[Team Name]],MATCH(Table5[[#This Row],[PID]],DraftResults[[#All],[Player ID]],0)),"")</f>
        <v/>
      </c>
      <c r="AC699" s="52" t="str">
        <f>IF(Table5[[#This Row],[Ovr]]="","",IF(Table5[[#This Row],[cmbList]]="","",Table5[[#This Row],[cmbList]]-Table5[[#This Row],[Ovr]]))</f>
        <v/>
      </c>
      <c r="AD699" s="56" t="str">
        <f>IF(ISERROR(VLOOKUP($AB699&amp;"-"&amp;$E699&amp;" "&amp;F699,Bonuses!$B$1:$G$1006,4,FALSE)),"",INT(VLOOKUP($AB699&amp;"-"&amp;$E699&amp;" "&amp;$F699,Bonuses!$B$1:$G$1006,4,FALSE)))</f>
        <v/>
      </c>
      <c r="AE6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0" spans="1:31" s="52" customFormat="1" x14ac:dyDescent="0.25">
      <c r="A700" s="52">
        <v>8477</v>
      </c>
      <c r="B700" s="52">
        <f>COUNTIF(Table5[PID],A700)</f>
        <v>1</v>
      </c>
      <c r="C700" s="52" t="str">
        <f>IF(COUNTIF(Table3[[#All],[PID]],A700)&gt;0,"P","B")</f>
        <v>P</v>
      </c>
      <c r="D700" s="61" t="str">
        <f>IF($C700="B",INDEX(Batters[[#All],[POS]],MATCH(Table5[[#This Row],[PID]],Batters[[#All],[PID]],0)),INDEX(Table3[[#All],[POS]],MATCH(Table5[[#This Row],[PID]],Table3[[#All],[PID]],0)))</f>
        <v>RP</v>
      </c>
      <c r="E700" s="54" t="str">
        <f>IF($C700="B",INDEX(Batters[[#All],[First]],MATCH(Table5[[#This Row],[PID]],Batters[[#All],[PID]],0)),INDEX(Table3[[#All],[First]],MATCH(Table5[[#This Row],[PID]],Table3[[#All],[PID]],0)))</f>
        <v>Ron</v>
      </c>
      <c r="F700" s="52" t="str">
        <f>IF($C700="B",INDEX(Batters[[#All],[Last]],MATCH(A700,Batters[[#All],[PID]],0)),INDEX(Table3[[#All],[Last]],MATCH(A700,Table3[[#All],[PID]],0)))</f>
        <v>Mills</v>
      </c>
      <c r="G700" s="58">
        <f>IF($C700="B",INDEX(Batters[[#All],[Age]],MATCH(Table5[[#This Row],[PID]],Batters[[#All],[PID]],0)),INDEX(Table3[[#All],[Age]],MATCH(Table5[[#This Row],[PID]],Table3[[#All],[PID]],0)))</f>
        <v>18</v>
      </c>
      <c r="H700" s="54" t="str">
        <f>IF($C700="B",INDEX(Batters[[#All],[B]],MATCH(Table5[[#This Row],[PID]],Batters[[#All],[PID]],0)),INDEX(Table3[[#All],[B]],MATCH(Table5[[#This Row],[PID]],Table3[[#All],[PID]],0)))</f>
        <v>R</v>
      </c>
      <c r="I700" s="54" t="str">
        <f>IF($C700="B",INDEX(Batters[[#All],[T]],MATCH(Table5[[#This Row],[PID]],Batters[[#All],[PID]],0)),INDEX(Table3[[#All],[T]],MATCH(Table5[[#This Row],[PID]],Table3[[#All],[PID]],0)))</f>
        <v>R</v>
      </c>
      <c r="J700" s="54" t="str">
        <f>IF($C700="B",INDEX(Batters[[#All],[WE]],MATCH(Table5[[#This Row],[PID]],Batters[[#All],[PID]],0)),INDEX(Table3[[#All],[WE]],MATCH(Table5[[#This Row],[PID]],Table3[[#All],[PID]],0)))</f>
        <v>Normal</v>
      </c>
      <c r="K700" s="54" t="str">
        <f>IF($C700="B",INDEX(Batters[[#All],[INT]],MATCH(Table5[[#This Row],[PID]],Batters[[#All],[PID]],0)),INDEX(Table3[[#All],[INT]],MATCH(Table5[[#This Row],[PID]],Table3[[#All],[PID]],0)))</f>
        <v>High</v>
      </c>
      <c r="L700" s="62">
        <f>IF($C700="B",INDEX(Batters[[#All],[CON P]],MATCH(Table5[[#This Row],[PID]],Batters[[#All],[PID]],0)),INDEX(Table3[[#All],[STU P]],MATCH(Table5[[#This Row],[PID]],Table3[[#All],[PID]],0)))</f>
        <v>3</v>
      </c>
      <c r="M700" s="58">
        <f>IF($C700="B",INDEX(Batters[[#All],[GAP P]],MATCH(Table5[[#This Row],[PID]],Batters[[#All],[PID]],0)),INDEX(Table3[[#All],[MOV P]],MATCH(Table5[[#This Row],[PID]],Table3[[#All],[PID]],0)))</f>
        <v>2</v>
      </c>
      <c r="N700" s="58">
        <f>IF($C700="B",INDEX(Batters[[#All],[POW P]],MATCH(Table5[[#This Row],[PID]],Batters[[#All],[PID]],0)),INDEX(Table3[[#All],[CON P]],MATCH(Table5[[#This Row],[PID]],Table3[[#All],[PID]],0)))</f>
        <v>2</v>
      </c>
      <c r="O700" s="58" t="str">
        <f>IF($C700="B",INDEX(Batters[[#All],[EYE P]],MATCH(Table5[[#This Row],[PID]],Batters[[#All],[PID]],0)),INDEX(Table3[[#All],[VELO]],MATCH(Table5[[#This Row],[PID]],Table3[[#All],[PID]],0)))</f>
        <v>88-90 Mph</v>
      </c>
      <c r="P700" s="58">
        <f>IF($C700="B",INDEX(Batters[[#All],[K P]],MATCH(Table5[[#This Row],[PID]],Batters[[#All],[PID]],0)),INDEX(Table3[[#All],[STM]],MATCH(Table5[[#This Row],[PID]],Table3[[#All],[PID]],0)))</f>
        <v>2</v>
      </c>
      <c r="Q700" s="63">
        <f>IF($C700="B",INDEX(Batters[[#All],[Tot]],MATCH(Table5[[#This Row],[PID]],Batters[[#All],[PID]],0)),INDEX(Table3[[#All],[Tot]],MATCH(Table5[[#This Row],[PID]],Table3[[#All],[PID]],0)))</f>
        <v>24.612604813732357</v>
      </c>
      <c r="R700" s="54">
        <f>IF($C700="B",INDEX(Batters[[#All],[zScore]],MATCH(Table5[[#This Row],[PID]],Batters[[#All],[PID]],0)),INDEX(Table3[[#All],[zScore]],MATCH(Table5[[#This Row],[PID]],Table3[[#All],[PID]],0)))</f>
        <v>-0.50680561054455242</v>
      </c>
      <c r="S700" s="60" t="str">
        <f>IF($C700="B",INDEX(Batters[[#All],[DEM]],MATCH(Table5[[#This Row],[PID]],Batters[[#All],[PID]],0)),INDEX(Table3[[#All],[DEM]],MATCH(Table5[[#This Row],[PID]],Table3[[#All],[PID]],0)))</f>
        <v>$70k</v>
      </c>
      <c r="T700" s="64">
        <f>IF($C700="B",VLOOKUP($A700,Bat!$A$4:$AU$1417,46,FALSE),VLOOKUP($A700,Pit!$A$4:$BD$570,55,FALSE))</f>
        <v>0</v>
      </c>
      <c r="U700" s="52">
        <f>IF($C700="B",VLOOKUP($A700,Bat!$A$4:$BA$1417,47,FALSE),VLOOKUP($A700,Pit!$A$4:$BF$570,56,FALSE))</f>
        <v>0</v>
      </c>
      <c r="V700" s="52">
        <f>IF($C700="B",VLOOKUP($A700,Bat!$A$4:$BA$1417,48,FALSE),VLOOKUP($A700,Pit!$A$4:$BF$570,57,FALSE))</f>
        <v>0</v>
      </c>
      <c r="W700" s="52">
        <f>Table5[[#This Row],[posRnk]]+Table5[[#This Row],[zRnk]]+IF($W$3&lt;&gt;Table5[[#This Row],[Type]],50,0)</f>
        <v>746</v>
      </c>
      <c r="X700" s="53">
        <f>RANK(Table5[[#This Row],[zScore]],Table5[[#All],[zScore]])</f>
        <v>696</v>
      </c>
      <c r="Y700" s="52" t="str">
        <f>IFERROR(INDEX(DraftResults[[#All],[OVR]],MATCH(Table5[[#This Row],[PID]],DraftResults[[#All],[Player ID]],0)),"")</f>
        <v/>
      </c>
      <c r="Z7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0" s="52" t="str">
        <f>IFERROR(INDEX(DraftResults[[#All],[Pick in Round]],MATCH(Table5[[#This Row],[PID]],DraftResults[[#All],[Player ID]],0)),"")</f>
        <v/>
      </c>
      <c r="AB700" s="52" t="str">
        <f>IFERROR(INDEX(DraftResults[[#All],[Team Name]],MATCH(Table5[[#This Row],[PID]],DraftResults[[#All],[Player ID]],0)),"")</f>
        <v/>
      </c>
      <c r="AC700" s="52" t="str">
        <f>IF(Table5[[#This Row],[Ovr]]="","",IF(Table5[[#This Row],[cmbList]]="","",Table5[[#This Row],[cmbList]]-Table5[[#This Row],[Ovr]]))</f>
        <v/>
      </c>
      <c r="AD700" s="56" t="str">
        <f>IF(ISERROR(VLOOKUP($AB700&amp;"-"&amp;$E700&amp;" "&amp;F700,Bonuses!$B$1:$G$1006,4,FALSE)),"",INT(VLOOKUP($AB700&amp;"-"&amp;$E700&amp;" "&amp;$F700,Bonuses!$B$1:$G$1006,4,FALSE)))</f>
        <v/>
      </c>
      <c r="AE7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1" spans="1:31" s="52" customFormat="1" x14ac:dyDescent="0.25">
      <c r="A701" s="52">
        <v>7597</v>
      </c>
      <c r="B701" s="57">
        <f>COUNTIF(Table5[PID],A701)</f>
        <v>1</v>
      </c>
      <c r="C701" s="57" t="str">
        <f>IF(COUNTIF(Table3[[#All],[PID]],A701)&gt;0,"P","B")</f>
        <v>B</v>
      </c>
      <c r="D701" s="61" t="str">
        <f>IF($C701="B",INDEX(Batters[[#All],[POS]],MATCH(Table5[[#This Row],[PID]],Batters[[#All],[PID]],0)),INDEX(Table3[[#All],[POS]],MATCH(Table5[[#This Row],[PID]],Table3[[#All],[PID]],0)))</f>
        <v>SS</v>
      </c>
      <c r="E701" s="54" t="str">
        <f>IF($C701="B",INDEX(Batters[[#All],[First]],MATCH(Table5[[#This Row],[PID]],Batters[[#All],[PID]],0)),INDEX(Table3[[#All],[First]],MATCH(Table5[[#This Row],[PID]],Table3[[#All],[PID]],0)))</f>
        <v>Carlos</v>
      </c>
      <c r="F701" s="52" t="str">
        <f>IF($C701="B",INDEX(Batters[[#All],[Last]],MATCH(A701,Batters[[#All],[PID]],0)),INDEX(Table3[[#All],[Last]],MATCH(A701,Table3[[#All],[PID]],0)))</f>
        <v>Martínez</v>
      </c>
      <c r="G701" s="58">
        <f>IF($C701="B",INDEX(Batters[[#All],[Age]],MATCH(Table5[[#This Row],[PID]],Batters[[#All],[PID]],0)),INDEX(Table3[[#All],[Age]],MATCH(Table5[[#This Row],[PID]],Table3[[#All],[PID]],0)))</f>
        <v>18</v>
      </c>
      <c r="H701" s="54" t="str">
        <f>IF($C701="B",INDEX(Batters[[#All],[B]],MATCH(Table5[[#This Row],[PID]],Batters[[#All],[PID]],0)),INDEX(Table3[[#All],[B]],MATCH(Table5[[#This Row],[PID]],Table3[[#All],[PID]],0)))</f>
        <v>R</v>
      </c>
      <c r="I701" s="54" t="str">
        <f>IF($C701="B",INDEX(Batters[[#All],[T]],MATCH(Table5[[#This Row],[PID]],Batters[[#All],[PID]],0)),INDEX(Table3[[#All],[T]],MATCH(Table5[[#This Row],[PID]],Table3[[#All],[PID]],0)))</f>
        <v>R</v>
      </c>
      <c r="J701" s="54" t="str">
        <f>IF($C701="B",INDEX(Batters[[#All],[WE]],MATCH(Table5[[#This Row],[PID]],Batters[[#All],[PID]],0)),INDEX(Table3[[#All],[WE]],MATCH(Table5[[#This Row],[PID]],Table3[[#All],[PID]],0)))</f>
        <v>High</v>
      </c>
      <c r="K701" s="54" t="str">
        <f>IF($C701="B",INDEX(Batters[[#All],[INT]],MATCH(Table5[[#This Row],[PID]],Batters[[#All],[PID]],0)),INDEX(Table3[[#All],[INT]],MATCH(Table5[[#This Row],[PID]],Table3[[#All],[PID]],0)))</f>
        <v>Normal</v>
      </c>
      <c r="L701" s="62">
        <f>IF($C701="B",INDEX(Batters[[#All],[CON P]],MATCH(Table5[[#This Row],[PID]],Batters[[#All],[PID]],0)),INDEX(Table3[[#All],[STU P]],MATCH(Table5[[#This Row],[PID]],Table3[[#All],[PID]],0)))</f>
        <v>2</v>
      </c>
      <c r="M701" s="58">
        <f>IF($C701="B",INDEX(Batters[[#All],[GAP P]],MATCH(Table5[[#This Row],[PID]],Batters[[#All],[PID]],0)),INDEX(Table3[[#All],[MOV P]],MATCH(Table5[[#This Row],[PID]],Table3[[#All],[PID]],0)))</f>
        <v>3</v>
      </c>
      <c r="N701" s="58">
        <f>IF($C701="B",INDEX(Batters[[#All],[POW P]],MATCH(Table5[[#This Row],[PID]],Batters[[#All],[PID]],0)),INDEX(Table3[[#All],[CON P]],MATCH(Table5[[#This Row],[PID]],Table3[[#All],[PID]],0)))</f>
        <v>3</v>
      </c>
      <c r="O701" s="58">
        <f>IF($C701="B",INDEX(Batters[[#All],[EYE P]],MATCH(Table5[[#This Row],[PID]],Batters[[#All],[PID]],0)),INDEX(Table3[[#All],[VELO]],MATCH(Table5[[#This Row],[PID]],Table3[[#All],[PID]],0)))</f>
        <v>5</v>
      </c>
      <c r="P701" s="58">
        <f>IF($C701="B",INDEX(Batters[[#All],[K P]],MATCH(Table5[[#This Row],[PID]],Batters[[#All],[PID]],0)),INDEX(Table3[[#All],[STM]],MATCH(Table5[[#This Row],[PID]],Table3[[#All],[PID]],0)))</f>
        <v>3</v>
      </c>
      <c r="Q701" s="63">
        <f>IF($C701="B",INDEX(Batters[[#All],[Tot]],MATCH(Table5[[#This Row],[PID]],Batters[[#All],[PID]],0)),INDEX(Table3[[#All],[Tot]],MATCH(Table5[[#This Row],[PID]],Table3[[#All],[PID]],0)))</f>
        <v>37.452756129414233</v>
      </c>
      <c r="R701" s="54">
        <f>IF($C701="B",INDEX(Batters[[#All],[zScore]],MATCH(Table5[[#This Row],[PID]],Batters[[#All],[PID]],0)),INDEX(Table3[[#All],[zScore]],MATCH(Table5[[#This Row],[PID]],Table3[[#All],[PID]],0)))</f>
        <v>-0.50944243738552486</v>
      </c>
      <c r="S701" s="60" t="str">
        <f>IF($C701="B",INDEX(Batters[[#All],[DEM]],MATCH(Table5[[#This Row],[PID]],Batters[[#All],[PID]],0)),INDEX(Table3[[#All],[DEM]],MATCH(Table5[[#This Row],[PID]],Table3[[#All],[PID]],0)))</f>
        <v>$65k</v>
      </c>
      <c r="T701" s="64">
        <f>IF($C701="B",VLOOKUP($A701,Bat!$A$4:$AU$1417,46,FALSE),VLOOKUP($A701,Pit!$A$4:$BD$570,55,FALSE))</f>
        <v>0</v>
      </c>
      <c r="U701" s="52">
        <f>IF($C701="B",VLOOKUP($A701,Bat!$A$4:$BA$1417,47,FALSE),VLOOKUP($A701,Pit!$A$4:$BF$570,56,FALSE))</f>
        <v>0</v>
      </c>
      <c r="V701" s="52">
        <f>IF($C701="B",VLOOKUP($A701,Bat!$A$4:$BA$1417,48,FALSE),VLOOKUP($A701,Pit!$A$4:$BF$570,57,FALSE))</f>
        <v>0</v>
      </c>
      <c r="W701" s="52">
        <f>Table5[[#This Row],[posRnk]]+Table5[[#This Row],[zRnk]]+IF($W$3&lt;&gt;Table5[[#This Row],[Type]],50,0)</f>
        <v>747</v>
      </c>
      <c r="X701" s="53">
        <f>RANK(Table5[[#This Row],[zScore]],Table5[[#All],[zScore]])</f>
        <v>697</v>
      </c>
      <c r="Y701" s="52" t="str">
        <f>IFERROR(INDEX(DraftResults[[#All],[OVR]],MATCH(Table5[[#This Row],[PID]],DraftResults[[#All],[Player ID]],0)),"")</f>
        <v/>
      </c>
      <c r="Z7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1" s="52" t="str">
        <f>IFERROR(INDEX(DraftResults[[#All],[Pick in Round]],MATCH(Table5[[#This Row],[PID]],DraftResults[[#All],[Player ID]],0)),"")</f>
        <v/>
      </c>
      <c r="AB701" s="52" t="str">
        <f>IFERROR(INDEX(DraftResults[[#All],[Team Name]],MATCH(Table5[[#This Row],[PID]],DraftResults[[#All],[Player ID]],0)),"")</f>
        <v/>
      </c>
      <c r="AC701" s="52" t="str">
        <f>IF(Table5[[#This Row],[Ovr]]="","",IF(Table5[[#This Row],[cmbList]]="","",Table5[[#This Row],[cmbList]]-Table5[[#This Row],[Ovr]]))</f>
        <v/>
      </c>
      <c r="AD701" s="56" t="str">
        <f>IF(ISERROR(VLOOKUP($AB701&amp;"-"&amp;$E701&amp;" "&amp;F701,Bonuses!$B$1:$G$1006,4,FALSE)),"",INT(VLOOKUP($AB701&amp;"-"&amp;$E701&amp;" "&amp;$F701,Bonuses!$B$1:$G$1006,4,FALSE)))</f>
        <v/>
      </c>
      <c r="AE7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2" spans="1:31" s="52" customFormat="1" x14ac:dyDescent="0.25">
      <c r="A702" s="52">
        <v>6465</v>
      </c>
      <c r="B702" s="52">
        <f>COUNTIF(Table5[PID],A702)</f>
        <v>1</v>
      </c>
      <c r="C702" s="52" t="str">
        <f>IF(COUNTIF(Table3[[#All],[PID]],A702)&gt;0,"P","B")</f>
        <v>P</v>
      </c>
      <c r="D702" s="61" t="str">
        <f>IF($C702="B",INDEX(Batters[[#All],[POS]],MATCH(Table5[[#This Row],[PID]],Batters[[#All],[PID]],0)),INDEX(Table3[[#All],[POS]],MATCH(Table5[[#This Row],[PID]],Table3[[#All],[PID]],0)))</f>
        <v>RP</v>
      </c>
      <c r="E702" s="54" t="str">
        <f>IF($C702="B",INDEX(Batters[[#All],[First]],MATCH(Table5[[#This Row],[PID]],Batters[[#All],[PID]],0)),INDEX(Table3[[#All],[First]],MATCH(Table5[[#This Row],[PID]],Table3[[#All],[PID]],0)))</f>
        <v>Rubén</v>
      </c>
      <c r="F702" s="52" t="str">
        <f>IF($C702="B",INDEX(Batters[[#All],[Last]],MATCH(A702,Batters[[#All],[PID]],0)),INDEX(Table3[[#All],[Last]],MATCH(A702,Table3[[#All],[PID]],0)))</f>
        <v>Pérez</v>
      </c>
      <c r="G702" s="58">
        <f>IF($C702="B",INDEX(Batters[[#All],[Age]],MATCH(Table5[[#This Row],[PID]],Batters[[#All],[PID]],0)),INDEX(Table3[[#All],[Age]],MATCH(Table5[[#This Row],[PID]],Table3[[#All],[PID]],0)))</f>
        <v>18</v>
      </c>
      <c r="H702" s="54" t="str">
        <f>IF($C702="B",INDEX(Batters[[#All],[B]],MATCH(Table5[[#This Row],[PID]],Batters[[#All],[PID]],0)),INDEX(Table3[[#All],[B]],MATCH(Table5[[#This Row],[PID]],Table3[[#All],[PID]],0)))</f>
        <v>L</v>
      </c>
      <c r="I702" s="54" t="str">
        <f>IF($C702="B",INDEX(Batters[[#All],[T]],MATCH(Table5[[#This Row],[PID]],Batters[[#All],[PID]],0)),INDEX(Table3[[#All],[T]],MATCH(Table5[[#This Row],[PID]],Table3[[#All],[PID]],0)))</f>
        <v>L</v>
      </c>
      <c r="J702" s="54" t="str">
        <f>IF($C702="B",INDEX(Batters[[#All],[WE]],MATCH(Table5[[#This Row],[PID]],Batters[[#All],[PID]],0)),INDEX(Table3[[#All],[WE]],MATCH(Table5[[#This Row],[PID]],Table3[[#All],[PID]],0)))</f>
        <v>Low</v>
      </c>
      <c r="K702" s="54" t="str">
        <f>IF($C702="B",INDEX(Batters[[#All],[INT]],MATCH(Table5[[#This Row],[PID]],Batters[[#All],[PID]],0)),INDEX(Table3[[#All],[INT]],MATCH(Table5[[#This Row],[PID]],Table3[[#All],[PID]],0)))</f>
        <v>High</v>
      </c>
      <c r="L702" s="62">
        <f>IF($C702="B",INDEX(Batters[[#All],[CON P]],MATCH(Table5[[#This Row],[PID]],Batters[[#All],[PID]],0)),INDEX(Table3[[#All],[STU P]],MATCH(Table5[[#This Row],[PID]],Table3[[#All],[PID]],0)))</f>
        <v>2</v>
      </c>
      <c r="M702" s="58">
        <f>IF($C702="B",INDEX(Batters[[#All],[GAP P]],MATCH(Table5[[#This Row],[PID]],Batters[[#All],[PID]],0)),INDEX(Table3[[#All],[MOV P]],MATCH(Table5[[#This Row],[PID]],Table3[[#All],[PID]],0)))</f>
        <v>2</v>
      </c>
      <c r="N702" s="58">
        <f>IF($C702="B",INDEX(Batters[[#All],[POW P]],MATCH(Table5[[#This Row],[PID]],Batters[[#All],[PID]],0)),INDEX(Table3[[#All],[CON P]],MATCH(Table5[[#This Row],[PID]],Table3[[#All],[PID]],0)))</f>
        <v>2</v>
      </c>
      <c r="O702" s="58" t="str">
        <f>IF($C702="B",INDEX(Batters[[#All],[EYE P]],MATCH(Table5[[#This Row],[PID]],Batters[[#All],[PID]],0)),INDEX(Table3[[#All],[VELO]],MATCH(Table5[[#This Row],[PID]],Table3[[#All],[PID]],0)))</f>
        <v>83-85 Mph</v>
      </c>
      <c r="P702" s="58">
        <f>IF($C702="B",INDEX(Batters[[#All],[K P]],MATCH(Table5[[#This Row],[PID]],Batters[[#All],[PID]],0)),INDEX(Table3[[#All],[STM]],MATCH(Table5[[#This Row],[PID]],Table3[[#All],[PID]],0)))</f>
        <v>9</v>
      </c>
      <c r="Q702" s="63">
        <f>IF($C702="B",INDEX(Batters[[#All],[Tot]],MATCH(Table5[[#This Row],[PID]],Batters[[#All],[PID]],0)),INDEX(Table3[[#All],[Tot]],MATCH(Table5[[#This Row],[PID]],Table3[[#All],[PID]],0)))</f>
        <v>24.575084701853875</v>
      </c>
      <c r="R702" s="54">
        <f>IF($C702="B",INDEX(Batters[[#All],[zScore]],MATCH(Table5[[#This Row],[PID]],Batters[[#All],[PID]],0)),INDEX(Table3[[#All],[zScore]],MATCH(Table5[[#This Row],[PID]],Table3[[#All],[PID]],0)))</f>
        <v>-0.5100939707647969</v>
      </c>
      <c r="S702" s="60" t="str">
        <f>IF($C702="B",INDEX(Batters[[#All],[DEM]],MATCH(Table5[[#This Row],[PID]],Batters[[#All],[PID]],0)),INDEX(Table3[[#All],[DEM]],MATCH(Table5[[#This Row],[PID]],Table3[[#All],[PID]],0)))</f>
        <v>$130k</v>
      </c>
      <c r="T702" s="64">
        <f>IF($C702="B",VLOOKUP($A702,Bat!$A$4:$AU$1417,46,FALSE),VLOOKUP($A702,Pit!$A$4:$BD$570,55,FALSE))</f>
        <v>0</v>
      </c>
      <c r="U702" s="52">
        <f>IF($C702="B",VLOOKUP($A702,Bat!$A$4:$BA$1417,47,FALSE),VLOOKUP($A702,Pit!$A$4:$BF$570,56,FALSE))</f>
        <v>0</v>
      </c>
      <c r="V702" s="52">
        <f>IF($C702="B",VLOOKUP($A702,Bat!$A$4:$BA$1417,48,FALSE),VLOOKUP($A702,Pit!$A$4:$BF$570,57,FALSE))</f>
        <v>0</v>
      </c>
      <c r="W702" s="52">
        <f>Table5[[#This Row],[posRnk]]+Table5[[#This Row],[zRnk]]+IF($W$3&lt;&gt;Table5[[#This Row],[Type]],50,0)</f>
        <v>748</v>
      </c>
      <c r="X702" s="53">
        <f>RANK(Table5[[#This Row],[zScore]],Table5[[#All],[zScore]])</f>
        <v>698</v>
      </c>
      <c r="Y702" s="52" t="str">
        <f>IFERROR(INDEX(DraftResults[[#All],[OVR]],MATCH(Table5[[#This Row],[PID]],DraftResults[[#All],[Player ID]],0)),"")</f>
        <v/>
      </c>
      <c r="Z7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2" s="52" t="str">
        <f>IFERROR(INDEX(DraftResults[[#All],[Pick in Round]],MATCH(Table5[[#This Row],[PID]],DraftResults[[#All],[Player ID]],0)),"")</f>
        <v/>
      </c>
      <c r="AB702" s="52" t="str">
        <f>IFERROR(INDEX(DraftResults[[#All],[Team Name]],MATCH(Table5[[#This Row],[PID]],DraftResults[[#All],[Player ID]],0)),"")</f>
        <v/>
      </c>
      <c r="AC702" s="52" t="str">
        <f>IF(Table5[[#This Row],[Ovr]]="","",IF(Table5[[#This Row],[cmbList]]="","",Table5[[#This Row],[cmbList]]-Table5[[#This Row],[Ovr]]))</f>
        <v/>
      </c>
      <c r="AD702" s="56" t="str">
        <f>IF(ISERROR(VLOOKUP($AB702&amp;"-"&amp;$E702&amp;" "&amp;F702,Bonuses!$B$1:$G$1006,4,FALSE)),"",INT(VLOOKUP($AB702&amp;"-"&amp;$E702&amp;" "&amp;$F702,Bonuses!$B$1:$G$1006,4,FALSE)))</f>
        <v/>
      </c>
      <c r="AE7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3" spans="1:31" s="52" customFormat="1" x14ac:dyDescent="0.25">
      <c r="A703" s="52">
        <v>6314</v>
      </c>
      <c r="B703" s="52">
        <f>COUNTIF(Table5[PID],A703)</f>
        <v>1</v>
      </c>
      <c r="C703" s="52" t="str">
        <f>IF(COUNTIF(Table3[[#All],[PID]],A703)&gt;0,"P","B")</f>
        <v>P</v>
      </c>
      <c r="D703" s="61" t="str">
        <f>IF($C703="B",INDEX(Batters[[#All],[POS]],MATCH(Table5[[#This Row],[PID]],Batters[[#All],[PID]],0)),INDEX(Table3[[#All],[POS]],MATCH(Table5[[#This Row],[PID]],Table3[[#All],[PID]],0)))</f>
        <v>RP</v>
      </c>
      <c r="E703" s="54" t="str">
        <f>IF($C703="B",INDEX(Batters[[#All],[First]],MATCH(Table5[[#This Row],[PID]],Batters[[#All],[PID]],0)),INDEX(Table3[[#All],[First]],MATCH(Table5[[#This Row],[PID]],Table3[[#All],[PID]],0)))</f>
        <v>Chris</v>
      </c>
      <c r="F703" s="52" t="str">
        <f>IF($C703="B",INDEX(Batters[[#All],[Last]],MATCH(A703,Batters[[#All],[PID]],0)),INDEX(Table3[[#All],[Last]],MATCH(A703,Table3[[#All],[PID]],0)))</f>
        <v>Kop</v>
      </c>
      <c r="G703" s="58">
        <f>IF($C703="B",INDEX(Batters[[#All],[Age]],MATCH(Table5[[#This Row],[PID]],Batters[[#All],[PID]],0)),INDEX(Table3[[#All],[Age]],MATCH(Table5[[#This Row],[PID]],Table3[[#All],[PID]],0)))</f>
        <v>18</v>
      </c>
      <c r="H703" s="54" t="str">
        <f>IF($C703="B",INDEX(Batters[[#All],[B]],MATCH(Table5[[#This Row],[PID]],Batters[[#All],[PID]],0)),INDEX(Table3[[#All],[B]],MATCH(Table5[[#This Row],[PID]],Table3[[#All],[PID]],0)))</f>
        <v>L</v>
      </c>
      <c r="I703" s="54" t="str">
        <f>IF($C703="B",INDEX(Batters[[#All],[T]],MATCH(Table5[[#This Row],[PID]],Batters[[#All],[PID]],0)),INDEX(Table3[[#All],[T]],MATCH(Table5[[#This Row],[PID]],Table3[[#All],[PID]],0)))</f>
        <v>L</v>
      </c>
      <c r="J703" s="54" t="str">
        <f>IF($C703="B",INDEX(Batters[[#All],[WE]],MATCH(Table5[[#This Row],[PID]],Batters[[#All],[PID]],0)),INDEX(Table3[[#All],[WE]],MATCH(Table5[[#This Row],[PID]],Table3[[#All],[PID]],0)))</f>
        <v>Low</v>
      </c>
      <c r="K703" s="54" t="str">
        <f>IF($C703="B",INDEX(Batters[[#All],[INT]],MATCH(Table5[[#This Row],[PID]],Batters[[#All],[PID]],0)),INDEX(Table3[[#All],[INT]],MATCH(Table5[[#This Row],[PID]],Table3[[#All],[PID]],0)))</f>
        <v>Normal</v>
      </c>
      <c r="L703" s="62">
        <f>IF($C703="B",INDEX(Batters[[#All],[CON P]],MATCH(Table5[[#This Row],[PID]],Batters[[#All],[PID]],0)),INDEX(Table3[[#All],[STU P]],MATCH(Table5[[#This Row],[PID]],Table3[[#All],[PID]],0)))</f>
        <v>4</v>
      </c>
      <c r="M703" s="58">
        <f>IF($C703="B",INDEX(Batters[[#All],[GAP P]],MATCH(Table5[[#This Row],[PID]],Batters[[#All],[PID]],0)),INDEX(Table3[[#All],[MOV P]],MATCH(Table5[[#This Row],[PID]],Table3[[#All],[PID]],0)))</f>
        <v>2</v>
      </c>
      <c r="N703" s="58">
        <f>IF($C703="B",INDEX(Batters[[#All],[POW P]],MATCH(Table5[[#This Row],[PID]],Batters[[#All],[PID]],0)),INDEX(Table3[[#All],[CON P]],MATCH(Table5[[#This Row],[PID]],Table3[[#All],[PID]],0)))</f>
        <v>1</v>
      </c>
      <c r="O703" s="58" t="str">
        <f>IF($C703="B",INDEX(Batters[[#All],[EYE P]],MATCH(Table5[[#This Row],[PID]],Batters[[#All],[PID]],0)),INDEX(Table3[[#All],[VELO]],MATCH(Table5[[#This Row],[PID]],Table3[[#All],[PID]],0)))</f>
        <v>84-86 Mph</v>
      </c>
      <c r="P703" s="58">
        <f>IF($C703="B",INDEX(Batters[[#All],[K P]],MATCH(Table5[[#This Row],[PID]],Batters[[#All],[PID]],0)),INDEX(Table3[[#All],[STM]],MATCH(Table5[[#This Row],[PID]],Table3[[#All],[PID]],0)))</f>
        <v>8</v>
      </c>
      <c r="Q703" s="63">
        <f>IF($C703="B",INDEX(Batters[[#All],[Tot]],MATCH(Table5[[#This Row],[PID]],Batters[[#All],[PID]],0)),INDEX(Table3[[#All],[Tot]],MATCH(Table5[[#This Row],[PID]],Table3[[#All],[PID]],0)))</f>
        <v>27.147202195210138</v>
      </c>
      <c r="R703" s="54">
        <f>IF($C703="B",INDEX(Batters[[#All],[zScore]],MATCH(Table5[[#This Row],[PID]],Batters[[#All],[PID]],0)),INDEX(Table3[[#All],[zScore]],MATCH(Table5[[#This Row],[PID]],Table3[[#All],[PID]],0)))</f>
        <v>-0.5112557902754199</v>
      </c>
      <c r="S703" s="60" t="str">
        <f>IF($C703="B",INDEX(Batters[[#All],[DEM]],MATCH(Table5[[#This Row],[PID]],Batters[[#All],[PID]],0)),INDEX(Table3[[#All],[DEM]],MATCH(Table5[[#This Row],[PID]],Table3[[#All],[PID]],0)))</f>
        <v>$65k</v>
      </c>
      <c r="T703" s="64">
        <f>IF($C703="B",VLOOKUP($A703,Bat!$A$4:$AU$1417,46,FALSE),VLOOKUP($A703,Pit!$A$4:$BD$570,55,FALSE))</f>
        <v>0</v>
      </c>
      <c r="U703" s="52">
        <f>IF($C703="B",VLOOKUP($A703,Bat!$A$4:$BA$1417,47,FALSE),VLOOKUP($A703,Pit!$A$4:$BF$570,56,FALSE))</f>
        <v>0</v>
      </c>
      <c r="V703" s="52">
        <f>IF($C703="B",VLOOKUP($A703,Bat!$A$4:$BA$1417,48,FALSE),VLOOKUP($A703,Pit!$A$4:$BF$570,57,FALSE))</f>
        <v>0</v>
      </c>
      <c r="W703" s="52">
        <f>Table5[[#This Row],[posRnk]]+Table5[[#This Row],[zRnk]]+IF($W$3&lt;&gt;Table5[[#This Row],[Type]],50,0)</f>
        <v>749</v>
      </c>
      <c r="X703" s="53">
        <f>RANK(Table5[[#This Row],[zScore]],Table5[[#All],[zScore]])</f>
        <v>699</v>
      </c>
      <c r="Y703" s="52" t="str">
        <f>IFERROR(INDEX(DraftResults[[#All],[OVR]],MATCH(Table5[[#This Row],[PID]],DraftResults[[#All],[Player ID]],0)),"")</f>
        <v/>
      </c>
      <c r="Z7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3" s="52" t="str">
        <f>IFERROR(INDEX(DraftResults[[#All],[Pick in Round]],MATCH(Table5[[#This Row],[PID]],DraftResults[[#All],[Player ID]],0)),"")</f>
        <v/>
      </c>
      <c r="AB703" s="52" t="str">
        <f>IFERROR(INDEX(DraftResults[[#All],[Team Name]],MATCH(Table5[[#This Row],[PID]],DraftResults[[#All],[Player ID]],0)),"")</f>
        <v/>
      </c>
      <c r="AC703" s="52" t="str">
        <f>IF(Table5[[#This Row],[Ovr]]="","",IF(Table5[[#This Row],[cmbList]]="","",Table5[[#This Row],[cmbList]]-Table5[[#This Row],[Ovr]]))</f>
        <v/>
      </c>
      <c r="AD703" s="56" t="str">
        <f>IF(ISERROR(VLOOKUP($AB703&amp;"-"&amp;$E703&amp;" "&amp;F703,Bonuses!$B$1:$G$1006,4,FALSE)),"",INT(VLOOKUP($AB703&amp;"-"&amp;$E703&amp;" "&amp;$F703,Bonuses!$B$1:$G$1006,4,FALSE)))</f>
        <v/>
      </c>
      <c r="AE7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4" spans="1:31" s="52" customFormat="1" x14ac:dyDescent="0.25">
      <c r="A704" s="52">
        <v>7268</v>
      </c>
      <c r="B704" s="52">
        <f>COUNTIF(Table5[PID],A704)</f>
        <v>1</v>
      </c>
      <c r="C704" s="52" t="str">
        <f>IF(COUNTIF(Table3[[#All],[PID]],A704)&gt;0,"P","B")</f>
        <v>P</v>
      </c>
      <c r="D704" s="61" t="str">
        <f>IF($C704="B",INDEX(Batters[[#All],[POS]],MATCH(Table5[[#This Row],[PID]],Batters[[#All],[PID]],0)),INDEX(Table3[[#All],[POS]],MATCH(Table5[[#This Row],[PID]],Table3[[#All],[PID]],0)))</f>
        <v>RP</v>
      </c>
      <c r="E704" s="54" t="str">
        <f>IF($C704="B",INDEX(Batters[[#All],[First]],MATCH(Table5[[#This Row],[PID]],Batters[[#All],[PID]],0)),INDEX(Table3[[#All],[First]],MATCH(Table5[[#This Row],[PID]],Table3[[#All],[PID]],0)))</f>
        <v>Jay</v>
      </c>
      <c r="F704" s="52" t="str">
        <f>IF($C704="B",INDEX(Batters[[#All],[Last]],MATCH(A704,Batters[[#All],[PID]],0)),INDEX(Table3[[#All],[Last]],MATCH(A704,Table3[[#All],[PID]],0)))</f>
        <v>Tomsett</v>
      </c>
      <c r="G704" s="58">
        <f>IF($C704="B",INDEX(Batters[[#All],[Age]],MATCH(Table5[[#This Row],[PID]],Batters[[#All],[PID]],0)),INDEX(Table3[[#All],[Age]],MATCH(Table5[[#This Row],[PID]],Table3[[#All],[PID]],0)))</f>
        <v>21</v>
      </c>
      <c r="H704" s="54" t="str">
        <f>IF($C704="B",INDEX(Batters[[#All],[B]],MATCH(Table5[[#This Row],[PID]],Batters[[#All],[PID]],0)),INDEX(Table3[[#All],[B]],MATCH(Table5[[#This Row],[PID]],Table3[[#All],[PID]],0)))</f>
        <v>L</v>
      </c>
      <c r="I704" s="54" t="str">
        <f>IF($C704="B",INDEX(Batters[[#All],[T]],MATCH(Table5[[#This Row],[PID]],Batters[[#All],[PID]],0)),INDEX(Table3[[#All],[T]],MATCH(Table5[[#This Row],[PID]],Table3[[#All],[PID]],0)))</f>
        <v>R</v>
      </c>
      <c r="J704" s="54" t="str">
        <f>IF($C704="B",INDEX(Batters[[#All],[WE]],MATCH(Table5[[#This Row],[PID]],Batters[[#All],[PID]],0)),INDEX(Table3[[#All],[WE]],MATCH(Table5[[#This Row],[PID]],Table3[[#All],[PID]],0)))</f>
        <v>Low</v>
      </c>
      <c r="K704" s="54" t="str">
        <f>IF($C704="B",INDEX(Batters[[#All],[INT]],MATCH(Table5[[#This Row],[PID]],Batters[[#All],[PID]],0)),INDEX(Table3[[#All],[INT]],MATCH(Table5[[#This Row],[PID]],Table3[[#All],[PID]],0)))</f>
        <v>Normal</v>
      </c>
      <c r="L704" s="62">
        <f>IF($C704="B",INDEX(Batters[[#All],[CON P]],MATCH(Table5[[#This Row],[PID]],Batters[[#All],[PID]],0)),INDEX(Table3[[#All],[STU P]],MATCH(Table5[[#This Row],[PID]],Table3[[#All],[PID]],0)))</f>
        <v>3</v>
      </c>
      <c r="M704" s="58">
        <f>IF($C704="B",INDEX(Batters[[#All],[GAP P]],MATCH(Table5[[#This Row],[PID]],Batters[[#All],[PID]],0)),INDEX(Table3[[#All],[MOV P]],MATCH(Table5[[#This Row],[PID]],Table3[[#All],[PID]],0)))</f>
        <v>2</v>
      </c>
      <c r="N704" s="58">
        <f>IF($C704="B",INDEX(Batters[[#All],[POW P]],MATCH(Table5[[#This Row],[PID]],Batters[[#All],[PID]],0)),INDEX(Table3[[#All],[CON P]],MATCH(Table5[[#This Row],[PID]],Table3[[#All],[PID]],0)))</f>
        <v>3</v>
      </c>
      <c r="O704" s="58" t="str">
        <f>IF($C704="B",INDEX(Batters[[#All],[EYE P]],MATCH(Table5[[#This Row],[PID]],Batters[[#All],[PID]],0)),INDEX(Table3[[#All],[VELO]],MATCH(Table5[[#This Row],[PID]],Table3[[#All],[PID]],0)))</f>
        <v>87-89 Mph</v>
      </c>
      <c r="P704" s="58">
        <f>IF($C704="B",INDEX(Batters[[#All],[K P]],MATCH(Table5[[#This Row],[PID]],Batters[[#All],[PID]],0)),INDEX(Table3[[#All],[STM]],MATCH(Table5[[#This Row],[PID]],Table3[[#All],[PID]],0)))</f>
        <v>9</v>
      </c>
      <c r="Q704" s="63">
        <f>IF($C704="B",INDEX(Batters[[#All],[Tot]],MATCH(Table5[[#This Row],[PID]],Batters[[#All],[PID]],0)),INDEX(Table3[[#All],[Tot]],MATCH(Table5[[#This Row],[PID]],Table3[[#All],[PID]],0)))</f>
        <v>24.555512080327087</v>
      </c>
      <c r="R704" s="54">
        <f>IF($C704="B",INDEX(Batters[[#All],[zScore]],MATCH(Table5[[#This Row],[PID]],Batters[[#All],[PID]],0)),INDEX(Table3[[#All],[zScore]],MATCH(Table5[[#This Row],[PID]],Table3[[#All],[PID]],0)))</f>
        <v>-0.51180936623704487</v>
      </c>
      <c r="S704" s="60" t="str">
        <f>IF($C704="B",INDEX(Batters[[#All],[DEM]],MATCH(Table5[[#This Row],[PID]],Batters[[#All],[PID]],0)),INDEX(Table3[[#All],[DEM]],MATCH(Table5[[#This Row],[PID]],Table3[[#All],[PID]],0)))</f>
        <v>-</v>
      </c>
      <c r="T704" s="64">
        <f>IF($C704="B",VLOOKUP($A704,Bat!$A$4:$AU$1417,46,FALSE),VLOOKUP($A704,Pit!$A$4:$BD$570,55,FALSE))</f>
        <v>0</v>
      </c>
      <c r="U704" s="52">
        <f>IF($C704="B",VLOOKUP($A704,Bat!$A$4:$BA$1417,47,FALSE),VLOOKUP($A704,Pit!$A$4:$BF$570,56,FALSE))</f>
        <v>0</v>
      </c>
      <c r="V704" s="52">
        <f>IF($C704="B",VLOOKUP($A704,Bat!$A$4:$BA$1417,48,FALSE),VLOOKUP($A704,Pit!$A$4:$BF$570,57,FALSE))</f>
        <v>0</v>
      </c>
      <c r="W704" s="52">
        <f>Table5[[#This Row],[posRnk]]+Table5[[#This Row],[zRnk]]+IF($W$3&lt;&gt;Table5[[#This Row],[Type]],50,0)</f>
        <v>750</v>
      </c>
      <c r="X704" s="53">
        <f>RANK(Table5[[#This Row],[zScore]],Table5[[#All],[zScore]])</f>
        <v>700</v>
      </c>
      <c r="Y704" s="52" t="str">
        <f>IFERROR(INDEX(DraftResults[[#All],[OVR]],MATCH(Table5[[#This Row],[PID]],DraftResults[[#All],[Player ID]],0)),"")</f>
        <v/>
      </c>
      <c r="Z7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4" s="52" t="str">
        <f>IFERROR(INDEX(DraftResults[[#All],[Pick in Round]],MATCH(Table5[[#This Row],[PID]],DraftResults[[#All],[Player ID]],0)),"")</f>
        <v/>
      </c>
      <c r="AB704" s="52" t="str">
        <f>IFERROR(INDEX(DraftResults[[#All],[Team Name]],MATCH(Table5[[#This Row],[PID]],DraftResults[[#All],[Player ID]],0)),"")</f>
        <v/>
      </c>
      <c r="AC704" s="52" t="str">
        <f>IF(Table5[[#This Row],[Ovr]]="","",IF(Table5[[#This Row],[cmbList]]="","",Table5[[#This Row],[cmbList]]-Table5[[#This Row],[Ovr]]))</f>
        <v/>
      </c>
      <c r="AD704" s="56" t="str">
        <f>IF(ISERROR(VLOOKUP($AB704&amp;"-"&amp;$E704&amp;" "&amp;F704,Bonuses!$B$1:$G$1006,4,FALSE)),"",INT(VLOOKUP($AB704&amp;"-"&amp;$E704&amp;" "&amp;$F704,Bonuses!$B$1:$G$1006,4,FALSE)))</f>
        <v/>
      </c>
      <c r="AE7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5" spans="1:31" s="52" customFormat="1" x14ac:dyDescent="0.25">
      <c r="A705" s="52">
        <v>13307</v>
      </c>
      <c r="B705" s="52">
        <f>COUNTIF(Table5[PID],A705)</f>
        <v>1</v>
      </c>
      <c r="C705" s="52" t="str">
        <f>IF(COUNTIF(Table3[[#All],[PID]],A705)&gt;0,"P","B")</f>
        <v>P</v>
      </c>
      <c r="D705" s="61" t="str">
        <f>IF($C705="B",INDEX(Batters[[#All],[POS]],MATCH(Table5[[#This Row],[PID]],Batters[[#All],[PID]],0)),INDEX(Table3[[#All],[POS]],MATCH(Table5[[#This Row],[PID]],Table3[[#All],[PID]],0)))</f>
        <v>SP</v>
      </c>
      <c r="E705" s="54" t="str">
        <f>IF($C705="B",INDEX(Batters[[#All],[First]],MATCH(Table5[[#This Row],[PID]],Batters[[#All],[PID]],0)),INDEX(Table3[[#All],[First]],MATCH(Table5[[#This Row],[PID]],Table3[[#All],[PID]],0)))</f>
        <v>Arturo</v>
      </c>
      <c r="F705" s="52" t="str">
        <f>IF($C705="B",INDEX(Batters[[#All],[Last]],MATCH(A705,Batters[[#All],[PID]],0)),INDEX(Table3[[#All],[Last]],MATCH(A705,Table3[[#All],[PID]],0)))</f>
        <v>Tavárez</v>
      </c>
      <c r="G705" s="58">
        <f>IF($C705="B",INDEX(Batters[[#All],[Age]],MATCH(Table5[[#This Row],[PID]],Batters[[#All],[PID]],0)),INDEX(Table3[[#All],[Age]],MATCH(Table5[[#This Row],[PID]],Table3[[#All],[PID]],0)))</f>
        <v>22</v>
      </c>
      <c r="H705" s="54" t="str">
        <f>IF($C705="B",INDEX(Batters[[#All],[B]],MATCH(Table5[[#This Row],[PID]],Batters[[#All],[PID]],0)),INDEX(Table3[[#All],[B]],MATCH(Table5[[#This Row],[PID]],Table3[[#All],[PID]],0)))</f>
        <v>R</v>
      </c>
      <c r="I705" s="54" t="str">
        <f>IF($C705="B",INDEX(Batters[[#All],[T]],MATCH(Table5[[#This Row],[PID]],Batters[[#All],[PID]],0)),INDEX(Table3[[#All],[T]],MATCH(Table5[[#This Row],[PID]],Table3[[#All],[PID]],0)))</f>
        <v>R</v>
      </c>
      <c r="J705" s="54" t="str">
        <f>IF($C705="B",INDEX(Batters[[#All],[WE]],MATCH(Table5[[#This Row],[PID]],Batters[[#All],[PID]],0)),INDEX(Table3[[#All],[WE]],MATCH(Table5[[#This Row],[PID]],Table3[[#All],[PID]],0)))</f>
        <v>Low</v>
      </c>
      <c r="K705" s="54" t="str">
        <f>IF($C705="B",INDEX(Batters[[#All],[INT]],MATCH(Table5[[#This Row],[PID]],Batters[[#All],[PID]],0)),INDEX(Table3[[#All],[INT]],MATCH(Table5[[#This Row],[PID]],Table3[[#All],[PID]],0)))</f>
        <v>Low</v>
      </c>
      <c r="L705" s="62">
        <f>IF($C705="B",INDEX(Batters[[#All],[CON P]],MATCH(Table5[[#This Row],[PID]],Batters[[#All],[PID]],0)),INDEX(Table3[[#All],[STU P]],MATCH(Table5[[#This Row],[PID]],Table3[[#All],[PID]],0)))</f>
        <v>5</v>
      </c>
      <c r="M705" s="58">
        <f>IF($C705="B",INDEX(Batters[[#All],[GAP P]],MATCH(Table5[[#This Row],[PID]],Batters[[#All],[PID]],0)),INDEX(Table3[[#All],[MOV P]],MATCH(Table5[[#This Row],[PID]],Table3[[#All],[PID]],0)))</f>
        <v>2</v>
      </c>
      <c r="N705" s="58">
        <f>IF($C705="B",INDEX(Batters[[#All],[POW P]],MATCH(Table5[[#This Row],[PID]],Batters[[#All],[PID]],0)),INDEX(Table3[[#All],[CON P]],MATCH(Table5[[#This Row],[PID]],Table3[[#All],[PID]],0)))</f>
        <v>2</v>
      </c>
      <c r="O705" s="58" t="str">
        <f>IF($C705="B",INDEX(Batters[[#All],[EYE P]],MATCH(Table5[[#This Row],[PID]],Batters[[#All],[PID]],0)),INDEX(Table3[[#All],[VELO]],MATCH(Table5[[#This Row],[PID]],Table3[[#All],[PID]],0)))</f>
        <v>95-97 Mph</v>
      </c>
      <c r="P705" s="58">
        <f>IF($C705="B",INDEX(Batters[[#All],[K P]],MATCH(Table5[[#This Row],[PID]],Batters[[#All],[PID]],0)),INDEX(Table3[[#All],[STM]],MATCH(Table5[[#This Row],[PID]],Table3[[#All],[PID]],0)))</f>
        <v>4</v>
      </c>
      <c r="Q705" s="63">
        <f>IF($C705="B",INDEX(Batters[[#All],[Tot]],MATCH(Table5[[#This Row],[PID]],Batters[[#All],[PID]],0)),INDEX(Table3[[#All],[Tot]],MATCH(Table5[[#This Row],[PID]],Table3[[#All],[PID]],0)))</f>
        <v>27.128602774502362</v>
      </c>
      <c r="R705" s="54">
        <f>IF($C705="B",INDEX(Batters[[#All],[zScore]],MATCH(Table5[[#This Row],[PID]],Batters[[#All],[PID]],0)),INDEX(Table3[[#All],[zScore]],MATCH(Table5[[#This Row],[PID]],Table3[[#All],[PID]],0)))</f>
        <v>-0.51296143664991789</v>
      </c>
      <c r="S705" s="60" t="str">
        <f>IF($C705="B",INDEX(Batters[[#All],[DEM]],MATCH(Table5[[#This Row],[PID]],Batters[[#All],[PID]],0)),INDEX(Table3[[#All],[DEM]],MATCH(Table5[[#This Row],[PID]],Table3[[#All],[PID]],0)))</f>
        <v>-</v>
      </c>
      <c r="T705" s="64">
        <f>IF($C705="B",VLOOKUP($A705,Bat!$A$4:$AU$1417,46,FALSE),VLOOKUP($A705,Pit!$A$4:$BD$570,55,FALSE))</f>
        <v>0</v>
      </c>
      <c r="U705" s="52">
        <f>IF($C705="B",VLOOKUP($A705,Bat!$A$4:$BA$1417,47,FALSE),VLOOKUP($A705,Pit!$A$4:$BF$570,56,FALSE))</f>
        <v>0</v>
      </c>
      <c r="V705" s="52">
        <f>IF($C705="B",VLOOKUP($A705,Bat!$A$4:$BA$1417,48,FALSE),VLOOKUP($A705,Pit!$A$4:$BF$570,57,FALSE))</f>
        <v>0</v>
      </c>
      <c r="W705" s="52">
        <f>Table5[[#This Row],[posRnk]]+Table5[[#This Row],[zRnk]]+IF($W$3&lt;&gt;Table5[[#This Row],[Type]],50,0)</f>
        <v>751</v>
      </c>
      <c r="X705" s="53">
        <f>RANK(Table5[[#This Row],[zScore]],Table5[[#All],[zScore]])</f>
        <v>701</v>
      </c>
      <c r="Y705" s="52" t="str">
        <f>IFERROR(INDEX(DraftResults[[#All],[OVR]],MATCH(Table5[[#This Row],[PID]],DraftResults[[#All],[Player ID]],0)),"")</f>
        <v/>
      </c>
      <c r="Z7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5" s="52" t="str">
        <f>IFERROR(INDEX(DraftResults[[#All],[Pick in Round]],MATCH(Table5[[#This Row],[PID]],DraftResults[[#All],[Player ID]],0)),"")</f>
        <v/>
      </c>
      <c r="AB705" s="52" t="str">
        <f>IFERROR(INDEX(DraftResults[[#All],[Team Name]],MATCH(Table5[[#This Row],[PID]],DraftResults[[#All],[Player ID]],0)),"")</f>
        <v/>
      </c>
      <c r="AC705" s="52" t="str">
        <f>IF(Table5[[#This Row],[Ovr]]="","",IF(Table5[[#This Row],[cmbList]]="","",Table5[[#This Row],[cmbList]]-Table5[[#This Row],[Ovr]]))</f>
        <v/>
      </c>
      <c r="AD705" s="56" t="str">
        <f>IF(ISERROR(VLOOKUP($AB705&amp;"-"&amp;$E705&amp;" "&amp;F705,Bonuses!$B$1:$G$1006,4,FALSE)),"",INT(VLOOKUP($AB705&amp;"-"&amp;$E705&amp;" "&amp;$F705,Bonuses!$B$1:$G$1006,4,FALSE)))</f>
        <v/>
      </c>
      <c r="AE7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6" spans="1:31" s="52" customFormat="1" x14ac:dyDescent="0.25">
      <c r="A706" s="52">
        <v>18059</v>
      </c>
      <c r="B706" s="52">
        <f>COUNTIF(Table5[PID],A706)</f>
        <v>1</v>
      </c>
      <c r="C706" s="52" t="str">
        <f>IF(COUNTIF(Table3[[#All],[PID]],A706)&gt;0,"P","B")</f>
        <v>P</v>
      </c>
      <c r="D706" s="61" t="str">
        <f>IF($C706="B",INDEX(Batters[[#All],[POS]],MATCH(Table5[[#This Row],[PID]],Batters[[#All],[PID]],0)),INDEX(Table3[[#All],[POS]],MATCH(Table5[[#This Row],[PID]],Table3[[#All],[PID]],0)))</f>
        <v>SP</v>
      </c>
      <c r="E706" s="54" t="str">
        <f>IF($C706="B",INDEX(Batters[[#All],[First]],MATCH(Table5[[#This Row],[PID]],Batters[[#All],[PID]],0)),INDEX(Table3[[#All],[First]],MATCH(Table5[[#This Row],[PID]],Table3[[#All],[PID]],0)))</f>
        <v>Larry</v>
      </c>
      <c r="F706" s="52" t="str">
        <f>IF($C706="B",INDEX(Batters[[#All],[Last]],MATCH(A706,Batters[[#All],[PID]],0)),INDEX(Table3[[#All],[Last]],MATCH(A706,Table3[[#All],[PID]],0)))</f>
        <v>Árias</v>
      </c>
      <c r="G706" s="58">
        <f>IF($C706="B",INDEX(Batters[[#All],[Age]],MATCH(Table5[[#This Row],[PID]],Batters[[#All],[PID]],0)),INDEX(Table3[[#All],[Age]],MATCH(Table5[[#This Row],[PID]],Table3[[#All],[PID]],0)))</f>
        <v>22</v>
      </c>
      <c r="H706" s="54" t="str">
        <f>IF($C706="B",INDEX(Batters[[#All],[B]],MATCH(Table5[[#This Row],[PID]],Batters[[#All],[PID]],0)),INDEX(Table3[[#All],[B]],MATCH(Table5[[#This Row],[PID]],Table3[[#All],[PID]],0)))</f>
        <v>L</v>
      </c>
      <c r="I706" s="54" t="str">
        <f>IF($C706="B",INDEX(Batters[[#All],[T]],MATCH(Table5[[#This Row],[PID]],Batters[[#All],[PID]],0)),INDEX(Table3[[#All],[T]],MATCH(Table5[[#This Row],[PID]],Table3[[#All],[PID]],0)))</f>
        <v>L</v>
      </c>
      <c r="J706" s="54" t="str">
        <f>IF($C706="B",INDEX(Batters[[#All],[WE]],MATCH(Table5[[#This Row],[PID]],Batters[[#All],[PID]],0)),INDEX(Table3[[#All],[WE]],MATCH(Table5[[#This Row],[PID]],Table3[[#All],[PID]],0)))</f>
        <v>High</v>
      </c>
      <c r="K706" s="54" t="str">
        <f>IF($C706="B",INDEX(Batters[[#All],[INT]],MATCH(Table5[[#This Row],[PID]],Batters[[#All],[PID]],0)),INDEX(Table3[[#All],[INT]],MATCH(Table5[[#This Row],[PID]],Table3[[#All],[PID]],0)))</f>
        <v>High</v>
      </c>
      <c r="L706" s="62">
        <f>IF($C706="B",INDEX(Batters[[#All],[CON P]],MATCH(Table5[[#This Row],[PID]],Batters[[#All],[PID]],0)),INDEX(Table3[[#All],[STU P]],MATCH(Table5[[#This Row],[PID]],Table3[[#All],[PID]],0)))</f>
        <v>5</v>
      </c>
      <c r="M706" s="58">
        <f>IF($C706="B",INDEX(Batters[[#All],[GAP P]],MATCH(Table5[[#This Row],[PID]],Batters[[#All],[PID]],0)),INDEX(Table3[[#All],[MOV P]],MATCH(Table5[[#This Row],[PID]],Table3[[#All],[PID]],0)))</f>
        <v>1</v>
      </c>
      <c r="N706" s="58">
        <f>IF($C706="B",INDEX(Batters[[#All],[POW P]],MATCH(Table5[[#This Row],[PID]],Batters[[#All],[PID]],0)),INDEX(Table3[[#All],[CON P]],MATCH(Table5[[#This Row],[PID]],Table3[[#All],[PID]],0)))</f>
        <v>2</v>
      </c>
      <c r="O706" s="58" t="str">
        <f>IF($C706="B",INDEX(Batters[[#All],[EYE P]],MATCH(Table5[[#This Row],[PID]],Batters[[#All],[PID]],0)),INDEX(Table3[[#All],[VELO]],MATCH(Table5[[#This Row],[PID]],Table3[[#All],[PID]],0)))</f>
        <v>90-92 Mph</v>
      </c>
      <c r="P706" s="58">
        <f>IF($C706="B",INDEX(Batters[[#All],[K P]],MATCH(Table5[[#This Row],[PID]],Batters[[#All],[PID]],0)),INDEX(Table3[[#All],[STM]],MATCH(Table5[[#This Row],[PID]],Table3[[#All],[PID]],0)))</f>
        <v>8</v>
      </c>
      <c r="Q706" s="63">
        <f>IF($C706="B",INDEX(Batters[[#All],[Tot]],MATCH(Table5[[#This Row],[PID]],Batters[[#All],[PID]],0)),INDEX(Table3[[#All],[Tot]],MATCH(Table5[[#This Row],[PID]],Table3[[#All],[PID]],0)))</f>
        <v>27.125568954513874</v>
      </c>
      <c r="R706" s="54">
        <f>IF($C706="B",INDEX(Batters[[#All],[zScore]],MATCH(Table5[[#This Row],[PID]],Batters[[#All],[PID]],0)),INDEX(Table3[[#All],[zScore]],MATCH(Table5[[#This Row],[PID]],Table3[[#All],[PID]],0)))</f>
        <v>-0.51323965090968138</v>
      </c>
      <c r="S706" s="60" t="str">
        <f>IF($C706="B",INDEX(Batters[[#All],[DEM]],MATCH(Table5[[#This Row],[PID]],Batters[[#All],[PID]],0)),INDEX(Table3[[#All],[DEM]],MATCH(Table5[[#This Row],[PID]],Table3[[#All],[PID]],0)))</f>
        <v>-</v>
      </c>
      <c r="T706" s="64">
        <f>IF($C706="B",VLOOKUP($A706,Bat!$A$4:$AU$1417,46,FALSE),VLOOKUP($A706,Pit!$A$4:$BD$570,55,FALSE))</f>
        <v>0</v>
      </c>
      <c r="U706" s="52">
        <f>IF($C706="B",VLOOKUP($A706,Bat!$A$4:$BA$1417,47,FALSE),VLOOKUP($A706,Pit!$A$4:$BF$570,56,FALSE))</f>
        <v>0</v>
      </c>
      <c r="V706" s="52">
        <f>IF($C706="B",VLOOKUP($A706,Bat!$A$4:$BA$1417,48,FALSE),VLOOKUP($A706,Pit!$A$4:$BF$570,57,FALSE))</f>
        <v>0</v>
      </c>
      <c r="W706" s="52">
        <f>Table5[[#This Row],[posRnk]]+Table5[[#This Row],[zRnk]]+IF($W$3&lt;&gt;Table5[[#This Row],[Type]],50,0)</f>
        <v>752</v>
      </c>
      <c r="X706" s="53">
        <f>RANK(Table5[[#This Row],[zScore]],Table5[[#All],[zScore]])</f>
        <v>702</v>
      </c>
      <c r="Y706" s="52" t="str">
        <f>IFERROR(INDEX(DraftResults[[#All],[OVR]],MATCH(Table5[[#This Row],[PID]],DraftResults[[#All],[Player ID]],0)),"")</f>
        <v/>
      </c>
      <c r="Z7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6" s="52" t="str">
        <f>IFERROR(INDEX(DraftResults[[#All],[Pick in Round]],MATCH(Table5[[#This Row],[PID]],DraftResults[[#All],[Player ID]],0)),"")</f>
        <v/>
      </c>
      <c r="AB706" s="52" t="str">
        <f>IFERROR(INDEX(DraftResults[[#All],[Team Name]],MATCH(Table5[[#This Row],[PID]],DraftResults[[#All],[Player ID]],0)),"")</f>
        <v/>
      </c>
      <c r="AC706" s="52" t="str">
        <f>IF(Table5[[#This Row],[Ovr]]="","",IF(Table5[[#This Row],[cmbList]]="","",Table5[[#This Row],[cmbList]]-Table5[[#This Row],[Ovr]]))</f>
        <v/>
      </c>
      <c r="AD706" s="56" t="str">
        <f>IF(ISERROR(VLOOKUP($AB706&amp;"-"&amp;$E706&amp;" "&amp;F706,Bonuses!$B$1:$G$1006,4,FALSE)),"",INT(VLOOKUP($AB706&amp;"-"&amp;$E706&amp;" "&amp;$F706,Bonuses!$B$1:$G$1006,4,FALSE)))</f>
        <v/>
      </c>
      <c r="AE7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7" spans="1:31" s="52" customFormat="1" x14ac:dyDescent="0.25">
      <c r="A707" s="52">
        <v>12382</v>
      </c>
      <c r="B707" s="52">
        <f>COUNTIF(Table5[PID],A707)</f>
        <v>1</v>
      </c>
      <c r="C707" s="52" t="str">
        <f>IF(COUNTIF(Table3[[#All],[PID]],A707)&gt;0,"P","B")</f>
        <v>P</v>
      </c>
      <c r="D707" s="61" t="str">
        <f>IF($C707="B",INDEX(Batters[[#All],[POS]],MATCH(Table5[[#This Row],[PID]],Batters[[#All],[PID]],0)),INDEX(Table3[[#All],[POS]],MATCH(Table5[[#This Row],[PID]],Table3[[#All],[PID]],0)))</f>
        <v>RP</v>
      </c>
      <c r="E707" s="54" t="str">
        <f>IF($C707="B",INDEX(Batters[[#All],[First]],MATCH(Table5[[#This Row],[PID]],Batters[[#All],[PID]],0)),INDEX(Table3[[#All],[First]],MATCH(Table5[[#This Row],[PID]],Table3[[#All],[PID]],0)))</f>
        <v>Kieran</v>
      </c>
      <c r="F707" s="52" t="str">
        <f>IF($C707="B",INDEX(Batters[[#All],[Last]],MATCH(A707,Batters[[#All],[PID]],0)),INDEX(Table3[[#All],[Last]],MATCH(A707,Table3[[#All],[PID]],0)))</f>
        <v>MacDerment</v>
      </c>
      <c r="G707" s="58">
        <f>IF($C707="B",INDEX(Batters[[#All],[Age]],MATCH(Table5[[#This Row],[PID]],Batters[[#All],[PID]],0)),INDEX(Table3[[#All],[Age]],MATCH(Table5[[#This Row],[PID]],Table3[[#All],[PID]],0)))</f>
        <v>22</v>
      </c>
      <c r="H707" s="54" t="str">
        <f>IF($C707="B",INDEX(Batters[[#All],[B]],MATCH(Table5[[#This Row],[PID]],Batters[[#All],[PID]],0)),INDEX(Table3[[#All],[B]],MATCH(Table5[[#This Row],[PID]],Table3[[#All],[PID]],0)))</f>
        <v>R</v>
      </c>
      <c r="I707" s="54" t="str">
        <f>IF($C707="B",INDEX(Batters[[#All],[T]],MATCH(Table5[[#This Row],[PID]],Batters[[#All],[PID]],0)),INDEX(Table3[[#All],[T]],MATCH(Table5[[#This Row],[PID]],Table3[[#All],[PID]],0)))</f>
        <v>R</v>
      </c>
      <c r="J707" s="54" t="str">
        <f>IF($C707="B",INDEX(Batters[[#All],[WE]],MATCH(Table5[[#This Row],[PID]],Batters[[#All],[PID]],0)),INDEX(Table3[[#All],[WE]],MATCH(Table5[[#This Row],[PID]],Table3[[#All],[PID]],0)))</f>
        <v>Low</v>
      </c>
      <c r="K707" s="54" t="str">
        <f>IF($C707="B",INDEX(Batters[[#All],[INT]],MATCH(Table5[[#This Row],[PID]],Batters[[#All],[PID]],0)),INDEX(Table3[[#All],[INT]],MATCH(Table5[[#This Row],[PID]],Table3[[#All],[PID]],0)))</f>
        <v>High</v>
      </c>
      <c r="L707" s="62">
        <f>IF($C707="B",INDEX(Batters[[#All],[CON P]],MATCH(Table5[[#This Row],[PID]],Batters[[#All],[PID]],0)),INDEX(Table3[[#All],[STU P]],MATCH(Table5[[#This Row],[PID]],Table3[[#All],[PID]],0)))</f>
        <v>4</v>
      </c>
      <c r="M707" s="58">
        <f>IF($C707="B",INDEX(Batters[[#All],[GAP P]],MATCH(Table5[[#This Row],[PID]],Batters[[#All],[PID]],0)),INDEX(Table3[[#All],[MOV P]],MATCH(Table5[[#This Row],[PID]],Table3[[#All],[PID]],0)))</f>
        <v>2</v>
      </c>
      <c r="N707" s="58">
        <f>IF($C707="B",INDEX(Batters[[#All],[POW P]],MATCH(Table5[[#This Row],[PID]],Batters[[#All],[PID]],0)),INDEX(Table3[[#All],[CON P]],MATCH(Table5[[#This Row],[PID]],Table3[[#All],[PID]],0)))</f>
        <v>3</v>
      </c>
      <c r="O707" s="58" t="str">
        <f>IF($C707="B",INDEX(Batters[[#All],[EYE P]],MATCH(Table5[[#This Row],[PID]],Batters[[#All],[PID]],0)),INDEX(Table3[[#All],[VELO]],MATCH(Table5[[#This Row],[PID]],Table3[[#All],[PID]],0)))</f>
        <v>89-91 Mph</v>
      </c>
      <c r="P707" s="58">
        <f>IF($C707="B",INDEX(Batters[[#All],[K P]],MATCH(Table5[[#This Row],[PID]],Batters[[#All],[PID]],0)),INDEX(Table3[[#All],[STM]],MATCH(Table5[[#This Row],[PID]],Table3[[#All],[PID]],0)))</f>
        <v>3</v>
      </c>
      <c r="Q707" s="63">
        <f>IF($C707="B",INDEX(Batters[[#All],[Tot]],MATCH(Table5[[#This Row],[PID]],Batters[[#All],[PID]],0)),INDEX(Table3[[#All],[Tot]],MATCH(Table5[[#This Row],[PID]],Table3[[#All],[PID]],0)))</f>
        <v>27.119903901192046</v>
      </c>
      <c r="R707" s="54">
        <f>IF($C707="B",INDEX(Batters[[#All],[zScore]],MATCH(Table5[[#This Row],[PID]],Batters[[#All],[PID]],0)),INDEX(Table3[[#All],[zScore]],MATCH(Table5[[#This Row],[PID]],Table3[[#All],[PID]],0)))</f>
        <v>-0.51375916051223969</v>
      </c>
      <c r="S707" s="60" t="str">
        <f>IF($C707="B",INDEX(Batters[[#All],[DEM]],MATCH(Table5[[#This Row],[PID]],Batters[[#All],[PID]],0)),INDEX(Table3[[#All],[DEM]],MATCH(Table5[[#This Row],[PID]],Table3[[#All],[PID]],0)))</f>
        <v>-</v>
      </c>
      <c r="T707" s="64">
        <f>IF($C707="B",VLOOKUP($A707,Bat!$A$4:$AU$1417,46,FALSE),VLOOKUP($A707,Pit!$A$4:$BD$570,55,FALSE))</f>
        <v>0</v>
      </c>
      <c r="U707" s="52">
        <f>IF($C707="B",VLOOKUP($A707,Bat!$A$4:$BA$1417,47,FALSE),VLOOKUP($A707,Pit!$A$4:$BF$570,56,FALSE))</f>
        <v>0</v>
      </c>
      <c r="V707" s="52">
        <f>IF($C707="B",VLOOKUP($A707,Bat!$A$4:$BA$1417,48,FALSE),VLOOKUP($A707,Pit!$A$4:$BF$570,57,FALSE))</f>
        <v>0</v>
      </c>
      <c r="W707" s="52">
        <f>Table5[[#This Row],[posRnk]]+Table5[[#This Row],[zRnk]]+IF($W$3&lt;&gt;Table5[[#This Row],[Type]],50,0)</f>
        <v>753</v>
      </c>
      <c r="X707" s="53">
        <f>RANK(Table5[[#This Row],[zScore]],Table5[[#All],[zScore]])</f>
        <v>703</v>
      </c>
      <c r="Y707" s="52" t="str">
        <f>IFERROR(INDEX(DraftResults[[#All],[OVR]],MATCH(Table5[[#This Row],[PID]],DraftResults[[#All],[Player ID]],0)),"")</f>
        <v/>
      </c>
      <c r="Z7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7" s="52" t="str">
        <f>IFERROR(INDEX(DraftResults[[#All],[Pick in Round]],MATCH(Table5[[#This Row],[PID]],DraftResults[[#All],[Player ID]],0)),"")</f>
        <v/>
      </c>
      <c r="AB707" s="52" t="str">
        <f>IFERROR(INDEX(DraftResults[[#All],[Team Name]],MATCH(Table5[[#This Row],[PID]],DraftResults[[#All],[Player ID]],0)),"")</f>
        <v/>
      </c>
      <c r="AC707" s="52" t="str">
        <f>IF(Table5[[#This Row],[Ovr]]="","",IF(Table5[[#This Row],[cmbList]]="","",Table5[[#This Row],[cmbList]]-Table5[[#This Row],[Ovr]]))</f>
        <v/>
      </c>
      <c r="AD707" s="56" t="str">
        <f>IF(ISERROR(VLOOKUP($AB707&amp;"-"&amp;$E707&amp;" "&amp;F707,Bonuses!$B$1:$G$1006,4,FALSE)),"",INT(VLOOKUP($AB707&amp;"-"&amp;$E707&amp;" "&amp;$F707,Bonuses!$B$1:$G$1006,4,FALSE)))</f>
        <v/>
      </c>
      <c r="AE7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8" spans="1:31" s="52" customFormat="1" x14ac:dyDescent="0.25">
      <c r="A708" s="52">
        <v>9003</v>
      </c>
      <c r="B708" s="52">
        <f>COUNTIF(Table5[PID],A708)</f>
        <v>1</v>
      </c>
      <c r="C708" s="52" t="str">
        <f>IF(COUNTIF(Table3[[#All],[PID]],A708)&gt;0,"P","B")</f>
        <v>B</v>
      </c>
      <c r="D708" s="61" t="str">
        <f>IF($C708="B",INDEX(Batters[[#All],[POS]],MATCH(Table5[[#This Row],[PID]],Batters[[#All],[PID]],0)),INDEX(Table3[[#All],[POS]],MATCH(Table5[[#This Row],[PID]],Table3[[#All],[PID]],0)))</f>
        <v>1B</v>
      </c>
      <c r="E708" s="54" t="str">
        <f>IF($C708="B",INDEX(Batters[[#All],[First]],MATCH(Table5[[#This Row],[PID]],Batters[[#All],[PID]],0)),INDEX(Table3[[#All],[First]],MATCH(Table5[[#This Row],[PID]],Table3[[#All],[PID]],0)))</f>
        <v>Ron</v>
      </c>
      <c r="F708" s="52" t="str">
        <f>IF($C708="B",INDEX(Batters[[#All],[Last]],MATCH(A708,Batters[[#All],[PID]],0)),INDEX(Table3[[#All],[Last]],MATCH(A708,Table3[[#All],[PID]],0)))</f>
        <v>Ellis</v>
      </c>
      <c r="G708" s="58">
        <f>IF($C708="B",INDEX(Batters[[#All],[Age]],MATCH(Table5[[#This Row],[PID]],Batters[[#All],[PID]],0)),INDEX(Table3[[#All],[Age]],MATCH(Table5[[#This Row],[PID]],Table3[[#All],[PID]],0)))</f>
        <v>18</v>
      </c>
      <c r="H708" s="54" t="str">
        <f>IF($C708="B",INDEX(Batters[[#All],[B]],MATCH(Table5[[#This Row],[PID]],Batters[[#All],[PID]],0)),INDEX(Table3[[#All],[B]],MATCH(Table5[[#This Row],[PID]],Table3[[#All],[PID]],0)))</f>
        <v>R</v>
      </c>
      <c r="I708" s="54" t="str">
        <f>IF($C708="B",INDEX(Batters[[#All],[T]],MATCH(Table5[[#This Row],[PID]],Batters[[#All],[PID]],0)),INDEX(Table3[[#All],[T]],MATCH(Table5[[#This Row],[PID]],Table3[[#All],[PID]],0)))</f>
        <v>R</v>
      </c>
      <c r="J708" s="54" t="str">
        <f>IF($C708="B",INDEX(Batters[[#All],[WE]],MATCH(Table5[[#This Row],[PID]],Batters[[#All],[PID]],0)),INDEX(Table3[[#All],[WE]],MATCH(Table5[[#This Row],[PID]],Table3[[#All],[PID]],0)))</f>
        <v>Low</v>
      </c>
      <c r="K708" s="54" t="str">
        <f>IF($C708="B",INDEX(Batters[[#All],[INT]],MATCH(Table5[[#This Row],[PID]],Batters[[#All],[PID]],0)),INDEX(Table3[[#All],[INT]],MATCH(Table5[[#This Row],[PID]],Table3[[#All],[PID]],0)))</f>
        <v>Normal</v>
      </c>
      <c r="L708" s="62">
        <f>IF($C708="B",INDEX(Batters[[#All],[CON P]],MATCH(Table5[[#This Row],[PID]],Batters[[#All],[PID]],0)),INDEX(Table3[[#All],[STU P]],MATCH(Table5[[#This Row],[PID]],Table3[[#All],[PID]],0)))</f>
        <v>3</v>
      </c>
      <c r="M708" s="58">
        <f>IF($C708="B",INDEX(Batters[[#All],[GAP P]],MATCH(Table5[[#This Row],[PID]],Batters[[#All],[PID]],0)),INDEX(Table3[[#All],[MOV P]],MATCH(Table5[[#This Row],[PID]],Table3[[#All],[PID]],0)))</f>
        <v>1</v>
      </c>
      <c r="N708" s="58">
        <f>IF($C708="B",INDEX(Batters[[#All],[POW P]],MATCH(Table5[[#This Row],[PID]],Batters[[#All],[PID]],0)),INDEX(Table3[[#All],[CON P]],MATCH(Table5[[#This Row],[PID]],Table3[[#All],[PID]],0)))</f>
        <v>2</v>
      </c>
      <c r="O708" s="58">
        <f>IF($C708="B",INDEX(Batters[[#All],[EYE P]],MATCH(Table5[[#This Row],[PID]],Batters[[#All],[PID]],0)),INDEX(Table3[[#All],[VELO]],MATCH(Table5[[#This Row],[PID]],Table3[[#All],[PID]],0)))</f>
        <v>4</v>
      </c>
      <c r="P708" s="58">
        <f>IF($C708="B",INDEX(Batters[[#All],[K P]],MATCH(Table5[[#This Row],[PID]],Batters[[#All],[PID]],0)),INDEX(Table3[[#All],[STM]],MATCH(Table5[[#This Row],[PID]],Table3[[#All],[PID]],0)))</f>
        <v>3</v>
      </c>
      <c r="Q708" s="63">
        <f>IF($C708="B",INDEX(Batters[[#All],[Tot]],MATCH(Table5[[#This Row],[PID]],Batters[[#All],[PID]],0)),INDEX(Table3[[#All],[Tot]],MATCH(Table5[[#This Row],[PID]],Table3[[#All],[PID]],0)))</f>
        <v>37.415765569594704</v>
      </c>
      <c r="R708" s="54">
        <f>IF($C708="B",INDEX(Batters[[#All],[zScore]],MATCH(Table5[[#This Row],[PID]],Batters[[#All],[PID]],0)),INDEX(Table3[[#All],[zScore]],MATCH(Table5[[#This Row],[PID]],Table3[[#All],[PID]],0)))</f>
        <v>-0.51595068053528825</v>
      </c>
      <c r="S708" s="60" t="str">
        <f>IF($C708="B",INDEX(Batters[[#All],[DEM]],MATCH(Table5[[#This Row],[PID]],Batters[[#All],[PID]],0)),INDEX(Table3[[#All],[DEM]],MATCH(Table5[[#This Row],[PID]],Table3[[#All],[PID]],0)))</f>
        <v>$65k</v>
      </c>
      <c r="T708" s="64">
        <f>IF($C708="B",VLOOKUP($A708,Bat!$A$4:$AU$1417,46,FALSE),VLOOKUP($A708,Pit!$A$4:$BD$570,55,FALSE))</f>
        <v>0</v>
      </c>
      <c r="U708" s="52">
        <f>IF($C708="B",VLOOKUP($A708,Bat!$A$4:$BA$1417,47,FALSE),VLOOKUP($A708,Pit!$A$4:$BF$570,56,FALSE))</f>
        <v>0</v>
      </c>
      <c r="V708" s="52">
        <f>IF($C708="B",VLOOKUP($A708,Bat!$A$4:$BA$1417,48,FALSE),VLOOKUP($A708,Pit!$A$4:$BF$570,57,FALSE))</f>
        <v>0</v>
      </c>
      <c r="W708" s="52">
        <f>Table5[[#This Row],[posRnk]]+Table5[[#This Row],[zRnk]]+IF($W$3&lt;&gt;Table5[[#This Row],[Type]],50,0)</f>
        <v>754</v>
      </c>
      <c r="X708" s="53">
        <f>RANK(Table5[[#This Row],[zScore]],Table5[[#All],[zScore]])</f>
        <v>704</v>
      </c>
      <c r="Y708" s="52" t="str">
        <f>IFERROR(INDEX(DraftResults[[#All],[OVR]],MATCH(Table5[[#This Row],[PID]],DraftResults[[#All],[Player ID]],0)),"")</f>
        <v/>
      </c>
      <c r="Z7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8" s="52" t="str">
        <f>IFERROR(INDEX(DraftResults[[#All],[Pick in Round]],MATCH(Table5[[#This Row],[PID]],DraftResults[[#All],[Player ID]],0)),"")</f>
        <v/>
      </c>
      <c r="AB708" s="52" t="str">
        <f>IFERROR(INDEX(DraftResults[[#All],[Team Name]],MATCH(Table5[[#This Row],[PID]],DraftResults[[#All],[Player ID]],0)),"")</f>
        <v/>
      </c>
      <c r="AC708" s="52" t="str">
        <f>IF(Table5[[#This Row],[Ovr]]="","",IF(Table5[[#This Row],[cmbList]]="","",Table5[[#This Row],[cmbList]]-Table5[[#This Row],[Ovr]]))</f>
        <v/>
      </c>
      <c r="AD708" s="56" t="str">
        <f>IF(ISERROR(VLOOKUP($AB708&amp;"-"&amp;$E708&amp;" "&amp;F708,Bonuses!$B$1:$G$1006,4,FALSE)),"",INT(VLOOKUP($AB708&amp;"-"&amp;$E708&amp;" "&amp;$F708,Bonuses!$B$1:$G$1006,4,FALSE)))</f>
        <v/>
      </c>
      <c r="AE7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9" spans="1:31" s="52" customFormat="1" x14ac:dyDescent="0.25">
      <c r="A709" s="52">
        <v>9196</v>
      </c>
      <c r="B709" s="52">
        <f>COUNTIF(Table5[PID],A709)</f>
        <v>1</v>
      </c>
      <c r="C709" s="52" t="str">
        <f>IF(COUNTIF(Table3[[#All],[PID]],A709)&gt;0,"P","B")</f>
        <v>P</v>
      </c>
      <c r="D709" s="61" t="str">
        <f>IF($C709="B",INDEX(Batters[[#All],[POS]],MATCH(Table5[[#This Row],[PID]],Batters[[#All],[PID]],0)),INDEX(Table3[[#All],[POS]],MATCH(Table5[[#This Row],[PID]],Table3[[#All],[PID]],0)))</f>
        <v>SP</v>
      </c>
      <c r="E709" s="54" t="str">
        <f>IF($C709="B",INDEX(Batters[[#All],[First]],MATCH(Table5[[#This Row],[PID]],Batters[[#All],[PID]],0)),INDEX(Table3[[#All],[First]],MATCH(Table5[[#This Row],[PID]],Table3[[#All],[PID]],0)))</f>
        <v>Doug</v>
      </c>
      <c r="F709" s="52" t="str">
        <f>IF($C709="B",INDEX(Batters[[#All],[Last]],MATCH(A709,Batters[[#All],[PID]],0)),INDEX(Table3[[#All],[Last]],MATCH(A709,Table3[[#All],[PID]],0)))</f>
        <v>Bermúdez</v>
      </c>
      <c r="G709" s="58">
        <f>IF($C709="B",INDEX(Batters[[#All],[Age]],MATCH(Table5[[#This Row],[PID]],Batters[[#All],[PID]],0)),INDEX(Table3[[#All],[Age]],MATCH(Table5[[#This Row],[PID]],Table3[[#All],[PID]],0)))</f>
        <v>21</v>
      </c>
      <c r="H709" s="54" t="str">
        <f>IF($C709="B",INDEX(Batters[[#All],[B]],MATCH(Table5[[#This Row],[PID]],Batters[[#All],[PID]],0)),INDEX(Table3[[#All],[B]],MATCH(Table5[[#This Row],[PID]],Table3[[#All],[PID]],0)))</f>
        <v>R</v>
      </c>
      <c r="I709" s="54" t="str">
        <f>IF($C709="B",INDEX(Batters[[#All],[T]],MATCH(Table5[[#This Row],[PID]],Batters[[#All],[PID]],0)),INDEX(Table3[[#All],[T]],MATCH(Table5[[#This Row],[PID]],Table3[[#All],[PID]],0)))</f>
        <v>R</v>
      </c>
      <c r="J709" s="54" t="str">
        <f>IF($C709="B",INDEX(Batters[[#All],[WE]],MATCH(Table5[[#This Row],[PID]],Batters[[#All],[PID]],0)),INDEX(Table3[[#All],[WE]],MATCH(Table5[[#This Row],[PID]],Table3[[#All],[PID]],0)))</f>
        <v>Normal</v>
      </c>
      <c r="K709" s="54" t="str">
        <f>IF($C709="B",INDEX(Batters[[#All],[INT]],MATCH(Table5[[#This Row],[PID]],Batters[[#All],[PID]],0)),INDEX(Table3[[#All],[INT]],MATCH(Table5[[#This Row],[PID]],Table3[[#All],[PID]],0)))</f>
        <v>Low</v>
      </c>
      <c r="L709" s="62">
        <f>IF($C709="B",INDEX(Batters[[#All],[CON P]],MATCH(Table5[[#This Row],[PID]],Batters[[#All],[PID]],0)),INDEX(Table3[[#All],[STU P]],MATCH(Table5[[#This Row],[PID]],Table3[[#All],[PID]],0)))</f>
        <v>4</v>
      </c>
      <c r="M709" s="58">
        <f>IF($C709="B",INDEX(Batters[[#All],[GAP P]],MATCH(Table5[[#This Row],[PID]],Batters[[#All],[PID]],0)),INDEX(Table3[[#All],[MOV P]],MATCH(Table5[[#This Row],[PID]],Table3[[#All],[PID]],0)))</f>
        <v>2</v>
      </c>
      <c r="N709" s="58">
        <f>IF($C709="B",INDEX(Batters[[#All],[POW P]],MATCH(Table5[[#This Row],[PID]],Batters[[#All],[PID]],0)),INDEX(Table3[[#All],[CON P]],MATCH(Table5[[#This Row],[PID]],Table3[[#All],[PID]],0)))</f>
        <v>2</v>
      </c>
      <c r="O709" s="58" t="str">
        <f>IF($C709="B",INDEX(Batters[[#All],[EYE P]],MATCH(Table5[[#This Row],[PID]],Batters[[#All],[PID]],0)),INDEX(Table3[[#All],[VELO]],MATCH(Table5[[#This Row],[PID]],Table3[[#All],[PID]],0)))</f>
        <v>90-92 Mph</v>
      </c>
      <c r="P709" s="58">
        <f>IF($C709="B",INDEX(Batters[[#All],[K P]],MATCH(Table5[[#This Row],[PID]],Batters[[#All],[PID]],0)),INDEX(Table3[[#All],[STM]],MATCH(Table5[[#This Row],[PID]],Table3[[#All],[PID]],0)))</f>
        <v>6</v>
      </c>
      <c r="Q709" s="63">
        <f>IF($C709="B",INDEX(Batters[[#All],[Tot]],MATCH(Table5[[#This Row],[PID]],Batters[[#All],[PID]],0)),INDEX(Table3[[#All],[Tot]],MATCH(Table5[[#This Row],[PID]],Table3[[#All],[PID]],0)))</f>
        <v>27.058101557812087</v>
      </c>
      <c r="R709" s="54">
        <f>IF($C709="B",INDEX(Batters[[#All],[zScore]],MATCH(Table5[[#This Row],[PID]],Batters[[#All],[PID]],0)),INDEX(Table3[[#All],[zScore]],MATCH(Table5[[#This Row],[PID]],Table3[[#All],[PID]],0)))</f>
        <v>-0.51942669954894927</v>
      </c>
      <c r="S709" s="60" t="str">
        <f>IF($C709="B",INDEX(Batters[[#All],[DEM]],MATCH(Table5[[#This Row],[PID]],Batters[[#All],[PID]],0)),INDEX(Table3[[#All],[DEM]],MATCH(Table5[[#This Row],[PID]],Table3[[#All],[PID]],0)))</f>
        <v>-</v>
      </c>
      <c r="T709" s="64">
        <f>IF($C709="B",VLOOKUP($A709,Bat!$A$4:$AU$1417,46,FALSE),VLOOKUP($A709,Pit!$A$4:$BD$570,55,FALSE))</f>
        <v>0</v>
      </c>
      <c r="U709" s="52">
        <f>IF($C709="B",VLOOKUP($A709,Bat!$A$4:$BA$1417,47,FALSE),VLOOKUP($A709,Pit!$A$4:$BF$570,56,FALSE))</f>
        <v>0</v>
      </c>
      <c r="V709" s="52">
        <f>IF($C709="B",VLOOKUP($A709,Bat!$A$4:$BA$1417,48,FALSE),VLOOKUP($A709,Pit!$A$4:$BF$570,57,FALSE))</f>
        <v>0</v>
      </c>
      <c r="W709" s="52">
        <f>Table5[[#This Row],[posRnk]]+Table5[[#This Row],[zRnk]]+IF($W$3&lt;&gt;Table5[[#This Row],[Type]],50,0)</f>
        <v>755</v>
      </c>
      <c r="X709" s="53">
        <f>RANK(Table5[[#This Row],[zScore]],Table5[[#All],[zScore]])</f>
        <v>705</v>
      </c>
      <c r="Y709" s="52" t="str">
        <f>IFERROR(INDEX(DraftResults[[#All],[OVR]],MATCH(Table5[[#This Row],[PID]],DraftResults[[#All],[Player ID]],0)),"")</f>
        <v/>
      </c>
      <c r="Z7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9" s="52" t="str">
        <f>IFERROR(INDEX(DraftResults[[#All],[Pick in Round]],MATCH(Table5[[#This Row],[PID]],DraftResults[[#All],[Player ID]],0)),"")</f>
        <v/>
      </c>
      <c r="AB709" s="52" t="str">
        <f>IFERROR(INDEX(DraftResults[[#All],[Team Name]],MATCH(Table5[[#This Row],[PID]],DraftResults[[#All],[Player ID]],0)),"")</f>
        <v/>
      </c>
      <c r="AC709" s="52" t="str">
        <f>IF(Table5[[#This Row],[Ovr]]="","",IF(Table5[[#This Row],[cmbList]]="","",Table5[[#This Row],[cmbList]]-Table5[[#This Row],[Ovr]]))</f>
        <v/>
      </c>
      <c r="AD709" s="56" t="str">
        <f>IF(ISERROR(VLOOKUP($AB709&amp;"-"&amp;$E709&amp;" "&amp;F709,Bonuses!$B$1:$G$1006,4,FALSE)),"",INT(VLOOKUP($AB709&amp;"-"&amp;$E709&amp;" "&amp;$F709,Bonuses!$B$1:$G$1006,4,FALSE)))</f>
        <v/>
      </c>
      <c r="AE7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0" spans="1:31" s="52" customFormat="1" x14ac:dyDescent="0.25">
      <c r="A710" s="52">
        <v>10285</v>
      </c>
      <c r="B710" s="52">
        <f>COUNTIF(Table5[PID],A710)</f>
        <v>1</v>
      </c>
      <c r="C710" s="52" t="str">
        <f>IF(COUNTIF(Table3[[#All],[PID]],A710)&gt;0,"P","B")</f>
        <v>B</v>
      </c>
      <c r="D710" s="61" t="str">
        <f>IF($C710="B",INDEX(Batters[[#All],[POS]],MATCH(Table5[[#This Row],[PID]],Batters[[#All],[PID]],0)),INDEX(Table3[[#All],[POS]],MATCH(Table5[[#This Row],[PID]],Table3[[#All],[PID]],0)))</f>
        <v>CF</v>
      </c>
      <c r="E710" s="54" t="str">
        <f>IF($C710="B",INDEX(Batters[[#All],[First]],MATCH(Table5[[#This Row],[PID]],Batters[[#All],[PID]],0)),INDEX(Table3[[#All],[First]],MATCH(Table5[[#This Row],[PID]],Table3[[#All],[PID]],0)))</f>
        <v>Jorge</v>
      </c>
      <c r="F710" s="52" t="str">
        <f>IF($C710="B",INDEX(Batters[[#All],[Last]],MATCH(A710,Batters[[#All],[PID]],0)),INDEX(Table3[[#All],[Last]],MATCH(A710,Table3[[#All],[PID]],0)))</f>
        <v>Avalos</v>
      </c>
      <c r="G710" s="58">
        <f>IF($C710="B",INDEX(Batters[[#All],[Age]],MATCH(Table5[[#This Row],[PID]],Batters[[#All],[PID]],0)),INDEX(Table3[[#All],[Age]],MATCH(Table5[[#This Row],[PID]],Table3[[#All],[PID]],0)))</f>
        <v>21</v>
      </c>
      <c r="H710" s="54" t="str">
        <f>IF($C710="B",INDEX(Batters[[#All],[B]],MATCH(Table5[[#This Row],[PID]],Batters[[#All],[PID]],0)),INDEX(Table3[[#All],[B]],MATCH(Table5[[#This Row],[PID]],Table3[[#All],[PID]],0)))</f>
        <v>L</v>
      </c>
      <c r="I710" s="54" t="str">
        <f>IF($C710="B",INDEX(Batters[[#All],[T]],MATCH(Table5[[#This Row],[PID]],Batters[[#All],[PID]],0)),INDEX(Table3[[#All],[T]],MATCH(Table5[[#This Row],[PID]],Table3[[#All],[PID]],0)))</f>
        <v>L</v>
      </c>
      <c r="J710" s="54" t="str">
        <f>IF($C710="B",INDEX(Batters[[#All],[WE]],MATCH(Table5[[#This Row],[PID]],Batters[[#All],[PID]],0)),INDEX(Table3[[#All],[WE]],MATCH(Table5[[#This Row],[PID]],Table3[[#All],[PID]],0)))</f>
        <v>Low</v>
      </c>
      <c r="K710" s="54" t="str">
        <f>IF($C710="B",INDEX(Batters[[#All],[INT]],MATCH(Table5[[#This Row],[PID]],Batters[[#All],[PID]],0)),INDEX(Table3[[#All],[INT]],MATCH(Table5[[#This Row],[PID]],Table3[[#All],[PID]],0)))</f>
        <v>High</v>
      </c>
      <c r="L710" s="62">
        <f>IF($C710="B",INDEX(Batters[[#All],[CON P]],MATCH(Table5[[#This Row],[PID]],Batters[[#All],[PID]],0)),INDEX(Table3[[#All],[STU P]],MATCH(Table5[[#This Row],[PID]],Table3[[#All],[PID]],0)))</f>
        <v>3</v>
      </c>
      <c r="M710" s="58">
        <f>IF($C710="B",INDEX(Batters[[#All],[GAP P]],MATCH(Table5[[#This Row],[PID]],Batters[[#All],[PID]],0)),INDEX(Table3[[#All],[MOV P]],MATCH(Table5[[#This Row],[PID]],Table3[[#All],[PID]],0)))</f>
        <v>3</v>
      </c>
      <c r="N710" s="58">
        <f>IF($C710="B",INDEX(Batters[[#All],[POW P]],MATCH(Table5[[#This Row],[PID]],Batters[[#All],[PID]],0)),INDEX(Table3[[#All],[CON P]],MATCH(Table5[[#This Row],[PID]],Table3[[#All],[PID]],0)))</f>
        <v>3</v>
      </c>
      <c r="O710" s="58">
        <f>IF($C710="B",INDEX(Batters[[#All],[EYE P]],MATCH(Table5[[#This Row],[PID]],Batters[[#All],[PID]],0)),INDEX(Table3[[#All],[VELO]],MATCH(Table5[[#This Row],[PID]],Table3[[#All],[PID]],0)))</f>
        <v>4</v>
      </c>
      <c r="P710" s="58">
        <f>IF($C710="B",INDEX(Batters[[#All],[K P]],MATCH(Table5[[#This Row],[PID]],Batters[[#All],[PID]],0)),INDEX(Table3[[#All],[STM]],MATCH(Table5[[#This Row],[PID]],Table3[[#All],[PID]],0)))</f>
        <v>4</v>
      </c>
      <c r="Q710" s="63">
        <f>IF($C710="B",INDEX(Batters[[#All],[Tot]],MATCH(Table5[[#This Row],[PID]],Batters[[#All],[PID]],0)),INDEX(Table3[[#All],[Tot]],MATCH(Table5[[#This Row],[PID]],Table3[[#All],[PID]],0)))</f>
        <v>37.385000846824255</v>
      </c>
      <c r="R710" s="54">
        <f>IF($C710="B",INDEX(Batters[[#All],[zScore]],MATCH(Table5[[#This Row],[PID]],Batters[[#All],[PID]],0)),INDEX(Table3[[#All],[zScore]],MATCH(Table5[[#This Row],[PID]],Table3[[#All],[PID]],0)))</f>
        <v>-0.521363529035068</v>
      </c>
      <c r="S710" s="60" t="str">
        <f>IF($C710="B",INDEX(Batters[[#All],[DEM]],MATCH(Table5[[#This Row],[PID]],Batters[[#All],[PID]],0)),INDEX(Table3[[#All],[DEM]],MATCH(Table5[[#This Row],[PID]],Table3[[#All],[PID]],0)))</f>
        <v>$100k</v>
      </c>
      <c r="T710" s="64">
        <f>IF($C710="B",VLOOKUP($A710,Bat!$A$4:$AU$1417,46,FALSE),VLOOKUP($A710,Pit!$A$4:$BD$570,55,FALSE))</f>
        <v>0</v>
      </c>
      <c r="U710" s="52">
        <f>IF($C710="B",VLOOKUP($A710,Bat!$A$4:$BA$1417,47,FALSE),VLOOKUP($A710,Pit!$A$4:$BF$570,56,FALSE))</f>
        <v>0</v>
      </c>
      <c r="V710" s="52">
        <f>IF($C710="B",VLOOKUP($A710,Bat!$A$4:$BA$1417,48,FALSE),VLOOKUP($A710,Pit!$A$4:$BF$570,57,FALSE))</f>
        <v>0</v>
      </c>
      <c r="W710" s="52">
        <f>Table5[[#This Row],[posRnk]]+Table5[[#This Row],[zRnk]]+IF($W$3&lt;&gt;Table5[[#This Row],[Type]],50,0)</f>
        <v>756</v>
      </c>
      <c r="X710" s="53">
        <f>RANK(Table5[[#This Row],[zScore]],Table5[[#All],[zScore]])</f>
        <v>706</v>
      </c>
      <c r="Y710" s="52" t="str">
        <f>IFERROR(INDEX(DraftResults[[#All],[OVR]],MATCH(Table5[[#This Row],[PID]],DraftResults[[#All],[Player ID]],0)),"")</f>
        <v/>
      </c>
      <c r="Z7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0" s="52" t="str">
        <f>IFERROR(INDEX(DraftResults[[#All],[Pick in Round]],MATCH(Table5[[#This Row],[PID]],DraftResults[[#All],[Player ID]],0)),"")</f>
        <v/>
      </c>
      <c r="AB710" s="52" t="str">
        <f>IFERROR(INDEX(DraftResults[[#All],[Team Name]],MATCH(Table5[[#This Row],[PID]],DraftResults[[#All],[Player ID]],0)),"")</f>
        <v/>
      </c>
      <c r="AC710" s="52" t="str">
        <f>IF(Table5[[#This Row],[Ovr]]="","",IF(Table5[[#This Row],[cmbList]]="","",Table5[[#This Row],[cmbList]]-Table5[[#This Row],[Ovr]]))</f>
        <v/>
      </c>
      <c r="AD710" s="56" t="str">
        <f>IF(ISERROR(VLOOKUP($AB710&amp;"-"&amp;$E710&amp;" "&amp;F710,Bonuses!$B$1:$G$1006,4,FALSE)),"",INT(VLOOKUP($AB710&amp;"-"&amp;$E710&amp;" "&amp;$F710,Bonuses!$B$1:$G$1006,4,FALSE)))</f>
        <v/>
      </c>
      <c r="AE7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1" spans="1:31" s="52" customFormat="1" x14ac:dyDescent="0.25">
      <c r="A711" s="52">
        <v>7507</v>
      </c>
      <c r="B711" s="52">
        <f>COUNTIF(Table5[PID],A711)</f>
        <v>1</v>
      </c>
      <c r="C711" s="52" t="str">
        <f>IF(COUNTIF(Table3[[#All],[PID]],A711)&gt;0,"P","B")</f>
        <v>P</v>
      </c>
      <c r="D711" s="61" t="str">
        <f>IF($C711="B",INDEX(Batters[[#All],[POS]],MATCH(Table5[[#This Row],[PID]],Batters[[#All],[PID]],0)),INDEX(Table3[[#All],[POS]],MATCH(Table5[[#This Row],[PID]],Table3[[#All],[PID]],0)))</f>
        <v>RP</v>
      </c>
      <c r="E711" s="54" t="str">
        <f>IF($C711="B",INDEX(Batters[[#All],[First]],MATCH(Table5[[#This Row],[PID]],Batters[[#All],[PID]],0)),INDEX(Table3[[#All],[First]],MATCH(Table5[[#This Row],[PID]],Table3[[#All],[PID]],0)))</f>
        <v>Bruce</v>
      </c>
      <c r="F711" s="52" t="str">
        <f>IF($C711="B",INDEX(Batters[[#All],[Last]],MATCH(A711,Batters[[#All],[PID]],0)),INDEX(Table3[[#All],[Last]],MATCH(A711,Table3[[#All],[PID]],0)))</f>
        <v>Deleón</v>
      </c>
      <c r="G711" s="58">
        <f>IF($C711="B",INDEX(Batters[[#All],[Age]],MATCH(Table5[[#This Row],[PID]],Batters[[#All],[PID]],0)),INDEX(Table3[[#All],[Age]],MATCH(Table5[[#This Row],[PID]],Table3[[#All],[PID]],0)))</f>
        <v>21</v>
      </c>
      <c r="H711" s="54" t="str">
        <f>IF($C711="B",INDEX(Batters[[#All],[B]],MATCH(Table5[[#This Row],[PID]],Batters[[#All],[PID]],0)),INDEX(Table3[[#All],[B]],MATCH(Table5[[#This Row],[PID]],Table3[[#All],[PID]],0)))</f>
        <v>R</v>
      </c>
      <c r="I711" s="54" t="str">
        <f>IF($C711="B",INDEX(Batters[[#All],[T]],MATCH(Table5[[#This Row],[PID]],Batters[[#All],[PID]],0)),INDEX(Table3[[#All],[T]],MATCH(Table5[[#This Row],[PID]],Table3[[#All],[PID]],0)))</f>
        <v>R</v>
      </c>
      <c r="J711" s="54" t="str">
        <f>IF($C711="B",INDEX(Batters[[#All],[WE]],MATCH(Table5[[#This Row],[PID]],Batters[[#All],[PID]],0)),INDEX(Table3[[#All],[WE]],MATCH(Table5[[#This Row],[PID]],Table3[[#All],[PID]],0)))</f>
        <v>Low</v>
      </c>
      <c r="K711" s="54" t="str">
        <f>IF($C711="B",INDEX(Batters[[#All],[INT]],MATCH(Table5[[#This Row],[PID]],Batters[[#All],[PID]],0)),INDEX(Table3[[#All],[INT]],MATCH(Table5[[#This Row],[PID]],Table3[[#All],[PID]],0)))</f>
        <v>Normal</v>
      </c>
      <c r="L711" s="62">
        <f>IF($C711="B",INDEX(Batters[[#All],[CON P]],MATCH(Table5[[#This Row],[PID]],Batters[[#All],[PID]],0)),INDEX(Table3[[#All],[STU P]],MATCH(Table5[[#This Row],[PID]],Table3[[#All],[PID]],0)))</f>
        <v>4</v>
      </c>
      <c r="M711" s="58">
        <f>IF($C711="B",INDEX(Batters[[#All],[GAP P]],MATCH(Table5[[#This Row],[PID]],Batters[[#All],[PID]],0)),INDEX(Table3[[#All],[MOV P]],MATCH(Table5[[#This Row],[PID]],Table3[[#All],[PID]],0)))</f>
        <v>2</v>
      </c>
      <c r="N711" s="58">
        <f>IF($C711="B",INDEX(Batters[[#All],[POW P]],MATCH(Table5[[#This Row],[PID]],Batters[[#All],[PID]],0)),INDEX(Table3[[#All],[CON P]],MATCH(Table5[[#This Row],[PID]],Table3[[#All],[PID]],0)))</f>
        <v>2</v>
      </c>
      <c r="O711" s="58" t="str">
        <f>IF($C711="B",INDEX(Batters[[#All],[EYE P]],MATCH(Table5[[#This Row],[PID]],Batters[[#All],[PID]],0)),INDEX(Table3[[#All],[VELO]],MATCH(Table5[[#This Row],[PID]],Table3[[#All],[PID]],0)))</f>
        <v>84-86 Mph</v>
      </c>
      <c r="P711" s="58">
        <f>IF($C711="B",INDEX(Batters[[#All],[K P]],MATCH(Table5[[#This Row],[PID]],Batters[[#All],[PID]],0)),INDEX(Table3[[#All],[STM]],MATCH(Table5[[#This Row],[PID]],Table3[[#All],[PID]],0)))</f>
        <v>5</v>
      </c>
      <c r="Q711" s="63">
        <f>IF($C711="B",INDEX(Batters[[#All],[Tot]],MATCH(Table5[[#This Row],[PID]],Batters[[#All],[PID]],0)),INDEX(Table3[[#All],[Tot]],MATCH(Table5[[#This Row],[PID]],Table3[[#All],[PID]],0)))</f>
        <v>27.013748074579521</v>
      </c>
      <c r="R711" s="54">
        <f>IF($C711="B",INDEX(Batters[[#All],[zScore]],MATCH(Table5[[#This Row],[PID]],Batters[[#All],[PID]],0)),INDEX(Table3[[#All],[zScore]],MATCH(Table5[[#This Row],[PID]],Table3[[#All],[PID]],0)))</f>
        <v>-0.52349410353214709</v>
      </c>
      <c r="S711" s="60" t="str">
        <f>IF($C711="B",INDEX(Batters[[#All],[DEM]],MATCH(Table5[[#This Row],[PID]],Batters[[#All],[PID]],0)),INDEX(Table3[[#All],[DEM]],MATCH(Table5[[#This Row],[PID]],Table3[[#All],[PID]],0)))</f>
        <v>-</v>
      </c>
      <c r="T711" s="64">
        <f>IF($C711="B",VLOOKUP($A711,Bat!$A$4:$AU$1417,46,FALSE),VLOOKUP($A711,Pit!$A$4:$BD$570,55,FALSE))</f>
        <v>0</v>
      </c>
      <c r="U711" s="52">
        <f>IF($C711="B",VLOOKUP($A711,Bat!$A$4:$BA$1417,47,FALSE),VLOOKUP($A711,Pit!$A$4:$BF$570,56,FALSE))</f>
        <v>0</v>
      </c>
      <c r="V711" s="52">
        <f>IF($C711="B",VLOOKUP($A711,Bat!$A$4:$BA$1417,48,FALSE),VLOOKUP($A711,Pit!$A$4:$BF$570,57,FALSE))</f>
        <v>0</v>
      </c>
      <c r="W711" s="52">
        <f>Table5[[#This Row],[posRnk]]+Table5[[#This Row],[zRnk]]+IF($W$3&lt;&gt;Table5[[#This Row],[Type]],50,0)</f>
        <v>757</v>
      </c>
      <c r="X711" s="53">
        <f>RANK(Table5[[#This Row],[zScore]],Table5[[#All],[zScore]])</f>
        <v>707</v>
      </c>
      <c r="Y711" s="52" t="str">
        <f>IFERROR(INDEX(DraftResults[[#All],[OVR]],MATCH(Table5[[#This Row],[PID]],DraftResults[[#All],[Player ID]],0)),"")</f>
        <v/>
      </c>
      <c r="Z7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1" s="52" t="str">
        <f>IFERROR(INDEX(DraftResults[[#All],[Pick in Round]],MATCH(Table5[[#This Row],[PID]],DraftResults[[#All],[Player ID]],0)),"")</f>
        <v/>
      </c>
      <c r="AB711" s="52" t="str">
        <f>IFERROR(INDEX(DraftResults[[#All],[Team Name]],MATCH(Table5[[#This Row],[PID]],DraftResults[[#All],[Player ID]],0)),"")</f>
        <v/>
      </c>
      <c r="AC711" s="52" t="str">
        <f>IF(Table5[[#This Row],[Ovr]]="","",IF(Table5[[#This Row],[cmbList]]="","",Table5[[#This Row],[cmbList]]-Table5[[#This Row],[Ovr]]))</f>
        <v/>
      </c>
      <c r="AD711" s="56" t="str">
        <f>IF(ISERROR(VLOOKUP($AB711&amp;"-"&amp;$E711&amp;" "&amp;F711,Bonuses!$B$1:$G$1006,4,FALSE)),"",INT(VLOOKUP($AB711&amp;"-"&amp;$E711&amp;" "&amp;$F711,Bonuses!$B$1:$G$1006,4,FALSE)))</f>
        <v/>
      </c>
      <c r="AE7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2" spans="1:31" s="52" customFormat="1" x14ac:dyDescent="0.25">
      <c r="A712" s="52">
        <v>16353</v>
      </c>
      <c r="B712" s="52">
        <f>COUNTIF(Table5[PID],A712)</f>
        <v>1</v>
      </c>
      <c r="C712" s="52" t="str">
        <f>IF(COUNTIF(Table3[[#All],[PID]],A712)&gt;0,"P","B")</f>
        <v>P</v>
      </c>
      <c r="D712" s="61" t="str">
        <f>IF($C712="B",INDEX(Batters[[#All],[POS]],MATCH(Table5[[#This Row],[PID]],Batters[[#All],[PID]],0)),INDEX(Table3[[#All],[POS]],MATCH(Table5[[#This Row],[PID]],Table3[[#All],[PID]],0)))</f>
        <v>RP</v>
      </c>
      <c r="E712" s="54" t="str">
        <f>IF($C712="B",INDEX(Batters[[#All],[First]],MATCH(Table5[[#This Row],[PID]],Batters[[#All],[PID]],0)),INDEX(Table3[[#All],[First]],MATCH(Table5[[#This Row],[PID]],Table3[[#All],[PID]],0)))</f>
        <v>Seika</v>
      </c>
      <c r="F712" s="52" t="str">
        <f>IF($C712="B",INDEX(Batters[[#All],[Last]],MATCH(A712,Batters[[#All],[PID]],0)),INDEX(Table3[[#All],[Last]],MATCH(A712,Table3[[#All],[PID]],0)))</f>
        <v>Takahashi</v>
      </c>
      <c r="G712" s="58">
        <f>IF($C712="B",INDEX(Batters[[#All],[Age]],MATCH(Table5[[#This Row],[PID]],Batters[[#All],[PID]],0)),INDEX(Table3[[#All],[Age]],MATCH(Table5[[#This Row],[PID]],Table3[[#All],[PID]],0)))</f>
        <v>21</v>
      </c>
      <c r="H712" s="54" t="str">
        <f>IF($C712="B",INDEX(Batters[[#All],[B]],MATCH(Table5[[#This Row],[PID]],Batters[[#All],[PID]],0)),INDEX(Table3[[#All],[B]],MATCH(Table5[[#This Row],[PID]],Table3[[#All],[PID]],0)))</f>
        <v>R</v>
      </c>
      <c r="I712" s="54" t="str">
        <f>IF($C712="B",INDEX(Batters[[#All],[T]],MATCH(Table5[[#This Row],[PID]],Batters[[#All],[PID]],0)),INDEX(Table3[[#All],[T]],MATCH(Table5[[#This Row],[PID]],Table3[[#All],[PID]],0)))</f>
        <v>R</v>
      </c>
      <c r="J712" s="54" t="str">
        <f>IF($C712="B",INDEX(Batters[[#All],[WE]],MATCH(Table5[[#This Row],[PID]],Batters[[#All],[PID]],0)),INDEX(Table3[[#All],[WE]],MATCH(Table5[[#This Row],[PID]],Table3[[#All],[PID]],0)))</f>
        <v>Low</v>
      </c>
      <c r="K712" s="54" t="str">
        <f>IF($C712="B",INDEX(Batters[[#All],[INT]],MATCH(Table5[[#This Row],[PID]],Batters[[#All],[PID]],0)),INDEX(Table3[[#All],[INT]],MATCH(Table5[[#This Row],[PID]],Table3[[#All],[PID]],0)))</f>
        <v>Normal</v>
      </c>
      <c r="L712" s="62">
        <f>IF($C712="B",INDEX(Batters[[#All],[CON P]],MATCH(Table5[[#This Row],[PID]],Batters[[#All],[PID]],0)),INDEX(Table3[[#All],[STU P]],MATCH(Table5[[#This Row],[PID]],Table3[[#All],[PID]],0)))</f>
        <v>4</v>
      </c>
      <c r="M712" s="58">
        <f>IF($C712="B",INDEX(Batters[[#All],[GAP P]],MATCH(Table5[[#This Row],[PID]],Batters[[#All],[PID]],0)),INDEX(Table3[[#All],[MOV P]],MATCH(Table5[[#This Row],[PID]],Table3[[#All],[PID]],0)))</f>
        <v>2</v>
      </c>
      <c r="N712" s="58">
        <f>IF($C712="B",INDEX(Batters[[#All],[POW P]],MATCH(Table5[[#This Row],[PID]],Batters[[#All],[PID]],0)),INDEX(Table3[[#All],[CON P]],MATCH(Table5[[#This Row],[PID]],Table3[[#All],[PID]],0)))</f>
        <v>2</v>
      </c>
      <c r="O712" s="58" t="str">
        <f>IF($C712="B",INDEX(Batters[[#All],[EYE P]],MATCH(Table5[[#This Row],[PID]],Batters[[#All],[PID]],0)),INDEX(Table3[[#All],[VELO]],MATCH(Table5[[#This Row],[PID]],Table3[[#All],[PID]],0)))</f>
        <v>84-86 Mph</v>
      </c>
      <c r="P712" s="58">
        <f>IF($C712="B",INDEX(Batters[[#All],[K P]],MATCH(Table5[[#This Row],[PID]],Batters[[#All],[PID]],0)),INDEX(Table3[[#All],[STM]],MATCH(Table5[[#This Row],[PID]],Table3[[#All],[PID]],0)))</f>
        <v>6</v>
      </c>
      <c r="Q712" s="63">
        <f>IF($C712="B",INDEX(Batters[[#All],[Tot]],MATCH(Table5[[#This Row],[PID]],Batters[[#All],[PID]],0)),INDEX(Table3[[#All],[Tot]],MATCH(Table5[[#This Row],[PID]],Table3[[#All],[PID]],0)))</f>
        <v>27.013748074579521</v>
      </c>
      <c r="R712" s="54">
        <f>IF($C712="B",INDEX(Batters[[#All],[zScore]],MATCH(Table5[[#This Row],[PID]],Batters[[#All],[PID]],0)),INDEX(Table3[[#All],[zScore]],MATCH(Table5[[#This Row],[PID]],Table3[[#All],[PID]],0)))</f>
        <v>-0.52349410353214709</v>
      </c>
      <c r="S712" s="60" t="str">
        <f>IF($C712="B",INDEX(Batters[[#All],[DEM]],MATCH(Table5[[#This Row],[PID]],Batters[[#All],[PID]],0)),INDEX(Table3[[#All],[DEM]],MATCH(Table5[[#This Row],[PID]],Table3[[#All],[PID]],0)))</f>
        <v>-</v>
      </c>
      <c r="T712" s="64">
        <f>IF($C712="B",VLOOKUP($A712,Bat!$A$4:$AU$1417,46,FALSE),VLOOKUP($A712,Pit!$A$4:$BD$570,55,FALSE))</f>
        <v>0</v>
      </c>
      <c r="U712" s="52">
        <f>IF($C712="B",VLOOKUP($A712,Bat!$A$4:$BA$1417,47,FALSE),VLOOKUP($A712,Pit!$A$4:$BF$570,56,FALSE))</f>
        <v>0</v>
      </c>
      <c r="V712" s="52">
        <f>IF($C712="B",VLOOKUP($A712,Bat!$A$4:$BA$1417,48,FALSE),VLOOKUP($A712,Pit!$A$4:$BF$570,57,FALSE))</f>
        <v>0</v>
      </c>
      <c r="W712" s="52">
        <f>Table5[[#This Row],[posRnk]]+Table5[[#This Row],[zRnk]]+IF($W$3&lt;&gt;Table5[[#This Row],[Type]],50,0)</f>
        <v>757</v>
      </c>
      <c r="X712" s="53">
        <f>RANK(Table5[[#This Row],[zScore]],Table5[[#All],[zScore]])</f>
        <v>707</v>
      </c>
      <c r="Y712" s="52" t="str">
        <f>IFERROR(INDEX(DraftResults[[#All],[OVR]],MATCH(Table5[[#This Row],[PID]],DraftResults[[#All],[Player ID]],0)),"")</f>
        <v/>
      </c>
      <c r="Z7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2" s="52" t="str">
        <f>IFERROR(INDEX(DraftResults[[#All],[Pick in Round]],MATCH(Table5[[#This Row],[PID]],DraftResults[[#All],[Player ID]],0)),"")</f>
        <v/>
      </c>
      <c r="AB712" s="52" t="str">
        <f>IFERROR(INDEX(DraftResults[[#All],[Team Name]],MATCH(Table5[[#This Row],[PID]],DraftResults[[#All],[Player ID]],0)),"")</f>
        <v/>
      </c>
      <c r="AC712" s="52" t="str">
        <f>IF(Table5[[#This Row],[Ovr]]="","",IF(Table5[[#This Row],[cmbList]]="","",Table5[[#This Row],[cmbList]]-Table5[[#This Row],[Ovr]]))</f>
        <v/>
      </c>
      <c r="AD712" s="56" t="str">
        <f>IF(ISERROR(VLOOKUP($AB712&amp;"-"&amp;$E712&amp;" "&amp;F712,Bonuses!$B$1:$G$1006,4,FALSE)),"",INT(VLOOKUP($AB712&amp;"-"&amp;$E712&amp;" "&amp;$F712,Bonuses!$B$1:$G$1006,4,FALSE)))</f>
        <v/>
      </c>
      <c r="AE7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3" spans="1:31" s="52" customFormat="1" x14ac:dyDescent="0.25">
      <c r="A713" s="52">
        <v>17888</v>
      </c>
      <c r="B713" s="52">
        <f>COUNTIF(Table5[PID],A713)</f>
        <v>1</v>
      </c>
      <c r="C713" s="52" t="str">
        <f>IF(COUNTIF(Table3[[#All],[PID]],A713)&gt;0,"P","B")</f>
        <v>P</v>
      </c>
      <c r="D713" s="61" t="str">
        <f>IF($C713="B",INDEX(Batters[[#All],[POS]],MATCH(Table5[[#This Row],[PID]],Batters[[#All],[PID]],0)),INDEX(Table3[[#All],[POS]],MATCH(Table5[[#This Row],[PID]],Table3[[#All],[PID]],0)))</f>
        <v>RP</v>
      </c>
      <c r="E713" s="54" t="str">
        <f>IF($C713="B",INDEX(Batters[[#All],[First]],MATCH(Table5[[#This Row],[PID]],Batters[[#All],[PID]],0)),INDEX(Table3[[#All],[First]],MATCH(Table5[[#This Row],[PID]],Table3[[#All],[PID]],0)))</f>
        <v>Tadashi</v>
      </c>
      <c r="F713" s="52" t="str">
        <f>IF($C713="B",INDEX(Batters[[#All],[Last]],MATCH(A713,Batters[[#All],[PID]],0)),INDEX(Table3[[#All],[Last]],MATCH(A713,Table3[[#All],[PID]],0)))</f>
        <v>Okamoto</v>
      </c>
      <c r="G713" s="58">
        <f>IF($C713="B",INDEX(Batters[[#All],[Age]],MATCH(Table5[[#This Row],[PID]],Batters[[#All],[PID]],0)),INDEX(Table3[[#All],[Age]],MATCH(Table5[[#This Row],[PID]],Table3[[#All],[PID]],0)))</f>
        <v>18</v>
      </c>
      <c r="H713" s="54" t="str">
        <f>IF($C713="B",INDEX(Batters[[#All],[B]],MATCH(Table5[[#This Row],[PID]],Batters[[#All],[PID]],0)),INDEX(Table3[[#All],[B]],MATCH(Table5[[#This Row],[PID]],Table3[[#All],[PID]],0)))</f>
        <v>R</v>
      </c>
      <c r="I713" s="54" t="str">
        <f>IF($C713="B",INDEX(Batters[[#All],[T]],MATCH(Table5[[#This Row],[PID]],Batters[[#All],[PID]],0)),INDEX(Table3[[#All],[T]],MATCH(Table5[[#This Row],[PID]],Table3[[#All],[PID]],0)))</f>
        <v>R</v>
      </c>
      <c r="J713" s="54" t="str">
        <f>IF($C713="B",INDEX(Batters[[#All],[WE]],MATCH(Table5[[#This Row],[PID]],Batters[[#All],[PID]],0)),INDEX(Table3[[#All],[WE]],MATCH(Table5[[#This Row],[PID]],Table3[[#All],[PID]],0)))</f>
        <v>Normal</v>
      </c>
      <c r="K713" s="54" t="str">
        <f>IF($C713="B",INDEX(Batters[[#All],[INT]],MATCH(Table5[[#This Row],[PID]],Batters[[#All],[PID]],0)),INDEX(Table3[[#All],[INT]],MATCH(Table5[[#This Row],[PID]],Table3[[#All],[PID]],0)))</f>
        <v>Normal</v>
      </c>
      <c r="L713" s="62">
        <f>IF($C713="B",INDEX(Batters[[#All],[CON P]],MATCH(Table5[[#This Row],[PID]],Batters[[#All],[PID]],0)),INDEX(Table3[[#All],[STU P]],MATCH(Table5[[#This Row],[PID]],Table3[[#All],[PID]],0)))</f>
        <v>3</v>
      </c>
      <c r="M713" s="58">
        <f>IF($C713="B",INDEX(Batters[[#All],[GAP P]],MATCH(Table5[[#This Row],[PID]],Batters[[#All],[PID]],0)),INDEX(Table3[[#All],[MOV P]],MATCH(Table5[[#This Row],[PID]],Table3[[#All],[PID]],0)))</f>
        <v>2</v>
      </c>
      <c r="N713" s="58">
        <f>IF($C713="B",INDEX(Batters[[#All],[POW P]],MATCH(Table5[[#This Row],[PID]],Batters[[#All],[PID]],0)),INDEX(Table3[[#All],[CON P]],MATCH(Table5[[#This Row],[PID]],Table3[[#All],[PID]],0)))</f>
        <v>2</v>
      </c>
      <c r="O713" s="58" t="str">
        <f>IF($C713="B",INDEX(Batters[[#All],[EYE P]],MATCH(Table5[[#This Row],[PID]],Batters[[#All],[PID]],0)),INDEX(Table3[[#All],[VELO]],MATCH(Table5[[#This Row],[PID]],Table3[[#All],[PID]],0)))</f>
        <v>87-89 Mph</v>
      </c>
      <c r="P713" s="58">
        <f>IF($C713="B",INDEX(Batters[[#All],[K P]],MATCH(Table5[[#This Row],[PID]],Batters[[#All],[PID]],0)),INDEX(Table3[[#All],[STM]],MATCH(Table5[[#This Row],[PID]],Table3[[#All],[PID]],0)))</f>
        <v>8</v>
      </c>
      <c r="Q713" s="63">
        <f>IF($C713="B",INDEX(Batters[[#All],[Tot]],MATCH(Table5[[#This Row],[PID]],Batters[[#All],[PID]],0)),INDEX(Table3[[#All],[Tot]],MATCH(Table5[[#This Row],[PID]],Table3[[#All],[PID]],0)))</f>
        <v>24.421698381132224</v>
      </c>
      <c r="R713" s="54">
        <f>IF($C713="B",INDEX(Batters[[#All],[zScore]],MATCH(Table5[[#This Row],[PID]],Batters[[#All],[PID]],0)),INDEX(Table3[[#All],[zScore]],MATCH(Table5[[#This Row],[PID]],Table3[[#All],[PID]],0)))</f>
        <v>-0.52353714697451381</v>
      </c>
      <c r="S713" s="60" t="str">
        <f>IF($C713="B",INDEX(Batters[[#All],[DEM]],MATCH(Table5[[#This Row],[PID]],Batters[[#All],[PID]],0)),INDEX(Table3[[#All],[DEM]],MATCH(Table5[[#This Row],[PID]],Table3[[#All],[PID]],0)))</f>
        <v>$80k</v>
      </c>
      <c r="T713" s="64">
        <f>IF($C713="B",VLOOKUP($A713,Bat!$A$4:$AU$1417,46,FALSE),VLOOKUP($A713,Pit!$A$4:$BD$570,55,FALSE))</f>
        <v>0</v>
      </c>
      <c r="U713" s="52">
        <f>IF($C713="B",VLOOKUP($A713,Bat!$A$4:$BA$1417,47,FALSE),VLOOKUP($A713,Pit!$A$4:$BF$570,56,FALSE))</f>
        <v>0</v>
      </c>
      <c r="V713" s="52">
        <f>IF($C713="B",VLOOKUP($A713,Bat!$A$4:$BA$1417,48,FALSE),VLOOKUP($A713,Pit!$A$4:$BF$570,57,FALSE))</f>
        <v>0</v>
      </c>
      <c r="W713" s="52">
        <f>Table5[[#This Row],[posRnk]]+Table5[[#This Row],[zRnk]]+IF($W$3&lt;&gt;Table5[[#This Row],[Type]],50,0)</f>
        <v>759</v>
      </c>
      <c r="X713" s="53">
        <f>RANK(Table5[[#This Row],[zScore]],Table5[[#All],[zScore]])</f>
        <v>709</v>
      </c>
      <c r="Y713" s="52" t="str">
        <f>IFERROR(INDEX(DraftResults[[#All],[OVR]],MATCH(Table5[[#This Row],[PID]],DraftResults[[#All],[Player ID]],0)),"")</f>
        <v/>
      </c>
      <c r="Z7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3" s="52" t="str">
        <f>IFERROR(INDEX(DraftResults[[#All],[Pick in Round]],MATCH(Table5[[#This Row],[PID]],DraftResults[[#All],[Player ID]],0)),"")</f>
        <v/>
      </c>
      <c r="AB713" s="52" t="str">
        <f>IFERROR(INDEX(DraftResults[[#All],[Team Name]],MATCH(Table5[[#This Row],[PID]],DraftResults[[#All],[Player ID]],0)),"")</f>
        <v/>
      </c>
      <c r="AC713" s="52" t="str">
        <f>IF(Table5[[#This Row],[Ovr]]="","",IF(Table5[[#This Row],[cmbList]]="","",Table5[[#This Row],[cmbList]]-Table5[[#This Row],[Ovr]]))</f>
        <v/>
      </c>
      <c r="AD713" s="56" t="str">
        <f>IF(ISERROR(VLOOKUP($AB713&amp;"-"&amp;$E713&amp;" "&amp;F713,Bonuses!$B$1:$G$1006,4,FALSE)),"",INT(VLOOKUP($AB713&amp;"-"&amp;$E713&amp;" "&amp;$F713,Bonuses!$B$1:$G$1006,4,FALSE)))</f>
        <v/>
      </c>
      <c r="AE7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4" spans="1:31" s="52" customFormat="1" x14ac:dyDescent="0.25">
      <c r="A714" s="52">
        <v>8338</v>
      </c>
      <c r="B714" s="57">
        <f>COUNTIF(Table5[PID],A714)</f>
        <v>1</v>
      </c>
      <c r="C714" s="57" t="str">
        <f>IF(COUNTIF(Table3[[#All],[PID]],A714)&gt;0,"P","B")</f>
        <v>B</v>
      </c>
      <c r="D714" s="61" t="str">
        <f>IF($C714="B",INDEX(Batters[[#All],[POS]],MATCH(Table5[[#This Row],[PID]],Batters[[#All],[PID]],0)),INDEX(Table3[[#All],[POS]],MATCH(Table5[[#This Row],[PID]],Table3[[#All],[PID]],0)))</f>
        <v>SS</v>
      </c>
      <c r="E714" s="54" t="str">
        <f>IF($C714="B",INDEX(Batters[[#All],[First]],MATCH(Table5[[#This Row],[PID]],Batters[[#All],[PID]],0)),INDEX(Table3[[#All],[First]],MATCH(Table5[[#This Row],[PID]],Table3[[#All],[PID]],0)))</f>
        <v>Justin</v>
      </c>
      <c r="F714" s="52" t="str">
        <f>IF($C714="B",INDEX(Batters[[#All],[Last]],MATCH(A714,Batters[[#All],[PID]],0)),INDEX(Table3[[#All],[Last]],MATCH(A714,Table3[[#All],[PID]],0)))</f>
        <v>Morgan</v>
      </c>
      <c r="G714" s="58">
        <f>IF($C714="B",INDEX(Batters[[#All],[Age]],MATCH(Table5[[#This Row],[PID]],Batters[[#All],[PID]],0)),INDEX(Table3[[#All],[Age]],MATCH(Table5[[#This Row],[PID]],Table3[[#All],[PID]],0)))</f>
        <v>22</v>
      </c>
      <c r="H714" s="54" t="str">
        <f>IF($C714="B",INDEX(Batters[[#All],[B]],MATCH(Table5[[#This Row],[PID]],Batters[[#All],[PID]],0)),INDEX(Table3[[#All],[B]],MATCH(Table5[[#This Row],[PID]],Table3[[#All],[PID]],0)))</f>
        <v>S</v>
      </c>
      <c r="I714" s="54" t="str">
        <f>IF($C714="B",INDEX(Batters[[#All],[T]],MATCH(Table5[[#This Row],[PID]],Batters[[#All],[PID]],0)),INDEX(Table3[[#All],[T]],MATCH(Table5[[#This Row],[PID]],Table3[[#All],[PID]],0)))</f>
        <v>R</v>
      </c>
      <c r="J714" s="54" t="str">
        <f>IF($C714="B",INDEX(Batters[[#All],[WE]],MATCH(Table5[[#This Row],[PID]],Batters[[#All],[PID]],0)),INDEX(Table3[[#All],[WE]],MATCH(Table5[[#This Row],[PID]],Table3[[#All],[PID]],0)))</f>
        <v>Low</v>
      </c>
      <c r="K714" s="54" t="str">
        <f>IF($C714="B",INDEX(Batters[[#All],[INT]],MATCH(Table5[[#This Row],[PID]],Batters[[#All],[PID]],0)),INDEX(Table3[[#All],[INT]],MATCH(Table5[[#This Row],[PID]],Table3[[#All],[PID]],0)))</f>
        <v>Normal</v>
      </c>
      <c r="L714" s="62">
        <f>IF($C714="B",INDEX(Batters[[#All],[CON P]],MATCH(Table5[[#This Row],[PID]],Batters[[#All],[PID]],0)),INDEX(Table3[[#All],[STU P]],MATCH(Table5[[#This Row],[PID]],Table3[[#All],[PID]],0)))</f>
        <v>3</v>
      </c>
      <c r="M714" s="58">
        <f>IF($C714="B",INDEX(Batters[[#All],[GAP P]],MATCH(Table5[[#This Row],[PID]],Batters[[#All],[PID]],0)),INDEX(Table3[[#All],[MOV P]],MATCH(Table5[[#This Row],[PID]],Table3[[#All],[PID]],0)))</f>
        <v>4</v>
      </c>
      <c r="N714" s="58">
        <f>IF($C714="B",INDEX(Batters[[#All],[POW P]],MATCH(Table5[[#This Row],[PID]],Batters[[#All],[PID]],0)),INDEX(Table3[[#All],[CON P]],MATCH(Table5[[#This Row],[PID]],Table3[[#All],[PID]],0)))</f>
        <v>3</v>
      </c>
      <c r="O714" s="58">
        <f>IF($C714="B",INDEX(Batters[[#All],[EYE P]],MATCH(Table5[[#This Row],[PID]],Batters[[#All],[PID]],0)),INDEX(Table3[[#All],[VELO]],MATCH(Table5[[#This Row],[PID]],Table3[[#All],[PID]],0)))</f>
        <v>5</v>
      </c>
      <c r="P714" s="58">
        <f>IF($C714="B",INDEX(Batters[[#All],[K P]],MATCH(Table5[[#This Row],[PID]],Batters[[#All],[PID]],0)),INDEX(Table3[[#All],[STM]],MATCH(Table5[[#This Row],[PID]],Table3[[#All],[PID]],0)))</f>
        <v>3</v>
      </c>
      <c r="Q714" s="63">
        <f>IF($C714="B",INDEX(Batters[[#All],[Tot]],MATCH(Table5[[#This Row],[PID]],Batters[[#All],[PID]],0)),INDEX(Table3[[#All],[Tot]],MATCH(Table5[[#This Row],[PID]],Table3[[#All],[PID]],0)))</f>
        <v>37.35532765019547</v>
      </c>
      <c r="R714" s="54">
        <f>IF($C714="B",INDEX(Batters[[#All],[zScore]],MATCH(Table5[[#This Row],[PID]],Batters[[#All],[PID]],0)),INDEX(Table3[[#All],[zScore]],MATCH(Table5[[#This Row],[PID]],Table3[[#All],[PID]],0)))</f>
        <v>-0.52658433076483568</v>
      </c>
      <c r="S714" s="60" t="str">
        <f>IF($C714="B",INDEX(Batters[[#All],[DEM]],MATCH(Table5[[#This Row],[PID]],Batters[[#All],[PID]],0)),INDEX(Table3[[#All],[DEM]],MATCH(Table5[[#This Row],[PID]],Table3[[#All],[PID]],0)))</f>
        <v>-</v>
      </c>
      <c r="T714" s="64">
        <f>IF($C714="B",VLOOKUP($A714,Bat!$A$4:$AU$1417,46,FALSE),VLOOKUP($A714,Pit!$A$4:$BD$570,55,FALSE))</f>
        <v>0</v>
      </c>
      <c r="U714" s="52">
        <f>IF($C714="B",VLOOKUP($A714,Bat!$A$4:$BA$1417,47,FALSE),VLOOKUP($A714,Pit!$A$4:$BF$570,56,FALSE))</f>
        <v>0</v>
      </c>
      <c r="V714" s="52">
        <f>IF($C714="B",VLOOKUP($A714,Bat!$A$4:$BA$1417,48,FALSE),VLOOKUP($A714,Pit!$A$4:$BF$570,57,FALSE))</f>
        <v>0</v>
      </c>
      <c r="W714" s="52">
        <f>Table5[[#This Row],[posRnk]]+Table5[[#This Row],[zRnk]]+IF($W$3&lt;&gt;Table5[[#This Row],[Type]],50,0)</f>
        <v>760</v>
      </c>
      <c r="X714" s="53">
        <f>RANK(Table5[[#This Row],[zScore]],Table5[[#All],[zScore]])</f>
        <v>710</v>
      </c>
      <c r="Y714" s="52" t="str">
        <f>IFERROR(INDEX(DraftResults[[#All],[OVR]],MATCH(Table5[[#This Row],[PID]],DraftResults[[#All],[Player ID]],0)),"")</f>
        <v/>
      </c>
      <c r="Z7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4" s="52" t="str">
        <f>IFERROR(INDEX(DraftResults[[#All],[Pick in Round]],MATCH(Table5[[#This Row],[PID]],DraftResults[[#All],[Player ID]],0)),"")</f>
        <v/>
      </c>
      <c r="AB714" s="52" t="str">
        <f>IFERROR(INDEX(DraftResults[[#All],[Team Name]],MATCH(Table5[[#This Row],[PID]],DraftResults[[#All],[Player ID]],0)),"")</f>
        <v/>
      </c>
      <c r="AC714" s="52" t="str">
        <f>IF(Table5[[#This Row],[Ovr]]="","",IF(Table5[[#This Row],[cmbList]]="","",Table5[[#This Row],[cmbList]]-Table5[[#This Row],[Ovr]]))</f>
        <v/>
      </c>
      <c r="AD714" s="56" t="str">
        <f>IF(ISERROR(VLOOKUP($AB714&amp;"-"&amp;$E714&amp;" "&amp;F714,Bonuses!$B$1:$G$1006,4,FALSE)),"",INT(VLOOKUP($AB714&amp;"-"&amp;$E714&amp;" "&amp;$F714,Bonuses!$B$1:$G$1006,4,FALSE)))</f>
        <v/>
      </c>
      <c r="AE7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5" spans="1:31" s="52" customFormat="1" x14ac:dyDescent="0.25">
      <c r="A715" s="52">
        <v>8759</v>
      </c>
      <c r="B715" s="52">
        <f>COUNTIF(Table5[PID],A715)</f>
        <v>1</v>
      </c>
      <c r="C715" s="52" t="str">
        <f>IF(COUNTIF(Table3[[#All],[PID]],A715)&gt;0,"P","B")</f>
        <v>P</v>
      </c>
      <c r="D715" s="61" t="str">
        <f>IF($C715="B",INDEX(Batters[[#All],[POS]],MATCH(Table5[[#This Row],[PID]],Batters[[#All],[PID]],0)),INDEX(Table3[[#All],[POS]],MATCH(Table5[[#This Row],[PID]],Table3[[#All],[PID]],0)))</f>
        <v>RP</v>
      </c>
      <c r="E715" s="54" t="str">
        <f>IF($C715="B",INDEX(Batters[[#All],[First]],MATCH(Table5[[#This Row],[PID]],Batters[[#All],[PID]],0)),INDEX(Table3[[#All],[First]],MATCH(Table5[[#This Row],[PID]],Table3[[#All],[PID]],0)))</f>
        <v>Kelly</v>
      </c>
      <c r="F715" s="52" t="str">
        <f>IF($C715="B",INDEX(Batters[[#All],[Last]],MATCH(A715,Batters[[#All],[PID]],0)),INDEX(Table3[[#All],[Last]],MATCH(A715,Table3[[#All],[PID]],0)))</f>
        <v>Campbell</v>
      </c>
      <c r="G715" s="58">
        <f>IF($C715="B",INDEX(Batters[[#All],[Age]],MATCH(Table5[[#This Row],[PID]],Batters[[#All],[PID]],0)),INDEX(Table3[[#All],[Age]],MATCH(Table5[[#This Row],[PID]],Table3[[#All],[PID]],0)))</f>
        <v>18</v>
      </c>
      <c r="H715" s="54" t="str">
        <f>IF($C715="B",INDEX(Batters[[#All],[B]],MATCH(Table5[[#This Row],[PID]],Batters[[#All],[PID]],0)),INDEX(Table3[[#All],[B]],MATCH(Table5[[#This Row],[PID]],Table3[[#All],[PID]],0)))</f>
        <v>L</v>
      </c>
      <c r="I715" s="54" t="str">
        <f>IF($C715="B",INDEX(Batters[[#All],[T]],MATCH(Table5[[#This Row],[PID]],Batters[[#All],[PID]],0)),INDEX(Table3[[#All],[T]],MATCH(Table5[[#This Row],[PID]],Table3[[#All],[PID]],0)))</f>
        <v>L</v>
      </c>
      <c r="J715" s="54" t="str">
        <f>IF($C715="B",INDEX(Batters[[#All],[WE]],MATCH(Table5[[#This Row],[PID]],Batters[[#All],[PID]],0)),INDEX(Table3[[#All],[WE]],MATCH(Table5[[#This Row],[PID]],Table3[[#All],[PID]],0)))</f>
        <v>Low</v>
      </c>
      <c r="K715" s="54" t="str">
        <f>IF($C715="B",INDEX(Batters[[#All],[INT]],MATCH(Table5[[#This Row],[PID]],Batters[[#All],[PID]],0)),INDEX(Table3[[#All],[INT]],MATCH(Table5[[#This Row],[PID]],Table3[[#All],[PID]],0)))</f>
        <v>High</v>
      </c>
      <c r="L715" s="62">
        <f>IF($C715="B",INDEX(Batters[[#All],[CON P]],MATCH(Table5[[#This Row],[PID]],Batters[[#All],[PID]],0)),INDEX(Table3[[#All],[STU P]],MATCH(Table5[[#This Row],[PID]],Table3[[#All],[PID]],0)))</f>
        <v>2</v>
      </c>
      <c r="M715" s="58">
        <f>IF($C715="B",INDEX(Batters[[#All],[GAP P]],MATCH(Table5[[#This Row],[PID]],Batters[[#All],[PID]],0)),INDEX(Table3[[#All],[MOV P]],MATCH(Table5[[#This Row],[PID]],Table3[[#All],[PID]],0)))</f>
        <v>2</v>
      </c>
      <c r="N715" s="58">
        <f>IF($C715="B",INDEX(Batters[[#All],[POW P]],MATCH(Table5[[#This Row],[PID]],Batters[[#All],[PID]],0)),INDEX(Table3[[#All],[CON P]],MATCH(Table5[[#This Row],[PID]],Table3[[#All],[PID]],0)))</f>
        <v>2</v>
      </c>
      <c r="O715" s="58" t="str">
        <f>IF($C715="B",INDEX(Batters[[#All],[EYE P]],MATCH(Table5[[#This Row],[PID]],Batters[[#All],[PID]],0)),INDEX(Table3[[#All],[VELO]],MATCH(Table5[[#This Row],[PID]],Table3[[#All],[PID]],0)))</f>
        <v>84-86 Mph</v>
      </c>
      <c r="P715" s="58">
        <f>IF($C715="B",INDEX(Batters[[#All],[K P]],MATCH(Table5[[#This Row],[PID]],Batters[[#All],[PID]],0)),INDEX(Table3[[#All],[STM]],MATCH(Table5[[#This Row],[PID]],Table3[[#All],[PID]],0)))</f>
        <v>6</v>
      </c>
      <c r="Q715" s="63">
        <f>IF($C715="B",INDEX(Batters[[#All],[Tot]],MATCH(Table5[[#This Row],[PID]],Batters[[#All],[PID]],0)),INDEX(Table3[[#All],[Tot]],MATCH(Table5[[#This Row],[PID]],Table3[[#All],[PID]],0)))</f>
        <v>24.383207584307531</v>
      </c>
      <c r="R715" s="54">
        <f>IF($C715="B",INDEX(Batters[[#All],[zScore]],MATCH(Table5[[#This Row],[PID]],Batters[[#All],[PID]],0)),INDEX(Table3[[#All],[zScore]],MATCH(Table5[[#This Row],[PID]],Table3[[#All],[PID]],0)))</f>
        <v>-0.52691058054885287</v>
      </c>
      <c r="S715" s="60" t="str">
        <f>IF($C715="B",INDEX(Batters[[#All],[DEM]],MATCH(Table5[[#This Row],[PID]],Batters[[#All],[PID]],0)),INDEX(Table3[[#All],[DEM]],MATCH(Table5[[#This Row],[PID]],Table3[[#All],[PID]],0)))</f>
        <v>$65k</v>
      </c>
      <c r="T715" s="64">
        <f>IF($C715="B",VLOOKUP($A715,Bat!$A$4:$AU$1417,46,FALSE),VLOOKUP($A715,Pit!$A$4:$BD$570,55,FALSE))</f>
        <v>0</v>
      </c>
      <c r="U715" s="52">
        <f>IF($C715="B",VLOOKUP($A715,Bat!$A$4:$BA$1417,47,FALSE),VLOOKUP($A715,Pit!$A$4:$BF$570,56,FALSE))</f>
        <v>0</v>
      </c>
      <c r="V715" s="52">
        <f>IF($C715="B",VLOOKUP($A715,Bat!$A$4:$BA$1417,48,FALSE),VLOOKUP($A715,Pit!$A$4:$BF$570,57,FALSE))</f>
        <v>0</v>
      </c>
      <c r="W715" s="52">
        <f>Table5[[#This Row],[posRnk]]+Table5[[#This Row],[zRnk]]+IF($W$3&lt;&gt;Table5[[#This Row],[Type]],50,0)</f>
        <v>761</v>
      </c>
      <c r="X715" s="53">
        <f>RANK(Table5[[#This Row],[zScore]],Table5[[#All],[zScore]])</f>
        <v>711</v>
      </c>
      <c r="Y715" s="52" t="str">
        <f>IFERROR(INDEX(DraftResults[[#All],[OVR]],MATCH(Table5[[#This Row],[PID]],DraftResults[[#All],[Player ID]],0)),"")</f>
        <v/>
      </c>
      <c r="Z7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5" s="52" t="str">
        <f>IFERROR(INDEX(DraftResults[[#All],[Pick in Round]],MATCH(Table5[[#This Row],[PID]],DraftResults[[#All],[Player ID]],0)),"")</f>
        <v/>
      </c>
      <c r="AB715" s="52" t="str">
        <f>IFERROR(INDEX(DraftResults[[#All],[Team Name]],MATCH(Table5[[#This Row],[PID]],DraftResults[[#All],[Player ID]],0)),"")</f>
        <v/>
      </c>
      <c r="AC715" s="52" t="str">
        <f>IF(Table5[[#This Row],[Ovr]]="","",IF(Table5[[#This Row],[cmbList]]="","",Table5[[#This Row],[cmbList]]-Table5[[#This Row],[Ovr]]))</f>
        <v/>
      </c>
      <c r="AD715" s="56" t="str">
        <f>IF(ISERROR(VLOOKUP($AB715&amp;"-"&amp;$E715&amp;" "&amp;F715,Bonuses!$B$1:$G$1006,4,FALSE)),"",INT(VLOOKUP($AB715&amp;"-"&amp;$E715&amp;" "&amp;$F715,Bonuses!$B$1:$G$1006,4,FALSE)))</f>
        <v/>
      </c>
      <c r="AE7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6" spans="1:31" s="52" customFormat="1" x14ac:dyDescent="0.25">
      <c r="A716" s="52">
        <v>17849</v>
      </c>
      <c r="B716" s="52">
        <f>COUNTIF(Table5[PID],A716)</f>
        <v>1</v>
      </c>
      <c r="C716" s="52" t="str">
        <f>IF(COUNTIF(Table3[[#All],[PID]],A716)&gt;0,"P","B")</f>
        <v>P</v>
      </c>
      <c r="D716" s="61" t="str">
        <f>IF($C716="B",INDEX(Batters[[#All],[POS]],MATCH(Table5[[#This Row],[PID]],Batters[[#All],[PID]],0)),INDEX(Table3[[#All],[POS]],MATCH(Table5[[#This Row],[PID]],Table3[[#All],[PID]],0)))</f>
        <v>RP</v>
      </c>
      <c r="E716" s="54" t="str">
        <f>IF($C716="B",INDEX(Batters[[#All],[First]],MATCH(Table5[[#This Row],[PID]],Batters[[#All],[PID]],0)),INDEX(Table3[[#All],[First]],MATCH(Table5[[#This Row],[PID]],Table3[[#All],[PID]],0)))</f>
        <v>Yeijiro</v>
      </c>
      <c r="F716" s="52" t="str">
        <f>IF($C716="B",INDEX(Batters[[#All],[Last]],MATCH(A716,Batters[[#All],[PID]],0)),INDEX(Table3[[#All],[Last]],MATCH(A716,Table3[[#All],[PID]],0)))</f>
        <v>Ohayashi</v>
      </c>
      <c r="G716" s="58">
        <f>IF($C716="B",INDEX(Batters[[#All],[Age]],MATCH(Table5[[#This Row],[PID]],Batters[[#All],[PID]],0)),INDEX(Table3[[#All],[Age]],MATCH(Table5[[#This Row],[PID]],Table3[[#All],[PID]],0)))</f>
        <v>18</v>
      </c>
      <c r="H716" s="54" t="str">
        <f>IF($C716="B",INDEX(Batters[[#All],[B]],MATCH(Table5[[#This Row],[PID]],Batters[[#All],[PID]],0)),INDEX(Table3[[#All],[B]],MATCH(Table5[[#This Row],[PID]],Table3[[#All],[PID]],0)))</f>
        <v>L</v>
      </c>
      <c r="I716" s="54" t="str">
        <f>IF($C716="B",INDEX(Batters[[#All],[T]],MATCH(Table5[[#This Row],[PID]],Batters[[#All],[PID]],0)),INDEX(Table3[[#All],[T]],MATCH(Table5[[#This Row],[PID]],Table3[[#All],[PID]],0)))</f>
        <v>R</v>
      </c>
      <c r="J716" s="54" t="str">
        <f>IF($C716="B",INDEX(Batters[[#All],[WE]],MATCH(Table5[[#This Row],[PID]],Batters[[#All],[PID]],0)),INDEX(Table3[[#All],[WE]],MATCH(Table5[[#This Row],[PID]],Table3[[#All],[PID]],0)))</f>
        <v>Low</v>
      </c>
      <c r="K716" s="54" t="str">
        <f>IF($C716="B",INDEX(Batters[[#All],[INT]],MATCH(Table5[[#This Row],[PID]],Batters[[#All],[PID]],0)),INDEX(Table3[[#All],[INT]],MATCH(Table5[[#This Row],[PID]],Table3[[#All],[PID]],0)))</f>
        <v>Low</v>
      </c>
      <c r="L716" s="62">
        <f>IF($C716="B",INDEX(Batters[[#All],[CON P]],MATCH(Table5[[#This Row],[PID]],Batters[[#All],[PID]],0)),INDEX(Table3[[#All],[STU P]],MATCH(Table5[[#This Row],[PID]],Table3[[#All],[PID]],0)))</f>
        <v>4</v>
      </c>
      <c r="M716" s="58">
        <f>IF($C716="B",INDEX(Batters[[#All],[GAP P]],MATCH(Table5[[#This Row],[PID]],Batters[[#All],[PID]],0)),INDEX(Table3[[#All],[MOV P]],MATCH(Table5[[#This Row],[PID]],Table3[[#All],[PID]],0)))</f>
        <v>1</v>
      </c>
      <c r="N716" s="58">
        <f>IF($C716="B",INDEX(Batters[[#All],[POW P]],MATCH(Table5[[#This Row],[PID]],Batters[[#All],[PID]],0)),INDEX(Table3[[#All],[CON P]],MATCH(Table5[[#This Row],[PID]],Table3[[#All],[PID]],0)))</f>
        <v>2</v>
      </c>
      <c r="O716" s="58" t="str">
        <f>IF($C716="B",INDEX(Batters[[#All],[EYE P]],MATCH(Table5[[#This Row],[PID]],Batters[[#All],[PID]],0)),INDEX(Table3[[#All],[VELO]],MATCH(Table5[[#This Row],[PID]],Table3[[#All],[PID]],0)))</f>
        <v>86-88 Mph</v>
      </c>
      <c r="P716" s="58">
        <f>IF($C716="B",INDEX(Batters[[#All],[K P]],MATCH(Table5[[#This Row],[PID]],Batters[[#All],[PID]],0)),INDEX(Table3[[#All],[STM]],MATCH(Table5[[#This Row],[PID]],Table3[[#All],[PID]],0)))</f>
        <v>6</v>
      </c>
      <c r="Q716" s="63">
        <f>IF($C716="B",INDEX(Batters[[#All],[Tot]],MATCH(Table5[[#This Row],[PID]],Batters[[#All],[PID]],0)),INDEX(Table3[[#All],[Tot]],MATCH(Table5[[#This Row],[PID]],Table3[[#All],[PID]],0)))</f>
        <v>26.963491139720709</v>
      </c>
      <c r="R716" s="54">
        <f>IF($C716="B",INDEX(Batters[[#All],[zScore]],MATCH(Table5[[#This Row],[PID]],Batters[[#All],[PID]],0)),INDEX(Table3[[#All],[zScore]],MATCH(Table5[[#This Row],[PID]],Table3[[#All],[PID]],0)))</f>
        <v>-0.52810287926135424</v>
      </c>
      <c r="S716" s="60" t="str">
        <f>IF($C716="B",INDEX(Batters[[#All],[DEM]],MATCH(Table5[[#This Row],[PID]],Batters[[#All],[PID]],0)),INDEX(Table3[[#All],[DEM]],MATCH(Table5[[#This Row],[PID]],Table3[[#All],[PID]],0)))</f>
        <v>$80k</v>
      </c>
      <c r="T716" s="64">
        <f>IF($C716="B",VLOOKUP($A716,Bat!$A$4:$AU$1417,46,FALSE),VLOOKUP($A716,Pit!$A$4:$BD$570,55,FALSE))</f>
        <v>0</v>
      </c>
      <c r="U716" s="52">
        <f>IF($C716="B",VLOOKUP($A716,Bat!$A$4:$BA$1417,47,FALSE),VLOOKUP($A716,Pit!$A$4:$BF$570,56,FALSE))</f>
        <v>0</v>
      </c>
      <c r="V716" s="52">
        <f>IF($C716="B",VLOOKUP($A716,Bat!$A$4:$BA$1417,48,FALSE),VLOOKUP($A716,Pit!$A$4:$BF$570,57,FALSE))</f>
        <v>0</v>
      </c>
      <c r="W716" s="52">
        <f>Table5[[#This Row],[posRnk]]+Table5[[#This Row],[zRnk]]+IF($W$3&lt;&gt;Table5[[#This Row],[Type]],50,0)</f>
        <v>762</v>
      </c>
      <c r="X716" s="53">
        <f>RANK(Table5[[#This Row],[zScore]],Table5[[#All],[zScore]])</f>
        <v>712</v>
      </c>
      <c r="Y716" s="52" t="str">
        <f>IFERROR(INDEX(DraftResults[[#All],[OVR]],MATCH(Table5[[#This Row],[PID]],DraftResults[[#All],[Player ID]],0)),"")</f>
        <v/>
      </c>
      <c r="Z7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6" s="52" t="str">
        <f>IFERROR(INDEX(DraftResults[[#All],[Pick in Round]],MATCH(Table5[[#This Row],[PID]],DraftResults[[#All],[Player ID]],0)),"")</f>
        <v/>
      </c>
      <c r="AB716" s="52" t="str">
        <f>IFERROR(INDEX(DraftResults[[#All],[Team Name]],MATCH(Table5[[#This Row],[PID]],DraftResults[[#All],[Player ID]],0)),"")</f>
        <v/>
      </c>
      <c r="AC716" s="52" t="str">
        <f>IF(Table5[[#This Row],[Ovr]]="","",IF(Table5[[#This Row],[cmbList]]="","",Table5[[#This Row],[cmbList]]-Table5[[#This Row],[Ovr]]))</f>
        <v/>
      </c>
      <c r="AD716" s="56" t="str">
        <f>IF(ISERROR(VLOOKUP($AB716&amp;"-"&amp;$E716&amp;" "&amp;F716,Bonuses!$B$1:$G$1006,4,FALSE)),"",INT(VLOOKUP($AB716&amp;"-"&amp;$E716&amp;" "&amp;$F716,Bonuses!$B$1:$G$1006,4,FALSE)))</f>
        <v/>
      </c>
      <c r="AE7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7" spans="1:31" s="52" customFormat="1" x14ac:dyDescent="0.25">
      <c r="A717" s="52">
        <v>8080</v>
      </c>
      <c r="B717" s="52">
        <f>COUNTIF(Table5[PID],A717)</f>
        <v>1</v>
      </c>
      <c r="C717" s="52" t="str">
        <f>IF(COUNTIF(Table3[[#All],[PID]],A717)&gt;0,"P","B")</f>
        <v>P</v>
      </c>
      <c r="D717" s="61" t="str">
        <f>IF($C717="B",INDEX(Batters[[#All],[POS]],MATCH(Table5[[#This Row],[PID]],Batters[[#All],[PID]],0)),INDEX(Table3[[#All],[POS]],MATCH(Table5[[#This Row],[PID]],Table3[[#All],[PID]],0)))</f>
        <v>RP</v>
      </c>
      <c r="E717" s="54" t="str">
        <f>IF($C717="B",INDEX(Batters[[#All],[First]],MATCH(Table5[[#This Row],[PID]],Batters[[#All],[PID]],0)),INDEX(Table3[[#All],[First]],MATCH(Table5[[#This Row],[PID]],Table3[[#All],[PID]],0)))</f>
        <v>Steve</v>
      </c>
      <c r="F717" s="52" t="str">
        <f>IF($C717="B",INDEX(Batters[[#All],[Last]],MATCH(A717,Batters[[#All],[PID]],0)),INDEX(Table3[[#All],[Last]],MATCH(A717,Table3[[#All],[PID]],0)))</f>
        <v>Smith</v>
      </c>
      <c r="G717" s="58">
        <f>IF($C717="B",INDEX(Batters[[#All],[Age]],MATCH(Table5[[#This Row],[PID]],Batters[[#All],[PID]],0)),INDEX(Table3[[#All],[Age]],MATCH(Table5[[#This Row],[PID]],Table3[[#All],[PID]],0)))</f>
        <v>18</v>
      </c>
      <c r="H717" s="54" t="str">
        <f>IF($C717="B",INDEX(Batters[[#All],[B]],MATCH(Table5[[#This Row],[PID]],Batters[[#All],[PID]],0)),INDEX(Table3[[#All],[B]],MATCH(Table5[[#This Row],[PID]],Table3[[#All],[PID]],0)))</f>
        <v>S</v>
      </c>
      <c r="I717" s="54" t="str">
        <f>IF($C717="B",INDEX(Batters[[#All],[T]],MATCH(Table5[[#This Row],[PID]],Batters[[#All],[PID]],0)),INDEX(Table3[[#All],[T]],MATCH(Table5[[#This Row],[PID]],Table3[[#All],[PID]],0)))</f>
        <v>R</v>
      </c>
      <c r="J717" s="54" t="str">
        <f>IF($C717="B",INDEX(Batters[[#All],[WE]],MATCH(Table5[[#This Row],[PID]],Batters[[#All],[PID]],0)),INDEX(Table3[[#All],[WE]],MATCH(Table5[[#This Row],[PID]],Table3[[#All],[PID]],0)))</f>
        <v>Normal</v>
      </c>
      <c r="K717" s="54" t="str">
        <f>IF($C717="B",INDEX(Batters[[#All],[INT]],MATCH(Table5[[#This Row],[PID]],Batters[[#All],[PID]],0)),INDEX(Table3[[#All],[INT]],MATCH(Table5[[#This Row],[PID]],Table3[[#All],[PID]],0)))</f>
        <v>Normal</v>
      </c>
      <c r="L717" s="62">
        <f>IF($C717="B",INDEX(Batters[[#All],[CON P]],MATCH(Table5[[#This Row],[PID]],Batters[[#All],[PID]],0)),INDEX(Table3[[#All],[STU P]],MATCH(Table5[[#This Row],[PID]],Table3[[#All],[PID]],0)))</f>
        <v>4</v>
      </c>
      <c r="M717" s="58">
        <f>IF($C717="B",INDEX(Batters[[#All],[GAP P]],MATCH(Table5[[#This Row],[PID]],Batters[[#All],[PID]],0)),INDEX(Table3[[#All],[MOV P]],MATCH(Table5[[#This Row],[PID]],Table3[[#All],[PID]],0)))</f>
        <v>1</v>
      </c>
      <c r="N717" s="58">
        <f>IF($C717="B",INDEX(Batters[[#All],[POW P]],MATCH(Table5[[#This Row],[PID]],Batters[[#All],[PID]],0)),INDEX(Table3[[#All],[CON P]],MATCH(Table5[[#This Row],[PID]],Table3[[#All],[PID]],0)))</f>
        <v>2</v>
      </c>
      <c r="O717" s="58" t="str">
        <f>IF($C717="B",INDEX(Batters[[#All],[EYE P]],MATCH(Table5[[#This Row],[PID]],Batters[[#All],[PID]],0)),INDEX(Table3[[#All],[VELO]],MATCH(Table5[[#This Row],[PID]],Table3[[#All],[PID]],0)))</f>
        <v>85-87 Mph</v>
      </c>
      <c r="P717" s="58">
        <f>IF($C717="B",INDEX(Batters[[#All],[K P]],MATCH(Table5[[#This Row],[PID]],Batters[[#All],[PID]],0)),INDEX(Table3[[#All],[STM]],MATCH(Table5[[#This Row],[PID]],Table3[[#All],[PID]],0)))</f>
        <v>8</v>
      </c>
      <c r="Q717" s="63">
        <f>IF($C717="B",INDEX(Batters[[#All],[Tot]],MATCH(Table5[[#This Row],[PID]],Batters[[#All],[PID]],0)),INDEX(Table3[[#All],[Tot]],MATCH(Table5[[#This Row],[PID]],Table3[[#All],[PID]],0)))</f>
        <v>26.936913989457139</v>
      </c>
      <c r="R717" s="54">
        <f>IF($C717="B",INDEX(Batters[[#All],[zScore]],MATCH(Table5[[#This Row],[PID]],Batters[[#All],[PID]],0)),INDEX(Table3[[#All],[zScore]],MATCH(Table5[[#This Row],[PID]],Table3[[#All],[PID]],0)))</f>
        <v>-0.53054011753365127</v>
      </c>
      <c r="S717" s="60" t="str">
        <f>IF($C717="B",INDEX(Batters[[#All],[DEM]],MATCH(Table5[[#This Row],[PID]],Batters[[#All],[PID]],0)),INDEX(Table3[[#All],[DEM]],MATCH(Table5[[#This Row],[PID]],Table3[[#All],[PID]],0)))</f>
        <v>-</v>
      </c>
      <c r="T717" s="64">
        <f>IF($C717="B",VLOOKUP($A717,Bat!$A$4:$AU$1417,46,FALSE),VLOOKUP($A717,Pit!$A$4:$BD$570,55,FALSE))</f>
        <v>0</v>
      </c>
      <c r="U717" s="52">
        <f>IF($C717="B",VLOOKUP($A717,Bat!$A$4:$BA$1417,47,FALSE),VLOOKUP($A717,Pit!$A$4:$BF$570,56,FALSE))</f>
        <v>0</v>
      </c>
      <c r="V717" s="52">
        <f>IF($C717="B",VLOOKUP($A717,Bat!$A$4:$BA$1417,48,FALSE),VLOOKUP($A717,Pit!$A$4:$BF$570,57,FALSE))</f>
        <v>0</v>
      </c>
      <c r="W717" s="52">
        <f>Table5[[#This Row],[posRnk]]+Table5[[#This Row],[zRnk]]+IF($W$3&lt;&gt;Table5[[#This Row],[Type]],50,0)</f>
        <v>763</v>
      </c>
      <c r="X717" s="53">
        <f>RANK(Table5[[#This Row],[zScore]],Table5[[#All],[zScore]])</f>
        <v>713</v>
      </c>
      <c r="Y717" s="52" t="str">
        <f>IFERROR(INDEX(DraftResults[[#All],[OVR]],MATCH(Table5[[#This Row],[PID]],DraftResults[[#All],[Player ID]],0)),"")</f>
        <v/>
      </c>
      <c r="Z7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7" s="52" t="str">
        <f>IFERROR(INDEX(DraftResults[[#All],[Pick in Round]],MATCH(Table5[[#This Row],[PID]],DraftResults[[#All],[Player ID]],0)),"")</f>
        <v/>
      </c>
      <c r="AB717" s="52" t="str">
        <f>IFERROR(INDEX(DraftResults[[#All],[Team Name]],MATCH(Table5[[#This Row],[PID]],DraftResults[[#All],[Player ID]],0)),"")</f>
        <v/>
      </c>
      <c r="AC717" s="52" t="str">
        <f>IF(Table5[[#This Row],[Ovr]]="","",IF(Table5[[#This Row],[cmbList]]="","",Table5[[#This Row],[cmbList]]-Table5[[#This Row],[Ovr]]))</f>
        <v/>
      </c>
      <c r="AD717" s="56" t="str">
        <f>IF(ISERROR(VLOOKUP($AB717&amp;"-"&amp;$E717&amp;" "&amp;F717,Bonuses!$B$1:$G$1006,4,FALSE)),"",INT(VLOOKUP($AB717&amp;"-"&amp;$E717&amp;" "&amp;$F717,Bonuses!$B$1:$G$1006,4,FALSE)))</f>
        <v/>
      </c>
      <c r="AE7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8" spans="1:31" s="52" customFormat="1" x14ac:dyDescent="0.25">
      <c r="A718" s="52">
        <v>17641</v>
      </c>
      <c r="B718" s="52">
        <f>COUNTIF(Table5[PID],A718)</f>
        <v>1</v>
      </c>
      <c r="C718" s="52" t="str">
        <f>IF(COUNTIF(Table3[[#All],[PID]],A718)&gt;0,"P","B")</f>
        <v>P</v>
      </c>
      <c r="D718" s="61" t="str">
        <f>IF($C718="B",INDEX(Batters[[#All],[POS]],MATCH(Table5[[#This Row],[PID]],Batters[[#All],[PID]],0)),INDEX(Table3[[#All],[POS]],MATCH(Table5[[#This Row],[PID]],Table3[[#All],[PID]],0)))</f>
        <v>SP</v>
      </c>
      <c r="E718" s="54" t="str">
        <f>IF($C718="B",INDEX(Batters[[#All],[First]],MATCH(Table5[[#This Row],[PID]],Batters[[#All],[PID]],0)),INDEX(Table3[[#All],[First]],MATCH(Table5[[#This Row],[PID]],Table3[[#All],[PID]],0)))</f>
        <v>Ben</v>
      </c>
      <c r="F718" s="52" t="str">
        <f>IF($C718="B",INDEX(Batters[[#All],[Last]],MATCH(A718,Batters[[#All],[PID]],0)),INDEX(Table3[[#All],[Last]],MATCH(A718,Table3[[#All],[PID]],0)))</f>
        <v>Tomlinson</v>
      </c>
      <c r="G718" s="58">
        <f>IF($C718="B",INDEX(Batters[[#All],[Age]],MATCH(Table5[[#This Row],[PID]],Batters[[#All],[PID]],0)),INDEX(Table3[[#All],[Age]],MATCH(Table5[[#This Row],[PID]],Table3[[#All],[PID]],0)))</f>
        <v>18</v>
      </c>
      <c r="H718" s="54" t="str">
        <f>IF($C718="B",INDEX(Batters[[#All],[B]],MATCH(Table5[[#This Row],[PID]],Batters[[#All],[PID]],0)),INDEX(Table3[[#All],[B]],MATCH(Table5[[#This Row],[PID]],Table3[[#All],[PID]],0)))</f>
        <v>R</v>
      </c>
      <c r="I718" s="54" t="str">
        <f>IF($C718="B",INDEX(Batters[[#All],[T]],MATCH(Table5[[#This Row],[PID]],Batters[[#All],[PID]],0)),INDEX(Table3[[#All],[T]],MATCH(Table5[[#This Row],[PID]],Table3[[#All],[PID]],0)))</f>
        <v>R</v>
      </c>
      <c r="J718" s="54" t="str">
        <f>IF($C718="B",INDEX(Batters[[#All],[WE]],MATCH(Table5[[#This Row],[PID]],Batters[[#All],[PID]],0)),INDEX(Table3[[#All],[WE]],MATCH(Table5[[#This Row],[PID]],Table3[[#All],[PID]],0)))</f>
        <v>High</v>
      </c>
      <c r="K718" s="54" t="str">
        <f>IF($C718="B",INDEX(Batters[[#All],[INT]],MATCH(Table5[[#This Row],[PID]],Batters[[#All],[PID]],0)),INDEX(Table3[[#All],[INT]],MATCH(Table5[[#This Row],[PID]],Table3[[#All],[PID]],0)))</f>
        <v>Low</v>
      </c>
      <c r="L718" s="62">
        <f>IF($C718="B",INDEX(Batters[[#All],[CON P]],MATCH(Table5[[#This Row],[PID]],Batters[[#All],[PID]],0)),INDEX(Table3[[#All],[STU P]],MATCH(Table5[[#This Row],[PID]],Table3[[#All],[PID]],0)))</f>
        <v>4</v>
      </c>
      <c r="M718" s="58">
        <f>IF($C718="B",INDEX(Batters[[#All],[GAP P]],MATCH(Table5[[#This Row],[PID]],Batters[[#All],[PID]],0)),INDEX(Table3[[#All],[MOV P]],MATCH(Table5[[#This Row],[PID]],Table3[[#All],[PID]],0)))</f>
        <v>1</v>
      </c>
      <c r="N718" s="58">
        <f>IF($C718="B",INDEX(Batters[[#All],[POW P]],MATCH(Table5[[#This Row],[PID]],Batters[[#All],[PID]],0)),INDEX(Table3[[#All],[CON P]],MATCH(Table5[[#This Row],[PID]],Table3[[#All],[PID]],0)))</f>
        <v>2</v>
      </c>
      <c r="O718" s="58" t="str">
        <f>IF($C718="B",INDEX(Batters[[#All],[EYE P]],MATCH(Table5[[#This Row],[PID]],Batters[[#All],[PID]],0)),INDEX(Table3[[#All],[VELO]],MATCH(Table5[[#This Row],[PID]],Table3[[#All],[PID]],0)))</f>
        <v>86-88 Mph</v>
      </c>
      <c r="P718" s="58">
        <f>IF($C718="B",INDEX(Batters[[#All],[K P]],MATCH(Table5[[#This Row],[PID]],Batters[[#All],[PID]],0)),INDEX(Table3[[#All],[STM]],MATCH(Table5[[#This Row],[PID]],Table3[[#All],[PID]],0)))</f>
        <v>8</v>
      </c>
      <c r="Q718" s="63">
        <f>IF($C718="B",INDEX(Batters[[#All],[Tot]],MATCH(Table5[[#This Row],[PID]],Batters[[#All],[PID]],0)),INDEX(Table3[[#All],[Tot]],MATCH(Table5[[#This Row],[PID]],Table3[[#All],[PID]],0)))</f>
        <v>26.936913989457139</v>
      </c>
      <c r="R718" s="54">
        <f>IF($C718="B",INDEX(Batters[[#All],[zScore]],MATCH(Table5[[#This Row],[PID]],Batters[[#All],[PID]],0)),INDEX(Table3[[#All],[zScore]],MATCH(Table5[[#This Row],[PID]],Table3[[#All],[PID]],0)))</f>
        <v>-0.53054011753365127</v>
      </c>
      <c r="S718" s="60" t="str">
        <f>IF($C718="B",INDEX(Batters[[#All],[DEM]],MATCH(Table5[[#This Row],[PID]],Batters[[#All],[PID]],0)),INDEX(Table3[[#All],[DEM]],MATCH(Table5[[#This Row],[PID]],Table3[[#All],[PID]],0)))</f>
        <v>$80k</v>
      </c>
      <c r="T718" s="64">
        <f>IF($C718="B",VLOOKUP($A718,Bat!$A$4:$AU$1417,46,FALSE),VLOOKUP($A718,Pit!$A$4:$BD$570,55,FALSE))</f>
        <v>0</v>
      </c>
      <c r="U718" s="52">
        <f>IF($C718="B",VLOOKUP($A718,Bat!$A$4:$BA$1417,47,FALSE),VLOOKUP($A718,Pit!$A$4:$BF$570,56,FALSE))</f>
        <v>0</v>
      </c>
      <c r="V718" s="52">
        <f>IF($C718="B",VLOOKUP($A718,Bat!$A$4:$BA$1417,48,FALSE),VLOOKUP($A718,Pit!$A$4:$BF$570,57,FALSE))</f>
        <v>0</v>
      </c>
      <c r="W718" s="52">
        <f>Table5[[#This Row],[posRnk]]+Table5[[#This Row],[zRnk]]+IF($W$3&lt;&gt;Table5[[#This Row],[Type]],50,0)</f>
        <v>763</v>
      </c>
      <c r="X718" s="53">
        <f>RANK(Table5[[#This Row],[zScore]],Table5[[#All],[zScore]])</f>
        <v>713</v>
      </c>
      <c r="Y718" s="52" t="str">
        <f>IFERROR(INDEX(DraftResults[[#All],[OVR]],MATCH(Table5[[#This Row],[PID]],DraftResults[[#All],[Player ID]],0)),"")</f>
        <v/>
      </c>
      <c r="Z7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8" s="52" t="str">
        <f>IFERROR(INDEX(DraftResults[[#All],[Pick in Round]],MATCH(Table5[[#This Row],[PID]],DraftResults[[#All],[Player ID]],0)),"")</f>
        <v/>
      </c>
      <c r="AB718" s="52" t="str">
        <f>IFERROR(INDEX(DraftResults[[#All],[Team Name]],MATCH(Table5[[#This Row],[PID]],DraftResults[[#All],[Player ID]],0)),"")</f>
        <v/>
      </c>
      <c r="AC718" s="52" t="str">
        <f>IF(Table5[[#This Row],[Ovr]]="","",IF(Table5[[#This Row],[cmbList]]="","",Table5[[#This Row],[cmbList]]-Table5[[#This Row],[Ovr]]))</f>
        <v/>
      </c>
      <c r="AD718" s="56" t="str">
        <f>IF(ISERROR(VLOOKUP($AB718&amp;"-"&amp;$E718&amp;" "&amp;F718,Bonuses!$B$1:$G$1006,4,FALSE)),"",INT(VLOOKUP($AB718&amp;"-"&amp;$E718&amp;" "&amp;$F718,Bonuses!$B$1:$G$1006,4,FALSE)))</f>
        <v/>
      </c>
      <c r="AE7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9" spans="1:31" s="52" customFormat="1" x14ac:dyDescent="0.25">
      <c r="A719" s="52">
        <v>6539</v>
      </c>
      <c r="B719" s="52">
        <f>COUNTIF(Table5[PID],A719)</f>
        <v>1</v>
      </c>
      <c r="C719" s="52" t="str">
        <f>IF(COUNTIF(Table3[[#All],[PID]],A719)&gt;0,"P","B")</f>
        <v>P</v>
      </c>
      <c r="D719" s="61" t="str">
        <f>IF($C719="B",INDEX(Batters[[#All],[POS]],MATCH(Table5[[#This Row],[PID]],Batters[[#All],[PID]],0)),INDEX(Table3[[#All],[POS]],MATCH(Table5[[#This Row],[PID]],Table3[[#All],[PID]],0)))</f>
        <v>RP</v>
      </c>
      <c r="E719" s="54" t="str">
        <f>IF($C719="B",INDEX(Batters[[#All],[First]],MATCH(Table5[[#This Row],[PID]],Batters[[#All],[PID]],0)),INDEX(Table3[[#All],[First]],MATCH(Table5[[#This Row],[PID]],Table3[[#All],[PID]],0)))</f>
        <v>Robin</v>
      </c>
      <c r="F719" s="52" t="str">
        <f>IF($C719="B",INDEX(Batters[[#All],[Last]],MATCH(A719,Batters[[#All],[PID]],0)),INDEX(Table3[[#All],[Last]],MATCH(A719,Table3[[#All],[PID]],0)))</f>
        <v>Wallwin</v>
      </c>
      <c r="G719" s="58">
        <f>IF($C719="B",INDEX(Batters[[#All],[Age]],MATCH(Table5[[#This Row],[PID]],Batters[[#All],[PID]],0)),INDEX(Table3[[#All],[Age]],MATCH(Table5[[#This Row],[PID]],Table3[[#All],[PID]],0)))</f>
        <v>18</v>
      </c>
      <c r="H719" s="54" t="str">
        <f>IF($C719="B",INDEX(Batters[[#All],[B]],MATCH(Table5[[#This Row],[PID]],Batters[[#All],[PID]],0)),INDEX(Table3[[#All],[B]],MATCH(Table5[[#This Row],[PID]],Table3[[#All],[PID]],0)))</f>
        <v>S</v>
      </c>
      <c r="I719" s="54" t="str">
        <f>IF($C719="B",INDEX(Batters[[#All],[T]],MATCH(Table5[[#This Row],[PID]],Batters[[#All],[PID]],0)),INDEX(Table3[[#All],[T]],MATCH(Table5[[#This Row],[PID]],Table3[[#All],[PID]],0)))</f>
        <v>R</v>
      </c>
      <c r="J719" s="54" t="str">
        <f>IF($C719="B",INDEX(Batters[[#All],[WE]],MATCH(Table5[[#This Row],[PID]],Batters[[#All],[PID]],0)),INDEX(Table3[[#All],[WE]],MATCH(Table5[[#This Row],[PID]],Table3[[#All],[PID]],0)))</f>
        <v>Normal</v>
      </c>
      <c r="K719" s="54" t="str">
        <f>IF($C719="B",INDEX(Batters[[#All],[INT]],MATCH(Table5[[#This Row],[PID]],Batters[[#All],[PID]],0)),INDEX(Table3[[#All],[INT]],MATCH(Table5[[#This Row],[PID]],Table3[[#All],[PID]],0)))</f>
        <v>Normal</v>
      </c>
      <c r="L719" s="62">
        <f>IF($C719="B",INDEX(Batters[[#All],[CON P]],MATCH(Table5[[#This Row],[PID]],Batters[[#All],[PID]],0)),INDEX(Table3[[#All],[STU P]],MATCH(Table5[[#This Row],[PID]],Table3[[#All],[PID]],0)))</f>
        <v>4</v>
      </c>
      <c r="M719" s="58">
        <f>IF($C719="B",INDEX(Batters[[#All],[GAP P]],MATCH(Table5[[#This Row],[PID]],Batters[[#All],[PID]],0)),INDEX(Table3[[#All],[MOV P]],MATCH(Table5[[#This Row],[PID]],Table3[[#All],[PID]],0)))</f>
        <v>1</v>
      </c>
      <c r="N719" s="58">
        <f>IF($C719="B",INDEX(Batters[[#All],[POW P]],MATCH(Table5[[#This Row],[PID]],Batters[[#All],[PID]],0)),INDEX(Table3[[#All],[CON P]],MATCH(Table5[[#This Row],[PID]],Table3[[#All],[PID]],0)))</f>
        <v>2</v>
      </c>
      <c r="O719" s="58" t="str">
        <f>IF($C719="B",INDEX(Batters[[#All],[EYE P]],MATCH(Table5[[#This Row],[PID]],Batters[[#All],[PID]],0)),INDEX(Table3[[#All],[VELO]],MATCH(Table5[[#This Row],[PID]],Table3[[#All],[PID]],0)))</f>
        <v>85-87 Mph</v>
      </c>
      <c r="P719" s="58">
        <f>IF($C719="B",INDEX(Batters[[#All],[K P]],MATCH(Table5[[#This Row],[PID]],Batters[[#All],[PID]],0)),INDEX(Table3[[#All],[STM]],MATCH(Table5[[#This Row],[PID]],Table3[[#All],[PID]],0)))</f>
        <v>7</v>
      </c>
      <c r="Q719" s="63">
        <f>IF($C719="B",INDEX(Batters[[#All],[Tot]],MATCH(Table5[[#This Row],[PID]],Batters[[#All],[PID]],0)),INDEX(Table3[[#All],[Tot]],MATCH(Table5[[#This Row],[PID]],Table3[[#All],[PID]],0)))</f>
        <v>26.936913989457139</v>
      </c>
      <c r="R719" s="54">
        <f>IF($C719="B",INDEX(Batters[[#All],[zScore]],MATCH(Table5[[#This Row],[PID]],Batters[[#All],[PID]],0)),INDEX(Table3[[#All],[zScore]],MATCH(Table5[[#This Row],[PID]],Table3[[#All],[PID]],0)))</f>
        <v>-0.53054011753365127</v>
      </c>
      <c r="S719" s="60" t="str">
        <f>IF($C719="B",INDEX(Batters[[#All],[DEM]],MATCH(Table5[[#This Row],[PID]],Batters[[#All],[PID]],0)),INDEX(Table3[[#All],[DEM]],MATCH(Table5[[#This Row],[PID]],Table3[[#All],[PID]],0)))</f>
        <v>$130k</v>
      </c>
      <c r="T719" s="64">
        <f>IF($C719="B",VLOOKUP($A719,Bat!$A$4:$AU$1417,46,FALSE),VLOOKUP($A719,Pit!$A$4:$BD$570,55,FALSE))</f>
        <v>0</v>
      </c>
      <c r="U719" s="52">
        <f>IF($C719="B",VLOOKUP($A719,Bat!$A$4:$BA$1417,47,FALSE),VLOOKUP($A719,Pit!$A$4:$BF$570,56,FALSE))</f>
        <v>0</v>
      </c>
      <c r="V719" s="52">
        <f>IF($C719="B",VLOOKUP($A719,Bat!$A$4:$BA$1417,48,FALSE),VLOOKUP($A719,Pit!$A$4:$BF$570,57,FALSE))</f>
        <v>0</v>
      </c>
      <c r="W719" s="52">
        <f>Table5[[#This Row],[posRnk]]+Table5[[#This Row],[zRnk]]+IF($W$3&lt;&gt;Table5[[#This Row],[Type]],50,0)</f>
        <v>763</v>
      </c>
      <c r="X719" s="53">
        <f>RANK(Table5[[#This Row],[zScore]],Table5[[#All],[zScore]])</f>
        <v>713</v>
      </c>
      <c r="Y719" s="52" t="str">
        <f>IFERROR(INDEX(DraftResults[[#All],[OVR]],MATCH(Table5[[#This Row],[PID]],DraftResults[[#All],[Player ID]],0)),"")</f>
        <v/>
      </c>
      <c r="Z7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9" s="52" t="str">
        <f>IFERROR(INDEX(DraftResults[[#All],[Pick in Round]],MATCH(Table5[[#This Row],[PID]],DraftResults[[#All],[Player ID]],0)),"")</f>
        <v/>
      </c>
      <c r="AB719" s="52" t="str">
        <f>IFERROR(INDEX(DraftResults[[#All],[Team Name]],MATCH(Table5[[#This Row],[PID]],DraftResults[[#All],[Player ID]],0)),"")</f>
        <v/>
      </c>
      <c r="AC719" s="52" t="str">
        <f>IF(Table5[[#This Row],[Ovr]]="","",IF(Table5[[#This Row],[cmbList]]="","",Table5[[#This Row],[cmbList]]-Table5[[#This Row],[Ovr]]))</f>
        <v/>
      </c>
      <c r="AD719" s="56" t="str">
        <f>IF(ISERROR(VLOOKUP($AB719&amp;"-"&amp;$E719&amp;" "&amp;F719,Bonuses!$B$1:$G$1006,4,FALSE)),"",INT(VLOOKUP($AB719&amp;"-"&amp;$E719&amp;" "&amp;$F719,Bonuses!$B$1:$G$1006,4,FALSE)))</f>
        <v/>
      </c>
      <c r="AE7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0" spans="1:31" s="52" customFormat="1" x14ac:dyDescent="0.25">
      <c r="A720" s="52">
        <v>7616</v>
      </c>
      <c r="B720" s="52">
        <f>COUNTIF(Table5[PID],A720)</f>
        <v>1</v>
      </c>
      <c r="C720" s="52" t="str">
        <f>IF(COUNTIF(Table3[[#All],[PID]],A720)&gt;0,"P","B")</f>
        <v>P</v>
      </c>
      <c r="D720" s="61" t="str">
        <f>IF($C720="B",INDEX(Batters[[#All],[POS]],MATCH(Table5[[#This Row],[PID]],Batters[[#All],[PID]],0)),INDEX(Table3[[#All],[POS]],MATCH(Table5[[#This Row],[PID]],Table3[[#All],[PID]],0)))</f>
        <v>RP</v>
      </c>
      <c r="E720" s="54" t="str">
        <f>IF($C720="B",INDEX(Batters[[#All],[First]],MATCH(Table5[[#This Row],[PID]],Batters[[#All],[PID]],0)),INDEX(Table3[[#All],[First]],MATCH(Table5[[#This Row],[PID]],Table3[[#All],[PID]],0)))</f>
        <v>Peter</v>
      </c>
      <c r="F720" s="52" t="str">
        <f>IF($C720="B",INDEX(Batters[[#All],[Last]],MATCH(A720,Batters[[#All],[PID]],0)),INDEX(Table3[[#All],[Last]],MATCH(A720,Table3[[#All],[PID]],0)))</f>
        <v>Wyatt</v>
      </c>
      <c r="G720" s="58">
        <f>IF($C720="B",INDEX(Batters[[#All],[Age]],MATCH(Table5[[#This Row],[PID]],Batters[[#All],[PID]],0)),INDEX(Table3[[#All],[Age]],MATCH(Table5[[#This Row],[PID]],Table3[[#All],[PID]],0)))</f>
        <v>18</v>
      </c>
      <c r="H720" s="54" t="str">
        <f>IF($C720="B",INDEX(Batters[[#All],[B]],MATCH(Table5[[#This Row],[PID]],Batters[[#All],[PID]],0)),INDEX(Table3[[#All],[B]],MATCH(Table5[[#This Row],[PID]],Table3[[#All],[PID]],0)))</f>
        <v>R</v>
      </c>
      <c r="I720" s="54" t="str">
        <f>IF($C720="B",INDEX(Batters[[#All],[T]],MATCH(Table5[[#This Row],[PID]],Batters[[#All],[PID]],0)),INDEX(Table3[[#All],[T]],MATCH(Table5[[#This Row],[PID]],Table3[[#All],[PID]],0)))</f>
        <v>R</v>
      </c>
      <c r="J720" s="54" t="str">
        <f>IF($C720="B",INDEX(Batters[[#All],[WE]],MATCH(Table5[[#This Row],[PID]],Batters[[#All],[PID]],0)),INDEX(Table3[[#All],[WE]],MATCH(Table5[[#This Row],[PID]],Table3[[#All],[PID]],0)))</f>
        <v>Low</v>
      </c>
      <c r="K720" s="54" t="str">
        <f>IF($C720="B",INDEX(Batters[[#All],[INT]],MATCH(Table5[[#This Row],[PID]],Batters[[#All],[PID]],0)),INDEX(Table3[[#All],[INT]],MATCH(Table5[[#This Row],[PID]],Table3[[#All],[PID]],0)))</f>
        <v>Low</v>
      </c>
      <c r="L720" s="62">
        <f>IF($C720="B",INDEX(Batters[[#All],[CON P]],MATCH(Table5[[#This Row],[PID]],Batters[[#All],[PID]],0)),INDEX(Table3[[#All],[STU P]],MATCH(Table5[[#This Row],[PID]],Table3[[#All],[PID]],0)))</f>
        <v>4</v>
      </c>
      <c r="M720" s="58">
        <f>IF($C720="B",INDEX(Batters[[#All],[GAP P]],MATCH(Table5[[#This Row],[PID]],Batters[[#All],[PID]],0)),INDEX(Table3[[#All],[MOV P]],MATCH(Table5[[#This Row],[PID]],Table3[[#All],[PID]],0)))</f>
        <v>2</v>
      </c>
      <c r="N720" s="58">
        <f>IF($C720="B",INDEX(Batters[[#All],[POW P]],MATCH(Table5[[#This Row],[PID]],Batters[[#All],[PID]],0)),INDEX(Table3[[#All],[CON P]],MATCH(Table5[[#This Row],[PID]],Table3[[#All],[PID]],0)))</f>
        <v>2</v>
      </c>
      <c r="O720" s="58" t="str">
        <f>IF($C720="B",INDEX(Batters[[#All],[EYE P]],MATCH(Table5[[#This Row],[PID]],Batters[[#All],[PID]],0)),INDEX(Table3[[#All],[VELO]],MATCH(Table5[[#This Row],[PID]],Table3[[#All],[PID]],0)))</f>
        <v>89-91 Mph</v>
      </c>
      <c r="P720" s="58">
        <f>IF($C720="B",INDEX(Batters[[#All],[K P]],MATCH(Table5[[#This Row],[PID]],Batters[[#All],[PID]],0)),INDEX(Table3[[#All],[STM]],MATCH(Table5[[#This Row],[PID]],Table3[[#All],[PID]],0)))</f>
        <v>4</v>
      </c>
      <c r="Q720" s="63">
        <f>IF($C720="B",INDEX(Batters[[#All],[Tot]],MATCH(Table5[[#This Row],[PID]],Batters[[#All],[PID]],0)),INDEX(Table3[[#All],[Tot]],MATCH(Table5[[#This Row],[PID]],Table3[[#All],[PID]],0)))</f>
        <v>26.936739979406649</v>
      </c>
      <c r="R720" s="54">
        <f>IF($C720="B",INDEX(Batters[[#All],[zScore]],MATCH(Table5[[#This Row],[PID]],Batters[[#All],[PID]],0)),INDEX(Table3[[#All],[zScore]],MATCH(Table5[[#This Row],[PID]],Table3[[#All],[PID]],0)))</f>
        <v>-0.53055607499901569</v>
      </c>
      <c r="S720" s="60" t="str">
        <f>IF($C720="B",INDEX(Batters[[#All],[DEM]],MATCH(Table5[[#This Row],[PID]],Batters[[#All],[PID]],0)),INDEX(Table3[[#All],[DEM]],MATCH(Table5[[#This Row],[PID]],Table3[[#All],[PID]],0)))</f>
        <v>$65k</v>
      </c>
      <c r="T720" s="64">
        <f>IF($C720="B",VLOOKUP($A720,Bat!$A$4:$AU$1417,46,FALSE),VLOOKUP($A720,Pit!$A$4:$BD$570,55,FALSE))</f>
        <v>0</v>
      </c>
      <c r="U720" s="52">
        <f>IF($C720="B",VLOOKUP($A720,Bat!$A$4:$BA$1417,47,FALSE),VLOOKUP($A720,Pit!$A$4:$BF$570,56,FALSE))</f>
        <v>0</v>
      </c>
      <c r="V720" s="52">
        <f>IF($C720="B",VLOOKUP($A720,Bat!$A$4:$BA$1417,48,FALSE),VLOOKUP($A720,Pit!$A$4:$BF$570,57,FALSE))</f>
        <v>0</v>
      </c>
      <c r="W720" s="52">
        <f>Table5[[#This Row],[posRnk]]+Table5[[#This Row],[zRnk]]+IF($W$3&lt;&gt;Table5[[#This Row],[Type]],50,0)</f>
        <v>766</v>
      </c>
      <c r="X720" s="53">
        <f>RANK(Table5[[#This Row],[zScore]],Table5[[#All],[zScore]])</f>
        <v>716</v>
      </c>
      <c r="Y720" s="52" t="str">
        <f>IFERROR(INDEX(DraftResults[[#All],[OVR]],MATCH(Table5[[#This Row],[PID]],DraftResults[[#All],[Player ID]],0)),"")</f>
        <v/>
      </c>
      <c r="Z7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0" s="52" t="str">
        <f>IFERROR(INDEX(DraftResults[[#All],[Pick in Round]],MATCH(Table5[[#This Row],[PID]],DraftResults[[#All],[Player ID]],0)),"")</f>
        <v/>
      </c>
      <c r="AB720" s="52" t="str">
        <f>IFERROR(INDEX(DraftResults[[#All],[Team Name]],MATCH(Table5[[#This Row],[PID]],DraftResults[[#All],[Player ID]],0)),"")</f>
        <v/>
      </c>
      <c r="AC720" s="52" t="str">
        <f>IF(Table5[[#This Row],[Ovr]]="","",IF(Table5[[#This Row],[cmbList]]="","",Table5[[#This Row],[cmbList]]-Table5[[#This Row],[Ovr]]))</f>
        <v/>
      </c>
      <c r="AD720" s="56" t="str">
        <f>IF(ISERROR(VLOOKUP($AB720&amp;"-"&amp;$E720&amp;" "&amp;F720,Bonuses!$B$1:$G$1006,4,FALSE)),"",INT(VLOOKUP($AB720&amp;"-"&amp;$E720&amp;" "&amp;$F720,Bonuses!$B$1:$G$1006,4,FALSE)))</f>
        <v/>
      </c>
      <c r="AE7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1" spans="1:31" s="52" customFormat="1" x14ac:dyDescent="0.25">
      <c r="A721" s="52">
        <v>11857</v>
      </c>
      <c r="B721" s="57">
        <f>COUNTIF(Table5[PID],A721)</f>
        <v>1</v>
      </c>
      <c r="C721" s="57" t="str">
        <f>IF(COUNTIF(Table3[[#All],[PID]],A721)&gt;0,"P","B")</f>
        <v>B</v>
      </c>
      <c r="D721" s="61" t="str">
        <f>IF($C721="B",INDEX(Batters[[#All],[POS]],MATCH(Table5[[#This Row],[PID]],Batters[[#All],[PID]],0)),INDEX(Table3[[#All],[POS]],MATCH(Table5[[#This Row],[PID]],Table3[[#All],[PID]],0)))</f>
        <v>SS</v>
      </c>
      <c r="E721" s="54" t="str">
        <f>IF($C721="B",INDEX(Batters[[#All],[First]],MATCH(Table5[[#This Row],[PID]],Batters[[#All],[PID]],0)),INDEX(Table3[[#All],[First]],MATCH(Table5[[#This Row],[PID]],Table3[[#All],[PID]],0)))</f>
        <v>Vincent</v>
      </c>
      <c r="F721" s="52" t="str">
        <f>IF($C721="B",INDEX(Batters[[#All],[Last]],MATCH(A721,Batters[[#All],[PID]],0)),INDEX(Table3[[#All],[Last]],MATCH(A721,Table3[[#All],[PID]],0)))</f>
        <v>Taylor</v>
      </c>
      <c r="G721" s="58">
        <f>IF($C721="B",INDEX(Batters[[#All],[Age]],MATCH(Table5[[#This Row],[PID]],Batters[[#All],[PID]],0)),INDEX(Table3[[#All],[Age]],MATCH(Table5[[#This Row],[PID]],Table3[[#All],[PID]],0)))</f>
        <v>21</v>
      </c>
      <c r="H721" s="54" t="str">
        <f>IF($C721="B",INDEX(Batters[[#All],[B]],MATCH(Table5[[#This Row],[PID]],Batters[[#All],[PID]],0)),INDEX(Table3[[#All],[B]],MATCH(Table5[[#This Row],[PID]],Table3[[#All],[PID]],0)))</f>
        <v>L</v>
      </c>
      <c r="I721" s="54" t="str">
        <f>IF($C721="B",INDEX(Batters[[#All],[T]],MATCH(Table5[[#This Row],[PID]],Batters[[#All],[PID]],0)),INDEX(Table3[[#All],[T]],MATCH(Table5[[#This Row],[PID]],Table3[[#All],[PID]],0)))</f>
        <v>R</v>
      </c>
      <c r="J721" s="54" t="str">
        <f>IF($C721="B",INDEX(Batters[[#All],[WE]],MATCH(Table5[[#This Row],[PID]],Batters[[#All],[PID]],0)),INDEX(Table3[[#All],[WE]],MATCH(Table5[[#This Row],[PID]],Table3[[#All],[PID]],0)))</f>
        <v>Normal</v>
      </c>
      <c r="K721" s="54" t="str">
        <f>IF($C721="B",INDEX(Batters[[#All],[INT]],MATCH(Table5[[#This Row],[PID]],Batters[[#All],[PID]],0)),INDEX(Table3[[#All],[INT]],MATCH(Table5[[#This Row],[PID]],Table3[[#All],[PID]],0)))</f>
        <v>Normal</v>
      </c>
      <c r="L721" s="62">
        <f>IF($C721="B",INDEX(Batters[[#All],[CON P]],MATCH(Table5[[#This Row],[PID]],Batters[[#All],[PID]],0)),INDEX(Table3[[#All],[STU P]],MATCH(Table5[[#This Row],[PID]],Table3[[#All],[PID]],0)))</f>
        <v>3</v>
      </c>
      <c r="M721" s="58">
        <f>IF($C721="B",INDEX(Batters[[#All],[GAP P]],MATCH(Table5[[#This Row],[PID]],Batters[[#All],[PID]],0)),INDEX(Table3[[#All],[MOV P]],MATCH(Table5[[#This Row],[PID]],Table3[[#All],[PID]],0)))</f>
        <v>4</v>
      </c>
      <c r="N721" s="58">
        <f>IF($C721="B",INDEX(Batters[[#All],[POW P]],MATCH(Table5[[#This Row],[PID]],Batters[[#All],[PID]],0)),INDEX(Table3[[#All],[CON P]],MATCH(Table5[[#This Row],[PID]],Table3[[#All],[PID]],0)))</f>
        <v>3</v>
      </c>
      <c r="O721" s="58">
        <f>IF($C721="B",INDEX(Batters[[#All],[EYE P]],MATCH(Table5[[#This Row],[PID]],Batters[[#All],[PID]],0)),INDEX(Table3[[#All],[VELO]],MATCH(Table5[[#This Row],[PID]],Table3[[#All],[PID]],0)))</f>
        <v>4</v>
      </c>
      <c r="P721" s="58">
        <f>IF($C721="B",INDEX(Batters[[#All],[K P]],MATCH(Table5[[#This Row],[PID]],Batters[[#All],[PID]],0)),INDEX(Table3[[#All],[STM]],MATCH(Table5[[#This Row],[PID]],Table3[[#All],[PID]],0)))</f>
        <v>3</v>
      </c>
      <c r="Q721" s="63">
        <f>IF($C721="B",INDEX(Batters[[#All],[Tot]],MATCH(Table5[[#This Row],[PID]],Batters[[#All],[PID]],0)),INDEX(Table3[[#All],[Tot]],MATCH(Table5[[#This Row],[PID]],Table3[[#All],[PID]],0)))</f>
        <v>37.330962645738893</v>
      </c>
      <c r="R721" s="54">
        <f>IF($C721="B",INDEX(Batters[[#All],[zScore]],MATCH(Table5[[#This Row],[PID]],Batters[[#All],[PID]],0)),INDEX(Table3[[#All],[zScore]],MATCH(Table5[[#This Row],[PID]],Table3[[#All],[PID]],0)))</f>
        <v>-0.53087119136175898</v>
      </c>
      <c r="S721" s="60" t="str">
        <f>IF($C721="B",INDEX(Batters[[#All],[DEM]],MATCH(Table5[[#This Row],[PID]],Batters[[#All],[PID]],0)),INDEX(Table3[[#All],[DEM]],MATCH(Table5[[#This Row],[PID]],Table3[[#All],[PID]],0)))</f>
        <v>$350k</v>
      </c>
      <c r="T721" s="64">
        <f>IF($C721="B",VLOOKUP($A721,Bat!$A$4:$AU$1417,46,FALSE),VLOOKUP($A721,Pit!$A$4:$BD$570,55,FALSE))</f>
        <v>0</v>
      </c>
      <c r="U721" s="52">
        <f>IF($C721="B",VLOOKUP($A721,Bat!$A$4:$BA$1417,47,FALSE),VLOOKUP($A721,Pit!$A$4:$BF$570,56,FALSE))</f>
        <v>0</v>
      </c>
      <c r="V721" s="52">
        <f>IF($C721="B",VLOOKUP($A721,Bat!$A$4:$BA$1417,48,FALSE),VLOOKUP($A721,Pit!$A$4:$BF$570,57,FALSE))</f>
        <v>0</v>
      </c>
      <c r="W721" s="52">
        <f>Table5[[#This Row],[posRnk]]+Table5[[#This Row],[zRnk]]+IF($W$3&lt;&gt;Table5[[#This Row],[Type]],50,0)</f>
        <v>767</v>
      </c>
      <c r="X721" s="53">
        <f>RANK(Table5[[#This Row],[zScore]],Table5[[#All],[zScore]])</f>
        <v>717</v>
      </c>
      <c r="Y721" s="52" t="str">
        <f>IFERROR(INDEX(DraftResults[[#All],[OVR]],MATCH(Table5[[#This Row],[PID]],DraftResults[[#All],[Player ID]],0)),"")</f>
        <v/>
      </c>
      <c r="Z7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1" s="52" t="str">
        <f>IFERROR(INDEX(DraftResults[[#All],[Pick in Round]],MATCH(Table5[[#This Row],[PID]],DraftResults[[#All],[Player ID]],0)),"")</f>
        <v/>
      </c>
      <c r="AB721" s="52" t="str">
        <f>IFERROR(INDEX(DraftResults[[#All],[Team Name]],MATCH(Table5[[#This Row],[PID]],DraftResults[[#All],[Player ID]],0)),"")</f>
        <v/>
      </c>
      <c r="AC721" s="52" t="str">
        <f>IF(Table5[[#This Row],[Ovr]]="","",IF(Table5[[#This Row],[cmbList]]="","",Table5[[#This Row],[cmbList]]-Table5[[#This Row],[Ovr]]))</f>
        <v/>
      </c>
      <c r="AD721" s="56" t="str">
        <f>IF(ISERROR(VLOOKUP($AB721&amp;"-"&amp;$E721&amp;" "&amp;F721,Bonuses!$B$1:$G$1006,4,FALSE)),"",INT(VLOOKUP($AB721&amp;"-"&amp;$E721&amp;" "&amp;$F721,Bonuses!$B$1:$G$1006,4,FALSE)))</f>
        <v/>
      </c>
      <c r="AE7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2" spans="1:31" s="52" customFormat="1" x14ac:dyDescent="0.25">
      <c r="A722" s="52">
        <v>17916</v>
      </c>
      <c r="B722" s="52">
        <f>COUNTIF(Table5[PID],A722)</f>
        <v>1</v>
      </c>
      <c r="C722" s="52" t="str">
        <f>IF(COUNTIF(Table3[[#All],[PID]],A722)&gt;0,"P","B")</f>
        <v>P</v>
      </c>
      <c r="D722" s="61" t="str">
        <f>IF($C722="B",INDEX(Batters[[#All],[POS]],MATCH(Table5[[#This Row],[PID]],Batters[[#All],[PID]],0)),INDEX(Table3[[#All],[POS]],MATCH(Table5[[#This Row],[PID]],Table3[[#All],[PID]],0)))</f>
        <v>RP</v>
      </c>
      <c r="E722" s="54" t="str">
        <f>IF($C722="B",INDEX(Batters[[#All],[First]],MATCH(Table5[[#This Row],[PID]],Batters[[#All],[PID]],0)),INDEX(Table3[[#All],[First]],MATCH(Table5[[#This Row],[PID]],Table3[[#All],[PID]],0)))</f>
        <v>Masamichi</v>
      </c>
      <c r="F722" s="52" t="str">
        <f>IF($C722="B",INDEX(Batters[[#All],[Last]],MATCH(A722,Batters[[#All],[PID]],0)),INDEX(Table3[[#All],[Last]],MATCH(A722,Table3[[#All],[PID]],0)))</f>
        <v>Hayashi</v>
      </c>
      <c r="G722" s="58">
        <f>IF($C722="B",INDEX(Batters[[#All],[Age]],MATCH(Table5[[#This Row],[PID]],Batters[[#All],[PID]],0)),INDEX(Table3[[#All],[Age]],MATCH(Table5[[#This Row],[PID]],Table3[[#All],[PID]],0)))</f>
        <v>18</v>
      </c>
      <c r="H722" s="54" t="str">
        <f>IF($C722="B",INDEX(Batters[[#All],[B]],MATCH(Table5[[#This Row],[PID]],Batters[[#All],[PID]],0)),INDEX(Table3[[#All],[B]],MATCH(Table5[[#This Row],[PID]],Table3[[#All],[PID]],0)))</f>
        <v>R</v>
      </c>
      <c r="I722" s="54" t="str">
        <f>IF($C722="B",INDEX(Batters[[#All],[T]],MATCH(Table5[[#This Row],[PID]],Batters[[#All],[PID]],0)),INDEX(Table3[[#All],[T]],MATCH(Table5[[#This Row],[PID]],Table3[[#All],[PID]],0)))</f>
        <v>R</v>
      </c>
      <c r="J722" s="54" t="str">
        <f>IF($C722="B",INDEX(Batters[[#All],[WE]],MATCH(Table5[[#This Row],[PID]],Batters[[#All],[PID]],0)),INDEX(Table3[[#All],[WE]],MATCH(Table5[[#This Row],[PID]],Table3[[#All],[PID]],0)))</f>
        <v>Normal</v>
      </c>
      <c r="K722" s="54" t="str">
        <f>IF($C722="B",INDEX(Batters[[#All],[INT]],MATCH(Table5[[#This Row],[PID]],Batters[[#All],[PID]],0)),INDEX(Table3[[#All],[INT]],MATCH(Table5[[#This Row],[PID]],Table3[[#All],[PID]],0)))</f>
        <v>Normal</v>
      </c>
      <c r="L722" s="62">
        <f>IF($C722="B",INDEX(Batters[[#All],[CON P]],MATCH(Table5[[#This Row],[PID]],Batters[[#All],[PID]],0)),INDEX(Table3[[#All],[STU P]],MATCH(Table5[[#This Row],[PID]],Table3[[#All],[PID]],0)))</f>
        <v>3</v>
      </c>
      <c r="M722" s="58">
        <f>IF($C722="B",INDEX(Batters[[#All],[GAP P]],MATCH(Table5[[#This Row],[PID]],Batters[[#All],[PID]],0)),INDEX(Table3[[#All],[MOV P]],MATCH(Table5[[#This Row],[PID]],Table3[[#All],[PID]],0)))</f>
        <v>2</v>
      </c>
      <c r="N722" s="58">
        <f>IF($C722="B",INDEX(Batters[[#All],[POW P]],MATCH(Table5[[#This Row],[PID]],Batters[[#All],[PID]],0)),INDEX(Table3[[#All],[CON P]],MATCH(Table5[[#This Row],[PID]],Table3[[#All],[PID]],0)))</f>
        <v>2</v>
      </c>
      <c r="O722" s="58" t="str">
        <f>IF($C722="B",INDEX(Batters[[#All],[EYE P]],MATCH(Table5[[#This Row],[PID]],Batters[[#All],[PID]],0)),INDEX(Table3[[#All],[VELO]],MATCH(Table5[[#This Row],[PID]],Table3[[#All],[PID]],0)))</f>
        <v>87-89 Mph</v>
      </c>
      <c r="P722" s="58">
        <f>IF($C722="B",INDEX(Batters[[#All],[K P]],MATCH(Table5[[#This Row],[PID]],Batters[[#All],[PID]],0)),INDEX(Table3[[#All],[STM]],MATCH(Table5[[#This Row],[PID]],Table3[[#All],[PID]],0)))</f>
        <v>7</v>
      </c>
      <c r="Q722" s="63">
        <f>IF($C722="B",INDEX(Batters[[#All],[Tot]],MATCH(Table5[[#This Row],[PID]],Batters[[#All],[PID]],0)),INDEX(Table3[[#All],[Tot]],MATCH(Table5[[#This Row],[PID]],Table3[[#All],[PID]],0)))</f>
        <v>24.310636646034055</v>
      </c>
      <c r="R722" s="54">
        <f>IF($C722="B",INDEX(Batters[[#All],[zScore]],MATCH(Table5[[#This Row],[PID]],Batters[[#All],[PID]],0)),INDEX(Table3[[#All],[zScore]],MATCH(Table5[[#This Row],[PID]],Table3[[#All],[PID]],0)))</f>
        <v>-0.53327088638528541</v>
      </c>
      <c r="S722" s="60" t="str">
        <f>IF($C722="B",INDEX(Batters[[#All],[DEM]],MATCH(Table5[[#This Row],[PID]],Batters[[#All],[PID]],0)),INDEX(Table3[[#All],[DEM]],MATCH(Table5[[#This Row],[PID]],Table3[[#All],[PID]],0)))</f>
        <v>$70k</v>
      </c>
      <c r="T722" s="64">
        <f>IF($C722="B",VLOOKUP($A722,Bat!$A$4:$AU$1417,46,FALSE),VLOOKUP($A722,Pit!$A$4:$BD$570,55,FALSE))</f>
        <v>0</v>
      </c>
      <c r="U722" s="52">
        <f>IF($C722="B",VLOOKUP($A722,Bat!$A$4:$BA$1417,47,FALSE),VLOOKUP($A722,Pit!$A$4:$BF$570,56,FALSE))</f>
        <v>0</v>
      </c>
      <c r="V722" s="52">
        <f>IF($C722="B",VLOOKUP($A722,Bat!$A$4:$BA$1417,48,FALSE),VLOOKUP($A722,Pit!$A$4:$BF$570,57,FALSE))</f>
        <v>0</v>
      </c>
      <c r="W722" s="52">
        <f>Table5[[#This Row],[posRnk]]+Table5[[#This Row],[zRnk]]+IF($W$3&lt;&gt;Table5[[#This Row],[Type]],50,0)</f>
        <v>768</v>
      </c>
      <c r="X722" s="53">
        <f>RANK(Table5[[#This Row],[zScore]],Table5[[#All],[zScore]])</f>
        <v>718</v>
      </c>
      <c r="Y722" s="52" t="str">
        <f>IFERROR(INDEX(DraftResults[[#All],[OVR]],MATCH(Table5[[#This Row],[PID]],DraftResults[[#All],[Player ID]],0)),"")</f>
        <v/>
      </c>
      <c r="Z7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2" s="52" t="str">
        <f>IFERROR(INDEX(DraftResults[[#All],[Pick in Round]],MATCH(Table5[[#This Row],[PID]],DraftResults[[#All],[Player ID]],0)),"")</f>
        <v/>
      </c>
      <c r="AB722" s="52" t="str">
        <f>IFERROR(INDEX(DraftResults[[#All],[Team Name]],MATCH(Table5[[#This Row],[PID]],DraftResults[[#All],[Player ID]],0)),"")</f>
        <v/>
      </c>
      <c r="AC722" s="52" t="str">
        <f>IF(Table5[[#This Row],[Ovr]]="","",IF(Table5[[#This Row],[cmbList]]="","",Table5[[#This Row],[cmbList]]-Table5[[#This Row],[Ovr]]))</f>
        <v/>
      </c>
      <c r="AD722" s="56" t="str">
        <f>IF(ISERROR(VLOOKUP($AB722&amp;"-"&amp;$E722&amp;" "&amp;F722,Bonuses!$B$1:$G$1006,4,FALSE)),"",INT(VLOOKUP($AB722&amp;"-"&amp;$E722&amp;" "&amp;$F722,Bonuses!$B$1:$G$1006,4,FALSE)))</f>
        <v/>
      </c>
      <c r="AE7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3" spans="1:31" s="52" customFormat="1" x14ac:dyDescent="0.25">
      <c r="A723" s="52">
        <v>8356</v>
      </c>
      <c r="B723" s="52">
        <f>COUNTIF(Table5[PID],A723)</f>
        <v>1</v>
      </c>
      <c r="C723" s="52" t="str">
        <f>IF(COUNTIF(Table3[[#All],[PID]],A723)&gt;0,"P","B")</f>
        <v>B</v>
      </c>
      <c r="D723" s="61" t="str">
        <f>IF($C723="B",INDEX(Batters[[#All],[POS]],MATCH(Table5[[#This Row],[PID]],Batters[[#All],[PID]],0)),INDEX(Table3[[#All],[POS]],MATCH(Table5[[#This Row],[PID]],Table3[[#All],[PID]],0)))</f>
        <v>C</v>
      </c>
      <c r="E723" s="54" t="str">
        <f>IF($C723="B",INDEX(Batters[[#All],[First]],MATCH(Table5[[#This Row],[PID]],Batters[[#All],[PID]],0)),INDEX(Table3[[#All],[First]],MATCH(Table5[[#This Row],[PID]],Table3[[#All],[PID]],0)))</f>
        <v>Lynn</v>
      </c>
      <c r="F723" s="52" t="str">
        <f>IF($C723="B",INDEX(Batters[[#All],[Last]],MATCH(A723,Batters[[#All],[PID]],0)),INDEX(Table3[[#All],[Last]],MATCH(A723,Table3[[#All],[PID]],0)))</f>
        <v>Hoover</v>
      </c>
      <c r="G723" s="58">
        <f>IF($C723="B",INDEX(Batters[[#All],[Age]],MATCH(Table5[[#This Row],[PID]],Batters[[#All],[PID]],0)),INDEX(Table3[[#All],[Age]],MATCH(Table5[[#This Row],[PID]],Table3[[#All],[PID]],0)))</f>
        <v>18</v>
      </c>
      <c r="H723" s="54" t="str">
        <f>IF($C723="B",INDEX(Batters[[#All],[B]],MATCH(Table5[[#This Row],[PID]],Batters[[#All],[PID]],0)),INDEX(Table3[[#All],[B]],MATCH(Table5[[#This Row],[PID]],Table3[[#All],[PID]],0)))</f>
        <v>R</v>
      </c>
      <c r="I723" s="54" t="str">
        <f>IF($C723="B",INDEX(Batters[[#All],[T]],MATCH(Table5[[#This Row],[PID]],Batters[[#All],[PID]],0)),INDEX(Table3[[#All],[T]],MATCH(Table5[[#This Row],[PID]],Table3[[#All],[PID]],0)))</f>
        <v>R</v>
      </c>
      <c r="J723" s="54" t="str">
        <f>IF($C723="B",INDEX(Batters[[#All],[WE]],MATCH(Table5[[#This Row],[PID]],Batters[[#All],[PID]],0)),INDEX(Table3[[#All],[WE]],MATCH(Table5[[#This Row],[PID]],Table3[[#All],[PID]],0)))</f>
        <v>Low</v>
      </c>
      <c r="K723" s="54" t="str">
        <f>IF($C723="B",INDEX(Batters[[#All],[INT]],MATCH(Table5[[#This Row],[PID]],Batters[[#All],[PID]],0)),INDEX(Table3[[#All],[INT]],MATCH(Table5[[#This Row],[PID]],Table3[[#All],[PID]],0)))</f>
        <v>Low</v>
      </c>
      <c r="L723" s="62">
        <f>IF($C723="B",INDEX(Batters[[#All],[CON P]],MATCH(Table5[[#This Row],[PID]],Batters[[#All],[PID]],0)),INDEX(Table3[[#All],[STU P]],MATCH(Table5[[#This Row],[PID]],Table3[[#All],[PID]],0)))</f>
        <v>2</v>
      </c>
      <c r="M723" s="58">
        <f>IF($C723="B",INDEX(Batters[[#All],[GAP P]],MATCH(Table5[[#This Row],[PID]],Batters[[#All],[PID]],0)),INDEX(Table3[[#All],[MOV P]],MATCH(Table5[[#This Row],[PID]],Table3[[#All],[PID]],0)))</f>
        <v>3</v>
      </c>
      <c r="N723" s="58">
        <f>IF($C723="B",INDEX(Batters[[#All],[POW P]],MATCH(Table5[[#This Row],[PID]],Batters[[#All],[PID]],0)),INDEX(Table3[[#All],[CON P]],MATCH(Table5[[#This Row],[PID]],Table3[[#All],[PID]],0)))</f>
        <v>3</v>
      </c>
      <c r="O723" s="58">
        <f>IF($C723="B",INDEX(Batters[[#All],[EYE P]],MATCH(Table5[[#This Row],[PID]],Batters[[#All],[PID]],0)),INDEX(Table3[[#All],[VELO]],MATCH(Table5[[#This Row],[PID]],Table3[[#All],[PID]],0)))</f>
        <v>6</v>
      </c>
      <c r="P723" s="58">
        <f>IF($C723="B",INDEX(Batters[[#All],[K P]],MATCH(Table5[[#This Row],[PID]],Batters[[#All],[PID]],0)),INDEX(Table3[[#All],[STM]],MATCH(Table5[[#This Row],[PID]],Table3[[#All],[PID]],0)))</f>
        <v>2</v>
      </c>
      <c r="Q723" s="63">
        <f>IF($C723="B",INDEX(Batters[[#All],[Tot]],MATCH(Table5[[#This Row],[PID]],Batters[[#All],[PID]],0)),INDEX(Table3[[#All],[Tot]],MATCH(Table5[[#This Row],[PID]],Table3[[#All],[PID]],0)))</f>
        <v>37.315741318390877</v>
      </c>
      <c r="R723" s="54">
        <f>IF($C723="B",INDEX(Batters[[#All],[zScore]],MATCH(Table5[[#This Row],[PID]],Batters[[#All],[PID]],0)),INDEX(Table3[[#All],[zScore]],MATCH(Table5[[#This Row],[PID]],Table3[[#All],[PID]],0)))</f>
        <v>-0.533549282743083</v>
      </c>
      <c r="S723" s="60" t="str">
        <f>IF($C723="B",INDEX(Batters[[#All],[DEM]],MATCH(Table5[[#This Row],[PID]],Batters[[#All],[PID]],0)),INDEX(Table3[[#All],[DEM]],MATCH(Table5[[#This Row],[PID]],Table3[[#All],[PID]],0)))</f>
        <v>$38k</v>
      </c>
      <c r="T723" s="64">
        <f>IF($C723="B",VLOOKUP($A723,Bat!$A$4:$AU$1417,46,FALSE),VLOOKUP($A723,Pit!$A$4:$BD$570,55,FALSE))</f>
        <v>0</v>
      </c>
      <c r="U723" s="52">
        <f>IF($C723="B",VLOOKUP($A723,Bat!$A$4:$BA$1417,47,FALSE),VLOOKUP($A723,Pit!$A$4:$BF$570,56,FALSE))</f>
        <v>0</v>
      </c>
      <c r="V723" s="52">
        <f>IF($C723="B",VLOOKUP($A723,Bat!$A$4:$BA$1417,48,FALSE),VLOOKUP($A723,Pit!$A$4:$BF$570,57,FALSE))</f>
        <v>0</v>
      </c>
      <c r="W723" s="52">
        <f>Table5[[#This Row],[posRnk]]+Table5[[#This Row],[zRnk]]+IF($W$3&lt;&gt;Table5[[#This Row],[Type]],50,0)</f>
        <v>769</v>
      </c>
      <c r="X723" s="53">
        <f>RANK(Table5[[#This Row],[zScore]],Table5[[#All],[zScore]])</f>
        <v>719</v>
      </c>
      <c r="Y723" s="52" t="str">
        <f>IFERROR(INDEX(DraftResults[[#All],[OVR]],MATCH(Table5[[#This Row],[PID]],DraftResults[[#All],[Player ID]],0)),"")</f>
        <v/>
      </c>
      <c r="Z7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3" s="52" t="str">
        <f>IFERROR(INDEX(DraftResults[[#All],[Pick in Round]],MATCH(Table5[[#This Row],[PID]],DraftResults[[#All],[Player ID]],0)),"")</f>
        <v/>
      </c>
      <c r="AB723" s="52" t="str">
        <f>IFERROR(INDEX(DraftResults[[#All],[Team Name]],MATCH(Table5[[#This Row],[PID]],DraftResults[[#All],[Player ID]],0)),"")</f>
        <v/>
      </c>
      <c r="AC723" s="52" t="str">
        <f>IF(Table5[[#This Row],[Ovr]]="","",IF(Table5[[#This Row],[cmbList]]="","",Table5[[#This Row],[cmbList]]-Table5[[#This Row],[Ovr]]))</f>
        <v/>
      </c>
      <c r="AD723" s="56" t="str">
        <f>IF(ISERROR(VLOOKUP($AB723&amp;"-"&amp;$E723&amp;" "&amp;F723,Bonuses!$B$1:$G$1006,4,FALSE)),"",INT(VLOOKUP($AB723&amp;"-"&amp;$E723&amp;" "&amp;$F723,Bonuses!$B$1:$G$1006,4,FALSE)))</f>
        <v/>
      </c>
      <c r="AE7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4" spans="1:31" s="52" customFormat="1" x14ac:dyDescent="0.25">
      <c r="A724" s="52">
        <v>9637</v>
      </c>
      <c r="B724" s="52">
        <f>COUNTIF(Table5[PID],A724)</f>
        <v>1</v>
      </c>
      <c r="C724" s="52" t="str">
        <f>IF(COUNTIF(Table3[[#All],[PID]],A724)&gt;0,"P","B")</f>
        <v>B</v>
      </c>
      <c r="D724" s="61" t="str">
        <f>IF($C724="B",INDEX(Batters[[#All],[POS]],MATCH(Table5[[#This Row],[PID]],Batters[[#All],[PID]],0)),INDEX(Table3[[#All],[POS]],MATCH(Table5[[#This Row],[PID]],Table3[[#All],[PID]],0)))</f>
        <v>C</v>
      </c>
      <c r="E724" s="54" t="str">
        <f>IF($C724="B",INDEX(Batters[[#All],[First]],MATCH(Table5[[#This Row],[PID]],Batters[[#All],[PID]],0)),INDEX(Table3[[#All],[First]],MATCH(Table5[[#This Row],[PID]],Table3[[#All],[PID]],0)))</f>
        <v>Anthony</v>
      </c>
      <c r="F724" s="52" t="str">
        <f>IF($C724="B",INDEX(Batters[[#All],[Last]],MATCH(A724,Batters[[#All],[PID]],0)),INDEX(Table3[[#All],[Last]],MATCH(A724,Table3[[#All],[PID]],0)))</f>
        <v>Richardson</v>
      </c>
      <c r="G724" s="58">
        <f>IF($C724="B",INDEX(Batters[[#All],[Age]],MATCH(Table5[[#This Row],[PID]],Batters[[#All],[PID]],0)),INDEX(Table3[[#All],[Age]],MATCH(Table5[[#This Row],[PID]],Table3[[#All],[PID]],0)))</f>
        <v>22</v>
      </c>
      <c r="H724" s="54" t="str">
        <f>IF($C724="B",INDEX(Batters[[#All],[B]],MATCH(Table5[[#This Row],[PID]],Batters[[#All],[PID]],0)),INDEX(Table3[[#All],[B]],MATCH(Table5[[#This Row],[PID]],Table3[[#All],[PID]],0)))</f>
        <v>S</v>
      </c>
      <c r="I724" s="54" t="str">
        <f>IF($C724="B",INDEX(Batters[[#All],[T]],MATCH(Table5[[#This Row],[PID]],Batters[[#All],[PID]],0)),INDEX(Table3[[#All],[T]],MATCH(Table5[[#This Row],[PID]],Table3[[#All],[PID]],0)))</f>
        <v>R</v>
      </c>
      <c r="J724" s="54" t="str">
        <f>IF($C724="B",INDEX(Batters[[#All],[WE]],MATCH(Table5[[#This Row],[PID]],Batters[[#All],[PID]],0)),INDEX(Table3[[#All],[WE]],MATCH(Table5[[#This Row],[PID]],Table3[[#All],[PID]],0)))</f>
        <v>Normal</v>
      </c>
      <c r="K724" s="54" t="str">
        <f>IF($C724="B",INDEX(Batters[[#All],[INT]],MATCH(Table5[[#This Row],[PID]],Batters[[#All],[PID]],0)),INDEX(Table3[[#All],[INT]],MATCH(Table5[[#This Row],[PID]],Table3[[#All],[PID]],0)))</f>
        <v>Normal</v>
      </c>
      <c r="L724" s="62">
        <f>IF($C724="B",INDEX(Batters[[#All],[CON P]],MATCH(Table5[[#This Row],[PID]],Batters[[#All],[PID]],0)),INDEX(Table3[[#All],[STU P]],MATCH(Table5[[#This Row],[PID]],Table3[[#All],[PID]],0)))</f>
        <v>3</v>
      </c>
      <c r="M724" s="58">
        <f>IF($C724="B",INDEX(Batters[[#All],[GAP P]],MATCH(Table5[[#This Row],[PID]],Batters[[#All],[PID]],0)),INDEX(Table3[[#All],[MOV P]],MATCH(Table5[[#This Row],[PID]],Table3[[#All],[PID]],0)))</f>
        <v>4</v>
      </c>
      <c r="N724" s="58">
        <f>IF($C724="B",INDEX(Batters[[#All],[POW P]],MATCH(Table5[[#This Row],[PID]],Batters[[#All],[PID]],0)),INDEX(Table3[[#All],[CON P]],MATCH(Table5[[#This Row],[PID]],Table3[[#All],[PID]],0)))</f>
        <v>3</v>
      </c>
      <c r="O724" s="58">
        <f>IF($C724="B",INDEX(Batters[[#All],[EYE P]],MATCH(Table5[[#This Row],[PID]],Batters[[#All],[PID]],0)),INDEX(Table3[[#All],[VELO]],MATCH(Table5[[#This Row],[PID]],Table3[[#All],[PID]],0)))</f>
        <v>5</v>
      </c>
      <c r="P724" s="58">
        <f>IF($C724="B",INDEX(Batters[[#All],[K P]],MATCH(Table5[[#This Row],[PID]],Batters[[#All],[PID]],0)),INDEX(Table3[[#All],[STM]],MATCH(Table5[[#This Row],[PID]],Table3[[#All],[PID]],0)))</f>
        <v>2</v>
      </c>
      <c r="Q724" s="63">
        <f>IF($C724="B",INDEX(Batters[[#All],[Tot]],MATCH(Table5[[#This Row],[PID]],Batters[[#All],[PID]],0)),INDEX(Table3[[#All],[Tot]],MATCH(Table5[[#This Row],[PID]],Table3[[#All],[PID]],0)))</f>
        <v>37.315693305413127</v>
      </c>
      <c r="R724" s="54">
        <f>IF($C724="B",INDEX(Batters[[#All],[zScore]],MATCH(Table5[[#This Row],[PID]],Batters[[#All],[PID]],0)),INDEX(Table3[[#All],[zScore]],MATCH(Table5[[#This Row],[PID]],Table3[[#All],[PID]],0)))</f>
        <v>-0.53355773030740927</v>
      </c>
      <c r="S724" s="60" t="str">
        <f>IF($C724="B",INDEX(Batters[[#All],[DEM]],MATCH(Table5[[#This Row],[PID]],Batters[[#All],[PID]],0)),INDEX(Table3[[#All],[DEM]],MATCH(Table5[[#This Row],[PID]],Table3[[#All],[PID]],0)))</f>
        <v>-</v>
      </c>
      <c r="T724" s="64">
        <f>IF($C724="B",VLOOKUP($A724,Bat!$A$4:$AU$1417,46,FALSE),VLOOKUP($A724,Pit!$A$4:$BD$570,55,FALSE))</f>
        <v>0</v>
      </c>
      <c r="U724" s="52">
        <f>IF($C724="B",VLOOKUP($A724,Bat!$A$4:$BA$1417,47,FALSE),VLOOKUP($A724,Pit!$A$4:$BF$570,56,FALSE))</f>
        <v>0</v>
      </c>
      <c r="V724" s="52">
        <f>IF($C724="B",VLOOKUP($A724,Bat!$A$4:$BA$1417,48,FALSE),VLOOKUP($A724,Pit!$A$4:$BF$570,57,FALSE))</f>
        <v>0</v>
      </c>
      <c r="W724" s="52">
        <f>Table5[[#This Row],[posRnk]]+Table5[[#This Row],[zRnk]]+IF($W$3&lt;&gt;Table5[[#This Row],[Type]],50,0)</f>
        <v>770</v>
      </c>
      <c r="X724" s="53">
        <f>RANK(Table5[[#This Row],[zScore]],Table5[[#All],[zScore]])</f>
        <v>720</v>
      </c>
      <c r="Y724" s="52" t="str">
        <f>IFERROR(INDEX(DraftResults[[#All],[OVR]],MATCH(Table5[[#This Row],[PID]],DraftResults[[#All],[Player ID]],0)),"")</f>
        <v/>
      </c>
      <c r="Z7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4" s="52" t="str">
        <f>IFERROR(INDEX(DraftResults[[#All],[Pick in Round]],MATCH(Table5[[#This Row],[PID]],DraftResults[[#All],[Player ID]],0)),"")</f>
        <v/>
      </c>
      <c r="AB724" s="52" t="str">
        <f>IFERROR(INDEX(DraftResults[[#All],[Team Name]],MATCH(Table5[[#This Row],[PID]],DraftResults[[#All],[Player ID]],0)),"")</f>
        <v/>
      </c>
      <c r="AC724" s="52" t="str">
        <f>IF(Table5[[#This Row],[Ovr]]="","",IF(Table5[[#This Row],[cmbList]]="","",Table5[[#This Row],[cmbList]]-Table5[[#This Row],[Ovr]]))</f>
        <v/>
      </c>
      <c r="AD724" s="56" t="str">
        <f>IF(ISERROR(VLOOKUP($AB724&amp;"-"&amp;$E724&amp;" "&amp;F724,Bonuses!$B$1:$G$1006,4,FALSE)),"",INT(VLOOKUP($AB724&amp;"-"&amp;$E724&amp;" "&amp;$F724,Bonuses!$B$1:$G$1006,4,FALSE)))</f>
        <v/>
      </c>
      <c r="AE7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5" spans="1:31" s="52" customFormat="1" x14ac:dyDescent="0.25">
      <c r="A725" s="52">
        <v>7629</v>
      </c>
      <c r="B725" s="52">
        <f>COUNTIF(Table5[PID],A725)</f>
        <v>1</v>
      </c>
      <c r="C725" s="52" t="str">
        <f>IF(COUNTIF(Table3[[#All],[PID]],A725)&gt;0,"P","B")</f>
        <v>B</v>
      </c>
      <c r="D725" s="61" t="str">
        <f>IF($C725="B",INDEX(Batters[[#All],[POS]],MATCH(Table5[[#This Row],[PID]],Batters[[#All],[PID]],0)),INDEX(Table3[[#All],[POS]],MATCH(Table5[[#This Row],[PID]],Table3[[#All],[PID]],0)))</f>
        <v>2B</v>
      </c>
      <c r="E725" s="54" t="str">
        <f>IF($C725="B",INDEX(Batters[[#All],[First]],MATCH(Table5[[#This Row],[PID]],Batters[[#All],[PID]],0)),INDEX(Table3[[#All],[First]],MATCH(Table5[[#This Row],[PID]],Table3[[#All],[PID]],0)))</f>
        <v>Edgardo</v>
      </c>
      <c r="F725" s="52" t="str">
        <f>IF($C725="B",INDEX(Batters[[#All],[Last]],MATCH(A725,Batters[[#All],[PID]],0)),INDEX(Table3[[#All],[Last]],MATCH(A725,Table3[[#All],[PID]],0)))</f>
        <v>Ramírez</v>
      </c>
      <c r="G725" s="58">
        <f>IF($C725="B",INDEX(Batters[[#All],[Age]],MATCH(Table5[[#This Row],[PID]],Batters[[#All],[PID]],0)),INDEX(Table3[[#All],[Age]],MATCH(Table5[[#This Row],[PID]],Table3[[#All],[PID]],0)))</f>
        <v>18</v>
      </c>
      <c r="H725" s="54" t="str">
        <f>IF($C725="B",INDEX(Batters[[#All],[B]],MATCH(Table5[[#This Row],[PID]],Batters[[#All],[PID]],0)),INDEX(Table3[[#All],[B]],MATCH(Table5[[#This Row],[PID]],Table3[[#All],[PID]],0)))</f>
        <v>L</v>
      </c>
      <c r="I725" s="54" t="str">
        <f>IF($C725="B",INDEX(Batters[[#All],[T]],MATCH(Table5[[#This Row],[PID]],Batters[[#All],[PID]],0)),INDEX(Table3[[#All],[T]],MATCH(Table5[[#This Row],[PID]],Table3[[#All],[PID]],0)))</f>
        <v>R</v>
      </c>
      <c r="J725" s="54" t="str">
        <f>IF($C725="B",INDEX(Batters[[#All],[WE]],MATCH(Table5[[#This Row],[PID]],Batters[[#All],[PID]],0)),INDEX(Table3[[#All],[WE]],MATCH(Table5[[#This Row],[PID]],Table3[[#All],[PID]],0)))</f>
        <v>Normal</v>
      </c>
      <c r="K725" s="54" t="str">
        <f>IF($C725="B",INDEX(Batters[[#All],[INT]],MATCH(Table5[[#This Row],[PID]],Batters[[#All],[PID]],0)),INDEX(Table3[[#All],[INT]],MATCH(Table5[[#This Row],[PID]],Table3[[#All],[PID]],0)))</f>
        <v>Normal</v>
      </c>
      <c r="L725" s="62">
        <f>IF($C725="B",INDEX(Batters[[#All],[CON P]],MATCH(Table5[[#This Row],[PID]],Batters[[#All],[PID]],0)),INDEX(Table3[[#All],[STU P]],MATCH(Table5[[#This Row],[PID]],Table3[[#All],[PID]],0)))</f>
        <v>2</v>
      </c>
      <c r="M725" s="58">
        <f>IF($C725="B",INDEX(Batters[[#All],[GAP P]],MATCH(Table5[[#This Row],[PID]],Batters[[#All],[PID]],0)),INDEX(Table3[[#All],[MOV P]],MATCH(Table5[[#This Row],[PID]],Table3[[#All],[PID]],0)))</f>
        <v>3</v>
      </c>
      <c r="N725" s="58">
        <f>IF($C725="B",INDEX(Batters[[#All],[POW P]],MATCH(Table5[[#This Row],[PID]],Batters[[#All],[PID]],0)),INDEX(Table3[[#All],[CON P]],MATCH(Table5[[#This Row],[PID]],Table3[[#All],[PID]],0)))</f>
        <v>3</v>
      </c>
      <c r="O725" s="58">
        <f>IF($C725="B",INDEX(Batters[[#All],[EYE P]],MATCH(Table5[[#This Row],[PID]],Batters[[#All],[PID]],0)),INDEX(Table3[[#All],[VELO]],MATCH(Table5[[#This Row],[PID]],Table3[[#All],[PID]],0)))</f>
        <v>5</v>
      </c>
      <c r="P725" s="58">
        <f>IF($C725="B",INDEX(Batters[[#All],[K P]],MATCH(Table5[[#This Row],[PID]],Batters[[#All],[PID]],0)),INDEX(Table3[[#All],[STM]],MATCH(Table5[[#This Row],[PID]],Table3[[#All],[PID]],0)))</f>
        <v>3</v>
      </c>
      <c r="Q725" s="63">
        <f>IF($C725="B",INDEX(Batters[[#All],[Tot]],MATCH(Table5[[#This Row],[PID]],Batters[[#All],[PID]],0)),INDEX(Table3[[#All],[Tot]],MATCH(Table5[[#This Row],[PID]],Table3[[#All],[PID]],0)))</f>
        <v>37.310451841079939</v>
      </c>
      <c r="R725" s="54">
        <f>IF($C725="B",INDEX(Batters[[#All],[zScore]],MATCH(Table5[[#This Row],[PID]],Batters[[#All],[PID]],0)),INDEX(Table3[[#All],[zScore]],MATCH(Table5[[#This Row],[PID]],Table3[[#All],[PID]],0)))</f>
        <v>-0.53447993112047176</v>
      </c>
      <c r="S725" s="60" t="str">
        <f>IF($C725="B",INDEX(Batters[[#All],[DEM]],MATCH(Table5[[#This Row],[PID]],Batters[[#All],[PID]],0)),INDEX(Table3[[#All],[DEM]],MATCH(Table5[[#This Row],[PID]],Table3[[#All],[PID]],0)))</f>
        <v>$85k</v>
      </c>
      <c r="T725" s="64">
        <f>IF($C725="B",VLOOKUP($A725,Bat!$A$4:$AU$1417,46,FALSE),VLOOKUP($A725,Pit!$A$4:$BD$570,55,FALSE))</f>
        <v>0</v>
      </c>
      <c r="U725" s="52">
        <f>IF($C725="B",VLOOKUP($A725,Bat!$A$4:$BA$1417,47,FALSE),VLOOKUP($A725,Pit!$A$4:$BF$570,56,FALSE))</f>
        <v>0</v>
      </c>
      <c r="V725" s="52">
        <f>IF($C725="B",VLOOKUP($A725,Bat!$A$4:$BA$1417,48,FALSE),VLOOKUP($A725,Pit!$A$4:$BF$570,57,FALSE))</f>
        <v>0</v>
      </c>
      <c r="W725" s="52">
        <f>Table5[[#This Row],[posRnk]]+Table5[[#This Row],[zRnk]]+IF($W$3&lt;&gt;Table5[[#This Row],[Type]],50,0)</f>
        <v>771</v>
      </c>
      <c r="X725" s="53">
        <f>RANK(Table5[[#This Row],[zScore]],Table5[[#All],[zScore]])</f>
        <v>721</v>
      </c>
      <c r="Y725" s="52" t="str">
        <f>IFERROR(INDEX(DraftResults[[#All],[OVR]],MATCH(Table5[[#This Row],[PID]],DraftResults[[#All],[Player ID]],0)),"")</f>
        <v/>
      </c>
      <c r="Z7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5" s="52" t="str">
        <f>IFERROR(INDEX(DraftResults[[#All],[Pick in Round]],MATCH(Table5[[#This Row],[PID]],DraftResults[[#All],[Player ID]],0)),"")</f>
        <v/>
      </c>
      <c r="AB725" s="52" t="str">
        <f>IFERROR(INDEX(DraftResults[[#All],[Team Name]],MATCH(Table5[[#This Row],[PID]],DraftResults[[#All],[Player ID]],0)),"")</f>
        <v/>
      </c>
      <c r="AC725" s="52" t="str">
        <f>IF(Table5[[#This Row],[Ovr]]="","",IF(Table5[[#This Row],[cmbList]]="","",Table5[[#This Row],[cmbList]]-Table5[[#This Row],[Ovr]]))</f>
        <v/>
      </c>
      <c r="AD725" s="56" t="str">
        <f>IF(ISERROR(VLOOKUP($AB725&amp;"-"&amp;$E725&amp;" "&amp;F725,Bonuses!$B$1:$G$1006,4,FALSE)),"",INT(VLOOKUP($AB725&amp;"-"&amp;$E725&amp;" "&amp;$F725,Bonuses!$B$1:$G$1006,4,FALSE)))</f>
        <v/>
      </c>
      <c r="AE7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6" spans="1:31" s="52" customFormat="1" x14ac:dyDescent="0.25">
      <c r="A726" s="52">
        <v>2332</v>
      </c>
      <c r="B726" s="52">
        <f>COUNTIF(Table5[PID],A726)</f>
        <v>1</v>
      </c>
      <c r="C726" s="52" t="str">
        <f>IF(COUNTIF(Table3[[#All],[PID]],A726)&gt;0,"P","B")</f>
        <v>P</v>
      </c>
      <c r="D726" s="61" t="str">
        <f>IF($C726="B",INDEX(Batters[[#All],[POS]],MATCH(Table5[[#This Row],[PID]],Batters[[#All],[PID]],0)),INDEX(Table3[[#All],[POS]],MATCH(Table5[[#This Row],[PID]],Table3[[#All],[PID]],0)))</f>
        <v>SP</v>
      </c>
      <c r="E726" s="54" t="str">
        <f>IF($C726="B",INDEX(Batters[[#All],[First]],MATCH(Table5[[#This Row],[PID]],Batters[[#All],[PID]],0)),INDEX(Table3[[#All],[First]],MATCH(Table5[[#This Row],[PID]],Table3[[#All],[PID]],0)))</f>
        <v>Vaughan</v>
      </c>
      <c r="F726" s="52" t="str">
        <f>IF($C726="B",INDEX(Batters[[#All],[Last]],MATCH(A726,Batters[[#All],[PID]],0)),INDEX(Table3[[#All],[Last]],MATCH(A726,Table3[[#All],[PID]],0)))</f>
        <v>Crabtree</v>
      </c>
      <c r="G726" s="58">
        <f>IF($C726="B",INDEX(Batters[[#All],[Age]],MATCH(Table5[[#This Row],[PID]],Batters[[#All],[PID]],0)),INDEX(Table3[[#All],[Age]],MATCH(Table5[[#This Row],[PID]],Table3[[#All],[PID]],0)))</f>
        <v>21</v>
      </c>
      <c r="H726" s="54" t="str">
        <f>IF($C726="B",INDEX(Batters[[#All],[B]],MATCH(Table5[[#This Row],[PID]],Batters[[#All],[PID]],0)),INDEX(Table3[[#All],[B]],MATCH(Table5[[#This Row],[PID]],Table3[[#All],[PID]],0)))</f>
        <v>S</v>
      </c>
      <c r="I726" s="54" t="str">
        <f>IF($C726="B",INDEX(Batters[[#All],[T]],MATCH(Table5[[#This Row],[PID]],Batters[[#All],[PID]],0)),INDEX(Table3[[#All],[T]],MATCH(Table5[[#This Row],[PID]],Table3[[#All],[PID]],0)))</f>
        <v>R</v>
      </c>
      <c r="J726" s="54" t="str">
        <f>IF($C726="B",INDEX(Batters[[#All],[WE]],MATCH(Table5[[#This Row],[PID]],Batters[[#All],[PID]],0)),INDEX(Table3[[#All],[WE]],MATCH(Table5[[#This Row],[PID]],Table3[[#All],[PID]],0)))</f>
        <v>High</v>
      </c>
      <c r="K726" s="54" t="str">
        <f>IF($C726="B",INDEX(Batters[[#All],[INT]],MATCH(Table5[[#This Row],[PID]],Batters[[#All],[PID]],0)),INDEX(Table3[[#All],[INT]],MATCH(Table5[[#This Row],[PID]],Table3[[#All],[PID]],0)))</f>
        <v>Normal</v>
      </c>
      <c r="L726" s="62">
        <f>IF($C726="B",INDEX(Batters[[#All],[CON P]],MATCH(Table5[[#This Row],[PID]],Batters[[#All],[PID]],0)),INDEX(Table3[[#All],[STU P]],MATCH(Table5[[#This Row],[PID]],Table3[[#All],[PID]],0)))</f>
        <v>5</v>
      </c>
      <c r="M726" s="58">
        <f>IF($C726="B",INDEX(Batters[[#All],[GAP P]],MATCH(Table5[[#This Row],[PID]],Batters[[#All],[PID]],0)),INDEX(Table3[[#All],[MOV P]],MATCH(Table5[[#This Row],[PID]],Table3[[#All],[PID]],0)))</f>
        <v>1</v>
      </c>
      <c r="N726" s="58">
        <f>IF($C726="B",INDEX(Batters[[#All],[POW P]],MATCH(Table5[[#This Row],[PID]],Batters[[#All],[PID]],0)),INDEX(Table3[[#All],[CON P]],MATCH(Table5[[#This Row],[PID]],Table3[[#All],[PID]],0)))</f>
        <v>2</v>
      </c>
      <c r="O726" s="58" t="str">
        <f>IF($C726="B",INDEX(Batters[[#All],[EYE P]],MATCH(Table5[[#This Row],[PID]],Batters[[#All],[PID]],0)),INDEX(Table3[[#All],[VELO]],MATCH(Table5[[#This Row],[PID]],Table3[[#All],[PID]],0)))</f>
        <v>94-96 Mph</v>
      </c>
      <c r="P726" s="58">
        <f>IF($C726="B",INDEX(Batters[[#All],[K P]],MATCH(Table5[[#This Row],[PID]],Batters[[#All],[PID]],0)),INDEX(Table3[[#All],[STM]],MATCH(Table5[[#This Row],[PID]],Table3[[#All],[PID]],0)))</f>
        <v>8</v>
      </c>
      <c r="Q726" s="63">
        <f>IF($C726="B",INDEX(Batters[[#All],[Tot]],MATCH(Table5[[#This Row],[PID]],Batters[[#All],[PID]],0)),INDEX(Table3[[#All],[Tot]],MATCH(Table5[[#This Row],[PID]],Table3[[#All],[PID]],0)))</f>
        <v>26.891744899901106</v>
      </c>
      <c r="R726" s="54">
        <f>IF($C726="B",INDEX(Batters[[#All],[zScore]],MATCH(Table5[[#This Row],[PID]],Batters[[#All],[PID]],0)),INDEX(Table3[[#All],[zScore]],MATCH(Table5[[#This Row],[PID]],Table3[[#All],[PID]],0)))</f>
        <v>-0.5346823161026858</v>
      </c>
      <c r="S726" s="60" t="str">
        <f>IF($C726="B",INDEX(Batters[[#All],[DEM]],MATCH(Table5[[#This Row],[PID]],Batters[[#All],[PID]],0)),INDEX(Table3[[#All],[DEM]],MATCH(Table5[[#This Row],[PID]],Table3[[#All],[PID]],0)))</f>
        <v>-</v>
      </c>
      <c r="T726" s="64">
        <f>IF($C726="B",VLOOKUP($A726,Bat!$A$4:$AU$1417,46,FALSE),VLOOKUP($A726,Pit!$A$4:$BD$570,55,FALSE))</f>
        <v>0</v>
      </c>
      <c r="U726" s="52">
        <f>IF($C726="B",VLOOKUP($A726,Bat!$A$4:$BA$1417,47,FALSE),VLOOKUP($A726,Pit!$A$4:$BF$570,56,FALSE))</f>
        <v>0</v>
      </c>
      <c r="V726" s="52">
        <f>IF($C726="B",VLOOKUP($A726,Bat!$A$4:$BA$1417,48,FALSE),VLOOKUP($A726,Pit!$A$4:$BF$570,57,FALSE))</f>
        <v>0</v>
      </c>
      <c r="W726" s="52">
        <f>Table5[[#This Row],[posRnk]]+Table5[[#This Row],[zRnk]]+IF($W$3&lt;&gt;Table5[[#This Row],[Type]],50,0)</f>
        <v>772</v>
      </c>
      <c r="X726" s="53">
        <f>RANK(Table5[[#This Row],[zScore]],Table5[[#All],[zScore]])</f>
        <v>722</v>
      </c>
      <c r="Y726" s="52" t="str">
        <f>IFERROR(INDEX(DraftResults[[#All],[OVR]],MATCH(Table5[[#This Row],[PID]],DraftResults[[#All],[Player ID]],0)),"")</f>
        <v/>
      </c>
      <c r="Z7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6" s="52" t="str">
        <f>IFERROR(INDEX(DraftResults[[#All],[Pick in Round]],MATCH(Table5[[#This Row],[PID]],DraftResults[[#All],[Player ID]],0)),"")</f>
        <v/>
      </c>
      <c r="AB726" s="52" t="str">
        <f>IFERROR(INDEX(DraftResults[[#All],[Team Name]],MATCH(Table5[[#This Row],[PID]],DraftResults[[#All],[Player ID]],0)),"")</f>
        <v/>
      </c>
      <c r="AC726" s="52" t="str">
        <f>IF(Table5[[#This Row],[Ovr]]="","",IF(Table5[[#This Row],[cmbList]]="","",Table5[[#This Row],[cmbList]]-Table5[[#This Row],[Ovr]]))</f>
        <v/>
      </c>
      <c r="AD726" s="56" t="str">
        <f>IF(ISERROR(VLOOKUP($AB726&amp;"-"&amp;$E726&amp;" "&amp;F726,Bonuses!$B$1:$G$1006,4,FALSE)),"",INT(VLOOKUP($AB726&amp;"-"&amp;$E726&amp;" "&amp;$F726,Bonuses!$B$1:$G$1006,4,FALSE)))</f>
        <v/>
      </c>
      <c r="AE7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7" spans="1:31" s="52" customFormat="1" x14ac:dyDescent="0.25">
      <c r="A727" s="52">
        <v>6821</v>
      </c>
      <c r="B727" s="52">
        <f>COUNTIF(Table5[PID],A727)</f>
        <v>1</v>
      </c>
      <c r="C727" s="52" t="str">
        <f>IF(COUNTIF(Table3[[#All],[PID]],A727)&gt;0,"P","B")</f>
        <v>B</v>
      </c>
      <c r="D727" s="61" t="str">
        <f>IF($C727="B",INDEX(Batters[[#All],[POS]],MATCH(Table5[[#This Row],[PID]],Batters[[#All],[PID]],0)),INDEX(Table3[[#All],[POS]],MATCH(Table5[[#This Row],[PID]],Table3[[#All],[PID]],0)))</f>
        <v>1B</v>
      </c>
      <c r="E727" s="54" t="str">
        <f>IF($C727="B",INDEX(Batters[[#All],[First]],MATCH(Table5[[#This Row],[PID]],Batters[[#All],[PID]],0)),INDEX(Table3[[#All],[First]],MATCH(Table5[[#This Row],[PID]],Table3[[#All],[PID]],0)))</f>
        <v>Kenzaburo</v>
      </c>
      <c r="F727" s="52" t="str">
        <f>IF($C727="B",INDEX(Batters[[#All],[Last]],MATCH(A727,Batters[[#All],[PID]],0)),INDEX(Table3[[#All],[Last]],MATCH(A727,Table3[[#All],[PID]],0)))</f>
        <v>Ishii</v>
      </c>
      <c r="G727" s="58">
        <f>IF($C727="B",INDEX(Batters[[#All],[Age]],MATCH(Table5[[#This Row],[PID]],Batters[[#All],[PID]],0)),INDEX(Table3[[#All],[Age]],MATCH(Table5[[#This Row],[PID]],Table3[[#All],[PID]],0)))</f>
        <v>21</v>
      </c>
      <c r="H727" s="54" t="str">
        <f>IF($C727="B",INDEX(Batters[[#All],[B]],MATCH(Table5[[#This Row],[PID]],Batters[[#All],[PID]],0)),INDEX(Table3[[#All],[B]],MATCH(Table5[[#This Row],[PID]],Table3[[#All],[PID]],0)))</f>
        <v>R</v>
      </c>
      <c r="I727" s="54" t="str">
        <f>IF($C727="B",INDEX(Batters[[#All],[T]],MATCH(Table5[[#This Row],[PID]],Batters[[#All],[PID]],0)),INDEX(Table3[[#All],[T]],MATCH(Table5[[#This Row],[PID]],Table3[[#All],[PID]],0)))</f>
        <v>R</v>
      </c>
      <c r="J727" s="54" t="str">
        <f>IF($C727="B",INDEX(Batters[[#All],[WE]],MATCH(Table5[[#This Row],[PID]],Batters[[#All],[PID]],0)),INDEX(Table3[[#All],[WE]],MATCH(Table5[[#This Row],[PID]],Table3[[#All],[PID]],0)))</f>
        <v>Normal</v>
      </c>
      <c r="K727" s="54" t="str">
        <f>IF($C727="B",INDEX(Batters[[#All],[INT]],MATCH(Table5[[#This Row],[PID]],Batters[[#All],[PID]],0)),INDEX(Table3[[#All],[INT]],MATCH(Table5[[#This Row],[PID]],Table3[[#All],[PID]],0)))</f>
        <v>Normal</v>
      </c>
      <c r="L727" s="62">
        <f>IF($C727="B",INDEX(Batters[[#All],[CON P]],MATCH(Table5[[#This Row],[PID]],Batters[[#All],[PID]],0)),INDEX(Table3[[#All],[STU P]],MATCH(Table5[[#This Row],[PID]],Table3[[#All],[PID]],0)))</f>
        <v>3</v>
      </c>
      <c r="M727" s="58">
        <f>IF($C727="B",INDEX(Batters[[#All],[GAP P]],MATCH(Table5[[#This Row],[PID]],Batters[[#All],[PID]],0)),INDEX(Table3[[#All],[MOV P]],MATCH(Table5[[#This Row],[PID]],Table3[[#All],[PID]],0)))</f>
        <v>3</v>
      </c>
      <c r="N727" s="58">
        <f>IF($C727="B",INDEX(Batters[[#All],[POW P]],MATCH(Table5[[#This Row],[PID]],Batters[[#All],[PID]],0)),INDEX(Table3[[#All],[CON P]],MATCH(Table5[[#This Row],[PID]],Table3[[#All],[PID]],0)))</f>
        <v>4</v>
      </c>
      <c r="O727" s="58">
        <f>IF($C727="B",INDEX(Batters[[#All],[EYE P]],MATCH(Table5[[#This Row],[PID]],Batters[[#All],[PID]],0)),INDEX(Table3[[#All],[VELO]],MATCH(Table5[[#This Row],[PID]],Table3[[#All],[PID]],0)))</f>
        <v>5</v>
      </c>
      <c r="P727" s="58">
        <f>IF($C727="B",INDEX(Batters[[#All],[K P]],MATCH(Table5[[#This Row],[PID]],Batters[[#All],[PID]],0)),INDEX(Table3[[#All],[STM]],MATCH(Table5[[#This Row],[PID]],Table3[[#All],[PID]],0)))</f>
        <v>3</v>
      </c>
      <c r="Q727" s="63">
        <f>IF($C727="B",INDEX(Batters[[#All],[Tot]],MATCH(Table5[[#This Row],[PID]],Batters[[#All],[PID]],0)),INDEX(Table3[[#All],[Tot]],MATCH(Table5[[#This Row],[PID]],Table3[[#All],[PID]],0)))</f>
        <v>37.308910390062216</v>
      </c>
      <c r="R727" s="54">
        <f>IF($C727="B",INDEX(Batters[[#All],[zScore]],MATCH(Table5[[#This Row],[PID]],Batters[[#All],[PID]],0)),INDEX(Table3[[#All],[zScore]],MATCH(Table5[[#This Row],[PID]],Table3[[#All],[PID]],0)))</f>
        <v>-0.53475113918208883</v>
      </c>
      <c r="S727" s="60" t="str">
        <f>IF($C727="B",INDEX(Batters[[#All],[DEM]],MATCH(Table5[[#This Row],[PID]],Batters[[#All],[PID]],0)),INDEX(Table3[[#All],[DEM]],MATCH(Table5[[#This Row],[PID]],Table3[[#All],[PID]],0)))</f>
        <v>-</v>
      </c>
      <c r="T727" s="64">
        <f>IF($C727="B",VLOOKUP($A727,Bat!$A$4:$AU$1417,46,FALSE),VLOOKUP($A727,Pit!$A$4:$BD$570,55,FALSE))</f>
        <v>0</v>
      </c>
      <c r="U727" s="52">
        <f>IF($C727="B",VLOOKUP($A727,Bat!$A$4:$BA$1417,47,FALSE),VLOOKUP($A727,Pit!$A$4:$BF$570,56,FALSE))</f>
        <v>0</v>
      </c>
      <c r="V727" s="52">
        <f>IF($C727="B",VLOOKUP($A727,Bat!$A$4:$BA$1417,48,FALSE),VLOOKUP($A727,Pit!$A$4:$BF$570,57,FALSE))</f>
        <v>0</v>
      </c>
      <c r="W727" s="52">
        <f>Table5[[#This Row],[posRnk]]+Table5[[#This Row],[zRnk]]+IF($W$3&lt;&gt;Table5[[#This Row],[Type]],50,0)</f>
        <v>773</v>
      </c>
      <c r="X727" s="53">
        <f>RANK(Table5[[#This Row],[zScore]],Table5[[#All],[zScore]])</f>
        <v>723</v>
      </c>
      <c r="Y727" s="52" t="str">
        <f>IFERROR(INDEX(DraftResults[[#All],[OVR]],MATCH(Table5[[#This Row],[PID]],DraftResults[[#All],[Player ID]],0)),"")</f>
        <v/>
      </c>
      <c r="Z7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7" s="52" t="str">
        <f>IFERROR(INDEX(DraftResults[[#All],[Pick in Round]],MATCH(Table5[[#This Row],[PID]],DraftResults[[#All],[Player ID]],0)),"")</f>
        <v/>
      </c>
      <c r="AB727" s="52" t="str">
        <f>IFERROR(INDEX(DraftResults[[#All],[Team Name]],MATCH(Table5[[#This Row],[PID]],DraftResults[[#All],[Player ID]],0)),"")</f>
        <v/>
      </c>
      <c r="AC727" s="52" t="str">
        <f>IF(Table5[[#This Row],[Ovr]]="","",IF(Table5[[#This Row],[cmbList]]="","",Table5[[#This Row],[cmbList]]-Table5[[#This Row],[Ovr]]))</f>
        <v/>
      </c>
      <c r="AD727" s="56" t="str">
        <f>IF(ISERROR(VLOOKUP($AB727&amp;"-"&amp;$E727&amp;" "&amp;F727,Bonuses!$B$1:$G$1006,4,FALSE)),"",INT(VLOOKUP($AB727&amp;"-"&amp;$E727&amp;" "&amp;$F727,Bonuses!$B$1:$G$1006,4,FALSE)))</f>
        <v/>
      </c>
      <c r="AE7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8" spans="1:31" s="52" customFormat="1" x14ac:dyDescent="0.25">
      <c r="A728" s="52">
        <v>6399</v>
      </c>
      <c r="B728" s="52">
        <f>COUNTIF(Table5[PID],A728)</f>
        <v>1</v>
      </c>
      <c r="C728" s="52" t="str">
        <f>IF(COUNTIF(Table3[[#All],[PID]],A728)&gt;0,"P","B")</f>
        <v>B</v>
      </c>
      <c r="D728" s="61" t="str">
        <f>IF($C728="B",INDEX(Batters[[#All],[POS]],MATCH(Table5[[#This Row],[PID]],Batters[[#All],[PID]],0)),INDEX(Table3[[#All],[POS]],MATCH(Table5[[#This Row],[PID]],Table3[[#All],[PID]],0)))</f>
        <v>CF</v>
      </c>
      <c r="E728" s="54" t="str">
        <f>IF($C728="B",INDEX(Batters[[#All],[First]],MATCH(Table5[[#This Row],[PID]],Batters[[#All],[PID]],0)),INDEX(Table3[[#All],[First]],MATCH(Table5[[#This Row],[PID]],Table3[[#All],[PID]],0)))</f>
        <v>Guillermo</v>
      </c>
      <c r="F728" s="52" t="str">
        <f>IF($C728="B",INDEX(Batters[[#All],[Last]],MATCH(A728,Batters[[#All],[PID]],0)),INDEX(Table3[[#All],[Last]],MATCH(A728,Table3[[#All],[PID]],0)))</f>
        <v>López</v>
      </c>
      <c r="G728" s="58">
        <f>IF($C728="B",INDEX(Batters[[#All],[Age]],MATCH(Table5[[#This Row],[PID]],Batters[[#All],[PID]],0)),INDEX(Table3[[#All],[Age]],MATCH(Table5[[#This Row],[PID]],Table3[[#All],[PID]],0)))</f>
        <v>18</v>
      </c>
      <c r="H728" s="54" t="str">
        <f>IF($C728="B",INDEX(Batters[[#All],[B]],MATCH(Table5[[#This Row],[PID]],Batters[[#All],[PID]],0)),INDEX(Table3[[#All],[B]],MATCH(Table5[[#This Row],[PID]],Table3[[#All],[PID]],0)))</f>
        <v>L</v>
      </c>
      <c r="I728" s="54" t="str">
        <f>IF($C728="B",INDEX(Batters[[#All],[T]],MATCH(Table5[[#This Row],[PID]],Batters[[#All],[PID]],0)),INDEX(Table3[[#All],[T]],MATCH(Table5[[#This Row],[PID]],Table3[[#All],[PID]],0)))</f>
        <v>R</v>
      </c>
      <c r="J728" s="54" t="str">
        <f>IF($C728="B",INDEX(Batters[[#All],[WE]],MATCH(Table5[[#This Row],[PID]],Batters[[#All],[PID]],0)),INDEX(Table3[[#All],[WE]],MATCH(Table5[[#This Row],[PID]],Table3[[#All],[PID]],0)))</f>
        <v>Low</v>
      </c>
      <c r="K728" s="54" t="str">
        <f>IF($C728="B",INDEX(Batters[[#All],[INT]],MATCH(Table5[[#This Row],[PID]],Batters[[#All],[PID]],0)),INDEX(Table3[[#All],[INT]],MATCH(Table5[[#This Row],[PID]],Table3[[#All],[PID]],0)))</f>
        <v>High</v>
      </c>
      <c r="L728" s="62">
        <f>IF($C728="B",INDEX(Batters[[#All],[CON P]],MATCH(Table5[[#This Row],[PID]],Batters[[#All],[PID]],0)),INDEX(Table3[[#All],[STU P]],MATCH(Table5[[#This Row],[PID]],Table3[[#All],[PID]],0)))</f>
        <v>2</v>
      </c>
      <c r="M728" s="58">
        <f>IF($C728="B",INDEX(Batters[[#All],[GAP P]],MATCH(Table5[[#This Row],[PID]],Batters[[#All],[PID]],0)),INDEX(Table3[[#All],[MOV P]],MATCH(Table5[[#This Row],[PID]],Table3[[#All],[PID]],0)))</f>
        <v>3</v>
      </c>
      <c r="N728" s="58">
        <f>IF($C728="B",INDEX(Batters[[#All],[POW P]],MATCH(Table5[[#This Row],[PID]],Batters[[#All],[PID]],0)),INDEX(Table3[[#All],[CON P]],MATCH(Table5[[#This Row],[PID]],Table3[[#All],[PID]],0)))</f>
        <v>2</v>
      </c>
      <c r="O728" s="58">
        <f>IF($C728="B",INDEX(Batters[[#All],[EYE P]],MATCH(Table5[[#This Row],[PID]],Batters[[#All],[PID]],0)),INDEX(Table3[[#All],[VELO]],MATCH(Table5[[#This Row],[PID]],Table3[[#All],[PID]],0)))</f>
        <v>5</v>
      </c>
      <c r="P728" s="58">
        <f>IF($C728="B",INDEX(Batters[[#All],[K P]],MATCH(Table5[[#This Row],[PID]],Batters[[#All],[PID]],0)),INDEX(Table3[[#All],[STM]],MATCH(Table5[[#This Row],[PID]],Table3[[#All],[PID]],0)))</f>
        <v>4</v>
      </c>
      <c r="Q728" s="63">
        <f>IF($C728="B",INDEX(Batters[[#All],[Tot]],MATCH(Table5[[#This Row],[PID]],Batters[[#All],[PID]],0)),INDEX(Table3[[#All],[Tot]],MATCH(Table5[[#This Row],[PID]],Table3[[#All],[PID]],0)))</f>
        <v>37.306882579580794</v>
      </c>
      <c r="R728" s="54">
        <f>IF($C728="B",INDEX(Batters[[#All],[zScore]],MATCH(Table5[[#This Row],[PID]],Batters[[#All],[PID]],0)),INDEX(Table3[[#All],[zScore]],MATCH(Table5[[#This Row],[PID]],Table3[[#All],[PID]],0)))</f>
        <v>-0.53510791895885146</v>
      </c>
      <c r="S728" s="60" t="str">
        <f>IF($C728="B",INDEX(Batters[[#All],[DEM]],MATCH(Table5[[#This Row],[PID]],Batters[[#All],[PID]],0)),INDEX(Table3[[#All],[DEM]],MATCH(Table5[[#This Row],[PID]],Table3[[#All],[PID]],0)))</f>
        <v>$75k</v>
      </c>
      <c r="T728" s="64">
        <f>IF($C728="B",VLOOKUP($A728,Bat!$A$4:$AU$1417,46,FALSE),VLOOKUP($A728,Pit!$A$4:$BD$570,55,FALSE))</f>
        <v>0</v>
      </c>
      <c r="U728" s="52">
        <f>IF($C728="B",VLOOKUP($A728,Bat!$A$4:$BA$1417,47,FALSE),VLOOKUP($A728,Pit!$A$4:$BF$570,56,FALSE))</f>
        <v>0</v>
      </c>
      <c r="V728" s="52">
        <f>IF($C728="B",VLOOKUP($A728,Bat!$A$4:$BA$1417,48,FALSE),VLOOKUP($A728,Pit!$A$4:$BF$570,57,FALSE))</f>
        <v>0</v>
      </c>
      <c r="W728" s="52">
        <f>Table5[[#This Row],[posRnk]]+Table5[[#This Row],[zRnk]]+IF($W$3&lt;&gt;Table5[[#This Row],[Type]],50,0)</f>
        <v>774</v>
      </c>
      <c r="X728" s="53">
        <f>RANK(Table5[[#This Row],[zScore]],Table5[[#All],[zScore]])</f>
        <v>724</v>
      </c>
      <c r="Y728" s="52" t="str">
        <f>IFERROR(INDEX(DraftResults[[#All],[OVR]],MATCH(Table5[[#This Row],[PID]],DraftResults[[#All],[Player ID]],0)),"")</f>
        <v/>
      </c>
      <c r="Z7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8" s="52" t="str">
        <f>IFERROR(INDEX(DraftResults[[#All],[Pick in Round]],MATCH(Table5[[#This Row],[PID]],DraftResults[[#All],[Player ID]],0)),"")</f>
        <v/>
      </c>
      <c r="AB728" s="52" t="str">
        <f>IFERROR(INDEX(DraftResults[[#All],[Team Name]],MATCH(Table5[[#This Row],[PID]],DraftResults[[#All],[Player ID]],0)),"")</f>
        <v/>
      </c>
      <c r="AC728" s="52" t="str">
        <f>IF(Table5[[#This Row],[Ovr]]="","",IF(Table5[[#This Row],[cmbList]]="","",Table5[[#This Row],[cmbList]]-Table5[[#This Row],[Ovr]]))</f>
        <v/>
      </c>
      <c r="AD728" s="56" t="str">
        <f>IF(ISERROR(VLOOKUP($AB728&amp;"-"&amp;$E728&amp;" "&amp;F728,Bonuses!$B$1:$G$1006,4,FALSE)),"",INT(VLOOKUP($AB728&amp;"-"&amp;$E728&amp;" "&amp;$F728,Bonuses!$B$1:$G$1006,4,FALSE)))</f>
        <v/>
      </c>
      <c r="AE7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9" spans="1:31" s="52" customFormat="1" x14ac:dyDescent="0.25">
      <c r="A729" s="52">
        <v>13145</v>
      </c>
      <c r="B729" s="52">
        <f>COUNTIF(Table5[PID],A729)</f>
        <v>1</v>
      </c>
      <c r="C729" s="52" t="str">
        <f>IF(COUNTIF(Table3[[#All],[PID]],A729)&gt;0,"P","B")</f>
        <v>P</v>
      </c>
      <c r="D729" s="61" t="str">
        <f>IF($C729="B",INDEX(Batters[[#All],[POS]],MATCH(Table5[[#This Row],[PID]],Batters[[#All],[PID]],0)),INDEX(Table3[[#All],[POS]],MATCH(Table5[[#This Row],[PID]],Table3[[#All],[PID]],0)))</f>
        <v>RP</v>
      </c>
      <c r="E729" s="54" t="str">
        <f>IF($C729="B",INDEX(Batters[[#All],[First]],MATCH(Table5[[#This Row],[PID]],Batters[[#All],[PID]],0)),INDEX(Table3[[#All],[First]],MATCH(Table5[[#This Row],[PID]],Table3[[#All],[PID]],0)))</f>
        <v>Fergus</v>
      </c>
      <c r="F729" s="52" t="str">
        <f>IF($C729="B",INDEX(Batters[[#All],[Last]],MATCH(A729,Batters[[#All],[PID]],0)),INDEX(Table3[[#All],[Last]],MATCH(A729,Table3[[#All],[PID]],0)))</f>
        <v>Hookway</v>
      </c>
      <c r="G729" s="58">
        <f>IF($C729="B",INDEX(Batters[[#All],[Age]],MATCH(Table5[[#This Row],[PID]],Batters[[#All],[PID]],0)),INDEX(Table3[[#All],[Age]],MATCH(Table5[[#This Row],[PID]],Table3[[#All],[PID]],0)))</f>
        <v>21</v>
      </c>
      <c r="H729" s="54" t="str">
        <f>IF($C729="B",INDEX(Batters[[#All],[B]],MATCH(Table5[[#This Row],[PID]],Batters[[#All],[PID]],0)),INDEX(Table3[[#All],[B]],MATCH(Table5[[#This Row],[PID]],Table3[[#All],[PID]],0)))</f>
        <v>S</v>
      </c>
      <c r="I729" s="54" t="str">
        <f>IF($C729="B",INDEX(Batters[[#All],[T]],MATCH(Table5[[#This Row],[PID]],Batters[[#All],[PID]],0)),INDEX(Table3[[#All],[T]],MATCH(Table5[[#This Row],[PID]],Table3[[#All],[PID]],0)))</f>
        <v>R</v>
      </c>
      <c r="J729" s="54" t="str">
        <f>IF($C729="B",INDEX(Batters[[#All],[WE]],MATCH(Table5[[#This Row],[PID]],Batters[[#All],[PID]],0)),INDEX(Table3[[#All],[WE]],MATCH(Table5[[#This Row],[PID]],Table3[[#All],[PID]],0)))</f>
        <v>Normal</v>
      </c>
      <c r="K729" s="54" t="str">
        <f>IF($C729="B",INDEX(Batters[[#All],[INT]],MATCH(Table5[[#This Row],[PID]],Batters[[#All],[PID]],0)),INDEX(Table3[[#All],[INT]],MATCH(Table5[[#This Row],[PID]],Table3[[#All],[PID]],0)))</f>
        <v>High</v>
      </c>
      <c r="L729" s="62">
        <f>IF($C729="B",INDEX(Batters[[#All],[CON P]],MATCH(Table5[[#This Row],[PID]],Batters[[#All],[PID]],0)),INDEX(Table3[[#All],[STU P]],MATCH(Table5[[#This Row],[PID]],Table3[[#All],[PID]],0)))</f>
        <v>4</v>
      </c>
      <c r="M729" s="58">
        <f>IF($C729="B",INDEX(Batters[[#All],[GAP P]],MATCH(Table5[[#This Row],[PID]],Batters[[#All],[PID]],0)),INDEX(Table3[[#All],[MOV P]],MATCH(Table5[[#This Row],[PID]],Table3[[#All],[PID]],0)))</f>
        <v>1</v>
      </c>
      <c r="N729" s="58">
        <f>IF($C729="B",INDEX(Batters[[#All],[POW P]],MATCH(Table5[[#This Row],[PID]],Batters[[#All],[PID]],0)),INDEX(Table3[[#All],[CON P]],MATCH(Table5[[#This Row],[PID]],Table3[[#All],[PID]],0)))</f>
        <v>3</v>
      </c>
      <c r="O729" s="58" t="str">
        <f>IF($C729="B",INDEX(Batters[[#All],[EYE P]],MATCH(Table5[[#This Row],[PID]],Batters[[#All],[PID]],0)),INDEX(Table3[[#All],[VELO]],MATCH(Table5[[#This Row],[PID]],Table3[[#All],[PID]],0)))</f>
        <v>85-87 Mph</v>
      </c>
      <c r="P729" s="58">
        <f>IF($C729="B",INDEX(Batters[[#All],[K P]],MATCH(Table5[[#This Row],[PID]],Batters[[#All],[PID]],0)),INDEX(Table3[[#All],[STM]],MATCH(Table5[[#This Row],[PID]],Table3[[#All],[PID]],0)))</f>
        <v>9</v>
      </c>
      <c r="Q729" s="63">
        <f>IF($C729="B",INDEX(Batters[[#All],[Tot]],MATCH(Table5[[#This Row],[PID]],Batters[[#All],[PID]],0)),INDEX(Table3[[#All],[Tot]],MATCH(Table5[[#This Row],[PID]],Table3[[#All],[PID]],0)))</f>
        <v>26.877996096141977</v>
      </c>
      <c r="R729" s="54">
        <f>IF($C729="B",INDEX(Batters[[#All],[zScore]],MATCH(Table5[[#This Row],[PID]],Batters[[#All],[PID]],0)),INDEX(Table3[[#All],[zScore]],MATCH(Table5[[#This Row],[PID]],Table3[[#All],[PID]],0)))</f>
        <v>-0.53594314017102007</v>
      </c>
      <c r="S729" s="60" t="str">
        <f>IF($C729="B",INDEX(Batters[[#All],[DEM]],MATCH(Table5[[#This Row],[PID]],Batters[[#All],[PID]],0)),INDEX(Table3[[#All],[DEM]],MATCH(Table5[[#This Row],[PID]],Table3[[#All],[PID]],0)))</f>
        <v>$20k</v>
      </c>
      <c r="T729" s="64">
        <f>IF($C729="B",VLOOKUP($A729,Bat!$A$4:$AU$1417,46,FALSE),VLOOKUP($A729,Pit!$A$4:$BD$570,55,FALSE))</f>
        <v>0</v>
      </c>
      <c r="U729" s="52">
        <f>IF($C729="B",VLOOKUP($A729,Bat!$A$4:$BA$1417,47,FALSE),VLOOKUP($A729,Pit!$A$4:$BF$570,56,FALSE))</f>
        <v>0</v>
      </c>
      <c r="V729" s="52">
        <f>IF($C729="B",VLOOKUP($A729,Bat!$A$4:$BA$1417,48,FALSE),VLOOKUP($A729,Pit!$A$4:$BF$570,57,FALSE))</f>
        <v>0</v>
      </c>
      <c r="W729" s="52">
        <f>Table5[[#This Row],[posRnk]]+Table5[[#This Row],[zRnk]]+IF($W$3&lt;&gt;Table5[[#This Row],[Type]],50,0)</f>
        <v>775</v>
      </c>
      <c r="X729" s="53">
        <f>RANK(Table5[[#This Row],[zScore]],Table5[[#All],[zScore]])</f>
        <v>725</v>
      </c>
      <c r="Y729" s="52" t="str">
        <f>IFERROR(INDEX(DraftResults[[#All],[OVR]],MATCH(Table5[[#This Row],[PID]],DraftResults[[#All],[Player ID]],0)),"")</f>
        <v/>
      </c>
      <c r="Z7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9" s="52" t="str">
        <f>IFERROR(INDEX(DraftResults[[#All],[Pick in Round]],MATCH(Table5[[#This Row],[PID]],DraftResults[[#All],[Player ID]],0)),"")</f>
        <v/>
      </c>
      <c r="AB729" s="52" t="str">
        <f>IFERROR(INDEX(DraftResults[[#All],[Team Name]],MATCH(Table5[[#This Row],[PID]],DraftResults[[#All],[Player ID]],0)),"")</f>
        <v/>
      </c>
      <c r="AC729" s="52" t="str">
        <f>IF(Table5[[#This Row],[Ovr]]="","",IF(Table5[[#This Row],[cmbList]]="","",Table5[[#This Row],[cmbList]]-Table5[[#This Row],[Ovr]]))</f>
        <v/>
      </c>
      <c r="AD729" s="56" t="str">
        <f>IF(ISERROR(VLOOKUP($AB729&amp;"-"&amp;$E729&amp;" "&amp;F729,Bonuses!$B$1:$G$1006,4,FALSE)),"",INT(VLOOKUP($AB729&amp;"-"&amp;$E729&amp;" "&amp;$F729,Bonuses!$B$1:$G$1006,4,FALSE)))</f>
        <v/>
      </c>
      <c r="AE7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0" spans="1:31" s="52" customFormat="1" x14ac:dyDescent="0.25">
      <c r="A730" s="52">
        <v>5170</v>
      </c>
      <c r="B730" s="52">
        <f>COUNTIF(Table5[PID],A730)</f>
        <v>1</v>
      </c>
      <c r="C730" s="52" t="str">
        <f>IF(COUNTIF(Table3[[#All],[PID]],A730)&gt;0,"P","B")</f>
        <v>P</v>
      </c>
      <c r="D730" s="61" t="str">
        <f>IF($C730="B",INDEX(Batters[[#All],[POS]],MATCH(Table5[[#This Row],[PID]],Batters[[#All],[PID]],0)),INDEX(Table3[[#All],[POS]],MATCH(Table5[[#This Row],[PID]],Table3[[#All],[PID]],0)))</f>
        <v>RP</v>
      </c>
      <c r="E730" s="54" t="str">
        <f>IF($C730="B",INDEX(Batters[[#All],[First]],MATCH(Table5[[#This Row],[PID]],Batters[[#All],[PID]],0)),INDEX(Table3[[#All],[First]],MATCH(Table5[[#This Row],[PID]],Table3[[#All],[PID]],0)))</f>
        <v>Jason</v>
      </c>
      <c r="F730" s="52" t="str">
        <f>IF($C730="B",INDEX(Batters[[#All],[Last]],MATCH(A730,Batters[[#All],[PID]],0)),INDEX(Table3[[#All],[Last]],MATCH(A730,Table3[[#All],[PID]],0)))</f>
        <v>Doss</v>
      </c>
      <c r="G730" s="58">
        <f>IF($C730="B",INDEX(Batters[[#All],[Age]],MATCH(Table5[[#This Row],[PID]],Batters[[#All],[PID]],0)),INDEX(Table3[[#All],[Age]],MATCH(Table5[[#This Row],[PID]],Table3[[#All],[PID]],0)))</f>
        <v>18</v>
      </c>
      <c r="H730" s="54" t="str">
        <f>IF($C730="B",INDEX(Batters[[#All],[B]],MATCH(Table5[[#This Row],[PID]],Batters[[#All],[PID]],0)),INDEX(Table3[[#All],[B]],MATCH(Table5[[#This Row],[PID]],Table3[[#All],[PID]],0)))</f>
        <v>R</v>
      </c>
      <c r="I730" s="54" t="str">
        <f>IF($C730="B",INDEX(Batters[[#All],[T]],MATCH(Table5[[#This Row],[PID]],Batters[[#All],[PID]],0)),INDEX(Table3[[#All],[T]],MATCH(Table5[[#This Row],[PID]],Table3[[#All],[PID]],0)))</f>
        <v>R</v>
      </c>
      <c r="J730" s="54" t="str">
        <f>IF($C730="B",INDEX(Batters[[#All],[WE]],MATCH(Table5[[#This Row],[PID]],Batters[[#All],[PID]],0)),INDEX(Table3[[#All],[WE]],MATCH(Table5[[#This Row],[PID]],Table3[[#All],[PID]],0)))</f>
        <v>Normal</v>
      </c>
      <c r="K730" s="54" t="str">
        <f>IF($C730="B",INDEX(Batters[[#All],[INT]],MATCH(Table5[[#This Row],[PID]],Batters[[#All],[PID]],0)),INDEX(Table3[[#All],[INT]],MATCH(Table5[[#This Row],[PID]],Table3[[#All],[PID]],0)))</f>
        <v>Low</v>
      </c>
      <c r="L730" s="62">
        <f>IF($C730="B",INDEX(Batters[[#All],[CON P]],MATCH(Table5[[#This Row],[PID]],Batters[[#All],[PID]],0)),INDEX(Table3[[#All],[STU P]],MATCH(Table5[[#This Row],[PID]],Table3[[#All],[PID]],0)))</f>
        <v>4</v>
      </c>
      <c r="M730" s="58">
        <f>IF($C730="B",INDEX(Batters[[#All],[GAP P]],MATCH(Table5[[#This Row],[PID]],Batters[[#All],[PID]],0)),INDEX(Table3[[#All],[MOV P]],MATCH(Table5[[#This Row],[PID]],Table3[[#All],[PID]],0)))</f>
        <v>1</v>
      </c>
      <c r="N730" s="58">
        <f>IF($C730="B",INDEX(Batters[[#All],[POW P]],MATCH(Table5[[#This Row],[PID]],Batters[[#All],[PID]],0)),INDEX(Table3[[#All],[CON P]],MATCH(Table5[[#This Row],[PID]],Table3[[#All],[PID]],0)))</f>
        <v>2</v>
      </c>
      <c r="O730" s="58" t="str">
        <f>IF($C730="B",INDEX(Batters[[#All],[EYE P]],MATCH(Table5[[#This Row],[PID]],Batters[[#All],[PID]],0)),INDEX(Table3[[#All],[VELO]],MATCH(Table5[[#This Row],[PID]],Table3[[#All],[PID]],0)))</f>
        <v>85-87 Mph</v>
      </c>
      <c r="P730" s="58">
        <f>IF($C730="B",INDEX(Batters[[#All],[K P]],MATCH(Table5[[#This Row],[PID]],Batters[[#All],[PID]],0)),INDEX(Table3[[#All],[STM]],MATCH(Table5[[#This Row],[PID]],Table3[[#All],[PID]],0)))</f>
        <v>8</v>
      </c>
      <c r="Q730" s="63">
        <f>IF($C730="B",INDEX(Batters[[#All],[Tot]],MATCH(Table5[[#This Row],[PID]],Batters[[#All],[PID]],0)),INDEX(Table3[[#All],[Tot]],MATCH(Table5[[#This Row],[PID]],Table3[[#All],[PID]],0)))</f>
        <v>26.874413989457139</v>
      </c>
      <c r="R730" s="54">
        <f>IF($C730="B",INDEX(Batters[[#All],[zScore]],MATCH(Table5[[#This Row],[PID]],Batters[[#All],[PID]],0)),INDEX(Table3[[#All],[zScore]],MATCH(Table5[[#This Row],[PID]],Table3[[#All],[PID]],0)))</f>
        <v>-0.53627163466426553</v>
      </c>
      <c r="S730" s="60" t="str">
        <f>IF($C730="B",INDEX(Batters[[#All],[DEM]],MATCH(Table5[[#This Row],[PID]],Batters[[#All],[PID]],0)),INDEX(Table3[[#All],[DEM]],MATCH(Table5[[#This Row],[PID]],Table3[[#All],[PID]],0)))</f>
        <v>$75k</v>
      </c>
      <c r="T730" s="64">
        <f>IF($C730="B",VLOOKUP($A730,Bat!$A$4:$AU$1417,46,FALSE),VLOOKUP($A730,Pit!$A$4:$BD$570,55,FALSE))</f>
        <v>0</v>
      </c>
      <c r="U730" s="52">
        <f>IF($C730="B",VLOOKUP($A730,Bat!$A$4:$BA$1417,47,FALSE),VLOOKUP($A730,Pit!$A$4:$BF$570,56,FALSE))</f>
        <v>0</v>
      </c>
      <c r="V730" s="52">
        <f>IF($C730="B",VLOOKUP($A730,Bat!$A$4:$BA$1417,48,FALSE),VLOOKUP($A730,Pit!$A$4:$BF$570,57,FALSE))</f>
        <v>0</v>
      </c>
      <c r="W730" s="52">
        <f>Table5[[#This Row],[posRnk]]+Table5[[#This Row],[zRnk]]+IF($W$3&lt;&gt;Table5[[#This Row],[Type]],50,0)</f>
        <v>776</v>
      </c>
      <c r="X730" s="53">
        <f>RANK(Table5[[#This Row],[zScore]],Table5[[#All],[zScore]])</f>
        <v>726</v>
      </c>
      <c r="Y730" s="52" t="str">
        <f>IFERROR(INDEX(DraftResults[[#All],[OVR]],MATCH(Table5[[#This Row],[PID]],DraftResults[[#All],[Player ID]],0)),"")</f>
        <v/>
      </c>
      <c r="Z7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0" s="52" t="str">
        <f>IFERROR(INDEX(DraftResults[[#All],[Pick in Round]],MATCH(Table5[[#This Row],[PID]],DraftResults[[#All],[Player ID]],0)),"")</f>
        <v/>
      </c>
      <c r="AB730" s="52" t="str">
        <f>IFERROR(INDEX(DraftResults[[#All],[Team Name]],MATCH(Table5[[#This Row],[PID]],DraftResults[[#All],[Player ID]],0)),"")</f>
        <v/>
      </c>
      <c r="AC730" s="52" t="str">
        <f>IF(Table5[[#This Row],[Ovr]]="","",IF(Table5[[#This Row],[cmbList]]="","",Table5[[#This Row],[cmbList]]-Table5[[#This Row],[Ovr]]))</f>
        <v/>
      </c>
      <c r="AD730" s="56" t="str">
        <f>IF(ISERROR(VLOOKUP($AB730&amp;"-"&amp;$E730&amp;" "&amp;F730,Bonuses!$B$1:$G$1006,4,FALSE)),"",INT(VLOOKUP($AB730&amp;"-"&amp;$E730&amp;" "&amp;$F730,Bonuses!$B$1:$G$1006,4,FALSE)))</f>
        <v/>
      </c>
      <c r="AE7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1" spans="1:31" s="52" customFormat="1" x14ac:dyDescent="0.25">
      <c r="A731" s="52">
        <v>4672</v>
      </c>
      <c r="B731" s="52">
        <f>COUNTIF(Table5[PID],A731)</f>
        <v>1</v>
      </c>
      <c r="C731" s="52" t="str">
        <f>IF(COUNTIF(Table3[[#All],[PID]],A731)&gt;0,"P","B")</f>
        <v>P</v>
      </c>
      <c r="D731" s="61" t="str">
        <f>IF($C731="B",INDEX(Batters[[#All],[POS]],MATCH(Table5[[#This Row],[PID]],Batters[[#All],[PID]],0)),INDEX(Table3[[#All],[POS]],MATCH(Table5[[#This Row],[PID]],Table3[[#All],[PID]],0)))</f>
        <v>CL</v>
      </c>
      <c r="E731" s="54" t="str">
        <f>IF($C731="B",INDEX(Batters[[#All],[First]],MATCH(Table5[[#This Row],[PID]],Batters[[#All],[PID]],0)),INDEX(Table3[[#All],[First]],MATCH(Table5[[#This Row],[PID]],Table3[[#All],[PID]],0)))</f>
        <v>José</v>
      </c>
      <c r="F731" s="52" t="str">
        <f>IF($C731="B",INDEX(Batters[[#All],[Last]],MATCH(A731,Batters[[#All],[PID]],0)),INDEX(Table3[[#All],[Last]],MATCH(A731,Table3[[#All],[PID]],0)))</f>
        <v>Valdés</v>
      </c>
      <c r="G731" s="58">
        <f>IF($C731="B",INDEX(Batters[[#All],[Age]],MATCH(Table5[[#This Row],[PID]],Batters[[#All],[PID]],0)),INDEX(Table3[[#All],[Age]],MATCH(Table5[[#This Row],[PID]],Table3[[#All],[PID]],0)))</f>
        <v>21</v>
      </c>
      <c r="H731" s="54" t="str">
        <f>IF($C731="B",INDEX(Batters[[#All],[B]],MATCH(Table5[[#This Row],[PID]],Batters[[#All],[PID]],0)),INDEX(Table3[[#All],[B]],MATCH(Table5[[#This Row],[PID]],Table3[[#All],[PID]],0)))</f>
        <v>R</v>
      </c>
      <c r="I731" s="54" t="str">
        <f>IF($C731="B",INDEX(Batters[[#All],[T]],MATCH(Table5[[#This Row],[PID]],Batters[[#All],[PID]],0)),INDEX(Table3[[#All],[T]],MATCH(Table5[[#This Row],[PID]],Table3[[#All],[PID]],0)))</f>
        <v>R</v>
      </c>
      <c r="J731" s="54" t="str">
        <f>IF($C731="B",INDEX(Batters[[#All],[WE]],MATCH(Table5[[#This Row],[PID]],Batters[[#All],[PID]],0)),INDEX(Table3[[#All],[WE]],MATCH(Table5[[#This Row],[PID]],Table3[[#All],[PID]],0)))</f>
        <v>Low</v>
      </c>
      <c r="K731" s="54" t="str">
        <f>IF($C731="B",INDEX(Batters[[#All],[INT]],MATCH(Table5[[#This Row],[PID]],Batters[[#All],[PID]],0)),INDEX(Table3[[#All],[INT]],MATCH(Table5[[#This Row],[PID]],Table3[[#All],[PID]],0)))</f>
        <v>Low</v>
      </c>
      <c r="L731" s="62">
        <f>IF($C731="B",INDEX(Batters[[#All],[CON P]],MATCH(Table5[[#This Row],[PID]],Batters[[#All],[PID]],0)),INDEX(Table3[[#All],[STU P]],MATCH(Table5[[#This Row],[PID]],Table3[[#All],[PID]],0)))</f>
        <v>5</v>
      </c>
      <c r="M731" s="58">
        <f>IF($C731="B",INDEX(Batters[[#All],[GAP P]],MATCH(Table5[[#This Row],[PID]],Batters[[#All],[PID]],0)),INDEX(Table3[[#All],[MOV P]],MATCH(Table5[[#This Row],[PID]],Table3[[#All],[PID]],0)))</f>
        <v>2</v>
      </c>
      <c r="N731" s="58">
        <f>IF($C731="B",INDEX(Batters[[#All],[POW P]],MATCH(Table5[[#This Row],[PID]],Batters[[#All],[PID]],0)),INDEX(Table3[[#All],[CON P]],MATCH(Table5[[#This Row],[PID]],Table3[[#All],[PID]],0)))</f>
        <v>2</v>
      </c>
      <c r="O731" s="58" t="str">
        <f>IF($C731="B",INDEX(Batters[[#All],[EYE P]],MATCH(Table5[[#This Row],[PID]],Batters[[#All],[PID]],0)),INDEX(Table3[[#All],[VELO]],MATCH(Table5[[#This Row],[PID]],Table3[[#All],[PID]],0)))</f>
        <v>87-89 Mph</v>
      </c>
      <c r="P731" s="58">
        <f>IF($C731="B",INDEX(Batters[[#All],[K P]],MATCH(Table5[[#This Row],[PID]],Batters[[#All],[PID]],0)),INDEX(Table3[[#All],[STM]],MATCH(Table5[[#This Row],[PID]],Table3[[#All],[PID]],0)))</f>
        <v>4</v>
      </c>
      <c r="Q731" s="63">
        <f>IF($C731="B",INDEX(Batters[[#All],[Tot]],MATCH(Table5[[#This Row],[PID]],Batters[[#All],[PID]],0)),INDEX(Table3[[#All],[Tot]],MATCH(Table5[[#This Row],[PID]],Table3[[#All],[PID]],0)))</f>
        <v>26.823375145080941</v>
      </c>
      <c r="R731" s="54">
        <f>IF($C731="B",INDEX(Batters[[#All],[zScore]],MATCH(Table5[[#This Row],[PID]],Batters[[#All],[PID]],0)),INDEX(Table3[[#All],[zScore]],MATCH(Table5[[#This Row],[PID]],Table3[[#All],[PID]],0)))</f>
        <v>-0.54095211483816852</v>
      </c>
      <c r="S731" s="60" t="str">
        <f>IF($C731="B",INDEX(Batters[[#All],[DEM]],MATCH(Table5[[#This Row],[PID]],Batters[[#All],[PID]],0)),INDEX(Table3[[#All],[DEM]],MATCH(Table5[[#This Row],[PID]],Table3[[#All],[PID]],0)))</f>
        <v>-</v>
      </c>
      <c r="T731" s="64">
        <f>IF($C731="B",VLOOKUP($A731,Bat!$A$4:$AU$1417,46,FALSE),VLOOKUP($A731,Pit!$A$4:$BD$570,55,FALSE))</f>
        <v>0</v>
      </c>
      <c r="U731" s="52">
        <f>IF($C731="B",VLOOKUP($A731,Bat!$A$4:$BA$1417,47,FALSE),VLOOKUP($A731,Pit!$A$4:$BF$570,56,FALSE))</f>
        <v>0</v>
      </c>
      <c r="V731" s="52">
        <f>IF($C731="B",VLOOKUP($A731,Bat!$A$4:$BA$1417,48,FALSE),VLOOKUP($A731,Pit!$A$4:$BF$570,57,FALSE))</f>
        <v>0</v>
      </c>
      <c r="W731" s="52">
        <f>Table5[[#This Row],[posRnk]]+Table5[[#This Row],[zRnk]]+IF($W$3&lt;&gt;Table5[[#This Row],[Type]],50,0)</f>
        <v>777</v>
      </c>
      <c r="X731" s="53">
        <f>RANK(Table5[[#This Row],[zScore]],Table5[[#All],[zScore]])</f>
        <v>727</v>
      </c>
      <c r="Y731" s="52" t="str">
        <f>IFERROR(INDEX(DraftResults[[#All],[OVR]],MATCH(Table5[[#This Row],[PID]],DraftResults[[#All],[Player ID]],0)),"")</f>
        <v/>
      </c>
      <c r="Z7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1" s="52" t="str">
        <f>IFERROR(INDEX(DraftResults[[#All],[Pick in Round]],MATCH(Table5[[#This Row],[PID]],DraftResults[[#All],[Player ID]],0)),"")</f>
        <v/>
      </c>
      <c r="AB731" s="52" t="str">
        <f>IFERROR(INDEX(DraftResults[[#All],[Team Name]],MATCH(Table5[[#This Row],[PID]],DraftResults[[#All],[Player ID]],0)),"")</f>
        <v/>
      </c>
      <c r="AC731" s="52" t="str">
        <f>IF(Table5[[#This Row],[Ovr]]="","",IF(Table5[[#This Row],[cmbList]]="","",Table5[[#This Row],[cmbList]]-Table5[[#This Row],[Ovr]]))</f>
        <v/>
      </c>
      <c r="AD731" s="56" t="str">
        <f>IF(ISERROR(VLOOKUP($AB731&amp;"-"&amp;$E731&amp;" "&amp;F731,Bonuses!$B$1:$G$1006,4,FALSE)),"",INT(VLOOKUP($AB731&amp;"-"&amp;$E731&amp;" "&amp;$F731,Bonuses!$B$1:$G$1006,4,FALSE)))</f>
        <v/>
      </c>
      <c r="AE7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2" spans="1:31" s="52" customFormat="1" x14ac:dyDescent="0.25">
      <c r="A732" s="52">
        <v>9726</v>
      </c>
      <c r="B732" s="57">
        <f>COUNTIF(Table5[PID],A732)</f>
        <v>1</v>
      </c>
      <c r="C732" s="57" t="str">
        <f>IF(COUNTIF(Table3[[#All],[PID]],A732)&gt;0,"P","B")</f>
        <v>B</v>
      </c>
      <c r="D732" s="61" t="str">
        <f>IF($C732="B",INDEX(Batters[[#All],[POS]],MATCH(Table5[[#This Row],[PID]],Batters[[#All],[PID]],0)),INDEX(Table3[[#All],[POS]],MATCH(Table5[[#This Row],[PID]],Table3[[#All],[PID]],0)))</f>
        <v>RF</v>
      </c>
      <c r="E732" s="54" t="str">
        <f>IF($C732="B",INDEX(Batters[[#All],[First]],MATCH(Table5[[#This Row],[PID]],Batters[[#All],[PID]],0)),INDEX(Table3[[#All],[First]],MATCH(Table5[[#This Row],[PID]],Table3[[#All],[PID]],0)))</f>
        <v>Júlio</v>
      </c>
      <c r="F732" s="52" t="str">
        <f>IF($C732="B",INDEX(Batters[[#All],[Last]],MATCH(A732,Batters[[#All],[PID]],0)),INDEX(Table3[[#All],[Last]],MATCH(A732,Table3[[#All],[PID]],0)))</f>
        <v>Torres</v>
      </c>
      <c r="G732" s="58">
        <f>IF($C732="B",INDEX(Batters[[#All],[Age]],MATCH(Table5[[#This Row],[PID]],Batters[[#All],[PID]],0)),INDEX(Table3[[#All],[Age]],MATCH(Table5[[#This Row],[PID]],Table3[[#All],[PID]],0)))</f>
        <v>21</v>
      </c>
      <c r="H732" s="54" t="str">
        <f>IF($C732="B",INDEX(Batters[[#All],[B]],MATCH(Table5[[#This Row],[PID]],Batters[[#All],[PID]],0)),INDEX(Table3[[#All],[B]],MATCH(Table5[[#This Row],[PID]],Table3[[#All],[PID]],0)))</f>
        <v>R</v>
      </c>
      <c r="I732" s="54" t="str">
        <f>IF($C732="B",INDEX(Batters[[#All],[T]],MATCH(Table5[[#This Row],[PID]],Batters[[#All],[PID]],0)),INDEX(Table3[[#All],[T]],MATCH(Table5[[#This Row],[PID]],Table3[[#All],[PID]],0)))</f>
        <v>L</v>
      </c>
      <c r="J732" s="54" t="str">
        <f>IF($C732="B",INDEX(Batters[[#All],[WE]],MATCH(Table5[[#This Row],[PID]],Batters[[#All],[PID]],0)),INDEX(Table3[[#All],[WE]],MATCH(Table5[[#This Row],[PID]],Table3[[#All],[PID]],0)))</f>
        <v>Low</v>
      </c>
      <c r="K732" s="54" t="str">
        <f>IF($C732="B",INDEX(Batters[[#All],[INT]],MATCH(Table5[[#This Row],[PID]],Batters[[#All],[PID]],0)),INDEX(Table3[[#All],[INT]],MATCH(Table5[[#This Row],[PID]],Table3[[#All],[PID]],0)))</f>
        <v>Normal</v>
      </c>
      <c r="L732" s="62">
        <f>IF($C732="B",INDEX(Batters[[#All],[CON P]],MATCH(Table5[[#This Row],[PID]],Batters[[#All],[PID]],0)),INDEX(Table3[[#All],[STU P]],MATCH(Table5[[#This Row],[PID]],Table3[[#All],[PID]],0)))</f>
        <v>3</v>
      </c>
      <c r="M732" s="58">
        <f>IF($C732="B",INDEX(Batters[[#All],[GAP P]],MATCH(Table5[[#This Row],[PID]],Batters[[#All],[PID]],0)),INDEX(Table3[[#All],[MOV P]],MATCH(Table5[[#This Row],[PID]],Table3[[#All],[PID]],0)))</f>
        <v>3</v>
      </c>
      <c r="N732" s="58">
        <f>IF($C732="B",INDEX(Batters[[#All],[POW P]],MATCH(Table5[[#This Row],[PID]],Batters[[#All],[PID]],0)),INDEX(Table3[[#All],[CON P]],MATCH(Table5[[#This Row],[PID]],Table3[[#All],[PID]],0)))</f>
        <v>4</v>
      </c>
      <c r="O732" s="58">
        <f>IF($C732="B",INDEX(Batters[[#All],[EYE P]],MATCH(Table5[[#This Row],[PID]],Batters[[#All],[PID]],0)),INDEX(Table3[[#All],[VELO]],MATCH(Table5[[#This Row],[PID]],Table3[[#All],[PID]],0)))</f>
        <v>4</v>
      </c>
      <c r="P732" s="58">
        <f>IF($C732="B",INDEX(Batters[[#All],[K P]],MATCH(Table5[[#This Row],[PID]],Batters[[#All],[PID]],0)),INDEX(Table3[[#All],[STM]],MATCH(Table5[[#This Row],[PID]],Table3[[#All],[PID]],0)))</f>
        <v>5</v>
      </c>
      <c r="Q732" s="63">
        <f>IF($C732="B",INDEX(Batters[[#All],[Tot]],MATCH(Table5[[#This Row],[PID]],Batters[[#All],[PID]],0)),INDEX(Table3[[#All],[Tot]],MATCH(Table5[[#This Row],[PID]],Table3[[#All],[PID]],0)))</f>
        <v>37.271455418974149</v>
      </c>
      <c r="R732" s="54">
        <f>IF($C732="B",INDEX(Batters[[#All],[zScore]],MATCH(Table5[[#This Row],[PID]],Batters[[#All],[PID]],0)),INDEX(Table3[[#All],[zScore]],MATCH(Table5[[#This Row],[PID]],Table3[[#All],[PID]],0)))</f>
        <v>-0.54134109240793349</v>
      </c>
      <c r="S732" s="60" t="str">
        <f>IF($C732="B",INDEX(Batters[[#All],[DEM]],MATCH(Table5[[#This Row],[PID]],Batters[[#All],[PID]],0)),INDEX(Table3[[#All],[DEM]],MATCH(Table5[[#This Row],[PID]],Table3[[#All],[PID]],0)))</f>
        <v>$20k</v>
      </c>
      <c r="T732" s="64">
        <f>IF($C732="B",VLOOKUP($A732,Bat!$A$4:$AU$1417,46,FALSE),VLOOKUP($A732,Pit!$A$4:$BD$570,55,FALSE))</f>
        <v>0</v>
      </c>
      <c r="U732" s="52">
        <f>IF($C732="B",VLOOKUP($A732,Bat!$A$4:$BA$1417,47,FALSE),VLOOKUP($A732,Pit!$A$4:$BF$570,56,FALSE))</f>
        <v>0</v>
      </c>
      <c r="V732" s="52">
        <f>IF($C732="B",VLOOKUP($A732,Bat!$A$4:$BA$1417,48,FALSE),VLOOKUP($A732,Pit!$A$4:$BF$570,57,FALSE))</f>
        <v>0</v>
      </c>
      <c r="W732" s="52">
        <f>Table5[[#This Row],[posRnk]]+Table5[[#This Row],[zRnk]]+IF($W$3&lt;&gt;Table5[[#This Row],[Type]],50,0)</f>
        <v>778</v>
      </c>
      <c r="X732" s="53">
        <f>RANK(Table5[[#This Row],[zScore]],Table5[[#All],[zScore]])</f>
        <v>728</v>
      </c>
      <c r="Y732" s="52" t="str">
        <f>IFERROR(INDEX(DraftResults[[#All],[OVR]],MATCH(Table5[[#This Row],[PID]],DraftResults[[#All],[Player ID]],0)),"")</f>
        <v/>
      </c>
      <c r="Z7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2" s="52" t="str">
        <f>IFERROR(INDEX(DraftResults[[#All],[Pick in Round]],MATCH(Table5[[#This Row],[PID]],DraftResults[[#All],[Player ID]],0)),"")</f>
        <v/>
      </c>
      <c r="AB732" s="52" t="str">
        <f>IFERROR(INDEX(DraftResults[[#All],[Team Name]],MATCH(Table5[[#This Row],[PID]],DraftResults[[#All],[Player ID]],0)),"")</f>
        <v/>
      </c>
      <c r="AC732" s="52" t="str">
        <f>IF(Table5[[#This Row],[Ovr]]="","",IF(Table5[[#This Row],[cmbList]]="","",Table5[[#This Row],[cmbList]]-Table5[[#This Row],[Ovr]]))</f>
        <v/>
      </c>
      <c r="AD732" s="56" t="str">
        <f>IF(ISERROR(VLOOKUP($AB732&amp;"-"&amp;$E732&amp;" "&amp;F732,Bonuses!$B$1:$G$1006,4,FALSE)),"",INT(VLOOKUP($AB732&amp;"-"&amp;$E732&amp;" "&amp;$F732,Bonuses!$B$1:$G$1006,4,FALSE)))</f>
        <v/>
      </c>
      <c r="AE7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3" spans="1:31" s="52" customFormat="1" x14ac:dyDescent="0.25">
      <c r="A733" s="52">
        <v>10311</v>
      </c>
      <c r="B733" s="52">
        <f>COUNTIF(Table5[PID],A733)</f>
        <v>1</v>
      </c>
      <c r="C733" s="52" t="str">
        <f>IF(COUNTIF(Table3[[#All],[PID]],A733)&gt;0,"P","B")</f>
        <v>P</v>
      </c>
      <c r="D733" s="61" t="str">
        <f>IF($C733="B",INDEX(Batters[[#All],[POS]],MATCH(Table5[[#This Row],[PID]],Batters[[#All],[PID]],0)),INDEX(Table3[[#All],[POS]],MATCH(Table5[[#This Row],[PID]],Table3[[#All],[PID]],0)))</f>
        <v>RP</v>
      </c>
      <c r="E733" s="54" t="str">
        <f>IF($C733="B",INDEX(Batters[[#All],[First]],MATCH(Table5[[#This Row],[PID]],Batters[[#All],[PID]],0)),INDEX(Table3[[#All],[First]],MATCH(Table5[[#This Row],[PID]],Table3[[#All],[PID]],0)))</f>
        <v>José</v>
      </c>
      <c r="F733" s="52" t="str">
        <f>IF($C733="B",INDEX(Batters[[#All],[Last]],MATCH(A733,Batters[[#All],[PID]],0)),INDEX(Table3[[#All],[Last]],MATCH(A733,Table3[[#All],[PID]],0)))</f>
        <v>Lópes</v>
      </c>
      <c r="G733" s="58">
        <f>IF($C733="B",INDEX(Batters[[#All],[Age]],MATCH(Table5[[#This Row],[PID]],Batters[[#All],[PID]],0)),INDEX(Table3[[#All],[Age]],MATCH(Table5[[#This Row],[PID]],Table3[[#All],[PID]],0)))</f>
        <v>21</v>
      </c>
      <c r="H733" s="54" t="str">
        <f>IF($C733="B",INDEX(Batters[[#All],[B]],MATCH(Table5[[#This Row],[PID]],Batters[[#All],[PID]],0)),INDEX(Table3[[#All],[B]],MATCH(Table5[[#This Row],[PID]],Table3[[#All],[PID]],0)))</f>
        <v>R</v>
      </c>
      <c r="I733" s="54" t="str">
        <f>IF($C733="B",INDEX(Batters[[#All],[T]],MATCH(Table5[[#This Row],[PID]],Batters[[#All],[PID]],0)),INDEX(Table3[[#All],[T]],MATCH(Table5[[#This Row],[PID]],Table3[[#All],[PID]],0)))</f>
        <v>R</v>
      </c>
      <c r="J733" s="54" t="str">
        <f>IF($C733="B",INDEX(Batters[[#All],[WE]],MATCH(Table5[[#This Row],[PID]],Batters[[#All],[PID]],0)),INDEX(Table3[[#All],[WE]],MATCH(Table5[[#This Row],[PID]],Table3[[#All],[PID]],0)))</f>
        <v>Normal</v>
      </c>
      <c r="K733" s="54" t="str">
        <f>IF($C733="B",INDEX(Batters[[#All],[INT]],MATCH(Table5[[#This Row],[PID]],Batters[[#All],[PID]],0)),INDEX(Table3[[#All],[INT]],MATCH(Table5[[#This Row],[PID]],Table3[[#All],[PID]],0)))</f>
        <v>High</v>
      </c>
      <c r="L733" s="62">
        <f>IF($C733="B",INDEX(Batters[[#All],[CON P]],MATCH(Table5[[#This Row],[PID]],Batters[[#All],[PID]],0)),INDEX(Table3[[#All],[STU P]],MATCH(Table5[[#This Row],[PID]],Table3[[#All],[PID]],0)))</f>
        <v>3</v>
      </c>
      <c r="M733" s="58">
        <f>IF($C733="B",INDEX(Batters[[#All],[GAP P]],MATCH(Table5[[#This Row],[PID]],Batters[[#All],[PID]],0)),INDEX(Table3[[#All],[MOV P]],MATCH(Table5[[#This Row],[PID]],Table3[[#All],[PID]],0)))</f>
        <v>3</v>
      </c>
      <c r="N733" s="58">
        <f>IF($C733="B",INDEX(Batters[[#All],[POW P]],MATCH(Table5[[#This Row],[PID]],Batters[[#All],[PID]],0)),INDEX(Table3[[#All],[CON P]],MATCH(Table5[[#This Row],[PID]],Table3[[#All],[PID]],0)))</f>
        <v>2</v>
      </c>
      <c r="O733" s="58" t="str">
        <f>IF($C733="B",INDEX(Batters[[#All],[EYE P]],MATCH(Table5[[#This Row],[PID]],Batters[[#All],[PID]],0)),INDEX(Table3[[#All],[VELO]],MATCH(Table5[[#This Row],[PID]],Table3[[#All],[PID]],0)))</f>
        <v>89-91 Mph</v>
      </c>
      <c r="P733" s="58">
        <f>IF($C733="B",INDEX(Batters[[#All],[K P]],MATCH(Table5[[#This Row],[PID]],Batters[[#All],[PID]],0)),INDEX(Table3[[#All],[STM]],MATCH(Table5[[#This Row],[PID]],Table3[[#All],[PID]],0)))</f>
        <v>7</v>
      </c>
      <c r="Q733" s="63">
        <f>IF($C733="B",INDEX(Batters[[#All],[Tot]],MATCH(Table5[[#This Row],[PID]],Batters[[#All],[PID]],0)),INDEX(Table3[[#All],[Tot]],MATCH(Table5[[#This Row],[PID]],Table3[[#All],[PID]],0)))</f>
        <v>24.208357317921177</v>
      </c>
      <c r="R733" s="54">
        <f>IF($C733="B",INDEX(Batters[[#All],[zScore]],MATCH(Table5[[#This Row],[PID]],Batters[[#All],[PID]],0)),INDEX(Table3[[#All],[zScore]],MATCH(Table5[[#This Row],[PID]],Table3[[#All],[PID]],0)))</f>
        <v>-0.54223491279887936</v>
      </c>
      <c r="S733" s="60" t="str">
        <f>IF($C733="B",INDEX(Batters[[#All],[DEM]],MATCH(Table5[[#This Row],[PID]],Batters[[#All],[PID]],0)),INDEX(Table3[[#All],[DEM]],MATCH(Table5[[#This Row],[PID]],Table3[[#All],[PID]],0)))</f>
        <v>-</v>
      </c>
      <c r="T733" s="64">
        <f>IF($C733="B",VLOOKUP($A733,Bat!$A$4:$AU$1417,46,FALSE),VLOOKUP($A733,Pit!$A$4:$BD$570,55,FALSE))</f>
        <v>0</v>
      </c>
      <c r="U733" s="52">
        <f>IF($C733="B",VLOOKUP($A733,Bat!$A$4:$BA$1417,47,FALSE),VLOOKUP($A733,Pit!$A$4:$BF$570,56,FALSE))</f>
        <v>0</v>
      </c>
      <c r="V733" s="52">
        <f>IF($C733="B",VLOOKUP($A733,Bat!$A$4:$BA$1417,48,FALSE),VLOOKUP($A733,Pit!$A$4:$BF$570,57,FALSE))</f>
        <v>0</v>
      </c>
      <c r="W733" s="52">
        <f>Table5[[#This Row],[posRnk]]+Table5[[#This Row],[zRnk]]+IF($W$3&lt;&gt;Table5[[#This Row],[Type]],50,0)</f>
        <v>779</v>
      </c>
      <c r="X733" s="53">
        <f>RANK(Table5[[#This Row],[zScore]],Table5[[#All],[zScore]])</f>
        <v>729</v>
      </c>
      <c r="Y733" s="52" t="str">
        <f>IFERROR(INDEX(DraftResults[[#All],[OVR]],MATCH(Table5[[#This Row],[PID]],DraftResults[[#All],[Player ID]],0)),"")</f>
        <v/>
      </c>
      <c r="Z7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3" s="52" t="str">
        <f>IFERROR(INDEX(DraftResults[[#All],[Pick in Round]],MATCH(Table5[[#This Row],[PID]],DraftResults[[#All],[Player ID]],0)),"")</f>
        <v/>
      </c>
      <c r="AB733" s="52" t="str">
        <f>IFERROR(INDEX(DraftResults[[#All],[Team Name]],MATCH(Table5[[#This Row],[PID]],DraftResults[[#All],[Player ID]],0)),"")</f>
        <v/>
      </c>
      <c r="AC733" s="52" t="str">
        <f>IF(Table5[[#This Row],[Ovr]]="","",IF(Table5[[#This Row],[cmbList]]="","",Table5[[#This Row],[cmbList]]-Table5[[#This Row],[Ovr]]))</f>
        <v/>
      </c>
      <c r="AD733" s="56" t="str">
        <f>IF(ISERROR(VLOOKUP($AB733&amp;"-"&amp;$E733&amp;" "&amp;F733,Bonuses!$B$1:$G$1006,4,FALSE)),"",INT(VLOOKUP($AB733&amp;"-"&amp;$E733&amp;" "&amp;$F733,Bonuses!$B$1:$G$1006,4,FALSE)))</f>
        <v/>
      </c>
      <c r="AE7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4" spans="1:31" s="52" customFormat="1" x14ac:dyDescent="0.25">
      <c r="A734" s="52">
        <v>6336</v>
      </c>
      <c r="B734" s="52">
        <f>COUNTIF(Table5[PID],A734)</f>
        <v>1</v>
      </c>
      <c r="C734" s="52" t="str">
        <f>IF(COUNTIF(Table3[[#All],[PID]],A734)&gt;0,"P","B")</f>
        <v>P</v>
      </c>
      <c r="D734" s="61" t="str">
        <f>IF($C734="B",INDEX(Batters[[#All],[POS]],MATCH(Table5[[#This Row],[PID]],Batters[[#All],[PID]],0)),INDEX(Table3[[#All],[POS]],MATCH(Table5[[#This Row],[PID]],Table3[[#All],[PID]],0)))</f>
        <v>SP</v>
      </c>
      <c r="E734" s="54" t="str">
        <f>IF($C734="B",INDEX(Batters[[#All],[First]],MATCH(Table5[[#This Row],[PID]],Batters[[#All],[PID]],0)),INDEX(Table3[[#All],[First]],MATCH(Table5[[#This Row],[PID]],Table3[[#All],[PID]],0)))</f>
        <v>Kenshin</v>
      </c>
      <c r="F734" s="52" t="str">
        <f>IF($C734="B",INDEX(Batters[[#All],[Last]],MATCH(A734,Batters[[#All],[PID]],0)),INDEX(Table3[[#All],[Last]],MATCH(A734,Table3[[#All],[PID]],0)))</f>
        <v>Hirose</v>
      </c>
      <c r="G734" s="58">
        <f>IF($C734="B",INDEX(Batters[[#All],[Age]],MATCH(Table5[[#This Row],[PID]],Batters[[#All],[PID]],0)),INDEX(Table3[[#All],[Age]],MATCH(Table5[[#This Row],[PID]],Table3[[#All],[PID]],0)))</f>
        <v>17</v>
      </c>
      <c r="H734" s="54" t="str">
        <f>IF($C734="B",INDEX(Batters[[#All],[B]],MATCH(Table5[[#This Row],[PID]],Batters[[#All],[PID]],0)),INDEX(Table3[[#All],[B]],MATCH(Table5[[#This Row],[PID]],Table3[[#All],[PID]],0)))</f>
        <v>R</v>
      </c>
      <c r="I734" s="54" t="str">
        <f>IF($C734="B",INDEX(Batters[[#All],[T]],MATCH(Table5[[#This Row],[PID]],Batters[[#All],[PID]],0)),INDEX(Table3[[#All],[T]],MATCH(Table5[[#This Row],[PID]],Table3[[#All],[PID]],0)))</f>
        <v>R</v>
      </c>
      <c r="J734" s="54" t="str">
        <f>IF($C734="B",INDEX(Batters[[#All],[WE]],MATCH(Table5[[#This Row],[PID]],Batters[[#All],[PID]],0)),INDEX(Table3[[#All],[WE]],MATCH(Table5[[#This Row],[PID]],Table3[[#All],[PID]],0)))</f>
        <v>High</v>
      </c>
      <c r="K734" s="54" t="str">
        <f>IF($C734="B",INDEX(Batters[[#All],[INT]],MATCH(Table5[[#This Row],[PID]],Batters[[#All],[PID]],0)),INDEX(Table3[[#All],[INT]],MATCH(Table5[[#This Row],[PID]],Table3[[#All],[PID]],0)))</f>
        <v>Normal</v>
      </c>
      <c r="L734" s="62">
        <f>IF($C734="B",INDEX(Batters[[#All],[CON P]],MATCH(Table5[[#This Row],[PID]],Batters[[#All],[PID]],0)),INDEX(Table3[[#All],[STU P]],MATCH(Table5[[#This Row],[PID]],Table3[[#All],[PID]],0)))</f>
        <v>4</v>
      </c>
      <c r="M734" s="58">
        <f>IF($C734="B",INDEX(Batters[[#All],[GAP P]],MATCH(Table5[[#This Row],[PID]],Batters[[#All],[PID]],0)),INDEX(Table3[[#All],[MOV P]],MATCH(Table5[[#This Row],[PID]],Table3[[#All],[PID]],0)))</f>
        <v>2</v>
      </c>
      <c r="N734" s="58">
        <f>IF($C734="B",INDEX(Batters[[#All],[POW P]],MATCH(Table5[[#This Row],[PID]],Batters[[#All],[PID]],0)),INDEX(Table3[[#All],[CON P]],MATCH(Table5[[#This Row],[PID]],Table3[[#All],[PID]],0)))</f>
        <v>1</v>
      </c>
      <c r="O734" s="58" t="str">
        <f>IF($C734="B",INDEX(Batters[[#All],[EYE P]],MATCH(Table5[[#This Row],[PID]],Batters[[#All],[PID]],0)),INDEX(Table3[[#All],[VELO]],MATCH(Table5[[#This Row],[PID]],Table3[[#All],[PID]],0)))</f>
        <v>92-94 Mph</v>
      </c>
      <c r="P734" s="58">
        <f>IF($C734="B",INDEX(Batters[[#All],[K P]],MATCH(Table5[[#This Row],[PID]],Batters[[#All],[PID]],0)),INDEX(Table3[[#All],[STM]],MATCH(Table5[[#This Row],[PID]],Table3[[#All],[PID]],0)))</f>
        <v>10</v>
      </c>
      <c r="Q734" s="63">
        <f>IF($C734="B",INDEX(Batters[[#All],[Tot]],MATCH(Table5[[#This Row],[PID]],Batters[[#All],[PID]],0)),INDEX(Table3[[#All],[Tot]],MATCH(Table5[[#This Row],[PID]],Table3[[#All],[PID]],0)))</f>
        <v>26.808051815135322</v>
      </c>
      <c r="R734" s="54">
        <f>IF($C734="B",INDEX(Batters[[#All],[zScore]],MATCH(Table5[[#This Row],[PID]],Batters[[#All],[PID]],0)),INDEX(Table3[[#All],[zScore]],MATCH(Table5[[#This Row],[PID]],Table3[[#All],[PID]],0)))</f>
        <v>-0.54235732968747052</v>
      </c>
      <c r="S734" s="60" t="str">
        <f>IF($C734="B",INDEX(Batters[[#All],[DEM]],MATCH(Table5[[#This Row],[PID]],Batters[[#All],[PID]],0)),INDEX(Table3[[#All],[DEM]],MATCH(Table5[[#This Row],[PID]],Table3[[#All],[PID]],0)))</f>
        <v>$65k</v>
      </c>
      <c r="T734" s="64">
        <f>IF($C734="B",VLOOKUP($A734,Bat!$A$4:$AU$1417,46,FALSE),VLOOKUP($A734,Pit!$A$4:$BD$570,55,FALSE))</f>
        <v>0</v>
      </c>
      <c r="U734" s="52">
        <f>IF($C734="B",VLOOKUP($A734,Bat!$A$4:$BA$1417,47,FALSE),VLOOKUP($A734,Pit!$A$4:$BF$570,56,FALSE))</f>
        <v>0</v>
      </c>
      <c r="V734" s="52">
        <f>IF($C734="B",VLOOKUP($A734,Bat!$A$4:$BA$1417,48,FALSE),VLOOKUP($A734,Pit!$A$4:$BF$570,57,FALSE))</f>
        <v>0</v>
      </c>
      <c r="W734" s="52">
        <f>Table5[[#This Row],[posRnk]]+Table5[[#This Row],[zRnk]]+IF($W$3&lt;&gt;Table5[[#This Row],[Type]],50,0)</f>
        <v>780</v>
      </c>
      <c r="X734" s="53">
        <f>RANK(Table5[[#This Row],[zScore]],Table5[[#All],[zScore]])</f>
        <v>730</v>
      </c>
      <c r="Y734" s="52" t="str">
        <f>IFERROR(INDEX(DraftResults[[#All],[OVR]],MATCH(Table5[[#This Row],[PID]],DraftResults[[#All],[Player ID]],0)),"")</f>
        <v/>
      </c>
      <c r="Z7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4" s="52" t="str">
        <f>IFERROR(INDEX(DraftResults[[#All],[Pick in Round]],MATCH(Table5[[#This Row],[PID]],DraftResults[[#All],[Player ID]],0)),"")</f>
        <v/>
      </c>
      <c r="AB734" s="52" t="str">
        <f>IFERROR(INDEX(DraftResults[[#All],[Team Name]],MATCH(Table5[[#This Row],[PID]],DraftResults[[#All],[Player ID]],0)),"")</f>
        <v/>
      </c>
      <c r="AC734" s="52" t="str">
        <f>IF(Table5[[#This Row],[Ovr]]="","",IF(Table5[[#This Row],[cmbList]]="","",Table5[[#This Row],[cmbList]]-Table5[[#This Row],[Ovr]]))</f>
        <v/>
      </c>
      <c r="AD734" s="56" t="str">
        <f>IF(ISERROR(VLOOKUP($AB734&amp;"-"&amp;$E734&amp;" "&amp;F734,Bonuses!$B$1:$G$1006,4,FALSE)),"",INT(VLOOKUP($AB734&amp;"-"&amp;$E734&amp;" "&amp;$F734,Bonuses!$B$1:$G$1006,4,FALSE)))</f>
        <v/>
      </c>
      <c r="AE7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5" spans="1:31" s="52" customFormat="1" x14ac:dyDescent="0.25">
      <c r="A735" s="52">
        <v>9036</v>
      </c>
      <c r="B735" s="52">
        <f>COUNTIF(Table5[PID],A735)</f>
        <v>1</v>
      </c>
      <c r="C735" s="52" t="str">
        <f>IF(COUNTIF(Table3[[#All],[PID]],A735)&gt;0,"P","B")</f>
        <v>B</v>
      </c>
      <c r="D735" s="61" t="str">
        <f>IF($C735="B",INDEX(Batters[[#All],[POS]],MATCH(Table5[[#This Row],[PID]],Batters[[#All],[PID]],0)),INDEX(Table3[[#All],[POS]],MATCH(Table5[[#This Row],[PID]],Table3[[#All],[PID]],0)))</f>
        <v>1B</v>
      </c>
      <c r="E735" s="54" t="str">
        <f>IF($C735="B",INDEX(Batters[[#All],[First]],MATCH(Table5[[#This Row],[PID]],Batters[[#All],[PID]],0)),INDEX(Table3[[#All],[First]],MATCH(Table5[[#This Row],[PID]],Table3[[#All],[PID]],0)))</f>
        <v>Alejandro</v>
      </c>
      <c r="F735" s="52" t="str">
        <f>IF($C735="B",INDEX(Batters[[#All],[Last]],MATCH(A735,Batters[[#All],[PID]],0)),INDEX(Table3[[#All],[Last]],MATCH(A735,Table3[[#All],[PID]],0)))</f>
        <v>Montalvo</v>
      </c>
      <c r="G735" s="58">
        <f>IF($C735="B",INDEX(Batters[[#All],[Age]],MATCH(Table5[[#This Row],[PID]],Batters[[#All],[PID]],0)),INDEX(Table3[[#All],[Age]],MATCH(Table5[[#This Row],[PID]],Table3[[#All],[PID]],0)))</f>
        <v>22</v>
      </c>
      <c r="H735" s="54" t="str">
        <f>IF($C735="B",INDEX(Batters[[#All],[B]],MATCH(Table5[[#This Row],[PID]],Batters[[#All],[PID]],0)),INDEX(Table3[[#All],[B]],MATCH(Table5[[#This Row],[PID]],Table3[[#All],[PID]],0)))</f>
        <v>R</v>
      </c>
      <c r="I735" s="54" t="str">
        <f>IF($C735="B",INDEX(Batters[[#All],[T]],MATCH(Table5[[#This Row],[PID]],Batters[[#All],[PID]],0)),INDEX(Table3[[#All],[T]],MATCH(Table5[[#This Row],[PID]],Table3[[#All],[PID]],0)))</f>
        <v>R</v>
      </c>
      <c r="J735" s="54" t="str">
        <f>IF($C735="B",INDEX(Batters[[#All],[WE]],MATCH(Table5[[#This Row],[PID]],Batters[[#All],[PID]],0)),INDEX(Table3[[#All],[WE]],MATCH(Table5[[#This Row],[PID]],Table3[[#All],[PID]],0)))</f>
        <v>Normal</v>
      </c>
      <c r="K735" s="54" t="str">
        <f>IF($C735="B",INDEX(Batters[[#All],[INT]],MATCH(Table5[[#This Row],[PID]],Batters[[#All],[PID]],0)),INDEX(Table3[[#All],[INT]],MATCH(Table5[[#This Row],[PID]],Table3[[#All],[PID]],0)))</f>
        <v>Normal</v>
      </c>
      <c r="L735" s="62">
        <f>IF($C735="B",INDEX(Batters[[#All],[CON P]],MATCH(Table5[[#This Row],[PID]],Batters[[#All],[PID]],0)),INDEX(Table3[[#All],[STU P]],MATCH(Table5[[#This Row],[PID]],Table3[[#All],[PID]],0)))</f>
        <v>3</v>
      </c>
      <c r="M735" s="58">
        <f>IF($C735="B",INDEX(Batters[[#All],[GAP P]],MATCH(Table5[[#This Row],[PID]],Batters[[#All],[PID]],0)),INDEX(Table3[[#All],[MOV P]],MATCH(Table5[[#This Row],[PID]],Table3[[#All],[PID]],0)))</f>
        <v>4</v>
      </c>
      <c r="N735" s="58">
        <f>IF($C735="B",INDEX(Batters[[#All],[POW P]],MATCH(Table5[[#This Row],[PID]],Batters[[#All],[PID]],0)),INDEX(Table3[[#All],[CON P]],MATCH(Table5[[#This Row],[PID]],Table3[[#All],[PID]],0)))</f>
        <v>3</v>
      </c>
      <c r="O735" s="58">
        <f>IF($C735="B",INDEX(Batters[[#All],[EYE P]],MATCH(Table5[[#This Row],[PID]],Batters[[#All],[PID]],0)),INDEX(Table3[[#All],[VELO]],MATCH(Table5[[#This Row],[PID]],Table3[[#All],[PID]],0)))</f>
        <v>6</v>
      </c>
      <c r="P735" s="58">
        <f>IF($C735="B",INDEX(Batters[[#All],[K P]],MATCH(Table5[[#This Row],[PID]],Batters[[#All],[PID]],0)),INDEX(Table3[[#All],[STM]],MATCH(Table5[[#This Row],[PID]],Table3[[#All],[PID]],0)))</f>
        <v>2</v>
      </c>
      <c r="Q735" s="63">
        <f>IF($C735="B",INDEX(Batters[[#All],[Tot]],MATCH(Table5[[#This Row],[PID]],Batters[[#All],[PID]],0)),INDEX(Table3[[#All],[Tot]],MATCH(Table5[[#This Row],[PID]],Table3[[#All],[PID]],0)))</f>
        <v>37.251646172505446</v>
      </c>
      <c r="R735" s="54">
        <f>IF($C735="B",INDEX(Batters[[#All],[zScore]],MATCH(Table5[[#This Row],[PID]],Batters[[#All],[PID]],0)),INDEX(Table3[[#All],[zScore]],MATCH(Table5[[#This Row],[PID]],Table3[[#All],[PID]],0)))</f>
        <v>-0.54482639766584018</v>
      </c>
      <c r="S735" s="60" t="str">
        <f>IF($C735="B",INDEX(Batters[[#All],[DEM]],MATCH(Table5[[#This Row],[PID]],Batters[[#All],[PID]],0)),INDEX(Table3[[#All],[DEM]],MATCH(Table5[[#This Row],[PID]],Table3[[#All],[PID]],0)))</f>
        <v>-</v>
      </c>
      <c r="T735" s="64">
        <f>IF($C735="B",VLOOKUP($A735,Bat!$A$4:$AU$1417,46,FALSE),VLOOKUP($A735,Pit!$A$4:$BD$570,55,FALSE))</f>
        <v>0</v>
      </c>
      <c r="U735" s="52">
        <f>IF($C735="B",VLOOKUP($A735,Bat!$A$4:$BA$1417,47,FALSE),VLOOKUP($A735,Pit!$A$4:$BF$570,56,FALSE))</f>
        <v>0</v>
      </c>
      <c r="V735" s="52">
        <f>IF($C735="B",VLOOKUP($A735,Bat!$A$4:$BA$1417,48,FALSE),VLOOKUP($A735,Pit!$A$4:$BF$570,57,FALSE))</f>
        <v>0</v>
      </c>
      <c r="W735" s="52">
        <f>Table5[[#This Row],[posRnk]]+Table5[[#This Row],[zRnk]]+IF($W$3&lt;&gt;Table5[[#This Row],[Type]],50,0)</f>
        <v>781</v>
      </c>
      <c r="X735" s="53">
        <f>RANK(Table5[[#This Row],[zScore]],Table5[[#All],[zScore]])</f>
        <v>731</v>
      </c>
      <c r="Y735" s="52" t="str">
        <f>IFERROR(INDEX(DraftResults[[#All],[OVR]],MATCH(Table5[[#This Row],[PID]],DraftResults[[#All],[Player ID]],0)),"")</f>
        <v/>
      </c>
      <c r="Z7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5" s="52" t="str">
        <f>IFERROR(INDEX(DraftResults[[#All],[Pick in Round]],MATCH(Table5[[#This Row],[PID]],DraftResults[[#All],[Player ID]],0)),"")</f>
        <v/>
      </c>
      <c r="AB735" s="52" t="str">
        <f>IFERROR(INDEX(DraftResults[[#All],[Team Name]],MATCH(Table5[[#This Row],[PID]],DraftResults[[#All],[Player ID]],0)),"")</f>
        <v/>
      </c>
      <c r="AC735" s="52" t="str">
        <f>IF(Table5[[#This Row],[Ovr]]="","",IF(Table5[[#This Row],[cmbList]]="","",Table5[[#This Row],[cmbList]]-Table5[[#This Row],[Ovr]]))</f>
        <v/>
      </c>
      <c r="AD735" s="56" t="str">
        <f>IF(ISERROR(VLOOKUP($AB735&amp;"-"&amp;$E735&amp;" "&amp;F735,Bonuses!$B$1:$G$1006,4,FALSE)),"",INT(VLOOKUP($AB735&amp;"-"&amp;$E735&amp;" "&amp;$F735,Bonuses!$B$1:$G$1006,4,FALSE)))</f>
        <v/>
      </c>
      <c r="AE7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6" spans="1:31" s="52" customFormat="1" x14ac:dyDescent="0.25">
      <c r="A736" s="52">
        <v>4859</v>
      </c>
      <c r="B736" s="57">
        <f>COUNTIF(Table5[PID],A736)</f>
        <v>1</v>
      </c>
      <c r="C736" s="57" t="str">
        <f>IF(COUNTIF(Table3[[#All],[PID]],A736)&gt;0,"P","B")</f>
        <v>B</v>
      </c>
      <c r="D736" s="61" t="str">
        <f>IF($C736="B",INDEX(Batters[[#All],[POS]],MATCH(Table5[[#This Row],[PID]],Batters[[#All],[PID]],0)),INDEX(Table3[[#All],[POS]],MATCH(Table5[[#This Row],[PID]],Table3[[#All],[PID]],0)))</f>
        <v>RF</v>
      </c>
      <c r="E736" s="54" t="str">
        <f>IF($C736="B",INDEX(Batters[[#All],[First]],MATCH(Table5[[#This Row],[PID]],Batters[[#All],[PID]],0)),INDEX(Table3[[#All],[First]],MATCH(Table5[[#This Row],[PID]],Table3[[#All],[PID]],0)))</f>
        <v>Ray</v>
      </c>
      <c r="F736" s="52" t="str">
        <f>IF($C736="B",INDEX(Batters[[#All],[Last]],MATCH(A736,Batters[[#All],[PID]],0)),INDEX(Table3[[#All],[Last]],MATCH(A736,Table3[[#All],[PID]],0)))</f>
        <v>Nance</v>
      </c>
      <c r="G736" s="58">
        <f>IF($C736="B",INDEX(Batters[[#All],[Age]],MATCH(Table5[[#This Row],[PID]],Batters[[#All],[PID]],0)),INDEX(Table3[[#All],[Age]],MATCH(Table5[[#This Row],[PID]],Table3[[#All],[PID]],0)))</f>
        <v>21</v>
      </c>
      <c r="H736" s="54" t="str">
        <f>IF($C736="B",INDEX(Batters[[#All],[B]],MATCH(Table5[[#This Row],[PID]],Batters[[#All],[PID]],0)),INDEX(Table3[[#All],[B]],MATCH(Table5[[#This Row],[PID]],Table3[[#All],[PID]],0)))</f>
        <v>L</v>
      </c>
      <c r="I736" s="54" t="str">
        <f>IF($C736="B",INDEX(Batters[[#All],[T]],MATCH(Table5[[#This Row],[PID]],Batters[[#All],[PID]],0)),INDEX(Table3[[#All],[T]],MATCH(Table5[[#This Row],[PID]],Table3[[#All],[PID]],0)))</f>
        <v>L</v>
      </c>
      <c r="J736" s="54" t="str">
        <f>IF($C736="B",INDEX(Batters[[#All],[WE]],MATCH(Table5[[#This Row],[PID]],Batters[[#All],[PID]],0)),INDEX(Table3[[#All],[WE]],MATCH(Table5[[#This Row],[PID]],Table3[[#All],[PID]],0)))</f>
        <v>Low</v>
      </c>
      <c r="K736" s="54" t="str">
        <f>IF($C736="B",INDEX(Batters[[#All],[INT]],MATCH(Table5[[#This Row],[PID]],Batters[[#All],[PID]],0)),INDEX(Table3[[#All],[INT]],MATCH(Table5[[#This Row],[PID]],Table3[[#All],[PID]],0)))</f>
        <v>Normal</v>
      </c>
      <c r="L736" s="62">
        <f>IF($C736="B",INDEX(Batters[[#All],[CON P]],MATCH(Table5[[#This Row],[PID]],Batters[[#All],[PID]],0)),INDEX(Table3[[#All],[STU P]],MATCH(Table5[[#This Row],[PID]],Table3[[#All],[PID]],0)))</f>
        <v>3</v>
      </c>
      <c r="M736" s="58">
        <f>IF($C736="B",INDEX(Batters[[#All],[GAP P]],MATCH(Table5[[#This Row],[PID]],Batters[[#All],[PID]],0)),INDEX(Table3[[#All],[MOV P]],MATCH(Table5[[#This Row],[PID]],Table3[[#All],[PID]],0)))</f>
        <v>3</v>
      </c>
      <c r="N736" s="58">
        <f>IF($C736="B",INDEX(Batters[[#All],[POW P]],MATCH(Table5[[#This Row],[PID]],Batters[[#All],[PID]],0)),INDEX(Table3[[#All],[CON P]],MATCH(Table5[[#This Row],[PID]],Table3[[#All],[PID]],0)))</f>
        <v>4</v>
      </c>
      <c r="O736" s="58">
        <f>IF($C736="B",INDEX(Batters[[#All],[EYE P]],MATCH(Table5[[#This Row],[PID]],Batters[[#All],[PID]],0)),INDEX(Table3[[#All],[VELO]],MATCH(Table5[[#This Row],[PID]],Table3[[#All],[PID]],0)))</f>
        <v>5</v>
      </c>
      <c r="P736" s="58">
        <f>IF($C736="B",INDEX(Batters[[#All],[K P]],MATCH(Table5[[#This Row],[PID]],Batters[[#All],[PID]],0)),INDEX(Table3[[#All],[STM]],MATCH(Table5[[#This Row],[PID]],Table3[[#All],[PID]],0)))</f>
        <v>4</v>
      </c>
      <c r="Q736" s="63">
        <f>IF($C736="B",INDEX(Batters[[#All],[Tot]],MATCH(Table5[[#This Row],[PID]],Batters[[#All],[PID]],0)),INDEX(Table3[[#All],[Tot]],MATCH(Table5[[#This Row],[PID]],Table3[[#All],[PID]],0)))</f>
        <v>37.250694330502952</v>
      </c>
      <c r="R736" s="54">
        <f>IF($C736="B",INDEX(Batters[[#All],[zScore]],MATCH(Table5[[#This Row],[PID]],Batters[[#All],[PID]],0)),INDEX(Table3[[#All],[zScore]],MATCH(Table5[[#This Row],[PID]],Table3[[#All],[PID]],0)))</f>
        <v>-0.54499386793994808</v>
      </c>
      <c r="S736" s="60" t="str">
        <f>IF($C736="B",INDEX(Batters[[#All],[DEM]],MATCH(Table5[[#This Row],[PID]],Batters[[#All],[PID]],0)),INDEX(Table3[[#All],[DEM]],MATCH(Table5[[#This Row],[PID]],Table3[[#All],[PID]],0)))</f>
        <v>$20k</v>
      </c>
      <c r="T736" s="64">
        <f>IF($C736="B",VLOOKUP($A736,Bat!$A$4:$AU$1417,46,FALSE),VLOOKUP($A736,Pit!$A$4:$BD$570,55,FALSE))</f>
        <v>0</v>
      </c>
      <c r="U736" s="52">
        <f>IF($C736="B",VLOOKUP($A736,Bat!$A$4:$BA$1417,47,FALSE),VLOOKUP($A736,Pit!$A$4:$BF$570,56,FALSE))</f>
        <v>0</v>
      </c>
      <c r="V736" s="52">
        <f>IF($C736="B",VLOOKUP($A736,Bat!$A$4:$BA$1417,48,FALSE),VLOOKUP($A736,Pit!$A$4:$BF$570,57,FALSE))</f>
        <v>0</v>
      </c>
      <c r="W736" s="52">
        <f>Table5[[#This Row],[posRnk]]+Table5[[#This Row],[zRnk]]+IF($W$3&lt;&gt;Table5[[#This Row],[Type]],50,0)</f>
        <v>782</v>
      </c>
      <c r="X736" s="53">
        <f>RANK(Table5[[#This Row],[zScore]],Table5[[#All],[zScore]])</f>
        <v>732</v>
      </c>
      <c r="Y736" s="52" t="str">
        <f>IFERROR(INDEX(DraftResults[[#All],[OVR]],MATCH(Table5[[#This Row],[PID]],DraftResults[[#All],[Player ID]],0)),"")</f>
        <v/>
      </c>
      <c r="Z7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6" s="52" t="str">
        <f>IFERROR(INDEX(DraftResults[[#All],[Pick in Round]],MATCH(Table5[[#This Row],[PID]],DraftResults[[#All],[Player ID]],0)),"")</f>
        <v/>
      </c>
      <c r="AB736" s="52" t="str">
        <f>IFERROR(INDEX(DraftResults[[#All],[Team Name]],MATCH(Table5[[#This Row],[PID]],DraftResults[[#All],[Player ID]],0)),"")</f>
        <v/>
      </c>
      <c r="AC736" s="52" t="str">
        <f>IF(Table5[[#This Row],[Ovr]]="","",IF(Table5[[#This Row],[cmbList]]="","",Table5[[#This Row],[cmbList]]-Table5[[#This Row],[Ovr]]))</f>
        <v/>
      </c>
      <c r="AD736" s="56" t="str">
        <f>IF(ISERROR(VLOOKUP($AB736&amp;"-"&amp;$E736&amp;" "&amp;F736,Bonuses!$B$1:$G$1006,4,FALSE)),"",INT(VLOOKUP($AB736&amp;"-"&amp;$E736&amp;" "&amp;$F736,Bonuses!$B$1:$G$1006,4,FALSE)))</f>
        <v/>
      </c>
      <c r="AE7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7" spans="1:31" s="52" customFormat="1" x14ac:dyDescent="0.25">
      <c r="A737" s="52">
        <v>11077</v>
      </c>
      <c r="B737" s="52">
        <f>COUNTIF(Table5[PID],A737)</f>
        <v>1</v>
      </c>
      <c r="C737" s="52" t="str">
        <f>IF(COUNTIF(Table3[[#All],[PID]],A737)&gt;0,"P","B")</f>
        <v>B</v>
      </c>
      <c r="D737" s="61" t="str">
        <f>IF($C737="B",INDEX(Batters[[#All],[POS]],MATCH(Table5[[#This Row],[PID]],Batters[[#All],[PID]],0)),INDEX(Table3[[#All],[POS]],MATCH(Table5[[#This Row],[PID]],Table3[[#All],[PID]],0)))</f>
        <v>1B</v>
      </c>
      <c r="E737" s="54" t="str">
        <f>IF($C737="B",INDEX(Batters[[#All],[First]],MATCH(Table5[[#This Row],[PID]],Batters[[#All],[PID]],0)),INDEX(Table3[[#All],[First]],MATCH(Table5[[#This Row],[PID]],Table3[[#All],[PID]],0)))</f>
        <v>Pat</v>
      </c>
      <c r="F737" s="52" t="str">
        <f>IF($C737="B",INDEX(Batters[[#All],[Last]],MATCH(A737,Batters[[#All],[PID]],0)),INDEX(Table3[[#All],[Last]],MATCH(A737,Table3[[#All],[PID]],0)))</f>
        <v>Paxton</v>
      </c>
      <c r="G737" s="58">
        <f>IF($C737="B",INDEX(Batters[[#All],[Age]],MATCH(Table5[[#This Row],[PID]],Batters[[#All],[PID]],0)),INDEX(Table3[[#All],[Age]],MATCH(Table5[[#This Row],[PID]],Table3[[#All],[PID]],0)))</f>
        <v>18</v>
      </c>
      <c r="H737" s="54" t="str">
        <f>IF($C737="B",INDEX(Batters[[#All],[B]],MATCH(Table5[[#This Row],[PID]],Batters[[#All],[PID]],0)),INDEX(Table3[[#All],[B]],MATCH(Table5[[#This Row],[PID]],Table3[[#All],[PID]],0)))</f>
        <v>L</v>
      </c>
      <c r="I737" s="54" t="str">
        <f>IF($C737="B",INDEX(Batters[[#All],[T]],MATCH(Table5[[#This Row],[PID]],Batters[[#All],[PID]],0)),INDEX(Table3[[#All],[T]],MATCH(Table5[[#This Row],[PID]],Table3[[#All],[PID]],0)))</f>
        <v>L</v>
      </c>
      <c r="J737" s="54" t="str">
        <f>IF($C737="B",INDEX(Batters[[#All],[WE]],MATCH(Table5[[#This Row],[PID]],Batters[[#All],[PID]],0)),INDEX(Table3[[#All],[WE]],MATCH(Table5[[#This Row],[PID]],Table3[[#All],[PID]],0)))</f>
        <v>High</v>
      </c>
      <c r="K737" s="54" t="str">
        <f>IF($C737="B",INDEX(Batters[[#All],[INT]],MATCH(Table5[[#This Row],[PID]],Batters[[#All],[PID]],0)),INDEX(Table3[[#All],[INT]],MATCH(Table5[[#This Row],[PID]],Table3[[#All],[PID]],0)))</f>
        <v>Low</v>
      </c>
      <c r="L737" s="62">
        <f>IF($C737="B",INDEX(Batters[[#All],[CON P]],MATCH(Table5[[#This Row],[PID]],Batters[[#All],[PID]],0)),INDEX(Table3[[#All],[STU P]],MATCH(Table5[[#This Row],[PID]],Table3[[#All],[PID]],0)))</f>
        <v>2</v>
      </c>
      <c r="M737" s="58">
        <f>IF($C737="B",INDEX(Batters[[#All],[GAP P]],MATCH(Table5[[#This Row],[PID]],Batters[[#All],[PID]],0)),INDEX(Table3[[#All],[MOV P]],MATCH(Table5[[#This Row],[PID]],Table3[[#All],[PID]],0)))</f>
        <v>3</v>
      </c>
      <c r="N737" s="58">
        <f>IF($C737="B",INDEX(Batters[[#All],[POW P]],MATCH(Table5[[#This Row],[PID]],Batters[[#All],[PID]],0)),INDEX(Table3[[#All],[CON P]],MATCH(Table5[[#This Row],[PID]],Table3[[#All],[PID]],0)))</f>
        <v>4</v>
      </c>
      <c r="O737" s="58">
        <f>IF($C737="B",INDEX(Batters[[#All],[EYE P]],MATCH(Table5[[#This Row],[PID]],Batters[[#All],[PID]],0)),INDEX(Table3[[#All],[VELO]],MATCH(Table5[[#This Row],[PID]],Table3[[#All],[PID]],0)))</f>
        <v>4</v>
      </c>
      <c r="P737" s="58">
        <f>IF($C737="B",INDEX(Batters[[#All],[K P]],MATCH(Table5[[#This Row],[PID]],Batters[[#All],[PID]],0)),INDEX(Table3[[#All],[STM]],MATCH(Table5[[#This Row],[PID]],Table3[[#All],[PID]],0)))</f>
        <v>2</v>
      </c>
      <c r="Q737" s="63">
        <f>IF($C737="B",INDEX(Batters[[#All],[Tot]],MATCH(Table5[[#This Row],[PID]],Batters[[#All],[PID]],0)),INDEX(Table3[[#All],[Tot]],MATCH(Table5[[#This Row],[PID]],Table3[[#All],[PID]],0)))</f>
        <v>37.250479091446792</v>
      </c>
      <c r="R737" s="54">
        <f>IF($C737="B",INDEX(Batters[[#All],[zScore]],MATCH(Table5[[#This Row],[PID]],Batters[[#All],[PID]],0)),INDEX(Table3[[#All],[zScore]],MATCH(Table5[[#This Row],[PID]],Table3[[#All],[PID]],0)))</f>
        <v>-0.54503173782133552</v>
      </c>
      <c r="S737" s="60" t="str">
        <f>IF($C737="B",INDEX(Batters[[#All],[DEM]],MATCH(Table5[[#This Row],[PID]],Batters[[#All],[PID]],0)),INDEX(Table3[[#All],[DEM]],MATCH(Table5[[#This Row],[PID]],Table3[[#All],[PID]],0)))</f>
        <v>$38k</v>
      </c>
      <c r="T737" s="64">
        <f>IF($C737="B",VLOOKUP($A737,Bat!$A$4:$AU$1417,46,FALSE),VLOOKUP($A737,Pit!$A$4:$BD$570,55,FALSE))</f>
        <v>0</v>
      </c>
      <c r="U737" s="52">
        <f>IF($C737="B",VLOOKUP($A737,Bat!$A$4:$BA$1417,47,FALSE),VLOOKUP($A737,Pit!$A$4:$BF$570,56,FALSE))</f>
        <v>0</v>
      </c>
      <c r="V737" s="52">
        <f>IF($C737="B",VLOOKUP($A737,Bat!$A$4:$BA$1417,48,FALSE),VLOOKUP($A737,Pit!$A$4:$BF$570,57,FALSE))</f>
        <v>0</v>
      </c>
      <c r="W737" s="52">
        <f>Table5[[#This Row],[posRnk]]+Table5[[#This Row],[zRnk]]+IF($W$3&lt;&gt;Table5[[#This Row],[Type]],50,0)</f>
        <v>783</v>
      </c>
      <c r="X737" s="53">
        <f>RANK(Table5[[#This Row],[zScore]],Table5[[#All],[zScore]])</f>
        <v>733</v>
      </c>
      <c r="Y737" s="52" t="str">
        <f>IFERROR(INDEX(DraftResults[[#All],[OVR]],MATCH(Table5[[#This Row],[PID]],DraftResults[[#All],[Player ID]],0)),"")</f>
        <v/>
      </c>
      <c r="Z7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7" s="52" t="str">
        <f>IFERROR(INDEX(DraftResults[[#All],[Pick in Round]],MATCH(Table5[[#This Row],[PID]],DraftResults[[#All],[Player ID]],0)),"")</f>
        <v/>
      </c>
      <c r="AB737" s="52" t="str">
        <f>IFERROR(INDEX(DraftResults[[#All],[Team Name]],MATCH(Table5[[#This Row],[PID]],DraftResults[[#All],[Player ID]],0)),"")</f>
        <v/>
      </c>
      <c r="AC737" s="52" t="str">
        <f>IF(Table5[[#This Row],[Ovr]]="","",IF(Table5[[#This Row],[cmbList]]="","",Table5[[#This Row],[cmbList]]-Table5[[#This Row],[Ovr]]))</f>
        <v/>
      </c>
      <c r="AD737" s="56" t="str">
        <f>IF(ISERROR(VLOOKUP($AB737&amp;"-"&amp;$E737&amp;" "&amp;F737,Bonuses!$B$1:$G$1006,4,FALSE)),"",INT(VLOOKUP($AB737&amp;"-"&amp;$E737&amp;" "&amp;$F737,Bonuses!$B$1:$G$1006,4,FALSE)))</f>
        <v/>
      </c>
      <c r="AE7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8" spans="1:31" s="52" customFormat="1" x14ac:dyDescent="0.25">
      <c r="A738" s="52">
        <v>12124</v>
      </c>
      <c r="B738" s="52">
        <f>COUNTIF(Table5[PID],A738)</f>
        <v>1</v>
      </c>
      <c r="C738" s="52" t="str">
        <f>IF(COUNTIF(Table3[[#All],[PID]],A738)&gt;0,"P","B")</f>
        <v>P</v>
      </c>
      <c r="D738" s="61" t="str">
        <f>IF($C738="B",INDEX(Batters[[#All],[POS]],MATCH(Table5[[#This Row],[PID]],Batters[[#All],[PID]],0)),INDEX(Table3[[#All],[POS]],MATCH(Table5[[#This Row],[PID]],Table3[[#All],[PID]],0)))</f>
        <v>SP</v>
      </c>
      <c r="E738" s="54" t="str">
        <f>IF($C738="B",INDEX(Batters[[#All],[First]],MATCH(Table5[[#This Row],[PID]],Batters[[#All],[PID]],0)),INDEX(Table3[[#All],[First]],MATCH(Table5[[#This Row],[PID]],Table3[[#All],[PID]],0)))</f>
        <v>Nathan</v>
      </c>
      <c r="F738" s="52" t="str">
        <f>IF($C738="B",INDEX(Batters[[#All],[Last]],MATCH(A738,Batters[[#All],[PID]],0)),INDEX(Table3[[#All],[Last]],MATCH(A738,Table3[[#All],[PID]],0)))</f>
        <v>Robertson</v>
      </c>
      <c r="G738" s="58">
        <f>IF($C738="B",INDEX(Batters[[#All],[Age]],MATCH(Table5[[#This Row],[PID]],Batters[[#All],[PID]],0)),INDEX(Table3[[#All],[Age]],MATCH(Table5[[#This Row],[PID]],Table3[[#All],[PID]],0)))</f>
        <v>21</v>
      </c>
      <c r="H738" s="54" t="str">
        <f>IF($C738="B",INDEX(Batters[[#All],[B]],MATCH(Table5[[#This Row],[PID]],Batters[[#All],[PID]],0)),INDEX(Table3[[#All],[B]],MATCH(Table5[[#This Row],[PID]],Table3[[#All],[PID]],0)))</f>
        <v>R</v>
      </c>
      <c r="I738" s="54" t="str">
        <f>IF($C738="B",INDEX(Batters[[#All],[T]],MATCH(Table5[[#This Row],[PID]],Batters[[#All],[PID]],0)),INDEX(Table3[[#All],[T]],MATCH(Table5[[#This Row],[PID]],Table3[[#All],[PID]],0)))</f>
        <v>R</v>
      </c>
      <c r="J738" s="54" t="str">
        <f>IF($C738="B",INDEX(Batters[[#All],[WE]],MATCH(Table5[[#This Row],[PID]],Batters[[#All],[PID]],0)),INDEX(Table3[[#All],[WE]],MATCH(Table5[[#This Row],[PID]],Table3[[#All],[PID]],0)))</f>
        <v>Normal</v>
      </c>
      <c r="K738" s="54" t="str">
        <f>IF($C738="B",INDEX(Batters[[#All],[INT]],MATCH(Table5[[#This Row],[PID]],Batters[[#All],[PID]],0)),INDEX(Table3[[#All],[INT]],MATCH(Table5[[#This Row],[PID]],Table3[[#All],[PID]],0)))</f>
        <v>Normal</v>
      </c>
      <c r="L738" s="62">
        <f>IF($C738="B",INDEX(Batters[[#All],[CON P]],MATCH(Table5[[#This Row],[PID]],Batters[[#All],[PID]],0)),INDEX(Table3[[#All],[STU P]],MATCH(Table5[[#This Row],[PID]],Table3[[#All],[PID]],0)))</f>
        <v>4</v>
      </c>
      <c r="M738" s="58">
        <f>IF($C738="B",INDEX(Batters[[#All],[GAP P]],MATCH(Table5[[#This Row],[PID]],Batters[[#All],[PID]],0)),INDEX(Table3[[#All],[MOV P]],MATCH(Table5[[#This Row],[PID]],Table3[[#All],[PID]],0)))</f>
        <v>1</v>
      </c>
      <c r="N738" s="58">
        <f>IF($C738="B",INDEX(Batters[[#All],[POW P]],MATCH(Table5[[#This Row],[PID]],Batters[[#All],[PID]],0)),INDEX(Table3[[#All],[CON P]],MATCH(Table5[[#This Row],[PID]],Table3[[#All],[PID]],0)))</f>
        <v>3</v>
      </c>
      <c r="O738" s="58" t="str">
        <f>IF($C738="B",INDEX(Batters[[#All],[EYE P]],MATCH(Table5[[#This Row],[PID]],Batters[[#All],[PID]],0)),INDEX(Table3[[#All],[VELO]],MATCH(Table5[[#This Row],[PID]],Table3[[#All],[PID]],0)))</f>
        <v>90-92 Mph</v>
      </c>
      <c r="P738" s="58">
        <f>IF($C738="B",INDEX(Batters[[#All],[K P]],MATCH(Table5[[#This Row],[PID]],Batters[[#All],[PID]],0)),INDEX(Table3[[#All],[STM]],MATCH(Table5[[#This Row],[PID]],Table3[[#All],[PID]],0)))</f>
        <v>9</v>
      </c>
      <c r="Q738" s="63">
        <f>IF($C738="B",INDEX(Batters[[#All],[Tot]],MATCH(Table5[[#This Row],[PID]],Batters[[#All],[PID]],0)),INDEX(Table3[[#All],[Tot]],MATCH(Table5[[#This Row],[PID]],Table3[[#All],[PID]],0)))</f>
        <v>26.762679633721596</v>
      </c>
      <c r="R738" s="54">
        <f>IF($C738="B",INDEX(Batters[[#All],[zScore]],MATCH(Table5[[#This Row],[PID]],Batters[[#All],[PID]],0)),INDEX(Table3[[#All],[zScore]],MATCH(Table5[[#This Row],[PID]],Table3[[#All],[PID]],0)))</f>
        <v>-0.54651815264788817</v>
      </c>
      <c r="S738" s="60" t="str">
        <f>IF($C738="B",INDEX(Batters[[#All],[DEM]],MATCH(Table5[[#This Row],[PID]],Batters[[#All],[PID]],0)),INDEX(Table3[[#All],[DEM]],MATCH(Table5[[#This Row],[PID]],Table3[[#All],[PID]],0)))</f>
        <v>-</v>
      </c>
      <c r="T738" s="64">
        <f>IF($C738="B",VLOOKUP($A738,Bat!$A$4:$AU$1417,46,FALSE),VLOOKUP($A738,Pit!$A$4:$BD$570,55,FALSE))</f>
        <v>0</v>
      </c>
      <c r="U738" s="52">
        <f>IF($C738="B",VLOOKUP($A738,Bat!$A$4:$BA$1417,47,FALSE),VLOOKUP($A738,Pit!$A$4:$BF$570,56,FALSE))</f>
        <v>0</v>
      </c>
      <c r="V738" s="52">
        <f>IF($C738="B",VLOOKUP($A738,Bat!$A$4:$BA$1417,48,FALSE),VLOOKUP($A738,Pit!$A$4:$BF$570,57,FALSE))</f>
        <v>0</v>
      </c>
      <c r="W738" s="52">
        <f>Table5[[#This Row],[posRnk]]+Table5[[#This Row],[zRnk]]+IF($W$3&lt;&gt;Table5[[#This Row],[Type]],50,0)</f>
        <v>784</v>
      </c>
      <c r="X738" s="53">
        <f>RANK(Table5[[#This Row],[zScore]],Table5[[#All],[zScore]])</f>
        <v>734</v>
      </c>
      <c r="Y738" s="52" t="str">
        <f>IFERROR(INDEX(DraftResults[[#All],[OVR]],MATCH(Table5[[#This Row],[PID]],DraftResults[[#All],[Player ID]],0)),"")</f>
        <v/>
      </c>
      <c r="Z7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8" s="52" t="str">
        <f>IFERROR(INDEX(DraftResults[[#All],[Pick in Round]],MATCH(Table5[[#This Row],[PID]],DraftResults[[#All],[Player ID]],0)),"")</f>
        <v/>
      </c>
      <c r="AB738" s="52" t="str">
        <f>IFERROR(INDEX(DraftResults[[#All],[Team Name]],MATCH(Table5[[#This Row],[PID]],DraftResults[[#All],[Player ID]],0)),"")</f>
        <v/>
      </c>
      <c r="AC738" s="52" t="str">
        <f>IF(Table5[[#This Row],[Ovr]]="","",IF(Table5[[#This Row],[cmbList]]="","",Table5[[#This Row],[cmbList]]-Table5[[#This Row],[Ovr]]))</f>
        <v/>
      </c>
      <c r="AD738" s="56" t="str">
        <f>IF(ISERROR(VLOOKUP($AB738&amp;"-"&amp;$E738&amp;" "&amp;F738,Bonuses!$B$1:$G$1006,4,FALSE)),"",INT(VLOOKUP($AB738&amp;"-"&amp;$E738&amp;" "&amp;$F738,Bonuses!$B$1:$G$1006,4,FALSE)))</f>
        <v/>
      </c>
      <c r="AE7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9" spans="1:31" s="52" customFormat="1" x14ac:dyDescent="0.25">
      <c r="A739" s="52">
        <v>7652</v>
      </c>
      <c r="B739" s="52">
        <f>COUNTIF(Table5[PID],A739)</f>
        <v>1</v>
      </c>
      <c r="C739" s="52" t="str">
        <f>IF(COUNTIF(Table3[[#All],[PID]],A739)&gt;0,"P","B")</f>
        <v>B</v>
      </c>
      <c r="D739" s="61" t="str">
        <f>IF($C739="B",INDEX(Batters[[#All],[POS]],MATCH(Table5[[#This Row],[PID]],Batters[[#All],[PID]],0)),INDEX(Table3[[#All],[POS]],MATCH(Table5[[#This Row],[PID]],Table3[[#All],[PID]],0)))</f>
        <v>3B</v>
      </c>
      <c r="E739" s="54" t="str">
        <f>IF($C739="B",INDEX(Batters[[#All],[First]],MATCH(Table5[[#This Row],[PID]],Batters[[#All],[PID]],0)),INDEX(Table3[[#All],[First]],MATCH(Table5[[#This Row],[PID]],Table3[[#All],[PID]],0)))</f>
        <v>Jonathan</v>
      </c>
      <c r="F739" s="52" t="str">
        <f>IF($C739="B",INDEX(Batters[[#All],[Last]],MATCH(A739,Batters[[#All],[PID]],0)),INDEX(Table3[[#All],[Last]],MATCH(A739,Table3[[#All],[PID]],0)))</f>
        <v>Hunt</v>
      </c>
      <c r="G739" s="58">
        <f>IF($C739="B",INDEX(Batters[[#All],[Age]],MATCH(Table5[[#This Row],[PID]],Batters[[#All],[PID]],0)),INDEX(Table3[[#All],[Age]],MATCH(Table5[[#This Row],[PID]],Table3[[#All],[PID]],0)))</f>
        <v>18</v>
      </c>
      <c r="H739" s="54" t="str">
        <f>IF($C739="B",INDEX(Batters[[#All],[B]],MATCH(Table5[[#This Row],[PID]],Batters[[#All],[PID]],0)),INDEX(Table3[[#All],[B]],MATCH(Table5[[#This Row],[PID]],Table3[[#All],[PID]],0)))</f>
        <v>R</v>
      </c>
      <c r="I739" s="54" t="str">
        <f>IF($C739="B",INDEX(Batters[[#All],[T]],MATCH(Table5[[#This Row],[PID]],Batters[[#All],[PID]],0)),INDEX(Table3[[#All],[T]],MATCH(Table5[[#This Row],[PID]],Table3[[#All],[PID]],0)))</f>
        <v>R</v>
      </c>
      <c r="J739" s="54" t="str">
        <f>IF($C739="B",INDEX(Batters[[#All],[WE]],MATCH(Table5[[#This Row],[PID]],Batters[[#All],[PID]],0)),INDEX(Table3[[#All],[WE]],MATCH(Table5[[#This Row],[PID]],Table3[[#All],[PID]],0)))</f>
        <v>Low</v>
      </c>
      <c r="K739" s="54" t="str">
        <f>IF($C739="B",INDEX(Batters[[#All],[INT]],MATCH(Table5[[#This Row],[PID]],Batters[[#All],[PID]],0)),INDEX(Table3[[#All],[INT]],MATCH(Table5[[#This Row],[PID]],Table3[[#All],[PID]],0)))</f>
        <v>Normal</v>
      </c>
      <c r="L739" s="62">
        <f>IF($C739="B",INDEX(Batters[[#All],[CON P]],MATCH(Table5[[#This Row],[PID]],Batters[[#All],[PID]],0)),INDEX(Table3[[#All],[STU P]],MATCH(Table5[[#This Row],[PID]],Table3[[#All],[PID]],0)))</f>
        <v>2</v>
      </c>
      <c r="M739" s="58">
        <f>IF($C739="B",INDEX(Batters[[#All],[GAP P]],MATCH(Table5[[#This Row],[PID]],Batters[[#All],[PID]],0)),INDEX(Table3[[#All],[MOV P]],MATCH(Table5[[#This Row],[PID]],Table3[[#All],[PID]],0)))</f>
        <v>2</v>
      </c>
      <c r="N739" s="58">
        <f>IF($C739="B",INDEX(Batters[[#All],[POW P]],MATCH(Table5[[#This Row],[PID]],Batters[[#All],[PID]],0)),INDEX(Table3[[#All],[CON P]],MATCH(Table5[[#This Row],[PID]],Table3[[#All],[PID]],0)))</f>
        <v>4</v>
      </c>
      <c r="O739" s="58">
        <f>IF($C739="B",INDEX(Batters[[#All],[EYE P]],MATCH(Table5[[#This Row],[PID]],Batters[[#All],[PID]],0)),INDEX(Table3[[#All],[VELO]],MATCH(Table5[[#This Row],[PID]],Table3[[#All],[PID]],0)))</f>
        <v>5</v>
      </c>
      <c r="P739" s="58">
        <f>IF($C739="B",INDEX(Batters[[#All],[K P]],MATCH(Table5[[#This Row],[PID]],Batters[[#All],[PID]],0)),INDEX(Table3[[#All],[STM]],MATCH(Table5[[#This Row],[PID]],Table3[[#All],[PID]],0)))</f>
        <v>3</v>
      </c>
      <c r="Q739" s="63">
        <f>IF($C739="B",INDEX(Batters[[#All],[Tot]],MATCH(Table5[[#This Row],[PID]],Batters[[#All],[PID]],0)),INDEX(Table3[[#All],[Tot]],MATCH(Table5[[#This Row],[PID]],Table3[[#All],[PID]],0)))</f>
        <v>37.236775502276615</v>
      </c>
      <c r="R739" s="54">
        <f>IF($C739="B",INDEX(Batters[[#All],[zScore]],MATCH(Table5[[#This Row],[PID]],Batters[[#All],[PID]],0)),INDEX(Table3[[#All],[zScore]],MATCH(Table5[[#This Row],[PID]],Table3[[#All],[PID]],0)))</f>
        <v>-0.54744279325761713</v>
      </c>
      <c r="S739" s="60" t="str">
        <f>IF($C739="B",INDEX(Batters[[#All],[DEM]],MATCH(Table5[[#This Row],[PID]],Batters[[#All],[PID]],0)),INDEX(Table3[[#All],[DEM]],MATCH(Table5[[#This Row],[PID]],Table3[[#All],[PID]],0)))</f>
        <v>$65k</v>
      </c>
      <c r="T739" s="64">
        <f>IF($C739="B",VLOOKUP($A739,Bat!$A$4:$AU$1417,46,FALSE),VLOOKUP($A739,Pit!$A$4:$BD$570,55,FALSE))</f>
        <v>0</v>
      </c>
      <c r="U739" s="52">
        <f>IF($C739="B",VLOOKUP($A739,Bat!$A$4:$BA$1417,47,FALSE),VLOOKUP($A739,Pit!$A$4:$BF$570,56,FALSE))</f>
        <v>0</v>
      </c>
      <c r="V739" s="52">
        <f>IF($C739="B",VLOOKUP($A739,Bat!$A$4:$BA$1417,48,FALSE),VLOOKUP($A739,Pit!$A$4:$BF$570,57,FALSE))</f>
        <v>0</v>
      </c>
      <c r="W739" s="52">
        <f>Table5[[#This Row],[posRnk]]+Table5[[#This Row],[zRnk]]+IF($W$3&lt;&gt;Table5[[#This Row],[Type]],50,0)</f>
        <v>785</v>
      </c>
      <c r="X739" s="53">
        <f>RANK(Table5[[#This Row],[zScore]],Table5[[#All],[zScore]])</f>
        <v>735</v>
      </c>
      <c r="Y739" s="52" t="str">
        <f>IFERROR(INDEX(DraftResults[[#All],[OVR]],MATCH(Table5[[#This Row],[PID]],DraftResults[[#All],[Player ID]],0)),"")</f>
        <v/>
      </c>
      <c r="Z7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9" s="52" t="str">
        <f>IFERROR(INDEX(DraftResults[[#All],[Pick in Round]],MATCH(Table5[[#This Row],[PID]],DraftResults[[#All],[Player ID]],0)),"")</f>
        <v/>
      </c>
      <c r="AB739" s="52" t="str">
        <f>IFERROR(INDEX(DraftResults[[#All],[Team Name]],MATCH(Table5[[#This Row],[PID]],DraftResults[[#All],[Player ID]],0)),"")</f>
        <v/>
      </c>
      <c r="AC739" s="52" t="str">
        <f>IF(Table5[[#This Row],[Ovr]]="","",IF(Table5[[#This Row],[cmbList]]="","",Table5[[#This Row],[cmbList]]-Table5[[#This Row],[Ovr]]))</f>
        <v/>
      </c>
      <c r="AD739" s="56" t="str">
        <f>IF(ISERROR(VLOOKUP($AB739&amp;"-"&amp;$E739&amp;" "&amp;F739,Bonuses!$B$1:$G$1006,4,FALSE)),"",INT(VLOOKUP($AB739&amp;"-"&amp;$E739&amp;" "&amp;$F739,Bonuses!$B$1:$G$1006,4,FALSE)))</f>
        <v/>
      </c>
      <c r="AE7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0" spans="1:31" s="52" customFormat="1" x14ac:dyDescent="0.25">
      <c r="A740" s="52">
        <v>8340</v>
      </c>
      <c r="B740" s="52">
        <f>COUNTIF(Table5[PID],A740)</f>
        <v>1</v>
      </c>
      <c r="C740" s="52" t="str">
        <f>IF(COUNTIF(Table3[[#All],[PID]],A740)&gt;0,"P","B")</f>
        <v>P</v>
      </c>
      <c r="D740" s="61" t="str">
        <f>IF($C740="B",INDEX(Batters[[#All],[POS]],MATCH(Table5[[#This Row],[PID]],Batters[[#All],[PID]],0)),INDEX(Table3[[#All],[POS]],MATCH(Table5[[#This Row],[PID]],Table3[[#All],[PID]],0)))</f>
        <v>RP</v>
      </c>
      <c r="E740" s="54" t="str">
        <f>IF($C740="B",INDEX(Batters[[#All],[First]],MATCH(Table5[[#This Row],[PID]],Batters[[#All],[PID]],0)),INDEX(Table3[[#All],[First]],MATCH(Table5[[#This Row],[PID]],Table3[[#All],[PID]],0)))</f>
        <v>Danny</v>
      </c>
      <c r="F740" s="52" t="str">
        <f>IF($C740="B",INDEX(Batters[[#All],[Last]],MATCH(A740,Batters[[#All],[PID]],0)),INDEX(Table3[[#All],[Last]],MATCH(A740,Table3[[#All],[PID]],0)))</f>
        <v>Bishop</v>
      </c>
      <c r="G740" s="58">
        <f>IF($C740="B",INDEX(Batters[[#All],[Age]],MATCH(Table5[[#This Row],[PID]],Batters[[#All],[PID]],0)),INDEX(Table3[[#All],[Age]],MATCH(Table5[[#This Row],[PID]],Table3[[#All],[PID]],0)))</f>
        <v>18</v>
      </c>
      <c r="H740" s="54" t="str">
        <f>IF($C740="B",INDEX(Batters[[#All],[B]],MATCH(Table5[[#This Row],[PID]],Batters[[#All],[PID]],0)),INDEX(Table3[[#All],[B]],MATCH(Table5[[#This Row],[PID]],Table3[[#All],[PID]],0)))</f>
        <v>S</v>
      </c>
      <c r="I740" s="54" t="str">
        <f>IF($C740="B",INDEX(Batters[[#All],[T]],MATCH(Table5[[#This Row],[PID]],Batters[[#All],[PID]],0)),INDEX(Table3[[#All],[T]],MATCH(Table5[[#This Row],[PID]],Table3[[#All],[PID]],0)))</f>
        <v>R</v>
      </c>
      <c r="J740" s="54" t="str">
        <f>IF($C740="B",INDEX(Batters[[#All],[WE]],MATCH(Table5[[#This Row],[PID]],Batters[[#All],[PID]],0)),INDEX(Table3[[#All],[WE]],MATCH(Table5[[#This Row],[PID]],Table3[[#All],[PID]],0)))</f>
        <v>High</v>
      </c>
      <c r="K740" s="54" t="str">
        <f>IF($C740="B",INDEX(Batters[[#All],[INT]],MATCH(Table5[[#This Row],[PID]],Batters[[#All],[PID]],0)),INDEX(Table3[[#All],[INT]],MATCH(Table5[[#This Row],[PID]],Table3[[#All],[PID]],0)))</f>
        <v>Normal</v>
      </c>
      <c r="L740" s="62">
        <f>IF($C740="B",INDEX(Batters[[#All],[CON P]],MATCH(Table5[[#This Row],[PID]],Batters[[#All],[PID]],0)),INDEX(Table3[[#All],[STU P]],MATCH(Table5[[#This Row],[PID]],Table3[[#All],[PID]],0)))</f>
        <v>3</v>
      </c>
      <c r="M740" s="58">
        <f>IF($C740="B",INDEX(Batters[[#All],[GAP P]],MATCH(Table5[[#This Row],[PID]],Batters[[#All],[PID]],0)),INDEX(Table3[[#All],[MOV P]],MATCH(Table5[[#This Row],[PID]],Table3[[#All],[PID]],0)))</f>
        <v>2</v>
      </c>
      <c r="N740" s="58">
        <f>IF($C740="B",INDEX(Batters[[#All],[POW P]],MATCH(Table5[[#This Row],[PID]],Batters[[#All],[PID]],0)),INDEX(Table3[[#All],[CON P]],MATCH(Table5[[#This Row],[PID]],Table3[[#All],[PID]],0)))</f>
        <v>2</v>
      </c>
      <c r="O740" s="58" t="str">
        <f>IF($C740="B",INDEX(Batters[[#All],[EYE P]],MATCH(Table5[[#This Row],[PID]],Batters[[#All],[PID]],0)),INDEX(Table3[[#All],[VELO]],MATCH(Table5[[#This Row],[PID]],Table3[[#All],[PID]],0)))</f>
        <v>84-86 Mph</v>
      </c>
      <c r="P740" s="58">
        <f>IF($C740="B",INDEX(Batters[[#All],[K P]],MATCH(Table5[[#This Row],[PID]],Batters[[#All],[PID]],0)),INDEX(Table3[[#All],[STM]],MATCH(Table5[[#This Row],[PID]],Table3[[#All],[PID]],0)))</f>
        <v>3</v>
      </c>
      <c r="Q740" s="63">
        <f>IF($C740="B",INDEX(Batters[[#All],[Tot]],MATCH(Table5[[#This Row],[PID]],Batters[[#All],[PID]],0)),INDEX(Table3[[#All],[Tot]],MATCH(Table5[[#This Row],[PID]],Table3[[#All],[PID]],0)))</f>
        <v>26.720552115868053</v>
      </c>
      <c r="R740" s="54">
        <f>IF($C740="B",INDEX(Batters[[#All],[zScore]],MATCH(Table5[[#This Row],[PID]],Batters[[#All],[PID]],0)),INDEX(Table3[[#All],[zScore]],MATCH(Table5[[#This Row],[PID]],Table3[[#All],[PID]],0)))</f>
        <v>-0.5503814260918537</v>
      </c>
      <c r="S740" s="60" t="str">
        <f>IF($C740="B",INDEX(Batters[[#All],[DEM]],MATCH(Table5[[#This Row],[PID]],Batters[[#All],[PID]],0)),INDEX(Table3[[#All],[DEM]],MATCH(Table5[[#This Row],[PID]],Table3[[#All],[PID]],0)))</f>
        <v>$70k</v>
      </c>
      <c r="T740" s="64">
        <f>IF($C740="B",VLOOKUP($A740,Bat!$A$4:$AU$1417,46,FALSE),VLOOKUP($A740,Pit!$A$4:$BD$570,55,FALSE))</f>
        <v>0</v>
      </c>
      <c r="U740" s="52">
        <f>IF($C740="B",VLOOKUP($A740,Bat!$A$4:$BA$1417,47,FALSE),VLOOKUP($A740,Pit!$A$4:$BF$570,56,FALSE))</f>
        <v>0</v>
      </c>
      <c r="V740" s="52">
        <f>IF($C740="B",VLOOKUP($A740,Bat!$A$4:$BA$1417,48,FALSE),VLOOKUP($A740,Pit!$A$4:$BF$570,57,FALSE))</f>
        <v>0</v>
      </c>
      <c r="W740" s="52">
        <f>Table5[[#This Row],[posRnk]]+Table5[[#This Row],[zRnk]]+IF($W$3&lt;&gt;Table5[[#This Row],[Type]],50,0)</f>
        <v>786</v>
      </c>
      <c r="X740" s="53">
        <f>RANK(Table5[[#This Row],[zScore]],Table5[[#All],[zScore]])</f>
        <v>736</v>
      </c>
      <c r="Y740" s="52" t="str">
        <f>IFERROR(INDEX(DraftResults[[#All],[OVR]],MATCH(Table5[[#This Row],[PID]],DraftResults[[#All],[Player ID]],0)),"")</f>
        <v/>
      </c>
      <c r="Z7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0" s="52" t="str">
        <f>IFERROR(INDEX(DraftResults[[#All],[Pick in Round]],MATCH(Table5[[#This Row],[PID]],DraftResults[[#All],[Player ID]],0)),"")</f>
        <v/>
      </c>
      <c r="AB740" s="52" t="str">
        <f>IFERROR(INDEX(DraftResults[[#All],[Team Name]],MATCH(Table5[[#This Row],[PID]],DraftResults[[#All],[Player ID]],0)),"")</f>
        <v/>
      </c>
      <c r="AC740" s="52" t="str">
        <f>IF(Table5[[#This Row],[Ovr]]="","",IF(Table5[[#This Row],[cmbList]]="","",Table5[[#This Row],[cmbList]]-Table5[[#This Row],[Ovr]]))</f>
        <v/>
      </c>
      <c r="AD740" s="56" t="str">
        <f>IF(ISERROR(VLOOKUP($AB740&amp;"-"&amp;$E740&amp;" "&amp;F740,Bonuses!$B$1:$G$1006,4,FALSE)),"",INT(VLOOKUP($AB740&amp;"-"&amp;$E740&amp;" "&amp;$F740,Bonuses!$B$1:$G$1006,4,FALSE)))</f>
        <v/>
      </c>
      <c r="AE7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1" spans="1:31" s="52" customFormat="1" x14ac:dyDescent="0.25">
      <c r="A741" s="52">
        <v>11843</v>
      </c>
      <c r="B741" s="52">
        <f>COUNTIF(Table5[PID],A741)</f>
        <v>1</v>
      </c>
      <c r="C741" s="52" t="str">
        <f>IF(COUNTIF(Table3[[#All],[PID]],A741)&gt;0,"P","B")</f>
        <v>B</v>
      </c>
      <c r="D741" s="61" t="str">
        <f>IF($C741="B",INDEX(Batters[[#All],[POS]],MATCH(Table5[[#This Row],[PID]],Batters[[#All],[PID]],0)),INDEX(Table3[[#All],[POS]],MATCH(Table5[[#This Row],[PID]],Table3[[#All],[PID]],0)))</f>
        <v>LF</v>
      </c>
      <c r="E741" s="54" t="str">
        <f>IF($C741="B",INDEX(Batters[[#All],[First]],MATCH(Table5[[#This Row],[PID]],Batters[[#All],[PID]],0)),INDEX(Table3[[#All],[First]],MATCH(Table5[[#This Row],[PID]],Table3[[#All],[PID]],0)))</f>
        <v>James</v>
      </c>
      <c r="F741" s="52" t="str">
        <f>IF($C741="B",INDEX(Batters[[#All],[Last]],MATCH(A741,Batters[[#All],[PID]],0)),INDEX(Table3[[#All],[Last]],MATCH(A741,Table3[[#All],[PID]],0)))</f>
        <v>Andrews</v>
      </c>
      <c r="G741" s="58">
        <f>IF($C741="B",INDEX(Batters[[#All],[Age]],MATCH(Table5[[#This Row],[PID]],Batters[[#All],[PID]],0)),INDEX(Table3[[#All],[Age]],MATCH(Table5[[#This Row],[PID]],Table3[[#All],[PID]],0)))</f>
        <v>22</v>
      </c>
      <c r="H741" s="54" t="str">
        <f>IF($C741="B",INDEX(Batters[[#All],[B]],MATCH(Table5[[#This Row],[PID]],Batters[[#All],[PID]],0)),INDEX(Table3[[#All],[B]],MATCH(Table5[[#This Row],[PID]],Table3[[#All],[PID]],0)))</f>
        <v>S</v>
      </c>
      <c r="I741" s="54" t="str">
        <f>IF($C741="B",INDEX(Batters[[#All],[T]],MATCH(Table5[[#This Row],[PID]],Batters[[#All],[PID]],0)),INDEX(Table3[[#All],[T]],MATCH(Table5[[#This Row],[PID]],Table3[[#All],[PID]],0)))</f>
        <v>L</v>
      </c>
      <c r="J741" s="54" t="str">
        <f>IF($C741="B",INDEX(Batters[[#All],[WE]],MATCH(Table5[[#This Row],[PID]],Batters[[#All],[PID]],0)),INDEX(Table3[[#All],[WE]],MATCH(Table5[[#This Row],[PID]],Table3[[#All],[PID]],0)))</f>
        <v>High</v>
      </c>
      <c r="K741" s="54" t="str">
        <f>IF($C741="B",INDEX(Batters[[#All],[INT]],MATCH(Table5[[#This Row],[PID]],Batters[[#All],[PID]],0)),INDEX(Table3[[#All],[INT]],MATCH(Table5[[#This Row],[PID]],Table3[[#All],[PID]],0)))</f>
        <v>Normal</v>
      </c>
      <c r="L741" s="62">
        <f>IF($C741="B",INDEX(Batters[[#All],[CON P]],MATCH(Table5[[#This Row],[PID]],Batters[[#All],[PID]],0)),INDEX(Table3[[#All],[STU P]],MATCH(Table5[[#This Row],[PID]],Table3[[#All],[PID]],0)))</f>
        <v>4</v>
      </c>
      <c r="M741" s="58">
        <f>IF($C741="B",INDEX(Batters[[#All],[GAP P]],MATCH(Table5[[#This Row],[PID]],Batters[[#All],[PID]],0)),INDEX(Table3[[#All],[MOV P]],MATCH(Table5[[#This Row],[PID]],Table3[[#All],[PID]],0)))</f>
        <v>2</v>
      </c>
      <c r="N741" s="58">
        <f>IF($C741="B",INDEX(Batters[[#All],[POW P]],MATCH(Table5[[#This Row],[PID]],Batters[[#All],[PID]],0)),INDEX(Table3[[#All],[CON P]],MATCH(Table5[[#This Row],[PID]],Table3[[#All],[PID]],0)))</f>
        <v>2</v>
      </c>
      <c r="O741" s="58">
        <f>IF($C741="B",INDEX(Batters[[#All],[EYE P]],MATCH(Table5[[#This Row],[PID]],Batters[[#All],[PID]],0)),INDEX(Table3[[#All],[VELO]],MATCH(Table5[[#This Row],[PID]],Table3[[#All],[PID]],0)))</f>
        <v>3</v>
      </c>
      <c r="P741" s="58">
        <f>IF($C741="B",INDEX(Batters[[#All],[K P]],MATCH(Table5[[#This Row],[PID]],Batters[[#All],[PID]],0)),INDEX(Table3[[#All],[STM]],MATCH(Table5[[#This Row],[PID]],Table3[[#All],[PID]],0)))</f>
        <v>4</v>
      </c>
      <c r="Q741" s="63">
        <f>IF($C741="B",INDEX(Batters[[#All],[Tot]],MATCH(Table5[[#This Row],[PID]],Batters[[#All],[PID]],0)),INDEX(Table3[[#All],[Tot]],MATCH(Table5[[#This Row],[PID]],Table3[[#All],[PID]],0)))</f>
        <v>37.214427015308047</v>
      </c>
      <c r="R741" s="54">
        <f>IF($C741="B",INDEX(Batters[[#All],[zScore]],MATCH(Table5[[#This Row],[PID]],Batters[[#All],[PID]],0)),INDEX(Table3[[#All],[zScore]],MATCH(Table5[[#This Row],[PID]],Table3[[#All],[PID]],0)))</f>
        <v>-0.55137486100491218</v>
      </c>
      <c r="S741" s="60" t="str">
        <f>IF($C741="B",INDEX(Batters[[#All],[DEM]],MATCH(Table5[[#This Row],[PID]],Batters[[#All],[PID]],0)),INDEX(Table3[[#All],[DEM]],MATCH(Table5[[#This Row],[PID]],Table3[[#All],[PID]],0)))</f>
        <v>-</v>
      </c>
      <c r="T741" s="64">
        <f>IF($C741="B",VLOOKUP($A741,Bat!$A$4:$AU$1417,46,FALSE),VLOOKUP($A741,Pit!$A$4:$BD$570,55,FALSE))</f>
        <v>0</v>
      </c>
      <c r="U741" s="52">
        <f>IF($C741="B",VLOOKUP($A741,Bat!$A$4:$BA$1417,47,FALSE),VLOOKUP($A741,Pit!$A$4:$BF$570,56,FALSE))</f>
        <v>0</v>
      </c>
      <c r="V741" s="52">
        <f>IF($C741="B",VLOOKUP($A741,Bat!$A$4:$BA$1417,48,FALSE),VLOOKUP($A741,Pit!$A$4:$BF$570,57,FALSE))</f>
        <v>0</v>
      </c>
      <c r="W741" s="52">
        <f>Table5[[#This Row],[posRnk]]+Table5[[#This Row],[zRnk]]+IF($W$3&lt;&gt;Table5[[#This Row],[Type]],50,0)</f>
        <v>787</v>
      </c>
      <c r="X741" s="53">
        <f>RANK(Table5[[#This Row],[zScore]],Table5[[#All],[zScore]])</f>
        <v>737</v>
      </c>
      <c r="Y741" s="52" t="str">
        <f>IFERROR(INDEX(DraftResults[[#All],[OVR]],MATCH(Table5[[#This Row],[PID]],DraftResults[[#All],[Player ID]],0)),"")</f>
        <v/>
      </c>
      <c r="Z7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1" s="52" t="str">
        <f>IFERROR(INDEX(DraftResults[[#All],[Pick in Round]],MATCH(Table5[[#This Row],[PID]],DraftResults[[#All],[Player ID]],0)),"")</f>
        <v/>
      </c>
      <c r="AB741" s="52" t="str">
        <f>IFERROR(INDEX(DraftResults[[#All],[Team Name]],MATCH(Table5[[#This Row],[PID]],DraftResults[[#All],[Player ID]],0)),"")</f>
        <v/>
      </c>
      <c r="AC741" s="52" t="str">
        <f>IF(Table5[[#This Row],[Ovr]]="","",IF(Table5[[#This Row],[cmbList]]="","",Table5[[#This Row],[cmbList]]-Table5[[#This Row],[Ovr]]))</f>
        <v/>
      </c>
      <c r="AD741" s="56" t="str">
        <f>IF(ISERROR(VLOOKUP($AB741&amp;"-"&amp;$E741&amp;" "&amp;F741,Bonuses!$B$1:$G$1006,4,FALSE)),"",INT(VLOOKUP($AB741&amp;"-"&amp;$E741&amp;" "&amp;$F741,Bonuses!$B$1:$G$1006,4,FALSE)))</f>
        <v/>
      </c>
      <c r="AE7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2" spans="1:31" s="52" customFormat="1" x14ac:dyDescent="0.25">
      <c r="A742" s="52">
        <v>12193</v>
      </c>
      <c r="B742" s="52">
        <f>COUNTIF(Table5[PID],A742)</f>
        <v>1</v>
      </c>
      <c r="C742" s="52" t="str">
        <f>IF(COUNTIF(Table3[[#All],[PID]],A742)&gt;0,"P","B")</f>
        <v>P</v>
      </c>
      <c r="D742" s="61" t="str">
        <f>IF($C742="B",INDEX(Batters[[#All],[POS]],MATCH(Table5[[#This Row],[PID]],Batters[[#All],[PID]],0)),INDEX(Table3[[#All],[POS]],MATCH(Table5[[#This Row],[PID]],Table3[[#All],[PID]],0)))</f>
        <v>SP</v>
      </c>
      <c r="E742" s="54" t="str">
        <f>IF($C742="B",INDEX(Batters[[#All],[First]],MATCH(Table5[[#This Row],[PID]],Batters[[#All],[PID]],0)),INDEX(Table3[[#All],[First]],MATCH(Table5[[#This Row],[PID]],Table3[[#All],[PID]],0)))</f>
        <v>Mark</v>
      </c>
      <c r="F742" s="52" t="str">
        <f>IF($C742="B",INDEX(Batters[[#All],[Last]],MATCH(A742,Batters[[#All],[PID]],0)),INDEX(Table3[[#All],[Last]],MATCH(A742,Table3[[#All],[PID]],0)))</f>
        <v>Brooks</v>
      </c>
      <c r="G742" s="58">
        <f>IF($C742="B",INDEX(Batters[[#All],[Age]],MATCH(Table5[[#This Row],[PID]],Batters[[#All],[PID]],0)),INDEX(Table3[[#All],[Age]],MATCH(Table5[[#This Row],[PID]],Table3[[#All],[PID]],0)))</f>
        <v>21</v>
      </c>
      <c r="H742" s="54" t="str">
        <f>IF($C742="B",INDEX(Batters[[#All],[B]],MATCH(Table5[[#This Row],[PID]],Batters[[#All],[PID]],0)),INDEX(Table3[[#All],[B]],MATCH(Table5[[#This Row],[PID]],Table3[[#All],[PID]],0)))</f>
        <v>R</v>
      </c>
      <c r="I742" s="54" t="str">
        <f>IF($C742="B",INDEX(Batters[[#All],[T]],MATCH(Table5[[#This Row],[PID]],Batters[[#All],[PID]],0)),INDEX(Table3[[#All],[T]],MATCH(Table5[[#This Row],[PID]],Table3[[#All],[PID]],0)))</f>
        <v>R</v>
      </c>
      <c r="J742" s="54" t="str">
        <f>IF($C742="B",INDEX(Batters[[#All],[WE]],MATCH(Table5[[#This Row],[PID]],Batters[[#All],[PID]],0)),INDEX(Table3[[#All],[WE]],MATCH(Table5[[#This Row],[PID]],Table3[[#All],[PID]],0)))</f>
        <v>High</v>
      </c>
      <c r="K742" s="54" t="str">
        <f>IF($C742="B",INDEX(Batters[[#All],[INT]],MATCH(Table5[[#This Row],[PID]],Batters[[#All],[PID]],0)),INDEX(Table3[[#All],[INT]],MATCH(Table5[[#This Row],[PID]],Table3[[#All],[PID]],0)))</f>
        <v>Normal</v>
      </c>
      <c r="L742" s="62">
        <f>IF($C742="B",INDEX(Batters[[#All],[CON P]],MATCH(Table5[[#This Row],[PID]],Batters[[#All],[PID]],0)),INDEX(Table3[[#All],[STU P]],MATCH(Table5[[#This Row],[PID]],Table3[[#All],[PID]],0)))</f>
        <v>4</v>
      </c>
      <c r="M742" s="58">
        <f>IF($C742="B",INDEX(Batters[[#All],[GAP P]],MATCH(Table5[[#This Row],[PID]],Batters[[#All],[PID]],0)),INDEX(Table3[[#All],[MOV P]],MATCH(Table5[[#This Row],[PID]],Table3[[#All],[PID]],0)))</f>
        <v>2</v>
      </c>
      <c r="N742" s="58">
        <f>IF($C742="B",INDEX(Batters[[#All],[POW P]],MATCH(Table5[[#This Row],[PID]],Batters[[#All],[PID]],0)),INDEX(Table3[[#All],[CON P]],MATCH(Table5[[#This Row],[PID]],Table3[[#All],[PID]],0)))</f>
        <v>2</v>
      </c>
      <c r="O742" s="58" t="str">
        <f>IF($C742="B",INDEX(Batters[[#All],[EYE P]],MATCH(Table5[[#This Row],[PID]],Batters[[#All],[PID]],0)),INDEX(Table3[[#All],[VELO]],MATCH(Table5[[#This Row],[PID]],Table3[[#All],[PID]],0)))</f>
        <v>93-95 Mph</v>
      </c>
      <c r="P742" s="58">
        <f>IF($C742="B",INDEX(Batters[[#All],[K P]],MATCH(Table5[[#This Row],[PID]],Batters[[#All],[PID]],0)),INDEX(Table3[[#All],[STM]],MATCH(Table5[[#This Row],[PID]],Table3[[#All],[PID]],0)))</f>
        <v>5</v>
      </c>
      <c r="Q742" s="63">
        <f>IF($C742="B",INDEX(Batters[[#All],[Tot]],MATCH(Table5[[#This Row],[PID]],Batters[[#All],[PID]],0)),INDEX(Table3[[#All],[Tot]],MATCH(Table5[[#This Row],[PID]],Table3[[#All],[PID]],0)))</f>
        <v>26.667218610922209</v>
      </c>
      <c r="R742" s="54">
        <f>IF($C742="B",INDEX(Batters[[#All],[zScore]],MATCH(Table5[[#This Row],[PID]],Batters[[#All],[PID]],0)),INDEX(Table3[[#All],[zScore]],MATCH(Table5[[#This Row],[PID]],Table3[[#All],[PID]],0)))</f>
        <v>-0.55527233644757867</v>
      </c>
      <c r="S742" s="60" t="str">
        <f>IF($C742="B",INDEX(Batters[[#All],[DEM]],MATCH(Table5[[#This Row],[PID]],Batters[[#All],[PID]],0)),INDEX(Table3[[#All],[DEM]],MATCH(Table5[[#This Row],[PID]],Table3[[#All],[PID]],0)))</f>
        <v>-</v>
      </c>
      <c r="T742" s="64">
        <f>IF($C742="B",VLOOKUP($A742,Bat!$A$4:$AU$1417,46,FALSE),VLOOKUP($A742,Pit!$A$4:$BD$570,55,FALSE))</f>
        <v>0</v>
      </c>
      <c r="U742" s="52">
        <f>IF($C742="B",VLOOKUP($A742,Bat!$A$4:$BA$1417,47,FALSE),VLOOKUP($A742,Pit!$A$4:$BF$570,56,FALSE))</f>
        <v>0</v>
      </c>
      <c r="V742" s="52">
        <f>IF($C742="B",VLOOKUP($A742,Bat!$A$4:$BA$1417,48,FALSE),VLOOKUP($A742,Pit!$A$4:$BF$570,57,FALSE))</f>
        <v>0</v>
      </c>
      <c r="W742" s="52">
        <f>Table5[[#This Row],[posRnk]]+Table5[[#This Row],[zRnk]]+IF($W$3&lt;&gt;Table5[[#This Row],[Type]],50,0)</f>
        <v>788</v>
      </c>
      <c r="X742" s="53">
        <f>RANK(Table5[[#This Row],[zScore]],Table5[[#All],[zScore]])</f>
        <v>738</v>
      </c>
      <c r="Y742" s="52" t="str">
        <f>IFERROR(INDEX(DraftResults[[#All],[OVR]],MATCH(Table5[[#This Row],[PID]],DraftResults[[#All],[Player ID]],0)),"")</f>
        <v/>
      </c>
      <c r="Z7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2" s="52" t="str">
        <f>IFERROR(INDEX(DraftResults[[#All],[Pick in Round]],MATCH(Table5[[#This Row],[PID]],DraftResults[[#All],[Player ID]],0)),"")</f>
        <v/>
      </c>
      <c r="AB742" s="52" t="str">
        <f>IFERROR(INDEX(DraftResults[[#All],[Team Name]],MATCH(Table5[[#This Row],[PID]],DraftResults[[#All],[Player ID]],0)),"")</f>
        <v/>
      </c>
      <c r="AC742" s="52" t="str">
        <f>IF(Table5[[#This Row],[Ovr]]="","",IF(Table5[[#This Row],[cmbList]]="","",Table5[[#This Row],[cmbList]]-Table5[[#This Row],[Ovr]]))</f>
        <v/>
      </c>
      <c r="AD742" s="56" t="str">
        <f>IF(ISERROR(VLOOKUP($AB742&amp;"-"&amp;$E742&amp;" "&amp;F742,Bonuses!$B$1:$G$1006,4,FALSE)),"",INT(VLOOKUP($AB742&amp;"-"&amp;$E742&amp;" "&amp;$F742,Bonuses!$B$1:$G$1006,4,FALSE)))</f>
        <v/>
      </c>
      <c r="AE7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3" spans="1:31" s="52" customFormat="1" x14ac:dyDescent="0.25">
      <c r="A743" s="52">
        <v>6983</v>
      </c>
      <c r="B743" s="52">
        <f>COUNTIF(Table5[PID],A743)</f>
        <v>1</v>
      </c>
      <c r="C743" s="52" t="str">
        <f>IF(COUNTIF(Table3[[#All],[PID]],A743)&gt;0,"P","B")</f>
        <v>B</v>
      </c>
      <c r="D743" s="61" t="str">
        <f>IF($C743="B",INDEX(Batters[[#All],[POS]],MATCH(Table5[[#This Row],[PID]],Batters[[#All],[PID]],0)),INDEX(Table3[[#All],[POS]],MATCH(Table5[[#This Row],[PID]],Table3[[#All],[PID]],0)))</f>
        <v>1B</v>
      </c>
      <c r="E743" s="54" t="str">
        <f>IF($C743="B",INDEX(Batters[[#All],[First]],MATCH(Table5[[#This Row],[PID]],Batters[[#All],[PID]],0)),INDEX(Table3[[#All],[First]],MATCH(Table5[[#This Row],[PID]],Table3[[#All],[PID]],0)))</f>
        <v>José</v>
      </c>
      <c r="F743" s="52" t="str">
        <f>IF($C743="B",INDEX(Batters[[#All],[Last]],MATCH(A743,Batters[[#All],[PID]],0)),INDEX(Table3[[#All],[Last]],MATCH(A743,Table3[[#All],[PID]],0)))</f>
        <v>Hernández</v>
      </c>
      <c r="G743" s="58">
        <f>IF($C743="B",INDEX(Batters[[#All],[Age]],MATCH(Table5[[#This Row],[PID]],Batters[[#All],[PID]],0)),INDEX(Table3[[#All],[Age]],MATCH(Table5[[#This Row],[PID]],Table3[[#All],[PID]],0)))</f>
        <v>20</v>
      </c>
      <c r="H743" s="54" t="str">
        <f>IF($C743="B",INDEX(Batters[[#All],[B]],MATCH(Table5[[#This Row],[PID]],Batters[[#All],[PID]],0)),INDEX(Table3[[#All],[B]],MATCH(Table5[[#This Row],[PID]],Table3[[#All],[PID]],0)))</f>
        <v>L</v>
      </c>
      <c r="I743" s="54" t="str">
        <f>IF($C743="B",INDEX(Batters[[#All],[T]],MATCH(Table5[[#This Row],[PID]],Batters[[#All],[PID]],0)),INDEX(Table3[[#All],[T]],MATCH(Table5[[#This Row],[PID]],Table3[[#All],[PID]],0)))</f>
        <v>R</v>
      </c>
      <c r="J743" s="54" t="str">
        <f>IF($C743="B",INDEX(Batters[[#All],[WE]],MATCH(Table5[[#This Row],[PID]],Batters[[#All],[PID]],0)),INDEX(Table3[[#All],[WE]],MATCH(Table5[[#This Row],[PID]],Table3[[#All],[PID]],0)))</f>
        <v>Normal</v>
      </c>
      <c r="K743" s="54" t="str">
        <f>IF($C743="B",INDEX(Batters[[#All],[INT]],MATCH(Table5[[#This Row],[PID]],Batters[[#All],[PID]],0)),INDEX(Table3[[#All],[INT]],MATCH(Table5[[#This Row],[PID]],Table3[[#All],[PID]],0)))</f>
        <v>Normal</v>
      </c>
      <c r="L743" s="62">
        <f>IF($C743="B",INDEX(Batters[[#All],[CON P]],MATCH(Table5[[#This Row],[PID]],Batters[[#All],[PID]],0)),INDEX(Table3[[#All],[STU P]],MATCH(Table5[[#This Row],[PID]],Table3[[#All],[PID]],0)))</f>
        <v>4</v>
      </c>
      <c r="M743" s="58">
        <f>IF($C743="B",INDEX(Batters[[#All],[GAP P]],MATCH(Table5[[#This Row],[PID]],Batters[[#All],[PID]],0)),INDEX(Table3[[#All],[MOV P]],MATCH(Table5[[#This Row],[PID]],Table3[[#All],[PID]],0)))</f>
        <v>3</v>
      </c>
      <c r="N743" s="58">
        <f>IF($C743="B",INDEX(Batters[[#All],[POW P]],MATCH(Table5[[#This Row],[PID]],Batters[[#All],[PID]],0)),INDEX(Table3[[#All],[CON P]],MATCH(Table5[[#This Row],[PID]],Table3[[#All],[PID]],0)))</f>
        <v>3</v>
      </c>
      <c r="O743" s="58">
        <f>IF($C743="B",INDEX(Batters[[#All],[EYE P]],MATCH(Table5[[#This Row],[PID]],Batters[[#All],[PID]],0)),INDEX(Table3[[#All],[VELO]],MATCH(Table5[[#This Row],[PID]],Table3[[#All],[PID]],0)))</f>
        <v>2</v>
      </c>
      <c r="P743" s="58">
        <f>IF($C743="B",INDEX(Batters[[#All],[K P]],MATCH(Table5[[#This Row],[PID]],Batters[[#All],[PID]],0)),INDEX(Table3[[#All],[STM]],MATCH(Table5[[#This Row],[PID]],Table3[[#All],[PID]],0)))</f>
        <v>4</v>
      </c>
      <c r="Q743" s="63">
        <f>IF($C743="B",INDEX(Batters[[#All],[Tot]],MATCH(Table5[[#This Row],[PID]],Batters[[#All],[PID]],0)),INDEX(Table3[[#All],[Tot]],MATCH(Table5[[#This Row],[PID]],Table3[[#All],[PID]],0)))</f>
        <v>37.190552863665658</v>
      </c>
      <c r="R743" s="54">
        <f>IF($C743="B",INDEX(Batters[[#All],[zScore]],MATCH(Table5[[#This Row],[PID]],Batters[[#All],[PID]],0)),INDEX(Table3[[#All],[zScore]],MATCH(Table5[[#This Row],[PID]],Table3[[#All],[PID]],0)))</f>
        <v>-0.55557535931153579</v>
      </c>
      <c r="S743" s="60" t="str">
        <f>IF($C743="B",INDEX(Batters[[#All],[DEM]],MATCH(Table5[[#This Row],[PID]],Batters[[#All],[PID]],0)),INDEX(Table3[[#All],[DEM]],MATCH(Table5[[#This Row],[PID]],Table3[[#All],[PID]],0)))</f>
        <v>$60k</v>
      </c>
      <c r="T743" s="64">
        <f>IF($C743="B",VLOOKUP($A743,Bat!$A$4:$AU$1417,46,FALSE),VLOOKUP($A743,Pit!$A$4:$BD$570,55,FALSE))</f>
        <v>0</v>
      </c>
      <c r="U743" s="52">
        <f>IF($C743="B",VLOOKUP($A743,Bat!$A$4:$BA$1417,47,FALSE),VLOOKUP($A743,Pit!$A$4:$BF$570,56,FALSE))</f>
        <v>0</v>
      </c>
      <c r="V743" s="52">
        <f>IF($C743="B",VLOOKUP($A743,Bat!$A$4:$BA$1417,48,FALSE),VLOOKUP($A743,Pit!$A$4:$BF$570,57,FALSE))</f>
        <v>0</v>
      </c>
      <c r="W743" s="52">
        <f>Table5[[#This Row],[posRnk]]+Table5[[#This Row],[zRnk]]+IF($W$3&lt;&gt;Table5[[#This Row],[Type]],50,0)</f>
        <v>789</v>
      </c>
      <c r="X743" s="53">
        <f>RANK(Table5[[#This Row],[zScore]],Table5[[#All],[zScore]])</f>
        <v>739</v>
      </c>
      <c r="Y743" s="52" t="str">
        <f>IFERROR(INDEX(DraftResults[[#All],[OVR]],MATCH(Table5[[#This Row],[PID]],DraftResults[[#All],[Player ID]],0)),"")</f>
        <v/>
      </c>
      <c r="Z7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3" s="52" t="str">
        <f>IFERROR(INDEX(DraftResults[[#All],[Pick in Round]],MATCH(Table5[[#This Row],[PID]],DraftResults[[#All],[Player ID]],0)),"")</f>
        <v/>
      </c>
      <c r="AB743" s="52" t="str">
        <f>IFERROR(INDEX(DraftResults[[#All],[Team Name]],MATCH(Table5[[#This Row],[PID]],DraftResults[[#All],[Player ID]],0)),"")</f>
        <v/>
      </c>
      <c r="AC743" s="52" t="str">
        <f>IF(Table5[[#This Row],[Ovr]]="","",IF(Table5[[#This Row],[cmbList]]="","",Table5[[#This Row],[cmbList]]-Table5[[#This Row],[Ovr]]))</f>
        <v/>
      </c>
      <c r="AD743" s="56" t="str">
        <f>IF(ISERROR(VLOOKUP($AB743&amp;"-"&amp;$E743&amp;" "&amp;F743,Bonuses!$B$1:$G$1006,4,FALSE)),"",INT(VLOOKUP($AB743&amp;"-"&amp;$E743&amp;" "&amp;$F743,Bonuses!$B$1:$G$1006,4,FALSE)))</f>
        <v/>
      </c>
      <c r="AE7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4" spans="1:31" s="52" customFormat="1" x14ac:dyDescent="0.25">
      <c r="A744" s="52">
        <v>17764</v>
      </c>
      <c r="B744" s="52">
        <f>COUNTIF(Table5[PID],A744)</f>
        <v>1</v>
      </c>
      <c r="C744" s="52" t="str">
        <f>IF(COUNTIF(Table3[[#All],[PID]],A744)&gt;0,"P","B")</f>
        <v>B</v>
      </c>
      <c r="D744" s="61" t="str">
        <f>IF($C744="B",INDEX(Batters[[#All],[POS]],MATCH(Table5[[#This Row],[PID]],Batters[[#All],[PID]],0)),INDEX(Table3[[#All],[POS]],MATCH(Table5[[#This Row],[PID]],Table3[[#All],[PID]],0)))</f>
        <v>3B</v>
      </c>
      <c r="E744" s="54" t="str">
        <f>IF($C744="B",INDEX(Batters[[#All],[First]],MATCH(Table5[[#This Row],[PID]],Batters[[#All],[PID]],0)),INDEX(Table3[[#All],[First]],MATCH(Table5[[#This Row],[PID]],Table3[[#All],[PID]],0)))</f>
        <v>Josuke</v>
      </c>
      <c r="F744" s="52" t="str">
        <f>IF($C744="B",INDEX(Batters[[#All],[Last]],MATCH(A744,Batters[[#All],[PID]],0)),INDEX(Table3[[#All],[Last]],MATCH(A744,Table3[[#All],[PID]],0)))</f>
        <v>Ogawa</v>
      </c>
      <c r="G744" s="58">
        <f>IF($C744="B",INDEX(Batters[[#All],[Age]],MATCH(Table5[[#This Row],[PID]],Batters[[#All],[PID]],0)),INDEX(Table3[[#All],[Age]],MATCH(Table5[[#This Row],[PID]],Table3[[#All],[PID]],0)))</f>
        <v>21</v>
      </c>
      <c r="H744" s="54" t="str">
        <f>IF($C744="B",INDEX(Batters[[#All],[B]],MATCH(Table5[[#This Row],[PID]],Batters[[#All],[PID]],0)),INDEX(Table3[[#All],[B]],MATCH(Table5[[#This Row],[PID]],Table3[[#All],[PID]],0)))</f>
        <v>R</v>
      </c>
      <c r="I744" s="54" t="str">
        <f>IF($C744="B",INDEX(Batters[[#All],[T]],MATCH(Table5[[#This Row],[PID]],Batters[[#All],[PID]],0)),INDEX(Table3[[#All],[T]],MATCH(Table5[[#This Row],[PID]],Table3[[#All],[PID]],0)))</f>
        <v>R</v>
      </c>
      <c r="J744" s="54" t="str">
        <f>IF($C744="B",INDEX(Batters[[#All],[WE]],MATCH(Table5[[#This Row],[PID]],Batters[[#All],[PID]],0)),INDEX(Table3[[#All],[WE]],MATCH(Table5[[#This Row],[PID]],Table3[[#All],[PID]],0)))</f>
        <v>Normal</v>
      </c>
      <c r="K744" s="54" t="str">
        <f>IF($C744="B",INDEX(Batters[[#All],[INT]],MATCH(Table5[[#This Row],[PID]],Batters[[#All],[PID]],0)),INDEX(Table3[[#All],[INT]],MATCH(Table5[[#This Row],[PID]],Table3[[#All],[PID]],0)))</f>
        <v>Normal</v>
      </c>
      <c r="L744" s="62">
        <f>IF($C744="B",INDEX(Batters[[#All],[CON P]],MATCH(Table5[[#This Row],[PID]],Batters[[#All],[PID]],0)),INDEX(Table3[[#All],[STU P]],MATCH(Table5[[#This Row],[PID]],Table3[[#All],[PID]],0)))</f>
        <v>3</v>
      </c>
      <c r="M744" s="58">
        <f>IF($C744="B",INDEX(Batters[[#All],[GAP P]],MATCH(Table5[[#This Row],[PID]],Batters[[#All],[PID]],0)),INDEX(Table3[[#All],[MOV P]],MATCH(Table5[[#This Row],[PID]],Table3[[#All],[PID]],0)))</f>
        <v>5</v>
      </c>
      <c r="N744" s="58">
        <f>IF($C744="B",INDEX(Batters[[#All],[POW P]],MATCH(Table5[[#This Row],[PID]],Batters[[#All],[PID]],0)),INDEX(Table3[[#All],[CON P]],MATCH(Table5[[#This Row],[PID]],Table3[[#All],[PID]],0)))</f>
        <v>4</v>
      </c>
      <c r="O744" s="58">
        <f>IF($C744="B",INDEX(Batters[[#All],[EYE P]],MATCH(Table5[[#This Row],[PID]],Batters[[#All],[PID]],0)),INDEX(Table3[[#All],[VELO]],MATCH(Table5[[#This Row],[PID]],Table3[[#All],[PID]],0)))</f>
        <v>4</v>
      </c>
      <c r="P744" s="58">
        <f>IF($C744="B",INDEX(Batters[[#All],[K P]],MATCH(Table5[[#This Row],[PID]],Batters[[#All],[PID]],0)),INDEX(Table3[[#All],[STM]],MATCH(Table5[[#This Row],[PID]],Table3[[#All],[PID]],0)))</f>
        <v>3</v>
      </c>
      <c r="Q744" s="63">
        <f>IF($C744="B",INDEX(Batters[[#All],[Tot]],MATCH(Table5[[#This Row],[PID]],Batters[[#All],[PID]],0)),INDEX(Table3[[#All],[Tot]],MATCH(Table5[[#This Row],[PID]],Table3[[#All],[PID]],0)))</f>
        <v>37.184404566752676</v>
      </c>
      <c r="R744" s="54">
        <f>IF($C744="B",INDEX(Batters[[#All],[zScore]],MATCH(Table5[[#This Row],[PID]],Batters[[#All],[PID]],0)),INDEX(Table3[[#All],[zScore]],MATCH(Table5[[#This Row],[PID]],Table3[[#All],[PID]],0)))</f>
        <v>-0.55665711128992856</v>
      </c>
      <c r="S744" s="60" t="str">
        <f>IF($C744="B",INDEX(Batters[[#All],[DEM]],MATCH(Table5[[#This Row],[PID]],Batters[[#All],[PID]],0)),INDEX(Table3[[#All],[DEM]],MATCH(Table5[[#This Row],[PID]],Table3[[#All],[PID]],0)))</f>
        <v>$130k</v>
      </c>
      <c r="T744" s="64">
        <f>IF($C744="B",VLOOKUP($A744,Bat!$A$4:$AU$1417,46,FALSE),VLOOKUP($A744,Pit!$A$4:$BD$570,55,FALSE))</f>
        <v>0</v>
      </c>
      <c r="U744" s="52">
        <f>IF($C744="B",VLOOKUP($A744,Bat!$A$4:$BA$1417,47,FALSE),VLOOKUP($A744,Pit!$A$4:$BF$570,56,FALSE))</f>
        <v>0</v>
      </c>
      <c r="V744" s="52">
        <f>IF($C744="B",VLOOKUP($A744,Bat!$A$4:$BA$1417,48,FALSE),VLOOKUP($A744,Pit!$A$4:$BF$570,57,FALSE))</f>
        <v>0</v>
      </c>
      <c r="W744" s="52">
        <f>Table5[[#This Row],[posRnk]]+Table5[[#This Row],[zRnk]]+IF($W$3&lt;&gt;Table5[[#This Row],[Type]],50,0)</f>
        <v>790</v>
      </c>
      <c r="X744" s="53">
        <f>RANK(Table5[[#This Row],[zScore]],Table5[[#All],[zScore]])</f>
        <v>740</v>
      </c>
      <c r="Y744" s="52" t="str">
        <f>IFERROR(INDEX(DraftResults[[#All],[OVR]],MATCH(Table5[[#This Row],[PID]],DraftResults[[#All],[Player ID]],0)),"")</f>
        <v/>
      </c>
      <c r="Z7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4" s="52" t="str">
        <f>IFERROR(INDEX(DraftResults[[#All],[Pick in Round]],MATCH(Table5[[#This Row],[PID]],DraftResults[[#All],[Player ID]],0)),"")</f>
        <v/>
      </c>
      <c r="AB744" s="52" t="str">
        <f>IFERROR(INDEX(DraftResults[[#All],[Team Name]],MATCH(Table5[[#This Row],[PID]],DraftResults[[#All],[Player ID]],0)),"")</f>
        <v/>
      </c>
      <c r="AC744" s="52" t="str">
        <f>IF(Table5[[#This Row],[Ovr]]="","",IF(Table5[[#This Row],[cmbList]]="","",Table5[[#This Row],[cmbList]]-Table5[[#This Row],[Ovr]]))</f>
        <v/>
      </c>
      <c r="AD744" s="56" t="str">
        <f>IF(ISERROR(VLOOKUP($AB744&amp;"-"&amp;$E744&amp;" "&amp;F744,Bonuses!$B$1:$G$1006,4,FALSE)),"",INT(VLOOKUP($AB744&amp;"-"&amp;$E744&amp;" "&amp;$F744,Bonuses!$B$1:$G$1006,4,FALSE)))</f>
        <v/>
      </c>
      <c r="AE7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5" spans="1:31" s="52" customFormat="1" x14ac:dyDescent="0.25">
      <c r="A745" s="52">
        <v>4669</v>
      </c>
      <c r="B745" s="52">
        <f>COUNTIF(Table5[PID],A745)</f>
        <v>1</v>
      </c>
      <c r="C745" s="52" t="str">
        <f>IF(COUNTIF(Table3[[#All],[PID]],A745)&gt;0,"P","B")</f>
        <v>P</v>
      </c>
      <c r="D745" s="61" t="str">
        <f>IF($C745="B",INDEX(Batters[[#All],[POS]],MATCH(Table5[[#This Row],[PID]],Batters[[#All],[PID]],0)),INDEX(Table3[[#All],[POS]],MATCH(Table5[[#This Row],[PID]],Table3[[#All],[PID]],0)))</f>
        <v>SP</v>
      </c>
      <c r="E745" s="54" t="str">
        <f>IF($C745="B",INDEX(Batters[[#All],[First]],MATCH(Table5[[#This Row],[PID]],Batters[[#All],[PID]],0)),INDEX(Table3[[#All],[First]],MATCH(Table5[[#This Row],[PID]],Table3[[#All],[PID]],0)))</f>
        <v>Fernando</v>
      </c>
      <c r="F745" s="52" t="str">
        <f>IF($C745="B",INDEX(Batters[[#All],[Last]],MATCH(A745,Batters[[#All],[PID]],0)),INDEX(Table3[[#All],[Last]],MATCH(A745,Table3[[#All],[PID]],0)))</f>
        <v>Mallano</v>
      </c>
      <c r="G745" s="58">
        <f>IF($C745="B",INDEX(Batters[[#All],[Age]],MATCH(Table5[[#This Row],[PID]],Batters[[#All],[PID]],0)),INDEX(Table3[[#All],[Age]],MATCH(Table5[[#This Row],[PID]],Table3[[#All],[PID]],0)))</f>
        <v>22</v>
      </c>
      <c r="H745" s="54" t="str">
        <f>IF($C745="B",INDEX(Batters[[#All],[B]],MATCH(Table5[[#This Row],[PID]],Batters[[#All],[PID]],0)),INDEX(Table3[[#All],[B]],MATCH(Table5[[#This Row],[PID]],Table3[[#All],[PID]],0)))</f>
        <v>R</v>
      </c>
      <c r="I745" s="54" t="str">
        <f>IF($C745="B",INDEX(Batters[[#All],[T]],MATCH(Table5[[#This Row],[PID]],Batters[[#All],[PID]],0)),INDEX(Table3[[#All],[T]],MATCH(Table5[[#This Row],[PID]],Table3[[#All],[PID]],0)))</f>
        <v>R</v>
      </c>
      <c r="J745" s="54" t="str">
        <f>IF($C745="B",INDEX(Batters[[#All],[WE]],MATCH(Table5[[#This Row],[PID]],Batters[[#All],[PID]],0)),INDEX(Table3[[#All],[WE]],MATCH(Table5[[#This Row],[PID]],Table3[[#All],[PID]],0)))</f>
        <v>Normal</v>
      </c>
      <c r="K745" s="54" t="str">
        <f>IF($C745="B",INDEX(Batters[[#All],[INT]],MATCH(Table5[[#This Row],[PID]],Batters[[#All],[PID]],0)),INDEX(Table3[[#All],[INT]],MATCH(Table5[[#This Row],[PID]],Table3[[#All],[PID]],0)))</f>
        <v>Normal</v>
      </c>
      <c r="L745" s="62">
        <f>IF($C745="B",INDEX(Batters[[#All],[CON P]],MATCH(Table5[[#This Row],[PID]],Batters[[#All],[PID]],0)),INDEX(Table3[[#All],[STU P]],MATCH(Table5[[#This Row],[PID]],Table3[[#All],[PID]],0)))</f>
        <v>4</v>
      </c>
      <c r="M745" s="58">
        <f>IF($C745="B",INDEX(Batters[[#All],[GAP P]],MATCH(Table5[[#This Row],[PID]],Batters[[#All],[PID]],0)),INDEX(Table3[[#All],[MOV P]],MATCH(Table5[[#This Row],[PID]],Table3[[#All],[PID]],0)))</f>
        <v>1</v>
      </c>
      <c r="N745" s="58">
        <f>IF($C745="B",INDEX(Batters[[#All],[POW P]],MATCH(Table5[[#This Row],[PID]],Batters[[#All],[PID]],0)),INDEX(Table3[[#All],[CON P]],MATCH(Table5[[#This Row],[PID]],Table3[[#All],[PID]],0)))</f>
        <v>3</v>
      </c>
      <c r="O745" s="58" t="str">
        <f>IF($C745="B",INDEX(Batters[[#All],[EYE P]],MATCH(Table5[[#This Row],[PID]],Batters[[#All],[PID]],0)),INDEX(Table3[[#All],[VELO]],MATCH(Table5[[#This Row],[PID]],Table3[[#All],[PID]],0)))</f>
        <v>91-93 Mph</v>
      </c>
      <c r="P745" s="58">
        <f>IF($C745="B",INDEX(Batters[[#All],[K P]],MATCH(Table5[[#This Row],[PID]],Batters[[#All],[PID]],0)),INDEX(Table3[[#All],[STM]],MATCH(Table5[[#This Row],[PID]],Table3[[#All],[PID]],0)))</f>
        <v>9</v>
      </c>
      <c r="Q745" s="63">
        <f>IF($C745="B",INDEX(Batters[[#All],[Tot]],MATCH(Table5[[#This Row],[PID]],Batters[[#All],[PID]],0)),INDEX(Table3[[#All],[Tot]],MATCH(Table5[[#This Row],[PID]],Table3[[#All],[PID]],0)))</f>
        <v>26.651617898623428</v>
      </c>
      <c r="R745" s="54">
        <f>IF($C745="B",INDEX(Batters[[#All],[zScore]],MATCH(Table5[[#This Row],[PID]],Batters[[#All],[PID]],0)),INDEX(Table3[[#All],[zScore]],MATCH(Table5[[#This Row],[PID]],Table3[[#All],[PID]],0)))</f>
        <v>-0.55670298844422261</v>
      </c>
      <c r="S745" s="60" t="str">
        <f>IF($C745="B",INDEX(Batters[[#All],[DEM]],MATCH(Table5[[#This Row],[PID]],Batters[[#All],[PID]],0)),INDEX(Table3[[#All],[DEM]],MATCH(Table5[[#This Row],[PID]],Table3[[#All],[PID]],0)))</f>
        <v>-</v>
      </c>
      <c r="T745" s="64">
        <f>IF($C745="B",VLOOKUP($A745,Bat!$A$4:$AU$1417,46,FALSE),VLOOKUP($A745,Pit!$A$4:$BD$570,55,FALSE))</f>
        <v>0</v>
      </c>
      <c r="U745" s="52">
        <f>IF($C745="B",VLOOKUP($A745,Bat!$A$4:$BA$1417,47,FALSE),VLOOKUP($A745,Pit!$A$4:$BF$570,56,FALSE))</f>
        <v>0</v>
      </c>
      <c r="V745" s="52">
        <f>IF($C745="B",VLOOKUP($A745,Bat!$A$4:$BA$1417,48,FALSE),VLOOKUP($A745,Pit!$A$4:$BF$570,57,FALSE))</f>
        <v>0</v>
      </c>
      <c r="W745" s="52">
        <f>Table5[[#This Row],[posRnk]]+Table5[[#This Row],[zRnk]]+IF($W$3&lt;&gt;Table5[[#This Row],[Type]],50,0)</f>
        <v>791</v>
      </c>
      <c r="X745" s="53">
        <f>RANK(Table5[[#This Row],[zScore]],Table5[[#All],[zScore]])</f>
        <v>741</v>
      </c>
      <c r="Y745" s="52" t="str">
        <f>IFERROR(INDEX(DraftResults[[#All],[OVR]],MATCH(Table5[[#This Row],[PID]],DraftResults[[#All],[Player ID]],0)),"")</f>
        <v/>
      </c>
      <c r="Z7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5" s="52" t="str">
        <f>IFERROR(INDEX(DraftResults[[#All],[Pick in Round]],MATCH(Table5[[#This Row],[PID]],DraftResults[[#All],[Player ID]],0)),"")</f>
        <v/>
      </c>
      <c r="AB745" s="52" t="str">
        <f>IFERROR(INDEX(DraftResults[[#All],[Team Name]],MATCH(Table5[[#This Row],[PID]],DraftResults[[#All],[Player ID]],0)),"")</f>
        <v/>
      </c>
      <c r="AC745" s="52" t="str">
        <f>IF(Table5[[#This Row],[Ovr]]="","",IF(Table5[[#This Row],[cmbList]]="","",Table5[[#This Row],[cmbList]]-Table5[[#This Row],[Ovr]]))</f>
        <v/>
      </c>
      <c r="AD745" s="56" t="str">
        <f>IF(ISERROR(VLOOKUP($AB745&amp;"-"&amp;$E745&amp;" "&amp;F745,Bonuses!$B$1:$G$1006,4,FALSE)),"",INT(VLOOKUP($AB745&amp;"-"&amp;$E745&amp;" "&amp;$F745,Bonuses!$B$1:$G$1006,4,FALSE)))</f>
        <v/>
      </c>
      <c r="AE7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6" spans="1:31" s="52" customFormat="1" x14ac:dyDescent="0.25">
      <c r="A746" s="52">
        <v>8836</v>
      </c>
      <c r="B746" s="52">
        <f>COUNTIF(Table5[PID],A746)</f>
        <v>1</v>
      </c>
      <c r="C746" s="52" t="str">
        <f>IF(COUNTIF(Table3[[#All],[PID]],A746)&gt;0,"P","B")</f>
        <v>B</v>
      </c>
      <c r="D746" s="61" t="str">
        <f>IF($C746="B",INDEX(Batters[[#All],[POS]],MATCH(Table5[[#This Row],[PID]],Batters[[#All],[PID]],0)),INDEX(Table3[[#All],[POS]],MATCH(Table5[[#This Row],[PID]],Table3[[#All],[PID]],0)))</f>
        <v>C</v>
      </c>
      <c r="E746" s="54" t="str">
        <f>IF($C746="B",INDEX(Batters[[#All],[First]],MATCH(Table5[[#This Row],[PID]],Batters[[#All],[PID]],0)),INDEX(Table3[[#All],[First]],MATCH(Table5[[#This Row],[PID]],Table3[[#All],[PID]],0)))</f>
        <v>Ray</v>
      </c>
      <c r="F746" s="52" t="str">
        <f>IF($C746="B",INDEX(Batters[[#All],[Last]],MATCH(A746,Batters[[#All],[PID]],0)),INDEX(Table3[[#All],[Last]],MATCH(A746,Table3[[#All],[PID]],0)))</f>
        <v>Wilson</v>
      </c>
      <c r="G746" s="58">
        <f>IF($C746="B",INDEX(Batters[[#All],[Age]],MATCH(Table5[[#This Row],[PID]],Batters[[#All],[PID]],0)),INDEX(Table3[[#All],[Age]],MATCH(Table5[[#This Row],[PID]],Table3[[#All],[PID]],0)))</f>
        <v>22</v>
      </c>
      <c r="H746" s="54" t="str">
        <f>IF($C746="B",INDEX(Batters[[#All],[B]],MATCH(Table5[[#This Row],[PID]],Batters[[#All],[PID]],0)),INDEX(Table3[[#All],[B]],MATCH(Table5[[#This Row],[PID]],Table3[[#All],[PID]],0)))</f>
        <v>R</v>
      </c>
      <c r="I746" s="54" t="str">
        <f>IF($C746="B",INDEX(Batters[[#All],[T]],MATCH(Table5[[#This Row],[PID]],Batters[[#All],[PID]],0)),INDEX(Table3[[#All],[T]],MATCH(Table5[[#This Row],[PID]],Table3[[#All],[PID]],0)))</f>
        <v>R</v>
      </c>
      <c r="J746" s="54" t="str">
        <f>IF($C746="B",INDEX(Batters[[#All],[WE]],MATCH(Table5[[#This Row],[PID]],Batters[[#All],[PID]],0)),INDEX(Table3[[#All],[WE]],MATCH(Table5[[#This Row],[PID]],Table3[[#All],[PID]],0)))</f>
        <v>Normal</v>
      </c>
      <c r="K746" s="54" t="str">
        <f>IF($C746="B",INDEX(Batters[[#All],[INT]],MATCH(Table5[[#This Row],[PID]],Batters[[#All],[PID]],0)),INDEX(Table3[[#All],[INT]],MATCH(Table5[[#This Row],[PID]],Table3[[#All],[PID]],0)))</f>
        <v>Normal</v>
      </c>
      <c r="L746" s="62">
        <f>IF($C746="B",INDEX(Batters[[#All],[CON P]],MATCH(Table5[[#This Row],[PID]],Batters[[#All],[PID]],0)),INDEX(Table3[[#All],[STU P]],MATCH(Table5[[#This Row],[PID]],Table3[[#All],[PID]],0)))</f>
        <v>3</v>
      </c>
      <c r="M746" s="58">
        <f>IF($C746="B",INDEX(Batters[[#All],[GAP P]],MATCH(Table5[[#This Row],[PID]],Batters[[#All],[PID]],0)),INDEX(Table3[[#All],[MOV P]],MATCH(Table5[[#This Row],[PID]],Table3[[#All],[PID]],0)))</f>
        <v>4</v>
      </c>
      <c r="N746" s="58">
        <f>IF($C746="B",INDEX(Batters[[#All],[POW P]],MATCH(Table5[[#This Row],[PID]],Batters[[#All],[PID]],0)),INDEX(Table3[[#All],[CON P]],MATCH(Table5[[#This Row],[PID]],Table3[[#All],[PID]],0)))</f>
        <v>3</v>
      </c>
      <c r="O746" s="58">
        <f>IF($C746="B",INDEX(Batters[[#All],[EYE P]],MATCH(Table5[[#This Row],[PID]],Batters[[#All],[PID]],0)),INDEX(Table3[[#All],[VELO]],MATCH(Table5[[#This Row],[PID]],Table3[[#All],[PID]],0)))</f>
        <v>4</v>
      </c>
      <c r="P746" s="58">
        <f>IF($C746="B",INDEX(Batters[[#All],[K P]],MATCH(Table5[[#This Row],[PID]],Batters[[#All],[PID]],0)),INDEX(Table3[[#All],[STM]],MATCH(Table5[[#This Row],[PID]],Table3[[#All],[PID]],0)))</f>
        <v>4</v>
      </c>
      <c r="Q746" s="63">
        <f>IF($C746="B",INDEX(Batters[[#All],[Tot]],MATCH(Table5[[#This Row],[PID]],Batters[[#All],[PID]],0)),INDEX(Table3[[#All],[Tot]],MATCH(Table5[[#This Row],[PID]],Table3[[#All],[PID]],0)))</f>
        <v>37.181189402524652</v>
      </c>
      <c r="R746" s="54">
        <f>IF($C746="B",INDEX(Batters[[#All],[zScore]],MATCH(Table5[[#This Row],[PID]],Batters[[#All],[PID]],0)),INDEX(Table3[[#All],[zScore]],MATCH(Table5[[#This Row],[PID]],Table3[[#All],[PID]],0)))</f>
        <v>-0.55722279806689257</v>
      </c>
      <c r="S746" s="60" t="str">
        <f>IF($C746="B",INDEX(Batters[[#All],[DEM]],MATCH(Table5[[#This Row],[PID]],Batters[[#All],[PID]],0)),INDEX(Table3[[#All],[DEM]],MATCH(Table5[[#This Row],[PID]],Table3[[#All],[PID]],0)))</f>
        <v>$21k</v>
      </c>
      <c r="T746" s="64">
        <f>IF($C746="B",VLOOKUP($A746,Bat!$A$4:$AU$1417,46,FALSE),VLOOKUP($A746,Pit!$A$4:$BD$570,55,FALSE))</f>
        <v>0</v>
      </c>
      <c r="U746" s="52">
        <f>IF($C746="B",VLOOKUP($A746,Bat!$A$4:$BA$1417,47,FALSE),VLOOKUP($A746,Pit!$A$4:$BF$570,56,FALSE))</f>
        <v>0</v>
      </c>
      <c r="V746" s="52">
        <f>IF($C746="B",VLOOKUP($A746,Bat!$A$4:$BA$1417,48,FALSE),VLOOKUP($A746,Pit!$A$4:$BF$570,57,FALSE))</f>
        <v>0</v>
      </c>
      <c r="W746" s="52">
        <f>Table5[[#This Row],[posRnk]]+Table5[[#This Row],[zRnk]]+IF($W$3&lt;&gt;Table5[[#This Row],[Type]],50,0)</f>
        <v>792</v>
      </c>
      <c r="X746" s="53">
        <f>RANK(Table5[[#This Row],[zScore]],Table5[[#All],[zScore]])</f>
        <v>742</v>
      </c>
      <c r="Y746" s="52" t="str">
        <f>IFERROR(INDEX(DraftResults[[#All],[OVR]],MATCH(Table5[[#This Row],[PID]],DraftResults[[#All],[Player ID]],0)),"")</f>
        <v/>
      </c>
      <c r="Z7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6" s="52" t="str">
        <f>IFERROR(INDEX(DraftResults[[#All],[Pick in Round]],MATCH(Table5[[#This Row],[PID]],DraftResults[[#All],[Player ID]],0)),"")</f>
        <v/>
      </c>
      <c r="AB746" s="52" t="str">
        <f>IFERROR(INDEX(DraftResults[[#All],[Team Name]],MATCH(Table5[[#This Row],[PID]],DraftResults[[#All],[Player ID]],0)),"")</f>
        <v/>
      </c>
      <c r="AC746" s="52" t="str">
        <f>IF(Table5[[#This Row],[Ovr]]="","",IF(Table5[[#This Row],[cmbList]]="","",Table5[[#This Row],[cmbList]]-Table5[[#This Row],[Ovr]]))</f>
        <v/>
      </c>
      <c r="AD746" s="56" t="str">
        <f>IF(ISERROR(VLOOKUP($AB746&amp;"-"&amp;$E746&amp;" "&amp;F746,Bonuses!$B$1:$G$1006,4,FALSE)),"",INT(VLOOKUP($AB746&amp;"-"&amp;$E746&amp;" "&amp;$F746,Bonuses!$B$1:$G$1006,4,FALSE)))</f>
        <v/>
      </c>
      <c r="AE7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7" spans="1:31" s="52" customFormat="1" x14ac:dyDescent="0.25">
      <c r="A747" s="52">
        <v>17879</v>
      </c>
      <c r="B747" s="52">
        <f>COUNTIF(Table5[PID],A747)</f>
        <v>1</v>
      </c>
      <c r="C747" s="52" t="str">
        <f>IF(COUNTIF(Table3[[#All],[PID]],A747)&gt;0,"P","B")</f>
        <v>B</v>
      </c>
      <c r="D747" s="61" t="str">
        <f>IF($C747="B",INDEX(Batters[[#All],[POS]],MATCH(Table5[[#This Row],[PID]],Batters[[#All],[PID]],0)),INDEX(Table3[[#All],[POS]],MATCH(Table5[[#This Row],[PID]],Table3[[#All],[PID]],0)))</f>
        <v>1B</v>
      </c>
      <c r="E747" s="54" t="str">
        <f>IF($C747="B",INDEX(Batters[[#All],[First]],MATCH(Table5[[#This Row],[PID]],Batters[[#All],[PID]],0)),INDEX(Table3[[#All],[First]],MATCH(Table5[[#This Row],[PID]],Table3[[#All],[PID]],0)))</f>
        <v>Armando</v>
      </c>
      <c r="F747" s="52" t="str">
        <f>IF($C747="B",INDEX(Batters[[#All],[Last]],MATCH(A747,Batters[[#All],[PID]],0)),INDEX(Table3[[#All],[Last]],MATCH(A747,Table3[[#All],[PID]],0)))</f>
        <v>Romero</v>
      </c>
      <c r="G747" s="58">
        <f>IF($C747="B",INDEX(Batters[[#All],[Age]],MATCH(Table5[[#This Row],[PID]],Batters[[#All],[PID]],0)),INDEX(Table3[[#All],[Age]],MATCH(Table5[[#This Row],[PID]],Table3[[#All],[PID]],0)))</f>
        <v>18</v>
      </c>
      <c r="H747" s="54" t="str">
        <f>IF($C747="B",INDEX(Batters[[#All],[B]],MATCH(Table5[[#This Row],[PID]],Batters[[#All],[PID]],0)),INDEX(Table3[[#All],[B]],MATCH(Table5[[#This Row],[PID]],Table3[[#All],[PID]],0)))</f>
        <v>R</v>
      </c>
      <c r="I747" s="54" t="str">
        <f>IF($C747="B",INDEX(Batters[[#All],[T]],MATCH(Table5[[#This Row],[PID]],Batters[[#All],[PID]],0)),INDEX(Table3[[#All],[T]],MATCH(Table5[[#This Row],[PID]],Table3[[#All],[PID]],0)))</f>
        <v>R</v>
      </c>
      <c r="J747" s="54" t="str">
        <f>IF($C747="B",INDEX(Batters[[#All],[WE]],MATCH(Table5[[#This Row],[PID]],Batters[[#All],[PID]],0)),INDEX(Table3[[#All],[WE]],MATCH(Table5[[#This Row],[PID]],Table3[[#All],[PID]],0)))</f>
        <v>Normal</v>
      </c>
      <c r="K747" s="54" t="str">
        <f>IF($C747="B",INDEX(Batters[[#All],[INT]],MATCH(Table5[[#This Row],[PID]],Batters[[#All],[PID]],0)),INDEX(Table3[[#All],[INT]],MATCH(Table5[[#This Row],[PID]],Table3[[#All],[PID]],0)))</f>
        <v>High</v>
      </c>
      <c r="L747" s="62">
        <f>IF($C747="B",INDEX(Batters[[#All],[CON P]],MATCH(Table5[[#This Row],[PID]],Batters[[#All],[PID]],0)),INDEX(Table3[[#All],[STU P]],MATCH(Table5[[#This Row],[PID]],Table3[[#All],[PID]],0)))</f>
        <v>3</v>
      </c>
      <c r="M747" s="58">
        <f>IF($C747="B",INDEX(Batters[[#All],[GAP P]],MATCH(Table5[[#This Row],[PID]],Batters[[#All],[PID]],0)),INDEX(Table3[[#All],[MOV P]],MATCH(Table5[[#This Row],[PID]],Table3[[#All],[PID]],0)))</f>
        <v>2</v>
      </c>
      <c r="N747" s="58">
        <f>IF($C747="B",INDEX(Batters[[#All],[POW P]],MATCH(Table5[[#This Row],[PID]],Batters[[#All],[PID]],0)),INDEX(Table3[[#All],[CON P]],MATCH(Table5[[#This Row],[PID]],Table3[[#All],[PID]],0)))</f>
        <v>2</v>
      </c>
      <c r="O747" s="58">
        <f>IF($C747="B",INDEX(Batters[[#All],[EYE P]],MATCH(Table5[[#This Row],[PID]],Batters[[#All],[PID]],0)),INDEX(Table3[[#All],[VELO]],MATCH(Table5[[#This Row],[PID]],Table3[[#All],[PID]],0)))</f>
        <v>2</v>
      </c>
      <c r="P747" s="58">
        <f>IF($C747="B",INDEX(Batters[[#All],[K P]],MATCH(Table5[[#This Row],[PID]],Batters[[#All],[PID]],0)),INDEX(Table3[[#All],[STM]],MATCH(Table5[[#This Row],[PID]],Table3[[#All],[PID]],0)))</f>
        <v>4</v>
      </c>
      <c r="Q747" s="63">
        <f>IF($C747="B",INDEX(Batters[[#All],[Tot]],MATCH(Table5[[#This Row],[PID]],Batters[[#All],[PID]],0)),INDEX(Table3[[#All],[Tot]],MATCH(Table5[[#This Row],[PID]],Table3[[#All],[PID]],0)))</f>
        <v>37.180651002594203</v>
      </c>
      <c r="R747" s="54">
        <f>IF($C747="B",INDEX(Batters[[#All],[zScore]],MATCH(Table5[[#This Row],[PID]],Batters[[#All],[PID]],0)),INDEX(Table3[[#All],[zScore]],MATCH(Table5[[#This Row],[PID]],Table3[[#All],[PID]],0)))</f>
        <v>-0.5573175259562857</v>
      </c>
      <c r="S747" s="60" t="str">
        <f>IF($C747="B",INDEX(Batters[[#All],[DEM]],MATCH(Table5[[#This Row],[PID]],Batters[[#All],[PID]],0)),INDEX(Table3[[#All],[DEM]],MATCH(Table5[[#This Row],[PID]],Table3[[#All],[PID]],0)))</f>
        <v>$80k</v>
      </c>
      <c r="T747" s="64">
        <f>IF($C747="B",VLOOKUP($A747,Bat!$A$4:$AU$1417,46,FALSE),VLOOKUP($A747,Pit!$A$4:$BD$570,55,FALSE))</f>
        <v>0</v>
      </c>
      <c r="U747" s="52">
        <f>IF($C747="B",VLOOKUP($A747,Bat!$A$4:$BA$1417,47,FALSE),VLOOKUP($A747,Pit!$A$4:$BF$570,56,FALSE))</f>
        <v>0</v>
      </c>
      <c r="V747" s="52">
        <f>IF($C747="B",VLOOKUP($A747,Bat!$A$4:$BA$1417,48,FALSE),VLOOKUP($A747,Pit!$A$4:$BF$570,57,FALSE))</f>
        <v>0</v>
      </c>
      <c r="W747" s="52">
        <f>Table5[[#This Row],[posRnk]]+Table5[[#This Row],[zRnk]]+IF($W$3&lt;&gt;Table5[[#This Row],[Type]],50,0)</f>
        <v>793</v>
      </c>
      <c r="X747" s="53">
        <f>RANK(Table5[[#This Row],[zScore]],Table5[[#All],[zScore]])</f>
        <v>743</v>
      </c>
      <c r="Y747" s="52" t="str">
        <f>IFERROR(INDEX(DraftResults[[#All],[OVR]],MATCH(Table5[[#This Row],[PID]],DraftResults[[#All],[Player ID]],0)),"")</f>
        <v/>
      </c>
      <c r="Z7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7" s="52" t="str">
        <f>IFERROR(INDEX(DraftResults[[#All],[Pick in Round]],MATCH(Table5[[#This Row],[PID]],DraftResults[[#All],[Player ID]],0)),"")</f>
        <v/>
      </c>
      <c r="AB747" s="52" t="str">
        <f>IFERROR(INDEX(DraftResults[[#All],[Team Name]],MATCH(Table5[[#This Row],[PID]],DraftResults[[#All],[Player ID]],0)),"")</f>
        <v/>
      </c>
      <c r="AC747" s="52" t="str">
        <f>IF(Table5[[#This Row],[Ovr]]="","",IF(Table5[[#This Row],[cmbList]]="","",Table5[[#This Row],[cmbList]]-Table5[[#This Row],[Ovr]]))</f>
        <v/>
      </c>
      <c r="AD747" s="56" t="str">
        <f>IF(ISERROR(VLOOKUP($AB747&amp;"-"&amp;$E747&amp;" "&amp;F747,Bonuses!$B$1:$G$1006,4,FALSE)),"",INT(VLOOKUP($AB747&amp;"-"&amp;$E747&amp;" "&amp;$F747,Bonuses!$B$1:$G$1006,4,FALSE)))</f>
        <v/>
      </c>
      <c r="AE7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8" spans="1:31" s="52" customFormat="1" x14ac:dyDescent="0.25">
      <c r="A748" s="52">
        <v>17640</v>
      </c>
      <c r="B748" s="52">
        <f>COUNTIF(Table5[PID],A748)</f>
        <v>1</v>
      </c>
      <c r="C748" s="52" t="str">
        <f>IF(COUNTIF(Table3[[#All],[PID]],A748)&gt;0,"P","B")</f>
        <v>P</v>
      </c>
      <c r="D748" s="61" t="str">
        <f>IF($C748="B",INDEX(Batters[[#All],[POS]],MATCH(Table5[[#This Row],[PID]],Batters[[#All],[PID]],0)),INDEX(Table3[[#All],[POS]],MATCH(Table5[[#This Row],[PID]],Table3[[#All],[PID]],0)))</f>
        <v>RP</v>
      </c>
      <c r="E748" s="54" t="str">
        <f>IF($C748="B",INDEX(Batters[[#All],[First]],MATCH(Table5[[#This Row],[PID]],Batters[[#All],[PID]],0)),INDEX(Table3[[#All],[First]],MATCH(Table5[[#This Row],[PID]],Table3[[#All],[PID]],0)))</f>
        <v>Miguel</v>
      </c>
      <c r="F748" s="52" t="str">
        <f>IF($C748="B",INDEX(Batters[[#All],[Last]],MATCH(A748,Batters[[#All],[PID]],0)),INDEX(Table3[[#All],[Last]],MATCH(A748,Table3[[#All],[PID]],0)))</f>
        <v>Morales</v>
      </c>
      <c r="G748" s="58">
        <f>IF($C748="B",INDEX(Batters[[#All],[Age]],MATCH(Table5[[#This Row],[PID]],Batters[[#All],[PID]],0)),INDEX(Table3[[#All],[Age]],MATCH(Table5[[#This Row],[PID]],Table3[[#All],[PID]],0)))</f>
        <v>18</v>
      </c>
      <c r="H748" s="54" t="str">
        <f>IF($C748="B",INDEX(Batters[[#All],[B]],MATCH(Table5[[#This Row],[PID]],Batters[[#All],[PID]],0)),INDEX(Table3[[#All],[B]],MATCH(Table5[[#This Row],[PID]],Table3[[#All],[PID]],0)))</f>
        <v>S</v>
      </c>
      <c r="I748" s="54" t="str">
        <f>IF($C748="B",INDEX(Batters[[#All],[T]],MATCH(Table5[[#This Row],[PID]],Batters[[#All],[PID]],0)),INDEX(Table3[[#All],[T]],MATCH(Table5[[#This Row],[PID]],Table3[[#All],[PID]],0)))</f>
        <v>L</v>
      </c>
      <c r="J748" s="54" t="str">
        <f>IF($C748="B",INDEX(Batters[[#All],[WE]],MATCH(Table5[[#This Row],[PID]],Batters[[#All],[PID]],0)),INDEX(Table3[[#All],[WE]],MATCH(Table5[[#This Row],[PID]],Table3[[#All],[PID]],0)))</f>
        <v>Low</v>
      </c>
      <c r="K748" s="54" t="str">
        <f>IF($C748="B",INDEX(Batters[[#All],[INT]],MATCH(Table5[[#This Row],[PID]],Batters[[#All],[PID]],0)),INDEX(Table3[[#All],[INT]],MATCH(Table5[[#This Row],[PID]],Table3[[#All],[PID]],0)))</f>
        <v>Normal</v>
      </c>
      <c r="L748" s="62">
        <f>IF($C748="B",INDEX(Batters[[#All],[CON P]],MATCH(Table5[[#This Row],[PID]],Batters[[#All],[PID]],0)),INDEX(Table3[[#All],[STU P]],MATCH(Table5[[#This Row],[PID]],Table3[[#All],[PID]],0)))</f>
        <v>4</v>
      </c>
      <c r="M748" s="58">
        <f>IF($C748="B",INDEX(Batters[[#All],[GAP P]],MATCH(Table5[[#This Row],[PID]],Batters[[#All],[PID]],0)),INDEX(Table3[[#All],[MOV P]],MATCH(Table5[[#This Row],[PID]],Table3[[#All],[PID]],0)))</f>
        <v>1</v>
      </c>
      <c r="N748" s="58">
        <f>IF($C748="B",INDEX(Batters[[#All],[POW P]],MATCH(Table5[[#This Row],[PID]],Batters[[#All],[PID]],0)),INDEX(Table3[[#All],[CON P]],MATCH(Table5[[#This Row],[PID]],Table3[[#All],[PID]],0)))</f>
        <v>2</v>
      </c>
      <c r="O748" s="58" t="str">
        <f>IF($C748="B",INDEX(Batters[[#All],[EYE P]],MATCH(Table5[[#This Row],[PID]],Batters[[#All],[PID]],0)),INDEX(Table3[[#All],[VELO]],MATCH(Table5[[#This Row],[PID]],Table3[[#All],[PID]],0)))</f>
        <v>85-87 Mph</v>
      </c>
      <c r="P748" s="58">
        <f>IF($C748="B",INDEX(Batters[[#All],[K P]],MATCH(Table5[[#This Row],[PID]],Batters[[#All],[PID]],0)),INDEX(Table3[[#All],[STM]],MATCH(Table5[[#This Row],[PID]],Table3[[#All],[PID]],0)))</f>
        <v>9</v>
      </c>
      <c r="Q748" s="63">
        <f>IF($C748="B",INDEX(Batters[[#All],[Tot]],MATCH(Table5[[#This Row],[PID]],Batters[[#All],[PID]],0)),INDEX(Table3[[#All],[Tot]],MATCH(Table5[[#This Row],[PID]],Table3[[#All],[PID]],0)))</f>
        <v>26.636913989457138</v>
      </c>
      <c r="R748" s="54">
        <f>IF($C748="B",INDEX(Batters[[#All],[zScore]],MATCH(Table5[[#This Row],[PID]],Batters[[#All],[PID]],0)),INDEX(Table3[[#All],[zScore]],MATCH(Table5[[#This Row],[PID]],Table3[[#All],[PID]],0)))</f>
        <v>-0.55805139976060003</v>
      </c>
      <c r="S748" s="60" t="str">
        <f>IF($C748="B",INDEX(Batters[[#All],[DEM]],MATCH(Table5[[#This Row],[PID]],Batters[[#All],[PID]],0)),INDEX(Table3[[#All],[DEM]],MATCH(Table5[[#This Row],[PID]],Table3[[#All],[PID]],0)))</f>
        <v>$75k</v>
      </c>
      <c r="T748" s="64">
        <f>IF($C748="B",VLOOKUP($A748,Bat!$A$4:$AU$1417,46,FALSE),VLOOKUP($A748,Pit!$A$4:$BD$570,55,FALSE))</f>
        <v>0</v>
      </c>
      <c r="U748" s="52">
        <f>IF($C748="B",VLOOKUP($A748,Bat!$A$4:$BA$1417,47,FALSE),VLOOKUP($A748,Pit!$A$4:$BF$570,56,FALSE))</f>
        <v>0</v>
      </c>
      <c r="V748" s="52">
        <f>IF($C748="B",VLOOKUP($A748,Bat!$A$4:$BA$1417,48,FALSE),VLOOKUP($A748,Pit!$A$4:$BF$570,57,FALSE))</f>
        <v>0</v>
      </c>
      <c r="W748" s="52">
        <f>Table5[[#This Row],[posRnk]]+Table5[[#This Row],[zRnk]]+IF($W$3&lt;&gt;Table5[[#This Row],[Type]],50,0)</f>
        <v>794</v>
      </c>
      <c r="X748" s="53">
        <f>RANK(Table5[[#This Row],[zScore]],Table5[[#All],[zScore]])</f>
        <v>744</v>
      </c>
      <c r="Y748" s="52" t="str">
        <f>IFERROR(INDEX(DraftResults[[#All],[OVR]],MATCH(Table5[[#This Row],[PID]],DraftResults[[#All],[Player ID]],0)),"")</f>
        <v/>
      </c>
      <c r="Z7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8" s="52" t="str">
        <f>IFERROR(INDEX(DraftResults[[#All],[Pick in Round]],MATCH(Table5[[#This Row],[PID]],DraftResults[[#All],[Player ID]],0)),"")</f>
        <v/>
      </c>
      <c r="AB748" s="52" t="str">
        <f>IFERROR(INDEX(DraftResults[[#All],[Team Name]],MATCH(Table5[[#This Row],[PID]],DraftResults[[#All],[Player ID]],0)),"")</f>
        <v/>
      </c>
      <c r="AC748" s="52" t="str">
        <f>IF(Table5[[#This Row],[Ovr]]="","",IF(Table5[[#This Row],[cmbList]]="","",Table5[[#This Row],[cmbList]]-Table5[[#This Row],[Ovr]]))</f>
        <v/>
      </c>
      <c r="AD748" s="56" t="str">
        <f>IF(ISERROR(VLOOKUP($AB748&amp;"-"&amp;$E748&amp;" "&amp;F748,Bonuses!$B$1:$G$1006,4,FALSE)),"",INT(VLOOKUP($AB748&amp;"-"&amp;$E748&amp;" "&amp;$F748,Bonuses!$B$1:$G$1006,4,FALSE)))</f>
        <v/>
      </c>
      <c r="AE7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9" spans="1:31" s="52" customFormat="1" x14ac:dyDescent="0.25">
      <c r="A749" s="52">
        <v>15134</v>
      </c>
      <c r="B749" s="52">
        <f>COUNTIF(Table5[PID],A749)</f>
        <v>1</v>
      </c>
      <c r="C749" s="52" t="str">
        <f>IF(COUNTIF(Table3[[#All],[PID]],A749)&gt;0,"P","B")</f>
        <v>B</v>
      </c>
      <c r="D749" s="61" t="str">
        <f>IF($C749="B",INDEX(Batters[[#All],[POS]],MATCH(Table5[[#This Row],[PID]],Batters[[#All],[PID]],0)),INDEX(Table3[[#All],[POS]],MATCH(Table5[[#This Row],[PID]],Table3[[#All],[PID]],0)))</f>
        <v>1B</v>
      </c>
      <c r="E749" s="54" t="str">
        <f>IF($C749="B",INDEX(Batters[[#All],[First]],MATCH(Table5[[#This Row],[PID]],Batters[[#All],[PID]],0)),INDEX(Table3[[#All],[First]],MATCH(Table5[[#This Row],[PID]],Table3[[#All],[PID]],0)))</f>
        <v>Shunen</v>
      </c>
      <c r="F749" s="52" t="str">
        <f>IF($C749="B",INDEX(Batters[[#All],[Last]],MATCH(A749,Batters[[#All],[PID]],0)),INDEX(Table3[[#All],[Last]],MATCH(A749,Table3[[#All],[PID]],0)))</f>
        <v>Tada</v>
      </c>
      <c r="G749" s="58">
        <f>IF($C749="B",INDEX(Batters[[#All],[Age]],MATCH(Table5[[#This Row],[PID]],Batters[[#All],[PID]],0)),INDEX(Table3[[#All],[Age]],MATCH(Table5[[#This Row],[PID]],Table3[[#All],[PID]],0)))</f>
        <v>21</v>
      </c>
      <c r="H749" s="54" t="str">
        <f>IF($C749="B",INDEX(Batters[[#All],[B]],MATCH(Table5[[#This Row],[PID]],Batters[[#All],[PID]],0)),INDEX(Table3[[#All],[B]],MATCH(Table5[[#This Row],[PID]],Table3[[#All],[PID]],0)))</f>
        <v>S</v>
      </c>
      <c r="I749" s="54" t="str">
        <f>IF($C749="B",INDEX(Batters[[#All],[T]],MATCH(Table5[[#This Row],[PID]],Batters[[#All],[PID]],0)),INDEX(Table3[[#All],[T]],MATCH(Table5[[#This Row],[PID]],Table3[[#All],[PID]],0)))</f>
        <v>R</v>
      </c>
      <c r="J749" s="54" t="str">
        <f>IF($C749="B",INDEX(Batters[[#All],[WE]],MATCH(Table5[[#This Row],[PID]],Batters[[#All],[PID]],0)),INDEX(Table3[[#All],[WE]],MATCH(Table5[[#This Row],[PID]],Table3[[#All],[PID]],0)))</f>
        <v>Normal</v>
      </c>
      <c r="K749" s="54" t="str">
        <f>IF($C749="B",INDEX(Batters[[#All],[INT]],MATCH(Table5[[#This Row],[PID]],Batters[[#All],[PID]],0)),INDEX(Table3[[#All],[INT]],MATCH(Table5[[#This Row],[PID]],Table3[[#All],[PID]],0)))</f>
        <v>Normal</v>
      </c>
      <c r="L749" s="62">
        <f>IF($C749="B",INDEX(Batters[[#All],[CON P]],MATCH(Table5[[#This Row],[PID]],Batters[[#All],[PID]],0)),INDEX(Table3[[#All],[STU P]],MATCH(Table5[[#This Row],[PID]],Table3[[#All],[PID]],0)))</f>
        <v>3</v>
      </c>
      <c r="M749" s="58">
        <f>IF($C749="B",INDEX(Batters[[#All],[GAP P]],MATCH(Table5[[#This Row],[PID]],Batters[[#All],[PID]],0)),INDEX(Table3[[#All],[MOV P]],MATCH(Table5[[#This Row],[PID]],Table3[[#All],[PID]],0)))</f>
        <v>4</v>
      </c>
      <c r="N749" s="58">
        <f>IF($C749="B",INDEX(Batters[[#All],[POW P]],MATCH(Table5[[#This Row],[PID]],Batters[[#All],[PID]],0)),INDEX(Table3[[#All],[CON P]],MATCH(Table5[[#This Row],[PID]],Table3[[#All],[PID]],0)))</f>
        <v>3</v>
      </c>
      <c r="O749" s="58">
        <f>IF($C749="B",INDEX(Batters[[#All],[EYE P]],MATCH(Table5[[#This Row],[PID]],Batters[[#All],[PID]],0)),INDEX(Table3[[#All],[VELO]],MATCH(Table5[[#This Row],[PID]],Table3[[#All],[PID]],0)))</f>
        <v>5</v>
      </c>
      <c r="P749" s="58">
        <f>IF($C749="B",INDEX(Batters[[#All],[K P]],MATCH(Table5[[#This Row],[PID]],Batters[[#All],[PID]],0)),INDEX(Table3[[#All],[STM]],MATCH(Table5[[#This Row],[PID]],Table3[[#All],[PID]],0)))</f>
        <v>4</v>
      </c>
      <c r="Q749" s="63">
        <f>IF($C749="B",INDEX(Batters[[#All],[Tot]],MATCH(Table5[[#This Row],[PID]],Batters[[#All],[PID]],0)),INDEX(Table3[[#All],[Tot]],MATCH(Table5[[#This Row],[PID]],Table3[[#All],[PID]],0)))</f>
        <v>37.170979473061266</v>
      </c>
      <c r="R749" s="54">
        <f>IF($C749="B",INDEX(Batters[[#All],[zScore]],MATCH(Table5[[#This Row],[PID]],Batters[[#All],[PID]],0)),INDEX(Table3[[#All],[zScore]],MATCH(Table5[[#This Row],[PID]],Table3[[#All],[PID]],0)))</f>
        <v>-0.55901916729768664</v>
      </c>
      <c r="S749" s="60" t="str">
        <f>IF($C749="B",INDEX(Batters[[#All],[DEM]],MATCH(Table5[[#This Row],[PID]],Batters[[#All],[PID]],0)),INDEX(Table3[[#All],[DEM]],MATCH(Table5[[#This Row],[PID]],Table3[[#All],[PID]],0)))</f>
        <v>-</v>
      </c>
      <c r="T749" s="64">
        <f>IF($C749="B",VLOOKUP($A749,Bat!$A$4:$AU$1417,46,FALSE),VLOOKUP($A749,Pit!$A$4:$BD$570,55,FALSE))</f>
        <v>0</v>
      </c>
      <c r="U749" s="52">
        <f>IF($C749="B",VLOOKUP($A749,Bat!$A$4:$BA$1417,47,FALSE),VLOOKUP($A749,Pit!$A$4:$BF$570,56,FALSE))</f>
        <v>0</v>
      </c>
      <c r="V749" s="52">
        <f>IF($C749="B",VLOOKUP($A749,Bat!$A$4:$BA$1417,48,FALSE),VLOOKUP($A749,Pit!$A$4:$BF$570,57,FALSE))</f>
        <v>0</v>
      </c>
      <c r="W749" s="52">
        <f>Table5[[#This Row],[posRnk]]+Table5[[#This Row],[zRnk]]+IF($W$3&lt;&gt;Table5[[#This Row],[Type]],50,0)</f>
        <v>795</v>
      </c>
      <c r="X749" s="53">
        <f>RANK(Table5[[#This Row],[zScore]],Table5[[#All],[zScore]])</f>
        <v>745</v>
      </c>
      <c r="Y749" s="52" t="str">
        <f>IFERROR(INDEX(DraftResults[[#All],[OVR]],MATCH(Table5[[#This Row],[PID]],DraftResults[[#All],[Player ID]],0)),"")</f>
        <v/>
      </c>
      <c r="Z7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9" s="52" t="str">
        <f>IFERROR(INDEX(DraftResults[[#All],[Pick in Round]],MATCH(Table5[[#This Row],[PID]],DraftResults[[#All],[Player ID]],0)),"")</f>
        <v/>
      </c>
      <c r="AB749" s="52" t="str">
        <f>IFERROR(INDEX(DraftResults[[#All],[Team Name]],MATCH(Table5[[#This Row],[PID]],DraftResults[[#All],[Player ID]],0)),"")</f>
        <v/>
      </c>
      <c r="AC749" s="52" t="str">
        <f>IF(Table5[[#This Row],[Ovr]]="","",IF(Table5[[#This Row],[cmbList]]="","",Table5[[#This Row],[cmbList]]-Table5[[#This Row],[Ovr]]))</f>
        <v/>
      </c>
      <c r="AD749" s="56" t="str">
        <f>IF(ISERROR(VLOOKUP($AB749&amp;"-"&amp;$E749&amp;" "&amp;F749,Bonuses!$B$1:$G$1006,4,FALSE)),"",INT(VLOOKUP($AB749&amp;"-"&amp;$E749&amp;" "&amp;$F749,Bonuses!$B$1:$G$1006,4,FALSE)))</f>
        <v/>
      </c>
      <c r="AE7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0" spans="1:31" s="52" customFormat="1" x14ac:dyDescent="0.25">
      <c r="A750" s="52">
        <v>8030</v>
      </c>
      <c r="B750" s="52">
        <f>COUNTIF(Table5[PID],A750)</f>
        <v>1</v>
      </c>
      <c r="C750" s="52" t="str">
        <f>IF(COUNTIF(Table3[[#All],[PID]],A750)&gt;0,"P","B")</f>
        <v>B</v>
      </c>
      <c r="D750" s="61" t="str">
        <f>IF($C750="B",INDEX(Batters[[#All],[POS]],MATCH(Table5[[#This Row],[PID]],Batters[[#All],[PID]],0)),INDEX(Table3[[#All],[POS]],MATCH(Table5[[#This Row],[PID]],Table3[[#All],[PID]],0)))</f>
        <v>LF</v>
      </c>
      <c r="E750" s="54" t="str">
        <f>IF($C750="B",INDEX(Batters[[#All],[First]],MATCH(Table5[[#This Row],[PID]],Batters[[#All],[PID]],0)),INDEX(Table3[[#All],[First]],MATCH(Table5[[#This Row],[PID]],Table3[[#All],[PID]],0)))</f>
        <v>Henry</v>
      </c>
      <c r="F750" s="52" t="str">
        <f>IF($C750="B",INDEX(Batters[[#All],[Last]],MATCH(A750,Batters[[#All],[PID]],0)),INDEX(Table3[[#All],[Last]],MATCH(A750,Table3[[#All],[PID]],0)))</f>
        <v>Loverock</v>
      </c>
      <c r="G750" s="58">
        <f>IF($C750="B",INDEX(Batters[[#All],[Age]],MATCH(Table5[[#This Row],[PID]],Batters[[#All],[PID]],0)),INDEX(Table3[[#All],[Age]],MATCH(Table5[[#This Row],[PID]],Table3[[#All],[PID]],0)))</f>
        <v>21</v>
      </c>
      <c r="H750" s="54" t="str">
        <f>IF($C750="B",INDEX(Batters[[#All],[B]],MATCH(Table5[[#This Row],[PID]],Batters[[#All],[PID]],0)),INDEX(Table3[[#All],[B]],MATCH(Table5[[#This Row],[PID]],Table3[[#All],[PID]],0)))</f>
        <v>R</v>
      </c>
      <c r="I750" s="54" t="str">
        <f>IF($C750="B",INDEX(Batters[[#All],[T]],MATCH(Table5[[#This Row],[PID]],Batters[[#All],[PID]],0)),INDEX(Table3[[#All],[T]],MATCH(Table5[[#This Row],[PID]],Table3[[#All],[PID]],0)))</f>
        <v>R</v>
      </c>
      <c r="J750" s="54" t="str">
        <f>IF($C750="B",INDEX(Batters[[#All],[WE]],MATCH(Table5[[#This Row],[PID]],Batters[[#All],[PID]],0)),INDEX(Table3[[#All],[WE]],MATCH(Table5[[#This Row],[PID]],Table3[[#All],[PID]],0)))</f>
        <v>Normal</v>
      </c>
      <c r="K750" s="54" t="str">
        <f>IF($C750="B",INDEX(Batters[[#All],[INT]],MATCH(Table5[[#This Row],[PID]],Batters[[#All],[PID]],0)),INDEX(Table3[[#All],[INT]],MATCH(Table5[[#This Row],[PID]],Table3[[#All],[PID]],0)))</f>
        <v>Normal</v>
      </c>
      <c r="L750" s="62">
        <f>IF($C750="B",INDEX(Batters[[#All],[CON P]],MATCH(Table5[[#This Row],[PID]],Batters[[#All],[PID]],0)),INDEX(Table3[[#All],[STU P]],MATCH(Table5[[#This Row],[PID]],Table3[[#All],[PID]],0)))</f>
        <v>3</v>
      </c>
      <c r="M750" s="58">
        <f>IF($C750="B",INDEX(Batters[[#All],[GAP P]],MATCH(Table5[[#This Row],[PID]],Batters[[#All],[PID]],0)),INDEX(Table3[[#All],[MOV P]],MATCH(Table5[[#This Row],[PID]],Table3[[#All],[PID]],0)))</f>
        <v>4</v>
      </c>
      <c r="N750" s="58">
        <f>IF($C750="B",INDEX(Batters[[#All],[POW P]],MATCH(Table5[[#This Row],[PID]],Batters[[#All],[PID]],0)),INDEX(Table3[[#All],[CON P]],MATCH(Table5[[#This Row],[PID]],Table3[[#All],[PID]],0)))</f>
        <v>4</v>
      </c>
      <c r="O750" s="58">
        <f>IF($C750="B",INDEX(Batters[[#All],[EYE P]],MATCH(Table5[[#This Row],[PID]],Batters[[#All],[PID]],0)),INDEX(Table3[[#All],[VELO]],MATCH(Table5[[#This Row],[PID]],Table3[[#All],[PID]],0)))</f>
        <v>5</v>
      </c>
      <c r="P750" s="58">
        <f>IF($C750="B",INDEX(Batters[[#All],[K P]],MATCH(Table5[[#This Row],[PID]],Batters[[#All],[PID]],0)),INDEX(Table3[[#All],[STM]],MATCH(Table5[[#This Row],[PID]],Table3[[#All],[PID]],0)))</f>
        <v>2</v>
      </c>
      <c r="Q750" s="63">
        <f>IF($C750="B",INDEX(Batters[[#All],[Tot]],MATCH(Table5[[#This Row],[PID]],Batters[[#All],[PID]],0)),INDEX(Table3[[#All],[Tot]],MATCH(Table5[[#This Row],[PID]],Table3[[#All],[PID]],0)))</f>
        <v>37.157792557714458</v>
      </c>
      <c r="R750" s="54">
        <f>IF($C750="B",INDEX(Batters[[#All],[zScore]],MATCH(Table5[[#This Row],[PID]],Batters[[#All],[PID]],0)),INDEX(Table3[[#All],[zScore]],MATCH(Table5[[#This Row],[PID]],Table3[[#All],[PID]],0)))</f>
        <v>-0.56133931740871734</v>
      </c>
      <c r="S750" s="60" t="str">
        <f>IF($C750="B",INDEX(Batters[[#All],[DEM]],MATCH(Table5[[#This Row],[PID]],Batters[[#All],[PID]],0)),INDEX(Table3[[#All],[DEM]],MATCH(Table5[[#This Row],[PID]],Table3[[#All],[PID]],0)))</f>
        <v>-</v>
      </c>
      <c r="T750" s="64">
        <f>IF($C750="B",VLOOKUP($A750,Bat!$A$4:$AU$1417,46,FALSE),VLOOKUP($A750,Pit!$A$4:$BD$570,55,FALSE))</f>
        <v>0</v>
      </c>
      <c r="U750" s="52">
        <f>IF($C750="B",VLOOKUP($A750,Bat!$A$4:$BA$1417,47,FALSE),VLOOKUP($A750,Pit!$A$4:$BF$570,56,FALSE))</f>
        <v>0</v>
      </c>
      <c r="V750" s="52">
        <f>IF($C750="B",VLOOKUP($A750,Bat!$A$4:$BA$1417,48,FALSE),VLOOKUP($A750,Pit!$A$4:$BF$570,57,FALSE))</f>
        <v>0</v>
      </c>
      <c r="W750" s="52">
        <f>Table5[[#This Row],[posRnk]]+Table5[[#This Row],[zRnk]]+IF($W$3&lt;&gt;Table5[[#This Row],[Type]],50,0)</f>
        <v>796</v>
      </c>
      <c r="X750" s="53">
        <f>RANK(Table5[[#This Row],[zScore]],Table5[[#All],[zScore]])</f>
        <v>746</v>
      </c>
      <c r="Y750" s="52" t="str">
        <f>IFERROR(INDEX(DraftResults[[#All],[OVR]],MATCH(Table5[[#This Row],[PID]],DraftResults[[#All],[Player ID]],0)),"")</f>
        <v/>
      </c>
      <c r="Z7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0" s="52" t="str">
        <f>IFERROR(INDEX(DraftResults[[#All],[Pick in Round]],MATCH(Table5[[#This Row],[PID]],DraftResults[[#All],[Player ID]],0)),"")</f>
        <v/>
      </c>
      <c r="AB750" s="52" t="str">
        <f>IFERROR(INDEX(DraftResults[[#All],[Team Name]],MATCH(Table5[[#This Row],[PID]],DraftResults[[#All],[Player ID]],0)),"")</f>
        <v/>
      </c>
      <c r="AC750" s="52" t="str">
        <f>IF(Table5[[#This Row],[Ovr]]="","",IF(Table5[[#This Row],[cmbList]]="","",Table5[[#This Row],[cmbList]]-Table5[[#This Row],[Ovr]]))</f>
        <v/>
      </c>
      <c r="AD750" s="56" t="str">
        <f>IF(ISERROR(VLOOKUP($AB750&amp;"-"&amp;$E750&amp;" "&amp;F750,Bonuses!$B$1:$G$1006,4,FALSE)),"",INT(VLOOKUP($AB750&amp;"-"&amp;$E750&amp;" "&amp;$F750,Bonuses!$B$1:$G$1006,4,FALSE)))</f>
        <v/>
      </c>
      <c r="AE7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1" spans="1:31" s="52" customFormat="1" x14ac:dyDescent="0.25">
      <c r="A751" s="52">
        <v>7865</v>
      </c>
      <c r="B751" s="52">
        <f>COUNTIF(Table5[PID],A751)</f>
        <v>1</v>
      </c>
      <c r="C751" s="52" t="str">
        <f>IF(COUNTIF(Table3[[#All],[PID]],A751)&gt;0,"P","B")</f>
        <v>P</v>
      </c>
      <c r="D751" s="61" t="str">
        <f>IF($C751="B",INDEX(Batters[[#All],[POS]],MATCH(Table5[[#This Row],[PID]],Batters[[#All],[PID]],0)),INDEX(Table3[[#All],[POS]],MATCH(Table5[[#This Row],[PID]],Table3[[#All],[PID]],0)))</f>
        <v>RP</v>
      </c>
      <c r="E751" s="54" t="str">
        <f>IF($C751="B",INDEX(Batters[[#All],[First]],MATCH(Table5[[#This Row],[PID]],Batters[[#All],[PID]],0)),INDEX(Table3[[#All],[First]],MATCH(Table5[[#This Row],[PID]],Table3[[#All],[PID]],0)))</f>
        <v>Rusty</v>
      </c>
      <c r="F751" s="52" t="str">
        <f>IF($C751="B",INDEX(Batters[[#All],[Last]],MATCH(A751,Batters[[#All],[PID]],0)),INDEX(Table3[[#All],[Last]],MATCH(A751,Table3[[#All],[PID]],0)))</f>
        <v>Pérez</v>
      </c>
      <c r="G751" s="58">
        <f>IF($C751="B",INDEX(Batters[[#All],[Age]],MATCH(Table5[[#This Row],[PID]],Batters[[#All],[PID]],0)),INDEX(Table3[[#All],[Age]],MATCH(Table5[[#This Row],[PID]],Table3[[#All],[PID]],0)))</f>
        <v>18</v>
      </c>
      <c r="H751" s="54" t="str">
        <f>IF($C751="B",INDEX(Batters[[#All],[B]],MATCH(Table5[[#This Row],[PID]],Batters[[#All],[PID]],0)),INDEX(Table3[[#All],[B]],MATCH(Table5[[#This Row],[PID]],Table3[[#All],[PID]],0)))</f>
        <v>R</v>
      </c>
      <c r="I751" s="54" t="str">
        <f>IF($C751="B",INDEX(Batters[[#All],[T]],MATCH(Table5[[#This Row],[PID]],Batters[[#All],[PID]],0)),INDEX(Table3[[#All],[T]],MATCH(Table5[[#This Row],[PID]],Table3[[#All],[PID]],0)))</f>
        <v>R</v>
      </c>
      <c r="J751" s="54" t="str">
        <f>IF($C751="B",INDEX(Batters[[#All],[WE]],MATCH(Table5[[#This Row],[PID]],Batters[[#All],[PID]],0)),INDEX(Table3[[#All],[WE]],MATCH(Table5[[#This Row],[PID]],Table3[[#All],[PID]],0)))</f>
        <v>High</v>
      </c>
      <c r="K751" s="54" t="str">
        <f>IF($C751="B",INDEX(Batters[[#All],[INT]],MATCH(Table5[[#This Row],[PID]],Batters[[#All],[PID]],0)),INDEX(Table3[[#All],[INT]],MATCH(Table5[[#This Row],[PID]],Table3[[#All],[PID]],0)))</f>
        <v>Normal</v>
      </c>
      <c r="L751" s="62">
        <f>IF($C751="B",INDEX(Batters[[#All],[CON P]],MATCH(Table5[[#This Row],[PID]],Batters[[#All],[PID]],0)),INDEX(Table3[[#All],[STU P]],MATCH(Table5[[#This Row],[PID]],Table3[[#All],[PID]],0)))</f>
        <v>2</v>
      </c>
      <c r="M751" s="58">
        <f>IF($C751="B",INDEX(Batters[[#All],[GAP P]],MATCH(Table5[[#This Row],[PID]],Batters[[#All],[PID]],0)),INDEX(Table3[[#All],[MOV P]],MATCH(Table5[[#This Row],[PID]],Table3[[#All],[PID]],0)))</f>
        <v>2</v>
      </c>
      <c r="N751" s="58">
        <f>IF($C751="B",INDEX(Batters[[#All],[POW P]],MATCH(Table5[[#This Row],[PID]],Batters[[#All],[PID]],0)),INDEX(Table3[[#All],[CON P]],MATCH(Table5[[#This Row],[PID]],Table3[[#All],[PID]],0)))</f>
        <v>2</v>
      </c>
      <c r="O751" s="58" t="str">
        <f>IF($C751="B",INDEX(Batters[[#All],[EYE P]],MATCH(Table5[[#This Row],[PID]],Batters[[#All],[PID]],0)),INDEX(Table3[[#All],[VELO]],MATCH(Table5[[#This Row],[PID]],Table3[[#All],[PID]],0)))</f>
        <v>84-86 Mph</v>
      </c>
      <c r="P751" s="58">
        <f>IF($C751="B",INDEX(Batters[[#All],[K P]],MATCH(Table5[[#This Row],[PID]],Batters[[#All],[PID]],0)),INDEX(Table3[[#All],[STM]],MATCH(Table5[[#This Row],[PID]],Table3[[#All],[PID]],0)))</f>
        <v>10</v>
      </c>
      <c r="Q751" s="63">
        <f>IF($C751="B",INDEX(Batters[[#All],[Tot]],MATCH(Table5[[#This Row],[PID]],Batters[[#All],[PID]],0)),INDEX(Table3[[#All],[Tot]],MATCH(Table5[[#This Row],[PID]],Table3[[#All],[PID]],0)))</f>
        <v>23.975084701853877</v>
      </c>
      <c r="R751" s="54">
        <f>IF($C751="B",INDEX(Batters[[#All],[zScore]],MATCH(Table5[[#This Row],[PID]],Batters[[#All],[PID]],0)),INDEX(Table3[[#All],[zScore]],MATCH(Table5[[#This Row],[PID]],Table3[[#All],[PID]],0)))</f>
        <v>-0.56267953177103069</v>
      </c>
      <c r="S751" s="60" t="str">
        <f>IF($C751="B",INDEX(Batters[[#All],[DEM]],MATCH(Table5[[#This Row],[PID]],Batters[[#All],[PID]],0)),INDEX(Table3[[#All],[DEM]],MATCH(Table5[[#This Row],[PID]],Table3[[#All],[PID]],0)))</f>
        <v>$65k</v>
      </c>
      <c r="T751" s="64">
        <f>IF($C751="B",VLOOKUP($A751,Bat!$A$4:$AU$1417,46,FALSE),VLOOKUP($A751,Pit!$A$4:$BD$570,55,FALSE))</f>
        <v>0</v>
      </c>
      <c r="U751" s="52">
        <f>IF($C751="B",VLOOKUP($A751,Bat!$A$4:$BA$1417,47,FALSE),VLOOKUP($A751,Pit!$A$4:$BF$570,56,FALSE))</f>
        <v>0</v>
      </c>
      <c r="V751" s="52">
        <f>IF($C751="B",VLOOKUP($A751,Bat!$A$4:$BA$1417,48,FALSE),VLOOKUP($A751,Pit!$A$4:$BF$570,57,FALSE))</f>
        <v>0</v>
      </c>
      <c r="W751" s="52">
        <f>Table5[[#This Row],[posRnk]]+Table5[[#This Row],[zRnk]]+IF($W$3&lt;&gt;Table5[[#This Row],[Type]],50,0)</f>
        <v>797</v>
      </c>
      <c r="X751" s="53">
        <f>RANK(Table5[[#This Row],[zScore]],Table5[[#All],[zScore]])</f>
        <v>747</v>
      </c>
      <c r="Y751" s="52" t="str">
        <f>IFERROR(INDEX(DraftResults[[#All],[OVR]],MATCH(Table5[[#This Row],[PID]],DraftResults[[#All],[Player ID]],0)),"")</f>
        <v/>
      </c>
      <c r="Z7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1" s="52" t="str">
        <f>IFERROR(INDEX(DraftResults[[#All],[Pick in Round]],MATCH(Table5[[#This Row],[PID]],DraftResults[[#All],[Player ID]],0)),"")</f>
        <v/>
      </c>
      <c r="AB751" s="52" t="str">
        <f>IFERROR(INDEX(DraftResults[[#All],[Team Name]],MATCH(Table5[[#This Row],[PID]],DraftResults[[#All],[Player ID]],0)),"")</f>
        <v/>
      </c>
      <c r="AC751" s="52" t="str">
        <f>IF(Table5[[#This Row],[Ovr]]="","",IF(Table5[[#This Row],[cmbList]]="","",Table5[[#This Row],[cmbList]]-Table5[[#This Row],[Ovr]]))</f>
        <v/>
      </c>
      <c r="AD751" s="56" t="str">
        <f>IF(ISERROR(VLOOKUP($AB751&amp;"-"&amp;$E751&amp;" "&amp;F751,Bonuses!$B$1:$G$1006,4,FALSE)),"",INT(VLOOKUP($AB751&amp;"-"&amp;$E751&amp;" "&amp;$F751,Bonuses!$B$1:$G$1006,4,FALSE)))</f>
        <v/>
      </c>
      <c r="AE7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2" spans="1:31" s="52" customFormat="1" x14ac:dyDescent="0.25">
      <c r="A752" s="52">
        <v>10426</v>
      </c>
      <c r="B752" s="52">
        <f>COUNTIF(Table5[PID],A752)</f>
        <v>1</v>
      </c>
      <c r="C752" s="52" t="str">
        <f>IF(COUNTIF(Table3[[#All],[PID]],A752)&gt;0,"P","B")</f>
        <v>B</v>
      </c>
      <c r="D752" s="61" t="str">
        <f>IF($C752="B",INDEX(Batters[[#All],[POS]],MATCH(Table5[[#This Row],[PID]],Batters[[#All],[PID]],0)),INDEX(Table3[[#All],[POS]],MATCH(Table5[[#This Row],[PID]],Table3[[#All],[PID]],0)))</f>
        <v>2B</v>
      </c>
      <c r="E752" s="54" t="str">
        <f>IF($C752="B",INDEX(Batters[[#All],[First]],MATCH(Table5[[#This Row],[PID]],Batters[[#All],[PID]],0)),INDEX(Table3[[#All],[First]],MATCH(Table5[[#This Row],[PID]],Table3[[#All],[PID]],0)))</f>
        <v>Ismael</v>
      </c>
      <c r="F752" s="52" t="str">
        <f>IF($C752="B",INDEX(Batters[[#All],[Last]],MATCH(A752,Batters[[#All],[PID]],0)),INDEX(Table3[[#All],[Last]],MATCH(A752,Table3[[#All],[PID]],0)))</f>
        <v>Alvarado</v>
      </c>
      <c r="G752" s="58">
        <f>IF($C752="B",INDEX(Batters[[#All],[Age]],MATCH(Table5[[#This Row],[PID]],Batters[[#All],[PID]],0)),INDEX(Table3[[#All],[Age]],MATCH(Table5[[#This Row],[PID]],Table3[[#All],[PID]],0)))</f>
        <v>21</v>
      </c>
      <c r="H752" s="54" t="str">
        <f>IF($C752="B",INDEX(Batters[[#All],[B]],MATCH(Table5[[#This Row],[PID]],Batters[[#All],[PID]],0)),INDEX(Table3[[#All],[B]],MATCH(Table5[[#This Row],[PID]],Table3[[#All],[PID]],0)))</f>
        <v>R</v>
      </c>
      <c r="I752" s="54" t="str">
        <f>IF($C752="B",INDEX(Batters[[#All],[T]],MATCH(Table5[[#This Row],[PID]],Batters[[#All],[PID]],0)),INDEX(Table3[[#All],[T]],MATCH(Table5[[#This Row],[PID]],Table3[[#All],[PID]],0)))</f>
        <v>R</v>
      </c>
      <c r="J752" s="54" t="str">
        <f>IF($C752="B",INDEX(Batters[[#All],[WE]],MATCH(Table5[[#This Row],[PID]],Batters[[#All],[PID]],0)),INDEX(Table3[[#All],[WE]],MATCH(Table5[[#This Row],[PID]],Table3[[#All],[PID]],0)))</f>
        <v>Low</v>
      </c>
      <c r="K752" s="54" t="str">
        <f>IF($C752="B",INDEX(Batters[[#All],[INT]],MATCH(Table5[[#This Row],[PID]],Batters[[#All],[PID]],0)),INDEX(Table3[[#All],[INT]],MATCH(Table5[[#This Row],[PID]],Table3[[#All],[PID]],0)))</f>
        <v>Normal</v>
      </c>
      <c r="L752" s="62">
        <f>IF($C752="B",INDEX(Batters[[#All],[CON P]],MATCH(Table5[[#This Row],[PID]],Batters[[#All],[PID]],0)),INDEX(Table3[[#All],[STU P]],MATCH(Table5[[#This Row],[PID]],Table3[[#All],[PID]],0)))</f>
        <v>3</v>
      </c>
      <c r="M752" s="58">
        <f>IF($C752="B",INDEX(Batters[[#All],[GAP P]],MATCH(Table5[[#This Row],[PID]],Batters[[#All],[PID]],0)),INDEX(Table3[[#All],[MOV P]],MATCH(Table5[[#This Row],[PID]],Table3[[#All],[PID]],0)))</f>
        <v>4</v>
      </c>
      <c r="N752" s="58">
        <f>IF($C752="B",INDEX(Batters[[#All],[POW P]],MATCH(Table5[[#This Row],[PID]],Batters[[#All],[PID]],0)),INDEX(Table3[[#All],[CON P]],MATCH(Table5[[#This Row],[PID]],Table3[[#All],[PID]],0)))</f>
        <v>3</v>
      </c>
      <c r="O752" s="58">
        <f>IF($C752="B",INDEX(Batters[[#All],[EYE P]],MATCH(Table5[[#This Row],[PID]],Batters[[#All],[PID]],0)),INDEX(Table3[[#All],[VELO]],MATCH(Table5[[#This Row],[PID]],Table3[[#All],[PID]],0)))</f>
        <v>5</v>
      </c>
      <c r="P752" s="58">
        <f>IF($C752="B",INDEX(Batters[[#All],[K P]],MATCH(Table5[[#This Row],[PID]],Batters[[#All],[PID]],0)),INDEX(Table3[[#All],[STM]],MATCH(Table5[[#This Row],[PID]],Table3[[#All],[PID]],0)))</f>
        <v>3</v>
      </c>
      <c r="Q752" s="63">
        <f>IF($C752="B",INDEX(Batters[[#All],[Tot]],MATCH(Table5[[#This Row],[PID]],Batters[[#All],[PID]],0)),INDEX(Table3[[#All],[Tot]],MATCH(Table5[[#This Row],[PID]],Table3[[#All],[PID]],0)))</f>
        <v>37.149143912520536</v>
      </c>
      <c r="R752" s="54">
        <f>IF($C752="B",INDEX(Batters[[#All],[zScore]],MATCH(Table5[[#This Row],[PID]],Batters[[#All],[PID]],0)),INDEX(Table3[[#All],[zScore]],MATCH(Table5[[#This Row],[PID]],Table3[[#All],[PID]],0)))</f>
        <v>-0.56286098904906823</v>
      </c>
      <c r="S752" s="60" t="str">
        <f>IF($C752="B",INDEX(Batters[[#All],[DEM]],MATCH(Table5[[#This Row],[PID]],Batters[[#All],[PID]],0)),INDEX(Table3[[#All],[DEM]],MATCH(Table5[[#This Row],[PID]],Table3[[#All],[PID]],0)))</f>
        <v>$110k</v>
      </c>
      <c r="T752" s="64">
        <f>IF($C752="B",VLOOKUP($A752,Bat!$A$4:$AU$1417,46,FALSE),VLOOKUP($A752,Pit!$A$4:$BD$570,55,FALSE))</f>
        <v>0</v>
      </c>
      <c r="U752" s="52">
        <f>IF($C752="B",VLOOKUP($A752,Bat!$A$4:$BA$1417,47,FALSE),VLOOKUP($A752,Pit!$A$4:$BF$570,56,FALSE))</f>
        <v>0</v>
      </c>
      <c r="V752" s="52">
        <f>IF($C752="B",VLOOKUP($A752,Bat!$A$4:$BA$1417,48,FALSE),VLOOKUP($A752,Pit!$A$4:$BF$570,57,FALSE))</f>
        <v>0</v>
      </c>
      <c r="W752" s="52">
        <f>Table5[[#This Row],[posRnk]]+Table5[[#This Row],[zRnk]]+IF($W$3&lt;&gt;Table5[[#This Row],[Type]],50,0)</f>
        <v>798</v>
      </c>
      <c r="X752" s="53">
        <f>RANK(Table5[[#This Row],[zScore]],Table5[[#All],[zScore]])</f>
        <v>748</v>
      </c>
      <c r="Y752" s="52" t="str">
        <f>IFERROR(INDEX(DraftResults[[#All],[OVR]],MATCH(Table5[[#This Row],[PID]],DraftResults[[#All],[Player ID]],0)),"")</f>
        <v/>
      </c>
      <c r="Z7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2" s="52" t="str">
        <f>IFERROR(INDEX(DraftResults[[#All],[Pick in Round]],MATCH(Table5[[#This Row],[PID]],DraftResults[[#All],[Player ID]],0)),"")</f>
        <v/>
      </c>
      <c r="AB752" s="52" t="str">
        <f>IFERROR(INDEX(DraftResults[[#All],[Team Name]],MATCH(Table5[[#This Row],[PID]],DraftResults[[#All],[Player ID]],0)),"")</f>
        <v/>
      </c>
      <c r="AC752" s="52" t="str">
        <f>IF(Table5[[#This Row],[Ovr]]="","",IF(Table5[[#This Row],[cmbList]]="","",Table5[[#This Row],[cmbList]]-Table5[[#This Row],[Ovr]]))</f>
        <v/>
      </c>
      <c r="AD752" s="56" t="str">
        <f>IF(ISERROR(VLOOKUP($AB752&amp;"-"&amp;$E752&amp;" "&amp;F752,Bonuses!$B$1:$G$1006,4,FALSE)),"",INT(VLOOKUP($AB752&amp;"-"&amp;$E752&amp;" "&amp;$F752,Bonuses!$B$1:$G$1006,4,FALSE)))</f>
        <v/>
      </c>
      <c r="AE7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3" spans="1:31" s="52" customFormat="1" x14ac:dyDescent="0.25">
      <c r="A753" s="52">
        <v>12634</v>
      </c>
      <c r="B753" s="52">
        <f>COUNTIF(Table5[PID],A753)</f>
        <v>1</v>
      </c>
      <c r="C753" s="52" t="str">
        <f>IF(COUNTIF(Table3[[#All],[PID]],A753)&gt;0,"P","B")</f>
        <v>B</v>
      </c>
      <c r="D753" s="61" t="str">
        <f>IF($C753="B",INDEX(Batters[[#All],[POS]],MATCH(Table5[[#This Row],[PID]],Batters[[#All],[PID]],0)),INDEX(Table3[[#All],[POS]],MATCH(Table5[[#This Row],[PID]],Table3[[#All],[PID]],0)))</f>
        <v>1B</v>
      </c>
      <c r="E753" s="54" t="str">
        <f>IF($C753="B",INDEX(Batters[[#All],[First]],MATCH(Table5[[#This Row],[PID]],Batters[[#All],[PID]],0)),INDEX(Table3[[#All],[First]],MATCH(Table5[[#This Row],[PID]],Table3[[#All],[PID]],0)))</f>
        <v>Joshua</v>
      </c>
      <c r="F753" s="52" t="str">
        <f>IF($C753="B",INDEX(Batters[[#All],[Last]],MATCH(A753,Batters[[#All],[PID]],0)),INDEX(Table3[[#All],[Last]],MATCH(A753,Table3[[#All],[PID]],0)))</f>
        <v>Stewart</v>
      </c>
      <c r="G753" s="58">
        <f>IF($C753="B",INDEX(Batters[[#All],[Age]],MATCH(Table5[[#This Row],[PID]],Batters[[#All],[PID]],0)),INDEX(Table3[[#All],[Age]],MATCH(Table5[[#This Row],[PID]],Table3[[#All],[PID]],0)))</f>
        <v>21</v>
      </c>
      <c r="H753" s="54" t="str">
        <f>IF($C753="B",INDEX(Batters[[#All],[B]],MATCH(Table5[[#This Row],[PID]],Batters[[#All],[PID]],0)),INDEX(Table3[[#All],[B]],MATCH(Table5[[#This Row],[PID]],Table3[[#All],[PID]],0)))</f>
        <v>R</v>
      </c>
      <c r="I753" s="54" t="str">
        <f>IF($C753="B",INDEX(Batters[[#All],[T]],MATCH(Table5[[#This Row],[PID]],Batters[[#All],[PID]],0)),INDEX(Table3[[#All],[T]],MATCH(Table5[[#This Row],[PID]],Table3[[#All],[PID]],0)))</f>
        <v>R</v>
      </c>
      <c r="J753" s="54" t="str">
        <f>IF($C753="B",INDEX(Batters[[#All],[WE]],MATCH(Table5[[#This Row],[PID]],Batters[[#All],[PID]],0)),INDEX(Table3[[#All],[WE]],MATCH(Table5[[#This Row],[PID]],Table3[[#All],[PID]],0)))</f>
        <v>Normal</v>
      </c>
      <c r="K753" s="54" t="str">
        <f>IF($C753="B",INDEX(Batters[[#All],[INT]],MATCH(Table5[[#This Row],[PID]],Batters[[#All],[PID]],0)),INDEX(Table3[[#All],[INT]],MATCH(Table5[[#This Row],[PID]],Table3[[#All],[PID]],0)))</f>
        <v>Normal</v>
      </c>
      <c r="L753" s="62">
        <f>IF($C753="B",INDEX(Batters[[#All],[CON P]],MATCH(Table5[[#This Row],[PID]],Batters[[#All],[PID]],0)),INDEX(Table3[[#All],[STU P]],MATCH(Table5[[#This Row],[PID]],Table3[[#All],[PID]],0)))</f>
        <v>3</v>
      </c>
      <c r="M753" s="58">
        <f>IF($C753="B",INDEX(Batters[[#All],[GAP P]],MATCH(Table5[[#This Row],[PID]],Batters[[#All],[PID]],0)),INDEX(Table3[[#All],[MOV P]],MATCH(Table5[[#This Row],[PID]],Table3[[#All],[PID]],0)))</f>
        <v>5</v>
      </c>
      <c r="N753" s="58">
        <f>IF($C753="B",INDEX(Batters[[#All],[POW P]],MATCH(Table5[[#This Row],[PID]],Batters[[#All],[PID]],0)),INDEX(Table3[[#All],[CON P]],MATCH(Table5[[#This Row],[PID]],Table3[[#All],[PID]],0)))</f>
        <v>5</v>
      </c>
      <c r="O753" s="58">
        <f>IF($C753="B",INDEX(Batters[[#All],[EYE P]],MATCH(Table5[[#This Row],[PID]],Batters[[#All],[PID]],0)),INDEX(Table3[[#All],[VELO]],MATCH(Table5[[#This Row],[PID]],Table3[[#All],[PID]],0)))</f>
        <v>3</v>
      </c>
      <c r="P753" s="58">
        <f>IF($C753="B",INDEX(Batters[[#All],[K P]],MATCH(Table5[[#This Row],[PID]],Batters[[#All],[PID]],0)),INDEX(Table3[[#All],[STM]],MATCH(Table5[[#This Row],[PID]],Table3[[#All],[PID]],0)))</f>
        <v>3</v>
      </c>
      <c r="Q753" s="63">
        <f>IF($C753="B",INDEX(Batters[[#All],[Tot]],MATCH(Table5[[#This Row],[PID]],Batters[[#All],[PID]],0)),INDEX(Table3[[#All],[Tot]],MATCH(Table5[[#This Row],[PID]],Table3[[#All],[PID]],0)))</f>
        <v>37.140083639985306</v>
      </c>
      <c r="R753" s="54">
        <f>IF($C753="B",INDEX(Batters[[#All],[zScore]],MATCH(Table5[[#This Row],[PID]],Batters[[#All],[PID]],0)),INDEX(Table3[[#All],[zScore]],MATCH(Table5[[#This Row],[PID]],Table3[[#All],[PID]],0)))</f>
        <v>-0.56445508378432196</v>
      </c>
      <c r="S753" s="60" t="str">
        <f>IF($C753="B",INDEX(Batters[[#All],[DEM]],MATCH(Table5[[#This Row],[PID]],Batters[[#All],[PID]],0)),INDEX(Table3[[#All],[DEM]],MATCH(Table5[[#This Row],[PID]],Table3[[#All],[PID]],0)))</f>
        <v>-</v>
      </c>
      <c r="T753" s="64">
        <f>IF($C753="B",VLOOKUP($A753,Bat!$A$4:$AU$1417,46,FALSE),VLOOKUP($A753,Pit!$A$4:$BD$570,55,FALSE))</f>
        <v>0</v>
      </c>
      <c r="U753" s="52">
        <f>IF($C753="B",VLOOKUP($A753,Bat!$A$4:$BA$1417,47,FALSE),VLOOKUP($A753,Pit!$A$4:$BF$570,56,FALSE))</f>
        <v>0</v>
      </c>
      <c r="V753" s="52">
        <f>IF($C753="B",VLOOKUP($A753,Bat!$A$4:$BA$1417,48,FALSE),VLOOKUP($A753,Pit!$A$4:$BF$570,57,FALSE))</f>
        <v>0</v>
      </c>
      <c r="W753" s="52">
        <f>Table5[[#This Row],[posRnk]]+Table5[[#This Row],[zRnk]]+IF($W$3&lt;&gt;Table5[[#This Row],[Type]],50,0)</f>
        <v>799</v>
      </c>
      <c r="X753" s="53">
        <f>RANK(Table5[[#This Row],[zScore]],Table5[[#All],[zScore]])</f>
        <v>749</v>
      </c>
      <c r="Y753" s="52" t="str">
        <f>IFERROR(INDEX(DraftResults[[#All],[OVR]],MATCH(Table5[[#This Row],[PID]],DraftResults[[#All],[Player ID]],0)),"")</f>
        <v/>
      </c>
      <c r="Z7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3" s="52" t="str">
        <f>IFERROR(INDEX(DraftResults[[#All],[Pick in Round]],MATCH(Table5[[#This Row],[PID]],DraftResults[[#All],[Player ID]],0)),"")</f>
        <v/>
      </c>
      <c r="AB753" s="52" t="str">
        <f>IFERROR(INDEX(DraftResults[[#All],[Team Name]],MATCH(Table5[[#This Row],[PID]],DraftResults[[#All],[Player ID]],0)),"")</f>
        <v/>
      </c>
      <c r="AC753" s="52" t="str">
        <f>IF(Table5[[#This Row],[Ovr]]="","",IF(Table5[[#This Row],[cmbList]]="","",Table5[[#This Row],[cmbList]]-Table5[[#This Row],[Ovr]]))</f>
        <v/>
      </c>
      <c r="AD753" s="56" t="str">
        <f>IF(ISERROR(VLOOKUP($AB753&amp;"-"&amp;$E753&amp;" "&amp;F753,Bonuses!$B$1:$G$1006,4,FALSE)),"",INT(VLOOKUP($AB753&amp;"-"&amp;$E753&amp;" "&amp;$F753,Bonuses!$B$1:$G$1006,4,FALSE)))</f>
        <v/>
      </c>
      <c r="AE7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4" spans="1:31" s="52" customFormat="1" x14ac:dyDescent="0.25">
      <c r="A754" s="52">
        <v>14682</v>
      </c>
      <c r="B754" s="52">
        <f>COUNTIF(Table5[PID],A754)</f>
        <v>1</v>
      </c>
      <c r="C754" s="52" t="str">
        <f>IF(COUNTIF(Table3[[#All],[PID]],A754)&gt;0,"P","B")</f>
        <v>P</v>
      </c>
      <c r="D754" s="61" t="str">
        <f>IF($C754="B",INDEX(Batters[[#All],[POS]],MATCH(Table5[[#This Row],[PID]],Batters[[#All],[PID]],0)),INDEX(Table3[[#All],[POS]],MATCH(Table5[[#This Row],[PID]],Table3[[#All],[PID]],0)))</f>
        <v>RP</v>
      </c>
      <c r="E754" s="54" t="str">
        <f>IF($C754="B",INDEX(Batters[[#All],[First]],MATCH(Table5[[#This Row],[PID]],Batters[[#All],[PID]],0)),INDEX(Table3[[#All],[First]],MATCH(Table5[[#This Row],[PID]],Table3[[#All],[PID]],0)))</f>
        <v>Sumitomo</v>
      </c>
      <c r="F754" s="52" t="str">
        <f>IF($C754="B",INDEX(Batters[[#All],[Last]],MATCH(A754,Batters[[#All],[PID]],0)),INDEX(Table3[[#All],[Last]],MATCH(A754,Table3[[#All],[PID]],0)))</f>
        <v>Kokawa</v>
      </c>
      <c r="G754" s="58">
        <f>IF($C754="B",INDEX(Batters[[#All],[Age]],MATCH(Table5[[#This Row],[PID]],Batters[[#All],[PID]],0)),INDEX(Table3[[#All],[Age]],MATCH(Table5[[#This Row],[PID]],Table3[[#All],[PID]],0)))</f>
        <v>21</v>
      </c>
      <c r="H754" s="54" t="str">
        <f>IF($C754="B",INDEX(Batters[[#All],[B]],MATCH(Table5[[#This Row],[PID]],Batters[[#All],[PID]],0)),INDEX(Table3[[#All],[B]],MATCH(Table5[[#This Row],[PID]],Table3[[#All],[PID]],0)))</f>
        <v>L</v>
      </c>
      <c r="I754" s="54" t="str">
        <f>IF($C754="B",INDEX(Batters[[#All],[T]],MATCH(Table5[[#This Row],[PID]],Batters[[#All],[PID]],0)),INDEX(Table3[[#All],[T]],MATCH(Table5[[#This Row],[PID]],Table3[[#All],[PID]],0)))</f>
        <v>L</v>
      </c>
      <c r="J754" s="54" t="str">
        <f>IF($C754="B",INDEX(Batters[[#All],[WE]],MATCH(Table5[[#This Row],[PID]],Batters[[#All],[PID]],0)),INDEX(Table3[[#All],[WE]],MATCH(Table5[[#This Row],[PID]],Table3[[#All],[PID]],0)))</f>
        <v>Normal</v>
      </c>
      <c r="K754" s="54" t="str">
        <f>IF($C754="B",INDEX(Batters[[#All],[INT]],MATCH(Table5[[#This Row],[PID]],Batters[[#All],[PID]],0)),INDEX(Table3[[#All],[INT]],MATCH(Table5[[#This Row],[PID]],Table3[[#All],[PID]],0)))</f>
        <v>Low</v>
      </c>
      <c r="L754" s="62">
        <f>IF($C754="B",INDEX(Batters[[#All],[CON P]],MATCH(Table5[[#This Row],[PID]],Batters[[#All],[PID]],0)),INDEX(Table3[[#All],[STU P]],MATCH(Table5[[#This Row],[PID]],Table3[[#All],[PID]],0)))</f>
        <v>5</v>
      </c>
      <c r="M754" s="58">
        <f>IF($C754="B",INDEX(Batters[[#All],[GAP P]],MATCH(Table5[[#This Row],[PID]],Batters[[#All],[PID]],0)),INDEX(Table3[[#All],[MOV P]],MATCH(Table5[[#This Row],[PID]],Table3[[#All],[PID]],0)))</f>
        <v>1</v>
      </c>
      <c r="N754" s="58">
        <f>IF($C754="B",INDEX(Batters[[#All],[POW P]],MATCH(Table5[[#This Row],[PID]],Batters[[#All],[PID]],0)),INDEX(Table3[[#All],[CON P]],MATCH(Table5[[#This Row],[PID]],Table3[[#All],[PID]],0)))</f>
        <v>2</v>
      </c>
      <c r="O754" s="58" t="str">
        <f>IF($C754="B",INDEX(Batters[[#All],[EYE P]],MATCH(Table5[[#This Row],[PID]],Batters[[#All],[PID]],0)),INDEX(Table3[[#All],[VELO]],MATCH(Table5[[#This Row],[PID]],Table3[[#All],[PID]],0)))</f>
        <v>86-88 Mph</v>
      </c>
      <c r="P754" s="58">
        <f>IF($C754="B",INDEX(Batters[[#All],[K P]],MATCH(Table5[[#This Row],[PID]],Batters[[#All],[PID]],0)),INDEX(Table3[[#All],[STM]],MATCH(Table5[[#This Row],[PID]],Table3[[#All],[PID]],0)))</f>
        <v>8</v>
      </c>
      <c r="Q754" s="63">
        <f>IF($C754="B",INDEX(Batters[[#All],[Tot]],MATCH(Table5[[#This Row],[PID]],Batters[[#All],[PID]],0)),INDEX(Table3[[#All],[Tot]],MATCH(Table5[[#This Row],[PID]],Table3[[#All],[PID]],0)))</f>
        <v>26.560540506788183</v>
      </c>
      <c r="R754" s="54">
        <f>IF($C754="B",INDEX(Batters[[#All],[zScore]],MATCH(Table5[[#This Row],[PID]],Batters[[#All],[PID]],0)),INDEX(Table3[[#All],[zScore]],MATCH(Table5[[#This Row],[PID]],Table3[[#All],[PID]],0)))</f>
        <v>-0.56505517454846865</v>
      </c>
      <c r="S754" s="60" t="str">
        <f>IF($C754="B",INDEX(Batters[[#All],[DEM]],MATCH(Table5[[#This Row],[PID]],Batters[[#All],[PID]],0)),INDEX(Table3[[#All],[DEM]],MATCH(Table5[[#This Row],[PID]],Table3[[#All],[PID]],0)))</f>
        <v>-</v>
      </c>
      <c r="T754" s="64">
        <f>IF($C754="B",VLOOKUP($A754,Bat!$A$4:$AU$1417,46,FALSE),VLOOKUP($A754,Pit!$A$4:$BD$570,55,FALSE))</f>
        <v>0</v>
      </c>
      <c r="U754" s="52">
        <f>IF($C754="B",VLOOKUP($A754,Bat!$A$4:$BA$1417,47,FALSE),VLOOKUP($A754,Pit!$A$4:$BF$570,56,FALSE))</f>
        <v>0</v>
      </c>
      <c r="V754" s="52">
        <f>IF($C754="B",VLOOKUP($A754,Bat!$A$4:$BA$1417,48,FALSE),VLOOKUP($A754,Pit!$A$4:$BF$570,57,FALSE))</f>
        <v>0</v>
      </c>
      <c r="W754" s="52">
        <f>Table5[[#This Row],[posRnk]]+Table5[[#This Row],[zRnk]]+IF($W$3&lt;&gt;Table5[[#This Row],[Type]],50,0)</f>
        <v>800</v>
      </c>
      <c r="X754" s="53">
        <f>RANK(Table5[[#This Row],[zScore]],Table5[[#All],[zScore]])</f>
        <v>750</v>
      </c>
      <c r="Y754" s="52" t="str">
        <f>IFERROR(INDEX(DraftResults[[#All],[OVR]],MATCH(Table5[[#This Row],[PID]],DraftResults[[#All],[Player ID]],0)),"")</f>
        <v/>
      </c>
      <c r="Z7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4" s="52" t="str">
        <f>IFERROR(INDEX(DraftResults[[#All],[Pick in Round]],MATCH(Table5[[#This Row],[PID]],DraftResults[[#All],[Player ID]],0)),"")</f>
        <v/>
      </c>
      <c r="AB754" s="52" t="str">
        <f>IFERROR(INDEX(DraftResults[[#All],[Team Name]],MATCH(Table5[[#This Row],[PID]],DraftResults[[#All],[Player ID]],0)),"")</f>
        <v/>
      </c>
      <c r="AC754" s="52" t="str">
        <f>IF(Table5[[#This Row],[Ovr]]="","",IF(Table5[[#This Row],[cmbList]]="","",Table5[[#This Row],[cmbList]]-Table5[[#This Row],[Ovr]]))</f>
        <v/>
      </c>
      <c r="AD754" s="56" t="str">
        <f>IF(ISERROR(VLOOKUP($AB754&amp;"-"&amp;$E754&amp;" "&amp;F754,Bonuses!$B$1:$G$1006,4,FALSE)),"",INT(VLOOKUP($AB754&amp;"-"&amp;$E754&amp;" "&amp;$F754,Bonuses!$B$1:$G$1006,4,FALSE)))</f>
        <v/>
      </c>
      <c r="AE7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5" spans="1:31" s="52" customFormat="1" x14ac:dyDescent="0.25">
      <c r="A755" s="52">
        <v>17909</v>
      </c>
      <c r="B755" s="52">
        <f>COUNTIF(Table5[PID],A755)</f>
        <v>1</v>
      </c>
      <c r="C755" s="52" t="str">
        <f>IF(COUNTIF(Table3[[#All],[PID]],A755)&gt;0,"P","B")</f>
        <v>P</v>
      </c>
      <c r="D755" s="61" t="str">
        <f>IF($C755="B",INDEX(Batters[[#All],[POS]],MATCH(Table5[[#This Row],[PID]],Batters[[#All],[PID]],0)),INDEX(Table3[[#All],[POS]],MATCH(Table5[[#This Row],[PID]],Table3[[#All],[PID]],0)))</f>
        <v>RP</v>
      </c>
      <c r="E755" s="54" t="str">
        <f>IF($C755="B",INDEX(Batters[[#All],[First]],MATCH(Table5[[#This Row],[PID]],Batters[[#All],[PID]],0)),INDEX(Table3[[#All],[First]],MATCH(Table5[[#This Row],[PID]],Table3[[#All],[PID]],0)))</f>
        <v>Sean</v>
      </c>
      <c r="F755" s="52" t="str">
        <f>IF($C755="B",INDEX(Batters[[#All],[Last]],MATCH(A755,Batters[[#All],[PID]],0)),INDEX(Table3[[#All],[Last]],MATCH(A755,Table3[[#All],[PID]],0)))</f>
        <v>McGahey</v>
      </c>
      <c r="G755" s="58">
        <f>IF($C755="B",INDEX(Batters[[#All],[Age]],MATCH(Table5[[#This Row],[PID]],Batters[[#All],[PID]],0)),INDEX(Table3[[#All],[Age]],MATCH(Table5[[#This Row],[PID]],Table3[[#All],[PID]],0)))</f>
        <v>18</v>
      </c>
      <c r="H755" s="54" t="str">
        <f>IF($C755="B",INDEX(Batters[[#All],[B]],MATCH(Table5[[#This Row],[PID]],Batters[[#All],[PID]],0)),INDEX(Table3[[#All],[B]],MATCH(Table5[[#This Row],[PID]],Table3[[#All],[PID]],0)))</f>
        <v>L</v>
      </c>
      <c r="I755" s="54" t="str">
        <f>IF($C755="B",INDEX(Batters[[#All],[T]],MATCH(Table5[[#This Row],[PID]],Batters[[#All],[PID]],0)),INDEX(Table3[[#All],[T]],MATCH(Table5[[#This Row],[PID]],Table3[[#All],[PID]],0)))</f>
        <v>L</v>
      </c>
      <c r="J755" s="54" t="str">
        <f>IF($C755="B",INDEX(Batters[[#All],[WE]],MATCH(Table5[[#This Row],[PID]],Batters[[#All],[PID]],0)),INDEX(Table3[[#All],[WE]],MATCH(Table5[[#This Row],[PID]],Table3[[#All],[PID]],0)))</f>
        <v>Normal</v>
      </c>
      <c r="K755" s="54" t="str">
        <f>IF($C755="B",INDEX(Batters[[#All],[INT]],MATCH(Table5[[#This Row],[PID]],Batters[[#All],[PID]],0)),INDEX(Table3[[#All],[INT]],MATCH(Table5[[#This Row],[PID]],Table3[[#All],[PID]],0)))</f>
        <v>Normal</v>
      </c>
      <c r="L755" s="62">
        <f>IF($C755="B",INDEX(Batters[[#All],[CON P]],MATCH(Table5[[#This Row],[PID]],Batters[[#All],[PID]],0)),INDEX(Table3[[#All],[STU P]],MATCH(Table5[[#This Row],[PID]],Table3[[#All],[PID]],0)))</f>
        <v>3</v>
      </c>
      <c r="M755" s="58">
        <f>IF($C755="B",INDEX(Batters[[#All],[GAP P]],MATCH(Table5[[#This Row],[PID]],Batters[[#All],[PID]],0)),INDEX(Table3[[#All],[MOV P]],MATCH(Table5[[#This Row],[PID]],Table3[[#All],[PID]],0)))</f>
        <v>2</v>
      </c>
      <c r="N755" s="58">
        <f>IF($C755="B",INDEX(Batters[[#All],[POW P]],MATCH(Table5[[#This Row],[PID]],Batters[[#All],[PID]],0)),INDEX(Table3[[#All],[CON P]],MATCH(Table5[[#This Row],[PID]],Table3[[#All],[PID]],0)))</f>
        <v>1</v>
      </c>
      <c r="O755" s="58" t="str">
        <f>IF($C755="B",INDEX(Batters[[#All],[EYE P]],MATCH(Table5[[#This Row],[PID]],Batters[[#All],[PID]],0)),INDEX(Table3[[#All],[VELO]],MATCH(Table5[[#This Row],[PID]],Table3[[#All],[PID]],0)))</f>
        <v>84-86 Mph</v>
      </c>
      <c r="P755" s="58">
        <f>IF($C755="B",INDEX(Batters[[#All],[K P]],MATCH(Table5[[#This Row],[PID]],Batters[[#All],[PID]],0)),INDEX(Table3[[#All],[STM]],MATCH(Table5[[#This Row],[PID]],Table3[[#All],[PID]],0)))</f>
        <v>10</v>
      </c>
      <c r="Q755" s="63">
        <f>IF($C755="B",INDEX(Batters[[#All],[Tot]],MATCH(Table5[[#This Row],[PID]],Batters[[#All],[PID]],0)),INDEX(Table3[[#All],[Tot]],MATCH(Table5[[#This Row],[PID]],Table3[[#All],[PID]],0)))</f>
        <v>23.942758354045015</v>
      </c>
      <c r="R755" s="54">
        <f>IF($C755="B",INDEX(Batters[[#All],[zScore]],MATCH(Table5[[#This Row],[PID]],Batters[[#All],[PID]],0)),INDEX(Table3[[#All],[zScore]],MATCH(Table5[[#This Row],[PID]],Table3[[#All],[PID]],0)))</f>
        <v>-0.56551269699571682</v>
      </c>
      <c r="S755" s="60" t="str">
        <f>IF($C755="B",INDEX(Batters[[#All],[DEM]],MATCH(Table5[[#This Row],[PID]],Batters[[#All],[PID]],0)),INDEX(Table3[[#All],[DEM]],MATCH(Table5[[#This Row],[PID]],Table3[[#All],[PID]],0)))</f>
        <v>$38k</v>
      </c>
      <c r="T755" s="64">
        <f>IF($C755="B",VLOOKUP($A755,Bat!$A$4:$AU$1417,46,FALSE),VLOOKUP($A755,Pit!$A$4:$BD$570,55,FALSE))</f>
        <v>0</v>
      </c>
      <c r="U755" s="52">
        <f>IF($C755="B",VLOOKUP($A755,Bat!$A$4:$BA$1417,47,FALSE),VLOOKUP($A755,Pit!$A$4:$BF$570,56,FALSE))</f>
        <v>0</v>
      </c>
      <c r="V755" s="52">
        <f>IF($C755="B",VLOOKUP($A755,Bat!$A$4:$BA$1417,48,FALSE),VLOOKUP($A755,Pit!$A$4:$BF$570,57,FALSE))</f>
        <v>0</v>
      </c>
      <c r="W755" s="52">
        <f>Table5[[#This Row],[posRnk]]+Table5[[#This Row],[zRnk]]+IF($W$3&lt;&gt;Table5[[#This Row],[Type]],50,0)</f>
        <v>801</v>
      </c>
      <c r="X755" s="53">
        <f>RANK(Table5[[#This Row],[zScore]],Table5[[#All],[zScore]])</f>
        <v>751</v>
      </c>
      <c r="Y755" s="52" t="str">
        <f>IFERROR(INDEX(DraftResults[[#All],[OVR]],MATCH(Table5[[#This Row],[PID]],DraftResults[[#All],[Player ID]],0)),"")</f>
        <v/>
      </c>
      <c r="Z7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5" s="52" t="str">
        <f>IFERROR(INDEX(DraftResults[[#All],[Pick in Round]],MATCH(Table5[[#This Row],[PID]],DraftResults[[#All],[Player ID]],0)),"")</f>
        <v/>
      </c>
      <c r="AB755" s="52" t="str">
        <f>IFERROR(INDEX(DraftResults[[#All],[Team Name]],MATCH(Table5[[#This Row],[PID]],DraftResults[[#All],[Player ID]],0)),"")</f>
        <v/>
      </c>
      <c r="AC755" s="52" t="str">
        <f>IF(Table5[[#This Row],[Ovr]]="","",IF(Table5[[#This Row],[cmbList]]="","",Table5[[#This Row],[cmbList]]-Table5[[#This Row],[Ovr]]))</f>
        <v/>
      </c>
      <c r="AD755" s="56" t="str">
        <f>IF(ISERROR(VLOOKUP($AB755&amp;"-"&amp;$E755&amp;" "&amp;F755,Bonuses!$B$1:$G$1006,4,FALSE)),"",INT(VLOOKUP($AB755&amp;"-"&amp;$E755&amp;" "&amp;$F755,Bonuses!$B$1:$G$1006,4,FALSE)))</f>
        <v/>
      </c>
      <c r="AE7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6" spans="1:31" s="52" customFormat="1" x14ac:dyDescent="0.25">
      <c r="A756" s="52">
        <v>9909</v>
      </c>
      <c r="B756" s="52">
        <f>COUNTIF(Table5[PID],A756)</f>
        <v>1</v>
      </c>
      <c r="C756" s="52" t="str">
        <f>IF(COUNTIF(Table3[[#All],[PID]],A756)&gt;0,"P","B")</f>
        <v>B</v>
      </c>
      <c r="D756" s="61" t="str">
        <f>IF($C756="B",INDEX(Batters[[#All],[POS]],MATCH(Table5[[#This Row],[PID]],Batters[[#All],[PID]],0)),INDEX(Table3[[#All],[POS]],MATCH(Table5[[#This Row],[PID]],Table3[[#All],[PID]],0)))</f>
        <v>2B</v>
      </c>
      <c r="E756" s="54" t="str">
        <f>IF($C756="B",INDEX(Batters[[#All],[First]],MATCH(Table5[[#This Row],[PID]],Batters[[#All],[PID]],0)),INDEX(Table3[[#All],[First]],MATCH(Table5[[#This Row],[PID]],Table3[[#All],[PID]],0)))</f>
        <v>Alonso</v>
      </c>
      <c r="F756" s="52" t="str">
        <f>IF($C756="B",INDEX(Batters[[#All],[Last]],MATCH(A756,Batters[[#All],[PID]],0)),INDEX(Table3[[#All],[Last]],MATCH(A756,Table3[[#All],[PID]],0)))</f>
        <v>López</v>
      </c>
      <c r="G756" s="58">
        <f>IF($C756="B",INDEX(Batters[[#All],[Age]],MATCH(Table5[[#This Row],[PID]],Batters[[#All],[PID]],0)),INDEX(Table3[[#All],[Age]],MATCH(Table5[[#This Row],[PID]],Table3[[#All],[PID]],0)))</f>
        <v>22</v>
      </c>
      <c r="H756" s="54" t="str">
        <f>IF($C756="B",INDEX(Batters[[#All],[B]],MATCH(Table5[[#This Row],[PID]],Batters[[#All],[PID]],0)),INDEX(Table3[[#All],[B]],MATCH(Table5[[#This Row],[PID]],Table3[[#All],[PID]],0)))</f>
        <v>R</v>
      </c>
      <c r="I756" s="54" t="str">
        <f>IF($C756="B",INDEX(Batters[[#All],[T]],MATCH(Table5[[#This Row],[PID]],Batters[[#All],[PID]],0)),INDEX(Table3[[#All],[T]],MATCH(Table5[[#This Row],[PID]],Table3[[#All],[PID]],0)))</f>
        <v>R</v>
      </c>
      <c r="J756" s="54" t="str">
        <f>IF($C756="B",INDEX(Batters[[#All],[WE]],MATCH(Table5[[#This Row],[PID]],Batters[[#All],[PID]],0)),INDEX(Table3[[#All],[WE]],MATCH(Table5[[#This Row],[PID]],Table3[[#All],[PID]],0)))</f>
        <v>Low</v>
      </c>
      <c r="K756" s="54" t="str">
        <f>IF($C756="B",INDEX(Batters[[#All],[INT]],MATCH(Table5[[#This Row],[PID]],Batters[[#All],[PID]],0)),INDEX(Table3[[#All],[INT]],MATCH(Table5[[#This Row],[PID]],Table3[[#All],[PID]],0)))</f>
        <v>Normal</v>
      </c>
      <c r="L756" s="62">
        <f>IF($C756="B",INDEX(Batters[[#All],[CON P]],MATCH(Table5[[#This Row],[PID]],Batters[[#All],[PID]],0)),INDEX(Table3[[#All],[STU P]],MATCH(Table5[[#This Row],[PID]],Table3[[#All],[PID]],0)))</f>
        <v>3</v>
      </c>
      <c r="M756" s="58">
        <f>IF($C756="B",INDEX(Batters[[#All],[GAP P]],MATCH(Table5[[#This Row],[PID]],Batters[[#All],[PID]],0)),INDEX(Table3[[#All],[MOV P]],MATCH(Table5[[#This Row],[PID]],Table3[[#All],[PID]],0)))</f>
        <v>4</v>
      </c>
      <c r="N756" s="58">
        <f>IF($C756="B",INDEX(Batters[[#All],[POW P]],MATCH(Table5[[#This Row],[PID]],Batters[[#All],[PID]],0)),INDEX(Table3[[#All],[CON P]],MATCH(Table5[[#This Row],[PID]],Table3[[#All],[PID]],0)))</f>
        <v>4</v>
      </c>
      <c r="O756" s="58">
        <f>IF($C756="B",INDEX(Batters[[#All],[EYE P]],MATCH(Table5[[#This Row],[PID]],Batters[[#All],[PID]],0)),INDEX(Table3[[#All],[VELO]],MATCH(Table5[[#This Row],[PID]],Table3[[#All],[PID]],0)))</f>
        <v>4</v>
      </c>
      <c r="P756" s="58">
        <f>IF($C756="B",INDEX(Batters[[#All],[K P]],MATCH(Table5[[#This Row],[PID]],Batters[[#All],[PID]],0)),INDEX(Table3[[#All],[STM]],MATCH(Table5[[#This Row],[PID]],Table3[[#All],[PID]],0)))</f>
        <v>3</v>
      </c>
      <c r="Q756" s="63">
        <f>IF($C756="B",INDEX(Batters[[#All],[Tot]],MATCH(Table5[[#This Row],[PID]],Batters[[#All],[PID]],0)),INDEX(Table3[[#All],[Tot]],MATCH(Table5[[#This Row],[PID]],Table3[[#All],[PID]],0)))</f>
        <v>37.073808423055681</v>
      </c>
      <c r="R756" s="54">
        <f>IF($C756="B",INDEX(Batters[[#All],[zScore]],MATCH(Table5[[#This Row],[PID]],Batters[[#All],[PID]],0)),INDEX(Table3[[#All],[zScore]],MATCH(Table5[[#This Row],[PID]],Table3[[#All],[PID]],0)))</f>
        <v>-0.57611576771789141</v>
      </c>
      <c r="S756" s="60" t="str">
        <f>IF($C756="B",INDEX(Batters[[#All],[DEM]],MATCH(Table5[[#This Row],[PID]],Batters[[#All],[PID]],0)),INDEX(Table3[[#All],[DEM]],MATCH(Table5[[#This Row],[PID]],Table3[[#All],[PID]],0)))</f>
        <v>-</v>
      </c>
      <c r="T756" s="64">
        <f>IF($C756="B",VLOOKUP($A756,Bat!$A$4:$AU$1417,46,FALSE),VLOOKUP($A756,Pit!$A$4:$BD$570,55,FALSE))</f>
        <v>0</v>
      </c>
      <c r="U756" s="52">
        <f>IF($C756="B",VLOOKUP($A756,Bat!$A$4:$BA$1417,47,FALSE),VLOOKUP($A756,Pit!$A$4:$BF$570,56,FALSE))</f>
        <v>0</v>
      </c>
      <c r="V756" s="52">
        <f>IF($C756="B",VLOOKUP($A756,Bat!$A$4:$BA$1417,48,FALSE),VLOOKUP($A756,Pit!$A$4:$BF$570,57,FALSE))</f>
        <v>0</v>
      </c>
      <c r="W756" s="52">
        <f>Table5[[#This Row],[posRnk]]+Table5[[#This Row],[zRnk]]+IF($W$3&lt;&gt;Table5[[#This Row],[Type]],50,0)</f>
        <v>802</v>
      </c>
      <c r="X756" s="53">
        <f>RANK(Table5[[#This Row],[zScore]],Table5[[#All],[zScore]])</f>
        <v>752</v>
      </c>
      <c r="Y756" s="52" t="str">
        <f>IFERROR(INDEX(DraftResults[[#All],[OVR]],MATCH(Table5[[#This Row],[PID]],DraftResults[[#All],[Player ID]],0)),"")</f>
        <v/>
      </c>
      <c r="Z7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6" s="52" t="str">
        <f>IFERROR(INDEX(DraftResults[[#All],[Pick in Round]],MATCH(Table5[[#This Row],[PID]],DraftResults[[#All],[Player ID]],0)),"")</f>
        <v/>
      </c>
      <c r="AB756" s="52" t="str">
        <f>IFERROR(INDEX(DraftResults[[#All],[Team Name]],MATCH(Table5[[#This Row],[PID]],DraftResults[[#All],[Player ID]],0)),"")</f>
        <v/>
      </c>
      <c r="AC756" s="52" t="str">
        <f>IF(Table5[[#This Row],[Ovr]]="","",IF(Table5[[#This Row],[cmbList]]="","",Table5[[#This Row],[cmbList]]-Table5[[#This Row],[Ovr]]))</f>
        <v/>
      </c>
      <c r="AD756" s="56" t="str">
        <f>IF(ISERROR(VLOOKUP($AB756&amp;"-"&amp;$E756&amp;" "&amp;F756,Bonuses!$B$1:$G$1006,4,FALSE)),"",INT(VLOOKUP($AB756&amp;"-"&amp;$E756&amp;" "&amp;$F756,Bonuses!$B$1:$G$1006,4,FALSE)))</f>
        <v/>
      </c>
      <c r="AE7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7" spans="1:31" s="52" customFormat="1" x14ac:dyDescent="0.25">
      <c r="A757" s="52">
        <v>17782</v>
      </c>
      <c r="B757" s="52">
        <f>COUNTIF(Table5[PID],A757)</f>
        <v>1</v>
      </c>
      <c r="C757" s="52" t="str">
        <f>IF(COUNTIF(Table3[[#All],[PID]],A757)&gt;0,"P","B")</f>
        <v>B</v>
      </c>
      <c r="D757" s="61" t="str">
        <f>IF($C757="B",INDEX(Batters[[#All],[POS]],MATCH(Table5[[#This Row],[PID]],Batters[[#All],[PID]],0)),INDEX(Table3[[#All],[POS]],MATCH(Table5[[#This Row],[PID]],Table3[[#All],[PID]],0)))</f>
        <v>1B</v>
      </c>
      <c r="E757" s="54" t="str">
        <f>IF($C757="B",INDEX(Batters[[#All],[First]],MATCH(Table5[[#This Row],[PID]],Batters[[#All],[PID]],0)),INDEX(Table3[[#All],[First]],MATCH(Table5[[#This Row],[PID]],Table3[[#All],[PID]],0)))</f>
        <v>Toshitsugu</v>
      </c>
      <c r="F757" s="52" t="str">
        <f>IF($C757="B",INDEX(Batters[[#All],[Last]],MATCH(A757,Batters[[#All],[PID]],0)),INDEX(Table3[[#All],[Last]],MATCH(A757,Table3[[#All],[PID]],0)))</f>
        <v>Gato</v>
      </c>
      <c r="G757" s="58">
        <f>IF($C757="B",INDEX(Batters[[#All],[Age]],MATCH(Table5[[#This Row],[PID]],Batters[[#All],[PID]],0)),INDEX(Table3[[#All],[Age]],MATCH(Table5[[#This Row],[PID]],Table3[[#All],[PID]],0)))</f>
        <v>21</v>
      </c>
      <c r="H757" s="54" t="str">
        <f>IF($C757="B",INDEX(Batters[[#All],[B]],MATCH(Table5[[#This Row],[PID]],Batters[[#All],[PID]],0)),INDEX(Table3[[#All],[B]],MATCH(Table5[[#This Row],[PID]],Table3[[#All],[PID]],0)))</f>
        <v>R</v>
      </c>
      <c r="I757" s="54" t="str">
        <f>IF($C757="B",INDEX(Batters[[#All],[T]],MATCH(Table5[[#This Row],[PID]],Batters[[#All],[PID]],0)),INDEX(Table3[[#All],[T]],MATCH(Table5[[#This Row],[PID]],Table3[[#All],[PID]],0)))</f>
        <v>R</v>
      </c>
      <c r="J757" s="54" t="str">
        <f>IF($C757="B",INDEX(Batters[[#All],[WE]],MATCH(Table5[[#This Row],[PID]],Batters[[#All],[PID]],0)),INDEX(Table3[[#All],[WE]],MATCH(Table5[[#This Row],[PID]],Table3[[#All],[PID]],0)))</f>
        <v>Normal</v>
      </c>
      <c r="K757" s="54" t="str">
        <f>IF($C757="B",INDEX(Batters[[#All],[INT]],MATCH(Table5[[#This Row],[PID]],Batters[[#All],[PID]],0)),INDEX(Table3[[#All],[INT]],MATCH(Table5[[#This Row],[PID]],Table3[[#All],[PID]],0)))</f>
        <v>Normal</v>
      </c>
      <c r="L757" s="62">
        <f>IF($C757="B",INDEX(Batters[[#All],[CON P]],MATCH(Table5[[#This Row],[PID]],Batters[[#All],[PID]],0)),INDEX(Table3[[#All],[STU P]],MATCH(Table5[[#This Row],[PID]],Table3[[#All],[PID]],0)))</f>
        <v>3</v>
      </c>
      <c r="M757" s="58">
        <f>IF($C757="B",INDEX(Batters[[#All],[GAP P]],MATCH(Table5[[#This Row],[PID]],Batters[[#All],[PID]],0)),INDEX(Table3[[#All],[MOV P]],MATCH(Table5[[#This Row],[PID]],Table3[[#All],[PID]],0)))</f>
        <v>3</v>
      </c>
      <c r="N757" s="58">
        <f>IF($C757="B",INDEX(Batters[[#All],[POW P]],MATCH(Table5[[#This Row],[PID]],Batters[[#All],[PID]],0)),INDEX(Table3[[#All],[CON P]],MATCH(Table5[[#This Row],[PID]],Table3[[#All],[PID]],0)))</f>
        <v>4</v>
      </c>
      <c r="O757" s="58">
        <f>IF($C757="B",INDEX(Batters[[#All],[EYE P]],MATCH(Table5[[#This Row],[PID]],Batters[[#All],[PID]],0)),INDEX(Table3[[#All],[VELO]],MATCH(Table5[[#This Row],[PID]],Table3[[#All],[PID]],0)))</f>
        <v>5</v>
      </c>
      <c r="P757" s="58">
        <f>IF($C757="B",INDEX(Batters[[#All],[K P]],MATCH(Table5[[#This Row],[PID]],Batters[[#All],[PID]],0)),INDEX(Table3[[#All],[STM]],MATCH(Table5[[#This Row],[PID]],Table3[[#All],[PID]],0)))</f>
        <v>3</v>
      </c>
      <c r="Q757" s="63">
        <f>IF($C757="B",INDEX(Batters[[#All],[Tot]],MATCH(Table5[[#This Row],[PID]],Batters[[#All],[PID]],0)),INDEX(Table3[[#All],[Tot]],MATCH(Table5[[#This Row],[PID]],Table3[[#All],[PID]],0)))</f>
        <v>37.066496618716243</v>
      </c>
      <c r="R757" s="54">
        <f>IF($C757="B",INDEX(Batters[[#All],[zScore]],MATCH(Table5[[#This Row],[PID]],Batters[[#All],[PID]],0)),INDEX(Table3[[#All],[zScore]],MATCH(Table5[[#This Row],[PID]],Table3[[#All],[PID]],0)))</f>
        <v>-0.57740223109494548</v>
      </c>
      <c r="S757" s="60" t="str">
        <f>IF($C757="B",INDEX(Batters[[#All],[DEM]],MATCH(Table5[[#This Row],[PID]],Batters[[#All],[PID]],0)),INDEX(Table3[[#All],[DEM]],MATCH(Table5[[#This Row],[PID]],Table3[[#All],[PID]],0)))</f>
        <v>-</v>
      </c>
      <c r="T757" s="64">
        <f>IF($C757="B",VLOOKUP($A757,Bat!$A$4:$AU$1417,46,FALSE),VLOOKUP($A757,Pit!$A$4:$BD$570,55,FALSE))</f>
        <v>0</v>
      </c>
      <c r="U757" s="52">
        <f>IF($C757="B",VLOOKUP($A757,Bat!$A$4:$BA$1417,47,FALSE),VLOOKUP($A757,Pit!$A$4:$BF$570,56,FALSE))</f>
        <v>0</v>
      </c>
      <c r="V757" s="52">
        <f>IF($C757="B",VLOOKUP($A757,Bat!$A$4:$BA$1417,48,FALSE),VLOOKUP($A757,Pit!$A$4:$BF$570,57,FALSE))</f>
        <v>0</v>
      </c>
      <c r="W757" s="52">
        <f>Table5[[#This Row],[posRnk]]+Table5[[#This Row],[zRnk]]+IF($W$3&lt;&gt;Table5[[#This Row],[Type]],50,0)</f>
        <v>803</v>
      </c>
      <c r="X757" s="53">
        <f>RANK(Table5[[#This Row],[zScore]],Table5[[#All],[zScore]])</f>
        <v>753</v>
      </c>
      <c r="Y757" s="52" t="str">
        <f>IFERROR(INDEX(DraftResults[[#All],[OVR]],MATCH(Table5[[#This Row],[PID]],DraftResults[[#All],[Player ID]],0)),"")</f>
        <v/>
      </c>
      <c r="Z7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7" s="52" t="str">
        <f>IFERROR(INDEX(DraftResults[[#All],[Pick in Round]],MATCH(Table5[[#This Row],[PID]],DraftResults[[#All],[Player ID]],0)),"")</f>
        <v/>
      </c>
      <c r="AB757" s="52" t="str">
        <f>IFERROR(INDEX(DraftResults[[#All],[Team Name]],MATCH(Table5[[#This Row],[PID]],DraftResults[[#All],[Player ID]],0)),"")</f>
        <v/>
      </c>
      <c r="AC757" s="52" t="str">
        <f>IF(Table5[[#This Row],[Ovr]]="","",IF(Table5[[#This Row],[cmbList]]="","",Table5[[#This Row],[cmbList]]-Table5[[#This Row],[Ovr]]))</f>
        <v/>
      </c>
      <c r="AD757" s="56" t="str">
        <f>IF(ISERROR(VLOOKUP($AB757&amp;"-"&amp;$E757&amp;" "&amp;F757,Bonuses!$B$1:$G$1006,4,FALSE)),"",INT(VLOOKUP($AB757&amp;"-"&amp;$E757&amp;" "&amp;$F757,Bonuses!$B$1:$G$1006,4,FALSE)))</f>
        <v/>
      </c>
      <c r="AE7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8" spans="1:31" s="52" customFormat="1" x14ac:dyDescent="0.25">
      <c r="A758" s="52">
        <v>8763</v>
      </c>
      <c r="B758" s="52">
        <f>COUNTIF(Table5[PID],A758)</f>
        <v>1</v>
      </c>
      <c r="C758" s="52" t="str">
        <f>IF(COUNTIF(Table3[[#All],[PID]],A758)&gt;0,"P","B")</f>
        <v>B</v>
      </c>
      <c r="D758" s="61" t="str">
        <f>IF($C758="B",INDEX(Batters[[#All],[POS]],MATCH(Table5[[#This Row],[PID]],Batters[[#All],[PID]],0)),INDEX(Table3[[#All],[POS]],MATCH(Table5[[#This Row],[PID]],Table3[[#All],[PID]],0)))</f>
        <v>2B</v>
      </c>
      <c r="E758" s="54" t="str">
        <f>IF($C758="B",INDEX(Batters[[#All],[First]],MATCH(Table5[[#This Row],[PID]],Batters[[#All],[PID]],0)),INDEX(Table3[[#All],[First]],MATCH(Table5[[#This Row],[PID]],Table3[[#All],[PID]],0)))</f>
        <v>Alonso</v>
      </c>
      <c r="F758" s="52" t="str">
        <f>IF($C758="B",INDEX(Batters[[#All],[Last]],MATCH(A758,Batters[[#All],[PID]],0)),INDEX(Table3[[#All],[Last]],MATCH(A758,Table3[[#All],[PID]],0)))</f>
        <v>Gutiérrez</v>
      </c>
      <c r="G758" s="58">
        <f>IF($C758="B",INDEX(Batters[[#All],[Age]],MATCH(Table5[[#This Row],[PID]],Batters[[#All],[PID]],0)),INDEX(Table3[[#All],[Age]],MATCH(Table5[[#This Row],[PID]],Table3[[#All],[PID]],0)))</f>
        <v>18</v>
      </c>
      <c r="H758" s="54" t="str">
        <f>IF($C758="B",INDEX(Batters[[#All],[B]],MATCH(Table5[[#This Row],[PID]],Batters[[#All],[PID]],0)),INDEX(Table3[[#All],[B]],MATCH(Table5[[#This Row],[PID]],Table3[[#All],[PID]],0)))</f>
        <v>S</v>
      </c>
      <c r="I758" s="54" t="str">
        <f>IF($C758="B",INDEX(Batters[[#All],[T]],MATCH(Table5[[#This Row],[PID]],Batters[[#All],[PID]],0)),INDEX(Table3[[#All],[T]],MATCH(Table5[[#This Row],[PID]],Table3[[#All],[PID]],0)))</f>
        <v>R</v>
      </c>
      <c r="J758" s="54" t="str">
        <f>IF($C758="B",INDEX(Batters[[#All],[WE]],MATCH(Table5[[#This Row],[PID]],Batters[[#All],[PID]],0)),INDEX(Table3[[#All],[WE]],MATCH(Table5[[#This Row],[PID]],Table3[[#All],[PID]],0)))</f>
        <v>Low</v>
      </c>
      <c r="K758" s="54" t="str">
        <f>IF($C758="B",INDEX(Batters[[#All],[INT]],MATCH(Table5[[#This Row],[PID]],Batters[[#All],[PID]],0)),INDEX(Table3[[#All],[INT]],MATCH(Table5[[#This Row],[PID]],Table3[[#All],[PID]],0)))</f>
        <v>Low</v>
      </c>
      <c r="L758" s="62">
        <f>IF($C758="B",INDEX(Batters[[#All],[CON P]],MATCH(Table5[[#This Row],[PID]],Batters[[#All],[PID]],0)),INDEX(Table3[[#All],[STU P]],MATCH(Table5[[#This Row],[PID]],Table3[[#All],[PID]],0)))</f>
        <v>2</v>
      </c>
      <c r="M758" s="58">
        <f>IF($C758="B",INDEX(Batters[[#All],[GAP P]],MATCH(Table5[[#This Row],[PID]],Batters[[#All],[PID]],0)),INDEX(Table3[[#All],[MOV P]],MATCH(Table5[[#This Row],[PID]],Table3[[#All],[PID]],0)))</f>
        <v>4</v>
      </c>
      <c r="N758" s="58">
        <f>IF($C758="B",INDEX(Batters[[#All],[POW P]],MATCH(Table5[[#This Row],[PID]],Batters[[#All],[PID]],0)),INDEX(Table3[[#All],[CON P]],MATCH(Table5[[#This Row],[PID]],Table3[[#All],[PID]],0)))</f>
        <v>3</v>
      </c>
      <c r="O758" s="58">
        <f>IF($C758="B",INDEX(Batters[[#All],[EYE P]],MATCH(Table5[[#This Row],[PID]],Batters[[#All],[PID]],0)),INDEX(Table3[[#All],[VELO]],MATCH(Table5[[#This Row],[PID]],Table3[[#All],[PID]],0)))</f>
        <v>4</v>
      </c>
      <c r="P758" s="58">
        <f>IF($C758="B",INDEX(Batters[[#All],[K P]],MATCH(Table5[[#This Row],[PID]],Batters[[#All],[PID]],0)),INDEX(Table3[[#All],[STM]],MATCH(Table5[[#This Row],[PID]],Table3[[#All],[PID]],0)))</f>
        <v>4</v>
      </c>
      <c r="Q758" s="63">
        <f>IF($C758="B",INDEX(Batters[[#All],[Tot]],MATCH(Table5[[#This Row],[PID]],Batters[[#All],[PID]],0)),INDEX(Table3[[#All],[Tot]],MATCH(Table5[[#This Row],[PID]],Table3[[#All],[PID]],0)))</f>
        <v>37.060185207527752</v>
      </c>
      <c r="R758" s="54">
        <f>IF($C758="B",INDEX(Batters[[#All],[zScore]],MATCH(Table5[[#This Row],[PID]],Batters[[#All],[PID]],0)),INDEX(Table3[[#All],[zScore]],MATCH(Table5[[#This Row],[PID]],Table3[[#All],[PID]],0)))</f>
        <v>-0.57851268194600713</v>
      </c>
      <c r="S758" s="60" t="str">
        <f>IF($C758="B",INDEX(Batters[[#All],[DEM]],MATCH(Table5[[#This Row],[PID]],Batters[[#All],[PID]],0)),INDEX(Table3[[#All],[DEM]],MATCH(Table5[[#This Row],[PID]],Table3[[#All],[PID]],0)))</f>
        <v>$65k</v>
      </c>
      <c r="T758" s="64">
        <f>IF($C758="B",VLOOKUP($A758,Bat!$A$4:$AU$1417,46,FALSE),VLOOKUP($A758,Pit!$A$4:$BD$570,55,FALSE))</f>
        <v>0</v>
      </c>
      <c r="U758" s="52">
        <f>IF($C758="B",VLOOKUP($A758,Bat!$A$4:$BA$1417,47,FALSE),VLOOKUP($A758,Pit!$A$4:$BF$570,56,FALSE))</f>
        <v>0</v>
      </c>
      <c r="V758" s="52">
        <f>IF($C758="B",VLOOKUP($A758,Bat!$A$4:$BA$1417,48,FALSE),VLOOKUP($A758,Pit!$A$4:$BF$570,57,FALSE))</f>
        <v>0</v>
      </c>
      <c r="W758" s="52">
        <f>Table5[[#This Row],[posRnk]]+Table5[[#This Row],[zRnk]]+IF($W$3&lt;&gt;Table5[[#This Row],[Type]],50,0)</f>
        <v>804</v>
      </c>
      <c r="X758" s="53">
        <f>RANK(Table5[[#This Row],[zScore]],Table5[[#All],[zScore]])</f>
        <v>754</v>
      </c>
      <c r="Y758" s="52" t="str">
        <f>IFERROR(INDEX(DraftResults[[#All],[OVR]],MATCH(Table5[[#This Row],[PID]],DraftResults[[#All],[Player ID]],0)),"")</f>
        <v/>
      </c>
      <c r="Z7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8" s="52" t="str">
        <f>IFERROR(INDEX(DraftResults[[#All],[Pick in Round]],MATCH(Table5[[#This Row],[PID]],DraftResults[[#All],[Player ID]],0)),"")</f>
        <v/>
      </c>
      <c r="AB758" s="52" t="str">
        <f>IFERROR(INDEX(DraftResults[[#All],[Team Name]],MATCH(Table5[[#This Row],[PID]],DraftResults[[#All],[Player ID]],0)),"")</f>
        <v/>
      </c>
      <c r="AC758" s="52" t="str">
        <f>IF(Table5[[#This Row],[Ovr]]="","",IF(Table5[[#This Row],[cmbList]]="","",Table5[[#This Row],[cmbList]]-Table5[[#This Row],[Ovr]]))</f>
        <v/>
      </c>
      <c r="AD758" s="56" t="str">
        <f>IF(ISERROR(VLOOKUP($AB758&amp;"-"&amp;$E758&amp;" "&amp;F758,Bonuses!$B$1:$G$1006,4,FALSE)),"",INT(VLOOKUP($AB758&amp;"-"&amp;$E758&amp;" "&amp;$F758,Bonuses!$B$1:$G$1006,4,FALSE)))</f>
        <v/>
      </c>
      <c r="AE7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9" spans="1:31" s="52" customFormat="1" x14ac:dyDescent="0.25">
      <c r="A759" s="52">
        <v>17620</v>
      </c>
      <c r="B759" s="52">
        <f>COUNTIF(Table5[PID],A759)</f>
        <v>1</v>
      </c>
      <c r="C759" s="52" t="str">
        <f>IF(COUNTIF(Table3[[#All],[PID]],A759)&gt;0,"P","B")</f>
        <v>P</v>
      </c>
      <c r="D759" s="61" t="str">
        <f>IF($C759="B",INDEX(Batters[[#All],[POS]],MATCH(Table5[[#This Row],[PID]],Batters[[#All],[PID]],0)),INDEX(Table3[[#All],[POS]],MATCH(Table5[[#This Row],[PID]],Table3[[#All],[PID]],0)))</f>
        <v>RP</v>
      </c>
      <c r="E759" s="54" t="str">
        <f>IF($C759="B",INDEX(Batters[[#All],[First]],MATCH(Table5[[#This Row],[PID]],Batters[[#All],[PID]],0)),INDEX(Table3[[#All],[First]],MATCH(Table5[[#This Row],[PID]],Table3[[#All],[PID]],0)))</f>
        <v>Ed</v>
      </c>
      <c r="F759" s="52" t="str">
        <f>IF($C759="B",INDEX(Batters[[#All],[Last]],MATCH(A759,Batters[[#All],[PID]],0)),INDEX(Table3[[#All],[Last]],MATCH(A759,Table3[[#All],[PID]],0)))</f>
        <v>Adams</v>
      </c>
      <c r="G759" s="58">
        <f>IF($C759="B",INDEX(Batters[[#All],[Age]],MATCH(Table5[[#This Row],[PID]],Batters[[#All],[PID]],0)),INDEX(Table3[[#All],[Age]],MATCH(Table5[[#This Row],[PID]],Table3[[#All],[PID]],0)))</f>
        <v>18</v>
      </c>
      <c r="H759" s="54" t="str">
        <f>IF($C759="B",INDEX(Batters[[#All],[B]],MATCH(Table5[[#This Row],[PID]],Batters[[#All],[PID]],0)),INDEX(Table3[[#All],[B]],MATCH(Table5[[#This Row],[PID]],Table3[[#All],[PID]],0)))</f>
        <v>L</v>
      </c>
      <c r="I759" s="54" t="str">
        <f>IF($C759="B",INDEX(Batters[[#All],[T]],MATCH(Table5[[#This Row],[PID]],Batters[[#All],[PID]],0)),INDEX(Table3[[#All],[T]],MATCH(Table5[[#This Row],[PID]],Table3[[#All],[PID]],0)))</f>
        <v>L</v>
      </c>
      <c r="J759" s="54" t="str">
        <f>IF($C759="B",INDEX(Batters[[#All],[WE]],MATCH(Table5[[#This Row],[PID]],Batters[[#All],[PID]],0)),INDEX(Table3[[#All],[WE]],MATCH(Table5[[#This Row],[PID]],Table3[[#All],[PID]],0)))</f>
        <v>Low</v>
      </c>
      <c r="K759" s="54" t="str">
        <f>IF($C759="B",INDEX(Batters[[#All],[INT]],MATCH(Table5[[#This Row],[PID]],Batters[[#All],[PID]],0)),INDEX(Table3[[#All],[INT]],MATCH(Table5[[#This Row],[PID]],Table3[[#All],[PID]],0)))</f>
        <v>High</v>
      </c>
      <c r="L759" s="62">
        <f>IF($C759="B",INDEX(Batters[[#All],[CON P]],MATCH(Table5[[#This Row],[PID]],Batters[[#All],[PID]],0)),INDEX(Table3[[#All],[STU P]],MATCH(Table5[[#This Row],[PID]],Table3[[#All],[PID]],0)))</f>
        <v>4</v>
      </c>
      <c r="M759" s="58">
        <f>IF($C759="B",INDEX(Batters[[#All],[GAP P]],MATCH(Table5[[#This Row],[PID]],Batters[[#All],[PID]],0)),INDEX(Table3[[#All],[MOV P]],MATCH(Table5[[#This Row],[PID]],Table3[[#All],[PID]],0)))</f>
        <v>1</v>
      </c>
      <c r="N759" s="58">
        <f>IF($C759="B",INDEX(Batters[[#All],[POW P]],MATCH(Table5[[#This Row],[PID]],Batters[[#All],[PID]],0)),INDEX(Table3[[#All],[CON P]],MATCH(Table5[[#This Row],[PID]],Table3[[#All],[PID]],0)))</f>
        <v>2</v>
      </c>
      <c r="O759" s="58" t="str">
        <f>IF($C759="B",INDEX(Batters[[#All],[EYE P]],MATCH(Table5[[#This Row],[PID]],Batters[[#All],[PID]],0)),INDEX(Table3[[#All],[VELO]],MATCH(Table5[[#This Row],[PID]],Table3[[#All],[PID]],0)))</f>
        <v>86-88 Mph</v>
      </c>
      <c r="P759" s="58">
        <f>IF($C759="B",INDEX(Batters[[#All],[K P]],MATCH(Table5[[#This Row],[PID]],Batters[[#All],[PID]],0)),INDEX(Table3[[#All],[STM]],MATCH(Table5[[#This Row],[PID]],Table3[[#All],[PID]],0)))</f>
        <v>6</v>
      </c>
      <c r="Q759" s="63">
        <f>IF($C759="B",INDEX(Batters[[#All],[Tot]],MATCH(Table5[[#This Row],[PID]],Batters[[#All],[PID]],0)),INDEX(Table3[[#All],[Tot]],MATCH(Table5[[#This Row],[PID]],Table3[[#All],[PID]],0)))</f>
        <v>26.405678639720712</v>
      </c>
      <c r="R759" s="54">
        <f>IF($C759="B",INDEX(Batters[[#All],[zScore]],MATCH(Table5[[#This Row],[PID]],Batters[[#All],[PID]],0)),INDEX(Table3[[#All],[zScore]],MATCH(Table5[[#This Row],[PID]],Table3[[#All],[PID]],0)))</f>
        <v>-0.57925666965208666</v>
      </c>
      <c r="S759" s="60" t="str">
        <f>IF($C759="B",INDEX(Batters[[#All],[DEM]],MATCH(Table5[[#This Row],[PID]],Batters[[#All],[PID]],0)),INDEX(Table3[[#All],[DEM]],MATCH(Table5[[#This Row],[PID]],Table3[[#All],[PID]],0)))</f>
        <v>$90k</v>
      </c>
      <c r="T759" s="64">
        <f>IF($C759="B",VLOOKUP($A759,Bat!$A$4:$AU$1417,46,FALSE),VLOOKUP($A759,Pit!$A$4:$BD$570,55,FALSE))</f>
        <v>0</v>
      </c>
      <c r="U759" s="52">
        <f>IF($C759="B",VLOOKUP($A759,Bat!$A$4:$BA$1417,47,FALSE),VLOOKUP($A759,Pit!$A$4:$BF$570,56,FALSE))</f>
        <v>0</v>
      </c>
      <c r="V759" s="52">
        <f>IF($C759="B",VLOOKUP($A759,Bat!$A$4:$BA$1417,48,FALSE),VLOOKUP($A759,Pit!$A$4:$BF$570,57,FALSE))</f>
        <v>0</v>
      </c>
      <c r="W759" s="52">
        <f>Table5[[#This Row],[posRnk]]+Table5[[#This Row],[zRnk]]+IF($W$3&lt;&gt;Table5[[#This Row],[Type]],50,0)</f>
        <v>805</v>
      </c>
      <c r="X759" s="53">
        <f>RANK(Table5[[#This Row],[zScore]],Table5[[#All],[zScore]])</f>
        <v>755</v>
      </c>
      <c r="Y759" s="52" t="str">
        <f>IFERROR(INDEX(DraftResults[[#All],[OVR]],MATCH(Table5[[#This Row],[PID]],DraftResults[[#All],[Player ID]],0)),"")</f>
        <v/>
      </c>
      <c r="Z7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9" s="52" t="str">
        <f>IFERROR(INDEX(DraftResults[[#All],[Pick in Round]],MATCH(Table5[[#This Row],[PID]],DraftResults[[#All],[Player ID]],0)),"")</f>
        <v/>
      </c>
      <c r="AB759" s="52" t="str">
        <f>IFERROR(INDEX(DraftResults[[#All],[Team Name]],MATCH(Table5[[#This Row],[PID]],DraftResults[[#All],[Player ID]],0)),"")</f>
        <v/>
      </c>
      <c r="AC759" s="52" t="str">
        <f>IF(Table5[[#This Row],[Ovr]]="","",IF(Table5[[#This Row],[cmbList]]="","",Table5[[#This Row],[cmbList]]-Table5[[#This Row],[Ovr]]))</f>
        <v/>
      </c>
      <c r="AD759" s="56" t="str">
        <f>IF(ISERROR(VLOOKUP($AB759&amp;"-"&amp;$E759&amp;" "&amp;F759,Bonuses!$B$1:$G$1006,4,FALSE)),"",INT(VLOOKUP($AB759&amp;"-"&amp;$E759&amp;" "&amp;$F759,Bonuses!$B$1:$G$1006,4,FALSE)))</f>
        <v/>
      </c>
      <c r="AE7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0" spans="1:31" s="52" customFormat="1" x14ac:dyDescent="0.25">
      <c r="A760" s="52">
        <v>7832</v>
      </c>
      <c r="B760" s="52">
        <f>COUNTIF(Table5[PID],A760)</f>
        <v>1</v>
      </c>
      <c r="C760" s="52" t="str">
        <f>IF(COUNTIF(Table3[[#All],[PID]],A760)&gt;0,"P","B")</f>
        <v>B</v>
      </c>
      <c r="D760" s="61" t="str">
        <f>IF($C760="B",INDEX(Batters[[#All],[POS]],MATCH(Table5[[#This Row],[PID]],Batters[[#All],[PID]],0)),INDEX(Table3[[#All],[POS]],MATCH(Table5[[#This Row],[PID]],Table3[[#All],[PID]],0)))</f>
        <v>2B</v>
      </c>
      <c r="E760" s="54" t="str">
        <f>IF($C760="B",INDEX(Batters[[#All],[First]],MATCH(Table5[[#This Row],[PID]],Batters[[#All],[PID]],0)),INDEX(Table3[[#All],[First]],MATCH(Table5[[#This Row],[PID]],Table3[[#All],[PID]],0)))</f>
        <v>Julián</v>
      </c>
      <c r="F760" s="52" t="str">
        <f>IF($C760="B",INDEX(Batters[[#All],[Last]],MATCH(A760,Batters[[#All],[PID]],0)),INDEX(Table3[[#All],[Last]],MATCH(A760,Table3[[#All],[PID]],0)))</f>
        <v>Herrera</v>
      </c>
      <c r="G760" s="58">
        <f>IF($C760="B",INDEX(Batters[[#All],[Age]],MATCH(Table5[[#This Row],[PID]],Batters[[#All],[PID]],0)),INDEX(Table3[[#All],[Age]],MATCH(Table5[[#This Row],[PID]],Table3[[#All],[PID]],0)))</f>
        <v>18</v>
      </c>
      <c r="H760" s="54" t="str">
        <f>IF($C760="B",INDEX(Batters[[#All],[B]],MATCH(Table5[[#This Row],[PID]],Batters[[#All],[PID]],0)),INDEX(Table3[[#All],[B]],MATCH(Table5[[#This Row],[PID]],Table3[[#All],[PID]],0)))</f>
        <v>R</v>
      </c>
      <c r="I760" s="54" t="str">
        <f>IF($C760="B",INDEX(Batters[[#All],[T]],MATCH(Table5[[#This Row],[PID]],Batters[[#All],[PID]],0)),INDEX(Table3[[#All],[T]],MATCH(Table5[[#This Row],[PID]],Table3[[#All],[PID]],0)))</f>
        <v>R</v>
      </c>
      <c r="J760" s="54" t="str">
        <f>IF($C760="B",INDEX(Batters[[#All],[WE]],MATCH(Table5[[#This Row],[PID]],Batters[[#All],[PID]],0)),INDEX(Table3[[#All],[WE]],MATCH(Table5[[#This Row],[PID]],Table3[[#All],[PID]],0)))</f>
        <v>Low</v>
      </c>
      <c r="K760" s="54" t="str">
        <f>IF($C760="B",INDEX(Batters[[#All],[INT]],MATCH(Table5[[#This Row],[PID]],Batters[[#All],[PID]],0)),INDEX(Table3[[#All],[INT]],MATCH(Table5[[#This Row],[PID]],Table3[[#All],[PID]],0)))</f>
        <v>Normal</v>
      </c>
      <c r="L760" s="62">
        <f>IF($C760="B",INDEX(Batters[[#All],[CON P]],MATCH(Table5[[#This Row],[PID]],Batters[[#All],[PID]],0)),INDEX(Table3[[#All],[STU P]],MATCH(Table5[[#This Row],[PID]],Table3[[#All],[PID]],0)))</f>
        <v>2</v>
      </c>
      <c r="M760" s="58">
        <f>IF($C760="B",INDEX(Batters[[#All],[GAP P]],MATCH(Table5[[#This Row],[PID]],Batters[[#All],[PID]],0)),INDEX(Table3[[#All],[MOV P]],MATCH(Table5[[#This Row],[PID]],Table3[[#All],[PID]],0)))</f>
        <v>3</v>
      </c>
      <c r="N760" s="58">
        <f>IF($C760="B",INDEX(Batters[[#All],[POW P]],MATCH(Table5[[#This Row],[PID]],Batters[[#All],[PID]],0)),INDEX(Table3[[#All],[CON P]],MATCH(Table5[[#This Row],[PID]],Table3[[#All],[PID]],0)))</f>
        <v>3</v>
      </c>
      <c r="O760" s="58">
        <f>IF($C760="B",INDEX(Batters[[#All],[EYE P]],MATCH(Table5[[#This Row],[PID]],Batters[[#All],[PID]],0)),INDEX(Table3[[#All],[VELO]],MATCH(Table5[[#This Row],[PID]],Table3[[#All],[PID]],0)))</f>
        <v>5</v>
      </c>
      <c r="P760" s="58">
        <f>IF($C760="B",INDEX(Batters[[#All],[K P]],MATCH(Table5[[#This Row],[PID]],Batters[[#All],[PID]],0)),INDEX(Table3[[#All],[STM]],MATCH(Table5[[#This Row],[PID]],Table3[[#All],[PID]],0)))</f>
        <v>3</v>
      </c>
      <c r="Q760" s="63">
        <f>IF($C760="B",INDEX(Batters[[#All],[Tot]],MATCH(Table5[[#This Row],[PID]],Batters[[#All],[PID]],0)),INDEX(Table3[[#All],[Tot]],MATCH(Table5[[#This Row],[PID]],Table3[[#All],[PID]],0)))</f>
        <v>37.036089462747569</v>
      </c>
      <c r="R760" s="54">
        <f>IF($C760="B",INDEX(Batters[[#All],[zScore]],MATCH(Table5[[#This Row],[PID]],Batters[[#All],[PID]],0)),INDEX(Table3[[#All],[zScore]],MATCH(Table5[[#This Row],[PID]],Table3[[#All],[PID]],0)))</f>
        <v>-0.58275216809245045</v>
      </c>
      <c r="S760" s="60" t="str">
        <f>IF($C760="B",INDEX(Batters[[#All],[DEM]],MATCH(Table5[[#This Row],[PID]],Batters[[#All],[PID]],0)),INDEX(Table3[[#All],[DEM]],MATCH(Table5[[#This Row],[PID]],Table3[[#All],[PID]],0)))</f>
        <v>$110k</v>
      </c>
      <c r="T760" s="64">
        <f>IF($C760="B",VLOOKUP($A760,Bat!$A$4:$AU$1417,46,FALSE),VLOOKUP($A760,Pit!$A$4:$BD$570,55,FALSE))</f>
        <v>0</v>
      </c>
      <c r="U760" s="52">
        <f>IF($C760="B",VLOOKUP($A760,Bat!$A$4:$BA$1417,47,FALSE),VLOOKUP($A760,Pit!$A$4:$BF$570,56,FALSE))</f>
        <v>0</v>
      </c>
      <c r="V760" s="52">
        <f>IF($C760="B",VLOOKUP($A760,Bat!$A$4:$BA$1417,48,FALSE),VLOOKUP($A760,Pit!$A$4:$BF$570,57,FALSE))</f>
        <v>0</v>
      </c>
      <c r="W760" s="52">
        <f>Table5[[#This Row],[posRnk]]+Table5[[#This Row],[zRnk]]+IF($W$3&lt;&gt;Table5[[#This Row],[Type]],50,0)</f>
        <v>806</v>
      </c>
      <c r="X760" s="53">
        <f>RANK(Table5[[#This Row],[zScore]],Table5[[#All],[zScore]])</f>
        <v>756</v>
      </c>
      <c r="Y760" s="52" t="str">
        <f>IFERROR(INDEX(DraftResults[[#All],[OVR]],MATCH(Table5[[#This Row],[PID]],DraftResults[[#All],[Player ID]],0)),"")</f>
        <v/>
      </c>
      <c r="Z7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0" s="52" t="str">
        <f>IFERROR(INDEX(DraftResults[[#All],[Pick in Round]],MATCH(Table5[[#This Row],[PID]],DraftResults[[#All],[Player ID]],0)),"")</f>
        <v/>
      </c>
      <c r="AB760" s="52" t="str">
        <f>IFERROR(INDEX(DraftResults[[#All],[Team Name]],MATCH(Table5[[#This Row],[PID]],DraftResults[[#All],[Player ID]],0)),"")</f>
        <v/>
      </c>
      <c r="AC760" s="52" t="str">
        <f>IF(Table5[[#This Row],[Ovr]]="","",IF(Table5[[#This Row],[cmbList]]="","",Table5[[#This Row],[cmbList]]-Table5[[#This Row],[Ovr]]))</f>
        <v/>
      </c>
      <c r="AD760" s="56" t="str">
        <f>IF(ISERROR(VLOOKUP($AB760&amp;"-"&amp;$E760&amp;" "&amp;F760,Bonuses!$B$1:$G$1006,4,FALSE)),"",INT(VLOOKUP($AB760&amp;"-"&amp;$E760&amp;" "&amp;$F760,Bonuses!$B$1:$G$1006,4,FALSE)))</f>
        <v/>
      </c>
      <c r="AE7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1" spans="1:31" s="52" customFormat="1" x14ac:dyDescent="0.25">
      <c r="A761" s="52">
        <v>17841</v>
      </c>
      <c r="B761" s="52">
        <f>COUNTIF(Table5[PID],A761)</f>
        <v>1</v>
      </c>
      <c r="C761" s="52" t="str">
        <f>IF(COUNTIF(Table3[[#All],[PID]],A761)&gt;0,"P","B")</f>
        <v>P</v>
      </c>
      <c r="D761" s="61" t="str">
        <f>IF($C761="B",INDEX(Batters[[#All],[POS]],MATCH(Table5[[#This Row],[PID]],Batters[[#All],[PID]],0)),INDEX(Table3[[#All],[POS]],MATCH(Table5[[#This Row],[PID]],Table3[[#All],[PID]],0)))</f>
        <v>SP</v>
      </c>
      <c r="E761" s="54" t="str">
        <f>IF($C761="B",INDEX(Batters[[#All],[First]],MATCH(Table5[[#This Row],[PID]],Batters[[#All],[PID]],0)),INDEX(Table3[[#All],[First]],MATCH(Table5[[#This Row],[PID]],Table3[[#All],[PID]],0)))</f>
        <v>Ichiro</v>
      </c>
      <c r="F761" s="52" t="str">
        <f>IF($C761="B",INDEX(Batters[[#All],[Last]],MATCH(A761,Batters[[#All],[PID]],0)),INDEX(Table3[[#All],[Last]],MATCH(A761,Table3[[#All],[PID]],0)))</f>
        <v>Matsuura</v>
      </c>
      <c r="G761" s="58">
        <f>IF($C761="B",INDEX(Batters[[#All],[Age]],MATCH(Table5[[#This Row],[PID]],Batters[[#All],[PID]],0)),INDEX(Table3[[#All],[Age]],MATCH(Table5[[#This Row],[PID]],Table3[[#All],[PID]],0)))</f>
        <v>17</v>
      </c>
      <c r="H761" s="54" t="str">
        <f>IF($C761="B",INDEX(Batters[[#All],[B]],MATCH(Table5[[#This Row],[PID]],Batters[[#All],[PID]],0)),INDEX(Table3[[#All],[B]],MATCH(Table5[[#This Row],[PID]],Table3[[#All],[PID]],0)))</f>
        <v>L</v>
      </c>
      <c r="I761" s="54" t="str">
        <f>IF($C761="B",INDEX(Batters[[#All],[T]],MATCH(Table5[[#This Row],[PID]],Batters[[#All],[PID]],0)),INDEX(Table3[[#All],[T]],MATCH(Table5[[#This Row],[PID]],Table3[[#All],[PID]],0)))</f>
        <v>L</v>
      </c>
      <c r="J761" s="54" t="str">
        <f>IF($C761="B",INDEX(Batters[[#All],[WE]],MATCH(Table5[[#This Row],[PID]],Batters[[#All],[PID]],0)),INDEX(Table3[[#All],[WE]],MATCH(Table5[[#This Row],[PID]],Table3[[#All],[PID]],0)))</f>
        <v>Normal</v>
      </c>
      <c r="K761" s="54" t="str">
        <f>IF($C761="B",INDEX(Batters[[#All],[INT]],MATCH(Table5[[#This Row],[PID]],Batters[[#All],[PID]],0)),INDEX(Table3[[#All],[INT]],MATCH(Table5[[#This Row],[PID]],Table3[[#All],[PID]],0)))</f>
        <v>Normal</v>
      </c>
      <c r="L761" s="62">
        <f>IF($C761="B",INDEX(Batters[[#All],[CON P]],MATCH(Table5[[#This Row],[PID]],Batters[[#All],[PID]],0)),INDEX(Table3[[#All],[STU P]],MATCH(Table5[[#This Row],[PID]],Table3[[#All],[PID]],0)))</f>
        <v>4</v>
      </c>
      <c r="M761" s="58">
        <f>IF($C761="B",INDEX(Batters[[#All],[GAP P]],MATCH(Table5[[#This Row],[PID]],Batters[[#All],[PID]],0)),INDEX(Table3[[#All],[MOV P]],MATCH(Table5[[#This Row],[PID]],Table3[[#All],[PID]],0)))</f>
        <v>1</v>
      </c>
      <c r="N761" s="58">
        <f>IF($C761="B",INDEX(Batters[[#All],[POW P]],MATCH(Table5[[#This Row],[PID]],Batters[[#All],[PID]],0)),INDEX(Table3[[#All],[CON P]],MATCH(Table5[[#This Row],[PID]],Table3[[#All],[PID]],0)))</f>
        <v>2</v>
      </c>
      <c r="O761" s="58" t="str">
        <f>IF($C761="B",INDEX(Batters[[#All],[EYE P]],MATCH(Table5[[#This Row],[PID]],Batters[[#All],[PID]],0)),INDEX(Table3[[#All],[VELO]],MATCH(Table5[[#This Row],[PID]],Table3[[#All],[PID]],0)))</f>
        <v>92-94 Mph</v>
      </c>
      <c r="P761" s="58">
        <f>IF($C761="B",INDEX(Batters[[#All],[K P]],MATCH(Table5[[#This Row],[PID]],Batters[[#All],[PID]],0)),INDEX(Table3[[#All],[STM]],MATCH(Table5[[#This Row],[PID]],Table3[[#All],[PID]],0)))</f>
        <v>5</v>
      </c>
      <c r="Q761" s="63">
        <f>IF($C761="B",INDEX(Batters[[#All],[Tot]],MATCH(Table5[[#This Row],[PID]],Batters[[#All],[PID]],0)),INDEX(Table3[[#All],[Tot]],MATCH(Table5[[#This Row],[PID]],Table3[[#All],[PID]],0)))</f>
        <v>26.315323902722142</v>
      </c>
      <c r="R761" s="54">
        <f>IF($C761="B",INDEX(Batters[[#All],[zScore]],MATCH(Table5[[#This Row],[PID]],Batters[[#All],[PID]],0)),INDEX(Table3[[#All],[zScore]],MATCH(Table5[[#This Row],[PID]],Table3[[#All],[PID]],0)))</f>
        <v>-0.58754258521911795</v>
      </c>
      <c r="S761" s="60" t="str">
        <f>IF($C761="B",INDEX(Batters[[#All],[DEM]],MATCH(Table5[[#This Row],[PID]],Batters[[#All],[PID]],0)),INDEX(Table3[[#All],[DEM]],MATCH(Table5[[#This Row],[PID]],Table3[[#All],[PID]],0)))</f>
        <v>$70k</v>
      </c>
      <c r="T761" s="64">
        <f>IF($C761="B",VLOOKUP($A761,Bat!$A$4:$AU$1417,46,FALSE),VLOOKUP($A761,Pit!$A$4:$BD$570,55,FALSE))</f>
        <v>0</v>
      </c>
      <c r="U761" s="52">
        <f>IF($C761="B",VLOOKUP($A761,Bat!$A$4:$BA$1417,47,FALSE),VLOOKUP($A761,Pit!$A$4:$BF$570,56,FALSE))</f>
        <v>0</v>
      </c>
      <c r="V761" s="52">
        <f>IF($C761="B",VLOOKUP($A761,Bat!$A$4:$BA$1417,48,FALSE),VLOOKUP($A761,Pit!$A$4:$BF$570,57,FALSE))</f>
        <v>0</v>
      </c>
      <c r="W761" s="52">
        <f>Table5[[#This Row],[posRnk]]+Table5[[#This Row],[zRnk]]+IF($W$3&lt;&gt;Table5[[#This Row],[Type]],50,0)</f>
        <v>807</v>
      </c>
      <c r="X761" s="53">
        <f>RANK(Table5[[#This Row],[zScore]],Table5[[#All],[zScore]])</f>
        <v>757</v>
      </c>
      <c r="Y761" s="52" t="str">
        <f>IFERROR(INDEX(DraftResults[[#All],[OVR]],MATCH(Table5[[#This Row],[PID]],DraftResults[[#All],[Player ID]],0)),"")</f>
        <v/>
      </c>
      <c r="Z7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1" s="52" t="str">
        <f>IFERROR(INDEX(DraftResults[[#All],[Pick in Round]],MATCH(Table5[[#This Row],[PID]],DraftResults[[#All],[Player ID]],0)),"")</f>
        <v/>
      </c>
      <c r="AB761" s="52" t="str">
        <f>IFERROR(INDEX(DraftResults[[#All],[Team Name]],MATCH(Table5[[#This Row],[PID]],DraftResults[[#All],[Player ID]],0)),"")</f>
        <v/>
      </c>
      <c r="AC761" s="52" t="str">
        <f>IF(Table5[[#This Row],[Ovr]]="","",IF(Table5[[#This Row],[cmbList]]="","",Table5[[#This Row],[cmbList]]-Table5[[#This Row],[Ovr]]))</f>
        <v/>
      </c>
      <c r="AD761" s="56" t="str">
        <f>IF(ISERROR(VLOOKUP($AB761&amp;"-"&amp;$E761&amp;" "&amp;F761,Bonuses!$B$1:$G$1006,4,FALSE)),"",INT(VLOOKUP($AB761&amp;"-"&amp;$E761&amp;" "&amp;$F761,Bonuses!$B$1:$G$1006,4,FALSE)))</f>
        <v/>
      </c>
      <c r="AE7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2" spans="1:31" s="52" customFormat="1" x14ac:dyDescent="0.25">
      <c r="A762" s="52">
        <v>8483</v>
      </c>
      <c r="B762" s="52">
        <f>COUNTIF(Table5[PID],A762)</f>
        <v>1</v>
      </c>
      <c r="C762" s="52" t="str">
        <f>IF(COUNTIF(Table3[[#All],[PID]],A762)&gt;0,"P","B")</f>
        <v>P</v>
      </c>
      <c r="D762" s="61" t="str">
        <f>IF($C762="B",INDEX(Batters[[#All],[POS]],MATCH(Table5[[#This Row],[PID]],Batters[[#All],[PID]],0)),INDEX(Table3[[#All],[POS]],MATCH(Table5[[#This Row],[PID]],Table3[[#All],[PID]],0)))</f>
        <v>RP</v>
      </c>
      <c r="E762" s="54" t="str">
        <f>IF($C762="B",INDEX(Batters[[#All],[First]],MATCH(Table5[[#This Row],[PID]],Batters[[#All],[PID]],0)),INDEX(Table3[[#All],[First]],MATCH(Table5[[#This Row],[PID]],Table3[[#All],[PID]],0)))</f>
        <v>Geoff</v>
      </c>
      <c r="F762" s="52" t="str">
        <f>IF($C762="B",INDEX(Batters[[#All],[Last]],MATCH(A762,Batters[[#All],[PID]],0)),INDEX(Table3[[#All],[Last]],MATCH(A762,Table3[[#All],[PID]],0)))</f>
        <v>Crawford</v>
      </c>
      <c r="G762" s="58">
        <f>IF($C762="B",INDEX(Batters[[#All],[Age]],MATCH(Table5[[#This Row],[PID]],Batters[[#All],[PID]],0)),INDEX(Table3[[#All],[Age]],MATCH(Table5[[#This Row],[PID]],Table3[[#All],[PID]],0)))</f>
        <v>21</v>
      </c>
      <c r="H762" s="54" t="str">
        <f>IF($C762="B",INDEX(Batters[[#All],[B]],MATCH(Table5[[#This Row],[PID]],Batters[[#All],[PID]],0)),INDEX(Table3[[#All],[B]],MATCH(Table5[[#This Row],[PID]],Table3[[#All],[PID]],0)))</f>
        <v>L</v>
      </c>
      <c r="I762" s="54" t="str">
        <f>IF($C762="B",INDEX(Batters[[#All],[T]],MATCH(Table5[[#This Row],[PID]],Batters[[#All],[PID]],0)),INDEX(Table3[[#All],[T]],MATCH(Table5[[#This Row],[PID]],Table3[[#All],[PID]],0)))</f>
        <v>L</v>
      </c>
      <c r="J762" s="54" t="str">
        <f>IF($C762="B",INDEX(Batters[[#All],[WE]],MATCH(Table5[[#This Row],[PID]],Batters[[#All],[PID]],0)),INDEX(Table3[[#All],[WE]],MATCH(Table5[[#This Row],[PID]],Table3[[#All],[PID]],0)))</f>
        <v>Low</v>
      </c>
      <c r="K762" s="54" t="str">
        <f>IF($C762="B",INDEX(Batters[[#All],[INT]],MATCH(Table5[[#This Row],[PID]],Batters[[#All],[PID]],0)),INDEX(Table3[[#All],[INT]],MATCH(Table5[[#This Row],[PID]],Table3[[#All],[PID]],0)))</f>
        <v>Low</v>
      </c>
      <c r="L762" s="62">
        <f>IF($C762="B",INDEX(Batters[[#All],[CON P]],MATCH(Table5[[#This Row],[PID]],Batters[[#All],[PID]],0)),INDEX(Table3[[#All],[STU P]],MATCH(Table5[[#This Row],[PID]],Table3[[#All],[PID]],0)))</f>
        <v>3</v>
      </c>
      <c r="M762" s="58">
        <f>IF($C762="B",INDEX(Batters[[#All],[GAP P]],MATCH(Table5[[#This Row],[PID]],Batters[[#All],[PID]],0)),INDEX(Table3[[#All],[MOV P]],MATCH(Table5[[#This Row],[PID]],Table3[[#All],[PID]],0)))</f>
        <v>2</v>
      </c>
      <c r="N762" s="58">
        <f>IF($C762="B",INDEX(Batters[[#All],[POW P]],MATCH(Table5[[#This Row],[PID]],Batters[[#All],[PID]],0)),INDEX(Table3[[#All],[CON P]],MATCH(Table5[[#This Row],[PID]],Table3[[#All],[PID]],0)))</f>
        <v>3</v>
      </c>
      <c r="O762" s="58" t="str">
        <f>IF($C762="B",INDEX(Batters[[#All],[EYE P]],MATCH(Table5[[#This Row],[PID]],Batters[[#All],[PID]],0)),INDEX(Table3[[#All],[VELO]],MATCH(Table5[[#This Row],[PID]],Table3[[#All],[PID]],0)))</f>
        <v>84-86 Mph</v>
      </c>
      <c r="P762" s="58">
        <f>IF($C762="B",INDEX(Batters[[#All],[K P]],MATCH(Table5[[#This Row],[PID]],Batters[[#All],[PID]],0)),INDEX(Table3[[#All],[STM]],MATCH(Table5[[#This Row],[PID]],Table3[[#All],[PID]],0)))</f>
        <v>6</v>
      </c>
      <c r="Q762" s="63">
        <f>IF($C762="B",INDEX(Batters[[#All],[Tot]],MATCH(Table5[[#This Row],[PID]],Batters[[#All],[PID]],0)),INDEX(Table3[[#All],[Tot]],MATCH(Table5[[#This Row],[PID]],Table3[[#All],[PID]],0)))</f>
        <v>26.268467997459688</v>
      </c>
      <c r="R762" s="54">
        <f>IF($C762="B",INDEX(Batters[[#All],[zScore]],MATCH(Table5[[#This Row],[PID]],Batters[[#All],[PID]],0)),INDEX(Table3[[#All],[zScore]],MATCH(Table5[[#This Row],[PID]],Table3[[#All],[PID]],0)))</f>
        <v>-0.59183947199803311</v>
      </c>
      <c r="S762" s="60" t="str">
        <f>IF($C762="B",INDEX(Batters[[#All],[DEM]],MATCH(Table5[[#This Row],[PID]],Batters[[#All],[PID]],0)),INDEX(Table3[[#All],[DEM]],MATCH(Table5[[#This Row],[PID]],Table3[[#All],[PID]],0)))</f>
        <v>$20k</v>
      </c>
      <c r="T762" s="64">
        <f>IF($C762="B",VLOOKUP($A762,Bat!$A$4:$AU$1417,46,FALSE),VLOOKUP($A762,Pit!$A$4:$BD$570,55,FALSE))</f>
        <v>0</v>
      </c>
      <c r="U762" s="52">
        <f>IF($C762="B",VLOOKUP($A762,Bat!$A$4:$BA$1417,47,FALSE),VLOOKUP($A762,Pit!$A$4:$BF$570,56,FALSE))</f>
        <v>0</v>
      </c>
      <c r="V762" s="52">
        <f>IF($C762="B",VLOOKUP($A762,Bat!$A$4:$BA$1417,48,FALSE),VLOOKUP($A762,Pit!$A$4:$BF$570,57,FALSE))</f>
        <v>0</v>
      </c>
      <c r="W762" s="52">
        <f>Table5[[#This Row],[posRnk]]+Table5[[#This Row],[zRnk]]+IF($W$3&lt;&gt;Table5[[#This Row],[Type]],50,0)</f>
        <v>808</v>
      </c>
      <c r="X762" s="53">
        <f>RANK(Table5[[#This Row],[zScore]],Table5[[#All],[zScore]])</f>
        <v>758</v>
      </c>
      <c r="Y762" s="52" t="str">
        <f>IFERROR(INDEX(DraftResults[[#All],[OVR]],MATCH(Table5[[#This Row],[PID]],DraftResults[[#All],[Player ID]],0)),"")</f>
        <v/>
      </c>
      <c r="Z7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2" s="52" t="str">
        <f>IFERROR(INDEX(DraftResults[[#All],[Pick in Round]],MATCH(Table5[[#This Row],[PID]],DraftResults[[#All],[Player ID]],0)),"")</f>
        <v/>
      </c>
      <c r="AB762" s="52" t="str">
        <f>IFERROR(INDEX(DraftResults[[#All],[Team Name]],MATCH(Table5[[#This Row],[PID]],DraftResults[[#All],[Player ID]],0)),"")</f>
        <v/>
      </c>
      <c r="AC762" s="52" t="str">
        <f>IF(Table5[[#This Row],[Ovr]]="","",IF(Table5[[#This Row],[cmbList]]="","",Table5[[#This Row],[cmbList]]-Table5[[#This Row],[Ovr]]))</f>
        <v/>
      </c>
      <c r="AD762" s="56" t="str">
        <f>IF(ISERROR(VLOOKUP($AB762&amp;"-"&amp;$E762&amp;" "&amp;F762,Bonuses!$B$1:$G$1006,4,FALSE)),"",INT(VLOOKUP($AB762&amp;"-"&amp;$E762&amp;" "&amp;$F762,Bonuses!$B$1:$G$1006,4,FALSE)))</f>
        <v/>
      </c>
      <c r="AE7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3" spans="1:31" s="52" customFormat="1" x14ac:dyDescent="0.25">
      <c r="A763" s="52">
        <v>11151</v>
      </c>
      <c r="B763" s="52">
        <f>COUNTIF(Table5[PID],A763)</f>
        <v>1</v>
      </c>
      <c r="C763" s="52" t="str">
        <f>IF(COUNTIF(Table3[[#All],[PID]],A763)&gt;0,"P","B")</f>
        <v>P</v>
      </c>
      <c r="D763" s="61" t="str">
        <f>IF($C763="B",INDEX(Batters[[#All],[POS]],MATCH(Table5[[#This Row],[PID]],Batters[[#All],[PID]],0)),INDEX(Table3[[#All],[POS]],MATCH(Table5[[#This Row],[PID]],Table3[[#All],[PID]],0)))</f>
        <v>RP</v>
      </c>
      <c r="E763" s="54" t="str">
        <f>IF($C763="B",INDEX(Batters[[#All],[First]],MATCH(Table5[[#This Row],[PID]],Batters[[#All],[PID]],0)),INDEX(Table3[[#All],[First]],MATCH(Table5[[#This Row],[PID]],Table3[[#All],[PID]],0)))</f>
        <v>Haranobu</v>
      </c>
      <c r="F763" s="52" t="str">
        <f>IF($C763="B",INDEX(Batters[[#All],[Last]],MATCH(A763,Batters[[#All],[PID]],0)),INDEX(Table3[[#All],[Last]],MATCH(A763,Table3[[#All],[PID]],0)))</f>
        <v>Nakamura</v>
      </c>
      <c r="G763" s="58">
        <f>IF($C763="B",INDEX(Batters[[#All],[Age]],MATCH(Table5[[#This Row],[PID]],Batters[[#All],[PID]],0)),INDEX(Table3[[#All],[Age]],MATCH(Table5[[#This Row],[PID]],Table3[[#All],[PID]],0)))</f>
        <v>21</v>
      </c>
      <c r="H763" s="54" t="str">
        <f>IF($C763="B",INDEX(Batters[[#All],[B]],MATCH(Table5[[#This Row],[PID]],Batters[[#All],[PID]],0)),INDEX(Table3[[#All],[B]],MATCH(Table5[[#This Row],[PID]],Table3[[#All],[PID]],0)))</f>
        <v>L</v>
      </c>
      <c r="I763" s="54" t="str">
        <f>IF($C763="B",INDEX(Batters[[#All],[T]],MATCH(Table5[[#This Row],[PID]],Batters[[#All],[PID]],0)),INDEX(Table3[[#All],[T]],MATCH(Table5[[#This Row],[PID]],Table3[[#All],[PID]],0)))</f>
        <v>R</v>
      </c>
      <c r="J763" s="54" t="str">
        <f>IF($C763="B",INDEX(Batters[[#All],[WE]],MATCH(Table5[[#This Row],[PID]],Batters[[#All],[PID]],0)),INDEX(Table3[[#All],[WE]],MATCH(Table5[[#This Row],[PID]],Table3[[#All],[PID]],0)))</f>
        <v>Normal</v>
      </c>
      <c r="K763" s="54" t="str">
        <f>IF($C763="B",INDEX(Batters[[#All],[INT]],MATCH(Table5[[#This Row],[PID]],Batters[[#All],[PID]],0)),INDEX(Table3[[#All],[INT]],MATCH(Table5[[#This Row],[PID]],Table3[[#All],[PID]],0)))</f>
        <v>Normal</v>
      </c>
      <c r="L763" s="62">
        <f>IF($C763="B",INDEX(Batters[[#All],[CON P]],MATCH(Table5[[#This Row],[PID]],Batters[[#All],[PID]],0)),INDEX(Table3[[#All],[STU P]],MATCH(Table5[[#This Row],[PID]],Table3[[#All],[PID]],0)))</f>
        <v>3</v>
      </c>
      <c r="M763" s="58">
        <f>IF($C763="B",INDEX(Batters[[#All],[GAP P]],MATCH(Table5[[#This Row],[PID]],Batters[[#All],[PID]],0)),INDEX(Table3[[#All],[MOV P]],MATCH(Table5[[#This Row],[PID]],Table3[[#All],[PID]],0)))</f>
        <v>1</v>
      </c>
      <c r="N763" s="58">
        <f>IF($C763="B",INDEX(Batters[[#All],[POW P]],MATCH(Table5[[#This Row],[PID]],Batters[[#All],[PID]],0)),INDEX(Table3[[#All],[CON P]],MATCH(Table5[[#This Row],[PID]],Table3[[#All],[PID]],0)))</f>
        <v>3</v>
      </c>
      <c r="O763" s="58" t="str">
        <f>IF($C763="B",INDEX(Batters[[#All],[EYE P]],MATCH(Table5[[#This Row],[PID]],Batters[[#All],[PID]],0)),INDEX(Table3[[#All],[VELO]],MATCH(Table5[[#This Row],[PID]],Table3[[#All],[PID]],0)))</f>
        <v>84-86 Mph</v>
      </c>
      <c r="P763" s="58">
        <f>IF($C763="B",INDEX(Batters[[#All],[K P]],MATCH(Table5[[#This Row],[PID]],Batters[[#All],[PID]],0)),INDEX(Table3[[#All],[STM]],MATCH(Table5[[#This Row],[PID]],Table3[[#All],[PID]],0)))</f>
        <v>6</v>
      </c>
      <c r="Q763" s="63">
        <f>IF($C763="B",INDEX(Batters[[#All],[Tot]],MATCH(Table5[[#This Row],[PID]],Batters[[#All],[PID]],0)),INDEX(Table3[[#All],[Tot]],MATCH(Table5[[#This Row],[PID]],Table3[[#All],[PID]],0)))</f>
        <v>23.63116863345471</v>
      </c>
      <c r="R763" s="54">
        <f>IF($C763="B",INDEX(Batters[[#All],[zScore]],MATCH(Table5[[#This Row],[PID]],Batters[[#All],[PID]],0)),INDEX(Table3[[#All],[zScore]],MATCH(Table5[[#This Row],[PID]],Table3[[#All],[PID]],0)))</f>
        <v>-0.59282123076407833</v>
      </c>
      <c r="S763" s="60" t="str">
        <f>IF($C763="B",INDEX(Batters[[#All],[DEM]],MATCH(Table5[[#This Row],[PID]],Batters[[#All],[PID]],0)),INDEX(Table3[[#All],[DEM]],MATCH(Table5[[#This Row],[PID]],Table3[[#All],[PID]],0)))</f>
        <v>-</v>
      </c>
      <c r="T763" s="64">
        <f>IF($C763="B",VLOOKUP($A763,Bat!$A$4:$AU$1417,46,FALSE),VLOOKUP($A763,Pit!$A$4:$BD$570,55,FALSE))</f>
        <v>0</v>
      </c>
      <c r="U763" s="52">
        <f>IF($C763="B",VLOOKUP($A763,Bat!$A$4:$BA$1417,47,FALSE),VLOOKUP($A763,Pit!$A$4:$BF$570,56,FALSE))</f>
        <v>0</v>
      </c>
      <c r="V763" s="52">
        <f>IF($C763="B",VLOOKUP($A763,Bat!$A$4:$BA$1417,48,FALSE),VLOOKUP($A763,Pit!$A$4:$BF$570,57,FALSE))</f>
        <v>0</v>
      </c>
      <c r="W763" s="52">
        <f>Table5[[#This Row],[posRnk]]+Table5[[#This Row],[zRnk]]+IF($W$3&lt;&gt;Table5[[#This Row],[Type]],50,0)</f>
        <v>809</v>
      </c>
      <c r="X763" s="53">
        <f>RANK(Table5[[#This Row],[zScore]],Table5[[#All],[zScore]])</f>
        <v>759</v>
      </c>
      <c r="Y763" s="52" t="str">
        <f>IFERROR(INDEX(DraftResults[[#All],[OVR]],MATCH(Table5[[#This Row],[PID]],DraftResults[[#All],[Player ID]],0)),"")</f>
        <v/>
      </c>
      <c r="Z7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3" s="52" t="str">
        <f>IFERROR(INDEX(DraftResults[[#All],[Pick in Round]],MATCH(Table5[[#This Row],[PID]],DraftResults[[#All],[Player ID]],0)),"")</f>
        <v/>
      </c>
      <c r="AB763" s="52" t="str">
        <f>IFERROR(INDEX(DraftResults[[#All],[Team Name]],MATCH(Table5[[#This Row],[PID]],DraftResults[[#All],[Player ID]],0)),"")</f>
        <v/>
      </c>
      <c r="AC763" s="52" t="str">
        <f>IF(Table5[[#This Row],[Ovr]]="","",IF(Table5[[#This Row],[cmbList]]="","",Table5[[#This Row],[cmbList]]-Table5[[#This Row],[Ovr]]))</f>
        <v/>
      </c>
      <c r="AD763" s="56" t="str">
        <f>IF(ISERROR(VLOOKUP($AB763&amp;"-"&amp;$E763&amp;" "&amp;F763,Bonuses!$B$1:$G$1006,4,FALSE)),"",INT(VLOOKUP($AB763&amp;"-"&amp;$E763&amp;" "&amp;$F763,Bonuses!$B$1:$G$1006,4,FALSE)))</f>
        <v/>
      </c>
      <c r="AE7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4" spans="1:31" s="52" customFormat="1" x14ac:dyDescent="0.25">
      <c r="A764" s="52">
        <v>7954</v>
      </c>
      <c r="B764" s="52">
        <f>COUNTIF(Table5[PID],A764)</f>
        <v>1</v>
      </c>
      <c r="C764" s="52" t="str">
        <f>IF(COUNTIF(Table3[[#All],[PID]],A764)&gt;0,"P","B")</f>
        <v>P</v>
      </c>
      <c r="D764" s="61" t="str">
        <f>IF($C764="B",INDEX(Batters[[#All],[POS]],MATCH(Table5[[#This Row],[PID]],Batters[[#All],[PID]],0)),INDEX(Table3[[#All],[POS]],MATCH(Table5[[#This Row],[PID]],Table3[[#All],[PID]],0)))</f>
        <v>RP</v>
      </c>
      <c r="E764" s="54" t="str">
        <f>IF($C764="B",INDEX(Batters[[#All],[First]],MATCH(Table5[[#This Row],[PID]],Batters[[#All],[PID]],0)),INDEX(Table3[[#All],[First]],MATCH(Table5[[#This Row],[PID]],Table3[[#All],[PID]],0)))</f>
        <v>Joey</v>
      </c>
      <c r="F764" s="52" t="str">
        <f>IF($C764="B",INDEX(Batters[[#All],[Last]],MATCH(A764,Batters[[#All],[PID]],0)),INDEX(Table3[[#All],[Last]],MATCH(A764,Table3[[#All],[PID]],0)))</f>
        <v>Kramer</v>
      </c>
      <c r="G764" s="58">
        <f>IF($C764="B",INDEX(Batters[[#All],[Age]],MATCH(Table5[[#This Row],[PID]],Batters[[#All],[PID]],0)),INDEX(Table3[[#All],[Age]],MATCH(Table5[[#This Row],[PID]],Table3[[#All],[PID]],0)))</f>
        <v>18</v>
      </c>
      <c r="H764" s="54" t="str">
        <f>IF($C764="B",INDEX(Batters[[#All],[B]],MATCH(Table5[[#This Row],[PID]],Batters[[#All],[PID]],0)),INDEX(Table3[[#All],[B]],MATCH(Table5[[#This Row],[PID]],Table3[[#All],[PID]],0)))</f>
        <v>R</v>
      </c>
      <c r="I764" s="54" t="str">
        <f>IF($C764="B",INDEX(Batters[[#All],[T]],MATCH(Table5[[#This Row],[PID]],Batters[[#All],[PID]],0)),INDEX(Table3[[#All],[T]],MATCH(Table5[[#This Row],[PID]],Table3[[#All],[PID]],0)))</f>
        <v>R</v>
      </c>
      <c r="J764" s="54" t="str">
        <f>IF($C764="B",INDEX(Batters[[#All],[WE]],MATCH(Table5[[#This Row],[PID]],Batters[[#All],[PID]],0)),INDEX(Table3[[#All],[WE]],MATCH(Table5[[#This Row],[PID]],Table3[[#All],[PID]],0)))</f>
        <v>Low</v>
      </c>
      <c r="K764" s="54" t="str">
        <f>IF($C764="B",INDEX(Batters[[#All],[INT]],MATCH(Table5[[#This Row],[PID]],Batters[[#All],[PID]],0)),INDEX(Table3[[#All],[INT]],MATCH(Table5[[#This Row],[PID]],Table3[[#All],[PID]],0)))</f>
        <v>Normal</v>
      </c>
      <c r="L764" s="62">
        <f>IF($C764="B",INDEX(Batters[[#All],[CON P]],MATCH(Table5[[#This Row],[PID]],Batters[[#All],[PID]],0)),INDEX(Table3[[#All],[STU P]],MATCH(Table5[[#This Row],[PID]],Table3[[#All],[PID]],0)))</f>
        <v>3</v>
      </c>
      <c r="M764" s="58">
        <f>IF($C764="B",INDEX(Batters[[#All],[GAP P]],MATCH(Table5[[#This Row],[PID]],Batters[[#All],[PID]],0)),INDEX(Table3[[#All],[MOV P]],MATCH(Table5[[#This Row],[PID]],Table3[[#All],[PID]],0)))</f>
        <v>1</v>
      </c>
      <c r="N764" s="58">
        <f>IF($C764="B",INDEX(Batters[[#All],[POW P]],MATCH(Table5[[#This Row],[PID]],Batters[[#All],[PID]],0)),INDEX(Table3[[#All],[CON P]],MATCH(Table5[[#This Row],[PID]],Table3[[#All],[PID]],0)))</f>
        <v>2</v>
      </c>
      <c r="O764" s="58" t="str">
        <f>IF($C764="B",INDEX(Batters[[#All],[EYE P]],MATCH(Table5[[#This Row],[PID]],Batters[[#All],[PID]],0)),INDEX(Table3[[#All],[VELO]],MATCH(Table5[[#This Row],[PID]],Table3[[#All],[PID]],0)))</f>
        <v>84-86 Mph</v>
      </c>
      <c r="P764" s="58">
        <f>IF($C764="B",INDEX(Batters[[#All],[K P]],MATCH(Table5[[#This Row],[PID]],Batters[[#All],[PID]],0)),INDEX(Table3[[#All],[STM]],MATCH(Table5[[#This Row],[PID]],Table3[[#All],[PID]],0)))</f>
        <v>8</v>
      </c>
      <c r="Q764" s="63">
        <f>IF($C764="B",INDEX(Batters[[#All],[Tot]],MATCH(Table5[[#This Row],[PID]],Batters[[#All],[PID]],0)),INDEX(Table3[[#All],[Tot]],MATCH(Table5[[#This Row],[PID]],Table3[[#All],[PID]],0)))</f>
        <v>23.626579938320589</v>
      </c>
      <c r="R764" s="54">
        <f>IF($C764="B",INDEX(Batters[[#All],[zScore]],MATCH(Table5[[#This Row],[PID]],Batters[[#All],[PID]],0)),INDEX(Table3[[#All],[zScore]],MATCH(Table5[[#This Row],[PID]],Table3[[#All],[PID]],0)))</f>
        <v>-0.59322339594393547</v>
      </c>
      <c r="S764" s="60" t="str">
        <f>IF($C764="B",INDEX(Batters[[#All],[DEM]],MATCH(Table5[[#This Row],[PID]],Batters[[#All],[PID]],0)),INDEX(Table3[[#All],[DEM]],MATCH(Table5[[#This Row],[PID]],Table3[[#All],[PID]],0)))</f>
        <v>$75k</v>
      </c>
      <c r="T764" s="64">
        <f>IF($C764="B",VLOOKUP($A764,Bat!$A$4:$AU$1417,46,FALSE),VLOOKUP($A764,Pit!$A$4:$BD$570,55,FALSE))</f>
        <v>0</v>
      </c>
      <c r="U764" s="52">
        <f>IF($C764="B",VLOOKUP($A764,Bat!$A$4:$BA$1417,47,FALSE),VLOOKUP($A764,Pit!$A$4:$BF$570,56,FALSE))</f>
        <v>0</v>
      </c>
      <c r="V764" s="52">
        <f>IF($C764="B",VLOOKUP($A764,Bat!$A$4:$BA$1417,48,FALSE),VLOOKUP($A764,Pit!$A$4:$BF$570,57,FALSE))</f>
        <v>0</v>
      </c>
      <c r="W764" s="52">
        <f>Table5[[#This Row],[posRnk]]+Table5[[#This Row],[zRnk]]+IF($W$3&lt;&gt;Table5[[#This Row],[Type]],50,0)</f>
        <v>810</v>
      </c>
      <c r="X764" s="53">
        <f>RANK(Table5[[#This Row],[zScore]],Table5[[#All],[zScore]])</f>
        <v>760</v>
      </c>
      <c r="Y764" s="52" t="str">
        <f>IFERROR(INDEX(DraftResults[[#All],[OVR]],MATCH(Table5[[#This Row],[PID]],DraftResults[[#All],[Player ID]],0)),"")</f>
        <v/>
      </c>
      <c r="Z7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4" s="52" t="str">
        <f>IFERROR(INDEX(DraftResults[[#All],[Pick in Round]],MATCH(Table5[[#This Row],[PID]],DraftResults[[#All],[Player ID]],0)),"")</f>
        <v/>
      </c>
      <c r="AB764" s="52" t="str">
        <f>IFERROR(INDEX(DraftResults[[#All],[Team Name]],MATCH(Table5[[#This Row],[PID]],DraftResults[[#All],[Player ID]],0)),"")</f>
        <v/>
      </c>
      <c r="AC764" s="52" t="str">
        <f>IF(Table5[[#This Row],[Ovr]]="","",IF(Table5[[#This Row],[cmbList]]="","",Table5[[#This Row],[cmbList]]-Table5[[#This Row],[Ovr]]))</f>
        <v/>
      </c>
      <c r="AD764" s="56" t="str">
        <f>IF(ISERROR(VLOOKUP($AB764&amp;"-"&amp;$E764&amp;" "&amp;F764,Bonuses!$B$1:$G$1006,4,FALSE)),"",INT(VLOOKUP($AB764&amp;"-"&amp;$E764&amp;" "&amp;$F764,Bonuses!$B$1:$G$1006,4,FALSE)))</f>
        <v/>
      </c>
      <c r="AE7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5" spans="1:31" s="52" customFormat="1" x14ac:dyDescent="0.25">
      <c r="A765" s="52">
        <v>13566</v>
      </c>
      <c r="B765" s="52">
        <f>COUNTIF(Table5[PID],A765)</f>
        <v>1</v>
      </c>
      <c r="C765" s="52" t="str">
        <f>IF(COUNTIF(Table3[[#All],[PID]],A765)&gt;0,"P","B")</f>
        <v>P</v>
      </c>
      <c r="D765" s="61" t="str">
        <f>IF($C765="B",INDEX(Batters[[#All],[POS]],MATCH(Table5[[#This Row],[PID]],Batters[[#All],[PID]],0)),INDEX(Table3[[#All],[POS]],MATCH(Table5[[#This Row],[PID]],Table3[[#All],[PID]],0)))</f>
        <v>RP</v>
      </c>
      <c r="E765" s="54" t="str">
        <f>IF($C765="B",INDEX(Batters[[#All],[First]],MATCH(Table5[[#This Row],[PID]],Batters[[#All],[PID]],0)),INDEX(Table3[[#All],[First]],MATCH(Table5[[#This Row],[PID]],Table3[[#All],[PID]],0)))</f>
        <v>Shinsui</v>
      </c>
      <c r="F765" s="52" t="str">
        <f>IF($C765="B",INDEX(Batters[[#All],[Last]],MATCH(A765,Batters[[#All],[PID]],0)),INDEX(Table3[[#All],[Last]],MATCH(A765,Table3[[#All],[PID]],0)))</f>
        <v>Hayashi</v>
      </c>
      <c r="G765" s="58">
        <f>IF($C765="B",INDEX(Batters[[#All],[Age]],MATCH(Table5[[#This Row],[PID]],Batters[[#All],[PID]],0)),INDEX(Table3[[#All],[Age]],MATCH(Table5[[#This Row],[PID]],Table3[[#All],[PID]],0)))</f>
        <v>18</v>
      </c>
      <c r="H765" s="54" t="str">
        <f>IF($C765="B",INDEX(Batters[[#All],[B]],MATCH(Table5[[#This Row],[PID]],Batters[[#All],[PID]],0)),INDEX(Table3[[#All],[B]],MATCH(Table5[[#This Row],[PID]],Table3[[#All],[PID]],0)))</f>
        <v>R</v>
      </c>
      <c r="I765" s="54" t="str">
        <f>IF($C765="B",INDEX(Batters[[#All],[T]],MATCH(Table5[[#This Row],[PID]],Batters[[#All],[PID]],0)),INDEX(Table3[[#All],[T]],MATCH(Table5[[#This Row],[PID]],Table3[[#All],[PID]],0)))</f>
        <v>R</v>
      </c>
      <c r="J765" s="54" t="str">
        <f>IF($C765="B",INDEX(Batters[[#All],[WE]],MATCH(Table5[[#This Row],[PID]],Batters[[#All],[PID]],0)),INDEX(Table3[[#All],[WE]],MATCH(Table5[[#This Row],[PID]],Table3[[#All],[PID]],0)))</f>
        <v>Normal</v>
      </c>
      <c r="K765" s="54" t="str">
        <f>IF($C765="B",INDEX(Batters[[#All],[INT]],MATCH(Table5[[#This Row],[PID]],Batters[[#All],[PID]],0)),INDEX(Table3[[#All],[INT]],MATCH(Table5[[#This Row],[PID]],Table3[[#All],[PID]],0)))</f>
        <v>Normal</v>
      </c>
      <c r="L765" s="62">
        <f>IF($C765="B",INDEX(Batters[[#All],[CON P]],MATCH(Table5[[#This Row],[PID]],Batters[[#All],[PID]],0)),INDEX(Table3[[#All],[STU P]],MATCH(Table5[[#This Row],[PID]],Table3[[#All],[PID]],0)))</f>
        <v>4</v>
      </c>
      <c r="M765" s="58">
        <f>IF($C765="B",INDEX(Batters[[#All],[GAP P]],MATCH(Table5[[#This Row],[PID]],Batters[[#All],[PID]],0)),INDEX(Table3[[#All],[MOV P]],MATCH(Table5[[#This Row],[PID]],Table3[[#All],[PID]],0)))</f>
        <v>1</v>
      </c>
      <c r="N765" s="58">
        <f>IF($C765="B",INDEX(Batters[[#All],[POW P]],MATCH(Table5[[#This Row],[PID]],Batters[[#All],[PID]],0)),INDEX(Table3[[#All],[CON P]],MATCH(Table5[[#This Row],[PID]],Table3[[#All],[PID]],0)))</f>
        <v>2</v>
      </c>
      <c r="O765" s="58" t="str">
        <f>IF($C765="B",INDEX(Batters[[#All],[EYE P]],MATCH(Table5[[#This Row],[PID]],Batters[[#All],[PID]],0)),INDEX(Table3[[#All],[VELO]],MATCH(Table5[[#This Row],[PID]],Table3[[#All],[PID]],0)))</f>
        <v>86-88 Mph</v>
      </c>
      <c r="P765" s="58">
        <f>IF($C765="B",INDEX(Batters[[#All],[K P]],MATCH(Table5[[#This Row],[PID]],Batters[[#All],[PID]],0)),INDEX(Table3[[#All],[STM]],MATCH(Table5[[#This Row],[PID]],Table3[[#All],[PID]],0)))</f>
        <v>10</v>
      </c>
      <c r="Q765" s="63">
        <f>IF($C765="B",INDEX(Batters[[#All],[Tot]],MATCH(Table5[[#This Row],[PID]],Batters[[#All],[PID]],0)),INDEX(Table3[[#All],[Tot]],MATCH(Table5[[#This Row],[PID]],Table3[[#All],[PID]],0)))</f>
        <v>26.224413989457137</v>
      </c>
      <c r="R765" s="54">
        <f>IF($C765="B",INDEX(Batters[[#All],[zScore]],MATCH(Table5[[#This Row],[PID]],Batters[[#All],[PID]],0)),INDEX(Table3[[#All],[zScore]],MATCH(Table5[[#This Row],[PID]],Table3[[#All],[PID]],0)))</f>
        <v>-0.59587941282265455</v>
      </c>
      <c r="S765" s="60" t="str">
        <f>IF($C765="B",INDEX(Batters[[#All],[DEM]],MATCH(Table5[[#This Row],[PID]],Batters[[#All],[PID]],0)),INDEX(Table3[[#All],[DEM]],MATCH(Table5[[#This Row],[PID]],Table3[[#All],[PID]],0)))</f>
        <v>$65k</v>
      </c>
      <c r="T765" s="64">
        <f>IF($C765="B",VLOOKUP($A765,Bat!$A$4:$AU$1417,46,FALSE),VLOOKUP($A765,Pit!$A$4:$BD$570,55,FALSE))</f>
        <v>0</v>
      </c>
      <c r="U765" s="52">
        <f>IF($C765="B",VLOOKUP($A765,Bat!$A$4:$BA$1417,47,FALSE),VLOOKUP($A765,Pit!$A$4:$BF$570,56,FALSE))</f>
        <v>0</v>
      </c>
      <c r="V765" s="52">
        <f>IF($C765="B",VLOOKUP($A765,Bat!$A$4:$BA$1417,48,FALSE),VLOOKUP($A765,Pit!$A$4:$BF$570,57,FALSE))</f>
        <v>0</v>
      </c>
      <c r="W765" s="52">
        <f>Table5[[#This Row],[posRnk]]+Table5[[#This Row],[zRnk]]+IF($W$3&lt;&gt;Table5[[#This Row],[Type]],50,0)</f>
        <v>811</v>
      </c>
      <c r="X765" s="53">
        <f>RANK(Table5[[#This Row],[zScore]],Table5[[#All],[zScore]])</f>
        <v>761</v>
      </c>
      <c r="Y765" s="52" t="str">
        <f>IFERROR(INDEX(DraftResults[[#All],[OVR]],MATCH(Table5[[#This Row],[PID]],DraftResults[[#All],[Player ID]],0)),"")</f>
        <v/>
      </c>
      <c r="Z7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5" s="52" t="str">
        <f>IFERROR(INDEX(DraftResults[[#All],[Pick in Round]],MATCH(Table5[[#This Row],[PID]],DraftResults[[#All],[Player ID]],0)),"")</f>
        <v/>
      </c>
      <c r="AB765" s="52" t="str">
        <f>IFERROR(INDEX(DraftResults[[#All],[Team Name]],MATCH(Table5[[#This Row],[PID]],DraftResults[[#All],[Player ID]],0)),"")</f>
        <v/>
      </c>
      <c r="AC765" s="52" t="str">
        <f>IF(Table5[[#This Row],[Ovr]]="","",IF(Table5[[#This Row],[cmbList]]="","",Table5[[#This Row],[cmbList]]-Table5[[#This Row],[Ovr]]))</f>
        <v/>
      </c>
      <c r="AD765" s="56" t="str">
        <f>IF(ISERROR(VLOOKUP($AB765&amp;"-"&amp;$E765&amp;" "&amp;F765,Bonuses!$B$1:$G$1006,4,FALSE)),"",INT(VLOOKUP($AB765&amp;"-"&amp;$E765&amp;" "&amp;$F765,Bonuses!$B$1:$G$1006,4,FALSE)))</f>
        <v/>
      </c>
      <c r="AE7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6" spans="1:31" s="52" customFormat="1" x14ac:dyDescent="0.25">
      <c r="A766" s="52">
        <v>12196</v>
      </c>
      <c r="B766" s="52">
        <f>COUNTIF(Table5[PID],A766)</f>
        <v>1</v>
      </c>
      <c r="C766" s="52" t="str">
        <f>IF(COUNTIF(Table3[[#All],[PID]],A766)&gt;0,"P","B")</f>
        <v>P</v>
      </c>
      <c r="D766" s="61" t="str">
        <f>IF($C766="B",INDEX(Batters[[#All],[POS]],MATCH(Table5[[#This Row],[PID]],Batters[[#All],[PID]],0)),INDEX(Table3[[#All],[POS]],MATCH(Table5[[#This Row],[PID]],Table3[[#All],[PID]],0)))</f>
        <v>RP</v>
      </c>
      <c r="E766" s="54" t="str">
        <f>IF($C766="B",INDEX(Batters[[#All],[First]],MATCH(Table5[[#This Row],[PID]],Batters[[#All],[PID]],0)),INDEX(Table3[[#All],[First]],MATCH(Table5[[#This Row],[PID]],Table3[[#All],[PID]],0)))</f>
        <v>Clarence</v>
      </c>
      <c r="F766" s="52" t="str">
        <f>IF($C766="B",INDEX(Batters[[#All],[Last]],MATCH(A766,Batters[[#All],[PID]],0)),INDEX(Table3[[#All],[Last]],MATCH(A766,Table3[[#All],[PID]],0)))</f>
        <v>Morgan</v>
      </c>
      <c r="G766" s="58">
        <f>IF($C766="B",INDEX(Batters[[#All],[Age]],MATCH(Table5[[#This Row],[PID]],Batters[[#All],[PID]],0)),INDEX(Table3[[#All],[Age]],MATCH(Table5[[#This Row],[PID]],Table3[[#All],[PID]],0)))</f>
        <v>21</v>
      </c>
      <c r="H766" s="54" t="str">
        <f>IF($C766="B",INDEX(Batters[[#All],[B]],MATCH(Table5[[#This Row],[PID]],Batters[[#All],[PID]],0)),INDEX(Table3[[#All],[B]],MATCH(Table5[[#This Row],[PID]],Table3[[#All],[PID]],0)))</f>
        <v>S</v>
      </c>
      <c r="I766" s="54" t="str">
        <f>IF($C766="B",INDEX(Batters[[#All],[T]],MATCH(Table5[[#This Row],[PID]],Batters[[#All],[PID]],0)),INDEX(Table3[[#All],[T]],MATCH(Table5[[#This Row],[PID]],Table3[[#All],[PID]],0)))</f>
        <v>R</v>
      </c>
      <c r="J766" s="54" t="str">
        <f>IF($C766="B",INDEX(Batters[[#All],[WE]],MATCH(Table5[[#This Row],[PID]],Batters[[#All],[PID]],0)),INDEX(Table3[[#All],[WE]],MATCH(Table5[[#This Row],[PID]],Table3[[#All],[PID]],0)))</f>
        <v>Normal</v>
      </c>
      <c r="K766" s="54" t="str">
        <f>IF($C766="B",INDEX(Batters[[#All],[INT]],MATCH(Table5[[#This Row],[PID]],Batters[[#All],[PID]],0)),INDEX(Table3[[#All],[INT]],MATCH(Table5[[#This Row],[PID]],Table3[[#All],[PID]],0)))</f>
        <v>Normal</v>
      </c>
      <c r="L766" s="62">
        <f>IF($C766="B",INDEX(Batters[[#All],[CON P]],MATCH(Table5[[#This Row],[PID]],Batters[[#All],[PID]],0)),INDEX(Table3[[#All],[STU P]],MATCH(Table5[[#This Row],[PID]],Table3[[#All],[PID]],0)))</f>
        <v>4</v>
      </c>
      <c r="M766" s="58">
        <f>IF($C766="B",INDEX(Batters[[#All],[GAP P]],MATCH(Table5[[#This Row],[PID]],Batters[[#All],[PID]],0)),INDEX(Table3[[#All],[MOV P]],MATCH(Table5[[#This Row],[PID]],Table3[[#All],[PID]],0)))</f>
        <v>2</v>
      </c>
      <c r="N766" s="58">
        <f>IF($C766="B",INDEX(Batters[[#All],[POW P]],MATCH(Table5[[#This Row],[PID]],Batters[[#All],[PID]],0)),INDEX(Table3[[#All],[CON P]],MATCH(Table5[[#This Row],[PID]],Table3[[#All],[PID]],0)))</f>
        <v>2</v>
      </c>
      <c r="O766" s="58" t="str">
        <f>IF($C766="B",INDEX(Batters[[#All],[EYE P]],MATCH(Table5[[#This Row],[PID]],Batters[[#All],[PID]],0)),INDEX(Table3[[#All],[VELO]],MATCH(Table5[[#This Row],[PID]],Table3[[#All],[PID]],0)))</f>
        <v>85-87 Mph</v>
      </c>
      <c r="P766" s="58">
        <f>IF($C766="B",INDEX(Batters[[#All],[K P]],MATCH(Table5[[#This Row],[PID]],Batters[[#All],[PID]],0)),INDEX(Table3[[#All],[STM]],MATCH(Table5[[#This Row],[PID]],Table3[[#All],[PID]],0)))</f>
        <v>6</v>
      </c>
      <c r="Q766" s="63">
        <f>IF($C766="B",INDEX(Batters[[#All],[Tot]],MATCH(Table5[[#This Row],[PID]],Batters[[#All],[PID]],0)),INDEX(Table3[[#All],[Tot]],MATCH(Table5[[#This Row],[PID]],Table3[[#All],[PID]],0)))</f>
        <v>26.219930254452816</v>
      </c>
      <c r="R766" s="54">
        <f>IF($C766="B",INDEX(Batters[[#All],[zScore]],MATCH(Table5[[#This Row],[PID]],Batters[[#All],[PID]],0)),INDEX(Table3[[#All],[zScore]],MATCH(Table5[[#This Row],[PID]],Table3[[#All],[PID]],0)))</f>
        <v>-0.59629059048643696</v>
      </c>
      <c r="S766" s="60" t="str">
        <f>IF($C766="B",INDEX(Batters[[#All],[DEM]],MATCH(Table5[[#This Row],[PID]],Batters[[#All],[PID]],0)),INDEX(Table3[[#All],[DEM]],MATCH(Table5[[#This Row],[PID]],Table3[[#All],[PID]],0)))</f>
        <v>$20k</v>
      </c>
      <c r="T766" s="64">
        <f>IF($C766="B",VLOOKUP($A766,Bat!$A$4:$AU$1417,46,FALSE),VLOOKUP($A766,Pit!$A$4:$BD$570,55,FALSE))</f>
        <v>0</v>
      </c>
      <c r="U766" s="52">
        <f>IF($C766="B",VLOOKUP($A766,Bat!$A$4:$BA$1417,47,FALSE),VLOOKUP($A766,Pit!$A$4:$BF$570,56,FALSE))</f>
        <v>0</v>
      </c>
      <c r="V766" s="52">
        <f>IF($C766="B",VLOOKUP($A766,Bat!$A$4:$BA$1417,48,FALSE),VLOOKUP($A766,Pit!$A$4:$BF$570,57,FALSE))</f>
        <v>0</v>
      </c>
      <c r="W766" s="52">
        <f>Table5[[#This Row],[posRnk]]+Table5[[#This Row],[zRnk]]+IF($W$3&lt;&gt;Table5[[#This Row],[Type]],50,0)</f>
        <v>812</v>
      </c>
      <c r="X766" s="53">
        <f>RANK(Table5[[#This Row],[zScore]],Table5[[#All],[zScore]])</f>
        <v>762</v>
      </c>
      <c r="Y766" s="52" t="str">
        <f>IFERROR(INDEX(DraftResults[[#All],[OVR]],MATCH(Table5[[#This Row],[PID]],DraftResults[[#All],[Player ID]],0)),"")</f>
        <v/>
      </c>
      <c r="Z7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6" s="52" t="str">
        <f>IFERROR(INDEX(DraftResults[[#All],[Pick in Round]],MATCH(Table5[[#This Row],[PID]],DraftResults[[#All],[Player ID]],0)),"")</f>
        <v/>
      </c>
      <c r="AB766" s="52" t="str">
        <f>IFERROR(INDEX(DraftResults[[#All],[Team Name]],MATCH(Table5[[#This Row],[PID]],DraftResults[[#All],[Player ID]],0)),"")</f>
        <v/>
      </c>
      <c r="AC766" s="52" t="str">
        <f>IF(Table5[[#This Row],[Ovr]]="","",IF(Table5[[#This Row],[cmbList]]="","",Table5[[#This Row],[cmbList]]-Table5[[#This Row],[Ovr]]))</f>
        <v/>
      </c>
      <c r="AD766" s="56" t="str">
        <f>IF(ISERROR(VLOOKUP($AB766&amp;"-"&amp;$E766&amp;" "&amp;F766,Bonuses!$B$1:$G$1006,4,FALSE)),"",INT(VLOOKUP($AB766&amp;"-"&amp;$E766&amp;" "&amp;$F766,Bonuses!$B$1:$G$1006,4,FALSE)))</f>
        <v/>
      </c>
      <c r="AE7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7" spans="1:31" s="52" customFormat="1" x14ac:dyDescent="0.25">
      <c r="A767" s="52">
        <v>7189</v>
      </c>
      <c r="B767" s="52">
        <f>COUNTIF(Table5[PID],A767)</f>
        <v>1</v>
      </c>
      <c r="C767" s="52" t="str">
        <f>IF(COUNTIF(Table3[[#All],[PID]],A767)&gt;0,"P","B")</f>
        <v>B</v>
      </c>
      <c r="D767" s="61" t="str">
        <f>IF($C767="B",INDEX(Batters[[#All],[POS]],MATCH(Table5[[#This Row],[PID]],Batters[[#All],[PID]],0)),INDEX(Table3[[#All],[POS]],MATCH(Table5[[#This Row],[PID]],Table3[[#All],[PID]],0)))</f>
        <v>C</v>
      </c>
      <c r="E767" s="54" t="str">
        <f>IF($C767="B",INDEX(Batters[[#All],[First]],MATCH(Table5[[#This Row],[PID]],Batters[[#All],[PID]],0)),INDEX(Table3[[#All],[First]],MATCH(Table5[[#This Row],[PID]],Table3[[#All],[PID]],0)))</f>
        <v>Gordon</v>
      </c>
      <c r="F767" s="52" t="str">
        <f>IF($C767="B",INDEX(Batters[[#All],[Last]],MATCH(A767,Batters[[#All],[PID]],0)),INDEX(Table3[[#All],[Last]],MATCH(A767,Table3[[#All],[PID]],0)))</f>
        <v>Nance</v>
      </c>
      <c r="G767" s="58">
        <f>IF($C767="B",INDEX(Batters[[#All],[Age]],MATCH(Table5[[#This Row],[PID]],Batters[[#All],[PID]],0)),INDEX(Table3[[#All],[Age]],MATCH(Table5[[#This Row],[PID]],Table3[[#All],[PID]],0)))</f>
        <v>22</v>
      </c>
      <c r="H767" s="54" t="str">
        <f>IF($C767="B",INDEX(Batters[[#All],[B]],MATCH(Table5[[#This Row],[PID]],Batters[[#All],[PID]],0)),INDEX(Table3[[#All],[B]],MATCH(Table5[[#This Row],[PID]],Table3[[#All],[PID]],0)))</f>
        <v>R</v>
      </c>
      <c r="I767" s="54" t="str">
        <f>IF($C767="B",INDEX(Batters[[#All],[T]],MATCH(Table5[[#This Row],[PID]],Batters[[#All],[PID]],0)),INDEX(Table3[[#All],[T]],MATCH(Table5[[#This Row],[PID]],Table3[[#All],[PID]],0)))</f>
        <v>R</v>
      </c>
      <c r="J767" s="54" t="str">
        <f>IF($C767="B",INDEX(Batters[[#All],[WE]],MATCH(Table5[[#This Row],[PID]],Batters[[#All],[PID]],0)),INDEX(Table3[[#All],[WE]],MATCH(Table5[[#This Row],[PID]],Table3[[#All],[PID]],0)))</f>
        <v>Normal</v>
      </c>
      <c r="K767" s="54" t="str">
        <f>IF($C767="B",INDEX(Batters[[#All],[INT]],MATCH(Table5[[#This Row],[PID]],Batters[[#All],[PID]],0)),INDEX(Table3[[#All],[INT]],MATCH(Table5[[#This Row],[PID]],Table3[[#All],[PID]],0)))</f>
        <v>Normal</v>
      </c>
      <c r="L767" s="62">
        <f>IF($C767="B",INDEX(Batters[[#All],[CON P]],MATCH(Table5[[#This Row],[PID]],Batters[[#All],[PID]],0)),INDEX(Table3[[#All],[STU P]],MATCH(Table5[[#This Row],[PID]],Table3[[#All],[PID]],0)))</f>
        <v>3</v>
      </c>
      <c r="M767" s="58">
        <f>IF($C767="B",INDEX(Batters[[#All],[GAP P]],MATCH(Table5[[#This Row],[PID]],Batters[[#All],[PID]],0)),INDEX(Table3[[#All],[MOV P]],MATCH(Table5[[#This Row],[PID]],Table3[[#All],[PID]],0)))</f>
        <v>2</v>
      </c>
      <c r="N767" s="58">
        <f>IF($C767="B",INDEX(Batters[[#All],[POW P]],MATCH(Table5[[#This Row],[PID]],Batters[[#All],[PID]],0)),INDEX(Table3[[#All],[CON P]],MATCH(Table5[[#This Row],[PID]],Table3[[#All],[PID]],0)))</f>
        <v>4</v>
      </c>
      <c r="O767" s="58">
        <f>IF($C767="B",INDEX(Batters[[#All],[EYE P]],MATCH(Table5[[#This Row],[PID]],Batters[[#All],[PID]],0)),INDEX(Table3[[#All],[VELO]],MATCH(Table5[[#This Row],[PID]],Table3[[#All],[PID]],0)))</f>
        <v>5</v>
      </c>
      <c r="P767" s="58">
        <f>IF($C767="B",INDEX(Batters[[#All],[K P]],MATCH(Table5[[#This Row],[PID]],Batters[[#All],[PID]],0)),INDEX(Table3[[#All],[STM]],MATCH(Table5[[#This Row],[PID]],Table3[[#All],[PID]],0)))</f>
        <v>4</v>
      </c>
      <c r="Q767" s="63">
        <f>IF($C767="B",INDEX(Batters[[#All],[Tot]],MATCH(Table5[[#This Row],[PID]],Batters[[#All],[PID]],0)),INDEX(Table3[[#All],[Tot]],MATCH(Table5[[#This Row],[PID]],Table3[[#All],[PID]],0)))</f>
        <v>36.955252879481861</v>
      </c>
      <c r="R767" s="54">
        <f>IF($C767="B",INDEX(Batters[[#All],[zScore]],MATCH(Table5[[#This Row],[PID]],Batters[[#All],[PID]],0)),INDEX(Table3[[#All],[zScore]],MATCH(Table5[[#This Row],[PID]],Table3[[#All],[PID]],0)))</f>
        <v>-0.59697482765359522</v>
      </c>
      <c r="S767" s="60" t="str">
        <f>IF($C767="B",INDEX(Batters[[#All],[DEM]],MATCH(Table5[[#This Row],[PID]],Batters[[#All],[PID]],0)),INDEX(Table3[[#All],[DEM]],MATCH(Table5[[#This Row],[PID]],Table3[[#All],[PID]],0)))</f>
        <v>-</v>
      </c>
      <c r="T767" s="64">
        <f>IF($C767="B",VLOOKUP($A767,Bat!$A$4:$AU$1417,46,FALSE),VLOOKUP($A767,Pit!$A$4:$BD$570,55,FALSE))</f>
        <v>0</v>
      </c>
      <c r="U767" s="52">
        <f>IF($C767="B",VLOOKUP($A767,Bat!$A$4:$BA$1417,47,FALSE),VLOOKUP($A767,Pit!$A$4:$BF$570,56,FALSE))</f>
        <v>0</v>
      </c>
      <c r="V767" s="52">
        <f>IF($C767="B",VLOOKUP($A767,Bat!$A$4:$BA$1417,48,FALSE),VLOOKUP($A767,Pit!$A$4:$BF$570,57,FALSE))</f>
        <v>0</v>
      </c>
      <c r="W767" s="52">
        <f>Table5[[#This Row],[posRnk]]+Table5[[#This Row],[zRnk]]+IF($W$3&lt;&gt;Table5[[#This Row],[Type]],50,0)</f>
        <v>813</v>
      </c>
      <c r="X767" s="53">
        <f>RANK(Table5[[#This Row],[zScore]],Table5[[#All],[zScore]])</f>
        <v>763</v>
      </c>
      <c r="Y767" s="52" t="str">
        <f>IFERROR(INDEX(DraftResults[[#All],[OVR]],MATCH(Table5[[#This Row],[PID]],DraftResults[[#All],[Player ID]],0)),"")</f>
        <v/>
      </c>
      <c r="Z7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7" s="52" t="str">
        <f>IFERROR(INDEX(DraftResults[[#All],[Pick in Round]],MATCH(Table5[[#This Row],[PID]],DraftResults[[#All],[Player ID]],0)),"")</f>
        <v/>
      </c>
      <c r="AB767" s="52" t="str">
        <f>IFERROR(INDEX(DraftResults[[#All],[Team Name]],MATCH(Table5[[#This Row],[PID]],DraftResults[[#All],[Player ID]],0)),"")</f>
        <v/>
      </c>
      <c r="AC767" s="52" t="str">
        <f>IF(Table5[[#This Row],[Ovr]]="","",IF(Table5[[#This Row],[cmbList]]="","",Table5[[#This Row],[cmbList]]-Table5[[#This Row],[Ovr]]))</f>
        <v/>
      </c>
      <c r="AD767" s="56" t="str">
        <f>IF(ISERROR(VLOOKUP($AB767&amp;"-"&amp;$E767&amp;" "&amp;F767,Bonuses!$B$1:$G$1006,4,FALSE)),"",INT(VLOOKUP($AB767&amp;"-"&amp;$E767&amp;" "&amp;$F767,Bonuses!$B$1:$G$1006,4,FALSE)))</f>
        <v/>
      </c>
      <c r="AE7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8" spans="1:31" s="52" customFormat="1" x14ac:dyDescent="0.25">
      <c r="A768" s="52">
        <v>17910</v>
      </c>
      <c r="B768" s="52">
        <f>COUNTIF(Table5[PID],A768)</f>
        <v>1</v>
      </c>
      <c r="C768" s="52" t="str">
        <f>IF(COUNTIF(Table3[[#All],[PID]],A768)&gt;0,"P","B")</f>
        <v>P</v>
      </c>
      <c r="D768" s="61" t="str">
        <f>IF($C768="B",INDEX(Batters[[#All],[POS]],MATCH(Table5[[#This Row],[PID]],Batters[[#All],[PID]],0)),INDEX(Table3[[#All],[POS]],MATCH(Table5[[#This Row],[PID]],Table3[[#All],[PID]],0)))</f>
        <v>RP</v>
      </c>
      <c r="E768" s="54" t="str">
        <f>IF($C768="B",INDEX(Batters[[#All],[First]],MATCH(Table5[[#This Row],[PID]],Batters[[#All],[PID]],0)),INDEX(Table3[[#All],[First]],MATCH(Table5[[#This Row],[PID]],Table3[[#All],[PID]],0)))</f>
        <v>Ietsuna</v>
      </c>
      <c r="F768" s="52" t="str">
        <f>IF($C768="B",INDEX(Batters[[#All],[Last]],MATCH(A768,Batters[[#All],[PID]],0)),INDEX(Table3[[#All],[Last]],MATCH(A768,Table3[[#All],[PID]],0)))</f>
        <v>Sasaki</v>
      </c>
      <c r="G768" s="58">
        <f>IF($C768="B",INDEX(Batters[[#All],[Age]],MATCH(Table5[[#This Row],[PID]],Batters[[#All],[PID]],0)),INDEX(Table3[[#All],[Age]],MATCH(Table5[[#This Row],[PID]],Table3[[#All],[PID]],0)))</f>
        <v>18</v>
      </c>
      <c r="H768" s="54" t="str">
        <f>IF($C768="B",INDEX(Batters[[#All],[B]],MATCH(Table5[[#This Row],[PID]],Batters[[#All],[PID]],0)),INDEX(Table3[[#All],[B]],MATCH(Table5[[#This Row],[PID]],Table3[[#All],[PID]],0)))</f>
        <v>L</v>
      </c>
      <c r="I768" s="54" t="str">
        <f>IF($C768="B",INDEX(Batters[[#All],[T]],MATCH(Table5[[#This Row],[PID]],Batters[[#All],[PID]],0)),INDEX(Table3[[#All],[T]],MATCH(Table5[[#This Row],[PID]],Table3[[#All],[PID]],0)))</f>
        <v>L</v>
      </c>
      <c r="J768" s="54" t="str">
        <f>IF($C768="B",INDEX(Batters[[#All],[WE]],MATCH(Table5[[#This Row],[PID]],Batters[[#All],[PID]],0)),INDEX(Table3[[#All],[WE]],MATCH(Table5[[#This Row],[PID]],Table3[[#All],[PID]],0)))</f>
        <v>Normal</v>
      </c>
      <c r="K768" s="54" t="str">
        <f>IF($C768="B",INDEX(Batters[[#All],[INT]],MATCH(Table5[[#This Row],[PID]],Batters[[#All],[PID]],0)),INDEX(Table3[[#All],[INT]],MATCH(Table5[[#This Row],[PID]],Table3[[#All],[PID]],0)))</f>
        <v>Normal</v>
      </c>
      <c r="L768" s="62">
        <f>IF($C768="B",INDEX(Batters[[#All],[CON P]],MATCH(Table5[[#This Row],[PID]],Batters[[#All],[PID]],0)),INDEX(Table3[[#All],[STU P]],MATCH(Table5[[#This Row],[PID]],Table3[[#All],[PID]],0)))</f>
        <v>4</v>
      </c>
      <c r="M768" s="58">
        <f>IF($C768="B",INDEX(Batters[[#All],[GAP P]],MATCH(Table5[[#This Row],[PID]],Batters[[#All],[PID]],0)),INDEX(Table3[[#All],[MOV P]],MATCH(Table5[[#This Row],[PID]],Table3[[#All],[PID]],0)))</f>
        <v>1</v>
      </c>
      <c r="N768" s="58">
        <f>IF($C768="B",INDEX(Batters[[#All],[POW P]],MATCH(Table5[[#This Row],[PID]],Batters[[#All],[PID]],0)),INDEX(Table3[[#All],[CON P]],MATCH(Table5[[#This Row],[PID]],Table3[[#All],[PID]],0)))</f>
        <v>2</v>
      </c>
      <c r="O768" s="58" t="str">
        <f>IF($C768="B",INDEX(Batters[[#All],[EYE P]],MATCH(Table5[[#This Row],[PID]],Batters[[#All],[PID]],0)),INDEX(Table3[[#All],[VELO]],MATCH(Table5[[#This Row],[PID]],Table3[[#All],[PID]],0)))</f>
        <v>85-87 Mph</v>
      </c>
      <c r="P768" s="58">
        <f>IF($C768="B",INDEX(Batters[[#All],[K P]],MATCH(Table5[[#This Row],[PID]],Batters[[#All],[PID]],0)),INDEX(Table3[[#All],[STM]],MATCH(Table5[[#This Row],[PID]],Table3[[#All],[PID]],0)))</f>
        <v>3</v>
      </c>
      <c r="Q768" s="63">
        <f>IF($C768="B",INDEX(Batters[[#All],[Tot]],MATCH(Table5[[#This Row],[PID]],Batters[[#All],[PID]],0)),INDEX(Table3[[#All],[Tot]],MATCH(Table5[[#This Row],[PID]],Table3[[#All],[PID]],0)))</f>
        <v>26.190068289984282</v>
      </c>
      <c r="R768" s="54">
        <f>IF($C768="B",INDEX(Batters[[#All],[zScore]],MATCH(Table5[[#This Row],[PID]],Batters[[#All],[PID]],0)),INDEX(Table3[[#All],[zScore]],MATCH(Table5[[#This Row],[PID]],Table3[[#All],[PID]],0)))</f>
        <v>-0.59902906026092007</v>
      </c>
      <c r="S768" s="60" t="str">
        <f>IF($C768="B",INDEX(Batters[[#All],[DEM]],MATCH(Table5[[#This Row],[PID]],Batters[[#All],[PID]],0)),INDEX(Table3[[#All],[DEM]],MATCH(Table5[[#This Row],[PID]],Table3[[#All],[PID]],0)))</f>
        <v>$65k</v>
      </c>
      <c r="T768" s="64">
        <f>IF($C768="B",VLOOKUP($A768,Bat!$A$4:$AU$1417,46,FALSE),VLOOKUP($A768,Pit!$A$4:$BD$570,55,FALSE))</f>
        <v>0</v>
      </c>
      <c r="U768" s="52">
        <f>IF($C768="B",VLOOKUP($A768,Bat!$A$4:$BA$1417,47,FALSE),VLOOKUP($A768,Pit!$A$4:$BF$570,56,FALSE))</f>
        <v>0</v>
      </c>
      <c r="V768" s="52">
        <f>IF($C768="B",VLOOKUP($A768,Bat!$A$4:$BA$1417,48,FALSE),VLOOKUP($A768,Pit!$A$4:$BF$570,57,FALSE))</f>
        <v>0</v>
      </c>
      <c r="W768" s="52">
        <f>Table5[[#This Row],[posRnk]]+Table5[[#This Row],[zRnk]]+IF($W$3&lt;&gt;Table5[[#This Row],[Type]],50,0)</f>
        <v>814</v>
      </c>
      <c r="X768" s="53">
        <f>RANK(Table5[[#This Row],[zScore]],Table5[[#All],[zScore]])</f>
        <v>764</v>
      </c>
      <c r="Y768" s="52" t="str">
        <f>IFERROR(INDEX(DraftResults[[#All],[OVR]],MATCH(Table5[[#This Row],[PID]],DraftResults[[#All],[Player ID]],0)),"")</f>
        <v/>
      </c>
      <c r="Z7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8" s="52" t="str">
        <f>IFERROR(INDEX(DraftResults[[#All],[Pick in Round]],MATCH(Table5[[#This Row],[PID]],DraftResults[[#All],[Player ID]],0)),"")</f>
        <v/>
      </c>
      <c r="AB768" s="52" t="str">
        <f>IFERROR(INDEX(DraftResults[[#All],[Team Name]],MATCH(Table5[[#This Row],[PID]],DraftResults[[#All],[Player ID]],0)),"")</f>
        <v/>
      </c>
      <c r="AC768" s="52" t="str">
        <f>IF(Table5[[#This Row],[Ovr]]="","",IF(Table5[[#This Row],[cmbList]]="","",Table5[[#This Row],[cmbList]]-Table5[[#This Row],[Ovr]]))</f>
        <v/>
      </c>
      <c r="AD768" s="56" t="str">
        <f>IF(ISERROR(VLOOKUP($AB768&amp;"-"&amp;$E768&amp;" "&amp;F768,Bonuses!$B$1:$G$1006,4,FALSE)),"",INT(VLOOKUP($AB768&amp;"-"&amp;$E768&amp;" "&amp;$F768,Bonuses!$B$1:$G$1006,4,FALSE)))</f>
        <v/>
      </c>
      <c r="AE7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9" spans="1:31" s="52" customFormat="1" x14ac:dyDescent="0.25">
      <c r="A769" s="52">
        <v>6263</v>
      </c>
      <c r="B769" s="52">
        <f>COUNTIF(Table5[PID],A769)</f>
        <v>1</v>
      </c>
      <c r="C769" s="52" t="str">
        <f>IF(COUNTIF(Table3[[#All],[PID]],A769)&gt;0,"P","B")</f>
        <v>P</v>
      </c>
      <c r="D769" s="61" t="str">
        <f>IF($C769="B",INDEX(Batters[[#All],[POS]],MATCH(Table5[[#This Row],[PID]],Batters[[#All],[PID]],0)),INDEX(Table3[[#All],[POS]],MATCH(Table5[[#This Row],[PID]],Table3[[#All],[PID]],0)))</f>
        <v>RP</v>
      </c>
      <c r="E769" s="54" t="str">
        <f>IF($C769="B",INDEX(Batters[[#All],[First]],MATCH(Table5[[#This Row],[PID]],Batters[[#All],[PID]],0)),INDEX(Table3[[#All],[First]],MATCH(Table5[[#This Row],[PID]],Table3[[#All],[PID]],0)))</f>
        <v>Hsin-ta</v>
      </c>
      <c r="F769" s="52" t="str">
        <f>IF($C769="B",INDEX(Batters[[#All],[Last]],MATCH(A769,Batters[[#All],[PID]],0)),INDEX(Table3[[#All],[Last]],MATCH(A769,Table3[[#All],[PID]],0)))</f>
        <v>Dong</v>
      </c>
      <c r="G769" s="58">
        <f>IF($C769="B",INDEX(Batters[[#All],[Age]],MATCH(Table5[[#This Row],[PID]],Batters[[#All],[PID]],0)),INDEX(Table3[[#All],[Age]],MATCH(Table5[[#This Row],[PID]],Table3[[#All],[PID]],0)))</f>
        <v>18</v>
      </c>
      <c r="H769" s="54" t="str">
        <f>IF($C769="B",INDEX(Batters[[#All],[B]],MATCH(Table5[[#This Row],[PID]],Batters[[#All],[PID]],0)),INDEX(Table3[[#All],[B]],MATCH(Table5[[#This Row],[PID]],Table3[[#All],[PID]],0)))</f>
        <v>S</v>
      </c>
      <c r="I769" s="54" t="str">
        <f>IF($C769="B",INDEX(Batters[[#All],[T]],MATCH(Table5[[#This Row],[PID]],Batters[[#All],[PID]],0)),INDEX(Table3[[#All],[T]],MATCH(Table5[[#This Row],[PID]],Table3[[#All],[PID]],0)))</f>
        <v>R</v>
      </c>
      <c r="J769" s="54" t="str">
        <f>IF($C769="B",INDEX(Batters[[#All],[WE]],MATCH(Table5[[#This Row],[PID]],Batters[[#All],[PID]],0)),INDEX(Table3[[#All],[WE]],MATCH(Table5[[#This Row],[PID]],Table3[[#All],[PID]],0)))</f>
        <v>High</v>
      </c>
      <c r="K769" s="54" t="str">
        <f>IF($C769="B",INDEX(Batters[[#All],[INT]],MATCH(Table5[[#This Row],[PID]],Batters[[#All],[PID]],0)),INDEX(Table3[[#All],[INT]],MATCH(Table5[[#This Row],[PID]],Table3[[#All],[PID]],0)))</f>
        <v>Normal</v>
      </c>
      <c r="L769" s="62">
        <f>IF($C769="B",INDEX(Batters[[#All],[CON P]],MATCH(Table5[[#This Row],[PID]],Batters[[#All],[PID]],0)),INDEX(Table3[[#All],[STU P]],MATCH(Table5[[#This Row],[PID]],Table3[[#All],[PID]],0)))</f>
        <v>4</v>
      </c>
      <c r="M769" s="58">
        <f>IF($C769="B",INDEX(Batters[[#All],[GAP P]],MATCH(Table5[[#This Row],[PID]],Batters[[#All],[PID]],0)),INDEX(Table3[[#All],[MOV P]],MATCH(Table5[[#This Row],[PID]],Table3[[#All],[PID]],0)))</f>
        <v>1</v>
      </c>
      <c r="N769" s="58">
        <f>IF($C769="B",INDEX(Batters[[#All],[POW P]],MATCH(Table5[[#This Row],[PID]],Batters[[#All],[PID]],0)),INDEX(Table3[[#All],[CON P]],MATCH(Table5[[#This Row],[PID]],Table3[[#All],[PID]],0)))</f>
        <v>2</v>
      </c>
      <c r="O769" s="58" t="str">
        <f>IF($C769="B",INDEX(Batters[[#All],[EYE P]],MATCH(Table5[[#This Row],[PID]],Batters[[#All],[PID]],0)),INDEX(Table3[[#All],[VELO]],MATCH(Table5[[#This Row],[PID]],Table3[[#All],[PID]],0)))</f>
        <v>88-90 Mph</v>
      </c>
      <c r="P769" s="58">
        <f>IF($C769="B",INDEX(Batters[[#All],[K P]],MATCH(Table5[[#This Row],[PID]],Batters[[#All],[PID]],0)),INDEX(Table3[[#All],[STM]],MATCH(Table5[[#This Row],[PID]],Table3[[#All],[PID]],0)))</f>
        <v>7</v>
      </c>
      <c r="Q769" s="63">
        <f>IF($C769="B",INDEX(Batters[[#All],[Tot]],MATCH(Table5[[#This Row],[PID]],Batters[[#All],[PID]],0)),INDEX(Table3[[#All],[Tot]],MATCH(Table5[[#This Row],[PID]],Table3[[#All],[PID]],0)))</f>
        <v>26.181742464330398</v>
      </c>
      <c r="R769" s="54">
        <f>IF($C769="B",INDEX(Batters[[#All],[zScore]],MATCH(Table5[[#This Row],[PID]],Batters[[#All],[PID]],0)),INDEX(Table3[[#All],[zScore]],MATCH(Table5[[#This Row],[PID]],Table3[[#All],[PID]],0)))</f>
        <v>-0.59979257405870801</v>
      </c>
      <c r="S769" s="60" t="str">
        <f>IF($C769="B",INDEX(Batters[[#All],[DEM]],MATCH(Table5[[#This Row],[PID]],Batters[[#All],[PID]],0)),INDEX(Table3[[#All],[DEM]],MATCH(Table5[[#This Row],[PID]],Table3[[#All],[PID]],0)))</f>
        <v>$75k</v>
      </c>
      <c r="T769" s="64">
        <f>IF($C769="B",VLOOKUP($A769,Bat!$A$4:$AU$1417,46,FALSE),VLOOKUP($A769,Pit!$A$4:$BD$570,55,FALSE))</f>
        <v>0</v>
      </c>
      <c r="U769" s="52">
        <f>IF($C769="B",VLOOKUP($A769,Bat!$A$4:$BA$1417,47,FALSE),VLOOKUP($A769,Pit!$A$4:$BF$570,56,FALSE))</f>
        <v>0</v>
      </c>
      <c r="V769" s="52">
        <f>IF($C769="B",VLOOKUP($A769,Bat!$A$4:$BA$1417,48,FALSE),VLOOKUP($A769,Pit!$A$4:$BF$570,57,FALSE))</f>
        <v>0</v>
      </c>
      <c r="W769" s="52">
        <f>Table5[[#This Row],[posRnk]]+Table5[[#This Row],[zRnk]]+IF($W$3&lt;&gt;Table5[[#This Row],[Type]],50,0)</f>
        <v>815</v>
      </c>
      <c r="X769" s="53">
        <f>RANK(Table5[[#This Row],[zScore]],Table5[[#All],[zScore]])</f>
        <v>765</v>
      </c>
      <c r="Y769" s="52" t="str">
        <f>IFERROR(INDEX(DraftResults[[#All],[OVR]],MATCH(Table5[[#This Row],[PID]],DraftResults[[#All],[Player ID]],0)),"")</f>
        <v/>
      </c>
      <c r="Z7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9" s="52" t="str">
        <f>IFERROR(INDEX(DraftResults[[#All],[Pick in Round]],MATCH(Table5[[#This Row],[PID]],DraftResults[[#All],[Player ID]],0)),"")</f>
        <v/>
      </c>
      <c r="AB769" s="52" t="str">
        <f>IFERROR(INDEX(DraftResults[[#All],[Team Name]],MATCH(Table5[[#This Row],[PID]],DraftResults[[#All],[Player ID]],0)),"")</f>
        <v/>
      </c>
      <c r="AC769" s="52" t="str">
        <f>IF(Table5[[#This Row],[Ovr]]="","",IF(Table5[[#This Row],[cmbList]]="","",Table5[[#This Row],[cmbList]]-Table5[[#This Row],[Ovr]]))</f>
        <v/>
      </c>
      <c r="AD769" s="56" t="str">
        <f>IF(ISERROR(VLOOKUP($AB769&amp;"-"&amp;$E769&amp;" "&amp;F769,Bonuses!$B$1:$G$1006,4,FALSE)),"",INT(VLOOKUP($AB769&amp;"-"&amp;$E769&amp;" "&amp;$F769,Bonuses!$B$1:$G$1006,4,FALSE)))</f>
        <v/>
      </c>
      <c r="AE7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0" spans="1:31" s="52" customFormat="1" x14ac:dyDescent="0.25">
      <c r="A770" s="52">
        <v>9713</v>
      </c>
      <c r="B770" s="52">
        <f>COUNTIF(Table5[PID],A770)</f>
        <v>1</v>
      </c>
      <c r="C770" s="52" t="str">
        <f>IF(COUNTIF(Table3[[#All],[PID]],A770)&gt;0,"P","B")</f>
        <v>P</v>
      </c>
      <c r="D770" s="61" t="str">
        <f>IF($C770="B",INDEX(Batters[[#All],[POS]],MATCH(Table5[[#This Row],[PID]],Batters[[#All],[PID]],0)),INDEX(Table3[[#All],[POS]],MATCH(Table5[[#This Row],[PID]],Table3[[#All],[PID]],0)))</f>
        <v>CL</v>
      </c>
      <c r="E770" s="54" t="str">
        <f>IF($C770="B",INDEX(Batters[[#All],[First]],MATCH(Table5[[#This Row],[PID]],Batters[[#All],[PID]],0)),INDEX(Table3[[#All],[First]],MATCH(Table5[[#This Row],[PID]],Table3[[#All],[PID]],0)))</f>
        <v>Zach</v>
      </c>
      <c r="F770" s="52" t="str">
        <f>IF($C770="B",INDEX(Batters[[#All],[Last]],MATCH(A770,Batters[[#All],[PID]],0)),INDEX(Table3[[#All],[Last]],MATCH(A770,Table3[[#All],[PID]],0)))</f>
        <v>Bell</v>
      </c>
      <c r="G770" s="58">
        <f>IF($C770="B",INDEX(Batters[[#All],[Age]],MATCH(Table5[[#This Row],[PID]],Batters[[#All],[PID]],0)),INDEX(Table3[[#All],[Age]],MATCH(Table5[[#This Row],[PID]],Table3[[#All],[PID]],0)))</f>
        <v>21</v>
      </c>
      <c r="H770" s="54" t="str">
        <f>IF($C770="B",INDEX(Batters[[#All],[B]],MATCH(Table5[[#This Row],[PID]],Batters[[#All],[PID]],0)),INDEX(Table3[[#All],[B]],MATCH(Table5[[#This Row],[PID]],Table3[[#All],[PID]],0)))</f>
        <v>R</v>
      </c>
      <c r="I770" s="54" t="str">
        <f>IF($C770="B",INDEX(Batters[[#All],[T]],MATCH(Table5[[#This Row],[PID]],Batters[[#All],[PID]],0)),INDEX(Table3[[#All],[T]],MATCH(Table5[[#This Row],[PID]],Table3[[#All],[PID]],0)))</f>
        <v>R</v>
      </c>
      <c r="J770" s="54" t="str">
        <f>IF($C770="B",INDEX(Batters[[#All],[WE]],MATCH(Table5[[#This Row],[PID]],Batters[[#All],[PID]],0)),INDEX(Table3[[#All],[WE]],MATCH(Table5[[#This Row],[PID]],Table3[[#All],[PID]],0)))</f>
        <v>Normal</v>
      </c>
      <c r="K770" s="54" t="str">
        <f>IF($C770="B",INDEX(Batters[[#All],[INT]],MATCH(Table5[[#This Row],[PID]],Batters[[#All],[PID]],0)),INDEX(Table3[[#All],[INT]],MATCH(Table5[[#This Row],[PID]],Table3[[#All],[PID]],0)))</f>
        <v>Normal</v>
      </c>
      <c r="L770" s="62">
        <f>IF($C770="B",INDEX(Batters[[#All],[CON P]],MATCH(Table5[[#This Row],[PID]],Batters[[#All],[PID]],0)),INDEX(Table3[[#All],[STU P]],MATCH(Table5[[#This Row],[PID]],Table3[[#All],[PID]],0)))</f>
        <v>5</v>
      </c>
      <c r="M770" s="58">
        <f>IF($C770="B",INDEX(Batters[[#All],[GAP P]],MATCH(Table5[[#This Row],[PID]],Batters[[#All],[PID]],0)),INDEX(Table3[[#All],[MOV P]],MATCH(Table5[[#This Row],[PID]],Table3[[#All],[PID]],0)))</f>
        <v>1</v>
      </c>
      <c r="N770" s="58">
        <f>IF($C770="B",INDEX(Batters[[#All],[POW P]],MATCH(Table5[[#This Row],[PID]],Batters[[#All],[PID]],0)),INDEX(Table3[[#All],[CON P]],MATCH(Table5[[#This Row],[PID]],Table3[[#All],[PID]],0)))</f>
        <v>2</v>
      </c>
      <c r="O770" s="58" t="str">
        <f>IF($C770="B",INDEX(Batters[[#All],[EYE P]],MATCH(Table5[[#This Row],[PID]],Batters[[#All],[PID]],0)),INDEX(Table3[[#All],[VELO]],MATCH(Table5[[#This Row],[PID]],Table3[[#All],[PID]],0)))</f>
        <v>93-95 Mph</v>
      </c>
      <c r="P770" s="58">
        <f>IF($C770="B",INDEX(Batters[[#All],[K P]],MATCH(Table5[[#This Row],[PID]],Batters[[#All],[PID]],0)),INDEX(Table3[[#All],[STM]],MATCH(Table5[[#This Row],[PID]],Table3[[#All],[PID]],0)))</f>
        <v>6</v>
      </c>
      <c r="Q770" s="63">
        <f>IF($C770="B",INDEX(Batters[[#All],[Tot]],MATCH(Table5[[#This Row],[PID]],Batters[[#All],[PID]],0)),INDEX(Table3[[#All],[Tot]],MATCH(Table5[[#This Row],[PID]],Table3[[#All],[PID]],0)))</f>
        <v>26.126166350543642</v>
      </c>
      <c r="R770" s="54">
        <f>IF($C770="B",INDEX(Batters[[#All],[zScore]],MATCH(Table5[[#This Row],[PID]],Batters[[#All],[PID]],0)),INDEX(Table3[[#All],[zScore]],MATCH(Table5[[#This Row],[PID]],Table3[[#All],[PID]],0)))</f>
        <v>-0.60488914123025617</v>
      </c>
      <c r="S770" s="60" t="str">
        <f>IF($C770="B",INDEX(Batters[[#All],[DEM]],MATCH(Table5[[#This Row],[PID]],Batters[[#All],[PID]],0)),INDEX(Table3[[#All],[DEM]],MATCH(Table5[[#This Row],[PID]],Table3[[#All],[PID]],0)))</f>
        <v>-</v>
      </c>
      <c r="T770" s="64">
        <f>IF($C770="B",VLOOKUP($A770,Bat!$A$4:$AU$1417,46,FALSE),VLOOKUP($A770,Pit!$A$4:$BD$570,55,FALSE))</f>
        <v>0</v>
      </c>
      <c r="U770" s="52">
        <f>IF($C770="B",VLOOKUP($A770,Bat!$A$4:$BA$1417,47,FALSE),VLOOKUP($A770,Pit!$A$4:$BF$570,56,FALSE))</f>
        <v>0</v>
      </c>
      <c r="V770" s="52">
        <f>IF($C770="B",VLOOKUP($A770,Bat!$A$4:$BA$1417,48,FALSE),VLOOKUP($A770,Pit!$A$4:$BF$570,57,FALSE))</f>
        <v>0</v>
      </c>
      <c r="W770" s="52">
        <f>Table5[[#This Row],[posRnk]]+Table5[[#This Row],[zRnk]]+IF($W$3&lt;&gt;Table5[[#This Row],[Type]],50,0)</f>
        <v>816</v>
      </c>
      <c r="X770" s="53">
        <f>RANK(Table5[[#This Row],[zScore]],Table5[[#All],[zScore]])</f>
        <v>766</v>
      </c>
      <c r="Y770" s="52" t="str">
        <f>IFERROR(INDEX(DraftResults[[#All],[OVR]],MATCH(Table5[[#This Row],[PID]],DraftResults[[#All],[Player ID]],0)),"")</f>
        <v/>
      </c>
      <c r="Z7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0" s="52" t="str">
        <f>IFERROR(INDEX(DraftResults[[#All],[Pick in Round]],MATCH(Table5[[#This Row],[PID]],DraftResults[[#All],[Player ID]],0)),"")</f>
        <v/>
      </c>
      <c r="AB770" s="52" t="str">
        <f>IFERROR(INDEX(DraftResults[[#All],[Team Name]],MATCH(Table5[[#This Row],[PID]],DraftResults[[#All],[Player ID]],0)),"")</f>
        <v/>
      </c>
      <c r="AC770" s="52" t="str">
        <f>IF(Table5[[#This Row],[Ovr]]="","",IF(Table5[[#This Row],[cmbList]]="","",Table5[[#This Row],[cmbList]]-Table5[[#This Row],[Ovr]]))</f>
        <v/>
      </c>
      <c r="AD770" s="56" t="str">
        <f>IF(ISERROR(VLOOKUP($AB770&amp;"-"&amp;$E770&amp;" "&amp;F770,Bonuses!$B$1:$G$1006,4,FALSE)),"",INT(VLOOKUP($AB770&amp;"-"&amp;$E770&amp;" "&amp;$F770,Bonuses!$B$1:$G$1006,4,FALSE)))</f>
        <v/>
      </c>
      <c r="AE7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1" spans="1:31" s="52" customFormat="1" x14ac:dyDescent="0.25">
      <c r="A771" s="52">
        <v>14461</v>
      </c>
      <c r="B771" s="52">
        <f>COUNTIF(Table5[PID],A771)</f>
        <v>1</v>
      </c>
      <c r="C771" s="52" t="str">
        <f>IF(COUNTIF(Table3[[#All],[PID]],A771)&gt;0,"P","B")</f>
        <v>P</v>
      </c>
      <c r="D771" s="61" t="str">
        <f>IF($C771="B",INDEX(Batters[[#All],[POS]],MATCH(Table5[[#This Row],[PID]],Batters[[#All],[PID]],0)),INDEX(Table3[[#All],[POS]],MATCH(Table5[[#This Row],[PID]],Table3[[#All],[PID]],0)))</f>
        <v>RP</v>
      </c>
      <c r="E771" s="54" t="str">
        <f>IF($C771="B",INDEX(Batters[[#All],[First]],MATCH(Table5[[#This Row],[PID]],Batters[[#All],[PID]],0)),INDEX(Table3[[#All],[First]],MATCH(Table5[[#This Row],[PID]],Table3[[#All],[PID]],0)))</f>
        <v>Masahide</v>
      </c>
      <c r="F771" s="52" t="str">
        <f>IF($C771="B",INDEX(Batters[[#All],[Last]],MATCH(A771,Batters[[#All],[PID]],0)),INDEX(Table3[[#All],[Last]],MATCH(A771,Table3[[#All],[PID]],0)))</f>
        <v>Kokawa</v>
      </c>
      <c r="G771" s="58">
        <f>IF($C771="B",INDEX(Batters[[#All],[Age]],MATCH(Table5[[#This Row],[PID]],Batters[[#All],[PID]],0)),INDEX(Table3[[#All],[Age]],MATCH(Table5[[#This Row],[PID]],Table3[[#All],[PID]],0)))</f>
        <v>22</v>
      </c>
      <c r="H771" s="54" t="str">
        <f>IF($C771="B",INDEX(Batters[[#All],[B]],MATCH(Table5[[#This Row],[PID]],Batters[[#All],[PID]],0)),INDEX(Table3[[#All],[B]],MATCH(Table5[[#This Row],[PID]],Table3[[#All],[PID]],0)))</f>
        <v>R</v>
      </c>
      <c r="I771" s="54" t="str">
        <f>IF($C771="B",INDEX(Batters[[#All],[T]],MATCH(Table5[[#This Row],[PID]],Batters[[#All],[PID]],0)),INDEX(Table3[[#All],[T]],MATCH(Table5[[#This Row],[PID]],Table3[[#All],[PID]],0)))</f>
        <v>L</v>
      </c>
      <c r="J771" s="54" t="str">
        <f>IF($C771="B",INDEX(Batters[[#All],[WE]],MATCH(Table5[[#This Row],[PID]],Batters[[#All],[PID]],0)),INDEX(Table3[[#All],[WE]],MATCH(Table5[[#This Row],[PID]],Table3[[#All],[PID]],0)))</f>
        <v>Normal</v>
      </c>
      <c r="K771" s="54" t="str">
        <f>IF($C771="B",INDEX(Batters[[#All],[INT]],MATCH(Table5[[#This Row],[PID]],Batters[[#All],[PID]],0)),INDEX(Table3[[#All],[INT]],MATCH(Table5[[#This Row],[PID]],Table3[[#All],[PID]],0)))</f>
        <v>Low</v>
      </c>
      <c r="L771" s="62">
        <f>IF($C771="B",INDEX(Batters[[#All],[CON P]],MATCH(Table5[[#This Row],[PID]],Batters[[#All],[PID]],0)),INDEX(Table3[[#All],[STU P]],MATCH(Table5[[#This Row],[PID]],Table3[[#All],[PID]],0)))</f>
        <v>4</v>
      </c>
      <c r="M771" s="58">
        <f>IF($C771="B",INDEX(Batters[[#All],[GAP P]],MATCH(Table5[[#This Row],[PID]],Batters[[#All],[PID]],0)),INDEX(Table3[[#All],[MOV P]],MATCH(Table5[[#This Row],[PID]],Table3[[#All],[PID]],0)))</f>
        <v>2</v>
      </c>
      <c r="N771" s="58">
        <f>IF($C771="B",INDEX(Batters[[#All],[POW P]],MATCH(Table5[[#This Row],[PID]],Batters[[#All],[PID]],0)),INDEX(Table3[[#All],[CON P]],MATCH(Table5[[#This Row],[PID]],Table3[[#All],[PID]],0)))</f>
        <v>2</v>
      </c>
      <c r="O771" s="58" t="str">
        <f>IF($C771="B",INDEX(Batters[[#All],[EYE P]],MATCH(Table5[[#This Row],[PID]],Batters[[#All],[PID]],0)),INDEX(Table3[[#All],[VELO]],MATCH(Table5[[#This Row],[PID]],Table3[[#All],[PID]],0)))</f>
        <v>89-91 Mph</v>
      </c>
      <c r="P771" s="58">
        <f>IF($C771="B",INDEX(Batters[[#All],[K P]],MATCH(Table5[[#This Row],[PID]],Batters[[#All],[PID]],0)),INDEX(Table3[[#All],[STM]],MATCH(Table5[[#This Row],[PID]],Table3[[#All],[PID]],0)))</f>
        <v>8</v>
      </c>
      <c r="Q771" s="63">
        <f>IF($C771="B",INDEX(Batters[[#All],[Tot]],MATCH(Table5[[#This Row],[PID]],Batters[[#All],[PID]],0)),INDEX(Table3[[#All],[Tot]],MATCH(Table5[[#This Row],[PID]],Table3[[#All],[PID]],0)))</f>
        <v>26.116865514330179</v>
      </c>
      <c r="R771" s="54">
        <f>IF($C771="B",INDEX(Batters[[#All],[zScore]],MATCH(Table5[[#This Row],[PID]],Batters[[#All],[PID]],0)),INDEX(Table3[[#All],[zScore]],MATCH(Table5[[#This Row],[PID]],Table3[[#All],[PID]],0)))</f>
        <v>-0.60574206766364025</v>
      </c>
      <c r="S771" s="60" t="str">
        <f>IF($C771="B",INDEX(Batters[[#All],[DEM]],MATCH(Table5[[#This Row],[PID]],Batters[[#All],[PID]],0)),INDEX(Table3[[#All],[DEM]],MATCH(Table5[[#This Row],[PID]],Table3[[#All],[PID]],0)))</f>
        <v>-</v>
      </c>
      <c r="T771" s="64">
        <f>IF($C771="B",VLOOKUP($A771,Bat!$A$4:$AU$1417,46,FALSE),VLOOKUP($A771,Pit!$A$4:$BD$570,55,FALSE))</f>
        <v>0</v>
      </c>
      <c r="U771" s="52">
        <f>IF($C771="B",VLOOKUP($A771,Bat!$A$4:$BA$1417,47,FALSE),VLOOKUP($A771,Pit!$A$4:$BF$570,56,FALSE))</f>
        <v>0</v>
      </c>
      <c r="V771" s="52">
        <f>IF($C771="B",VLOOKUP($A771,Bat!$A$4:$BA$1417,48,FALSE),VLOOKUP($A771,Pit!$A$4:$BF$570,57,FALSE))</f>
        <v>0</v>
      </c>
      <c r="W771" s="52">
        <f>Table5[[#This Row],[posRnk]]+Table5[[#This Row],[zRnk]]+IF($W$3&lt;&gt;Table5[[#This Row],[Type]],50,0)</f>
        <v>817</v>
      </c>
      <c r="X771" s="53">
        <f>RANK(Table5[[#This Row],[zScore]],Table5[[#All],[zScore]])</f>
        <v>767</v>
      </c>
      <c r="Y771" s="52" t="str">
        <f>IFERROR(INDEX(DraftResults[[#All],[OVR]],MATCH(Table5[[#This Row],[PID]],DraftResults[[#All],[Player ID]],0)),"")</f>
        <v/>
      </c>
      <c r="Z7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1" s="52" t="str">
        <f>IFERROR(INDEX(DraftResults[[#All],[Pick in Round]],MATCH(Table5[[#This Row],[PID]],DraftResults[[#All],[Player ID]],0)),"")</f>
        <v/>
      </c>
      <c r="AB771" s="52" t="str">
        <f>IFERROR(INDEX(DraftResults[[#All],[Team Name]],MATCH(Table5[[#This Row],[PID]],DraftResults[[#All],[Player ID]],0)),"")</f>
        <v/>
      </c>
      <c r="AC771" s="52" t="str">
        <f>IF(Table5[[#This Row],[Ovr]]="","",IF(Table5[[#This Row],[cmbList]]="","",Table5[[#This Row],[cmbList]]-Table5[[#This Row],[Ovr]]))</f>
        <v/>
      </c>
      <c r="AD771" s="56" t="str">
        <f>IF(ISERROR(VLOOKUP($AB771&amp;"-"&amp;$E771&amp;" "&amp;F771,Bonuses!$B$1:$G$1006,4,FALSE)),"",INT(VLOOKUP($AB771&amp;"-"&amp;$E771&amp;" "&amp;$F771,Bonuses!$B$1:$G$1006,4,FALSE)))</f>
        <v/>
      </c>
      <c r="AE7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2" spans="1:31" s="52" customFormat="1" x14ac:dyDescent="0.25">
      <c r="A772" s="52">
        <v>8708</v>
      </c>
      <c r="B772" s="52">
        <f>COUNTIF(Table5[PID],A772)</f>
        <v>1</v>
      </c>
      <c r="C772" s="52" t="str">
        <f>IF(COUNTIF(Table3[[#All],[PID]],A772)&gt;0,"P","B")</f>
        <v>B</v>
      </c>
      <c r="D772" s="61" t="str">
        <f>IF($C772="B",INDEX(Batters[[#All],[POS]],MATCH(Table5[[#This Row],[PID]],Batters[[#All],[PID]],0)),INDEX(Table3[[#All],[POS]],MATCH(Table5[[#This Row],[PID]],Table3[[#All],[PID]],0)))</f>
        <v>C</v>
      </c>
      <c r="E772" s="54" t="str">
        <f>IF($C772="B",INDEX(Batters[[#All],[First]],MATCH(Table5[[#This Row],[PID]],Batters[[#All],[PID]],0)),INDEX(Table3[[#All],[First]],MATCH(Table5[[#This Row],[PID]],Table3[[#All],[PID]],0)))</f>
        <v>Christian</v>
      </c>
      <c r="F772" s="52" t="str">
        <f>IF($C772="B",INDEX(Batters[[#All],[Last]],MATCH(A772,Batters[[#All],[PID]],0)),INDEX(Table3[[#All],[Last]],MATCH(A772,Table3[[#All],[PID]],0)))</f>
        <v>Bailey</v>
      </c>
      <c r="G772" s="58">
        <f>IF($C772="B",INDEX(Batters[[#All],[Age]],MATCH(Table5[[#This Row],[PID]],Batters[[#All],[PID]],0)),INDEX(Table3[[#All],[Age]],MATCH(Table5[[#This Row],[PID]],Table3[[#All],[PID]],0)))</f>
        <v>18</v>
      </c>
      <c r="H772" s="54" t="str">
        <f>IF($C772="B",INDEX(Batters[[#All],[B]],MATCH(Table5[[#This Row],[PID]],Batters[[#All],[PID]],0)),INDEX(Table3[[#All],[B]],MATCH(Table5[[#This Row],[PID]],Table3[[#All],[PID]],0)))</f>
        <v>R</v>
      </c>
      <c r="I772" s="54" t="str">
        <f>IF($C772="B",INDEX(Batters[[#All],[T]],MATCH(Table5[[#This Row],[PID]],Batters[[#All],[PID]],0)),INDEX(Table3[[#All],[T]],MATCH(Table5[[#This Row],[PID]],Table3[[#All],[PID]],0)))</f>
        <v>R</v>
      </c>
      <c r="J772" s="54" t="str">
        <f>IF($C772="B",INDEX(Batters[[#All],[WE]],MATCH(Table5[[#This Row],[PID]],Batters[[#All],[PID]],0)),INDEX(Table3[[#All],[WE]],MATCH(Table5[[#This Row],[PID]],Table3[[#All],[PID]],0)))</f>
        <v>Low</v>
      </c>
      <c r="K772" s="54" t="str">
        <f>IF($C772="B",INDEX(Batters[[#All],[INT]],MATCH(Table5[[#This Row],[PID]],Batters[[#All],[PID]],0)),INDEX(Table3[[#All],[INT]],MATCH(Table5[[#This Row],[PID]],Table3[[#All],[PID]],0)))</f>
        <v>Normal</v>
      </c>
      <c r="L772" s="62">
        <f>IF($C772="B",INDEX(Batters[[#All],[CON P]],MATCH(Table5[[#This Row],[PID]],Batters[[#All],[PID]],0)),INDEX(Table3[[#All],[STU P]],MATCH(Table5[[#This Row],[PID]],Table3[[#All],[PID]],0)))</f>
        <v>2</v>
      </c>
      <c r="M772" s="58">
        <f>IF($C772="B",INDEX(Batters[[#All],[GAP P]],MATCH(Table5[[#This Row],[PID]],Batters[[#All],[PID]],0)),INDEX(Table3[[#All],[MOV P]],MATCH(Table5[[#This Row],[PID]],Table3[[#All],[PID]],0)))</f>
        <v>4</v>
      </c>
      <c r="N772" s="58">
        <f>IF($C772="B",INDEX(Batters[[#All],[POW P]],MATCH(Table5[[#This Row],[PID]],Batters[[#All],[PID]],0)),INDEX(Table3[[#All],[CON P]],MATCH(Table5[[#This Row],[PID]],Table3[[#All],[PID]],0)))</f>
        <v>4</v>
      </c>
      <c r="O772" s="58">
        <f>IF($C772="B",INDEX(Batters[[#All],[EYE P]],MATCH(Table5[[#This Row],[PID]],Batters[[#All],[PID]],0)),INDEX(Table3[[#All],[VELO]],MATCH(Table5[[#This Row],[PID]],Table3[[#All],[PID]],0)))</f>
        <v>4</v>
      </c>
      <c r="P772" s="58">
        <f>IF($C772="B",INDEX(Batters[[#All],[K P]],MATCH(Table5[[#This Row],[PID]],Batters[[#All],[PID]],0)),INDEX(Table3[[#All],[STM]],MATCH(Table5[[#This Row],[PID]],Table3[[#All],[PID]],0)))</f>
        <v>2</v>
      </c>
      <c r="Q772" s="63">
        <f>IF($C772="B",INDEX(Batters[[#All],[Tot]],MATCH(Table5[[#This Row],[PID]],Batters[[#All],[PID]],0)),INDEX(Table3[[#All],[Tot]],MATCH(Table5[[#This Row],[PID]],Table3[[#All],[PID]],0)))</f>
        <v>36.896530980204567</v>
      </c>
      <c r="R772" s="54">
        <f>IF($C772="B",INDEX(Batters[[#All],[zScore]],MATCH(Table5[[#This Row],[PID]],Batters[[#All],[PID]],0)),INDEX(Table3[[#All],[zScore]],MATCH(Table5[[#This Row],[PID]],Table3[[#All],[PID]],0)))</f>
        <v>-0.60730655554787771</v>
      </c>
      <c r="S772" s="60" t="str">
        <f>IF($C772="B",INDEX(Batters[[#All],[DEM]],MATCH(Table5[[#This Row],[PID]],Batters[[#All],[PID]],0)),INDEX(Table3[[#All],[DEM]],MATCH(Table5[[#This Row],[PID]],Table3[[#All],[PID]],0)))</f>
        <v>$70k</v>
      </c>
      <c r="T772" s="64">
        <f>IF($C772="B",VLOOKUP($A772,Bat!$A$4:$AU$1417,46,FALSE),VLOOKUP($A772,Pit!$A$4:$BD$570,55,FALSE))</f>
        <v>0</v>
      </c>
      <c r="U772" s="52">
        <f>IF($C772="B",VLOOKUP($A772,Bat!$A$4:$BA$1417,47,FALSE),VLOOKUP($A772,Pit!$A$4:$BF$570,56,FALSE))</f>
        <v>0</v>
      </c>
      <c r="V772" s="52">
        <f>IF($C772="B",VLOOKUP($A772,Bat!$A$4:$BA$1417,48,FALSE),VLOOKUP($A772,Pit!$A$4:$BF$570,57,FALSE))</f>
        <v>0</v>
      </c>
      <c r="W772" s="52">
        <f>Table5[[#This Row],[posRnk]]+Table5[[#This Row],[zRnk]]+IF($W$3&lt;&gt;Table5[[#This Row],[Type]],50,0)</f>
        <v>818</v>
      </c>
      <c r="X772" s="53">
        <f>RANK(Table5[[#This Row],[zScore]],Table5[[#All],[zScore]])</f>
        <v>768</v>
      </c>
      <c r="Y772" s="52" t="str">
        <f>IFERROR(INDEX(DraftResults[[#All],[OVR]],MATCH(Table5[[#This Row],[PID]],DraftResults[[#All],[Player ID]],0)),"")</f>
        <v/>
      </c>
      <c r="Z7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2" s="52" t="str">
        <f>IFERROR(INDEX(DraftResults[[#All],[Pick in Round]],MATCH(Table5[[#This Row],[PID]],DraftResults[[#All],[Player ID]],0)),"")</f>
        <v/>
      </c>
      <c r="AB772" s="52" t="str">
        <f>IFERROR(INDEX(DraftResults[[#All],[Team Name]],MATCH(Table5[[#This Row],[PID]],DraftResults[[#All],[Player ID]],0)),"")</f>
        <v/>
      </c>
      <c r="AC772" s="52" t="str">
        <f>IF(Table5[[#This Row],[Ovr]]="","",IF(Table5[[#This Row],[cmbList]]="","",Table5[[#This Row],[cmbList]]-Table5[[#This Row],[Ovr]]))</f>
        <v/>
      </c>
      <c r="AD772" s="56" t="str">
        <f>IF(ISERROR(VLOOKUP($AB772&amp;"-"&amp;$E772&amp;" "&amp;F772,Bonuses!$B$1:$G$1006,4,FALSE)),"",INT(VLOOKUP($AB772&amp;"-"&amp;$E772&amp;" "&amp;$F772,Bonuses!$B$1:$G$1006,4,FALSE)))</f>
        <v/>
      </c>
      <c r="AE7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3" spans="1:31" s="52" customFormat="1" x14ac:dyDescent="0.25">
      <c r="A773" s="52">
        <v>12375</v>
      </c>
      <c r="B773" s="52">
        <f>COUNTIF(Table5[PID],A773)</f>
        <v>1</v>
      </c>
      <c r="C773" s="52" t="str">
        <f>IF(COUNTIF(Table3[[#All],[PID]],A773)&gt;0,"P","B")</f>
        <v>B</v>
      </c>
      <c r="D773" s="61" t="str">
        <f>IF($C773="B",INDEX(Batters[[#All],[POS]],MATCH(Table5[[#This Row],[PID]],Batters[[#All],[PID]],0)),INDEX(Table3[[#All],[POS]],MATCH(Table5[[#This Row],[PID]],Table3[[#All],[PID]],0)))</f>
        <v>C</v>
      </c>
      <c r="E773" s="54" t="str">
        <f>IF($C773="B",INDEX(Batters[[#All],[First]],MATCH(Table5[[#This Row],[PID]],Batters[[#All],[PID]],0)),INDEX(Table3[[#All],[First]],MATCH(Table5[[#This Row],[PID]],Table3[[#All],[PID]],0)))</f>
        <v>Drees</v>
      </c>
      <c r="F773" s="52" t="str">
        <f>IF($C773="B",INDEX(Batters[[#All],[Last]],MATCH(A773,Batters[[#All],[PID]],0)),INDEX(Table3[[#All],[Last]],MATCH(A773,Table3[[#All],[PID]],0)))</f>
        <v>van de Broek</v>
      </c>
      <c r="G773" s="58">
        <f>IF($C773="B",INDEX(Batters[[#All],[Age]],MATCH(Table5[[#This Row],[PID]],Batters[[#All],[PID]],0)),INDEX(Table3[[#All],[Age]],MATCH(Table5[[#This Row],[PID]],Table3[[#All],[PID]],0)))</f>
        <v>21</v>
      </c>
      <c r="H773" s="54" t="str">
        <f>IF($C773="B",INDEX(Batters[[#All],[B]],MATCH(Table5[[#This Row],[PID]],Batters[[#All],[PID]],0)),INDEX(Table3[[#All],[B]],MATCH(Table5[[#This Row],[PID]],Table3[[#All],[PID]],0)))</f>
        <v>R</v>
      </c>
      <c r="I773" s="54" t="str">
        <f>IF($C773="B",INDEX(Batters[[#All],[T]],MATCH(Table5[[#This Row],[PID]],Batters[[#All],[PID]],0)),INDEX(Table3[[#All],[T]],MATCH(Table5[[#This Row],[PID]],Table3[[#All],[PID]],0)))</f>
        <v>R</v>
      </c>
      <c r="J773" s="54" t="str">
        <f>IF($C773="B",INDEX(Batters[[#All],[WE]],MATCH(Table5[[#This Row],[PID]],Batters[[#All],[PID]],0)),INDEX(Table3[[#All],[WE]],MATCH(Table5[[#This Row],[PID]],Table3[[#All],[PID]],0)))</f>
        <v>Low</v>
      </c>
      <c r="K773" s="54" t="str">
        <f>IF($C773="B",INDEX(Batters[[#All],[INT]],MATCH(Table5[[#This Row],[PID]],Batters[[#All],[PID]],0)),INDEX(Table3[[#All],[INT]],MATCH(Table5[[#This Row],[PID]],Table3[[#All],[PID]],0)))</f>
        <v>Normal</v>
      </c>
      <c r="L773" s="62">
        <f>IF($C773="B",INDEX(Batters[[#All],[CON P]],MATCH(Table5[[#This Row],[PID]],Batters[[#All],[PID]],0)),INDEX(Table3[[#All],[STU P]],MATCH(Table5[[#This Row],[PID]],Table3[[#All],[PID]],0)))</f>
        <v>3</v>
      </c>
      <c r="M773" s="58">
        <f>IF($C773="B",INDEX(Batters[[#All],[GAP P]],MATCH(Table5[[#This Row],[PID]],Batters[[#All],[PID]],0)),INDEX(Table3[[#All],[MOV P]],MATCH(Table5[[#This Row],[PID]],Table3[[#All],[PID]],0)))</f>
        <v>4</v>
      </c>
      <c r="N773" s="58">
        <f>IF($C773="B",INDEX(Batters[[#All],[POW P]],MATCH(Table5[[#This Row],[PID]],Batters[[#All],[PID]],0)),INDEX(Table3[[#All],[CON P]],MATCH(Table5[[#This Row],[PID]],Table3[[#All],[PID]],0)))</f>
        <v>3</v>
      </c>
      <c r="O773" s="58">
        <f>IF($C773="B",INDEX(Batters[[#All],[EYE P]],MATCH(Table5[[#This Row],[PID]],Batters[[#All],[PID]],0)),INDEX(Table3[[#All],[VELO]],MATCH(Table5[[#This Row],[PID]],Table3[[#All],[PID]],0)))</f>
        <v>5</v>
      </c>
      <c r="P773" s="58">
        <f>IF($C773="B",INDEX(Batters[[#All],[K P]],MATCH(Table5[[#This Row],[PID]],Batters[[#All],[PID]],0)),INDEX(Table3[[#All],[STM]],MATCH(Table5[[#This Row],[PID]],Table3[[#All],[PID]],0)))</f>
        <v>4</v>
      </c>
      <c r="Q773" s="63">
        <f>IF($C773="B",INDEX(Batters[[#All],[Tot]],MATCH(Table5[[#This Row],[PID]],Batters[[#All],[PID]],0)),INDEX(Table3[[#All],[Tot]],MATCH(Table5[[#This Row],[PID]],Table3[[#All],[PID]],0)))</f>
        <v>36.889194716948424</v>
      </c>
      <c r="R773" s="54">
        <f>IF($C773="B",INDEX(Batters[[#All],[zScore]],MATCH(Table5[[#This Row],[PID]],Batters[[#All],[PID]],0)),INDEX(Table3[[#All],[zScore]],MATCH(Table5[[#This Row],[PID]],Table3[[#All],[PID]],0)))</f>
        <v>-0.60859732230876484</v>
      </c>
      <c r="S773" s="60" t="str">
        <f>IF($C773="B",INDEX(Batters[[#All],[DEM]],MATCH(Table5[[#This Row],[PID]],Batters[[#All],[PID]],0)),INDEX(Table3[[#All],[DEM]],MATCH(Table5[[#This Row],[PID]],Table3[[#All],[PID]],0)))</f>
        <v>-</v>
      </c>
      <c r="T773" s="64">
        <f>IF($C773="B",VLOOKUP($A773,Bat!$A$4:$AU$1417,46,FALSE),VLOOKUP($A773,Pit!$A$4:$BD$570,55,FALSE))</f>
        <v>0</v>
      </c>
      <c r="U773" s="52">
        <f>IF($C773="B",VLOOKUP($A773,Bat!$A$4:$BA$1417,47,FALSE),VLOOKUP($A773,Pit!$A$4:$BF$570,56,FALSE))</f>
        <v>0</v>
      </c>
      <c r="V773" s="52">
        <f>IF($C773="B",VLOOKUP($A773,Bat!$A$4:$BA$1417,48,FALSE),VLOOKUP($A773,Pit!$A$4:$BF$570,57,FALSE))</f>
        <v>0</v>
      </c>
      <c r="W773" s="52">
        <f>Table5[[#This Row],[posRnk]]+Table5[[#This Row],[zRnk]]+IF($W$3&lt;&gt;Table5[[#This Row],[Type]],50,0)</f>
        <v>819</v>
      </c>
      <c r="X773" s="53">
        <f>RANK(Table5[[#This Row],[zScore]],Table5[[#All],[zScore]])</f>
        <v>769</v>
      </c>
      <c r="Y773" s="52" t="str">
        <f>IFERROR(INDEX(DraftResults[[#All],[OVR]],MATCH(Table5[[#This Row],[PID]],DraftResults[[#All],[Player ID]],0)),"")</f>
        <v/>
      </c>
      <c r="Z7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3" s="52" t="str">
        <f>IFERROR(INDEX(DraftResults[[#All],[Pick in Round]],MATCH(Table5[[#This Row],[PID]],DraftResults[[#All],[Player ID]],0)),"")</f>
        <v/>
      </c>
      <c r="AB773" s="52" t="str">
        <f>IFERROR(INDEX(DraftResults[[#All],[Team Name]],MATCH(Table5[[#This Row],[PID]],DraftResults[[#All],[Player ID]],0)),"")</f>
        <v/>
      </c>
      <c r="AC773" s="52" t="str">
        <f>IF(Table5[[#This Row],[Ovr]]="","",IF(Table5[[#This Row],[cmbList]]="","",Table5[[#This Row],[cmbList]]-Table5[[#This Row],[Ovr]]))</f>
        <v/>
      </c>
      <c r="AD773" s="56" t="str">
        <f>IF(ISERROR(VLOOKUP($AB773&amp;"-"&amp;$E773&amp;" "&amp;F773,Bonuses!$B$1:$G$1006,4,FALSE)),"",INT(VLOOKUP($AB773&amp;"-"&amp;$E773&amp;" "&amp;$F773,Bonuses!$B$1:$G$1006,4,FALSE)))</f>
        <v/>
      </c>
      <c r="AE7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4" spans="1:31" s="52" customFormat="1" x14ac:dyDescent="0.25">
      <c r="A774" s="52">
        <v>17891</v>
      </c>
      <c r="B774" s="52">
        <f>COUNTIF(Table5[PID],A774)</f>
        <v>1</v>
      </c>
      <c r="C774" s="52" t="str">
        <f>IF(COUNTIF(Table3[[#All],[PID]],A774)&gt;0,"P","B")</f>
        <v>P</v>
      </c>
      <c r="D774" s="61" t="str">
        <f>IF($C774="B",INDEX(Batters[[#All],[POS]],MATCH(Table5[[#This Row],[PID]],Batters[[#All],[PID]],0)),INDEX(Table3[[#All],[POS]],MATCH(Table5[[#This Row],[PID]],Table3[[#All],[PID]],0)))</f>
        <v>RP</v>
      </c>
      <c r="E774" s="54" t="str">
        <f>IF($C774="B",INDEX(Batters[[#All],[First]],MATCH(Table5[[#This Row],[PID]],Batters[[#All],[PID]],0)),INDEX(Table3[[#All],[First]],MATCH(Table5[[#This Row],[PID]],Table3[[#All],[PID]],0)))</f>
        <v>Munenori</v>
      </c>
      <c r="F774" s="52" t="str">
        <f>IF($C774="B",INDEX(Batters[[#All],[Last]],MATCH(A774,Batters[[#All],[PID]],0)),INDEX(Table3[[#All],[Last]],MATCH(A774,Table3[[#All],[PID]],0)))</f>
        <v>Yamamoto</v>
      </c>
      <c r="G774" s="58">
        <f>IF($C774="B",INDEX(Batters[[#All],[Age]],MATCH(Table5[[#This Row],[PID]],Batters[[#All],[PID]],0)),INDEX(Table3[[#All],[Age]],MATCH(Table5[[#This Row],[PID]],Table3[[#All],[PID]],0)))</f>
        <v>18</v>
      </c>
      <c r="H774" s="54" t="str">
        <f>IF($C774="B",INDEX(Batters[[#All],[B]],MATCH(Table5[[#This Row],[PID]],Batters[[#All],[PID]],0)),INDEX(Table3[[#All],[B]],MATCH(Table5[[#This Row],[PID]],Table3[[#All],[PID]],0)))</f>
        <v>R</v>
      </c>
      <c r="I774" s="54" t="str">
        <f>IF($C774="B",INDEX(Batters[[#All],[T]],MATCH(Table5[[#This Row],[PID]],Batters[[#All],[PID]],0)),INDEX(Table3[[#All],[T]],MATCH(Table5[[#This Row],[PID]],Table3[[#All],[PID]],0)))</f>
        <v>R</v>
      </c>
      <c r="J774" s="54" t="str">
        <f>IF($C774="B",INDEX(Batters[[#All],[WE]],MATCH(Table5[[#This Row],[PID]],Batters[[#All],[PID]],0)),INDEX(Table3[[#All],[WE]],MATCH(Table5[[#This Row],[PID]],Table3[[#All],[PID]],0)))</f>
        <v>Normal</v>
      </c>
      <c r="K774" s="54" t="str">
        <f>IF($C774="B",INDEX(Batters[[#All],[INT]],MATCH(Table5[[#This Row],[PID]],Batters[[#All],[PID]],0)),INDEX(Table3[[#All],[INT]],MATCH(Table5[[#This Row],[PID]],Table3[[#All],[PID]],0)))</f>
        <v>Low</v>
      </c>
      <c r="L774" s="62">
        <f>IF($C774="B",INDEX(Batters[[#All],[CON P]],MATCH(Table5[[#This Row],[PID]],Batters[[#All],[PID]],0)),INDEX(Table3[[#All],[STU P]],MATCH(Table5[[#This Row],[PID]],Table3[[#All],[PID]],0)))</f>
        <v>2</v>
      </c>
      <c r="M774" s="58">
        <f>IF($C774="B",INDEX(Batters[[#All],[GAP P]],MATCH(Table5[[#This Row],[PID]],Batters[[#All],[PID]],0)),INDEX(Table3[[#All],[MOV P]],MATCH(Table5[[#This Row],[PID]],Table3[[#All],[PID]],0)))</f>
        <v>2</v>
      </c>
      <c r="N774" s="58">
        <f>IF($C774="B",INDEX(Batters[[#All],[POW P]],MATCH(Table5[[#This Row],[PID]],Batters[[#All],[PID]],0)),INDEX(Table3[[#All],[CON P]],MATCH(Table5[[#This Row],[PID]],Table3[[#All],[PID]],0)))</f>
        <v>2</v>
      </c>
      <c r="O774" s="58" t="str">
        <f>IF($C774="B",INDEX(Batters[[#All],[EYE P]],MATCH(Table5[[#This Row],[PID]],Batters[[#All],[PID]],0)),INDEX(Table3[[#All],[VELO]],MATCH(Table5[[#This Row],[PID]],Table3[[#All],[PID]],0)))</f>
        <v>86-88 Mph</v>
      </c>
      <c r="P774" s="58">
        <f>IF($C774="B",INDEX(Batters[[#All],[K P]],MATCH(Table5[[#This Row],[PID]],Batters[[#All],[PID]],0)),INDEX(Table3[[#All],[STM]],MATCH(Table5[[#This Row],[PID]],Table3[[#All],[PID]],0)))</f>
        <v>6</v>
      </c>
      <c r="Q774" s="63">
        <f>IF($C774="B",INDEX(Batters[[#All],[Tot]],MATCH(Table5[[#This Row],[PID]],Batters[[#All],[PID]],0)),INDEX(Table3[[#All],[Tot]],MATCH(Table5[[#This Row],[PID]],Table3[[#All],[PID]],0)))</f>
        <v>23.438987613522617</v>
      </c>
      <c r="R774" s="54">
        <f>IF($C774="B",INDEX(Batters[[#All],[zScore]],MATCH(Table5[[#This Row],[PID]],Batters[[#All],[PID]],0)),INDEX(Table3[[#All],[zScore]],MATCH(Table5[[#This Row],[PID]],Table3[[#All],[PID]],0)))</f>
        <v>-0.60966447534387724</v>
      </c>
      <c r="S774" s="60" t="str">
        <f>IF($C774="B",INDEX(Batters[[#All],[DEM]],MATCH(Table5[[#This Row],[PID]],Batters[[#All],[PID]],0)),INDEX(Table3[[#All],[DEM]],MATCH(Table5[[#This Row],[PID]],Table3[[#All],[PID]],0)))</f>
        <v>$65k</v>
      </c>
      <c r="T774" s="64">
        <f>IF($C774="B",VLOOKUP($A774,Bat!$A$4:$AU$1417,46,FALSE),VLOOKUP($A774,Pit!$A$4:$BD$570,55,FALSE))</f>
        <v>0</v>
      </c>
      <c r="U774" s="52">
        <f>IF($C774="B",VLOOKUP($A774,Bat!$A$4:$BA$1417,47,FALSE),VLOOKUP($A774,Pit!$A$4:$BF$570,56,FALSE))</f>
        <v>0</v>
      </c>
      <c r="V774" s="52">
        <f>IF($C774="B",VLOOKUP($A774,Bat!$A$4:$BA$1417,48,FALSE),VLOOKUP($A774,Pit!$A$4:$BF$570,57,FALSE))</f>
        <v>0</v>
      </c>
      <c r="W774" s="52">
        <f>Table5[[#This Row],[posRnk]]+Table5[[#This Row],[zRnk]]+IF($W$3&lt;&gt;Table5[[#This Row],[Type]],50,0)</f>
        <v>820</v>
      </c>
      <c r="X774" s="53">
        <f>RANK(Table5[[#This Row],[zScore]],Table5[[#All],[zScore]])</f>
        <v>770</v>
      </c>
      <c r="Y774" s="52" t="str">
        <f>IFERROR(INDEX(DraftResults[[#All],[OVR]],MATCH(Table5[[#This Row],[PID]],DraftResults[[#All],[Player ID]],0)),"")</f>
        <v/>
      </c>
      <c r="Z7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4" s="52" t="str">
        <f>IFERROR(INDEX(DraftResults[[#All],[Pick in Round]],MATCH(Table5[[#This Row],[PID]],DraftResults[[#All],[Player ID]],0)),"")</f>
        <v/>
      </c>
      <c r="AB774" s="52" t="str">
        <f>IFERROR(INDEX(DraftResults[[#All],[Team Name]],MATCH(Table5[[#This Row],[PID]],DraftResults[[#All],[Player ID]],0)),"")</f>
        <v/>
      </c>
      <c r="AC774" s="52" t="str">
        <f>IF(Table5[[#This Row],[Ovr]]="","",IF(Table5[[#This Row],[cmbList]]="","",Table5[[#This Row],[cmbList]]-Table5[[#This Row],[Ovr]]))</f>
        <v/>
      </c>
      <c r="AD774" s="56" t="str">
        <f>IF(ISERROR(VLOOKUP($AB774&amp;"-"&amp;$E774&amp;" "&amp;F774,Bonuses!$B$1:$G$1006,4,FALSE)),"",INT(VLOOKUP($AB774&amp;"-"&amp;$E774&amp;" "&amp;$F774,Bonuses!$B$1:$G$1006,4,FALSE)))</f>
        <v/>
      </c>
      <c r="AE7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5" spans="1:31" s="52" customFormat="1" x14ac:dyDescent="0.25">
      <c r="A775" s="52">
        <v>8960</v>
      </c>
      <c r="B775" s="52">
        <f>COUNTIF(Table5[PID],A775)</f>
        <v>1</v>
      </c>
      <c r="C775" s="52" t="str">
        <f>IF(COUNTIF(Table3[[#All],[PID]],A775)&gt;0,"P","B")</f>
        <v>B</v>
      </c>
      <c r="D775" s="61" t="str">
        <f>IF($C775="B",INDEX(Batters[[#All],[POS]],MATCH(Table5[[#This Row],[PID]],Batters[[#All],[PID]],0)),INDEX(Table3[[#All],[POS]],MATCH(Table5[[#This Row],[PID]],Table3[[#All],[PID]],0)))</f>
        <v>LF</v>
      </c>
      <c r="E775" s="54" t="str">
        <f>IF($C775="B",INDEX(Batters[[#All],[First]],MATCH(Table5[[#This Row],[PID]],Batters[[#All],[PID]],0)),INDEX(Table3[[#All],[First]],MATCH(Table5[[#This Row],[PID]],Table3[[#All],[PID]],0)))</f>
        <v>Walt</v>
      </c>
      <c r="F775" s="52" t="str">
        <f>IF($C775="B",INDEX(Batters[[#All],[Last]],MATCH(A775,Batters[[#All],[PID]],0)),INDEX(Table3[[#All],[Last]],MATCH(A775,Table3[[#All],[PID]],0)))</f>
        <v>Frost</v>
      </c>
      <c r="G775" s="58">
        <f>IF($C775="B",INDEX(Batters[[#All],[Age]],MATCH(Table5[[#This Row],[PID]],Batters[[#All],[PID]],0)),INDEX(Table3[[#All],[Age]],MATCH(Table5[[#This Row],[PID]],Table3[[#All],[PID]],0)))</f>
        <v>22</v>
      </c>
      <c r="H775" s="54" t="str">
        <f>IF($C775="B",INDEX(Batters[[#All],[B]],MATCH(Table5[[#This Row],[PID]],Batters[[#All],[PID]],0)),INDEX(Table3[[#All],[B]],MATCH(Table5[[#This Row],[PID]],Table3[[#All],[PID]],0)))</f>
        <v>R</v>
      </c>
      <c r="I775" s="54" t="str">
        <f>IF($C775="B",INDEX(Batters[[#All],[T]],MATCH(Table5[[#This Row],[PID]],Batters[[#All],[PID]],0)),INDEX(Table3[[#All],[T]],MATCH(Table5[[#This Row],[PID]],Table3[[#All],[PID]],0)))</f>
        <v>R</v>
      </c>
      <c r="J775" s="54" t="str">
        <f>IF($C775="B",INDEX(Batters[[#All],[WE]],MATCH(Table5[[#This Row],[PID]],Batters[[#All],[PID]],0)),INDEX(Table3[[#All],[WE]],MATCH(Table5[[#This Row],[PID]],Table3[[#All],[PID]],0)))</f>
        <v>Low</v>
      </c>
      <c r="K775" s="54" t="str">
        <f>IF($C775="B",INDEX(Batters[[#All],[INT]],MATCH(Table5[[#This Row],[PID]],Batters[[#All],[PID]],0)),INDEX(Table3[[#All],[INT]],MATCH(Table5[[#This Row],[PID]],Table3[[#All],[PID]],0)))</f>
        <v>Normal</v>
      </c>
      <c r="L775" s="62">
        <f>IF($C775="B",INDEX(Batters[[#All],[CON P]],MATCH(Table5[[#This Row],[PID]],Batters[[#All],[PID]],0)),INDEX(Table3[[#All],[STU P]],MATCH(Table5[[#This Row],[PID]],Table3[[#All],[PID]],0)))</f>
        <v>3</v>
      </c>
      <c r="M775" s="58">
        <f>IF($C775="B",INDEX(Batters[[#All],[GAP P]],MATCH(Table5[[#This Row],[PID]],Batters[[#All],[PID]],0)),INDEX(Table3[[#All],[MOV P]],MATCH(Table5[[#This Row],[PID]],Table3[[#All],[PID]],0)))</f>
        <v>4</v>
      </c>
      <c r="N775" s="58">
        <f>IF($C775="B",INDEX(Batters[[#All],[POW P]],MATCH(Table5[[#This Row],[PID]],Batters[[#All],[PID]],0)),INDEX(Table3[[#All],[CON P]],MATCH(Table5[[#This Row],[PID]],Table3[[#All],[PID]],0)))</f>
        <v>4</v>
      </c>
      <c r="O775" s="58">
        <f>IF($C775="B",INDEX(Batters[[#All],[EYE P]],MATCH(Table5[[#This Row],[PID]],Batters[[#All],[PID]],0)),INDEX(Table3[[#All],[VELO]],MATCH(Table5[[#This Row],[PID]],Table3[[#All],[PID]],0)))</f>
        <v>5</v>
      </c>
      <c r="P775" s="58">
        <f>IF($C775="B",INDEX(Batters[[#All],[K P]],MATCH(Table5[[#This Row],[PID]],Batters[[#All],[PID]],0)),INDEX(Table3[[#All],[STM]],MATCH(Table5[[#This Row],[PID]],Table3[[#All],[PID]],0)))</f>
        <v>2</v>
      </c>
      <c r="Q775" s="63">
        <f>IF($C775="B",INDEX(Batters[[#All],[Tot]],MATCH(Table5[[#This Row],[PID]],Batters[[#All],[PID]],0)),INDEX(Table3[[#All],[Tot]],MATCH(Table5[[#This Row],[PID]],Table3[[#All],[PID]],0)))</f>
        <v>36.880175650079678</v>
      </c>
      <c r="R775" s="54">
        <f>IF($C775="B",INDEX(Batters[[#All],[zScore]],MATCH(Table5[[#This Row],[PID]],Batters[[#All],[PID]],0)),INDEX(Table3[[#All],[zScore]],MATCH(Table5[[#This Row],[PID]],Table3[[#All],[PID]],0)))</f>
        <v>-0.61018416718086599</v>
      </c>
      <c r="S775" s="60" t="str">
        <f>IF($C775="B",INDEX(Batters[[#All],[DEM]],MATCH(Table5[[#This Row],[PID]],Batters[[#All],[PID]],0)),INDEX(Table3[[#All],[DEM]],MATCH(Table5[[#This Row],[PID]],Table3[[#All],[PID]],0)))</f>
        <v>-</v>
      </c>
      <c r="T775" s="64">
        <f>IF($C775="B",VLOOKUP($A775,Bat!$A$4:$AU$1417,46,FALSE),VLOOKUP($A775,Pit!$A$4:$BD$570,55,FALSE))</f>
        <v>0</v>
      </c>
      <c r="U775" s="52">
        <f>IF($C775="B",VLOOKUP($A775,Bat!$A$4:$BA$1417,47,FALSE),VLOOKUP($A775,Pit!$A$4:$BF$570,56,FALSE))</f>
        <v>0</v>
      </c>
      <c r="V775" s="52">
        <f>IF($C775="B",VLOOKUP($A775,Bat!$A$4:$BA$1417,48,FALSE),VLOOKUP($A775,Pit!$A$4:$BF$570,57,FALSE))</f>
        <v>0</v>
      </c>
      <c r="W775" s="52">
        <f>Table5[[#This Row],[posRnk]]+Table5[[#This Row],[zRnk]]+IF($W$3&lt;&gt;Table5[[#This Row],[Type]],50,0)</f>
        <v>821</v>
      </c>
      <c r="X775" s="53">
        <f>RANK(Table5[[#This Row],[zScore]],Table5[[#All],[zScore]])</f>
        <v>771</v>
      </c>
      <c r="Y775" s="52" t="str">
        <f>IFERROR(INDEX(DraftResults[[#All],[OVR]],MATCH(Table5[[#This Row],[PID]],DraftResults[[#All],[Player ID]],0)),"")</f>
        <v/>
      </c>
      <c r="Z7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5" s="52" t="str">
        <f>IFERROR(INDEX(DraftResults[[#All],[Pick in Round]],MATCH(Table5[[#This Row],[PID]],DraftResults[[#All],[Player ID]],0)),"")</f>
        <v/>
      </c>
      <c r="AB775" s="52" t="str">
        <f>IFERROR(INDEX(DraftResults[[#All],[Team Name]],MATCH(Table5[[#This Row],[PID]],DraftResults[[#All],[Player ID]],0)),"")</f>
        <v/>
      </c>
      <c r="AC775" s="52" t="str">
        <f>IF(Table5[[#This Row],[Ovr]]="","",IF(Table5[[#This Row],[cmbList]]="","",Table5[[#This Row],[cmbList]]-Table5[[#This Row],[Ovr]]))</f>
        <v/>
      </c>
      <c r="AD775" s="56" t="str">
        <f>IF(ISERROR(VLOOKUP($AB775&amp;"-"&amp;$E775&amp;" "&amp;F775,Bonuses!$B$1:$G$1006,4,FALSE)),"",INT(VLOOKUP($AB775&amp;"-"&amp;$E775&amp;" "&amp;$F775,Bonuses!$B$1:$G$1006,4,FALSE)))</f>
        <v/>
      </c>
      <c r="AE7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6" spans="1:31" s="52" customFormat="1" x14ac:dyDescent="0.25">
      <c r="A776" s="52">
        <v>8228</v>
      </c>
      <c r="B776" s="52">
        <f>COUNTIF(Table5[PID],A776)</f>
        <v>1</v>
      </c>
      <c r="C776" s="52" t="str">
        <f>IF(COUNTIF(Table3[[#All],[PID]],A776)&gt;0,"P","B")</f>
        <v>P</v>
      </c>
      <c r="D776" s="61" t="str">
        <f>IF($C776="B",INDEX(Batters[[#All],[POS]],MATCH(Table5[[#This Row],[PID]],Batters[[#All],[PID]],0)),INDEX(Table3[[#All],[POS]],MATCH(Table5[[#This Row],[PID]],Table3[[#All],[PID]],0)))</f>
        <v>SP</v>
      </c>
      <c r="E776" s="54" t="str">
        <f>IF($C776="B",INDEX(Batters[[#All],[First]],MATCH(Table5[[#This Row],[PID]],Batters[[#All],[PID]],0)),INDEX(Table3[[#All],[First]],MATCH(Table5[[#This Row],[PID]],Table3[[#All],[PID]],0)))</f>
        <v>Joey</v>
      </c>
      <c r="F776" s="52" t="str">
        <f>IF($C776="B",INDEX(Batters[[#All],[Last]],MATCH(A776,Batters[[#All],[PID]],0)),INDEX(Table3[[#All],[Last]],MATCH(A776,Table3[[#All],[PID]],0)))</f>
        <v>van Doren</v>
      </c>
      <c r="G776" s="58">
        <f>IF($C776="B",INDEX(Batters[[#All],[Age]],MATCH(Table5[[#This Row],[PID]],Batters[[#All],[PID]],0)),INDEX(Table3[[#All],[Age]],MATCH(Table5[[#This Row],[PID]],Table3[[#All],[PID]],0)))</f>
        <v>21</v>
      </c>
      <c r="H776" s="54" t="str">
        <f>IF($C776="B",INDEX(Batters[[#All],[B]],MATCH(Table5[[#This Row],[PID]],Batters[[#All],[PID]],0)),INDEX(Table3[[#All],[B]],MATCH(Table5[[#This Row],[PID]],Table3[[#All],[PID]],0)))</f>
        <v>R</v>
      </c>
      <c r="I776" s="54" t="str">
        <f>IF($C776="B",INDEX(Batters[[#All],[T]],MATCH(Table5[[#This Row],[PID]],Batters[[#All],[PID]],0)),INDEX(Table3[[#All],[T]],MATCH(Table5[[#This Row],[PID]],Table3[[#All],[PID]],0)))</f>
        <v>R</v>
      </c>
      <c r="J776" s="54" t="str">
        <f>IF($C776="B",INDEX(Batters[[#All],[WE]],MATCH(Table5[[#This Row],[PID]],Batters[[#All],[PID]],0)),INDEX(Table3[[#All],[WE]],MATCH(Table5[[#This Row],[PID]],Table3[[#All],[PID]],0)))</f>
        <v>Low</v>
      </c>
      <c r="K776" s="54" t="str">
        <f>IF($C776="B",INDEX(Batters[[#All],[INT]],MATCH(Table5[[#This Row],[PID]],Batters[[#All],[PID]],0)),INDEX(Table3[[#All],[INT]],MATCH(Table5[[#This Row],[PID]],Table3[[#All],[PID]],0)))</f>
        <v>Normal</v>
      </c>
      <c r="L776" s="62">
        <f>IF($C776="B",INDEX(Batters[[#All],[CON P]],MATCH(Table5[[#This Row],[PID]],Batters[[#All],[PID]],0)),INDEX(Table3[[#All],[STU P]],MATCH(Table5[[#This Row],[PID]],Table3[[#All],[PID]],0)))</f>
        <v>4</v>
      </c>
      <c r="M776" s="58">
        <f>IF($C776="B",INDEX(Batters[[#All],[GAP P]],MATCH(Table5[[#This Row],[PID]],Batters[[#All],[PID]],0)),INDEX(Table3[[#All],[MOV P]],MATCH(Table5[[#This Row],[PID]],Table3[[#All],[PID]],0)))</f>
        <v>2</v>
      </c>
      <c r="N776" s="58">
        <f>IF($C776="B",INDEX(Batters[[#All],[POW P]],MATCH(Table5[[#This Row],[PID]],Batters[[#All],[PID]],0)),INDEX(Table3[[#All],[CON P]],MATCH(Table5[[#This Row],[PID]],Table3[[#All],[PID]],0)))</f>
        <v>2</v>
      </c>
      <c r="O776" s="58" t="str">
        <f>IF($C776="B",INDEX(Batters[[#All],[EYE P]],MATCH(Table5[[#This Row],[PID]],Batters[[#All],[PID]],0)),INDEX(Table3[[#All],[VELO]],MATCH(Table5[[#This Row],[PID]],Table3[[#All],[PID]],0)))</f>
        <v>92-94 Mph</v>
      </c>
      <c r="P776" s="58">
        <f>IF($C776="B",INDEX(Batters[[#All],[K P]],MATCH(Table5[[#This Row],[PID]],Batters[[#All],[PID]],0)),INDEX(Table3[[#All],[STM]],MATCH(Table5[[#This Row],[PID]],Table3[[#All],[PID]],0)))</f>
        <v>9</v>
      </c>
      <c r="Q776" s="63">
        <f>IF($C776="B",INDEX(Batters[[#All],[Tot]],MATCH(Table5[[#This Row],[PID]],Batters[[#All],[PID]],0)),INDEX(Table3[[#All],[Tot]],MATCH(Table5[[#This Row],[PID]],Table3[[#All],[PID]],0)))</f>
        <v>26.054463136217525</v>
      </c>
      <c r="R776" s="54">
        <f>IF($C776="B",INDEX(Batters[[#All],[zScore]],MATCH(Table5[[#This Row],[PID]],Batters[[#All],[PID]],0)),INDEX(Table3[[#All],[zScore]],MATCH(Table5[[#This Row],[PID]],Table3[[#All],[PID]],0)))</f>
        <v>-0.6114646324499402</v>
      </c>
      <c r="S776" s="60" t="str">
        <f>IF($C776="B",INDEX(Batters[[#All],[DEM]],MATCH(Table5[[#This Row],[PID]],Batters[[#All],[PID]],0)),INDEX(Table3[[#All],[DEM]],MATCH(Table5[[#This Row],[PID]],Table3[[#All],[PID]],0)))</f>
        <v>-</v>
      </c>
      <c r="T776" s="64">
        <f>IF($C776="B",VLOOKUP($A776,Bat!$A$4:$AU$1417,46,FALSE),VLOOKUP($A776,Pit!$A$4:$BD$570,55,FALSE))</f>
        <v>0</v>
      </c>
      <c r="U776" s="52">
        <f>IF($C776="B",VLOOKUP($A776,Bat!$A$4:$BA$1417,47,FALSE),VLOOKUP($A776,Pit!$A$4:$BF$570,56,FALSE))</f>
        <v>0</v>
      </c>
      <c r="V776" s="52">
        <f>IF($C776="B",VLOOKUP($A776,Bat!$A$4:$BA$1417,48,FALSE),VLOOKUP($A776,Pit!$A$4:$BF$570,57,FALSE))</f>
        <v>0</v>
      </c>
      <c r="W776" s="52">
        <f>Table5[[#This Row],[posRnk]]+Table5[[#This Row],[zRnk]]+IF($W$3&lt;&gt;Table5[[#This Row],[Type]],50,0)</f>
        <v>822</v>
      </c>
      <c r="X776" s="53">
        <f>RANK(Table5[[#This Row],[zScore]],Table5[[#All],[zScore]])</f>
        <v>772</v>
      </c>
      <c r="Y776" s="52" t="str">
        <f>IFERROR(INDEX(DraftResults[[#All],[OVR]],MATCH(Table5[[#This Row],[PID]],DraftResults[[#All],[Player ID]],0)),"")</f>
        <v/>
      </c>
      <c r="Z7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6" s="52" t="str">
        <f>IFERROR(INDEX(DraftResults[[#All],[Pick in Round]],MATCH(Table5[[#This Row],[PID]],DraftResults[[#All],[Player ID]],0)),"")</f>
        <v/>
      </c>
      <c r="AB776" s="52" t="str">
        <f>IFERROR(INDEX(DraftResults[[#All],[Team Name]],MATCH(Table5[[#This Row],[PID]],DraftResults[[#All],[Player ID]],0)),"")</f>
        <v/>
      </c>
      <c r="AC776" s="52" t="str">
        <f>IF(Table5[[#This Row],[Ovr]]="","",IF(Table5[[#This Row],[cmbList]]="","",Table5[[#This Row],[cmbList]]-Table5[[#This Row],[Ovr]]))</f>
        <v/>
      </c>
      <c r="AD776" s="56" t="str">
        <f>IF(ISERROR(VLOOKUP($AB776&amp;"-"&amp;$E776&amp;" "&amp;F776,Bonuses!$B$1:$G$1006,4,FALSE)),"",INT(VLOOKUP($AB776&amp;"-"&amp;$E776&amp;" "&amp;$F776,Bonuses!$B$1:$G$1006,4,FALSE)))</f>
        <v/>
      </c>
      <c r="AE7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7" spans="1:31" s="52" customFormat="1" x14ac:dyDescent="0.25">
      <c r="A777" s="52">
        <v>9716</v>
      </c>
      <c r="B777" s="52">
        <f>COUNTIF(Table5[PID],A777)</f>
        <v>1</v>
      </c>
      <c r="C777" s="52" t="str">
        <f>IF(COUNTIF(Table3[[#All],[PID]],A777)&gt;0,"P","B")</f>
        <v>P</v>
      </c>
      <c r="D777" s="61" t="str">
        <f>IF($C777="B",INDEX(Batters[[#All],[POS]],MATCH(Table5[[#This Row],[PID]],Batters[[#All],[PID]],0)),INDEX(Table3[[#All],[POS]],MATCH(Table5[[#This Row],[PID]],Table3[[#All],[PID]],0)))</f>
        <v>SP</v>
      </c>
      <c r="E777" s="54" t="str">
        <f>IF($C777="B",INDEX(Batters[[#All],[First]],MATCH(Table5[[#This Row],[PID]],Batters[[#All],[PID]],0)),INDEX(Table3[[#All],[First]],MATCH(Table5[[#This Row],[PID]],Table3[[#All],[PID]],0)))</f>
        <v>Jeffrey</v>
      </c>
      <c r="F777" s="52" t="str">
        <f>IF($C777="B",INDEX(Batters[[#All],[Last]],MATCH(A777,Batters[[#All],[PID]],0)),INDEX(Table3[[#All],[Last]],MATCH(A777,Table3[[#All],[PID]],0)))</f>
        <v>Greer</v>
      </c>
      <c r="G777" s="58">
        <f>IF($C777="B",INDEX(Batters[[#All],[Age]],MATCH(Table5[[#This Row],[PID]],Batters[[#All],[PID]],0)),INDEX(Table3[[#All],[Age]],MATCH(Table5[[#This Row],[PID]],Table3[[#All],[PID]],0)))</f>
        <v>21</v>
      </c>
      <c r="H777" s="54" t="str">
        <f>IF($C777="B",INDEX(Batters[[#All],[B]],MATCH(Table5[[#This Row],[PID]],Batters[[#All],[PID]],0)),INDEX(Table3[[#All],[B]],MATCH(Table5[[#This Row],[PID]],Table3[[#All],[PID]],0)))</f>
        <v>L</v>
      </c>
      <c r="I777" s="54" t="str">
        <f>IF($C777="B",INDEX(Batters[[#All],[T]],MATCH(Table5[[#This Row],[PID]],Batters[[#All],[PID]],0)),INDEX(Table3[[#All],[T]],MATCH(Table5[[#This Row],[PID]],Table3[[#All],[PID]],0)))</f>
        <v>L</v>
      </c>
      <c r="J777" s="54" t="str">
        <f>IF($C777="B",INDEX(Batters[[#All],[WE]],MATCH(Table5[[#This Row],[PID]],Batters[[#All],[PID]],0)),INDEX(Table3[[#All],[WE]],MATCH(Table5[[#This Row],[PID]],Table3[[#All],[PID]],0)))</f>
        <v>Low</v>
      </c>
      <c r="K777" s="54" t="str">
        <f>IF($C777="B",INDEX(Batters[[#All],[INT]],MATCH(Table5[[#This Row],[PID]],Batters[[#All],[PID]],0)),INDEX(Table3[[#All],[INT]],MATCH(Table5[[#This Row],[PID]],Table3[[#All],[PID]],0)))</f>
        <v>Low</v>
      </c>
      <c r="L777" s="62">
        <f>IF($C777="B",INDEX(Batters[[#All],[CON P]],MATCH(Table5[[#This Row],[PID]],Batters[[#All],[PID]],0)),INDEX(Table3[[#All],[STU P]],MATCH(Table5[[#This Row],[PID]],Table3[[#All],[PID]],0)))</f>
        <v>4</v>
      </c>
      <c r="M777" s="58">
        <f>IF($C777="B",INDEX(Batters[[#All],[GAP P]],MATCH(Table5[[#This Row],[PID]],Batters[[#All],[PID]],0)),INDEX(Table3[[#All],[MOV P]],MATCH(Table5[[#This Row],[PID]],Table3[[#All],[PID]],0)))</f>
        <v>1</v>
      </c>
      <c r="N777" s="58">
        <f>IF($C777="B",INDEX(Batters[[#All],[POW P]],MATCH(Table5[[#This Row],[PID]],Batters[[#All],[PID]],0)),INDEX(Table3[[#All],[CON P]],MATCH(Table5[[#This Row],[PID]],Table3[[#All],[PID]],0)))</f>
        <v>3</v>
      </c>
      <c r="O777" s="58" t="str">
        <f>IF($C777="B",INDEX(Batters[[#All],[EYE P]],MATCH(Table5[[#This Row],[PID]],Batters[[#All],[PID]],0)),INDEX(Table3[[#All],[VELO]],MATCH(Table5[[#This Row],[PID]],Table3[[#All],[PID]],0)))</f>
        <v>91-93 Mph</v>
      </c>
      <c r="P777" s="58">
        <f>IF($C777="B",INDEX(Batters[[#All],[K P]],MATCH(Table5[[#This Row],[PID]],Batters[[#All],[PID]],0)),INDEX(Table3[[#All],[STM]],MATCH(Table5[[#This Row],[PID]],Table3[[#All],[PID]],0)))</f>
        <v>9</v>
      </c>
      <c r="Q777" s="63">
        <f>IF($C777="B",INDEX(Batters[[#All],[Tot]],MATCH(Table5[[#This Row],[PID]],Batters[[#All],[PID]],0)),INDEX(Table3[[#All],[Tot]],MATCH(Table5[[#This Row],[PID]],Table3[[#All],[PID]],0)))</f>
        <v>26.051617898623427</v>
      </c>
      <c r="R777" s="54">
        <f>IF($C777="B",INDEX(Batters[[#All],[zScore]],MATCH(Table5[[#This Row],[PID]],Batters[[#All],[PID]],0)),INDEX(Table3[[#All],[zScore]],MATCH(Table5[[#This Row],[PID]],Table3[[#All],[PID]],0)))</f>
        <v>-0.61172555289812003</v>
      </c>
      <c r="S777" s="60" t="str">
        <f>IF($C777="B",INDEX(Batters[[#All],[DEM]],MATCH(Table5[[#This Row],[PID]],Batters[[#All],[PID]],0)),INDEX(Table3[[#All],[DEM]],MATCH(Table5[[#This Row],[PID]],Table3[[#All],[PID]],0)))</f>
        <v>$20k</v>
      </c>
      <c r="T777" s="64">
        <f>IF($C777="B",VLOOKUP($A777,Bat!$A$4:$AU$1417,46,FALSE),VLOOKUP($A777,Pit!$A$4:$BD$570,55,FALSE))</f>
        <v>0</v>
      </c>
      <c r="U777" s="52">
        <f>IF($C777="B",VLOOKUP($A777,Bat!$A$4:$BA$1417,47,FALSE),VLOOKUP($A777,Pit!$A$4:$BF$570,56,FALSE))</f>
        <v>0</v>
      </c>
      <c r="V777" s="52">
        <f>IF($C777="B",VLOOKUP($A777,Bat!$A$4:$BA$1417,48,FALSE),VLOOKUP($A777,Pit!$A$4:$BF$570,57,FALSE))</f>
        <v>0</v>
      </c>
      <c r="W777" s="52">
        <f>Table5[[#This Row],[posRnk]]+Table5[[#This Row],[zRnk]]+IF($W$3&lt;&gt;Table5[[#This Row],[Type]],50,0)</f>
        <v>823</v>
      </c>
      <c r="X777" s="53">
        <f>RANK(Table5[[#This Row],[zScore]],Table5[[#All],[zScore]])</f>
        <v>773</v>
      </c>
      <c r="Y777" s="52" t="str">
        <f>IFERROR(INDEX(DraftResults[[#All],[OVR]],MATCH(Table5[[#This Row],[PID]],DraftResults[[#All],[Player ID]],0)),"")</f>
        <v/>
      </c>
      <c r="Z7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7" s="52" t="str">
        <f>IFERROR(INDEX(DraftResults[[#All],[Pick in Round]],MATCH(Table5[[#This Row],[PID]],DraftResults[[#All],[Player ID]],0)),"")</f>
        <v/>
      </c>
      <c r="AB777" s="52" t="str">
        <f>IFERROR(INDEX(DraftResults[[#All],[Team Name]],MATCH(Table5[[#This Row],[PID]],DraftResults[[#All],[Player ID]],0)),"")</f>
        <v/>
      </c>
      <c r="AC777" s="52" t="str">
        <f>IF(Table5[[#This Row],[Ovr]]="","",IF(Table5[[#This Row],[cmbList]]="","",Table5[[#This Row],[cmbList]]-Table5[[#This Row],[Ovr]]))</f>
        <v/>
      </c>
      <c r="AD777" s="56" t="str">
        <f>IF(ISERROR(VLOOKUP($AB777&amp;"-"&amp;$E777&amp;" "&amp;F777,Bonuses!$B$1:$G$1006,4,FALSE)),"",INT(VLOOKUP($AB777&amp;"-"&amp;$E777&amp;" "&amp;$F777,Bonuses!$B$1:$G$1006,4,FALSE)))</f>
        <v/>
      </c>
      <c r="AE7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8" spans="1:31" s="52" customFormat="1" x14ac:dyDescent="0.25">
      <c r="A778" s="52">
        <v>11928</v>
      </c>
      <c r="B778" s="52">
        <f>COUNTIF(Table5[PID],A778)</f>
        <v>1</v>
      </c>
      <c r="C778" s="52" t="str">
        <f>IF(COUNTIF(Table3[[#All],[PID]],A778)&gt;0,"P","B")</f>
        <v>B</v>
      </c>
      <c r="D778" s="61" t="str">
        <f>IF($C778="B",INDEX(Batters[[#All],[POS]],MATCH(Table5[[#This Row],[PID]],Batters[[#All],[PID]],0)),INDEX(Table3[[#All],[POS]],MATCH(Table5[[#This Row],[PID]],Table3[[#All],[PID]],0)))</f>
        <v>CF</v>
      </c>
      <c r="E778" s="54" t="str">
        <f>IF($C778="B",INDEX(Batters[[#All],[First]],MATCH(Table5[[#This Row],[PID]],Batters[[#All],[PID]],0)),INDEX(Table3[[#All],[First]],MATCH(Table5[[#This Row],[PID]],Table3[[#All],[PID]],0)))</f>
        <v>Reginald</v>
      </c>
      <c r="F778" s="52" t="str">
        <f>IF($C778="B",INDEX(Batters[[#All],[Last]],MATCH(A778,Batters[[#All],[PID]],0)),INDEX(Table3[[#All],[Last]],MATCH(A778,Table3[[#All],[PID]],0)))</f>
        <v>O'Sullivan</v>
      </c>
      <c r="G778" s="58">
        <f>IF($C778="B",INDEX(Batters[[#All],[Age]],MATCH(Table5[[#This Row],[PID]],Batters[[#All],[PID]],0)),INDEX(Table3[[#All],[Age]],MATCH(Table5[[#This Row],[PID]],Table3[[#All],[PID]],0)))</f>
        <v>21</v>
      </c>
      <c r="H778" s="54" t="str">
        <f>IF($C778="B",INDEX(Batters[[#All],[B]],MATCH(Table5[[#This Row],[PID]],Batters[[#All],[PID]],0)),INDEX(Table3[[#All],[B]],MATCH(Table5[[#This Row],[PID]],Table3[[#All],[PID]],0)))</f>
        <v>L</v>
      </c>
      <c r="I778" s="54" t="str">
        <f>IF($C778="B",INDEX(Batters[[#All],[T]],MATCH(Table5[[#This Row],[PID]],Batters[[#All],[PID]],0)),INDEX(Table3[[#All],[T]],MATCH(Table5[[#This Row],[PID]],Table3[[#All],[PID]],0)))</f>
        <v>L</v>
      </c>
      <c r="J778" s="54" t="str">
        <f>IF($C778="B",INDEX(Batters[[#All],[WE]],MATCH(Table5[[#This Row],[PID]],Batters[[#All],[PID]],0)),INDEX(Table3[[#All],[WE]],MATCH(Table5[[#This Row],[PID]],Table3[[#All],[PID]],0)))</f>
        <v>Normal</v>
      </c>
      <c r="K778" s="54" t="str">
        <f>IF($C778="B",INDEX(Batters[[#All],[INT]],MATCH(Table5[[#This Row],[PID]],Batters[[#All],[PID]],0)),INDEX(Table3[[#All],[INT]],MATCH(Table5[[#This Row],[PID]],Table3[[#All],[PID]],0)))</f>
        <v>Normal</v>
      </c>
      <c r="L778" s="62">
        <f>IF($C778="B",INDEX(Batters[[#All],[CON P]],MATCH(Table5[[#This Row],[PID]],Batters[[#All],[PID]],0)),INDEX(Table3[[#All],[STU P]],MATCH(Table5[[#This Row],[PID]],Table3[[#All],[PID]],0)))</f>
        <v>3</v>
      </c>
      <c r="M778" s="58">
        <f>IF($C778="B",INDEX(Batters[[#All],[GAP P]],MATCH(Table5[[#This Row],[PID]],Batters[[#All],[PID]],0)),INDEX(Table3[[#All],[MOV P]],MATCH(Table5[[#This Row],[PID]],Table3[[#All],[PID]],0)))</f>
        <v>3</v>
      </c>
      <c r="N778" s="58">
        <f>IF($C778="B",INDEX(Batters[[#All],[POW P]],MATCH(Table5[[#This Row],[PID]],Batters[[#All],[PID]],0)),INDEX(Table3[[#All],[CON P]],MATCH(Table5[[#This Row],[PID]],Table3[[#All],[PID]],0)))</f>
        <v>3</v>
      </c>
      <c r="O778" s="58">
        <f>IF($C778="B",INDEX(Batters[[#All],[EYE P]],MATCH(Table5[[#This Row],[PID]],Batters[[#All],[PID]],0)),INDEX(Table3[[#All],[VELO]],MATCH(Table5[[#This Row],[PID]],Table3[[#All],[PID]],0)))</f>
        <v>5</v>
      </c>
      <c r="P778" s="58">
        <f>IF($C778="B",INDEX(Batters[[#All],[K P]],MATCH(Table5[[#This Row],[PID]],Batters[[#All],[PID]],0)),INDEX(Table3[[#All],[STM]],MATCH(Table5[[#This Row],[PID]],Table3[[#All],[PID]],0)))</f>
        <v>3</v>
      </c>
      <c r="Q778" s="63">
        <f>IF($C778="B",INDEX(Batters[[#All],[Tot]],MATCH(Table5[[#This Row],[PID]],Batters[[#All],[PID]],0)),INDEX(Table3[[#All],[Tot]],MATCH(Table5[[#This Row],[PID]],Table3[[#All],[PID]],0)))</f>
        <v>36.861865485141536</v>
      </c>
      <c r="R778" s="54">
        <f>IF($C778="B",INDEX(Batters[[#All],[zScore]],MATCH(Table5[[#This Row],[PID]],Batters[[#All],[PID]],0)),INDEX(Table3[[#All],[zScore]],MATCH(Table5[[#This Row],[PID]],Table3[[#All],[PID]],0)))</f>
        <v>-0.61340571900682117</v>
      </c>
      <c r="S778" s="60" t="str">
        <f>IF($C778="B",INDEX(Batters[[#All],[DEM]],MATCH(Table5[[#This Row],[PID]],Batters[[#All],[PID]],0)),INDEX(Table3[[#All],[DEM]],MATCH(Table5[[#This Row],[PID]],Table3[[#All],[PID]],0)))</f>
        <v>-</v>
      </c>
      <c r="T778" s="64">
        <f>IF($C778="B",VLOOKUP($A778,Bat!$A$4:$AU$1417,46,FALSE),VLOOKUP($A778,Pit!$A$4:$BD$570,55,FALSE))</f>
        <v>0</v>
      </c>
      <c r="U778" s="52">
        <f>IF($C778="B",VLOOKUP($A778,Bat!$A$4:$BA$1417,47,FALSE),VLOOKUP($A778,Pit!$A$4:$BF$570,56,FALSE))</f>
        <v>0</v>
      </c>
      <c r="V778" s="52">
        <f>IF($C778="B",VLOOKUP($A778,Bat!$A$4:$BA$1417,48,FALSE),VLOOKUP($A778,Pit!$A$4:$BF$570,57,FALSE))</f>
        <v>0</v>
      </c>
      <c r="W778" s="52">
        <f>Table5[[#This Row],[posRnk]]+Table5[[#This Row],[zRnk]]+IF($W$3&lt;&gt;Table5[[#This Row],[Type]],50,0)</f>
        <v>824</v>
      </c>
      <c r="X778" s="53">
        <f>RANK(Table5[[#This Row],[zScore]],Table5[[#All],[zScore]])</f>
        <v>774</v>
      </c>
      <c r="Y778" s="52" t="str">
        <f>IFERROR(INDEX(DraftResults[[#All],[OVR]],MATCH(Table5[[#This Row],[PID]],DraftResults[[#All],[Player ID]],0)),"")</f>
        <v/>
      </c>
      <c r="Z7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8" s="52" t="str">
        <f>IFERROR(INDEX(DraftResults[[#All],[Pick in Round]],MATCH(Table5[[#This Row],[PID]],DraftResults[[#All],[Player ID]],0)),"")</f>
        <v/>
      </c>
      <c r="AB778" s="52" t="str">
        <f>IFERROR(INDEX(DraftResults[[#All],[Team Name]],MATCH(Table5[[#This Row],[PID]],DraftResults[[#All],[Player ID]],0)),"")</f>
        <v/>
      </c>
      <c r="AC778" s="52" t="str">
        <f>IF(Table5[[#This Row],[Ovr]]="","",IF(Table5[[#This Row],[cmbList]]="","",Table5[[#This Row],[cmbList]]-Table5[[#This Row],[Ovr]]))</f>
        <v/>
      </c>
      <c r="AD778" s="56" t="str">
        <f>IF(ISERROR(VLOOKUP($AB778&amp;"-"&amp;$E778&amp;" "&amp;F778,Bonuses!$B$1:$G$1006,4,FALSE)),"",INT(VLOOKUP($AB778&amp;"-"&amp;$E778&amp;" "&amp;$F778,Bonuses!$B$1:$G$1006,4,FALSE)))</f>
        <v/>
      </c>
      <c r="AE7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9" spans="1:31" s="52" customFormat="1" x14ac:dyDescent="0.25">
      <c r="A779" s="52">
        <v>17905</v>
      </c>
      <c r="B779" s="52">
        <f>COUNTIF(Table5[PID],A779)</f>
        <v>1</v>
      </c>
      <c r="C779" s="52" t="str">
        <f>IF(COUNTIF(Table3[[#All],[PID]],A779)&gt;0,"P","B")</f>
        <v>B</v>
      </c>
      <c r="D779" s="61" t="str">
        <f>IF($C779="B",INDEX(Batters[[#All],[POS]],MATCH(Table5[[#This Row],[PID]],Batters[[#All],[PID]],0)),INDEX(Table3[[#All],[POS]],MATCH(Table5[[#This Row],[PID]],Table3[[#All],[PID]],0)))</f>
        <v>C</v>
      </c>
      <c r="E779" s="54" t="str">
        <f>IF($C779="B",INDEX(Batters[[#All],[First]],MATCH(Table5[[#This Row],[PID]],Batters[[#All],[PID]],0)),INDEX(Table3[[#All],[First]],MATCH(Table5[[#This Row],[PID]],Table3[[#All],[PID]],0)))</f>
        <v>Manny</v>
      </c>
      <c r="F779" s="52" t="str">
        <f>IF($C779="B",INDEX(Batters[[#All],[Last]],MATCH(A779,Batters[[#All],[PID]],0)),INDEX(Table3[[#All],[Last]],MATCH(A779,Table3[[#All],[PID]],0)))</f>
        <v>Feliciano</v>
      </c>
      <c r="G779" s="58">
        <f>IF($C779="B",INDEX(Batters[[#All],[Age]],MATCH(Table5[[#This Row],[PID]],Batters[[#All],[PID]],0)),INDEX(Table3[[#All],[Age]],MATCH(Table5[[#This Row],[PID]],Table3[[#All],[PID]],0)))</f>
        <v>18</v>
      </c>
      <c r="H779" s="54" t="str">
        <f>IF($C779="B",INDEX(Batters[[#All],[B]],MATCH(Table5[[#This Row],[PID]],Batters[[#All],[PID]],0)),INDEX(Table3[[#All],[B]],MATCH(Table5[[#This Row],[PID]],Table3[[#All],[PID]],0)))</f>
        <v>R</v>
      </c>
      <c r="I779" s="54" t="str">
        <f>IF($C779="B",INDEX(Batters[[#All],[T]],MATCH(Table5[[#This Row],[PID]],Batters[[#All],[PID]],0)),INDEX(Table3[[#All],[T]],MATCH(Table5[[#This Row],[PID]],Table3[[#All],[PID]],0)))</f>
        <v>R</v>
      </c>
      <c r="J779" s="54" t="str">
        <f>IF($C779="B",INDEX(Batters[[#All],[WE]],MATCH(Table5[[#This Row],[PID]],Batters[[#All],[PID]],0)),INDEX(Table3[[#All],[WE]],MATCH(Table5[[#This Row],[PID]],Table3[[#All],[PID]],0)))</f>
        <v>Normal</v>
      </c>
      <c r="K779" s="54" t="str">
        <f>IF($C779="B",INDEX(Batters[[#All],[INT]],MATCH(Table5[[#This Row],[PID]],Batters[[#All],[PID]],0)),INDEX(Table3[[#All],[INT]],MATCH(Table5[[#This Row],[PID]],Table3[[#All],[PID]],0)))</f>
        <v>Low</v>
      </c>
      <c r="L779" s="62">
        <f>IF($C779="B",INDEX(Batters[[#All],[CON P]],MATCH(Table5[[#This Row],[PID]],Batters[[#All],[PID]],0)),INDEX(Table3[[#All],[STU P]],MATCH(Table5[[#This Row],[PID]],Table3[[#All],[PID]],0)))</f>
        <v>2</v>
      </c>
      <c r="M779" s="58">
        <f>IF($C779="B",INDEX(Batters[[#All],[GAP P]],MATCH(Table5[[#This Row],[PID]],Batters[[#All],[PID]],0)),INDEX(Table3[[#All],[MOV P]],MATCH(Table5[[#This Row],[PID]],Table3[[#All],[PID]],0)))</f>
        <v>2</v>
      </c>
      <c r="N779" s="58">
        <f>IF($C779="B",INDEX(Batters[[#All],[POW P]],MATCH(Table5[[#This Row],[PID]],Batters[[#All],[PID]],0)),INDEX(Table3[[#All],[CON P]],MATCH(Table5[[#This Row],[PID]],Table3[[#All],[PID]],0)))</f>
        <v>3</v>
      </c>
      <c r="O779" s="58">
        <f>IF($C779="B",INDEX(Batters[[#All],[EYE P]],MATCH(Table5[[#This Row],[PID]],Batters[[#All],[PID]],0)),INDEX(Table3[[#All],[VELO]],MATCH(Table5[[#This Row],[PID]],Table3[[#All],[PID]],0)))</f>
        <v>5</v>
      </c>
      <c r="P779" s="58">
        <f>IF($C779="B",INDEX(Batters[[#All],[K P]],MATCH(Table5[[#This Row],[PID]],Batters[[#All],[PID]],0)),INDEX(Table3[[#All],[STM]],MATCH(Table5[[#This Row],[PID]],Table3[[#All],[PID]],0)))</f>
        <v>2</v>
      </c>
      <c r="Q779" s="63">
        <f>IF($C779="B",INDEX(Batters[[#All],[Tot]],MATCH(Table5[[#This Row],[PID]],Batters[[#All],[PID]],0)),INDEX(Table3[[#All],[Tot]],MATCH(Table5[[#This Row],[PID]],Table3[[#All],[PID]],0)))</f>
        <v>36.859841496184785</v>
      </c>
      <c r="R779" s="54">
        <f>IF($C779="B",INDEX(Batters[[#All],[zScore]],MATCH(Table5[[#This Row],[PID]],Batters[[#All],[PID]],0)),INDEX(Table3[[#All],[zScore]],MATCH(Table5[[#This Row],[PID]],Table3[[#All],[PID]],0)))</f>
        <v>-0.61376182641171673</v>
      </c>
      <c r="S779" s="60" t="str">
        <f>IF($C779="B",INDEX(Batters[[#All],[DEM]],MATCH(Table5[[#This Row],[PID]],Batters[[#All],[PID]],0)),INDEX(Table3[[#All],[DEM]],MATCH(Table5[[#This Row],[PID]],Table3[[#All],[PID]],0)))</f>
        <v>$85k</v>
      </c>
      <c r="T779" s="64">
        <f>IF($C779="B",VLOOKUP($A779,Bat!$A$4:$AU$1417,46,FALSE),VLOOKUP($A779,Pit!$A$4:$BD$570,55,FALSE))</f>
        <v>0</v>
      </c>
      <c r="U779" s="52">
        <f>IF($C779="B",VLOOKUP($A779,Bat!$A$4:$BA$1417,47,FALSE),VLOOKUP($A779,Pit!$A$4:$BF$570,56,FALSE))</f>
        <v>0</v>
      </c>
      <c r="V779" s="52">
        <f>IF($C779="B",VLOOKUP($A779,Bat!$A$4:$BA$1417,48,FALSE),VLOOKUP($A779,Pit!$A$4:$BF$570,57,FALSE))</f>
        <v>0</v>
      </c>
      <c r="W779" s="52">
        <f>Table5[[#This Row],[posRnk]]+Table5[[#This Row],[zRnk]]+IF($W$3&lt;&gt;Table5[[#This Row],[Type]],50,0)</f>
        <v>825</v>
      </c>
      <c r="X779" s="53">
        <f>RANK(Table5[[#This Row],[zScore]],Table5[[#All],[zScore]])</f>
        <v>775</v>
      </c>
      <c r="Y779" s="52" t="str">
        <f>IFERROR(INDEX(DraftResults[[#All],[OVR]],MATCH(Table5[[#This Row],[PID]],DraftResults[[#All],[Player ID]],0)),"")</f>
        <v/>
      </c>
      <c r="Z7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9" s="52" t="str">
        <f>IFERROR(INDEX(DraftResults[[#All],[Pick in Round]],MATCH(Table5[[#This Row],[PID]],DraftResults[[#All],[Player ID]],0)),"")</f>
        <v/>
      </c>
      <c r="AB779" s="52" t="str">
        <f>IFERROR(INDEX(DraftResults[[#All],[Team Name]],MATCH(Table5[[#This Row],[PID]],DraftResults[[#All],[Player ID]],0)),"")</f>
        <v/>
      </c>
      <c r="AC779" s="52" t="str">
        <f>IF(Table5[[#This Row],[Ovr]]="","",IF(Table5[[#This Row],[cmbList]]="","",Table5[[#This Row],[cmbList]]-Table5[[#This Row],[Ovr]]))</f>
        <v/>
      </c>
      <c r="AD779" s="56" t="str">
        <f>IF(ISERROR(VLOOKUP($AB779&amp;"-"&amp;$E779&amp;" "&amp;F779,Bonuses!$B$1:$G$1006,4,FALSE)),"",INT(VLOOKUP($AB779&amp;"-"&amp;$E779&amp;" "&amp;$F779,Bonuses!$B$1:$G$1006,4,FALSE)))</f>
        <v/>
      </c>
      <c r="AE7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0" spans="1:31" s="52" customFormat="1" x14ac:dyDescent="0.25">
      <c r="A780" s="52">
        <v>7610</v>
      </c>
      <c r="B780" s="52">
        <f>COUNTIF(Table5[PID],A780)</f>
        <v>1</v>
      </c>
      <c r="C780" s="52" t="str">
        <f>IF(COUNTIF(Table3[[#All],[PID]],A780)&gt;0,"P","B")</f>
        <v>B</v>
      </c>
      <c r="D780" s="61" t="str">
        <f>IF($C780="B",INDEX(Batters[[#All],[POS]],MATCH(Table5[[#This Row],[PID]],Batters[[#All],[PID]],0)),INDEX(Table3[[#All],[POS]],MATCH(Table5[[#This Row],[PID]],Table3[[#All],[PID]],0)))</f>
        <v>C</v>
      </c>
      <c r="E780" s="54" t="str">
        <f>IF($C780="B",INDEX(Batters[[#All],[First]],MATCH(Table5[[#This Row],[PID]],Batters[[#All],[PID]],0)),INDEX(Table3[[#All],[First]],MATCH(Table5[[#This Row],[PID]],Table3[[#All],[PID]],0)))</f>
        <v>Lúcio</v>
      </c>
      <c r="F780" s="52" t="str">
        <f>IF($C780="B",INDEX(Batters[[#All],[Last]],MATCH(A780,Batters[[#All],[PID]],0)),INDEX(Table3[[#All],[Last]],MATCH(A780,Table3[[#All],[PID]],0)))</f>
        <v>Pineda</v>
      </c>
      <c r="G780" s="58">
        <f>IF($C780="B",INDEX(Batters[[#All],[Age]],MATCH(Table5[[#This Row],[PID]],Batters[[#All],[PID]],0)),INDEX(Table3[[#All],[Age]],MATCH(Table5[[#This Row],[PID]],Table3[[#All],[PID]],0)))</f>
        <v>18</v>
      </c>
      <c r="H780" s="54" t="str">
        <f>IF($C780="B",INDEX(Batters[[#All],[B]],MATCH(Table5[[#This Row],[PID]],Batters[[#All],[PID]],0)),INDEX(Table3[[#All],[B]],MATCH(Table5[[#This Row],[PID]],Table3[[#All],[PID]],0)))</f>
        <v>R</v>
      </c>
      <c r="I780" s="54" t="str">
        <f>IF($C780="B",INDEX(Batters[[#All],[T]],MATCH(Table5[[#This Row],[PID]],Batters[[#All],[PID]],0)),INDEX(Table3[[#All],[T]],MATCH(Table5[[#This Row],[PID]],Table3[[#All],[PID]],0)))</f>
        <v>R</v>
      </c>
      <c r="J780" s="54" t="str">
        <f>IF($C780="B",INDEX(Batters[[#All],[WE]],MATCH(Table5[[#This Row],[PID]],Batters[[#All],[PID]],0)),INDEX(Table3[[#All],[WE]],MATCH(Table5[[#This Row],[PID]],Table3[[#All],[PID]],0)))</f>
        <v>High</v>
      </c>
      <c r="K780" s="54" t="str">
        <f>IF($C780="B",INDEX(Batters[[#All],[INT]],MATCH(Table5[[#This Row],[PID]],Batters[[#All],[PID]],0)),INDEX(Table3[[#All],[INT]],MATCH(Table5[[#This Row],[PID]],Table3[[#All],[PID]],0)))</f>
        <v>Normal</v>
      </c>
      <c r="L780" s="62">
        <f>IF($C780="B",INDEX(Batters[[#All],[CON P]],MATCH(Table5[[#This Row],[PID]],Batters[[#All],[PID]],0)),INDEX(Table3[[#All],[STU P]],MATCH(Table5[[#This Row],[PID]],Table3[[#All],[PID]],0)))</f>
        <v>2</v>
      </c>
      <c r="M780" s="58">
        <f>IF($C780="B",INDEX(Batters[[#All],[GAP P]],MATCH(Table5[[#This Row],[PID]],Batters[[#All],[PID]],0)),INDEX(Table3[[#All],[MOV P]],MATCH(Table5[[#This Row],[PID]],Table3[[#All],[PID]],0)))</f>
        <v>3</v>
      </c>
      <c r="N780" s="58">
        <f>IF($C780="B",INDEX(Batters[[#All],[POW P]],MATCH(Table5[[#This Row],[PID]],Batters[[#All],[PID]],0)),INDEX(Table3[[#All],[CON P]],MATCH(Table5[[#This Row],[PID]],Table3[[#All],[PID]],0)))</f>
        <v>3</v>
      </c>
      <c r="O780" s="58">
        <f>IF($C780="B",INDEX(Batters[[#All],[EYE P]],MATCH(Table5[[#This Row],[PID]],Batters[[#All],[PID]],0)),INDEX(Table3[[#All],[VELO]],MATCH(Table5[[#This Row],[PID]],Table3[[#All],[PID]],0)))</f>
        <v>4</v>
      </c>
      <c r="P780" s="58">
        <f>IF($C780="B",INDEX(Batters[[#All],[K P]],MATCH(Table5[[#This Row],[PID]],Batters[[#All],[PID]],0)),INDEX(Table3[[#All],[STM]],MATCH(Table5[[#This Row],[PID]],Table3[[#All],[PID]],0)))</f>
        <v>4</v>
      </c>
      <c r="Q780" s="63">
        <f>IF($C780="B",INDEX(Batters[[#All],[Tot]],MATCH(Table5[[#This Row],[PID]],Batters[[#All],[PID]],0)),INDEX(Table3[[#All],[Tot]],MATCH(Table5[[#This Row],[PID]],Table3[[#All],[PID]],0)))</f>
        <v>36.851468286085016</v>
      </c>
      <c r="R780" s="54">
        <f>IF($C780="B",INDEX(Batters[[#All],[zScore]],MATCH(Table5[[#This Row],[PID]],Batters[[#All],[PID]],0)),INDEX(Table3[[#All],[zScore]],MATCH(Table5[[#This Row],[PID]],Table3[[#All],[PID]],0)))</f>
        <v>-0.61523503707787663</v>
      </c>
      <c r="S780" s="60" t="str">
        <f>IF($C780="B",INDEX(Batters[[#All],[DEM]],MATCH(Table5[[#This Row],[PID]],Batters[[#All],[PID]],0)),INDEX(Table3[[#All],[DEM]],MATCH(Table5[[#This Row],[PID]],Table3[[#All],[PID]],0)))</f>
        <v>$190k</v>
      </c>
      <c r="T780" s="64">
        <f>IF($C780="B",VLOOKUP($A780,Bat!$A$4:$AU$1417,46,FALSE),VLOOKUP($A780,Pit!$A$4:$BD$570,55,FALSE))</f>
        <v>0</v>
      </c>
      <c r="U780" s="52">
        <f>IF($C780="B",VLOOKUP($A780,Bat!$A$4:$BA$1417,47,FALSE),VLOOKUP($A780,Pit!$A$4:$BF$570,56,FALSE))</f>
        <v>0</v>
      </c>
      <c r="V780" s="52">
        <f>IF($C780="B",VLOOKUP($A780,Bat!$A$4:$BA$1417,48,FALSE),VLOOKUP($A780,Pit!$A$4:$BF$570,57,FALSE))</f>
        <v>0</v>
      </c>
      <c r="W780" s="52">
        <f>Table5[[#This Row],[posRnk]]+Table5[[#This Row],[zRnk]]+IF($W$3&lt;&gt;Table5[[#This Row],[Type]],50,0)</f>
        <v>826</v>
      </c>
      <c r="X780" s="53">
        <f>RANK(Table5[[#This Row],[zScore]],Table5[[#All],[zScore]])</f>
        <v>776</v>
      </c>
      <c r="Y780" s="52" t="str">
        <f>IFERROR(INDEX(DraftResults[[#All],[OVR]],MATCH(Table5[[#This Row],[PID]],DraftResults[[#All],[Player ID]],0)),"")</f>
        <v/>
      </c>
      <c r="Z7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0" s="52" t="str">
        <f>IFERROR(INDEX(DraftResults[[#All],[Pick in Round]],MATCH(Table5[[#This Row],[PID]],DraftResults[[#All],[Player ID]],0)),"")</f>
        <v/>
      </c>
      <c r="AB780" s="52" t="str">
        <f>IFERROR(INDEX(DraftResults[[#All],[Team Name]],MATCH(Table5[[#This Row],[PID]],DraftResults[[#All],[Player ID]],0)),"")</f>
        <v/>
      </c>
      <c r="AC780" s="52" t="str">
        <f>IF(Table5[[#This Row],[Ovr]]="","",IF(Table5[[#This Row],[cmbList]]="","",Table5[[#This Row],[cmbList]]-Table5[[#This Row],[Ovr]]))</f>
        <v/>
      </c>
      <c r="AD780" s="56" t="str">
        <f>IF(ISERROR(VLOOKUP($AB780&amp;"-"&amp;$E780&amp;" "&amp;F780,Bonuses!$B$1:$G$1006,4,FALSE)),"",INT(VLOOKUP($AB780&amp;"-"&amp;$E780&amp;" "&amp;$F780,Bonuses!$B$1:$G$1006,4,FALSE)))</f>
        <v/>
      </c>
      <c r="AE7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1" spans="1:31" s="52" customFormat="1" x14ac:dyDescent="0.25">
      <c r="A781" s="52">
        <v>13781</v>
      </c>
      <c r="B781" s="52">
        <f>COUNTIF(Table5[PID],A781)</f>
        <v>1</v>
      </c>
      <c r="C781" s="52" t="str">
        <f>IF(COUNTIF(Table3[[#All],[PID]],A781)&gt;0,"P","B")</f>
        <v>B</v>
      </c>
      <c r="D781" s="61" t="str">
        <f>IF($C781="B",INDEX(Batters[[#All],[POS]],MATCH(Table5[[#This Row],[PID]],Batters[[#All],[PID]],0)),INDEX(Table3[[#All],[POS]],MATCH(Table5[[#This Row],[PID]],Table3[[#All],[PID]],0)))</f>
        <v>C</v>
      </c>
      <c r="E781" s="54" t="str">
        <f>IF($C781="B",INDEX(Batters[[#All],[First]],MATCH(Table5[[#This Row],[PID]],Batters[[#All],[PID]],0)),INDEX(Table3[[#All],[First]],MATCH(Table5[[#This Row],[PID]],Table3[[#All],[PID]],0)))</f>
        <v>Manuel</v>
      </c>
      <c r="F781" s="52" t="str">
        <f>IF($C781="B",INDEX(Batters[[#All],[Last]],MATCH(A781,Batters[[#All],[PID]],0)),INDEX(Table3[[#All],[Last]],MATCH(A781,Table3[[#All],[PID]],0)))</f>
        <v>González</v>
      </c>
      <c r="G781" s="58">
        <f>IF($C781="B",INDEX(Batters[[#All],[Age]],MATCH(Table5[[#This Row],[PID]],Batters[[#All],[PID]],0)),INDEX(Table3[[#All],[Age]],MATCH(Table5[[#This Row],[PID]],Table3[[#All],[PID]],0)))</f>
        <v>18</v>
      </c>
      <c r="H781" s="54" t="str">
        <f>IF($C781="B",INDEX(Batters[[#All],[B]],MATCH(Table5[[#This Row],[PID]],Batters[[#All],[PID]],0)),INDEX(Table3[[#All],[B]],MATCH(Table5[[#This Row],[PID]],Table3[[#All],[PID]],0)))</f>
        <v>R</v>
      </c>
      <c r="I781" s="54" t="str">
        <f>IF($C781="B",INDEX(Batters[[#All],[T]],MATCH(Table5[[#This Row],[PID]],Batters[[#All],[PID]],0)),INDEX(Table3[[#All],[T]],MATCH(Table5[[#This Row],[PID]],Table3[[#All],[PID]],0)))</f>
        <v>R</v>
      </c>
      <c r="J781" s="54" t="str">
        <f>IF($C781="B",INDEX(Batters[[#All],[WE]],MATCH(Table5[[#This Row],[PID]],Batters[[#All],[PID]],0)),INDEX(Table3[[#All],[WE]],MATCH(Table5[[#This Row],[PID]],Table3[[#All],[PID]],0)))</f>
        <v>Normal</v>
      </c>
      <c r="K781" s="54" t="str">
        <f>IF($C781="B",INDEX(Batters[[#All],[INT]],MATCH(Table5[[#This Row],[PID]],Batters[[#All],[PID]],0)),INDEX(Table3[[#All],[INT]],MATCH(Table5[[#This Row],[PID]],Table3[[#All],[PID]],0)))</f>
        <v>Low</v>
      </c>
      <c r="L781" s="62">
        <f>IF($C781="B",INDEX(Batters[[#All],[CON P]],MATCH(Table5[[#This Row],[PID]],Batters[[#All],[PID]],0)),INDEX(Table3[[#All],[STU P]],MATCH(Table5[[#This Row],[PID]],Table3[[#All],[PID]],0)))</f>
        <v>2</v>
      </c>
      <c r="M781" s="58">
        <f>IF($C781="B",INDEX(Batters[[#All],[GAP P]],MATCH(Table5[[#This Row],[PID]],Batters[[#All],[PID]],0)),INDEX(Table3[[#All],[MOV P]],MATCH(Table5[[#This Row],[PID]],Table3[[#All],[PID]],0)))</f>
        <v>2</v>
      </c>
      <c r="N781" s="58">
        <f>IF($C781="B",INDEX(Batters[[#All],[POW P]],MATCH(Table5[[#This Row],[PID]],Batters[[#All],[PID]],0)),INDEX(Table3[[#All],[CON P]],MATCH(Table5[[#This Row],[PID]],Table3[[#All],[PID]],0)))</f>
        <v>3</v>
      </c>
      <c r="O781" s="58">
        <f>IF($C781="B",INDEX(Batters[[#All],[EYE P]],MATCH(Table5[[#This Row],[PID]],Batters[[#All],[PID]],0)),INDEX(Table3[[#All],[VELO]],MATCH(Table5[[#This Row],[PID]],Table3[[#All],[PID]],0)))</f>
        <v>6</v>
      </c>
      <c r="P781" s="58">
        <f>IF($C781="B",INDEX(Batters[[#All],[K P]],MATCH(Table5[[#This Row],[PID]],Batters[[#All],[PID]],0)),INDEX(Table3[[#All],[STM]],MATCH(Table5[[#This Row],[PID]],Table3[[#All],[PID]],0)))</f>
        <v>2</v>
      </c>
      <c r="Q781" s="63">
        <f>IF($C781="B",INDEX(Batters[[#All],[Tot]],MATCH(Table5[[#This Row],[PID]],Batters[[#All],[PID]],0)),INDEX(Table3[[#All],[Tot]],MATCH(Table5[[#This Row],[PID]],Table3[[#All],[PID]],0)))</f>
        <v>36.845327051300728</v>
      </c>
      <c r="R781" s="54">
        <f>IF($C781="B",INDEX(Batters[[#All],[zScore]],MATCH(Table5[[#This Row],[PID]],Batters[[#All],[PID]],0)),INDEX(Table3[[#All],[zScore]],MATCH(Table5[[#This Row],[PID]],Table3[[#All],[PID]],0)))</f>
        <v>-0.61631554652166254</v>
      </c>
      <c r="S781" s="60" t="str">
        <f>IF($C781="B",INDEX(Batters[[#All],[DEM]],MATCH(Table5[[#This Row],[PID]],Batters[[#All],[PID]],0)),INDEX(Table3[[#All],[DEM]],MATCH(Table5[[#This Row],[PID]],Table3[[#All],[PID]],0)))</f>
        <v>$38k</v>
      </c>
      <c r="T781" s="64">
        <f>IF($C781="B",VLOOKUP($A781,Bat!$A$4:$AU$1417,46,FALSE),VLOOKUP($A781,Pit!$A$4:$BD$570,55,FALSE))</f>
        <v>0</v>
      </c>
      <c r="U781" s="52">
        <f>IF($C781="B",VLOOKUP($A781,Bat!$A$4:$BA$1417,47,FALSE),VLOOKUP($A781,Pit!$A$4:$BF$570,56,FALSE))</f>
        <v>0</v>
      </c>
      <c r="V781" s="52">
        <f>IF($C781="B",VLOOKUP($A781,Bat!$A$4:$BA$1417,48,FALSE),VLOOKUP($A781,Pit!$A$4:$BF$570,57,FALSE))</f>
        <v>0</v>
      </c>
      <c r="W781" s="52">
        <f>Table5[[#This Row],[posRnk]]+Table5[[#This Row],[zRnk]]+IF($W$3&lt;&gt;Table5[[#This Row],[Type]],50,0)</f>
        <v>827</v>
      </c>
      <c r="X781" s="53">
        <f>RANK(Table5[[#This Row],[zScore]],Table5[[#All],[zScore]])</f>
        <v>777</v>
      </c>
      <c r="Y781" s="52" t="str">
        <f>IFERROR(INDEX(DraftResults[[#All],[OVR]],MATCH(Table5[[#This Row],[PID]],DraftResults[[#All],[Player ID]],0)),"")</f>
        <v/>
      </c>
      <c r="Z7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1" s="52" t="str">
        <f>IFERROR(INDEX(DraftResults[[#All],[Pick in Round]],MATCH(Table5[[#This Row],[PID]],DraftResults[[#All],[Player ID]],0)),"")</f>
        <v/>
      </c>
      <c r="AB781" s="52" t="str">
        <f>IFERROR(INDEX(DraftResults[[#All],[Team Name]],MATCH(Table5[[#This Row],[PID]],DraftResults[[#All],[Player ID]],0)),"")</f>
        <v/>
      </c>
      <c r="AC781" s="52" t="str">
        <f>IF(Table5[[#This Row],[Ovr]]="","",IF(Table5[[#This Row],[cmbList]]="","",Table5[[#This Row],[cmbList]]-Table5[[#This Row],[Ovr]]))</f>
        <v/>
      </c>
      <c r="AD781" s="56" t="str">
        <f>IF(ISERROR(VLOOKUP($AB781&amp;"-"&amp;$E781&amp;" "&amp;F781,Bonuses!$B$1:$G$1006,4,FALSE)),"",INT(VLOOKUP($AB781&amp;"-"&amp;$E781&amp;" "&amp;$F781,Bonuses!$B$1:$G$1006,4,FALSE)))</f>
        <v/>
      </c>
      <c r="AE7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2" spans="1:31" s="52" customFormat="1" x14ac:dyDescent="0.25">
      <c r="A782" s="52">
        <v>9706</v>
      </c>
      <c r="B782" s="52">
        <f>COUNTIF(Table5[PID],A782)</f>
        <v>1</v>
      </c>
      <c r="C782" s="52" t="str">
        <f>IF(COUNTIF(Table3[[#All],[PID]],A782)&gt;0,"P","B")</f>
        <v>P</v>
      </c>
      <c r="D782" s="61" t="str">
        <f>IF($C782="B",INDEX(Batters[[#All],[POS]],MATCH(Table5[[#This Row],[PID]],Batters[[#All],[PID]],0)),INDEX(Table3[[#All],[POS]],MATCH(Table5[[#This Row],[PID]],Table3[[#All],[PID]],0)))</f>
        <v>SP</v>
      </c>
      <c r="E782" s="54" t="str">
        <f>IF($C782="B",INDEX(Batters[[#All],[First]],MATCH(Table5[[#This Row],[PID]],Batters[[#All],[PID]],0)),INDEX(Table3[[#All],[First]],MATCH(Table5[[#This Row],[PID]],Table3[[#All],[PID]],0)))</f>
        <v>Gunnar</v>
      </c>
      <c r="F782" s="52" t="str">
        <f>IF($C782="B",INDEX(Batters[[#All],[Last]],MATCH(A782,Batters[[#All],[PID]],0)),INDEX(Table3[[#All],[Last]],MATCH(A782,Table3[[#All],[PID]],0)))</f>
        <v>Hicks</v>
      </c>
      <c r="G782" s="58">
        <f>IF($C782="B",INDEX(Batters[[#All],[Age]],MATCH(Table5[[#This Row],[PID]],Batters[[#All],[PID]],0)),INDEX(Table3[[#All],[Age]],MATCH(Table5[[#This Row],[PID]],Table3[[#All],[PID]],0)))</f>
        <v>21</v>
      </c>
      <c r="H782" s="54" t="str">
        <f>IF($C782="B",INDEX(Batters[[#All],[B]],MATCH(Table5[[#This Row],[PID]],Batters[[#All],[PID]],0)),INDEX(Table3[[#All],[B]],MATCH(Table5[[#This Row],[PID]],Table3[[#All],[PID]],0)))</f>
        <v>R</v>
      </c>
      <c r="I782" s="54" t="str">
        <f>IF($C782="B",INDEX(Batters[[#All],[T]],MATCH(Table5[[#This Row],[PID]],Batters[[#All],[PID]],0)),INDEX(Table3[[#All],[T]],MATCH(Table5[[#This Row],[PID]],Table3[[#All],[PID]],0)))</f>
        <v>R</v>
      </c>
      <c r="J782" s="54" t="str">
        <f>IF($C782="B",INDEX(Batters[[#All],[WE]],MATCH(Table5[[#This Row],[PID]],Batters[[#All],[PID]],0)),INDEX(Table3[[#All],[WE]],MATCH(Table5[[#This Row],[PID]],Table3[[#All],[PID]],0)))</f>
        <v>High</v>
      </c>
      <c r="K782" s="54" t="str">
        <f>IF($C782="B",INDEX(Batters[[#All],[INT]],MATCH(Table5[[#This Row],[PID]],Batters[[#All],[PID]],0)),INDEX(Table3[[#All],[INT]],MATCH(Table5[[#This Row],[PID]],Table3[[#All],[PID]],0)))</f>
        <v>Normal</v>
      </c>
      <c r="L782" s="62">
        <f>IF($C782="B",INDEX(Batters[[#All],[CON P]],MATCH(Table5[[#This Row],[PID]],Batters[[#All],[PID]],0)),INDEX(Table3[[#All],[STU P]],MATCH(Table5[[#This Row],[PID]],Table3[[#All],[PID]],0)))</f>
        <v>4</v>
      </c>
      <c r="M782" s="58">
        <f>IF($C782="B",INDEX(Batters[[#All],[GAP P]],MATCH(Table5[[#This Row],[PID]],Batters[[#All],[PID]],0)),INDEX(Table3[[#All],[MOV P]],MATCH(Table5[[#This Row],[PID]],Table3[[#All],[PID]],0)))</f>
        <v>2</v>
      </c>
      <c r="N782" s="58">
        <f>IF($C782="B",INDEX(Batters[[#All],[POW P]],MATCH(Table5[[#This Row],[PID]],Batters[[#All],[PID]],0)),INDEX(Table3[[#All],[CON P]],MATCH(Table5[[#This Row],[PID]],Table3[[#All],[PID]],0)))</f>
        <v>2</v>
      </c>
      <c r="O782" s="58" t="str">
        <f>IF($C782="B",INDEX(Batters[[#All],[EYE P]],MATCH(Table5[[#This Row],[PID]],Batters[[#All],[PID]],0)),INDEX(Table3[[#All],[VELO]],MATCH(Table5[[#This Row],[PID]],Table3[[#All],[PID]],0)))</f>
        <v>92-94 Mph</v>
      </c>
      <c r="P782" s="58">
        <f>IF($C782="B",INDEX(Batters[[#All],[K P]],MATCH(Table5[[#This Row],[PID]],Batters[[#All],[PID]],0)),INDEX(Table3[[#All],[STM]],MATCH(Table5[[#This Row],[PID]],Table3[[#All],[PID]],0)))</f>
        <v>6</v>
      </c>
      <c r="Q782" s="63">
        <f>IF($C782="B",INDEX(Batters[[#All],[Tot]],MATCH(Table5[[#This Row],[PID]],Batters[[#All],[PID]],0)),INDEX(Table3[[#All],[Tot]],MATCH(Table5[[#This Row],[PID]],Table3[[#All],[PID]],0)))</f>
        <v>25.99910406819264</v>
      </c>
      <c r="R782" s="54">
        <f>IF($C782="B",INDEX(Batters[[#All],[zScore]],MATCH(Table5[[#This Row],[PID]],Batters[[#All],[PID]],0)),INDEX(Table3[[#All],[zScore]],MATCH(Table5[[#This Row],[PID]],Table3[[#All],[PID]],0)))</f>
        <v>-0.61654129559745174</v>
      </c>
      <c r="S782" s="60" t="str">
        <f>IF($C782="B",INDEX(Batters[[#All],[DEM]],MATCH(Table5[[#This Row],[PID]],Batters[[#All],[PID]],0)),INDEX(Table3[[#All],[DEM]],MATCH(Table5[[#This Row],[PID]],Table3[[#All],[PID]],0)))</f>
        <v>-</v>
      </c>
      <c r="T782" s="64">
        <f>IF($C782="B",VLOOKUP($A782,Bat!$A$4:$AU$1417,46,FALSE),VLOOKUP($A782,Pit!$A$4:$BD$570,55,FALSE))</f>
        <v>0</v>
      </c>
      <c r="U782" s="52">
        <f>IF($C782="B",VLOOKUP($A782,Bat!$A$4:$BA$1417,47,FALSE),VLOOKUP($A782,Pit!$A$4:$BF$570,56,FALSE))</f>
        <v>0</v>
      </c>
      <c r="V782" s="52">
        <f>IF($C782="B",VLOOKUP($A782,Bat!$A$4:$BA$1417,48,FALSE),VLOOKUP($A782,Pit!$A$4:$BF$570,57,FALSE))</f>
        <v>0</v>
      </c>
      <c r="W782" s="52">
        <f>Table5[[#This Row],[posRnk]]+Table5[[#This Row],[zRnk]]+IF($W$3&lt;&gt;Table5[[#This Row],[Type]],50,0)</f>
        <v>828</v>
      </c>
      <c r="X782" s="53">
        <f>RANK(Table5[[#This Row],[zScore]],Table5[[#All],[zScore]])</f>
        <v>778</v>
      </c>
      <c r="Y782" s="52" t="str">
        <f>IFERROR(INDEX(DraftResults[[#All],[OVR]],MATCH(Table5[[#This Row],[PID]],DraftResults[[#All],[Player ID]],0)),"")</f>
        <v/>
      </c>
      <c r="Z7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2" s="52" t="str">
        <f>IFERROR(INDEX(DraftResults[[#All],[Pick in Round]],MATCH(Table5[[#This Row],[PID]],DraftResults[[#All],[Player ID]],0)),"")</f>
        <v/>
      </c>
      <c r="AB782" s="52" t="str">
        <f>IFERROR(INDEX(DraftResults[[#All],[Team Name]],MATCH(Table5[[#This Row],[PID]],DraftResults[[#All],[Player ID]],0)),"")</f>
        <v/>
      </c>
      <c r="AC782" s="52" t="str">
        <f>IF(Table5[[#This Row],[Ovr]]="","",IF(Table5[[#This Row],[cmbList]]="","",Table5[[#This Row],[cmbList]]-Table5[[#This Row],[Ovr]]))</f>
        <v/>
      </c>
      <c r="AD782" s="56" t="str">
        <f>IF(ISERROR(VLOOKUP($AB782&amp;"-"&amp;$E782&amp;" "&amp;F782,Bonuses!$B$1:$G$1006,4,FALSE)),"",INT(VLOOKUP($AB782&amp;"-"&amp;$E782&amp;" "&amp;$F782,Bonuses!$B$1:$G$1006,4,FALSE)))</f>
        <v/>
      </c>
      <c r="AE7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3" spans="1:31" s="52" customFormat="1" x14ac:dyDescent="0.25">
      <c r="A783" s="52">
        <v>9610</v>
      </c>
      <c r="B783" s="52">
        <f>COUNTIF(Table5[PID],A783)</f>
        <v>1</v>
      </c>
      <c r="C783" s="52" t="str">
        <f>IF(COUNTIF(Table3[[#All],[PID]],A783)&gt;0,"P","B")</f>
        <v>B</v>
      </c>
      <c r="D783" s="61" t="str">
        <f>IF($C783="B",INDEX(Batters[[#All],[POS]],MATCH(Table5[[#This Row],[PID]],Batters[[#All],[PID]],0)),INDEX(Table3[[#All],[POS]],MATCH(Table5[[#This Row],[PID]],Table3[[#All],[PID]],0)))</f>
        <v>3B</v>
      </c>
      <c r="E783" s="54" t="str">
        <f>IF($C783="B",INDEX(Batters[[#All],[First]],MATCH(Table5[[#This Row],[PID]],Batters[[#All],[PID]],0)),INDEX(Table3[[#All],[First]],MATCH(Table5[[#This Row],[PID]],Table3[[#All],[PID]],0)))</f>
        <v>Ron</v>
      </c>
      <c r="F783" s="52" t="str">
        <f>IF($C783="B",INDEX(Batters[[#All],[Last]],MATCH(A783,Batters[[#All],[PID]],0)),INDEX(Table3[[#All],[Last]],MATCH(A783,Table3[[#All],[PID]],0)))</f>
        <v>Rice</v>
      </c>
      <c r="G783" s="58">
        <f>IF($C783="B",INDEX(Batters[[#All],[Age]],MATCH(Table5[[#This Row],[PID]],Batters[[#All],[PID]],0)),INDEX(Table3[[#All],[Age]],MATCH(Table5[[#This Row],[PID]],Table3[[#All],[PID]],0)))</f>
        <v>20</v>
      </c>
      <c r="H783" s="54" t="str">
        <f>IF($C783="B",INDEX(Batters[[#All],[B]],MATCH(Table5[[#This Row],[PID]],Batters[[#All],[PID]],0)),INDEX(Table3[[#All],[B]],MATCH(Table5[[#This Row],[PID]],Table3[[#All],[PID]],0)))</f>
        <v>R</v>
      </c>
      <c r="I783" s="54" t="str">
        <f>IF($C783="B",INDEX(Batters[[#All],[T]],MATCH(Table5[[#This Row],[PID]],Batters[[#All],[PID]],0)),INDEX(Table3[[#All],[T]],MATCH(Table5[[#This Row],[PID]],Table3[[#All],[PID]],0)))</f>
        <v>R</v>
      </c>
      <c r="J783" s="54" t="str">
        <f>IF($C783="B",INDEX(Batters[[#All],[WE]],MATCH(Table5[[#This Row],[PID]],Batters[[#All],[PID]],0)),INDEX(Table3[[#All],[WE]],MATCH(Table5[[#This Row],[PID]],Table3[[#All],[PID]],0)))</f>
        <v>Normal</v>
      </c>
      <c r="K783" s="54" t="str">
        <f>IF($C783="B",INDEX(Batters[[#All],[INT]],MATCH(Table5[[#This Row],[PID]],Batters[[#All],[PID]],0)),INDEX(Table3[[#All],[INT]],MATCH(Table5[[#This Row],[PID]],Table3[[#All],[PID]],0)))</f>
        <v>Normal</v>
      </c>
      <c r="L783" s="62">
        <f>IF($C783="B",INDEX(Batters[[#All],[CON P]],MATCH(Table5[[#This Row],[PID]],Batters[[#All],[PID]],0)),INDEX(Table3[[#All],[STU P]],MATCH(Table5[[#This Row],[PID]],Table3[[#All],[PID]],0)))</f>
        <v>3</v>
      </c>
      <c r="M783" s="58">
        <f>IF($C783="B",INDEX(Batters[[#All],[GAP P]],MATCH(Table5[[#This Row],[PID]],Batters[[#All],[PID]],0)),INDEX(Table3[[#All],[MOV P]],MATCH(Table5[[#This Row],[PID]],Table3[[#All],[PID]],0)))</f>
        <v>4</v>
      </c>
      <c r="N783" s="58">
        <f>IF($C783="B",INDEX(Batters[[#All],[POW P]],MATCH(Table5[[#This Row],[PID]],Batters[[#All],[PID]],0)),INDEX(Table3[[#All],[CON P]],MATCH(Table5[[#This Row],[PID]],Table3[[#All],[PID]],0)))</f>
        <v>2</v>
      </c>
      <c r="O783" s="58">
        <f>IF($C783="B",INDEX(Batters[[#All],[EYE P]],MATCH(Table5[[#This Row],[PID]],Batters[[#All],[PID]],0)),INDEX(Table3[[#All],[VELO]],MATCH(Table5[[#This Row],[PID]],Table3[[#All],[PID]],0)))</f>
        <v>4</v>
      </c>
      <c r="P783" s="58">
        <f>IF($C783="B",INDEX(Batters[[#All],[K P]],MATCH(Table5[[#This Row],[PID]],Batters[[#All],[PID]],0)),INDEX(Table3[[#All],[STM]],MATCH(Table5[[#This Row],[PID]],Table3[[#All],[PID]],0)))</f>
        <v>4</v>
      </c>
      <c r="Q783" s="63">
        <f>IF($C783="B",INDEX(Batters[[#All],[Tot]],MATCH(Table5[[#This Row],[PID]],Batters[[#All],[PID]],0)),INDEX(Table3[[#All],[Tot]],MATCH(Table5[[#This Row],[PID]],Table3[[#All],[PID]],0)))</f>
        <v>36.839557462199707</v>
      </c>
      <c r="R783" s="54">
        <f>IF($C783="B",INDEX(Batters[[#All],[zScore]],MATCH(Table5[[#This Row],[PID]],Batters[[#All],[PID]],0)),INDEX(Table3[[#All],[zScore]],MATCH(Table5[[#This Row],[PID]],Table3[[#All],[PID]],0)))</f>
        <v>-0.6173306673775476</v>
      </c>
      <c r="S783" s="60" t="str">
        <f>IF($C783="B",INDEX(Batters[[#All],[DEM]],MATCH(Table5[[#This Row],[PID]],Batters[[#All],[PID]],0)),INDEX(Table3[[#All],[DEM]],MATCH(Table5[[#This Row],[PID]],Table3[[#All],[PID]],0)))</f>
        <v>$110k</v>
      </c>
      <c r="T783" s="64">
        <f>IF($C783="B",VLOOKUP($A783,Bat!$A$4:$AU$1417,46,FALSE),VLOOKUP($A783,Pit!$A$4:$BD$570,55,FALSE))</f>
        <v>0</v>
      </c>
      <c r="U783" s="52">
        <f>IF($C783="B",VLOOKUP($A783,Bat!$A$4:$BA$1417,47,FALSE),VLOOKUP($A783,Pit!$A$4:$BF$570,56,FALSE))</f>
        <v>0</v>
      </c>
      <c r="V783" s="52">
        <f>IF($C783="B",VLOOKUP($A783,Bat!$A$4:$BA$1417,48,FALSE),VLOOKUP($A783,Pit!$A$4:$BF$570,57,FALSE))</f>
        <v>0</v>
      </c>
      <c r="W783" s="52">
        <f>Table5[[#This Row],[posRnk]]+Table5[[#This Row],[zRnk]]+IF($W$3&lt;&gt;Table5[[#This Row],[Type]],50,0)</f>
        <v>829</v>
      </c>
      <c r="X783" s="53">
        <f>RANK(Table5[[#This Row],[zScore]],Table5[[#All],[zScore]])</f>
        <v>779</v>
      </c>
      <c r="Y783" s="52" t="str">
        <f>IFERROR(INDEX(DraftResults[[#All],[OVR]],MATCH(Table5[[#This Row],[PID]],DraftResults[[#All],[Player ID]],0)),"")</f>
        <v/>
      </c>
      <c r="Z7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3" s="52" t="str">
        <f>IFERROR(INDEX(DraftResults[[#All],[Pick in Round]],MATCH(Table5[[#This Row],[PID]],DraftResults[[#All],[Player ID]],0)),"")</f>
        <v/>
      </c>
      <c r="AB783" s="52" t="str">
        <f>IFERROR(INDEX(DraftResults[[#All],[Team Name]],MATCH(Table5[[#This Row],[PID]],DraftResults[[#All],[Player ID]],0)),"")</f>
        <v/>
      </c>
      <c r="AC783" s="52" t="str">
        <f>IF(Table5[[#This Row],[Ovr]]="","",IF(Table5[[#This Row],[cmbList]]="","",Table5[[#This Row],[cmbList]]-Table5[[#This Row],[Ovr]]))</f>
        <v/>
      </c>
      <c r="AD783" s="56" t="str">
        <f>IF(ISERROR(VLOOKUP($AB783&amp;"-"&amp;$E783&amp;" "&amp;F783,Bonuses!$B$1:$G$1006,4,FALSE)),"",INT(VLOOKUP($AB783&amp;"-"&amp;$E783&amp;" "&amp;$F783,Bonuses!$B$1:$G$1006,4,FALSE)))</f>
        <v/>
      </c>
      <c r="AE7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4" spans="1:31" s="52" customFormat="1" x14ac:dyDescent="0.25">
      <c r="A784" s="52">
        <v>8015</v>
      </c>
      <c r="B784" s="52">
        <f>COUNTIF(Table5[PID],A784)</f>
        <v>1</v>
      </c>
      <c r="C784" s="52" t="str">
        <f>IF(COUNTIF(Table3[[#All],[PID]],A784)&gt;0,"P","B")</f>
        <v>P</v>
      </c>
      <c r="D784" s="61" t="str">
        <f>IF($C784="B",INDEX(Batters[[#All],[POS]],MATCH(Table5[[#This Row],[PID]],Batters[[#All],[PID]],0)),INDEX(Table3[[#All],[POS]],MATCH(Table5[[#This Row],[PID]],Table3[[#All],[PID]],0)))</f>
        <v>RP</v>
      </c>
      <c r="E784" s="54" t="str">
        <f>IF($C784="B",INDEX(Batters[[#All],[First]],MATCH(Table5[[#This Row],[PID]],Batters[[#All],[PID]],0)),INDEX(Table3[[#All],[First]],MATCH(Table5[[#This Row],[PID]],Table3[[#All],[PID]],0)))</f>
        <v>David</v>
      </c>
      <c r="F784" s="52" t="str">
        <f>IF($C784="B",INDEX(Batters[[#All],[Last]],MATCH(A784,Batters[[#All],[PID]],0)),INDEX(Table3[[#All],[Last]],MATCH(A784,Table3[[#All],[PID]],0)))</f>
        <v>Hancock</v>
      </c>
      <c r="G784" s="58">
        <f>IF($C784="B",INDEX(Batters[[#All],[Age]],MATCH(Table5[[#This Row],[PID]],Batters[[#All],[PID]],0)),INDEX(Table3[[#All],[Age]],MATCH(Table5[[#This Row],[PID]],Table3[[#All],[PID]],0)))</f>
        <v>18</v>
      </c>
      <c r="H784" s="54" t="str">
        <f>IF($C784="B",INDEX(Batters[[#All],[B]],MATCH(Table5[[#This Row],[PID]],Batters[[#All],[PID]],0)),INDEX(Table3[[#All],[B]],MATCH(Table5[[#This Row],[PID]],Table3[[#All],[PID]],0)))</f>
        <v>R</v>
      </c>
      <c r="I784" s="54" t="str">
        <f>IF($C784="B",INDEX(Batters[[#All],[T]],MATCH(Table5[[#This Row],[PID]],Batters[[#All],[PID]],0)),INDEX(Table3[[#All],[T]],MATCH(Table5[[#This Row],[PID]],Table3[[#All],[PID]],0)))</f>
        <v>R</v>
      </c>
      <c r="J784" s="54" t="str">
        <f>IF($C784="B",INDEX(Batters[[#All],[WE]],MATCH(Table5[[#This Row],[PID]],Batters[[#All],[PID]],0)),INDEX(Table3[[#All],[WE]],MATCH(Table5[[#This Row],[PID]],Table3[[#All],[PID]],0)))</f>
        <v>Low</v>
      </c>
      <c r="K784" s="54" t="str">
        <f>IF($C784="B",INDEX(Batters[[#All],[INT]],MATCH(Table5[[#This Row],[PID]],Batters[[#All],[PID]],0)),INDEX(Table3[[#All],[INT]],MATCH(Table5[[#This Row],[PID]],Table3[[#All],[PID]],0)))</f>
        <v>Normal</v>
      </c>
      <c r="L784" s="62">
        <f>IF($C784="B",INDEX(Batters[[#All],[CON P]],MATCH(Table5[[#This Row],[PID]],Batters[[#All],[PID]],0)),INDEX(Table3[[#All],[STU P]],MATCH(Table5[[#This Row],[PID]],Table3[[#All],[PID]],0)))</f>
        <v>2</v>
      </c>
      <c r="M784" s="58">
        <f>IF($C784="B",INDEX(Batters[[#All],[GAP P]],MATCH(Table5[[#This Row],[PID]],Batters[[#All],[PID]],0)),INDEX(Table3[[#All],[MOV P]],MATCH(Table5[[#This Row],[PID]],Table3[[#All],[PID]],0)))</f>
        <v>2</v>
      </c>
      <c r="N784" s="58">
        <f>IF($C784="B",INDEX(Batters[[#All],[POW P]],MATCH(Table5[[#This Row],[PID]],Batters[[#All],[PID]],0)),INDEX(Table3[[#All],[CON P]],MATCH(Table5[[#This Row],[PID]],Table3[[#All],[PID]],0)))</f>
        <v>2</v>
      </c>
      <c r="O784" s="58" t="str">
        <f>IF($C784="B",INDEX(Batters[[#All],[EYE P]],MATCH(Table5[[#This Row],[PID]],Batters[[#All],[PID]],0)),INDEX(Table3[[#All],[VELO]],MATCH(Table5[[#This Row],[PID]],Table3[[#All],[PID]],0)))</f>
        <v>83-85 Mph</v>
      </c>
      <c r="P784" s="58">
        <f>IF($C784="B",INDEX(Batters[[#All],[K P]],MATCH(Table5[[#This Row],[PID]],Batters[[#All],[PID]],0)),INDEX(Table3[[#All],[STM]],MATCH(Table5[[#This Row],[PID]],Table3[[#All],[PID]],0)))</f>
        <v>8</v>
      </c>
      <c r="Q784" s="63">
        <f>IF($C784="B",INDEX(Batters[[#All],[Tot]],MATCH(Table5[[#This Row],[PID]],Batters[[#All],[PID]],0)),INDEX(Table3[[#All],[Tot]],MATCH(Table5[[#This Row],[PID]],Table3[[#All],[PID]],0)))</f>
        <v>23.339906992896466</v>
      </c>
      <c r="R784" s="54">
        <f>IF($C784="B",INDEX(Batters[[#All],[zScore]],MATCH(Table5[[#This Row],[PID]],Batters[[#All],[PID]],0)),INDEX(Table3[[#All],[zScore]],MATCH(Table5[[#This Row],[PID]],Table3[[#All],[PID]],0)))</f>
        <v>-0.61834815871133042</v>
      </c>
      <c r="S784" s="60" t="str">
        <f>IF($C784="B",INDEX(Batters[[#All],[DEM]],MATCH(Table5[[#This Row],[PID]],Batters[[#All],[PID]],0)),INDEX(Table3[[#All],[DEM]],MATCH(Table5[[#This Row],[PID]],Table3[[#All],[PID]],0)))</f>
        <v>$65k</v>
      </c>
      <c r="T784" s="64">
        <f>IF($C784="B",VLOOKUP($A784,Bat!$A$4:$AU$1417,46,FALSE),VLOOKUP($A784,Pit!$A$4:$BD$570,55,FALSE))</f>
        <v>0</v>
      </c>
      <c r="U784" s="52">
        <f>IF($C784="B",VLOOKUP($A784,Bat!$A$4:$BA$1417,47,FALSE),VLOOKUP($A784,Pit!$A$4:$BF$570,56,FALSE))</f>
        <v>0</v>
      </c>
      <c r="V784" s="52">
        <f>IF($C784="B",VLOOKUP($A784,Bat!$A$4:$BA$1417,48,FALSE),VLOOKUP($A784,Pit!$A$4:$BF$570,57,FALSE))</f>
        <v>0</v>
      </c>
      <c r="W784" s="52">
        <f>Table5[[#This Row],[posRnk]]+Table5[[#This Row],[zRnk]]+IF($W$3&lt;&gt;Table5[[#This Row],[Type]],50,0)</f>
        <v>830</v>
      </c>
      <c r="X784" s="53">
        <f>RANK(Table5[[#This Row],[zScore]],Table5[[#All],[zScore]])</f>
        <v>780</v>
      </c>
      <c r="Y784" s="52" t="str">
        <f>IFERROR(INDEX(DraftResults[[#All],[OVR]],MATCH(Table5[[#This Row],[PID]],DraftResults[[#All],[Player ID]],0)),"")</f>
        <v/>
      </c>
      <c r="Z7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4" s="52" t="str">
        <f>IFERROR(INDEX(DraftResults[[#All],[Pick in Round]],MATCH(Table5[[#This Row],[PID]],DraftResults[[#All],[Player ID]],0)),"")</f>
        <v/>
      </c>
      <c r="AB784" s="52" t="str">
        <f>IFERROR(INDEX(DraftResults[[#All],[Team Name]],MATCH(Table5[[#This Row],[PID]],DraftResults[[#All],[Player ID]],0)),"")</f>
        <v/>
      </c>
      <c r="AC784" s="52" t="str">
        <f>IF(Table5[[#This Row],[Ovr]]="","",IF(Table5[[#This Row],[cmbList]]="","",Table5[[#This Row],[cmbList]]-Table5[[#This Row],[Ovr]]))</f>
        <v/>
      </c>
      <c r="AD784" s="56" t="str">
        <f>IF(ISERROR(VLOOKUP($AB784&amp;"-"&amp;$E784&amp;" "&amp;F784,Bonuses!$B$1:$G$1006,4,FALSE)),"",INT(VLOOKUP($AB784&amp;"-"&amp;$E784&amp;" "&amp;$F784,Bonuses!$B$1:$G$1006,4,FALSE)))</f>
        <v/>
      </c>
      <c r="AE7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5" spans="1:31" s="52" customFormat="1" x14ac:dyDescent="0.25">
      <c r="A785" s="52">
        <v>10328</v>
      </c>
      <c r="B785" s="52">
        <f>COUNTIF(Table5[PID],A785)</f>
        <v>1</v>
      </c>
      <c r="C785" s="52" t="str">
        <f>IF(COUNTIF(Table3[[#All],[PID]],A785)&gt;0,"P","B")</f>
        <v>P</v>
      </c>
      <c r="D785" s="61" t="str">
        <f>IF($C785="B",INDEX(Batters[[#All],[POS]],MATCH(Table5[[#This Row],[PID]],Batters[[#All],[PID]],0)),INDEX(Table3[[#All],[POS]],MATCH(Table5[[#This Row],[PID]],Table3[[#All],[PID]],0)))</f>
        <v>RP</v>
      </c>
      <c r="E785" s="54" t="str">
        <f>IF($C785="B",INDEX(Batters[[#All],[First]],MATCH(Table5[[#This Row],[PID]],Batters[[#All],[PID]],0)),INDEX(Table3[[#All],[First]],MATCH(Table5[[#This Row],[PID]],Table3[[#All],[PID]],0)))</f>
        <v>Lorenzo</v>
      </c>
      <c r="F785" s="52" t="str">
        <f>IF($C785="B",INDEX(Batters[[#All],[Last]],MATCH(A785,Batters[[#All],[PID]],0)),INDEX(Table3[[#All],[Last]],MATCH(A785,Table3[[#All],[PID]],0)))</f>
        <v>Márquez</v>
      </c>
      <c r="G785" s="58">
        <f>IF($C785="B",INDEX(Batters[[#All],[Age]],MATCH(Table5[[#This Row],[PID]],Batters[[#All],[PID]],0)),INDEX(Table3[[#All],[Age]],MATCH(Table5[[#This Row],[PID]],Table3[[#All],[PID]],0)))</f>
        <v>21</v>
      </c>
      <c r="H785" s="54" t="str">
        <f>IF($C785="B",INDEX(Batters[[#All],[B]],MATCH(Table5[[#This Row],[PID]],Batters[[#All],[PID]],0)),INDEX(Table3[[#All],[B]],MATCH(Table5[[#This Row],[PID]],Table3[[#All],[PID]],0)))</f>
        <v>R</v>
      </c>
      <c r="I785" s="54" t="str">
        <f>IF($C785="B",INDEX(Batters[[#All],[T]],MATCH(Table5[[#This Row],[PID]],Batters[[#All],[PID]],0)),INDEX(Table3[[#All],[T]],MATCH(Table5[[#This Row],[PID]],Table3[[#All],[PID]],0)))</f>
        <v>R</v>
      </c>
      <c r="J785" s="54" t="str">
        <f>IF($C785="B",INDEX(Batters[[#All],[WE]],MATCH(Table5[[#This Row],[PID]],Batters[[#All],[PID]],0)),INDEX(Table3[[#All],[WE]],MATCH(Table5[[#This Row],[PID]],Table3[[#All],[PID]],0)))</f>
        <v>Normal</v>
      </c>
      <c r="K785" s="54" t="str">
        <f>IF($C785="B",INDEX(Batters[[#All],[INT]],MATCH(Table5[[#This Row],[PID]],Batters[[#All],[PID]],0)),INDEX(Table3[[#All],[INT]],MATCH(Table5[[#This Row],[PID]],Table3[[#All],[PID]],0)))</f>
        <v>Normal</v>
      </c>
      <c r="L785" s="62">
        <f>IF($C785="B",INDEX(Batters[[#All],[CON P]],MATCH(Table5[[#This Row],[PID]],Batters[[#All],[PID]],0)),INDEX(Table3[[#All],[STU P]],MATCH(Table5[[#This Row],[PID]],Table3[[#All],[PID]],0)))</f>
        <v>3</v>
      </c>
      <c r="M785" s="58">
        <f>IF($C785="B",INDEX(Batters[[#All],[GAP P]],MATCH(Table5[[#This Row],[PID]],Batters[[#All],[PID]],0)),INDEX(Table3[[#All],[MOV P]],MATCH(Table5[[#This Row],[PID]],Table3[[#All],[PID]],0)))</f>
        <v>2</v>
      </c>
      <c r="N785" s="58">
        <f>IF($C785="B",INDEX(Batters[[#All],[POW P]],MATCH(Table5[[#This Row],[PID]],Batters[[#All],[PID]],0)),INDEX(Table3[[#All],[CON P]],MATCH(Table5[[#This Row],[PID]],Table3[[#All],[PID]],0)))</f>
        <v>3</v>
      </c>
      <c r="O785" s="58" t="str">
        <f>IF($C785="B",INDEX(Batters[[#All],[EYE P]],MATCH(Table5[[#This Row],[PID]],Batters[[#All],[PID]],0)),INDEX(Table3[[#All],[VELO]],MATCH(Table5[[#This Row],[PID]],Table3[[#All],[PID]],0)))</f>
        <v>90-92 Mph</v>
      </c>
      <c r="P785" s="58">
        <f>IF($C785="B",INDEX(Batters[[#All],[K P]],MATCH(Table5[[#This Row],[PID]],Batters[[#All],[PID]],0)),INDEX(Table3[[#All],[STM]],MATCH(Table5[[#This Row],[PID]],Table3[[#All],[PID]],0)))</f>
        <v>3</v>
      </c>
      <c r="Q785" s="63">
        <f>IF($C785="B",INDEX(Batters[[#All],[Tot]],MATCH(Table5[[#This Row],[PID]],Batters[[#All],[PID]],0)),INDEX(Table3[[#All],[Tot]],MATCH(Table5[[#This Row],[PID]],Table3[[#All],[PID]],0)))</f>
        <v>23.337736476310731</v>
      </c>
      <c r="R785" s="54">
        <f>IF($C785="B",INDEX(Batters[[#All],[zScore]],MATCH(Table5[[#This Row],[PID]],Batters[[#All],[PID]],0)),INDEX(Table3[[#All],[zScore]],MATCH(Table5[[#This Row],[PID]],Table3[[#All],[PID]],0)))</f>
        <v>-0.61853838843188758</v>
      </c>
      <c r="S785" s="60" t="str">
        <f>IF($C785="B",INDEX(Batters[[#All],[DEM]],MATCH(Table5[[#This Row],[PID]],Batters[[#All],[PID]],0)),INDEX(Table3[[#All],[DEM]],MATCH(Table5[[#This Row],[PID]],Table3[[#All],[PID]],0)))</f>
        <v>-</v>
      </c>
      <c r="T785" s="64">
        <f>IF($C785="B",VLOOKUP($A785,Bat!$A$4:$AU$1417,46,FALSE),VLOOKUP($A785,Pit!$A$4:$BD$570,55,FALSE))</f>
        <v>0</v>
      </c>
      <c r="U785" s="52">
        <f>IF($C785="B",VLOOKUP($A785,Bat!$A$4:$BA$1417,47,FALSE),VLOOKUP($A785,Pit!$A$4:$BF$570,56,FALSE))</f>
        <v>0</v>
      </c>
      <c r="V785" s="52">
        <f>IF($C785="B",VLOOKUP($A785,Bat!$A$4:$BA$1417,48,FALSE),VLOOKUP($A785,Pit!$A$4:$BF$570,57,FALSE))</f>
        <v>0</v>
      </c>
      <c r="W785" s="52">
        <f>Table5[[#This Row],[posRnk]]+Table5[[#This Row],[zRnk]]+IF($W$3&lt;&gt;Table5[[#This Row],[Type]],50,0)</f>
        <v>831</v>
      </c>
      <c r="X785" s="53">
        <f>RANK(Table5[[#This Row],[zScore]],Table5[[#All],[zScore]])</f>
        <v>781</v>
      </c>
      <c r="Y785" s="52" t="str">
        <f>IFERROR(INDEX(DraftResults[[#All],[OVR]],MATCH(Table5[[#This Row],[PID]],DraftResults[[#All],[Player ID]],0)),"")</f>
        <v/>
      </c>
      <c r="Z7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5" s="52" t="str">
        <f>IFERROR(INDEX(DraftResults[[#All],[Pick in Round]],MATCH(Table5[[#This Row],[PID]],DraftResults[[#All],[Player ID]],0)),"")</f>
        <v/>
      </c>
      <c r="AB785" s="52" t="str">
        <f>IFERROR(INDEX(DraftResults[[#All],[Team Name]],MATCH(Table5[[#This Row],[PID]],DraftResults[[#All],[Player ID]],0)),"")</f>
        <v/>
      </c>
      <c r="AC785" s="52" t="str">
        <f>IF(Table5[[#This Row],[Ovr]]="","",IF(Table5[[#This Row],[cmbList]]="","",Table5[[#This Row],[cmbList]]-Table5[[#This Row],[Ovr]]))</f>
        <v/>
      </c>
      <c r="AD785" s="56" t="str">
        <f>IF(ISERROR(VLOOKUP($AB785&amp;"-"&amp;$E785&amp;" "&amp;F785,Bonuses!$B$1:$G$1006,4,FALSE)),"",INT(VLOOKUP($AB785&amp;"-"&amp;$E785&amp;" "&amp;$F785,Bonuses!$B$1:$G$1006,4,FALSE)))</f>
        <v/>
      </c>
      <c r="AE7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6" spans="1:31" s="52" customFormat="1" x14ac:dyDescent="0.25">
      <c r="A786" s="52">
        <v>7815</v>
      </c>
      <c r="B786" s="52">
        <f>COUNTIF(Table5[PID],A786)</f>
        <v>1</v>
      </c>
      <c r="C786" s="52" t="str">
        <f>IF(COUNTIF(Table3[[#All],[PID]],A786)&gt;0,"P","B")</f>
        <v>P</v>
      </c>
      <c r="D786" s="61" t="str">
        <f>IF($C786="B",INDEX(Batters[[#All],[POS]],MATCH(Table5[[#This Row],[PID]],Batters[[#All],[PID]],0)),INDEX(Table3[[#All],[POS]],MATCH(Table5[[#This Row],[PID]],Table3[[#All],[PID]],0)))</f>
        <v>RP</v>
      </c>
      <c r="E786" s="54" t="str">
        <f>IF($C786="B",INDEX(Batters[[#All],[First]],MATCH(Table5[[#This Row],[PID]],Batters[[#All],[PID]],0)),INDEX(Table3[[#All],[First]],MATCH(Table5[[#This Row],[PID]],Table3[[#All],[PID]],0)))</f>
        <v>Graham</v>
      </c>
      <c r="F786" s="52" t="str">
        <f>IF($C786="B",INDEX(Batters[[#All],[Last]],MATCH(A786,Batters[[#All],[PID]],0)),INDEX(Table3[[#All],[Last]],MATCH(A786,Table3[[#All],[PID]],0)))</f>
        <v>Zimmerman</v>
      </c>
      <c r="G786" s="58">
        <f>IF($C786="B",INDEX(Batters[[#All],[Age]],MATCH(Table5[[#This Row],[PID]],Batters[[#All],[PID]],0)),INDEX(Table3[[#All],[Age]],MATCH(Table5[[#This Row],[PID]],Table3[[#All],[PID]],0)))</f>
        <v>18</v>
      </c>
      <c r="H786" s="54" t="str">
        <f>IF($C786="B",INDEX(Batters[[#All],[B]],MATCH(Table5[[#This Row],[PID]],Batters[[#All],[PID]],0)),INDEX(Table3[[#All],[B]],MATCH(Table5[[#This Row],[PID]],Table3[[#All],[PID]],0)))</f>
        <v>L</v>
      </c>
      <c r="I786" s="54" t="str">
        <f>IF($C786="B",INDEX(Batters[[#All],[T]],MATCH(Table5[[#This Row],[PID]],Batters[[#All],[PID]],0)),INDEX(Table3[[#All],[T]],MATCH(Table5[[#This Row],[PID]],Table3[[#All],[PID]],0)))</f>
        <v>R</v>
      </c>
      <c r="J786" s="54" t="str">
        <f>IF($C786="B",INDEX(Batters[[#All],[WE]],MATCH(Table5[[#This Row],[PID]],Batters[[#All],[PID]],0)),INDEX(Table3[[#All],[WE]],MATCH(Table5[[#This Row],[PID]],Table3[[#All],[PID]],0)))</f>
        <v>Low</v>
      </c>
      <c r="K786" s="54" t="str">
        <f>IF($C786="B",INDEX(Batters[[#All],[INT]],MATCH(Table5[[#This Row],[PID]],Batters[[#All],[PID]],0)),INDEX(Table3[[#All],[INT]],MATCH(Table5[[#This Row],[PID]],Table3[[#All],[PID]],0)))</f>
        <v>Normal</v>
      </c>
      <c r="L786" s="62">
        <f>IF($C786="B",INDEX(Batters[[#All],[CON P]],MATCH(Table5[[#This Row],[PID]],Batters[[#All],[PID]],0)),INDEX(Table3[[#All],[STU P]],MATCH(Table5[[#This Row],[PID]],Table3[[#All],[PID]],0)))</f>
        <v>3</v>
      </c>
      <c r="M786" s="58">
        <f>IF($C786="B",INDEX(Batters[[#All],[GAP P]],MATCH(Table5[[#This Row],[PID]],Batters[[#All],[PID]],0)),INDEX(Table3[[#All],[MOV P]],MATCH(Table5[[#This Row],[PID]],Table3[[#All],[PID]],0)))</f>
        <v>1</v>
      </c>
      <c r="N786" s="58">
        <f>IF($C786="B",INDEX(Batters[[#All],[POW P]],MATCH(Table5[[#This Row],[PID]],Batters[[#All],[PID]],0)),INDEX(Table3[[#All],[CON P]],MATCH(Table5[[#This Row],[PID]],Table3[[#All],[PID]],0)))</f>
        <v>2</v>
      </c>
      <c r="O786" s="58" t="str">
        <f>IF($C786="B",INDEX(Batters[[#All],[EYE P]],MATCH(Table5[[#This Row],[PID]],Batters[[#All],[PID]],0)),INDEX(Table3[[#All],[VELO]],MATCH(Table5[[#This Row],[PID]],Table3[[#All],[PID]],0)))</f>
        <v>84-86 Mph</v>
      </c>
      <c r="P786" s="58">
        <f>IF($C786="B",INDEX(Batters[[#All],[K P]],MATCH(Table5[[#This Row],[PID]],Batters[[#All],[PID]],0)),INDEX(Table3[[#All],[STM]],MATCH(Table5[[#This Row],[PID]],Table3[[#All],[PID]],0)))</f>
        <v>8</v>
      </c>
      <c r="Q786" s="63">
        <f>IF($C786="B",INDEX(Batters[[#All],[Tot]],MATCH(Table5[[#This Row],[PID]],Batters[[#All],[PID]],0)),INDEX(Table3[[#All],[Tot]],MATCH(Table5[[#This Row],[PID]],Table3[[#All],[PID]],0)))</f>
        <v>23.326579938320588</v>
      </c>
      <c r="R786" s="54">
        <f>IF($C786="B",INDEX(Batters[[#All],[zScore]],MATCH(Table5[[#This Row],[PID]],Batters[[#All],[PID]],0)),INDEX(Table3[[#All],[zScore]],MATCH(Table5[[#This Row],[PID]],Table3[[#All],[PID]],0)))</f>
        <v>-0.61951617644705259</v>
      </c>
      <c r="S786" s="60" t="str">
        <f>IF($C786="B",INDEX(Batters[[#All],[DEM]],MATCH(Table5[[#This Row],[PID]],Batters[[#All],[PID]],0)),INDEX(Table3[[#All],[DEM]],MATCH(Table5[[#This Row],[PID]],Table3[[#All],[PID]],0)))</f>
        <v>$65k</v>
      </c>
      <c r="T786" s="64">
        <f>IF($C786="B",VLOOKUP($A786,Bat!$A$4:$AU$1417,46,FALSE),VLOOKUP($A786,Pit!$A$4:$BD$570,55,FALSE))</f>
        <v>0</v>
      </c>
      <c r="U786" s="52">
        <f>IF($C786="B",VLOOKUP($A786,Bat!$A$4:$BA$1417,47,FALSE),VLOOKUP($A786,Pit!$A$4:$BF$570,56,FALSE))</f>
        <v>0</v>
      </c>
      <c r="V786" s="52">
        <f>IF($C786="B",VLOOKUP($A786,Bat!$A$4:$BA$1417,48,FALSE),VLOOKUP($A786,Pit!$A$4:$BF$570,57,FALSE))</f>
        <v>0</v>
      </c>
      <c r="W786" s="52">
        <f>Table5[[#This Row],[posRnk]]+Table5[[#This Row],[zRnk]]+IF($W$3&lt;&gt;Table5[[#This Row],[Type]],50,0)</f>
        <v>832</v>
      </c>
      <c r="X786" s="53">
        <f>RANK(Table5[[#This Row],[zScore]],Table5[[#All],[zScore]])</f>
        <v>782</v>
      </c>
      <c r="Y786" s="52" t="str">
        <f>IFERROR(INDEX(DraftResults[[#All],[OVR]],MATCH(Table5[[#This Row],[PID]],DraftResults[[#All],[Player ID]],0)),"")</f>
        <v/>
      </c>
      <c r="Z7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6" s="52" t="str">
        <f>IFERROR(INDEX(DraftResults[[#All],[Pick in Round]],MATCH(Table5[[#This Row],[PID]],DraftResults[[#All],[Player ID]],0)),"")</f>
        <v/>
      </c>
      <c r="AB786" s="52" t="str">
        <f>IFERROR(INDEX(DraftResults[[#All],[Team Name]],MATCH(Table5[[#This Row],[PID]],DraftResults[[#All],[Player ID]],0)),"")</f>
        <v/>
      </c>
      <c r="AC786" s="52" t="str">
        <f>IF(Table5[[#This Row],[Ovr]]="","",IF(Table5[[#This Row],[cmbList]]="","",Table5[[#This Row],[cmbList]]-Table5[[#This Row],[Ovr]]))</f>
        <v/>
      </c>
      <c r="AD786" s="56" t="str">
        <f>IF(ISERROR(VLOOKUP($AB786&amp;"-"&amp;$E786&amp;" "&amp;F786,Bonuses!$B$1:$G$1006,4,FALSE)),"",INT(VLOOKUP($AB786&amp;"-"&amp;$E786&amp;" "&amp;$F786,Bonuses!$B$1:$G$1006,4,FALSE)))</f>
        <v/>
      </c>
      <c r="AE7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7" spans="1:31" s="52" customFormat="1" x14ac:dyDescent="0.25">
      <c r="A787" s="52">
        <v>17941</v>
      </c>
      <c r="B787" s="52">
        <f>COUNTIF(Table5[PID],A787)</f>
        <v>1</v>
      </c>
      <c r="C787" s="52" t="str">
        <f>IF(COUNTIF(Table3[[#All],[PID]],A787)&gt;0,"P","B")</f>
        <v>P</v>
      </c>
      <c r="D787" s="61" t="str">
        <f>IF($C787="B",INDEX(Batters[[#All],[POS]],MATCH(Table5[[#This Row],[PID]],Batters[[#All],[PID]],0)),INDEX(Table3[[#All],[POS]],MATCH(Table5[[#This Row],[PID]],Table3[[#All],[PID]],0)))</f>
        <v>RP</v>
      </c>
      <c r="E787" s="54" t="str">
        <f>IF($C787="B",INDEX(Batters[[#All],[First]],MATCH(Table5[[#This Row],[PID]],Batters[[#All],[PID]],0)),INDEX(Table3[[#All],[First]],MATCH(Table5[[#This Row],[PID]],Table3[[#All],[PID]],0)))</f>
        <v>Michihiro</v>
      </c>
      <c r="F787" s="52" t="str">
        <f>IF($C787="B",INDEX(Batters[[#All],[Last]],MATCH(A787,Batters[[#All],[PID]],0)),INDEX(Table3[[#All],[Last]],MATCH(A787,Table3[[#All],[PID]],0)))</f>
        <v>Miyashita</v>
      </c>
      <c r="G787" s="58">
        <f>IF($C787="B",INDEX(Batters[[#All],[Age]],MATCH(Table5[[#This Row],[PID]],Batters[[#All],[PID]],0)),INDEX(Table3[[#All],[Age]],MATCH(Table5[[#This Row],[PID]],Table3[[#All],[PID]],0)))</f>
        <v>18</v>
      </c>
      <c r="H787" s="54" t="str">
        <f>IF($C787="B",INDEX(Batters[[#All],[B]],MATCH(Table5[[#This Row],[PID]],Batters[[#All],[PID]],0)),INDEX(Table3[[#All],[B]],MATCH(Table5[[#This Row],[PID]],Table3[[#All],[PID]],0)))</f>
        <v>R</v>
      </c>
      <c r="I787" s="54" t="str">
        <f>IF($C787="B",INDEX(Batters[[#All],[T]],MATCH(Table5[[#This Row],[PID]],Batters[[#All],[PID]],0)),INDEX(Table3[[#All],[T]],MATCH(Table5[[#This Row],[PID]],Table3[[#All],[PID]],0)))</f>
        <v>R</v>
      </c>
      <c r="J787" s="54" t="str">
        <f>IF($C787="B",INDEX(Batters[[#All],[WE]],MATCH(Table5[[#This Row],[PID]],Batters[[#All],[PID]],0)),INDEX(Table3[[#All],[WE]],MATCH(Table5[[#This Row],[PID]],Table3[[#All],[PID]],0)))</f>
        <v>High</v>
      </c>
      <c r="K787" s="54" t="str">
        <f>IF($C787="B",INDEX(Batters[[#All],[INT]],MATCH(Table5[[#This Row],[PID]],Batters[[#All],[PID]],0)),INDEX(Table3[[#All],[INT]],MATCH(Table5[[#This Row],[PID]],Table3[[#All],[PID]],0)))</f>
        <v>Normal</v>
      </c>
      <c r="L787" s="62">
        <f>IF($C787="B",INDEX(Batters[[#All],[CON P]],MATCH(Table5[[#This Row],[PID]],Batters[[#All],[PID]],0)),INDEX(Table3[[#All],[STU P]],MATCH(Table5[[#This Row],[PID]],Table3[[#All],[PID]],0)))</f>
        <v>4</v>
      </c>
      <c r="M787" s="58">
        <f>IF($C787="B",INDEX(Batters[[#All],[GAP P]],MATCH(Table5[[#This Row],[PID]],Batters[[#All],[PID]],0)),INDEX(Table3[[#All],[MOV P]],MATCH(Table5[[#This Row],[PID]],Table3[[#All],[PID]],0)))</f>
        <v>1</v>
      </c>
      <c r="N787" s="58">
        <f>IF($C787="B",INDEX(Batters[[#All],[POW P]],MATCH(Table5[[#This Row],[PID]],Batters[[#All],[PID]],0)),INDEX(Table3[[#All],[CON P]],MATCH(Table5[[#This Row],[PID]],Table3[[#All],[PID]],0)))</f>
        <v>2</v>
      </c>
      <c r="O787" s="58" t="str">
        <f>IF($C787="B",INDEX(Batters[[#All],[EYE P]],MATCH(Table5[[#This Row],[PID]],Batters[[#All],[PID]],0)),INDEX(Table3[[#All],[VELO]],MATCH(Table5[[#This Row],[PID]],Table3[[#All],[PID]],0)))</f>
        <v>88-90 Mph</v>
      </c>
      <c r="P787" s="58">
        <f>IF($C787="B",INDEX(Batters[[#All],[K P]],MATCH(Table5[[#This Row],[PID]],Batters[[#All],[PID]],0)),INDEX(Table3[[#All],[STM]],MATCH(Table5[[#This Row],[PID]],Table3[[#All],[PID]],0)))</f>
        <v>8</v>
      </c>
      <c r="Q787" s="63">
        <f>IF($C787="B",INDEX(Batters[[#All],[Tot]],MATCH(Table5[[#This Row],[PID]],Batters[[#All],[PID]],0)),INDEX(Table3[[#All],[Tot]],MATCH(Table5[[#This Row],[PID]],Table3[[#All],[PID]],0)))</f>
        <v>25.9567424643304</v>
      </c>
      <c r="R787" s="54">
        <f>IF($C787="B",INDEX(Batters[[#All],[zScore]],MATCH(Table5[[#This Row],[PID]],Batters[[#All],[PID]],0)),INDEX(Table3[[#All],[zScore]],MATCH(Table5[[#This Row],[PID]],Table3[[#All],[PID]],0)))</f>
        <v>-0.6204260357289193</v>
      </c>
      <c r="S787" s="60" t="str">
        <f>IF($C787="B",INDEX(Batters[[#All],[DEM]],MATCH(Table5[[#This Row],[PID]],Batters[[#All],[PID]],0)),INDEX(Table3[[#All],[DEM]],MATCH(Table5[[#This Row],[PID]],Table3[[#All],[PID]],0)))</f>
        <v>$65k</v>
      </c>
      <c r="T787" s="64">
        <f>IF($C787="B",VLOOKUP($A787,Bat!$A$4:$AU$1417,46,FALSE),VLOOKUP($A787,Pit!$A$4:$BD$570,55,FALSE))</f>
        <v>0</v>
      </c>
      <c r="U787" s="52">
        <f>IF($C787="B",VLOOKUP($A787,Bat!$A$4:$BA$1417,47,FALSE),VLOOKUP($A787,Pit!$A$4:$BF$570,56,FALSE))</f>
        <v>0</v>
      </c>
      <c r="V787" s="52">
        <f>IF($C787="B",VLOOKUP($A787,Bat!$A$4:$BA$1417,48,FALSE),VLOOKUP($A787,Pit!$A$4:$BF$570,57,FALSE))</f>
        <v>0</v>
      </c>
      <c r="W787" s="52">
        <f>Table5[[#This Row],[posRnk]]+Table5[[#This Row],[zRnk]]+IF($W$3&lt;&gt;Table5[[#This Row],[Type]],50,0)</f>
        <v>833</v>
      </c>
      <c r="X787" s="53">
        <f>RANK(Table5[[#This Row],[zScore]],Table5[[#All],[zScore]])</f>
        <v>783</v>
      </c>
      <c r="Y787" s="52" t="str">
        <f>IFERROR(INDEX(DraftResults[[#All],[OVR]],MATCH(Table5[[#This Row],[PID]],DraftResults[[#All],[Player ID]],0)),"")</f>
        <v/>
      </c>
      <c r="Z7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7" s="52" t="str">
        <f>IFERROR(INDEX(DraftResults[[#All],[Pick in Round]],MATCH(Table5[[#This Row],[PID]],DraftResults[[#All],[Player ID]],0)),"")</f>
        <v/>
      </c>
      <c r="AB787" s="52" t="str">
        <f>IFERROR(INDEX(DraftResults[[#All],[Team Name]],MATCH(Table5[[#This Row],[PID]],DraftResults[[#All],[Player ID]],0)),"")</f>
        <v/>
      </c>
      <c r="AC787" s="52" t="str">
        <f>IF(Table5[[#This Row],[Ovr]]="","",IF(Table5[[#This Row],[cmbList]]="","",Table5[[#This Row],[cmbList]]-Table5[[#This Row],[Ovr]]))</f>
        <v/>
      </c>
      <c r="AD787" s="56" t="str">
        <f>IF(ISERROR(VLOOKUP($AB787&amp;"-"&amp;$E787&amp;" "&amp;F787,Bonuses!$B$1:$G$1006,4,FALSE)),"",INT(VLOOKUP($AB787&amp;"-"&amp;$E787&amp;" "&amp;$F787,Bonuses!$B$1:$G$1006,4,FALSE)))</f>
        <v/>
      </c>
      <c r="AE7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8" spans="1:31" s="52" customFormat="1" x14ac:dyDescent="0.25">
      <c r="A788" s="52">
        <v>5564</v>
      </c>
      <c r="B788" s="52">
        <f>COUNTIF(Table5[PID],A788)</f>
        <v>1</v>
      </c>
      <c r="C788" s="52" t="str">
        <f>IF(COUNTIF(Table3[[#All],[PID]],A788)&gt;0,"P","B")</f>
        <v>P</v>
      </c>
      <c r="D788" s="61" t="str">
        <f>IF($C788="B",INDEX(Batters[[#All],[POS]],MATCH(Table5[[#This Row],[PID]],Batters[[#All],[PID]],0)),INDEX(Table3[[#All],[POS]],MATCH(Table5[[#This Row],[PID]],Table3[[#All],[PID]],0)))</f>
        <v>RP</v>
      </c>
      <c r="E788" s="54" t="str">
        <f>IF($C788="B",INDEX(Batters[[#All],[First]],MATCH(Table5[[#This Row],[PID]],Batters[[#All],[PID]],0)),INDEX(Table3[[#All],[First]],MATCH(Table5[[#This Row],[PID]],Table3[[#All],[PID]],0)))</f>
        <v>Davey</v>
      </c>
      <c r="F788" s="52" t="str">
        <f>IF($C788="B",INDEX(Batters[[#All],[Last]],MATCH(A788,Batters[[#All],[PID]],0)),INDEX(Table3[[#All],[Last]],MATCH(A788,Table3[[#All],[PID]],0)))</f>
        <v>Flores</v>
      </c>
      <c r="G788" s="58">
        <f>IF($C788="B",INDEX(Batters[[#All],[Age]],MATCH(Table5[[#This Row],[PID]],Batters[[#All],[PID]],0)),INDEX(Table3[[#All],[Age]],MATCH(Table5[[#This Row],[PID]],Table3[[#All],[PID]],0)))</f>
        <v>21</v>
      </c>
      <c r="H788" s="54" t="str">
        <f>IF($C788="B",INDEX(Batters[[#All],[B]],MATCH(Table5[[#This Row],[PID]],Batters[[#All],[PID]],0)),INDEX(Table3[[#All],[B]],MATCH(Table5[[#This Row],[PID]],Table3[[#All],[PID]],0)))</f>
        <v>R</v>
      </c>
      <c r="I788" s="54" t="str">
        <f>IF($C788="B",INDEX(Batters[[#All],[T]],MATCH(Table5[[#This Row],[PID]],Batters[[#All],[PID]],0)),INDEX(Table3[[#All],[T]],MATCH(Table5[[#This Row],[PID]],Table3[[#All],[PID]],0)))</f>
        <v>R</v>
      </c>
      <c r="J788" s="54" t="str">
        <f>IF($C788="B",INDEX(Batters[[#All],[WE]],MATCH(Table5[[#This Row],[PID]],Batters[[#All],[PID]],0)),INDEX(Table3[[#All],[WE]],MATCH(Table5[[#This Row],[PID]],Table3[[#All],[PID]],0)))</f>
        <v>Low</v>
      </c>
      <c r="K788" s="54" t="str">
        <f>IF($C788="B",INDEX(Batters[[#All],[INT]],MATCH(Table5[[#This Row],[PID]],Batters[[#All],[PID]],0)),INDEX(Table3[[#All],[INT]],MATCH(Table5[[#This Row],[PID]],Table3[[#All],[PID]],0)))</f>
        <v>Normal</v>
      </c>
      <c r="L788" s="62">
        <f>IF($C788="B",INDEX(Batters[[#All],[CON P]],MATCH(Table5[[#This Row],[PID]],Batters[[#All],[PID]],0)),INDEX(Table3[[#All],[STU P]],MATCH(Table5[[#This Row],[PID]],Table3[[#All],[PID]],0)))</f>
        <v>3</v>
      </c>
      <c r="M788" s="58">
        <f>IF($C788="B",INDEX(Batters[[#All],[GAP P]],MATCH(Table5[[#This Row],[PID]],Batters[[#All],[PID]],0)),INDEX(Table3[[#All],[MOV P]],MATCH(Table5[[#This Row],[PID]],Table3[[#All],[PID]],0)))</f>
        <v>1</v>
      </c>
      <c r="N788" s="58">
        <f>IF($C788="B",INDEX(Batters[[#All],[POW P]],MATCH(Table5[[#This Row],[PID]],Batters[[#All],[PID]],0)),INDEX(Table3[[#All],[CON P]],MATCH(Table5[[#This Row],[PID]],Table3[[#All],[PID]],0)))</f>
        <v>3</v>
      </c>
      <c r="O788" s="58" t="str">
        <f>IF($C788="B",INDEX(Batters[[#All],[EYE P]],MATCH(Table5[[#This Row],[PID]],Batters[[#All],[PID]],0)),INDEX(Table3[[#All],[VELO]],MATCH(Table5[[#This Row],[PID]],Table3[[#All],[PID]],0)))</f>
        <v>84-86 Mph</v>
      </c>
      <c r="P788" s="58">
        <f>IF($C788="B",INDEX(Batters[[#All],[K P]],MATCH(Table5[[#This Row],[PID]],Batters[[#All],[PID]],0)),INDEX(Table3[[#All],[STM]],MATCH(Table5[[#This Row],[PID]],Table3[[#All],[PID]],0)))</f>
        <v>5</v>
      </c>
      <c r="Q788" s="63">
        <f>IF($C788="B",INDEX(Batters[[#All],[Tot]],MATCH(Table5[[#This Row],[PID]],Batters[[#All],[PID]],0)),INDEX(Table3[[#All],[Tot]],MATCH(Table5[[#This Row],[PID]],Table3[[#All],[PID]],0)))</f>
        <v>23.288641374112213</v>
      </c>
      <c r="R788" s="54">
        <f>IF($C788="B",INDEX(Batters[[#All],[zScore]],MATCH(Table5[[#This Row],[PID]],Batters[[#All],[PID]],0)),INDEX(Table3[[#All],[zScore]],MATCH(Table5[[#This Row],[PID]],Table3[[#All],[PID]],0)))</f>
        <v>-0.62284121091816658</v>
      </c>
      <c r="S788" s="60" t="str">
        <f>IF($C788="B",INDEX(Batters[[#All],[DEM]],MATCH(Table5[[#This Row],[PID]],Batters[[#All],[PID]],0)),INDEX(Table3[[#All],[DEM]],MATCH(Table5[[#This Row],[PID]],Table3[[#All],[PID]],0)))</f>
        <v>-</v>
      </c>
      <c r="T788" s="64">
        <f>IF($C788="B",VLOOKUP($A788,Bat!$A$4:$AU$1417,46,FALSE),VLOOKUP($A788,Pit!$A$4:$BD$570,55,FALSE))</f>
        <v>0</v>
      </c>
      <c r="U788" s="52">
        <f>IF($C788="B",VLOOKUP($A788,Bat!$A$4:$BA$1417,47,FALSE),VLOOKUP($A788,Pit!$A$4:$BF$570,56,FALSE))</f>
        <v>0</v>
      </c>
      <c r="V788" s="52">
        <f>IF($C788="B",VLOOKUP($A788,Bat!$A$4:$BA$1417,48,FALSE),VLOOKUP($A788,Pit!$A$4:$BF$570,57,FALSE))</f>
        <v>0</v>
      </c>
      <c r="W788" s="52">
        <f>Table5[[#This Row],[posRnk]]+Table5[[#This Row],[zRnk]]+IF($W$3&lt;&gt;Table5[[#This Row],[Type]],50,0)</f>
        <v>834</v>
      </c>
      <c r="X788" s="53">
        <f>RANK(Table5[[#This Row],[zScore]],Table5[[#All],[zScore]])</f>
        <v>784</v>
      </c>
      <c r="Y788" s="52" t="str">
        <f>IFERROR(INDEX(DraftResults[[#All],[OVR]],MATCH(Table5[[#This Row],[PID]],DraftResults[[#All],[Player ID]],0)),"")</f>
        <v/>
      </c>
      <c r="Z7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8" s="52" t="str">
        <f>IFERROR(INDEX(DraftResults[[#All],[Pick in Round]],MATCH(Table5[[#This Row],[PID]],DraftResults[[#All],[Player ID]],0)),"")</f>
        <v/>
      </c>
      <c r="AB788" s="52" t="str">
        <f>IFERROR(INDEX(DraftResults[[#All],[Team Name]],MATCH(Table5[[#This Row],[PID]],DraftResults[[#All],[Player ID]],0)),"")</f>
        <v/>
      </c>
      <c r="AC788" s="52" t="str">
        <f>IF(Table5[[#This Row],[Ovr]]="","",IF(Table5[[#This Row],[cmbList]]="","",Table5[[#This Row],[cmbList]]-Table5[[#This Row],[Ovr]]))</f>
        <v/>
      </c>
      <c r="AD788" s="56" t="str">
        <f>IF(ISERROR(VLOOKUP($AB788&amp;"-"&amp;$E788&amp;" "&amp;F788,Bonuses!$B$1:$G$1006,4,FALSE)),"",INT(VLOOKUP($AB788&amp;"-"&amp;$E788&amp;" "&amp;$F788,Bonuses!$B$1:$G$1006,4,FALSE)))</f>
        <v/>
      </c>
      <c r="AE7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9" spans="1:31" s="52" customFormat="1" x14ac:dyDescent="0.25">
      <c r="A789" s="52">
        <v>8500</v>
      </c>
      <c r="B789" s="52">
        <f>COUNTIF(Table5[PID],A789)</f>
        <v>1</v>
      </c>
      <c r="C789" s="52" t="str">
        <f>IF(COUNTIF(Table3[[#All],[PID]],A789)&gt;0,"P","B")</f>
        <v>P</v>
      </c>
      <c r="D789" s="61" t="str">
        <f>IF($C789="B",INDEX(Batters[[#All],[POS]],MATCH(Table5[[#This Row],[PID]],Batters[[#All],[PID]],0)),INDEX(Table3[[#All],[POS]],MATCH(Table5[[#This Row],[PID]],Table3[[#All],[PID]],0)))</f>
        <v>RP</v>
      </c>
      <c r="E789" s="54" t="str">
        <f>IF($C789="B",INDEX(Batters[[#All],[First]],MATCH(Table5[[#This Row],[PID]],Batters[[#All],[PID]],0)),INDEX(Table3[[#All],[First]],MATCH(Table5[[#This Row],[PID]],Table3[[#All],[PID]],0)))</f>
        <v>Marvin</v>
      </c>
      <c r="F789" s="52" t="str">
        <f>IF($C789="B",INDEX(Batters[[#All],[Last]],MATCH(A789,Batters[[#All],[PID]],0)),INDEX(Table3[[#All],[Last]],MATCH(A789,Table3[[#All],[PID]],0)))</f>
        <v>Hannah</v>
      </c>
      <c r="G789" s="58">
        <f>IF($C789="B",INDEX(Batters[[#All],[Age]],MATCH(Table5[[#This Row],[PID]],Batters[[#All],[PID]],0)),INDEX(Table3[[#All],[Age]],MATCH(Table5[[#This Row],[PID]],Table3[[#All],[PID]],0)))</f>
        <v>18</v>
      </c>
      <c r="H789" s="54" t="str">
        <f>IF($C789="B",INDEX(Batters[[#All],[B]],MATCH(Table5[[#This Row],[PID]],Batters[[#All],[PID]],0)),INDEX(Table3[[#All],[B]],MATCH(Table5[[#This Row],[PID]],Table3[[#All],[PID]],0)))</f>
        <v>R</v>
      </c>
      <c r="I789" s="54" t="str">
        <f>IF($C789="B",INDEX(Batters[[#All],[T]],MATCH(Table5[[#This Row],[PID]],Batters[[#All],[PID]],0)),INDEX(Table3[[#All],[T]],MATCH(Table5[[#This Row],[PID]],Table3[[#All],[PID]],0)))</f>
        <v>R</v>
      </c>
      <c r="J789" s="54" t="str">
        <f>IF($C789="B",INDEX(Batters[[#All],[WE]],MATCH(Table5[[#This Row],[PID]],Batters[[#All],[PID]],0)),INDEX(Table3[[#All],[WE]],MATCH(Table5[[#This Row],[PID]],Table3[[#All],[PID]],0)))</f>
        <v>High</v>
      </c>
      <c r="K789" s="54" t="str">
        <f>IF($C789="B",INDEX(Batters[[#All],[INT]],MATCH(Table5[[#This Row],[PID]],Batters[[#All],[PID]],0)),INDEX(Table3[[#All],[INT]],MATCH(Table5[[#This Row],[PID]],Table3[[#All],[PID]],0)))</f>
        <v>Normal</v>
      </c>
      <c r="L789" s="62">
        <f>IF($C789="B",INDEX(Batters[[#All],[CON P]],MATCH(Table5[[#This Row],[PID]],Batters[[#All],[PID]],0)),INDEX(Table3[[#All],[STU P]],MATCH(Table5[[#This Row],[PID]],Table3[[#All],[PID]],0)))</f>
        <v>4</v>
      </c>
      <c r="M789" s="58">
        <f>IF($C789="B",INDEX(Batters[[#All],[GAP P]],MATCH(Table5[[#This Row],[PID]],Batters[[#All],[PID]],0)),INDEX(Table3[[#All],[MOV P]],MATCH(Table5[[#This Row],[PID]],Table3[[#All],[PID]],0)))</f>
        <v>1</v>
      </c>
      <c r="N789" s="58">
        <f>IF($C789="B",INDEX(Batters[[#All],[POW P]],MATCH(Table5[[#This Row],[PID]],Batters[[#All],[PID]],0)),INDEX(Table3[[#All],[CON P]],MATCH(Table5[[#This Row],[PID]],Table3[[#All],[PID]],0)))</f>
        <v>2</v>
      </c>
      <c r="O789" s="58" t="str">
        <f>IF($C789="B",INDEX(Batters[[#All],[EYE P]],MATCH(Table5[[#This Row],[PID]],Batters[[#All],[PID]],0)),INDEX(Table3[[#All],[VELO]],MATCH(Table5[[#This Row],[PID]],Table3[[#All],[PID]],0)))</f>
        <v>89-91 Mph</v>
      </c>
      <c r="P789" s="58">
        <f>IF($C789="B",INDEX(Batters[[#All],[K P]],MATCH(Table5[[#This Row],[PID]],Batters[[#All],[PID]],0)),INDEX(Table3[[#All],[STM]],MATCH(Table5[[#This Row],[PID]],Table3[[#All],[PID]],0)))</f>
        <v>7</v>
      </c>
      <c r="Q789" s="63">
        <f>IF($C789="B",INDEX(Batters[[#All],[Tot]],MATCH(Table5[[#This Row],[PID]],Batters[[#All],[PID]],0)),INDEX(Table3[[#All],[Tot]],MATCH(Table5[[#This Row],[PID]],Table3[[#All],[PID]],0)))</f>
        <v>25.917804199428566</v>
      </c>
      <c r="R789" s="54">
        <f>IF($C789="B",INDEX(Batters[[#All],[zScore]],MATCH(Table5[[#This Row],[PID]],Batters[[#All],[PID]],0)),INDEX(Table3[[#All],[zScore]],MATCH(Table5[[#This Row],[PID]],Table3[[#All],[PID]],0)))</f>
        <v>-0.62399684104605946</v>
      </c>
      <c r="S789" s="60" t="str">
        <f>IF($C789="B",INDEX(Batters[[#All],[DEM]],MATCH(Table5[[#This Row],[PID]],Batters[[#All],[PID]],0)),INDEX(Table3[[#All],[DEM]],MATCH(Table5[[#This Row],[PID]],Table3[[#All],[PID]],0)))</f>
        <v>$65k</v>
      </c>
      <c r="T789" s="64">
        <f>IF($C789="B",VLOOKUP($A789,Bat!$A$4:$AU$1417,46,FALSE),VLOOKUP($A789,Pit!$A$4:$BD$570,55,FALSE))</f>
        <v>0</v>
      </c>
      <c r="U789" s="52">
        <f>IF($C789="B",VLOOKUP($A789,Bat!$A$4:$BA$1417,47,FALSE),VLOOKUP($A789,Pit!$A$4:$BF$570,56,FALSE))</f>
        <v>0</v>
      </c>
      <c r="V789" s="52">
        <f>IF($C789="B",VLOOKUP($A789,Bat!$A$4:$BA$1417,48,FALSE),VLOOKUP($A789,Pit!$A$4:$BF$570,57,FALSE))</f>
        <v>0</v>
      </c>
      <c r="W789" s="52">
        <f>Table5[[#This Row],[posRnk]]+Table5[[#This Row],[zRnk]]+IF($W$3&lt;&gt;Table5[[#This Row],[Type]],50,0)</f>
        <v>835</v>
      </c>
      <c r="X789" s="53">
        <f>RANK(Table5[[#This Row],[zScore]],Table5[[#All],[zScore]])</f>
        <v>785</v>
      </c>
      <c r="Y789" s="52" t="str">
        <f>IFERROR(INDEX(DraftResults[[#All],[OVR]],MATCH(Table5[[#This Row],[PID]],DraftResults[[#All],[Player ID]],0)),"")</f>
        <v/>
      </c>
      <c r="Z7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9" s="52" t="str">
        <f>IFERROR(INDEX(DraftResults[[#All],[Pick in Round]],MATCH(Table5[[#This Row],[PID]],DraftResults[[#All],[Player ID]],0)),"")</f>
        <v/>
      </c>
      <c r="AB789" s="52" t="str">
        <f>IFERROR(INDEX(DraftResults[[#All],[Team Name]],MATCH(Table5[[#This Row],[PID]],DraftResults[[#All],[Player ID]],0)),"")</f>
        <v/>
      </c>
      <c r="AC789" s="52" t="str">
        <f>IF(Table5[[#This Row],[Ovr]]="","",IF(Table5[[#This Row],[cmbList]]="","",Table5[[#This Row],[cmbList]]-Table5[[#This Row],[Ovr]]))</f>
        <v/>
      </c>
      <c r="AD789" s="56" t="str">
        <f>IF(ISERROR(VLOOKUP($AB789&amp;"-"&amp;$E789&amp;" "&amp;F789,Bonuses!$B$1:$G$1006,4,FALSE)),"",INT(VLOOKUP($AB789&amp;"-"&amp;$E789&amp;" "&amp;$F789,Bonuses!$B$1:$G$1006,4,FALSE)))</f>
        <v/>
      </c>
      <c r="AE7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0" spans="1:31" s="52" customFormat="1" x14ac:dyDescent="0.25">
      <c r="A790" s="52">
        <v>6621</v>
      </c>
      <c r="B790" s="52">
        <f>COUNTIF(Table5[PID],A790)</f>
        <v>1</v>
      </c>
      <c r="C790" s="52" t="str">
        <f>IF(COUNTIF(Table3[[#All],[PID]],A790)&gt;0,"P","B")</f>
        <v>P</v>
      </c>
      <c r="D790" s="61" t="str">
        <f>IF($C790="B",INDEX(Batters[[#All],[POS]],MATCH(Table5[[#This Row],[PID]],Batters[[#All],[PID]],0)),INDEX(Table3[[#All],[POS]],MATCH(Table5[[#This Row],[PID]],Table3[[#All],[PID]],0)))</f>
        <v>RP</v>
      </c>
      <c r="E790" s="54" t="str">
        <f>IF($C790="B",INDEX(Batters[[#All],[First]],MATCH(Table5[[#This Row],[PID]],Batters[[#All],[PID]],0)),INDEX(Table3[[#All],[First]],MATCH(Table5[[#This Row],[PID]],Table3[[#All],[PID]],0)))</f>
        <v>Finlay</v>
      </c>
      <c r="F790" s="52" t="str">
        <f>IF($C790="B",INDEX(Batters[[#All],[Last]],MATCH(A790,Batters[[#All],[PID]],0)),INDEX(Table3[[#All],[Last]],MATCH(A790,Table3[[#All],[PID]],0)))</f>
        <v>Crosse</v>
      </c>
      <c r="G790" s="58">
        <f>IF($C790="B",INDEX(Batters[[#All],[Age]],MATCH(Table5[[#This Row],[PID]],Batters[[#All],[PID]],0)),INDEX(Table3[[#All],[Age]],MATCH(Table5[[#This Row],[PID]],Table3[[#All],[PID]],0)))</f>
        <v>18</v>
      </c>
      <c r="H790" s="54" t="str">
        <f>IF($C790="B",INDEX(Batters[[#All],[B]],MATCH(Table5[[#This Row],[PID]],Batters[[#All],[PID]],0)),INDEX(Table3[[#All],[B]],MATCH(Table5[[#This Row],[PID]],Table3[[#All],[PID]],0)))</f>
        <v>L</v>
      </c>
      <c r="I790" s="54" t="str">
        <f>IF($C790="B",INDEX(Batters[[#All],[T]],MATCH(Table5[[#This Row],[PID]],Batters[[#All],[PID]],0)),INDEX(Table3[[#All],[T]],MATCH(Table5[[#This Row],[PID]],Table3[[#All],[PID]],0)))</f>
        <v>L</v>
      </c>
      <c r="J790" s="54" t="str">
        <f>IF($C790="B",INDEX(Batters[[#All],[WE]],MATCH(Table5[[#This Row],[PID]],Batters[[#All],[PID]],0)),INDEX(Table3[[#All],[WE]],MATCH(Table5[[#This Row],[PID]],Table3[[#All],[PID]],0)))</f>
        <v>Low</v>
      </c>
      <c r="K790" s="54" t="str">
        <f>IF($C790="B",INDEX(Batters[[#All],[INT]],MATCH(Table5[[#This Row],[PID]],Batters[[#All],[PID]],0)),INDEX(Table3[[#All],[INT]],MATCH(Table5[[#This Row],[PID]],Table3[[#All],[PID]],0)))</f>
        <v>Normal</v>
      </c>
      <c r="L790" s="62">
        <f>IF($C790="B",INDEX(Batters[[#All],[CON P]],MATCH(Table5[[#This Row],[PID]],Batters[[#All],[PID]],0)),INDEX(Table3[[#All],[STU P]],MATCH(Table5[[#This Row],[PID]],Table3[[#All],[PID]],0)))</f>
        <v>4</v>
      </c>
      <c r="M790" s="58">
        <f>IF($C790="B",INDEX(Batters[[#All],[GAP P]],MATCH(Table5[[#This Row],[PID]],Batters[[#All],[PID]],0)),INDEX(Table3[[#All],[MOV P]],MATCH(Table5[[#This Row],[PID]],Table3[[#All],[PID]],0)))</f>
        <v>1</v>
      </c>
      <c r="N790" s="58">
        <f>IF($C790="B",INDEX(Batters[[#All],[POW P]],MATCH(Table5[[#This Row],[PID]],Batters[[#All],[PID]],0)),INDEX(Table3[[#All],[CON P]],MATCH(Table5[[#This Row],[PID]],Table3[[#All],[PID]],0)))</f>
        <v>2</v>
      </c>
      <c r="O790" s="58" t="str">
        <f>IF($C790="B",INDEX(Batters[[#All],[EYE P]],MATCH(Table5[[#This Row],[PID]],Batters[[#All],[PID]],0)),INDEX(Table3[[#All],[VELO]],MATCH(Table5[[#This Row],[PID]],Table3[[#All],[PID]],0)))</f>
        <v>92-94 Mph</v>
      </c>
      <c r="P790" s="58">
        <f>IF($C790="B",INDEX(Batters[[#All],[K P]],MATCH(Table5[[#This Row],[PID]],Batters[[#All],[PID]],0)),INDEX(Table3[[#All],[STM]],MATCH(Table5[[#This Row],[PID]],Table3[[#All],[PID]],0)))</f>
        <v>10</v>
      </c>
      <c r="Q790" s="63">
        <f>IF($C790="B",INDEX(Batters[[#All],[Tot]],MATCH(Table5[[#This Row],[PID]],Batters[[#All],[PID]],0)),INDEX(Table3[[#All],[Tot]],MATCH(Table5[[#This Row],[PID]],Table3[[#All],[PID]],0)))</f>
        <v>25.895680729232236</v>
      </c>
      <c r="R790" s="54">
        <f>IF($C790="B",INDEX(Batters[[#All],[zScore]],MATCH(Table5[[#This Row],[PID]],Batters[[#All],[PID]],0)),INDEX(Table3[[#All],[zScore]],MATCH(Table5[[#This Row],[PID]],Table3[[#All],[PID]],0)))</f>
        <v>-0.62602565782076192</v>
      </c>
      <c r="S790" s="60" t="str">
        <f>IF($C790="B",INDEX(Batters[[#All],[DEM]],MATCH(Table5[[#This Row],[PID]],Batters[[#All],[PID]],0)),INDEX(Table3[[#All],[DEM]],MATCH(Table5[[#This Row],[PID]],Table3[[#All],[PID]],0)))</f>
        <v>$130k</v>
      </c>
      <c r="T790" s="64">
        <f>IF($C790="B",VLOOKUP($A790,Bat!$A$4:$AU$1417,46,FALSE),VLOOKUP($A790,Pit!$A$4:$BD$570,55,FALSE))</f>
        <v>0</v>
      </c>
      <c r="U790" s="52">
        <f>IF($C790="B",VLOOKUP($A790,Bat!$A$4:$BA$1417,47,FALSE),VLOOKUP($A790,Pit!$A$4:$BF$570,56,FALSE))</f>
        <v>0</v>
      </c>
      <c r="V790" s="52">
        <f>IF($C790="B",VLOOKUP($A790,Bat!$A$4:$BA$1417,48,FALSE),VLOOKUP($A790,Pit!$A$4:$BF$570,57,FALSE))</f>
        <v>0</v>
      </c>
      <c r="W790" s="52">
        <f>Table5[[#This Row],[posRnk]]+Table5[[#This Row],[zRnk]]+IF($W$3&lt;&gt;Table5[[#This Row],[Type]],50,0)</f>
        <v>836</v>
      </c>
      <c r="X790" s="53">
        <f>RANK(Table5[[#This Row],[zScore]],Table5[[#All],[zScore]])</f>
        <v>786</v>
      </c>
      <c r="Y790" s="52" t="str">
        <f>IFERROR(INDEX(DraftResults[[#All],[OVR]],MATCH(Table5[[#This Row],[PID]],DraftResults[[#All],[Player ID]],0)),"")</f>
        <v/>
      </c>
      <c r="Z7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0" s="52" t="str">
        <f>IFERROR(INDEX(DraftResults[[#All],[Pick in Round]],MATCH(Table5[[#This Row],[PID]],DraftResults[[#All],[Player ID]],0)),"")</f>
        <v/>
      </c>
      <c r="AB790" s="52" t="str">
        <f>IFERROR(INDEX(DraftResults[[#All],[Team Name]],MATCH(Table5[[#This Row],[PID]],DraftResults[[#All],[Player ID]],0)),"")</f>
        <v/>
      </c>
      <c r="AC790" s="52" t="str">
        <f>IF(Table5[[#This Row],[Ovr]]="","",IF(Table5[[#This Row],[cmbList]]="","",Table5[[#This Row],[cmbList]]-Table5[[#This Row],[Ovr]]))</f>
        <v/>
      </c>
      <c r="AD790" s="56" t="str">
        <f>IF(ISERROR(VLOOKUP($AB790&amp;"-"&amp;$E790&amp;" "&amp;F790,Bonuses!$B$1:$G$1006,4,FALSE)),"",INT(VLOOKUP($AB790&amp;"-"&amp;$E790&amp;" "&amp;$F790,Bonuses!$B$1:$G$1006,4,FALSE)))</f>
        <v/>
      </c>
      <c r="AE7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1" spans="1:31" s="52" customFormat="1" x14ac:dyDescent="0.25">
      <c r="A791" s="52">
        <v>9434</v>
      </c>
      <c r="B791" s="52">
        <f>COUNTIF(Table5[PID],A791)</f>
        <v>1</v>
      </c>
      <c r="C791" s="52" t="str">
        <f>IF(COUNTIF(Table3[[#All],[PID]],A791)&gt;0,"P","B")</f>
        <v>B</v>
      </c>
      <c r="D791" s="61" t="str">
        <f>IF($C791="B",INDEX(Batters[[#All],[POS]],MATCH(Table5[[#This Row],[PID]],Batters[[#All],[PID]],0)),INDEX(Table3[[#All],[POS]],MATCH(Table5[[#This Row],[PID]],Table3[[#All],[PID]],0)))</f>
        <v>C</v>
      </c>
      <c r="E791" s="54" t="str">
        <f>IF($C791="B",INDEX(Batters[[#All],[First]],MATCH(Table5[[#This Row],[PID]],Batters[[#All],[PID]],0)),INDEX(Table3[[#All],[First]],MATCH(Table5[[#This Row],[PID]],Table3[[#All],[PID]],0)))</f>
        <v>Troy</v>
      </c>
      <c r="F791" s="52" t="str">
        <f>IF($C791="B",INDEX(Batters[[#All],[Last]],MATCH(A791,Batters[[#All],[PID]],0)),INDEX(Table3[[#All],[Last]],MATCH(A791,Table3[[#All],[PID]],0)))</f>
        <v>Schaefer</v>
      </c>
      <c r="G791" s="58">
        <f>IF($C791="B",INDEX(Batters[[#All],[Age]],MATCH(Table5[[#This Row],[PID]],Batters[[#All],[PID]],0)),INDEX(Table3[[#All],[Age]],MATCH(Table5[[#This Row],[PID]],Table3[[#All],[PID]],0)))</f>
        <v>21</v>
      </c>
      <c r="H791" s="54" t="str">
        <f>IF($C791="B",INDEX(Batters[[#All],[B]],MATCH(Table5[[#This Row],[PID]],Batters[[#All],[PID]],0)),INDEX(Table3[[#All],[B]],MATCH(Table5[[#This Row],[PID]],Table3[[#All],[PID]],0)))</f>
        <v>R</v>
      </c>
      <c r="I791" s="54" t="str">
        <f>IF($C791="B",INDEX(Batters[[#All],[T]],MATCH(Table5[[#This Row],[PID]],Batters[[#All],[PID]],0)),INDEX(Table3[[#All],[T]],MATCH(Table5[[#This Row],[PID]],Table3[[#All],[PID]],0)))</f>
        <v>R</v>
      </c>
      <c r="J791" s="54" t="str">
        <f>IF($C791="B",INDEX(Batters[[#All],[WE]],MATCH(Table5[[#This Row],[PID]],Batters[[#All],[PID]],0)),INDEX(Table3[[#All],[WE]],MATCH(Table5[[#This Row],[PID]],Table3[[#All],[PID]],0)))</f>
        <v>High</v>
      </c>
      <c r="K791" s="54" t="str">
        <f>IF($C791="B",INDEX(Batters[[#All],[INT]],MATCH(Table5[[#This Row],[PID]],Batters[[#All],[PID]],0)),INDEX(Table3[[#All],[INT]],MATCH(Table5[[#This Row],[PID]],Table3[[#All],[PID]],0)))</f>
        <v>High</v>
      </c>
      <c r="L791" s="62">
        <f>IF($C791="B",INDEX(Batters[[#All],[CON P]],MATCH(Table5[[#This Row],[PID]],Batters[[#All],[PID]],0)),INDEX(Table3[[#All],[STU P]],MATCH(Table5[[#This Row],[PID]],Table3[[#All],[PID]],0)))</f>
        <v>3</v>
      </c>
      <c r="M791" s="58">
        <f>IF($C791="B",INDEX(Batters[[#All],[GAP P]],MATCH(Table5[[#This Row],[PID]],Batters[[#All],[PID]],0)),INDEX(Table3[[#All],[MOV P]],MATCH(Table5[[#This Row],[PID]],Table3[[#All],[PID]],0)))</f>
        <v>3</v>
      </c>
      <c r="N791" s="58">
        <f>IF($C791="B",INDEX(Batters[[#All],[POW P]],MATCH(Table5[[#This Row],[PID]],Batters[[#All],[PID]],0)),INDEX(Table3[[#All],[CON P]],MATCH(Table5[[#This Row],[PID]],Table3[[#All],[PID]],0)))</f>
        <v>3</v>
      </c>
      <c r="O791" s="58">
        <f>IF($C791="B",INDEX(Batters[[#All],[EYE P]],MATCH(Table5[[#This Row],[PID]],Batters[[#All],[PID]],0)),INDEX(Table3[[#All],[VELO]],MATCH(Table5[[#This Row],[PID]],Table3[[#All],[PID]],0)))</f>
        <v>4</v>
      </c>
      <c r="P791" s="58">
        <f>IF($C791="B",INDEX(Batters[[#All],[K P]],MATCH(Table5[[#This Row],[PID]],Batters[[#All],[PID]],0)),INDEX(Table3[[#All],[STM]],MATCH(Table5[[#This Row],[PID]],Table3[[#All],[PID]],0)))</f>
        <v>3</v>
      </c>
      <c r="Q791" s="63">
        <f>IF($C791="B",INDEX(Batters[[#All],[Tot]],MATCH(Table5[[#This Row],[PID]],Batters[[#All],[PID]],0)),INDEX(Table3[[#All],[Tot]],MATCH(Table5[[#This Row],[PID]],Table3[[#All],[PID]],0)))</f>
        <v>36.789379123275367</v>
      </c>
      <c r="R791" s="54">
        <f>IF($C791="B",INDEX(Batters[[#All],[zScore]],MATCH(Table5[[#This Row],[PID]],Batters[[#All],[PID]],0)),INDEX(Table3[[#All],[zScore]],MATCH(Table5[[#This Row],[PID]],Table3[[#All],[PID]],0)))</f>
        <v>-0.62615921261082186</v>
      </c>
      <c r="S791" s="60" t="str">
        <f>IF($C791="B",INDEX(Batters[[#All],[DEM]],MATCH(Table5[[#This Row],[PID]],Batters[[#All],[PID]],0)),INDEX(Table3[[#All],[DEM]],MATCH(Table5[[#This Row],[PID]],Table3[[#All],[PID]],0)))</f>
        <v>-</v>
      </c>
      <c r="T791" s="64">
        <f>IF($C791="B",VLOOKUP($A791,Bat!$A$4:$AU$1417,46,FALSE),VLOOKUP($A791,Pit!$A$4:$BD$570,55,FALSE))</f>
        <v>0</v>
      </c>
      <c r="U791" s="52">
        <f>IF($C791="B",VLOOKUP($A791,Bat!$A$4:$BA$1417,47,FALSE),VLOOKUP($A791,Pit!$A$4:$BF$570,56,FALSE))</f>
        <v>0</v>
      </c>
      <c r="V791" s="52">
        <f>IF($C791="B",VLOOKUP($A791,Bat!$A$4:$BA$1417,48,FALSE),VLOOKUP($A791,Pit!$A$4:$BF$570,57,FALSE))</f>
        <v>0</v>
      </c>
      <c r="W791" s="52">
        <f>Table5[[#This Row],[posRnk]]+Table5[[#This Row],[zRnk]]+IF($W$3&lt;&gt;Table5[[#This Row],[Type]],50,0)</f>
        <v>837</v>
      </c>
      <c r="X791" s="53">
        <f>RANK(Table5[[#This Row],[zScore]],Table5[[#All],[zScore]])</f>
        <v>787</v>
      </c>
      <c r="Y791" s="52" t="str">
        <f>IFERROR(INDEX(DraftResults[[#All],[OVR]],MATCH(Table5[[#This Row],[PID]],DraftResults[[#All],[Player ID]],0)),"")</f>
        <v/>
      </c>
      <c r="Z7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1" s="52" t="str">
        <f>IFERROR(INDEX(DraftResults[[#All],[Pick in Round]],MATCH(Table5[[#This Row],[PID]],DraftResults[[#All],[Player ID]],0)),"")</f>
        <v/>
      </c>
      <c r="AB791" s="52" t="str">
        <f>IFERROR(INDEX(DraftResults[[#All],[Team Name]],MATCH(Table5[[#This Row],[PID]],DraftResults[[#All],[Player ID]],0)),"")</f>
        <v/>
      </c>
      <c r="AC791" s="52" t="str">
        <f>IF(Table5[[#This Row],[Ovr]]="","",IF(Table5[[#This Row],[cmbList]]="","",Table5[[#This Row],[cmbList]]-Table5[[#This Row],[Ovr]]))</f>
        <v/>
      </c>
      <c r="AD791" s="56" t="str">
        <f>IF(ISERROR(VLOOKUP($AB791&amp;"-"&amp;$E791&amp;" "&amp;F791,Bonuses!$B$1:$G$1006,4,FALSE)),"",INT(VLOOKUP($AB791&amp;"-"&amp;$E791&amp;" "&amp;$F791,Bonuses!$B$1:$G$1006,4,FALSE)))</f>
        <v/>
      </c>
      <c r="AE7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2" spans="1:31" s="52" customFormat="1" x14ac:dyDescent="0.25">
      <c r="A792" s="52">
        <v>7511</v>
      </c>
      <c r="B792" s="52">
        <f>COUNTIF(Table5[PID],A792)</f>
        <v>1</v>
      </c>
      <c r="C792" s="52" t="str">
        <f>IF(COUNTIF(Table3[[#All],[PID]],A792)&gt;0,"P","B")</f>
        <v>P</v>
      </c>
      <c r="D792" s="61" t="str">
        <f>IF($C792="B",INDEX(Batters[[#All],[POS]],MATCH(Table5[[#This Row],[PID]],Batters[[#All],[PID]],0)),INDEX(Table3[[#All],[POS]],MATCH(Table5[[#This Row],[PID]],Table3[[#All],[PID]],0)))</f>
        <v>RP</v>
      </c>
      <c r="E792" s="54" t="str">
        <f>IF($C792="B",INDEX(Batters[[#All],[First]],MATCH(Table5[[#This Row],[PID]],Batters[[#All],[PID]],0)),INDEX(Table3[[#All],[First]],MATCH(Table5[[#This Row],[PID]],Table3[[#All],[PID]],0)))</f>
        <v>Dave</v>
      </c>
      <c r="F792" s="52" t="str">
        <f>IF($C792="B",INDEX(Batters[[#All],[Last]],MATCH(A792,Batters[[#All],[PID]],0)),INDEX(Table3[[#All],[Last]],MATCH(A792,Table3[[#All],[PID]],0)))</f>
        <v>Thomas</v>
      </c>
      <c r="G792" s="58">
        <f>IF($C792="B",INDEX(Batters[[#All],[Age]],MATCH(Table5[[#This Row],[PID]],Batters[[#All],[PID]],0)),INDEX(Table3[[#All],[Age]],MATCH(Table5[[#This Row],[PID]],Table3[[#All],[PID]],0)))</f>
        <v>18</v>
      </c>
      <c r="H792" s="54" t="str">
        <f>IF($C792="B",INDEX(Batters[[#All],[B]],MATCH(Table5[[#This Row],[PID]],Batters[[#All],[PID]],0)),INDEX(Table3[[#All],[B]],MATCH(Table5[[#This Row],[PID]],Table3[[#All],[PID]],0)))</f>
        <v>R</v>
      </c>
      <c r="I792" s="54" t="str">
        <f>IF($C792="B",INDEX(Batters[[#All],[T]],MATCH(Table5[[#This Row],[PID]],Batters[[#All],[PID]],0)),INDEX(Table3[[#All],[T]],MATCH(Table5[[#This Row],[PID]],Table3[[#All],[PID]],0)))</f>
        <v>R</v>
      </c>
      <c r="J792" s="54" t="str">
        <f>IF($C792="B",INDEX(Batters[[#All],[WE]],MATCH(Table5[[#This Row],[PID]],Batters[[#All],[PID]],0)),INDEX(Table3[[#All],[WE]],MATCH(Table5[[#This Row],[PID]],Table3[[#All],[PID]],0)))</f>
        <v>Low</v>
      </c>
      <c r="K792" s="54" t="str">
        <f>IF($C792="B",INDEX(Batters[[#All],[INT]],MATCH(Table5[[#This Row],[PID]],Batters[[#All],[PID]],0)),INDEX(Table3[[#All],[INT]],MATCH(Table5[[#This Row],[PID]],Table3[[#All],[PID]],0)))</f>
        <v>Normal</v>
      </c>
      <c r="L792" s="62">
        <f>IF($C792="B",INDEX(Batters[[#All],[CON P]],MATCH(Table5[[#This Row],[PID]],Batters[[#All],[PID]],0)),INDEX(Table3[[#All],[STU P]],MATCH(Table5[[#This Row],[PID]],Table3[[#All],[PID]],0)))</f>
        <v>4</v>
      </c>
      <c r="M792" s="58">
        <f>IF($C792="B",INDEX(Batters[[#All],[GAP P]],MATCH(Table5[[#This Row],[PID]],Batters[[#All],[PID]],0)),INDEX(Table3[[#All],[MOV P]],MATCH(Table5[[#This Row],[PID]],Table3[[#All],[PID]],0)))</f>
        <v>1</v>
      </c>
      <c r="N792" s="58">
        <f>IF($C792="B",INDEX(Batters[[#All],[POW P]],MATCH(Table5[[#This Row],[PID]],Batters[[#All],[PID]],0)),INDEX(Table3[[#All],[CON P]],MATCH(Table5[[#This Row],[PID]],Table3[[#All],[PID]],0)))</f>
        <v>2</v>
      </c>
      <c r="O792" s="58" t="str">
        <f>IF($C792="B",INDEX(Batters[[#All],[EYE P]],MATCH(Table5[[#This Row],[PID]],Batters[[#All],[PID]],0)),INDEX(Table3[[#All],[VELO]],MATCH(Table5[[#This Row],[PID]],Table3[[#All],[PID]],0)))</f>
        <v>85-87 Mph</v>
      </c>
      <c r="P792" s="58">
        <f>IF($C792="B",INDEX(Batters[[#All],[K P]],MATCH(Table5[[#This Row],[PID]],Batters[[#All],[PID]],0)),INDEX(Table3[[#All],[STM]],MATCH(Table5[[#This Row],[PID]],Table3[[#All],[PID]],0)))</f>
        <v>4</v>
      </c>
      <c r="Q792" s="63">
        <f>IF($C792="B",INDEX(Batters[[#All],[Tot]],MATCH(Table5[[#This Row],[PID]],Batters[[#All],[PID]],0)),INDEX(Table3[[#All],[Tot]],MATCH(Table5[[#This Row],[PID]],Table3[[#All],[PID]],0)))</f>
        <v>25.890068289984281</v>
      </c>
      <c r="R792" s="54">
        <f>IF($C792="B",INDEX(Batters[[#All],[zScore]],MATCH(Table5[[#This Row],[PID]],Batters[[#All],[PID]],0)),INDEX(Table3[[#All],[zScore]],MATCH(Table5[[#This Row],[PID]],Table3[[#All],[PID]],0)))</f>
        <v>-0.62654034248786883</v>
      </c>
      <c r="S792" s="60" t="str">
        <f>IF($C792="B",INDEX(Batters[[#All],[DEM]],MATCH(Table5[[#This Row],[PID]],Batters[[#All],[PID]],0)),INDEX(Table3[[#All],[DEM]],MATCH(Table5[[#This Row],[PID]],Table3[[#All],[PID]],0)))</f>
        <v>$65k</v>
      </c>
      <c r="T792" s="64">
        <f>IF($C792="B",VLOOKUP($A792,Bat!$A$4:$AU$1417,46,FALSE),VLOOKUP($A792,Pit!$A$4:$BD$570,55,FALSE))</f>
        <v>0</v>
      </c>
      <c r="U792" s="52">
        <f>IF($C792="B",VLOOKUP($A792,Bat!$A$4:$BA$1417,47,FALSE),VLOOKUP($A792,Pit!$A$4:$BF$570,56,FALSE))</f>
        <v>0</v>
      </c>
      <c r="V792" s="52">
        <f>IF($C792="B",VLOOKUP($A792,Bat!$A$4:$BA$1417,48,FALSE),VLOOKUP($A792,Pit!$A$4:$BF$570,57,FALSE))</f>
        <v>0</v>
      </c>
      <c r="W792" s="52">
        <f>Table5[[#This Row],[posRnk]]+Table5[[#This Row],[zRnk]]+IF($W$3&lt;&gt;Table5[[#This Row],[Type]],50,0)</f>
        <v>838</v>
      </c>
      <c r="X792" s="53">
        <f>RANK(Table5[[#This Row],[zScore]],Table5[[#All],[zScore]])</f>
        <v>788</v>
      </c>
      <c r="Y792" s="52" t="str">
        <f>IFERROR(INDEX(DraftResults[[#All],[OVR]],MATCH(Table5[[#This Row],[PID]],DraftResults[[#All],[Player ID]],0)),"")</f>
        <v/>
      </c>
      <c r="Z7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2" s="52" t="str">
        <f>IFERROR(INDEX(DraftResults[[#All],[Pick in Round]],MATCH(Table5[[#This Row],[PID]],DraftResults[[#All],[Player ID]],0)),"")</f>
        <v/>
      </c>
      <c r="AB792" s="52" t="str">
        <f>IFERROR(INDEX(DraftResults[[#All],[Team Name]],MATCH(Table5[[#This Row],[PID]],DraftResults[[#All],[Player ID]],0)),"")</f>
        <v/>
      </c>
      <c r="AC792" s="52" t="str">
        <f>IF(Table5[[#This Row],[Ovr]]="","",IF(Table5[[#This Row],[cmbList]]="","",Table5[[#This Row],[cmbList]]-Table5[[#This Row],[Ovr]]))</f>
        <v/>
      </c>
      <c r="AD792" s="56" t="str">
        <f>IF(ISERROR(VLOOKUP($AB792&amp;"-"&amp;$E792&amp;" "&amp;F792,Bonuses!$B$1:$G$1006,4,FALSE)),"",INT(VLOOKUP($AB792&amp;"-"&amp;$E792&amp;" "&amp;$F792,Bonuses!$B$1:$G$1006,4,FALSE)))</f>
        <v/>
      </c>
      <c r="AE7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3" spans="1:31" s="52" customFormat="1" x14ac:dyDescent="0.25">
      <c r="A793" s="52">
        <v>7658</v>
      </c>
      <c r="B793" s="52">
        <f>COUNTIF(Table5[PID],A793)</f>
        <v>1</v>
      </c>
      <c r="C793" s="52" t="str">
        <f>IF(COUNTIF(Table3[[#All],[PID]],A793)&gt;0,"P","B")</f>
        <v>P</v>
      </c>
      <c r="D793" s="61" t="str">
        <f>IF($C793="B",INDEX(Batters[[#All],[POS]],MATCH(Table5[[#This Row],[PID]],Batters[[#All],[PID]],0)),INDEX(Table3[[#All],[POS]],MATCH(Table5[[#This Row],[PID]],Table3[[#All],[PID]],0)))</f>
        <v>RP</v>
      </c>
      <c r="E793" s="54" t="str">
        <f>IF($C793="B",INDEX(Batters[[#All],[First]],MATCH(Table5[[#This Row],[PID]],Batters[[#All],[PID]],0)),INDEX(Table3[[#All],[First]],MATCH(Table5[[#This Row],[PID]],Table3[[#All],[PID]],0)))</f>
        <v>Ira</v>
      </c>
      <c r="F793" s="52" t="str">
        <f>IF($C793="B",INDEX(Batters[[#All],[Last]],MATCH(A793,Batters[[#All],[PID]],0)),INDEX(Table3[[#All],[Last]],MATCH(A793,Table3[[#All],[PID]],0)))</f>
        <v>Christensen</v>
      </c>
      <c r="G793" s="58">
        <f>IF($C793="B",INDEX(Batters[[#All],[Age]],MATCH(Table5[[#This Row],[PID]],Batters[[#All],[PID]],0)),INDEX(Table3[[#All],[Age]],MATCH(Table5[[#This Row],[PID]],Table3[[#All],[PID]],0)))</f>
        <v>21</v>
      </c>
      <c r="H793" s="54" t="str">
        <f>IF($C793="B",INDEX(Batters[[#All],[B]],MATCH(Table5[[#This Row],[PID]],Batters[[#All],[PID]],0)),INDEX(Table3[[#All],[B]],MATCH(Table5[[#This Row],[PID]],Table3[[#All],[PID]],0)))</f>
        <v>L</v>
      </c>
      <c r="I793" s="54" t="str">
        <f>IF($C793="B",INDEX(Batters[[#All],[T]],MATCH(Table5[[#This Row],[PID]],Batters[[#All],[PID]],0)),INDEX(Table3[[#All],[T]],MATCH(Table5[[#This Row],[PID]],Table3[[#All],[PID]],0)))</f>
        <v>L</v>
      </c>
      <c r="J793" s="54" t="str">
        <f>IF($C793="B",INDEX(Batters[[#All],[WE]],MATCH(Table5[[#This Row],[PID]],Batters[[#All],[PID]],0)),INDEX(Table3[[#All],[WE]],MATCH(Table5[[#This Row],[PID]],Table3[[#All],[PID]],0)))</f>
        <v>Low</v>
      </c>
      <c r="K793" s="54" t="str">
        <f>IF($C793="B",INDEX(Batters[[#All],[INT]],MATCH(Table5[[#This Row],[PID]],Batters[[#All],[PID]],0)),INDEX(Table3[[#All],[INT]],MATCH(Table5[[#This Row],[PID]],Table3[[#All],[PID]],0)))</f>
        <v>Normal</v>
      </c>
      <c r="L793" s="62">
        <f>IF($C793="B",INDEX(Batters[[#All],[CON P]],MATCH(Table5[[#This Row],[PID]],Batters[[#All],[PID]],0)),INDEX(Table3[[#All],[STU P]],MATCH(Table5[[#This Row],[PID]],Table3[[#All],[PID]],0)))</f>
        <v>5</v>
      </c>
      <c r="M793" s="58">
        <f>IF($C793="B",INDEX(Batters[[#All],[GAP P]],MATCH(Table5[[#This Row],[PID]],Batters[[#All],[PID]],0)),INDEX(Table3[[#All],[MOV P]],MATCH(Table5[[#This Row],[PID]],Table3[[#All],[PID]],0)))</f>
        <v>1</v>
      </c>
      <c r="N793" s="58">
        <f>IF($C793="B",INDEX(Batters[[#All],[POW P]],MATCH(Table5[[#This Row],[PID]],Batters[[#All],[PID]],0)),INDEX(Table3[[#All],[CON P]],MATCH(Table5[[#This Row],[PID]],Table3[[#All],[PID]],0)))</f>
        <v>2</v>
      </c>
      <c r="O793" s="58" t="str">
        <f>IF($C793="B",INDEX(Batters[[#All],[EYE P]],MATCH(Table5[[#This Row],[PID]],Batters[[#All],[PID]],0)),INDEX(Table3[[#All],[VELO]],MATCH(Table5[[#This Row],[PID]],Table3[[#All],[PID]],0)))</f>
        <v>85-87 Mph</v>
      </c>
      <c r="P793" s="58">
        <f>IF($C793="B",INDEX(Batters[[#All],[K P]],MATCH(Table5[[#This Row],[PID]],Batters[[#All],[PID]],0)),INDEX(Table3[[#All],[STM]],MATCH(Table5[[#This Row],[PID]],Table3[[#All],[PID]],0)))</f>
        <v>6</v>
      </c>
      <c r="Q793" s="63">
        <f>IF($C793="B",INDEX(Batters[[#All],[Tot]],MATCH(Table5[[#This Row],[PID]],Batters[[#All],[PID]],0)),INDEX(Table3[[#All],[Tot]],MATCH(Table5[[#This Row],[PID]],Table3[[#All],[PID]],0)))</f>
        <v>25.870147926253154</v>
      </c>
      <c r="R793" s="54">
        <f>IF($C793="B",INDEX(Batters[[#All],[zScore]],MATCH(Table5[[#This Row],[PID]],Batters[[#All],[PID]],0)),INDEX(Table3[[#All],[zScore]],MATCH(Table5[[#This Row],[PID]],Table3[[#All],[PID]],0)))</f>
        <v>-0.62836712498343728</v>
      </c>
      <c r="S793" s="60" t="str">
        <f>IF($C793="B",INDEX(Batters[[#All],[DEM]],MATCH(Table5[[#This Row],[PID]],Batters[[#All],[PID]],0)),INDEX(Table3[[#All],[DEM]],MATCH(Table5[[#This Row],[PID]],Table3[[#All],[PID]],0)))</f>
        <v>-</v>
      </c>
      <c r="T793" s="64">
        <f>IF($C793="B",VLOOKUP($A793,Bat!$A$4:$AU$1417,46,FALSE),VLOOKUP($A793,Pit!$A$4:$BD$570,55,FALSE))</f>
        <v>0</v>
      </c>
      <c r="U793" s="52">
        <f>IF($C793="B",VLOOKUP($A793,Bat!$A$4:$BA$1417,47,FALSE),VLOOKUP($A793,Pit!$A$4:$BF$570,56,FALSE))</f>
        <v>0</v>
      </c>
      <c r="V793" s="52">
        <f>IF($C793="B",VLOOKUP($A793,Bat!$A$4:$BA$1417,48,FALSE),VLOOKUP($A793,Pit!$A$4:$BF$570,57,FALSE))</f>
        <v>0</v>
      </c>
      <c r="W793" s="52">
        <f>Table5[[#This Row],[posRnk]]+Table5[[#This Row],[zRnk]]+IF($W$3&lt;&gt;Table5[[#This Row],[Type]],50,0)</f>
        <v>839</v>
      </c>
      <c r="X793" s="53">
        <f>RANK(Table5[[#This Row],[zScore]],Table5[[#All],[zScore]])</f>
        <v>789</v>
      </c>
      <c r="Y793" s="52" t="str">
        <f>IFERROR(INDEX(DraftResults[[#All],[OVR]],MATCH(Table5[[#This Row],[PID]],DraftResults[[#All],[Player ID]],0)),"")</f>
        <v/>
      </c>
      <c r="Z7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3" s="52" t="str">
        <f>IFERROR(INDEX(DraftResults[[#All],[Pick in Round]],MATCH(Table5[[#This Row],[PID]],DraftResults[[#All],[Player ID]],0)),"")</f>
        <v/>
      </c>
      <c r="AB793" s="52" t="str">
        <f>IFERROR(INDEX(DraftResults[[#All],[Team Name]],MATCH(Table5[[#This Row],[PID]],DraftResults[[#All],[Player ID]],0)),"")</f>
        <v/>
      </c>
      <c r="AC793" s="52" t="str">
        <f>IF(Table5[[#This Row],[Ovr]]="","",IF(Table5[[#This Row],[cmbList]]="","",Table5[[#This Row],[cmbList]]-Table5[[#This Row],[Ovr]]))</f>
        <v/>
      </c>
      <c r="AD793" s="56" t="str">
        <f>IF(ISERROR(VLOOKUP($AB793&amp;"-"&amp;$E793&amp;" "&amp;F793,Bonuses!$B$1:$G$1006,4,FALSE)),"",INT(VLOOKUP($AB793&amp;"-"&amp;$E793&amp;" "&amp;$F793,Bonuses!$B$1:$G$1006,4,FALSE)))</f>
        <v/>
      </c>
      <c r="AE7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4" spans="1:31" s="52" customFormat="1" x14ac:dyDescent="0.25">
      <c r="A794" s="52">
        <v>10076</v>
      </c>
      <c r="B794" s="52">
        <f>COUNTIF(Table5[PID],A794)</f>
        <v>1</v>
      </c>
      <c r="C794" s="52" t="str">
        <f>IF(COUNTIF(Table3[[#All],[PID]],A794)&gt;0,"P","B")</f>
        <v>P</v>
      </c>
      <c r="D794" s="61" t="str">
        <f>IF($C794="B",INDEX(Batters[[#All],[POS]],MATCH(Table5[[#This Row],[PID]],Batters[[#All],[PID]],0)),INDEX(Table3[[#All],[POS]],MATCH(Table5[[#This Row],[PID]],Table3[[#All],[PID]],0)))</f>
        <v>SP</v>
      </c>
      <c r="E794" s="54" t="str">
        <f>IF($C794="B",INDEX(Batters[[#All],[First]],MATCH(Table5[[#This Row],[PID]],Batters[[#All],[PID]],0)),INDEX(Table3[[#All],[First]],MATCH(Table5[[#This Row],[PID]],Table3[[#All],[PID]],0)))</f>
        <v>Henry</v>
      </c>
      <c r="F794" s="52" t="str">
        <f>IF($C794="B",INDEX(Batters[[#All],[Last]],MATCH(A794,Batters[[#All],[PID]],0)),INDEX(Table3[[#All],[Last]],MATCH(A794,Table3[[#All],[PID]],0)))</f>
        <v>Barfoot</v>
      </c>
      <c r="G794" s="58">
        <f>IF($C794="B",INDEX(Batters[[#All],[Age]],MATCH(Table5[[#This Row],[PID]],Batters[[#All],[PID]],0)),INDEX(Table3[[#All],[Age]],MATCH(Table5[[#This Row],[PID]],Table3[[#All],[PID]],0)))</f>
        <v>21</v>
      </c>
      <c r="H794" s="54" t="str">
        <f>IF($C794="B",INDEX(Batters[[#All],[B]],MATCH(Table5[[#This Row],[PID]],Batters[[#All],[PID]],0)),INDEX(Table3[[#All],[B]],MATCH(Table5[[#This Row],[PID]],Table3[[#All],[PID]],0)))</f>
        <v>L</v>
      </c>
      <c r="I794" s="54" t="str">
        <f>IF($C794="B",INDEX(Batters[[#All],[T]],MATCH(Table5[[#This Row],[PID]],Batters[[#All],[PID]],0)),INDEX(Table3[[#All],[T]],MATCH(Table5[[#This Row],[PID]],Table3[[#All],[PID]],0)))</f>
        <v>L</v>
      </c>
      <c r="J794" s="54" t="str">
        <f>IF($C794="B",INDEX(Batters[[#All],[WE]],MATCH(Table5[[#This Row],[PID]],Batters[[#All],[PID]],0)),INDEX(Table3[[#All],[WE]],MATCH(Table5[[#This Row],[PID]],Table3[[#All],[PID]],0)))</f>
        <v>Low</v>
      </c>
      <c r="K794" s="54" t="str">
        <f>IF($C794="B",INDEX(Batters[[#All],[INT]],MATCH(Table5[[#This Row],[PID]],Batters[[#All],[PID]],0)),INDEX(Table3[[#All],[INT]],MATCH(Table5[[#This Row],[PID]],Table3[[#All],[PID]],0)))</f>
        <v>Normal</v>
      </c>
      <c r="L794" s="62">
        <f>IF($C794="B",INDEX(Batters[[#All],[CON P]],MATCH(Table5[[#This Row],[PID]],Batters[[#All],[PID]],0)),INDEX(Table3[[#All],[STU P]],MATCH(Table5[[#This Row],[PID]],Table3[[#All],[PID]],0)))</f>
        <v>5</v>
      </c>
      <c r="M794" s="58">
        <f>IF($C794="B",INDEX(Batters[[#All],[GAP P]],MATCH(Table5[[#This Row],[PID]],Batters[[#All],[PID]],0)),INDEX(Table3[[#All],[MOV P]],MATCH(Table5[[#This Row],[PID]],Table3[[#All],[PID]],0)))</f>
        <v>2</v>
      </c>
      <c r="N794" s="58">
        <f>IF($C794="B",INDEX(Batters[[#All],[POW P]],MATCH(Table5[[#This Row],[PID]],Batters[[#All],[PID]],0)),INDEX(Table3[[#All],[CON P]],MATCH(Table5[[#This Row],[PID]],Table3[[#All],[PID]],0)))</f>
        <v>1</v>
      </c>
      <c r="O794" s="58" t="str">
        <f>IF($C794="B",INDEX(Batters[[#All],[EYE P]],MATCH(Table5[[#This Row],[PID]],Batters[[#All],[PID]],0)),INDEX(Table3[[#All],[VELO]],MATCH(Table5[[#This Row],[PID]],Table3[[#All],[PID]],0)))</f>
        <v>92-94 Mph</v>
      </c>
      <c r="P794" s="58">
        <f>IF($C794="B",INDEX(Batters[[#All],[K P]],MATCH(Table5[[#This Row],[PID]],Batters[[#All],[PID]],0)),INDEX(Table3[[#All],[STM]],MATCH(Table5[[#This Row],[PID]],Table3[[#All],[PID]],0)))</f>
        <v>8</v>
      </c>
      <c r="Q794" s="63">
        <f>IF($C794="B",INDEX(Batters[[#All],[Tot]],MATCH(Table5[[#This Row],[PID]],Batters[[#All],[PID]],0)),INDEX(Table3[[#All],[Tot]],MATCH(Table5[[#This Row],[PID]],Table3[[#All],[PID]],0)))</f>
        <v>25.851878305318785</v>
      </c>
      <c r="R794" s="54">
        <f>IF($C794="B",INDEX(Batters[[#All],[zScore]],MATCH(Table5[[#This Row],[PID]],Batters[[#All],[PID]],0)),INDEX(Table3[[#All],[zScore]],MATCH(Table5[[#This Row],[PID]],Table3[[#All],[PID]],0)))</f>
        <v>-0.63004252730911992</v>
      </c>
      <c r="S794" s="60" t="str">
        <f>IF($C794="B",INDEX(Batters[[#All],[DEM]],MATCH(Table5[[#This Row],[PID]],Batters[[#All],[PID]],0)),INDEX(Table3[[#All],[DEM]],MATCH(Table5[[#This Row],[PID]],Table3[[#All],[PID]],0)))</f>
        <v>-</v>
      </c>
      <c r="T794" s="64">
        <f>IF($C794="B",VLOOKUP($A794,Bat!$A$4:$AU$1417,46,FALSE),VLOOKUP($A794,Pit!$A$4:$BD$570,55,FALSE))</f>
        <v>0</v>
      </c>
      <c r="U794" s="52">
        <f>IF($C794="B",VLOOKUP($A794,Bat!$A$4:$BA$1417,47,FALSE),VLOOKUP($A794,Pit!$A$4:$BF$570,56,FALSE))</f>
        <v>0</v>
      </c>
      <c r="V794" s="52">
        <f>IF($C794="B",VLOOKUP($A794,Bat!$A$4:$BA$1417,48,FALSE),VLOOKUP($A794,Pit!$A$4:$BF$570,57,FALSE))</f>
        <v>0</v>
      </c>
      <c r="W794" s="52">
        <f>Table5[[#This Row],[posRnk]]+Table5[[#This Row],[zRnk]]+IF($W$3&lt;&gt;Table5[[#This Row],[Type]],50,0)</f>
        <v>840</v>
      </c>
      <c r="X794" s="53">
        <f>RANK(Table5[[#This Row],[zScore]],Table5[[#All],[zScore]])</f>
        <v>790</v>
      </c>
      <c r="Y794" s="52" t="str">
        <f>IFERROR(INDEX(DraftResults[[#All],[OVR]],MATCH(Table5[[#This Row],[PID]],DraftResults[[#All],[Player ID]],0)),"")</f>
        <v/>
      </c>
      <c r="Z7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4" s="52" t="str">
        <f>IFERROR(INDEX(DraftResults[[#All],[Pick in Round]],MATCH(Table5[[#This Row],[PID]],DraftResults[[#All],[Player ID]],0)),"")</f>
        <v/>
      </c>
      <c r="AB794" s="52" t="str">
        <f>IFERROR(INDEX(DraftResults[[#All],[Team Name]],MATCH(Table5[[#This Row],[PID]],DraftResults[[#All],[Player ID]],0)),"")</f>
        <v/>
      </c>
      <c r="AC794" s="52" t="str">
        <f>IF(Table5[[#This Row],[Ovr]]="","",IF(Table5[[#This Row],[cmbList]]="","",Table5[[#This Row],[cmbList]]-Table5[[#This Row],[Ovr]]))</f>
        <v/>
      </c>
      <c r="AD794" s="56" t="str">
        <f>IF(ISERROR(VLOOKUP($AB794&amp;"-"&amp;$E794&amp;" "&amp;F794,Bonuses!$B$1:$G$1006,4,FALSE)),"",INT(VLOOKUP($AB794&amp;"-"&amp;$E794&amp;" "&amp;$F794,Bonuses!$B$1:$G$1006,4,FALSE)))</f>
        <v/>
      </c>
      <c r="AE7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5" spans="1:31" s="52" customFormat="1" x14ac:dyDescent="0.25">
      <c r="A795" s="52">
        <v>8218</v>
      </c>
      <c r="B795" s="52">
        <f>COUNTIF(Table5[PID],A795)</f>
        <v>1</v>
      </c>
      <c r="C795" s="52" t="str">
        <f>IF(COUNTIF(Table3[[#All],[PID]],A795)&gt;0,"P","B")</f>
        <v>P</v>
      </c>
      <c r="D795" s="61" t="str">
        <f>IF($C795="B",INDEX(Batters[[#All],[POS]],MATCH(Table5[[#This Row],[PID]],Batters[[#All],[PID]],0)),INDEX(Table3[[#All],[POS]],MATCH(Table5[[#This Row],[PID]],Table3[[#All],[PID]],0)))</f>
        <v>RP</v>
      </c>
      <c r="E795" s="54" t="str">
        <f>IF($C795="B",INDEX(Batters[[#All],[First]],MATCH(Table5[[#This Row],[PID]],Batters[[#All],[PID]],0)),INDEX(Table3[[#All],[First]],MATCH(Table5[[#This Row],[PID]],Table3[[#All],[PID]],0)))</f>
        <v>Dennis</v>
      </c>
      <c r="F795" s="52" t="str">
        <f>IF($C795="B",INDEX(Batters[[#All],[Last]],MATCH(A795,Batters[[#All],[PID]],0)),INDEX(Table3[[#All],[Last]],MATCH(A795,Table3[[#All],[PID]],0)))</f>
        <v>Lawson</v>
      </c>
      <c r="G795" s="58">
        <f>IF($C795="B",INDEX(Batters[[#All],[Age]],MATCH(Table5[[#This Row],[PID]],Batters[[#All],[PID]],0)),INDEX(Table3[[#All],[Age]],MATCH(Table5[[#This Row],[PID]],Table3[[#All],[PID]],0)))</f>
        <v>18</v>
      </c>
      <c r="H795" s="54" t="str">
        <f>IF($C795="B",INDEX(Batters[[#All],[B]],MATCH(Table5[[#This Row],[PID]],Batters[[#All],[PID]],0)),INDEX(Table3[[#All],[B]],MATCH(Table5[[#This Row],[PID]],Table3[[#All],[PID]],0)))</f>
        <v>L</v>
      </c>
      <c r="I795" s="54" t="str">
        <f>IF($C795="B",INDEX(Batters[[#All],[T]],MATCH(Table5[[#This Row],[PID]],Batters[[#All],[PID]],0)),INDEX(Table3[[#All],[T]],MATCH(Table5[[#This Row],[PID]],Table3[[#All],[PID]],0)))</f>
        <v>L</v>
      </c>
      <c r="J795" s="54" t="str">
        <f>IF($C795="B",INDEX(Batters[[#All],[WE]],MATCH(Table5[[#This Row],[PID]],Batters[[#All],[PID]],0)),INDEX(Table3[[#All],[WE]],MATCH(Table5[[#This Row],[PID]],Table3[[#All],[PID]],0)))</f>
        <v>Low</v>
      </c>
      <c r="K795" s="54" t="str">
        <f>IF($C795="B",INDEX(Batters[[#All],[INT]],MATCH(Table5[[#This Row],[PID]],Batters[[#All],[PID]],0)),INDEX(Table3[[#All],[INT]],MATCH(Table5[[#This Row],[PID]],Table3[[#All],[PID]],0)))</f>
        <v>Low</v>
      </c>
      <c r="L795" s="62">
        <f>IF($C795="B",INDEX(Batters[[#All],[CON P]],MATCH(Table5[[#This Row],[PID]],Batters[[#All],[PID]],0)),INDEX(Table3[[#All],[STU P]],MATCH(Table5[[#This Row],[PID]],Table3[[#All],[PID]],0)))</f>
        <v>3</v>
      </c>
      <c r="M795" s="58">
        <f>IF($C795="B",INDEX(Batters[[#All],[GAP P]],MATCH(Table5[[#This Row],[PID]],Batters[[#All],[PID]],0)),INDEX(Table3[[#All],[MOV P]],MATCH(Table5[[#This Row],[PID]],Table3[[#All],[PID]],0)))</f>
        <v>2</v>
      </c>
      <c r="N795" s="58">
        <f>IF($C795="B",INDEX(Batters[[#All],[POW P]],MATCH(Table5[[#This Row],[PID]],Batters[[#All],[PID]],0)),INDEX(Table3[[#All],[CON P]],MATCH(Table5[[#This Row],[PID]],Table3[[#All],[PID]],0)))</f>
        <v>2</v>
      </c>
      <c r="O795" s="58" t="str">
        <f>IF($C795="B",INDEX(Batters[[#All],[EYE P]],MATCH(Table5[[#This Row],[PID]],Batters[[#All],[PID]],0)),INDEX(Table3[[#All],[VELO]],MATCH(Table5[[#This Row],[PID]],Table3[[#All],[PID]],0)))</f>
        <v>87-89 Mph</v>
      </c>
      <c r="P795" s="58">
        <f>IF($C795="B",INDEX(Batters[[#All],[K P]],MATCH(Table5[[#This Row],[PID]],Batters[[#All],[PID]],0)),INDEX(Table3[[#All],[STM]],MATCH(Table5[[#This Row],[PID]],Table3[[#All],[PID]],0)))</f>
        <v>1</v>
      </c>
      <c r="Q795" s="63">
        <f>IF($C795="B",INDEX(Batters[[#All],[Tot]],MATCH(Table5[[#This Row],[PID]],Batters[[#All],[PID]],0)),INDEX(Table3[[#All],[Tot]],MATCH(Table5[[#This Row],[PID]],Table3[[#All],[PID]],0)))</f>
        <v>23.200613462075612</v>
      </c>
      <c r="R795" s="54">
        <f>IF($C795="B",INDEX(Batters[[#All],[zScore]],MATCH(Table5[[#This Row],[PID]],Batters[[#All],[PID]],0)),INDEX(Table3[[#All],[zScore]],MATCH(Table5[[#This Row],[PID]],Table3[[#All],[PID]],0)))</f>
        <v>-0.63055620614925345</v>
      </c>
      <c r="S795" s="60" t="str">
        <f>IF($C795="B",INDEX(Batters[[#All],[DEM]],MATCH(Table5[[#This Row],[PID]],Batters[[#All],[PID]],0)),INDEX(Table3[[#All],[DEM]],MATCH(Table5[[#This Row],[PID]],Table3[[#All],[PID]],0)))</f>
        <v>$65k</v>
      </c>
      <c r="T795" s="64">
        <f>IF($C795="B",VLOOKUP($A795,Bat!$A$4:$AU$1417,46,FALSE),VLOOKUP($A795,Pit!$A$4:$BD$570,55,FALSE))</f>
        <v>0</v>
      </c>
      <c r="U795" s="52">
        <f>IF($C795="B",VLOOKUP($A795,Bat!$A$4:$BA$1417,47,FALSE),VLOOKUP($A795,Pit!$A$4:$BF$570,56,FALSE))</f>
        <v>0</v>
      </c>
      <c r="V795" s="52">
        <f>IF($C795="B",VLOOKUP($A795,Bat!$A$4:$BA$1417,48,FALSE),VLOOKUP($A795,Pit!$A$4:$BF$570,57,FALSE))</f>
        <v>0</v>
      </c>
      <c r="W795" s="52">
        <f>Table5[[#This Row],[posRnk]]+Table5[[#This Row],[zRnk]]+IF($W$3&lt;&gt;Table5[[#This Row],[Type]],50,0)</f>
        <v>841</v>
      </c>
      <c r="X795" s="53">
        <f>RANK(Table5[[#This Row],[zScore]],Table5[[#All],[zScore]])</f>
        <v>791</v>
      </c>
      <c r="Y795" s="52" t="str">
        <f>IFERROR(INDEX(DraftResults[[#All],[OVR]],MATCH(Table5[[#This Row],[PID]],DraftResults[[#All],[Player ID]],0)),"")</f>
        <v/>
      </c>
      <c r="Z7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5" s="52" t="str">
        <f>IFERROR(INDEX(DraftResults[[#All],[Pick in Round]],MATCH(Table5[[#This Row],[PID]],DraftResults[[#All],[Player ID]],0)),"")</f>
        <v/>
      </c>
      <c r="AB795" s="52" t="str">
        <f>IFERROR(INDEX(DraftResults[[#All],[Team Name]],MATCH(Table5[[#This Row],[PID]],DraftResults[[#All],[Player ID]],0)),"")</f>
        <v/>
      </c>
      <c r="AC795" s="52" t="str">
        <f>IF(Table5[[#This Row],[Ovr]]="","",IF(Table5[[#This Row],[cmbList]]="","",Table5[[#This Row],[cmbList]]-Table5[[#This Row],[Ovr]]))</f>
        <v/>
      </c>
      <c r="AD795" s="56" t="str">
        <f>IF(ISERROR(VLOOKUP($AB795&amp;"-"&amp;$E795&amp;" "&amp;F795,Bonuses!$B$1:$G$1006,4,FALSE)),"",INT(VLOOKUP($AB795&amp;"-"&amp;$E795&amp;" "&amp;$F795,Bonuses!$B$1:$G$1006,4,FALSE)))</f>
        <v/>
      </c>
      <c r="AE7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6" spans="1:31" s="52" customFormat="1" x14ac:dyDescent="0.25">
      <c r="A796" s="52">
        <v>5168</v>
      </c>
      <c r="B796" s="52">
        <f>COUNTIF(Table5[PID],A796)</f>
        <v>1</v>
      </c>
      <c r="C796" s="52" t="str">
        <f>IF(COUNTIF(Table3[[#All],[PID]],A796)&gt;0,"P","B")</f>
        <v>P</v>
      </c>
      <c r="D796" s="61" t="str">
        <f>IF($C796="B",INDEX(Batters[[#All],[POS]],MATCH(Table5[[#This Row],[PID]],Batters[[#All],[PID]],0)),INDEX(Table3[[#All],[POS]],MATCH(Table5[[#This Row],[PID]],Table3[[#All],[PID]],0)))</f>
        <v>RP</v>
      </c>
      <c r="E796" s="54" t="str">
        <f>IF($C796="B",INDEX(Batters[[#All],[First]],MATCH(Table5[[#This Row],[PID]],Batters[[#All],[PID]],0)),INDEX(Table3[[#All],[First]],MATCH(Table5[[#This Row],[PID]],Table3[[#All],[PID]],0)))</f>
        <v>James</v>
      </c>
      <c r="F796" s="52" t="str">
        <f>IF($C796="B",INDEX(Batters[[#All],[Last]],MATCH(A796,Batters[[#All],[PID]],0)),INDEX(Table3[[#All],[Last]],MATCH(A796,Table3[[#All],[PID]],0)))</f>
        <v>Cook</v>
      </c>
      <c r="G796" s="58">
        <f>IF($C796="B",INDEX(Batters[[#All],[Age]],MATCH(Table5[[#This Row],[PID]],Batters[[#All],[PID]],0)),INDEX(Table3[[#All],[Age]],MATCH(Table5[[#This Row],[PID]],Table3[[#All],[PID]],0)))</f>
        <v>18</v>
      </c>
      <c r="H796" s="54" t="str">
        <f>IF($C796="B",INDEX(Batters[[#All],[B]],MATCH(Table5[[#This Row],[PID]],Batters[[#All],[PID]],0)),INDEX(Table3[[#All],[B]],MATCH(Table5[[#This Row],[PID]],Table3[[#All],[PID]],0)))</f>
        <v>R</v>
      </c>
      <c r="I796" s="54" t="str">
        <f>IF($C796="B",INDEX(Batters[[#All],[T]],MATCH(Table5[[#This Row],[PID]],Batters[[#All],[PID]],0)),INDEX(Table3[[#All],[T]],MATCH(Table5[[#This Row],[PID]],Table3[[#All],[PID]],0)))</f>
        <v>R</v>
      </c>
      <c r="J796" s="54" t="str">
        <f>IF($C796="B",INDEX(Batters[[#All],[WE]],MATCH(Table5[[#This Row],[PID]],Batters[[#All],[PID]],0)),INDEX(Table3[[#All],[WE]],MATCH(Table5[[#This Row],[PID]],Table3[[#All],[PID]],0)))</f>
        <v>Normal</v>
      </c>
      <c r="K796" s="54" t="str">
        <f>IF($C796="B",INDEX(Batters[[#All],[INT]],MATCH(Table5[[#This Row],[PID]],Batters[[#All],[PID]],0)),INDEX(Table3[[#All],[INT]],MATCH(Table5[[#This Row],[PID]],Table3[[#All],[PID]],0)))</f>
        <v>High</v>
      </c>
      <c r="L796" s="62">
        <f>IF($C796="B",INDEX(Batters[[#All],[CON P]],MATCH(Table5[[#This Row],[PID]],Batters[[#All],[PID]],0)),INDEX(Table3[[#All],[STU P]],MATCH(Table5[[#This Row],[PID]],Table3[[#All],[PID]],0)))</f>
        <v>4</v>
      </c>
      <c r="M796" s="58">
        <f>IF($C796="B",INDEX(Batters[[#All],[GAP P]],MATCH(Table5[[#This Row],[PID]],Batters[[#All],[PID]],0)),INDEX(Table3[[#All],[MOV P]],MATCH(Table5[[#This Row],[PID]],Table3[[#All],[PID]],0)))</f>
        <v>1</v>
      </c>
      <c r="N796" s="58">
        <f>IF($C796="B",INDEX(Batters[[#All],[POW P]],MATCH(Table5[[#This Row],[PID]],Batters[[#All],[PID]],0)),INDEX(Table3[[#All],[CON P]],MATCH(Table5[[#This Row],[PID]],Table3[[#All],[PID]],0)))</f>
        <v>2</v>
      </c>
      <c r="O796" s="58" t="str">
        <f>IF($C796="B",INDEX(Batters[[#All],[EYE P]],MATCH(Table5[[#This Row],[PID]],Batters[[#All],[PID]],0)),INDEX(Table3[[#All],[VELO]],MATCH(Table5[[#This Row],[PID]],Table3[[#All],[PID]],0)))</f>
        <v>87-89 Mph</v>
      </c>
      <c r="P796" s="58">
        <f>IF($C796="B",INDEX(Batters[[#All],[K P]],MATCH(Table5[[#This Row],[PID]],Batters[[#All],[PID]],0)),INDEX(Table3[[#All],[STM]],MATCH(Table5[[#This Row],[PID]],Table3[[#All],[PID]],0)))</f>
        <v>6</v>
      </c>
      <c r="Q796" s="63">
        <f>IF($C796="B",INDEX(Batters[[#All],[Tot]],MATCH(Table5[[#This Row],[PID]],Batters[[#All],[PID]],0)),INDEX(Table3[[#All],[Tot]],MATCH(Table5[[#This Row],[PID]],Table3[[#All],[PID]],0)))</f>
        <v>25.846109094442852</v>
      </c>
      <c r="R796" s="54">
        <f>IF($C796="B",INDEX(Batters[[#All],[zScore]],MATCH(Table5[[#This Row],[PID]],Batters[[#All],[PID]],0)),INDEX(Table3[[#All],[zScore]],MATCH(Table5[[#This Row],[PID]],Table3[[#All],[PID]],0)))</f>
        <v>-0.63057158860456841</v>
      </c>
      <c r="S796" s="60" t="str">
        <f>IF($C796="B",INDEX(Batters[[#All],[DEM]],MATCH(Table5[[#This Row],[PID]],Batters[[#All],[PID]],0)),INDEX(Table3[[#All],[DEM]],MATCH(Table5[[#This Row],[PID]],Table3[[#All],[PID]],0)))</f>
        <v>$65k</v>
      </c>
      <c r="T796" s="64">
        <f>IF($C796="B",VLOOKUP($A796,Bat!$A$4:$AU$1417,46,FALSE),VLOOKUP($A796,Pit!$A$4:$BD$570,55,FALSE))</f>
        <v>0</v>
      </c>
      <c r="U796" s="52">
        <f>IF($C796="B",VLOOKUP($A796,Bat!$A$4:$BA$1417,47,FALSE),VLOOKUP($A796,Pit!$A$4:$BF$570,56,FALSE))</f>
        <v>0</v>
      </c>
      <c r="V796" s="52">
        <f>IF($C796="B",VLOOKUP($A796,Bat!$A$4:$BA$1417,48,FALSE),VLOOKUP($A796,Pit!$A$4:$BF$570,57,FALSE))</f>
        <v>0</v>
      </c>
      <c r="W796" s="52">
        <f>Table5[[#This Row],[posRnk]]+Table5[[#This Row],[zRnk]]+IF($W$3&lt;&gt;Table5[[#This Row],[Type]],50,0)</f>
        <v>842</v>
      </c>
      <c r="X796" s="53">
        <f>RANK(Table5[[#This Row],[zScore]],Table5[[#All],[zScore]])</f>
        <v>792</v>
      </c>
      <c r="Y796" s="52" t="str">
        <f>IFERROR(INDEX(DraftResults[[#All],[OVR]],MATCH(Table5[[#This Row],[PID]],DraftResults[[#All],[Player ID]],0)),"")</f>
        <v/>
      </c>
      <c r="Z7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6" s="52" t="str">
        <f>IFERROR(INDEX(DraftResults[[#All],[Pick in Round]],MATCH(Table5[[#This Row],[PID]],DraftResults[[#All],[Player ID]],0)),"")</f>
        <v/>
      </c>
      <c r="AB796" s="52" t="str">
        <f>IFERROR(INDEX(DraftResults[[#All],[Team Name]],MATCH(Table5[[#This Row],[PID]],DraftResults[[#All],[Player ID]],0)),"")</f>
        <v/>
      </c>
      <c r="AC796" s="52" t="str">
        <f>IF(Table5[[#This Row],[Ovr]]="","",IF(Table5[[#This Row],[cmbList]]="","",Table5[[#This Row],[cmbList]]-Table5[[#This Row],[Ovr]]))</f>
        <v/>
      </c>
      <c r="AD796" s="56" t="str">
        <f>IF(ISERROR(VLOOKUP($AB796&amp;"-"&amp;$E796&amp;" "&amp;F796,Bonuses!$B$1:$G$1006,4,FALSE)),"",INT(VLOOKUP($AB796&amp;"-"&amp;$E796&amp;" "&amp;$F796,Bonuses!$B$1:$G$1006,4,FALSE)))</f>
        <v/>
      </c>
      <c r="AE7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7" spans="1:31" s="52" customFormat="1" x14ac:dyDescent="0.25">
      <c r="A797" s="52">
        <v>8370</v>
      </c>
      <c r="B797" s="52">
        <f>COUNTIF(Table5[PID],A797)</f>
        <v>1</v>
      </c>
      <c r="C797" s="52" t="str">
        <f>IF(COUNTIF(Table3[[#All],[PID]],A797)&gt;0,"P","B")</f>
        <v>P</v>
      </c>
      <c r="D797" s="61" t="str">
        <f>IF($C797="B",INDEX(Batters[[#All],[POS]],MATCH(Table5[[#This Row],[PID]],Batters[[#All],[PID]],0)),INDEX(Table3[[#All],[POS]],MATCH(Table5[[#This Row],[PID]],Table3[[#All],[PID]],0)))</f>
        <v>RP</v>
      </c>
      <c r="E797" s="54" t="str">
        <f>IF($C797="B",INDEX(Batters[[#All],[First]],MATCH(Table5[[#This Row],[PID]],Batters[[#All],[PID]],0)),INDEX(Table3[[#All],[First]],MATCH(Table5[[#This Row],[PID]],Table3[[#All],[PID]],0)))</f>
        <v>Bryan</v>
      </c>
      <c r="F797" s="52" t="str">
        <f>IF($C797="B",INDEX(Batters[[#All],[Last]],MATCH(A797,Batters[[#All],[PID]],0)),INDEX(Table3[[#All],[Last]],MATCH(A797,Table3[[#All],[PID]],0)))</f>
        <v>Lovell</v>
      </c>
      <c r="G797" s="58">
        <f>IF($C797="B",INDEX(Batters[[#All],[Age]],MATCH(Table5[[#This Row],[PID]],Batters[[#All],[PID]],0)),INDEX(Table3[[#All],[Age]],MATCH(Table5[[#This Row],[PID]],Table3[[#All],[PID]],0)))</f>
        <v>18</v>
      </c>
      <c r="H797" s="54" t="str">
        <f>IF($C797="B",INDEX(Batters[[#All],[B]],MATCH(Table5[[#This Row],[PID]],Batters[[#All],[PID]],0)),INDEX(Table3[[#All],[B]],MATCH(Table5[[#This Row],[PID]],Table3[[#All],[PID]],0)))</f>
        <v>R</v>
      </c>
      <c r="I797" s="54" t="str">
        <f>IF($C797="B",INDEX(Batters[[#All],[T]],MATCH(Table5[[#This Row],[PID]],Batters[[#All],[PID]],0)),INDEX(Table3[[#All],[T]],MATCH(Table5[[#This Row],[PID]],Table3[[#All],[PID]],0)))</f>
        <v>R</v>
      </c>
      <c r="J797" s="54" t="str">
        <f>IF($C797="B",INDEX(Batters[[#All],[WE]],MATCH(Table5[[#This Row],[PID]],Batters[[#All],[PID]],0)),INDEX(Table3[[#All],[WE]],MATCH(Table5[[#This Row],[PID]],Table3[[#All],[PID]],0)))</f>
        <v>High</v>
      </c>
      <c r="K797" s="54" t="str">
        <f>IF($C797="B",INDEX(Batters[[#All],[INT]],MATCH(Table5[[#This Row],[PID]],Batters[[#All],[PID]],0)),INDEX(Table3[[#All],[INT]],MATCH(Table5[[#This Row],[PID]],Table3[[#All],[PID]],0)))</f>
        <v>High</v>
      </c>
      <c r="L797" s="62">
        <f>IF($C797="B",INDEX(Batters[[#All],[CON P]],MATCH(Table5[[#This Row],[PID]],Batters[[#All],[PID]],0)),INDEX(Table3[[#All],[STU P]],MATCH(Table5[[#This Row],[PID]],Table3[[#All],[PID]],0)))</f>
        <v>4</v>
      </c>
      <c r="M797" s="58">
        <f>IF($C797="B",INDEX(Batters[[#All],[GAP P]],MATCH(Table5[[#This Row],[PID]],Batters[[#All],[PID]],0)),INDEX(Table3[[#All],[MOV P]],MATCH(Table5[[#This Row],[PID]],Table3[[#All],[PID]],0)))</f>
        <v>2</v>
      </c>
      <c r="N797" s="58">
        <f>IF($C797="B",INDEX(Batters[[#All],[POW P]],MATCH(Table5[[#This Row],[PID]],Batters[[#All],[PID]],0)),INDEX(Table3[[#All],[CON P]],MATCH(Table5[[#This Row],[PID]],Table3[[#All],[PID]],0)))</f>
        <v>2</v>
      </c>
      <c r="O797" s="58" t="str">
        <f>IF($C797="B",INDEX(Batters[[#All],[EYE P]],MATCH(Table5[[#This Row],[PID]],Batters[[#All],[PID]],0)),INDEX(Table3[[#All],[VELO]],MATCH(Table5[[#This Row],[PID]],Table3[[#All],[PID]],0)))</f>
        <v>84-86 Mph</v>
      </c>
      <c r="P797" s="58">
        <f>IF($C797="B",INDEX(Batters[[#All],[K P]],MATCH(Table5[[#This Row],[PID]],Batters[[#All],[PID]],0)),INDEX(Table3[[#All],[STM]],MATCH(Table5[[#This Row],[PID]],Table3[[#All],[PID]],0)))</f>
        <v>2</v>
      </c>
      <c r="Q797" s="63">
        <f>IF($C797="B",INDEX(Batters[[#All],[Tot]],MATCH(Table5[[#This Row],[PID]],Batters[[#All],[PID]],0)),INDEX(Table3[[#All],[Tot]],MATCH(Table5[[#This Row],[PID]],Table3[[#All],[PID]],0)))</f>
        <v>25.841023764974913</v>
      </c>
      <c r="R797" s="54">
        <f>IF($C797="B",INDEX(Batters[[#All],[zScore]],MATCH(Table5[[#This Row],[PID]],Batters[[#All],[PID]],0)),INDEX(Table3[[#All],[zScore]],MATCH(Table5[[#This Row],[PID]],Table3[[#All],[PID]],0)))</f>
        <v>-0.6310379350519334</v>
      </c>
      <c r="S797" s="60" t="str">
        <f>IF($C797="B",INDEX(Batters[[#All],[DEM]],MATCH(Table5[[#This Row],[PID]],Batters[[#All],[PID]],0)),INDEX(Table3[[#All],[DEM]],MATCH(Table5[[#This Row],[PID]],Table3[[#All],[PID]],0)))</f>
        <v>$70k</v>
      </c>
      <c r="T797" s="64">
        <f>IF($C797="B",VLOOKUP($A797,Bat!$A$4:$AU$1417,46,FALSE),VLOOKUP($A797,Pit!$A$4:$BD$570,55,FALSE))</f>
        <v>0</v>
      </c>
      <c r="U797" s="52">
        <f>IF($C797="B",VLOOKUP($A797,Bat!$A$4:$BA$1417,47,FALSE),VLOOKUP($A797,Pit!$A$4:$BF$570,56,FALSE))</f>
        <v>0</v>
      </c>
      <c r="V797" s="52">
        <f>IF($C797="B",VLOOKUP($A797,Bat!$A$4:$BA$1417,48,FALSE),VLOOKUP($A797,Pit!$A$4:$BF$570,57,FALSE))</f>
        <v>0</v>
      </c>
      <c r="W797" s="52">
        <f>Table5[[#This Row],[posRnk]]+Table5[[#This Row],[zRnk]]+IF($W$3&lt;&gt;Table5[[#This Row],[Type]],50,0)</f>
        <v>843</v>
      </c>
      <c r="X797" s="53">
        <f>RANK(Table5[[#This Row],[zScore]],Table5[[#All],[zScore]])</f>
        <v>793</v>
      </c>
      <c r="Y797" s="52" t="str">
        <f>IFERROR(INDEX(DraftResults[[#All],[OVR]],MATCH(Table5[[#This Row],[PID]],DraftResults[[#All],[Player ID]],0)),"")</f>
        <v/>
      </c>
      <c r="Z7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7" s="52" t="str">
        <f>IFERROR(INDEX(DraftResults[[#All],[Pick in Round]],MATCH(Table5[[#This Row],[PID]],DraftResults[[#All],[Player ID]],0)),"")</f>
        <v/>
      </c>
      <c r="AB797" s="52" t="str">
        <f>IFERROR(INDEX(DraftResults[[#All],[Team Name]],MATCH(Table5[[#This Row],[PID]],DraftResults[[#All],[Player ID]],0)),"")</f>
        <v/>
      </c>
      <c r="AC797" s="52" t="str">
        <f>IF(Table5[[#This Row],[Ovr]]="","",IF(Table5[[#This Row],[cmbList]]="","",Table5[[#This Row],[cmbList]]-Table5[[#This Row],[Ovr]]))</f>
        <v/>
      </c>
      <c r="AD797" s="56" t="str">
        <f>IF(ISERROR(VLOOKUP($AB797&amp;"-"&amp;$E797&amp;" "&amp;F797,Bonuses!$B$1:$G$1006,4,FALSE)),"",INT(VLOOKUP($AB797&amp;"-"&amp;$E797&amp;" "&amp;$F797,Bonuses!$B$1:$G$1006,4,FALSE)))</f>
        <v/>
      </c>
      <c r="AE7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8" spans="1:31" s="52" customFormat="1" x14ac:dyDescent="0.25">
      <c r="A798" s="52">
        <v>5866</v>
      </c>
      <c r="B798" s="52">
        <f>COUNTIF(Table5[PID],A798)</f>
        <v>1</v>
      </c>
      <c r="C798" s="52" t="str">
        <f>IF(COUNTIF(Table3[[#All],[PID]],A798)&gt;0,"P","B")</f>
        <v>B</v>
      </c>
      <c r="D798" s="61" t="str">
        <f>IF($C798="B",INDEX(Batters[[#All],[POS]],MATCH(Table5[[#This Row],[PID]],Batters[[#All],[PID]],0)),INDEX(Table3[[#All],[POS]],MATCH(Table5[[#This Row],[PID]],Table3[[#All],[PID]],0)))</f>
        <v>LF</v>
      </c>
      <c r="E798" s="54" t="str">
        <f>IF($C798="B",INDEX(Batters[[#All],[First]],MATCH(Table5[[#This Row],[PID]],Batters[[#All],[PID]],0)),INDEX(Table3[[#All],[First]],MATCH(Table5[[#This Row],[PID]],Table3[[#All],[PID]],0)))</f>
        <v>Jack</v>
      </c>
      <c r="F798" s="52" t="str">
        <f>IF($C798="B",INDEX(Batters[[#All],[Last]],MATCH(A798,Batters[[#All],[PID]],0)),INDEX(Table3[[#All],[Last]],MATCH(A798,Table3[[#All],[PID]],0)))</f>
        <v>Dunston</v>
      </c>
      <c r="G798" s="58">
        <f>IF($C798="B",INDEX(Batters[[#All],[Age]],MATCH(Table5[[#This Row],[PID]],Batters[[#All],[PID]],0)),INDEX(Table3[[#All],[Age]],MATCH(Table5[[#This Row],[PID]],Table3[[#All],[PID]],0)))</f>
        <v>18</v>
      </c>
      <c r="H798" s="54" t="str">
        <f>IF($C798="B",INDEX(Batters[[#All],[B]],MATCH(Table5[[#This Row],[PID]],Batters[[#All],[PID]],0)),INDEX(Table3[[#All],[B]],MATCH(Table5[[#This Row],[PID]],Table3[[#All],[PID]],0)))</f>
        <v>R</v>
      </c>
      <c r="I798" s="54" t="str">
        <f>IF($C798="B",INDEX(Batters[[#All],[T]],MATCH(Table5[[#This Row],[PID]],Batters[[#All],[PID]],0)),INDEX(Table3[[#All],[T]],MATCH(Table5[[#This Row],[PID]],Table3[[#All],[PID]],0)))</f>
        <v>R</v>
      </c>
      <c r="J798" s="54" t="str">
        <f>IF($C798="B",INDEX(Batters[[#All],[WE]],MATCH(Table5[[#This Row],[PID]],Batters[[#All],[PID]],0)),INDEX(Table3[[#All],[WE]],MATCH(Table5[[#This Row],[PID]],Table3[[#All],[PID]],0)))</f>
        <v>High</v>
      </c>
      <c r="K798" s="54" t="str">
        <f>IF($C798="B",INDEX(Batters[[#All],[INT]],MATCH(Table5[[#This Row],[PID]],Batters[[#All],[PID]],0)),INDEX(Table3[[#All],[INT]],MATCH(Table5[[#This Row],[PID]],Table3[[#All],[PID]],0)))</f>
        <v>Normal</v>
      </c>
      <c r="L798" s="62">
        <f>IF($C798="B",INDEX(Batters[[#All],[CON P]],MATCH(Table5[[#This Row],[PID]],Batters[[#All],[PID]],0)),INDEX(Table3[[#All],[STU P]],MATCH(Table5[[#This Row],[PID]],Table3[[#All],[PID]],0)))</f>
        <v>2</v>
      </c>
      <c r="M798" s="58">
        <f>IF($C798="B",INDEX(Batters[[#All],[GAP P]],MATCH(Table5[[#This Row],[PID]],Batters[[#All],[PID]],0)),INDEX(Table3[[#All],[MOV P]],MATCH(Table5[[#This Row],[PID]],Table3[[#All],[PID]],0)))</f>
        <v>2</v>
      </c>
      <c r="N798" s="58">
        <f>IF($C798="B",INDEX(Batters[[#All],[POW P]],MATCH(Table5[[#This Row],[PID]],Batters[[#All],[PID]],0)),INDEX(Table3[[#All],[CON P]],MATCH(Table5[[#This Row],[PID]],Table3[[#All],[PID]],0)))</f>
        <v>3</v>
      </c>
      <c r="O798" s="58">
        <f>IF($C798="B",INDEX(Batters[[#All],[EYE P]],MATCH(Table5[[#This Row],[PID]],Batters[[#All],[PID]],0)),INDEX(Table3[[#All],[VELO]],MATCH(Table5[[#This Row],[PID]],Table3[[#All],[PID]],0)))</f>
        <v>4</v>
      </c>
      <c r="P798" s="58">
        <f>IF($C798="B",INDEX(Batters[[#All],[K P]],MATCH(Table5[[#This Row],[PID]],Batters[[#All],[PID]],0)),INDEX(Table3[[#All],[STM]],MATCH(Table5[[#This Row],[PID]],Table3[[#All],[PID]],0)))</f>
        <v>4</v>
      </c>
      <c r="Q798" s="63">
        <f>IF($C798="B",INDEX(Batters[[#All],[Tot]],MATCH(Table5[[#This Row],[PID]],Batters[[#All],[PID]],0)),INDEX(Table3[[#All],[Tot]],MATCH(Table5[[#This Row],[PID]],Table3[[#All],[PID]],0)))</f>
        <v>36.751414763345529</v>
      </c>
      <c r="R798" s="54">
        <f>IF($C798="B",INDEX(Batters[[#All],[zScore]],MATCH(Table5[[#This Row],[PID]],Batters[[#All],[PID]],0)),INDEX(Table3[[#All],[zScore]],MATCH(Table5[[#This Row],[PID]],Table3[[#All],[PID]],0)))</f>
        <v>-0.63283878941782312</v>
      </c>
      <c r="S798" s="60" t="str">
        <f>IF($C798="B",INDEX(Batters[[#All],[DEM]],MATCH(Table5[[#This Row],[PID]],Batters[[#All],[PID]],0)),INDEX(Table3[[#All],[DEM]],MATCH(Table5[[#This Row],[PID]],Table3[[#All],[PID]],0)))</f>
        <v>$75k</v>
      </c>
      <c r="T798" s="64">
        <f>IF($C798="B",VLOOKUP($A798,Bat!$A$4:$AU$1417,46,FALSE),VLOOKUP($A798,Pit!$A$4:$BD$570,55,FALSE))</f>
        <v>0</v>
      </c>
      <c r="U798" s="52">
        <f>IF($C798="B",VLOOKUP($A798,Bat!$A$4:$BA$1417,47,FALSE),VLOOKUP($A798,Pit!$A$4:$BF$570,56,FALSE))</f>
        <v>0</v>
      </c>
      <c r="V798" s="52">
        <f>IF($C798="B",VLOOKUP($A798,Bat!$A$4:$BA$1417,48,FALSE),VLOOKUP($A798,Pit!$A$4:$BF$570,57,FALSE))</f>
        <v>0</v>
      </c>
      <c r="W798" s="52">
        <f>Table5[[#This Row],[posRnk]]+Table5[[#This Row],[zRnk]]+IF($W$3&lt;&gt;Table5[[#This Row],[Type]],50,0)</f>
        <v>844</v>
      </c>
      <c r="X798" s="53">
        <f>RANK(Table5[[#This Row],[zScore]],Table5[[#All],[zScore]])</f>
        <v>794</v>
      </c>
      <c r="Y798" s="52" t="str">
        <f>IFERROR(INDEX(DraftResults[[#All],[OVR]],MATCH(Table5[[#This Row],[PID]],DraftResults[[#All],[Player ID]],0)),"")</f>
        <v/>
      </c>
      <c r="Z7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8" s="52" t="str">
        <f>IFERROR(INDEX(DraftResults[[#All],[Pick in Round]],MATCH(Table5[[#This Row],[PID]],DraftResults[[#All],[Player ID]],0)),"")</f>
        <v/>
      </c>
      <c r="AB798" s="52" t="str">
        <f>IFERROR(INDEX(DraftResults[[#All],[Team Name]],MATCH(Table5[[#This Row],[PID]],DraftResults[[#All],[Player ID]],0)),"")</f>
        <v/>
      </c>
      <c r="AC798" s="52" t="str">
        <f>IF(Table5[[#This Row],[Ovr]]="","",IF(Table5[[#This Row],[cmbList]]="","",Table5[[#This Row],[cmbList]]-Table5[[#This Row],[Ovr]]))</f>
        <v/>
      </c>
      <c r="AD798" s="56" t="str">
        <f>IF(ISERROR(VLOOKUP($AB798&amp;"-"&amp;$E798&amp;" "&amp;F798,Bonuses!$B$1:$G$1006,4,FALSE)),"",INT(VLOOKUP($AB798&amp;"-"&amp;$E798&amp;" "&amp;$F798,Bonuses!$B$1:$G$1006,4,FALSE)))</f>
        <v/>
      </c>
      <c r="AE7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9" spans="1:31" s="52" customFormat="1" x14ac:dyDescent="0.25">
      <c r="A799" s="52">
        <v>2732</v>
      </c>
      <c r="B799" s="52">
        <f>COUNTIF(Table5[PID],A799)</f>
        <v>1</v>
      </c>
      <c r="C799" s="52" t="str">
        <f>IF(COUNTIF(Table3[[#All],[PID]],A799)&gt;0,"P","B")</f>
        <v>P</v>
      </c>
      <c r="D799" s="61" t="str">
        <f>IF($C799="B",INDEX(Batters[[#All],[POS]],MATCH(Table5[[#This Row],[PID]],Batters[[#All],[PID]],0)),INDEX(Table3[[#All],[POS]],MATCH(Table5[[#This Row],[PID]],Table3[[#All],[PID]],0)))</f>
        <v>RP</v>
      </c>
      <c r="E799" s="54" t="str">
        <f>IF($C799="B",INDEX(Batters[[#All],[First]],MATCH(Table5[[#This Row],[PID]],Batters[[#All],[PID]],0)),INDEX(Table3[[#All],[First]],MATCH(Table5[[#This Row],[PID]],Table3[[#All],[PID]],0)))</f>
        <v>Minoru</v>
      </c>
      <c r="F799" s="52" t="str">
        <f>IF($C799="B",INDEX(Batters[[#All],[Last]],MATCH(A799,Batters[[#All],[PID]],0)),INDEX(Table3[[#All],[Last]],MATCH(A799,Table3[[#All],[PID]],0)))</f>
        <v>Kono</v>
      </c>
      <c r="G799" s="58">
        <f>IF($C799="B",INDEX(Batters[[#All],[Age]],MATCH(Table5[[#This Row],[PID]],Batters[[#All],[PID]],0)),INDEX(Table3[[#All],[Age]],MATCH(Table5[[#This Row],[PID]],Table3[[#All],[PID]],0)))</f>
        <v>20</v>
      </c>
      <c r="H799" s="54" t="str">
        <f>IF($C799="B",INDEX(Batters[[#All],[B]],MATCH(Table5[[#This Row],[PID]],Batters[[#All],[PID]],0)),INDEX(Table3[[#All],[B]],MATCH(Table5[[#This Row],[PID]],Table3[[#All],[PID]],0)))</f>
        <v>L</v>
      </c>
      <c r="I799" s="54" t="str">
        <f>IF($C799="B",INDEX(Batters[[#All],[T]],MATCH(Table5[[#This Row],[PID]],Batters[[#All],[PID]],0)),INDEX(Table3[[#All],[T]],MATCH(Table5[[#This Row],[PID]],Table3[[#All],[PID]],0)))</f>
        <v>L</v>
      </c>
      <c r="J799" s="54" t="str">
        <f>IF($C799="B",INDEX(Batters[[#All],[WE]],MATCH(Table5[[#This Row],[PID]],Batters[[#All],[PID]],0)),INDEX(Table3[[#All],[WE]],MATCH(Table5[[#This Row],[PID]],Table3[[#All],[PID]],0)))</f>
        <v>Normal</v>
      </c>
      <c r="K799" s="54" t="str">
        <f>IF($C799="B",INDEX(Batters[[#All],[INT]],MATCH(Table5[[#This Row],[PID]],Batters[[#All],[PID]],0)),INDEX(Table3[[#All],[INT]],MATCH(Table5[[#This Row],[PID]],Table3[[#All],[PID]],0)))</f>
        <v>Normal</v>
      </c>
      <c r="L799" s="62">
        <f>IF($C799="B",INDEX(Batters[[#All],[CON P]],MATCH(Table5[[#This Row],[PID]],Batters[[#All],[PID]],0)),INDEX(Table3[[#All],[STU P]],MATCH(Table5[[#This Row],[PID]],Table3[[#All],[PID]],0)))</f>
        <v>5</v>
      </c>
      <c r="M799" s="58">
        <f>IF($C799="B",INDEX(Batters[[#All],[GAP P]],MATCH(Table5[[#This Row],[PID]],Batters[[#All],[PID]],0)),INDEX(Table3[[#All],[MOV P]],MATCH(Table5[[#This Row],[PID]],Table3[[#All],[PID]],0)))</f>
        <v>1</v>
      </c>
      <c r="N799" s="58">
        <f>IF($C799="B",INDEX(Batters[[#All],[POW P]],MATCH(Table5[[#This Row],[PID]],Batters[[#All],[PID]],0)),INDEX(Table3[[#All],[CON P]],MATCH(Table5[[#This Row],[PID]],Table3[[#All],[PID]],0)))</f>
        <v>2</v>
      </c>
      <c r="O799" s="58" t="str">
        <f>IF($C799="B",INDEX(Batters[[#All],[EYE P]],MATCH(Table5[[#This Row],[PID]],Batters[[#All],[PID]],0)),INDEX(Table3[[#All],[VELO]],MATCH(Table5[[#This Row],[PID]],Table3[[#All],[PID]],0)))</f>
        <v>88-90 Mph</v>
      </c>
      <c r="P799" s="58">
        <f>IF($C799="B",INDEX(Batters[[#All],[K P]],MATCH(Table5[[#This Row],[PID]],Batters[[#All],[PID]],0)),INDEX(Table3[[#All],[STM]],MATCH(Table5[[#This Row],[PID]],Table3[[#All],[PID]],0)))</f>
        <v>7</v>
      </c>
      <c r="Q799" s="63">
        <f>IF($C799="B",INDEX(Batters[[#All],[Tot]],MATCH(Table5[[#This Row],[PID]],Batters[[#All],[PID]],0)),INDEX(Table3[[#All],[Tot]],MATCH(Table5[[#This Row],[PID]],Table3[[#All],[PID]],0)))</f>
        <v>25.761630689612041</v>
      </c>
      <c r="R799" s="54">
        <f>IF($C799="B",INDEX(Batters[[#All],[zScore]],MATCH(Table5[[#This Row],[PID]],Batters[[#All],[PID]],0)),INDEX(Table3[[#All],[zScore]],MATCH(Table5[[#This Row],[PID]],Table3[[#All],[PID]],0)))</f>
        <v>-0.63831861939584467</v>
      </c>
      <c r="S799" s="60" t="str">
        <f>IF($C799="B",INDEX(Batters[[#All],[DEM]],MATCH(Table5[[#This Row],[PID]],Batters[[#All],[PID]],0)),INDEX(Table3[[#All],[DEM]],MATCH(Table5[[#This Row],[PID]],Table3[[#All],[PID]],0)))</f>
        <v>-</v>
      </c>
      <c r="T799" s="64">
        <f>IF($C799="B",VLOOKUP($A799,Bat!$A$4:$AU$1417,46,FALSE),VLOOKUP($A799,Pit!$A$4:$BD$570,55,FALSE))</f>
        <v>0</v>
      </c>
      <c r="U799" s="52">
        <f>IF($C799="B",VLOOKUP($A799,Bat!$A$4:$BA$1417,47,FALSE),VLOOKUP($A799,Pit!$A$4:$BF$570,56,FALSE))</f>
        <v>0</v>
      </c>
      <c r="V799" s="52">
        <f>IF($C799="B",VLOOKUP($A799,Bat!$A$4:$BA$1417,48,FALSE),VLOOKUP($A799,Pit!$A$4:$BF$570,57,FALSE))</f>
        <v>0</v>
      </c>
      <c r="W799" s="52">
        <f>Table5[[#This Row],[posRnk]]+Table5[[#This Row],[zRnk]]+IF($W$3&lt;&gt;Table5[[#This Row],[Type]],50,0)</f>
        <v>845</v>
      </c>
      <c r="X799" s="53">
        <f>RANK(Table5[[#This Row],[zScore]],Table5[[#All],[zScore]])</f>
        <v>795</v>
      </c>
      <c r="Y799" s="52" t="str">
        <f>IFERROR(INDEX(DraftResults[[#All],[OVR]],MATCH(Table5[[#This Row],[PID]],DraftResults[[#All],[Player ID]],0)),"")</f>
        <v/>
      </c>
      <c r="Z7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9" s="52" t="str">
        <f>IFERROR(INDEX(DraftResults[[#All],[Pick in Round]],MATCH(Table5[[#This Row],[PID]],DraftResults[[#All],[Player ID]],0)),"")</f>
        <v/>
      </c>
      <c r="AB799" s="52" t="str">
        <f>IFERROR(INDEX(DraftResults[[#All],[Team Name]],MATCH(Table5[[#This Row],[PID]],DraftResults[[#All],[Player ID]],0)),"")</f>
        <v/>
      </c>
      <c r="AC799" s="52" t="str">
        <f>IF(Table5[[#This Row],[Ovr]]="","",IF(Table5[[#This Row],[cmbList]]="","",Table5[[#This Row],[cmbList]]-Table5[[#This Row],[Ovr]]))</f>
        <v/>
      </c>
      <c r="AD799" s="56" t="str">
        <f>IF(ISERROR(VLOOKUP($AB799&amp;"-"&amp;$E799&amp;" "&amp;F799,Bonuses!$B$1:$G$1006,4,FALSE)),"",INT(VLOOKUP($AB799&amp;"-"&amp;$E799&amp;" "&amp;$F799,Bonuses!$B$1:$G$1006,4,FALSE)))</f>
        <v/>
      </c>
      <c r="AE7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0" spans="1:31" s="52" customFormat="1" x14ac:dyDescent="0.25">
      <c r="A800" s="52">
        <v>6275</v>
      </c>
      <c r="B800" s="52">
        <f>COUNTIF(Table5[PID],A800)</f>
        <v>1</v>
      </c>
      <c r="C800" s="52" t="str">
        <f>IF(COUNTIF(Table3[[#All],[PID]],A800)&gt;0,"P","B")</f>
        <v>B</v>
      </c>
      <c r="D800" s="61" t="str">
        <f>IF($C800="B",INDEX(Batters[[#All],[POS]],MATCH(Table5[[#This Row],[PID]],Batters[[#All],[PID]],0)),INDEX(Table3[[#All],[POS]],MATCH(Table5[[#This Row],[PID]],Table3[[#All],[PID]],0)))</f>
        <v>C</v>
      </c>
      <c r="E800" s="54" t="str">
        <f>IF($C800="B",INDEX(Batters[[#All],[First]],MATCH(Table5[[#This Row],[PID]],Batters[[#All],[PID]],0)),INDEX(Table3[[#All],[First]],MATCH(Table5[[#This Row],[PID]],Table3[[#All],[PID]],0)))</f>
        <v>Juan</v>
      </c>
      <c r="F800" s="52" t="str">
        <f>IF($C800="B",INDEX(Batters[[#All],[Last]],MATCH(A800,Batters[[#All],[PID]],0)),INDEX(Table3[[#All],[Last]],MATCH(A800,Table3[[#All],[PID]],0)))</f>
        <v>Escobar</v>
      </c>
      <c r="G800" s="58">
        <f>IF($C800="B",INDEX(Batters[[#All],[Age]],MATCH(Table5[[#This Row],[PID]],Batters[[#All],[PID]],0)),INDEX(Table3[[#All],[Age]],MATCH(Table5[[#This Row],[PID]],Table3[[#All],[PID]],0)))</f>
        <v>21</v>
      </c>
      <c r="H800" s="54" t="str">
        <f>IF($C800="B",INDEX(Batters[[#All],[B]],MATCH(Table5[[#This Row],[PID]],Batters[[#All],[PID]],0)),INDEX(Table3[[#All],[B]],MATCH(Table5[[#This Row],[PID]],Table3[[#All],[PID]],0)))</f>
        <v>L</v>
      </c>
      <c r="I800" s="54" t="str">
        <f>IF($C800="B",INDEX(Batters[[#All],[T]],MATCH(Table5[[#This Row],[PID]],Batters[[#All],[PID]],0)),INDEX(Table3[[#All],[T]],MATCH(Table5[[#This Row],[PID]],Table3[[#All],[PID]],0)))</f>
        <v>R</v>
      </c>
      <c r="J800" s="54" t="str">
        <f>IF($C800="B",INDEX(Batters[[#All],[WE]],MATCH(Table5[[#This Row],[PID]],Batters[[#All],[PID]],0)),INDEX(Table3[[#All],[WE]],MATCH(Table5[[#This Row],[PID]],Table3[[#All],[PID]],0)))</f>
        <v>High</v>
      </c>
      <c r="K800" s="54" t="str">
        <f>IF($C800="B",INDEX(Batters[[#All],[INT]],MATCH(Table5[[#This Row],[PID]],Batters[[#All],[PID]],0)),INDEX(Table3[[#All],[INT]],MATCH(Table5[[#This Row],[PID]],Table3[[#All],[PID]],0)))</f>
        <v>High</v>
      </c>
      <c r="L800" s="62">
        <f>IF($C800="B",INDEX(Batters[[#All],[CON P]],MATCH(Table5[[#This Row],[PID]],Batters[[#All],[PID]],0)),INDEX(Table3[[#All],[STU P]],MATCH(Table5[[#This Row],[PID]],Table3[[#All],[PID]],0)))</f>
        <v>3</v>
      </c>
      <c r="M800" s="58">
        <f>IF($C800="B",INDEX(Batters[[#All],[GAP P]],MATCH(Table5[[#This Row],[PID]],Batters[[#All],[PID]],0)),INDEX(Table3[[#All],[MOV P]],MATCH(Table5[[#This Row],[PID]],Table3[[#All],[PID]],0)))</f>
        <v>4</v>
      </c>
      <c r="N800" s="58">
        <f>IF($C800="B",INDEX(Batters[[#All],[POW P]],MATCH(Table5[[#This Row],[PID]],Batters[[#All],[PID]],0)),INDEX(Table3[[#All],[CON P]],MATCH(Table5[[#This Row],[PID]],Table3[[#All],[PID]],0)))</f>
        <v>3</v>
      </c>
      <c r="O800" s="58">
        <f>IF($C800="B",INDEX(Batters[[#All],[EYE P]],MATCH(Table5[[#This Row],[PID]],Batters[[#All],[PID]],0)),INDEX(Table3[[#All],[VELO]],MATCH(Table5[[#This Row],[PID]],Table3[[#All],[PID]],0)))</f>
        <v>4</v>
      </c>
      <c r="P800" s="58">
        <f>IF($C800="B",INDEX(Batters[[#All],[K P]],MATCH(Table5[[#This Row],[PID]],Batters[[#All],[PID]],0)),INDEX(Table3[[#All],[STM]],MATCH(Table5[[#This Row],[PID]],Table3[[#All],[PID]],0)))</f>
        <v>4</v>
      </c>
      <c r="Q800" s="63">
        <f>IF($C800="B",INDEX(Batters[[#All],[Tot]],MATCH(Table5[[#This Row],[PID]],Batters[[#All],[PID]],0)),INDEX(Table3[[#All],[Tot]],MATCH(Table5[[#This Row],[PID]],Table3[[#All],[PID]],0)))</f>
        <v>36.681189402524652</v>
      </c>
      <c r="R800" s="54">
        <f>IF($C800="B",INDEX(Batters[[#All],[zScore]],MATCH(Table5[[#This Row],[PID]],Batters[[#All],[PID]],0)),INDEX(Table3[[#All],[zScore]],MATCH(Table5[[#This Row],[PID]],Table3[[#All],[PID]],0)))</f>
        <v>-0.64519447491520376</v>
      </c>
      <c r="S800" s="60" t="str">
        <f>IF($C800="B",INDEX(Batters[[#All],[DEM]],MATCH(Table5[[#This Row],[PID]],Batters[[#All],[PID]],0)),INDEX(Table3[[#All],[DEM]],MATCH(Table5[[#This Row],[PID]],Table3[[#All],[PID]],0)))</f>
        <v>-</v>
      </c>
      <c r="T800" s="64">
        <f>IF($C800="B",VLOOKUP($A800,Bat!$A$4:$AU$1417,46,FALSE),VLOOKUP($A800,Pit!$A$4:$BD$570,55,FALSE))</f>
        <v>0</v>
      </c>
      <c r="U800" s="52">
        <f>IF($C800="B",VLOOKUP($A800,Bat!$A$4:$BA$1417,47,FALSE),VLOOKUP($A800,Pit!$A$4:$BF$570,56,FALSE))</f>
        <v>0</v>
      </c>
      <c r="V800" s="52">
        <f>IF($C800="B",VLOOKUP($A800,Bat!$A$4:$BA$1417,48,FALSE),VLOOKUP($A800,Pit!$A$4:$BF$570,57,FALSE))</f>
        <v>0</v>
      </c>
      <c r="W800" s="52">
        <f>Table5[[#This Row],[posRnk]]+Table5[[#This Row],[zRnk]]+IF($W$3&lt;&gt;Table5[[#This Row],[Type]],50,0)</f>
        <v>846</v>
      </c>
      <c r="X800" s="53">
        <f>RANK(Table5[[#This Row],[zScore]],Table5[[#All],[zScore]])</f>
        <v>796</v>
      </c>
      <c r="Y800" s="52" t="str">
        <f>IFERROR(INDEX(DraftResults[[#All],[OVR]],MATCH(Table5[[#This Row],[PID]],DraftResults[[#All],[Player ID]],0)),"")</f>
        <v/>
      </c>
      <c r="Z8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0" s="52" t="str">
        <f>IFERROR(INDEX(DraftResults[[#All],[Pick in Round]],MATCH(Table5[[#This Row],[PID]],DraftResults[[#All],[Player ID]],0)),"")</f>
        <v/>
      </c>
      <c r="AB800" s="52" t="str">
        <f>IFERROR(INDEX(DraftResults[[#All],[Team Name]],MATCH(Table5[[#This Row],[PID]],DraftResults[[#All],[Player ID]],0)),"")</f>
        <v/>
      </c>
      <c r="AC800" s="52" t="str">
        <f>IF(Table5[[#This Row],[Ovr]]="","",IF(Table5[[#This Row],[cmbList]]="","",Table5[[#This Row],[cmbList]]-Table5[[#This Row],[Ovr]]))</f>
        <v/>
      </c>
      <c r="AD800" s="56" t="str">
        <f>IF(ISERROR(VLOOKUP($AB800&amp;"-"&amp;$E800&amp;" "&amp;F800,Bonuses!$B$1:$G$1006,4,FALSE)),"",INT(VLOOKUP($AB800&amp;"-"&amp;$E800&amp;" "&amp;$F800,Bonuses!$B$1:$G$1006,4,FALSE)))</f>
        <v/>
      </c>
      <c r="AE8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1" spans="1:31" s="52" customFormat="1" x14ac:dyDescent="0.25">
      <c r="A801" s="52">
        <v>10494</v>
      </c>
      <c r="B801" s="52">
        <f>COUNTIF(Table5[PID],A801)</f>
        <v>1</v>
      </c>
      <c r="C801" s="52" t="str">
        <f>IF(COUNTIF(Table3[[#All],[PID]],A801)&gt;0,"P","B")</f>
        <v>B</v>
      </c>
      <c r="D801" s="61" t="str">
        <f>IF($C801="B",INDEX(Batters[[#All],[POS]],MATCH(Table5[[#This Row],[PID]],Batters[[#All],[PID]],0)),INDEX(Table3[[#All],[POS]],MATCH(Table5[[#This Row],[PID]],Table3[[#All],[PID]],0)))</f>
        <v>C</v>
      </c>
      <c r="E801" s="54" t="str">
        <f>IF($C801="B",INDEX(Batters[[#All],[First]],MATCH(Table5[[#This Row],[PID]],Batters[[#All],[PID]],0)),INDEX(Table3[[#All],[First]],MATCH(Table5[[#This Row],[PID]],Table3[[#All],[PID]],0)))</f>
        <v>Wei-liang</v>
      </c>
      <c r="F801" s="52" t="str">
        <f>IF($C801="B",INDEX(Batters[[#All],[Last]],MATCH(A801,Batters[[#All],[PID]],0)),INDEX(Table3[[#All],[Last]],MATCH(A801,Table3[[#All],[PID]],0)))</f>
        <v>Li</v>
      </c>
      <c r="G801" s="58">
        <f>IF($C801="B",INDEX(Batters[[#All],[Age]],MATCH(Table5[[#This Row],[PID]],Batters[[#All],[PID]],0)),INDEX(Table3[[#All],[Age]],MATCH(Table5[[#This Row],[PID]],Table3[[#All],[PID]],0)))</f>
        <v>21</v>
      </c>
      <c r="H801" s="54" t="str">
        <f>IF($C801="B",INDEX(Batters[[#All],[B]],MATCH(Table5[[#This Row],[PID]],Batters[[#All],[PID]],0)),INDEX(Table3[[#All],[B]],MATCH(Table5[[#This Row],[PID]],Table3[[#All],[PID]],0)))</f>
        <v>S</v>
      </c>
      <c r="I801" s="54" t="str">
        <f>IF($C801="B",INDEX(Batters[[#All],[T]],MATCH(Table5[[#This Row],[PID]],Batters[[#All],[PID]],0)),INDEX(Table3[[#All],[T]],MATCH(Table5[[#This Row],[PID]],Table3[[#All],[PID]],0)))</f>
        <v>R</v>
      </c>
      <c r="J801" s="54" t="str">
        <f>IF($C801="B",INDEX(Batters[[#All],[WE]],MATCH(Table5[[#This Row],[PID]],Batters[[#All],[PID]],0)),INDEX(Table3[[#All],[WE]],MATCH(Table5[[#This Row],[PID]],Table3[[#All],[PID]],0)))</f>
        <v>Normal</v>
      </c>
      <c r="K801" s="54" t="str">
        <f>IF($C801="B",INDEX(Batters[[#All],[INT]],MATCH(Table5[[#This Row],[PID]],Batters[[#All],[PID]],0)),INDEX(Table3[[#All],[INT]],MATCH(Table5[[#This Row],[PID]],Table3[[#All],[PID]],0)))</f>
        <v>Normal</v>
      </c>
      <c r="L801" s="62">
        <f>IF($C801="B",INDEX(Batters[[#All],[CON P]],MATCH(Table5[[#This Row],[PID]],Batters[[#All],[PID]],0)),INDEX(Table3[[#All],[STU P]],MATCH(Table5[[#This Row],[PID]],Table3[[#All],[PID]],0)))</f>
        <v>3</v>
      </c>
      <c r="M801" s="58">
        <f>IF($C801="B",INDEX(Batters[[#All],[GAP P]],MATCH(Table5[[#This Row],[PID]],Batters[[#All],[PID]],0)),INDEX(Table3[[#All],[MOV P]],MATCH(Table5[[#This Row],[PID]],Table3[[#All],[PID]],0)))</f>
        <v>4</v>
      </c>
      <c r="N801" s="58">
        <f>IF($C801="B",INDEX(Batters[[#All],[POW P]],MATCH(Table5[[#This Row],[PID]],Batters[[#All],[PID]],0)),INDEX(Table3[[#All],[CON P]],MATCH(Table5[[#This Row],[PID]],Table3[[#All],[PID]],0)))</f>
        <v>3</v>
      </c>
      <c r="O801" s="58">
        <f>IF($C801="B",INDEX(Batters[[#All],[EYE P]],MATCH(Table5[[#This Row],[PID]],Batters[[#All],[PID]],0)),INDEX(Table3[[#All],[VELO]],MATCH(Table5[[#This Row],[PID]],Table3[[#All],[PID]],0)))</f>
        <v>5</v>
      </c>
      <c r="P801" s="58">
        <f>IF($C801="B",INDEX(Batters[[#All],[K P]],MATCH(Table5[[#This Row],[PID]],Batters[[#All],[PID]],0)),INDEX(Table3[[#All],[STM]],MATCH(Table5[[#This Row],[PID]],Table3[[#All],[PID]],0)))</f>
        <v>3</v>
      </c>
      <c r="Q801" s="63">
        <f>IF($C801="B",INDEX(Batters[[#All],[Tot]],MATCH(Table5[[#This Row],[PID]],Batters[[#All],[PID]],0)),INDEX(Table3[[#All],[Tot]],MATCH(Table5[[#This Row],[PID]],Table3[[#All],[PID]],0)))</f>
        <v>36.677507924834622</v>
      </c>
      <c r="R801" s="54">
        <f>IF($C801="B",INDEX(Batters[[#All],[zScore]],MATCH(Table5[[#This Row],[PID]],Batters[[#All],[PID]],0)),INDEX(Table3[[#All],[zScore]],MATCH(Table5[[#This Row],[PID]],Table3[[#All],[PID]],0)))</f>
        <v>-0.64584220644654688</v>
      </c>
      <c r="S801" s="60" t="str">
        <f>IF($C801="B",INDEX(Batters[[#All],[DEM]],MATCH(Table5[[#This Row],[PID]],Batters[[#All],[PID]],0)),INDEX(Table3[[#All],[DEM]],MATCH(Table5[[#This Row],[PID]],Table3[[#All],[PID]],0)))</f>
        <v>-</v>
      </c>
      <c r="T801" s="64">
        <f>IF($C801="B",VLOOKUP($A801,Bat!$A$4:$AU$1417,46,FALSE),VLOOKUP($A801,Pit!$A$4:$BD$570,55,FALSE))</f>
        <v>0</v>
      </c>
      <c r="U801" s="52">
        <f>IF($C801="B",VLOOKUP($A801,Bat!$A$4:$BA$1417,47,FALSE),VLOOKUP($A801,Pit!$A$4:$BF$570,56,FALSE))</f>
        <v>0</v>
      </c>
      <c r="V801" s="52">
        <f>IF($C801="B",VLOOKUP($A801,Bat!$A$4:$BA$1417,48,FALSE),VLOOKUP($A801,Pit!$A$4:$BF$570,57,FALSE))</f>
        <v>0</v>
      </c>
      <c r="W801" s="52">
        <f>Table5[[#This Row],[posRnk]]+Table5[[#This Row],[zRnk]]+IF($W$3&lt;&gt;Table5[[#This Row],[Type]],50,0)</f>
        <v>847</v>
      </c>
      <c r="X801" s="53">
        <f>RANK(Table5[[#This Row],[zScore]],Table5[[#All],[zScore]])</f>
        <v>797</v>
      </c>
      <c r="Y801" s="52" t="str">
        <f>IFERROR(INDEX(DraftResults[[#All],[OVR]],MATCH(Table5[[#This Row],[PID]],DraftResults[[#All],[Player ID]],0)),"")</f>
        <v/>
      </c>
      <c r="Z8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1" s="52" t="str">
        <f>IFERROR(INDEX(DraftResults[[#All],[Pick in Round]],MATCH(Table5[[#This Row],[PID]],DraftResults[[#All],[Player ID]],0)),"")</f>
        <v/>
      </c>
      <c r="AB801" s="52" t="str">
        <f>IFERROR(INDEX(DraftResults[[#All],[Team Name]],MATCH(Table5[[#This Row],[PID]],DraftResults[[#All],[Player ID]],0)),"")</f>
        <v/>
      </c>
      <c r="AC801" s="52" t="str">
        <f>IF(Table5[[#This Row],[Ovr]]="","",IF(Table5[[#This Row],[cmbList]]="","",Table5[[#This Row],[cmbList]]-Table5[[#This Row],[Ovr]]))</f>
        <v/>
      </c>
      <c r="AD801" s="56" t="str">
        <f>IF(ISERROR(VLOOKUP($AB801&amp;"-"&amp;$E801&amp;" "&amp;F801,Bonuses!$B$1:$G$1006,4,FALSE)),"",INT(VLOOKUP($AB801&amp;"-"&amp;$E801&amp;" "&amp;$F801,Bonuses!$B$1:$G$1006,4,FALSE)))</f>
        <v/>
      </c>
      <c r="AE8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2" spans="1:31" s="52" customFormat="1" x14ac:dyDescent="0.25">
      <c r="A802" s="52">
        <v>8422</v>
      </c>
      <c r="B802" s="52">
        <f>COUNTIF(Table5[PID],A802)</f>
        <v>1</v>
      </c>
      <c r="C802" s="52" t="str">
        <f>IF(COUNTIF(Table3[[#All],[PID]],A802)&gt;0,"P","B")</f>
        <v>P</v>
      </c>
      <c r="D802" s="61" t="str">
        <f>IF($C802="B",INDEX(Batters[[#All],[POS]],MATCH(Table5[[#This Row],[PID]],Batters[[#All],[PID]],0)),INDEX(Table3[[#All],[POS]],MATCH(Table5[[#This Row],[PID]],Table3[[#All],[PID]],0)))</f>
        <v>RP</v>
      </c>
      <c r="E802" s="54" t="str">
        <f>IF($C802="B",INDEX(Batters[[#All],[First]],MATCH(Table5[[#This Row],[PID]],Batters[[#All],[PID]],0)),INDEX(Table3[[#All],[First]],MATCH(Table5[[#This Row],[PID]],Table3[[#All],[PID]],0)))</f>
        <v>António</v>
      </c>
      <c r="F802" s="52" t="str">
        <f>IF($C802="B",INDEX(Batters[[#All],[Last]],MATCH(A802,Batters[[#All],[PID]],0)),INDEX(Table3[[#All],[Last]],MATCH(A802,Table3[[#All],[PID]],0)))</f>
        <v>Barrón</v>
      </c>
      <c r="G802" s="58">
        <f>IF($C802="B",INDEX(Batters[[#All],[Age]],MATCH(Table5[[#This Row],[PID]],Batters[[#All],[PID]],0)),INDEX(Table3[[#All],[Age]],MATCH(Table5[[#This Row],[PID]],Table3[[#All],[PID]],0)))</f>
        <v>18</v>
      </c>
      <c r="H802" s="54" t="str">
        <f>IF($C802="B",INDEX(Batters[[#All],[B]],MATCH(Table5[[#This Row],[PID]],Batters[[#All],[PID]],0)),INDEX(Table3[[#All],[B]],MATCH(Table5[[#This Row],[PID]],Table3[[#All],[PID]],0)))</f>
        <v>R</v>
      </c>
      <c r="I802" s="54" t="str">
        <f>IF($C802="B",INDEX(Batters[[#All],[T]],MATCH(Table5[[#This Row],[PID]],Batters[[#All],[PID]],0)),INDEX(Table3[[#All],[T]],MATCH(Table5[[#This Row],[PID]],Table3[[#All],[PID]],0)))</f>
        <v>R</v>
      </c>
      <c r="J802" s="54" t="str">
        <f>IF($C802="B",INDEX(Batters[[#All],[WE]],MATCH(Table5[[#This Row],[PID]],Batters[[#All],[PID]],0)),INDEX(Table3[[#All],[WE]],MATCH(Table5[[#This Row],[PID]],Table3[[#All],[PID]],0)))</f>
        <v>High</v>
      </c>
      <c r="K802" s="54" t="str">
        <f>IF($C802="B",INDEX(Batters[[#All],[INT]],MATCH(Table5[[#This Row],[PID]],Batters[[#All],[PID]],0)),INDEX(Table3[[#All],[INT]],MATCH(Table5[[#This Row],[PID]],Table3[[#All],[PID]],0)))</f>
        <v>Normal</v>
      </c>
      <c r="L802" s="62">
        <f>IF($C802="B",INDEX(Batters[[#All],[CON P]],MATCH(Table5[[#This Row],[PID]],Batters[[#All],[PID]],0)),INDEX(Table3[[#All],[STU P]],MATCH(Table5[[#This Row],[PID]],Table3[[#All],[PID]],0)))</f>
        <v>4</v>
      </c>
      <c r="M802" s="58">
        <f>IF($C802="B",INDEX(Batters[[#All],[GAP P]],MATCH(Table5[[#This Row],[PID]],Batters[[#All],[PID]],0)),INDEX(Table3[[#All],[MOV P]],MATCH(Table5[[#This Row],[PID]],Table3[[#All],[PID]],0)))</f>
        <v>2</v>
      </c>
      <c r="N802" s="58">
        <f>IF($C802="B",INDEX(Batters[[#All],[POW P]],MATCH(Table5[[#This Row],[PID]],Batters[[#All],[PID]],0)),INDEX(Table3[[#All],[CON P]],MATCH(Table5[[#This Row],[PID]],Table3[[#All],[PID]],0)))</f>
        <v>1</v>
      </c>
      <c r="O802" s="58" t="str">
        <f>IF($C802="B",INDEX(Batters[[#All],[EYE P]],MATCH(Table5[[#This Row],[PID]],Batters[[#All],[PID]],0)),INDEX(Table3[[#All],[VELO]],MATCH(Table5[[#This Row],[PID]],Table3[[#All],[PID]],0)))</f>
        <v>86-88 Mph</v>
      </c>
      <c r="P802" s="58">
        <f>IF($C802="B",INDEX(Batters[[#All],[K P]],MATCH(Table5[[#This Row],[PID]],Batters[[#All],[PID]],0)),INDEX(Table3[[#All],[STM]],MATCH(Table5[[#This Row],[PID]],Table3[[#All],[PID]],0)))</f>
        <v>3</v>
      </c>
      <c r="Q802" s="63">
        <f>IF($C802="B",INDEX(Batters[[#All],[Tot]],MATCH(Table5[[#This Row],[PID]],Batters[[#All],[PID]],0)),INDEX(Table3[[#All],[Tot]],MATCH(Table5[[#This Row],[PID]],Table3[[#All],[PID]],0)))</f>
        <v>25.678999979085724</v>
      </c>
      <c r="R802" s="54">
        <f>IF($C802="B",INDEX(Batters[[#All],[zScore]],MATCH(Table5[[#This Row],[PID]],Batters[[#All],[PID]],0)),INDEX(Table3[[#All],[zScore]],MATCH(Table5[[#This Row],[PID]],Table3[[#All],[PID]],0)))</f>
        <v>-0.64589620872218734</v>
      </c>
      <c r="S802" s="60" t="str">
        <f>IF($C802="B",INDEX(Batters[[#All],[DEM]],MATCH(Table5[[#This Row],[PID]],Batters[[#All],[PID]],0)),INDEX(Table3[[#All],[DEM]],MATCH(Table5[[#This Row],[PID]],Table3[[#All],[PID]],0)))</f>
        <v>$65k</v>
      </c>
      <c r="T802" s="64">
        <f>IF($C802="B",VLOOKUP($A802,Bat!$A$4:$AU$1417,46,FALSE),VLOOKUP($A802,Pit!$A$4:$BD$570,55,FALSE))</f>
        <v>0</v>
      </c>
      <c r="U802" s="52">
        <f>IF($C802="B",VLOOKUP($A802,Bat!$A$4:$BA$1417,47,FALSE),VLOOKUP($A802,Pit!$A$4:$BF$570,56,FALSE))</f>
        <v>0</v>
      </c>
      <c r="V802" s="52">
        <f>IF($C802="B",VLOOKUP($A802,Bat!$A$4:$BA$1417,48,FALSE),VLOOKUP($A802,Pit!$A$4:$BF$570,57,FALSE))</f>
        <v>0</v>
      </c>
      <c r="W802" s="52">
        <f>Table5[[#This Row],[posRnk]]+Table5[[#This Row],[zRnk]]+IF($W$3&lt;&gt;Table5[[#This Row],[Type]],50,0)</f>
        <v>848</v>
      </c>
      <c r="X802" s="53">
        <f>RANK(Table5[[#This Row],[zScore]],Table5[[#All],[zScore]])</f>
        <v>798</v>
      </c>
      <c r="Y802" s="52" t="str">
        <f>IFERROR(INDEX(DraftResults[[#All],[OVR]],MATCH(Table5[[#This Row],[PID]],DraftResults[[#All],[Player ID]],0)),"")</f>
        <v/>
      </c>
      <c r="Z8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2" s="52" t="str">
        <f>IFERROR(INDEX(DraftResults[[#All],[Pick in Round]],MATCH(Table5[[#This Row],[PID]],DraftResults[[#All],[Player ID]],0)),"")</f>
        <v/>
      </c>
      <c r="AB802" s="52" t="str">
        <f>IFERROR(INDEX(DraftResults[[#All],[Team Name]],MATCH(Table5[[#This Row],[PID]],DraftResults[[#All],[Player ID]],0)),"")</f>
        <v/>
      </c>
      <c r="AC802" s="52" t="str">
        <f>IF(Table5[[#This Row],[Ovr]]="","",IF(Table5[[#This Row],[cmbList]]="","",Table5[[#This Row],[cmbList]]-Table5[[#This Row],[Ovr]]))</f>
        <v/>
      </c>
      <c r="AD802" s="56" t="str">
        <f>IF(ISERROR(VLOOKUP($AB802&amp;"-"&amp;$E802&amp;" "&amp;F802,Bonuses!$B$1:$G$1006,4,FALSE)),"",INT(VLOOKUP($AB802&amp;"-"&amp;$E802&amp;" "&amp;$F802,Bonuses!$B$1:$G$1006,4,FALSE)))</f>
        <v/>
      </c>
      <c r="AE8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3" spans="1:31" s="52" customFormat="1" x14ac:dyDescent="0.25">
      <c r="A803" s="52">
        <v>11051</v>
      </c>
      <c r="B803" s="52">
        <f>COUNTIF(Table5[PID],A803)</f>
        <v>1</v>
      </c>
      <c r="C803" s="52" t="str">
        <f>IF(COUNTIF(Table3[[#All],[PID]],A803)&gt;0,"P","B")</f>
        <v>P</v>
      </c>
      <c r="D803" s="61" t="str">
        <f>IF($C803="B",INDEX(Batters[[#All],[POS]],MATCH(Table5[[#This Row],[PID]],Batters[[#All],[PID]],0)),INDEX(Table3[[#All],[POS]],MATCH(Table5[[#This Row],[PID]],Table3[[#All],[PID]],0)))</f>
        <v>RP</v>
      </c>
      <c r="E803" s="54" t="str">
        <f>IF($C803="B",INDEX(Batters[[#All],[First]],MATCH(Table5[[#This Row],[PID]],Batters[[#All],[PID]],0)),INDEX(Table3[[#All],[First]],MATCH(Table5[[#This Row],[PID]],Table3[[#All],[PID]],0)))</f>
        <v>Kiyohisa</v>
      </c>
      <c r="F803" s="52" t="str">
        <f>IF($C803="B",INDEX(Batters[[#All],[Last]],MATCH(A803,Batters[[#All],[PID]],0)),INDEX(Table3[[#All],[Last]],MATCH(A803,Table3[[#All],[PID]],0)))</f>
        <v>Kawaguchi</v>
      </c>
      <c r="G803" s="58">
        <f>IF($C803="B",INDEX(Batters[[#All],[Age]],MATCH(Table5[[#This Row],[PID]],Batters[[#All],[PID]],0)),INDEX(Table3[[#All],[Age]],MATCH(Table5[[#This Row],[PID]],Table3[[#All],[PID]],0)))</f>
        <v>18</v>
      </c>
      <c r="H803" s="54" t="str">
        <f>IF($C803="B",INDEX(Batters[[#All],[B]],MATCH(Table5[[#This Row],[PID]],Batters[[#All],[PID]],0)),INDEX(Table3[[#All],[B]],MATCH(Table5[[#This Row],[PID]],Table3[[#All],[PID]],0)))</f>
        <v>R</v>
      </c>
      <c r="I803" s="54" t="str">
        <f>IF($C803="B",INDEX(Batters[[#All],[T]],MATCH(Table5[[#This Row],[PID]],Batters[[#All],[PID]],0)),INDEX(Table3[[#All],[T]],MATCH(Table5[[#This Row],[PID]],Table3[[#All],[PID]],0)))</f>
        <v>R</v>
      </c>
      <c r="J803" s="54" t="str">
        <f>IF($C803="B",INDEX(Batters[[#All],[WE]],MATCH(Table5[[#This Row],[PID]],Batters[[#All],[PID]],0)),INDEX(Table3[[#All],[WE]],MATCH(Table5[[#This Row],[PID]],Table3[[#All],[PID]],0)))</f>
        <v>Low</v>
      </c>
      <c r="K803" s="54" t="str">
        <f>IF($C803="B",INDEX(Batters[[#All],[INT]],MATCH(Table5[[#This Row],[PID]],Batters[[#All],[PID]],0)),INDEX(Table3[[#All],[INT]],MATCH(Table5[[#This Row],[PID]],Table3[[#All],[PID]],0)))</f>
        <v>Normal</v>
      </c>
      <c r="L803" s="62">
        <f>IF($C803="B",INDEX(Batters[[#All],[CON P]],MATCH(Table5[[#This Row],[PID]],Batters[[#All],[PID]],0)),INDEX(Table3[[#All],[STU P]],MATCH(Table5[[#This Row],[PID]],Table3[[#All],[PID]],0)))</f>
        <v>4</v>
      </c>
      <c r="M803" s="58">
        <f>IF($C803="B",INDEX(Batters[[#All],[GAP P]],MATCH(Table5[[#This Row],[PID]],Batters[[#All],[PID]],0)),INDEX(Table3[[#All],[MOV P]],MATCH(Table5[[#This Row],[PID]],Table3[[#All],[PID]],0)))</f>
        <v>1</v>
      </c>
      <c r="N803" s="58">
        <f>IF($C803="B",INDEX(Batters[[#All],[POW P]],MATCH(Table5[[#This Row],[PID]],Batters[[#All],[PID]],0)),INDEX(Table3[[#All],[CON P]],MATCH(Table5[[#This Row],[PID]],Table3[[#All],[PID]],0)))</f>
        <v>2</v>
      </c>
      <c r="O803" s="58" t="str">
        <f>IF($C803="B",INDEX(Batters[[#All],[EYE P]],MATCH(Table5[[#This Row],[PID]],Batters[[#All],[PID]],0)),INDEX(Table3[[#All],[VELO]],MATCH(Table5[[#This Row],[PID]],Table3[[#All],[PID]],0)))</f>
        <v>87-89 Mph</v>
      </c>
      <c r="P803" s="58">
        <f>IF($C803="B",INDEX(Batters[[#All],[K P]],MATCH(Table5[[#This Row],[PID]],Batters[[#All],[PID]],0)),INDEX(Table3[[#All],[STM]],MATCH(Table5[[#This Row],[PID]],Table3[[#All],[PID]],0)))</f>
        <v>2</v>
      </c>
      <c r="Q803" s="63">
        <f>IF($C803="B",INDEX(Batters[[#All],[Tot]],MATCH(Table5[[#This Row],[PID]],Batters[[#All],[PID]],0)),INDEX(Table3[[#All],[Tot]],MATCH(Table5[[#This Row],[PID]],Table3[[#All],[PID]],0)))</f>
        <v>25.674413989457136</v>
      </c>
      <c r="R803" s="54">
        <f>IF($C803="B",INDEX(Batters[[#All],[zScore]],MATCH(Table5[[#This Row],[PID]],Batters[[#All],[PID]],0)),INDEX(Table3[[#All],[zScore]],MATCH(Table5[[#This Row],[PID]],Table3[[#All],[PID]],0)))</f>
        <v>-0.64631676357206047</v>
      </c>
      <c r="S803" s="60" t="str">
        <f>IF($C803="B",INDEX(Batters[[#All],[DEM]],MATCH(Table5[[#This Row],[PID]],Batters[[#All],[PID]],0)),INDEX(Table3[[#All],[DEM]],MATCH(Table5[[#This Row],[PID]],Table3[[#All],[PID]],0)))</f>
        <v>$65k</v>
      </c>
      <c r="T803" s="64">
        <f>IF($C803="B",VLOOKUP($A803,Bat!$A$4:$AU$1417,46,FALSE),VLOOKUP($A803,Pit!$A$4:$BD$570,55,FALSE))</f>
        <v>0</v>
      </c>
      <c r="U803" s="52">
        <f>IF($C803="B",VLOOKUP($A803,Bat!$A$4:$BA$1417,47,FALSE),VLOOKUP($A803,Pit!$A$4:$BF$570,56,FALSE))</f>
        <v>0</v>
      </c>
      <c r="V803" s="52">
        <f>IF($C803="B",VLOOKUP($A803,Bat!$A$4:$BA$1417,48,FALSE),VLOOKUP($A803,Pit!$A$4:$BF$570,57,FALSE))</f>
        <v>0</v>
      </c>
      <c r="W803" s="52">
        <f>Table5[[#This Row],[posRnk]]+Table5[[#This Row],[zRnk]]+IF($W$3&lt;&gt;Table5[[#This Row],[Type]],50,0)</f>
        <v>849</v>
      </c>
      <c r="X803" s="53">
        <f>RANK(Table5[[#This Row],[zScore]],Table5[[#All],[zScore]])</f>
        <v>799</v>
      </c>
      <c r="Y803" s="52" t="str">
        <f>IFERROR(INDEX(DraftResults[[#All],[OVR]],MATCH(Table5[[#This Row],[PID]],DraftResults[[#All],[Player ID]],0)),"")</f>
        <v/>
      </c>
      <c r="Z8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3" s="52" t="str">
        <f>IFERROR(INDEX(DraftResults[[#All],[Pick in Round]],MATCH(Table5[[#This Row],[PID]],DraftResults[[#All],[Player ID]],0)),"")</f>
        <v/>
      </c>
      <c r="AB803" s="52" t="str">
        <f>IFERROR(INDEX(DraftResults[[#All],[Team Name]],MATCH(Table5[[#This Row],[PID]],DraftResults[[#All],[Player ID]],0)),"")</f>
        <v/>
      </c>
      <c r="AC803" s="52" t="str">
        <f>IF(Table5[[#This Row],[Ovr]]="","",IF(Table5[[#This Row],[cmbList]]="","",Table5[[#This Row],[cmbList]]-Table5[[#This Row],[Ovr]]))</f>
        <v/>
      </c>
      <c r="AD803" s="56" t="str">
        <f>IF(ISERROR(VLOOKUP($AB803&amp;"-"&amp;$E803&amp;" "&amp;F803,Bonuses!$B$1:$G$1006,4,FALSE)),"",INT(VLOOKUP($AB803&amp;"-"&amp;$E803&amp;" "&amp;$F803,Bonuses!$B$1:$G$1006,4,FALSE)))</f>
        <v/>
      </c>
      <c r="AE8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4" spans="1:31" s="52" customFormat="1" x14ac:dyDescent="0.25">
      <c r="A804" s="52">
        <v>13252</v>
      </c>
      <c r="B804" s="52">
        <f>COUNTIF(Table5[PID],A804)</f>
        <v>1</v>
      </c>
      <c r="C804" s="52" t="str">
        <f>IF(COUNTIF(Table3[[#All],[PID]],A804)&gt;0,"P","B")</f>
        <v>B</v>
      </c>
      <c r="D804" s="61" t="str">
        <f>IF($C804="B",INDEX(Batters[[#All],[POS]],MATCH(Table5[[#This Row],[PID]],Batters[[#All],[PID]],0)),INDEX(Table3[[#All],[POS]],MATCH(Table5[[#This Row],[PID]],Table3[[#All],[PID]],0)))</f>
        <v>1B</v>
      </c>
      <c r="E804" s="54" t="str">
        <f>IF($C804="B",INDEX(Batters[[#All],[First]],MATCH(Table5[[#This Row],[PID]],Batters[[#All],[PID]],0)),INDEX(Table3[[#All],[First]],MATCH(Table5[[#This Row],[PID]],Table3[[#All],[PID]],0)))</f>
        <v>Jack</v>
      </c>
      <c r="F804" s="52" t="str">
        <f>IF($C804="B",INDEX(Batters[[#All],[Last]],MATCH(A804,Batters[[#All],[PID]],0)),INDEX(Table3[[#All],[Last]],MATCH(A804,Table3[[#All],[PID]],0)))</f>
        <v>Conrad</v>
      </c>
      <c r="G804" s="58">
        <f>IF($C804="B",INDEX(Batters[[#All],[Age]],MATCH(Table5[[#This Row],[PID]],Batters[[#All],[PID]],0)),INDEX(Table3[[#All],[Age]],MATCH(Table5[[#This Row],[PID]],Table3[[#All],[PID]],0)))</f>
        <v>18</v>
      </c>
      <c r="H804" s="54" t="str">
        <f>IF($C804="B",INDEX(Batters[[#All],[B]],MATCH(Table5[[#This Row],[PID]],Batters[[#All],[PID]],0)),INDEX(Table3[[#All],[B]],MATCH(Table5[[#This Row],[PID]],Table3[[#All],[PID]],0)))</f>
        <v>R</v>
      </c>
      <c r="I804" s="54" t="str">
        <f>IF($C804="B",INDEX(Batters[[#All],[T]],MATCH(Table5[[#This Row],[PID]],Batters[[#All],[PID]],0)),INDEX(Table3[[#All],[T]],MATCH(Table5[[#This Row],[PID]],Table3[[#All],[PID]],0)))</f>
        <v>R</v>
      </c>
      <c r="J804" s="54" t="str">
        <f>IF($C804="B",INDEX(Batters[[#All],[WE]],MATCH(Table5[[#This Row],[PID]],Batters[[#All],[PID]],0)),INDEX(Table3[[#All],[WE]],MATCH(Table5[[#This Row],[PID]],Table3[[#All],[PID]],0)))</f>
        <v>Normal</v>
      </c>
      <c r="K804" s="54" t="str">
        <f>IF($C804="B",INDEX(Batters[[#All],[INT]],MATCH(Table5[[#This Row],[PID]],Batters[[#All],[PID]],0)),INDEX(Table3[[#All],[INT]],MATCH(Table5[[#This Row],[PID]],Table3[[#All],[PID]],0)))</f>
        <v>Normal</v>
      </c>
      <c r="L804" s="62">
        <f>IF($C804="B",INDEX(Batters[[#All],[CON P]],MATCH(Table5[[#This Row],[PID]],Batters[[#All],[PID]],0)),INDEX(Table3[[#All],[STU P]],MATCH(Table5[[#This Row],[PID]],Table3[[#All],[PID]],0)))</f>
        <v>2</v>
      </c>
      <c r="M804" s="58">
        <f>IF($C804="B",INDEX(Batters[[#All],[GAP P]],MATCH(Table5[[#This Row],[PID]],Batters[[#All],[PID]],0)),INDEX(Table3[[#All],[MOV P]],MATCH(Table5[[#This Row],[PID]],Table3[[#All],[PID]],0)))</f>
        <v>3</v>
      </c>
      <c r="N804" s="58">
        <f>IF($C804="B",INDEX(Batters[[#All],[POW P]],MATCH(Table5[[#This Row],[PID]],Batters[[#All],[PID]],0)),INDEX(Table3[[#All],[CON P]],MATCH(Table5[[#This Row],[PID]],Table3[[#All],[PID]],0)))</f>
        <v>3</v>
      </c>
      <c r="O804" s="58">
        <f>IF($C804="B",INDEX(Batters[[#All],[EYE P]],MATCH(Table5[[#This Row],[PID]],Batters[[#All],[PID]],0)),INDEX(Table3[[#All],[VELO]],MATCH(Table5[[#This Row],[PID]],Table3[[#All],[PID]],0)))</f>
        <v>5</v>
      </c>
      <c r="P804" s="58">
        <f>IF($C804="B",INDEX(Batters[[#All],[K P]],MATCH(Table5[[#This Row],[PID]],Batters[[#All],[PID]],0)),INDEX(Table3[[#All],[STM]],MATCH(Table5[[#This Row],[PID]],Table3[[#All],[PID]],0)))</f>
        <v>2</v>
      </c>
      <c r="Q804" s="63">
        <f>IF($C804="B",INDEX(Batters[[#All],[Tot]],MATCH(Table5[[#This Row],[PID]],Batters[[#All],[PID]],0)),INDEX(Table3[[#All],[Tot]],MATCH(Table5[[#This Row],[PID]],Table3[[#All],[PID]],0)))</f>
        <v>36.672560051609231</v>
      </c>
      <c r="R804" s="54">
        <f>IF($C804="B",INDEX(Batters[[#All],[zScore]],MATCH(Table5[[#This Row],[PID]],Batters[[#All],[PID]],0)),INDEX(Table3[[#All],[zScore]],MATCH(Table5[[#This Row],[PID]],Table3[[#All],[PID]],0)))</f>
        <v>-0.64671275185548782</v>
      </c>
      <c r="S804" s="60" t="str">
        <f>IF($C804="B",INDEX(Batters[[#All],[DEM]],MATCH(Table5[[#This Row],[PID]],Batters[[#All],[PID]],0)),INDEX(Table3[[#All],[DEM]],MATCH(Table5[[#This Row],[PID]],Table3[[#All],[PID]],0)))</f>
        <v>$65k</v>
      </c>
      <c r="T804" s="64">
        <f>IF($C804="B",VLOOKUP($A804,Bat!$A$4:$AU$1417,46,FALSE),VLOOKUP($A804,Pit!$A$4:$BD$570,55,FALSE))</f>
        <v>0</v>
      </c>
      <c r="U804" s="52">
        <f>IF($C804="B",VLOOKUP($A804,Bat!$A$4:$BA$1417,47,FALSE),VLOOKUP($A804,Pit!$A$4:$BF$570,56,FALSE))</f>
        <v>0</v>
      </c>
      <c r="V804" s="52">
        <f>IF($C804="B",VLOOKUP($A804,Bat!$A$4:$BA$1417,48,FALSE),VLOOKUP($A804,Pit!$A$4:$BF$570,57,FALSE))</f>
        <v>0</v>
      </c>
      <c r="W804" s="52">
        <f>Table5[[#This Row],[posRnk]]+Table5[[#This Row],[zRnk]]+IF($W$3&lt;&gt;Table5[[#This Row],[Type]],50,0)</f>
        <v>850</v>
      </c>
      <c r="X804" s="53">
        <f>RANK(Table5[[#This Row],[zScore]],Table5[[#All],[zScore]])</f>
        <v>800</v>
      </c>
      <c r="Y804" s="52" t="str">
        <f>IFERROR(INDEX(DraftResults[[#All],[OVR]],MATCH(Table5[[#This Row],[PID]],DraftResults[[#All],[Player ID]],0)),"")</f>
        <v/>
      </c>
      <c r="Z8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4" s="52" t="str">
        <f>IFERROR(INDEX(DraftResults[[#All],[Pick in Round]],MATCH(Table5[[#This Row],[PID]],DraftResults[[#All],[Player ID]],0)),"")</f>
        <v/>
      </c>
      <c r="AB804" s="52" t="str">
        <f>IFERROR(INDEX(DraftResults[[#All],[Team Name]],MATCH(Table5[[#This Row],[PID]],DraftResults[[#All],[Player ID]],0)),"")</f>
        <v/>
      </c>
      <c r="AC804" s="52" t="str">
        <f>IF(Table5[[#This Row],[Ovr]]="","",IF(Table5[[#This Row],[cmbList]]="","",Table5[[#This Row],[cmbList]]-Table5[[#This Row],[Ovr]]))</f>
        <v/>
      </c>
      <c r="AD804" s="56" t="str">
        <f>IF(ISERROR(VLOOKUP($AB804&amp;"-"&amp;$E804&amp;" "&amp;F804,Bonuses!$B$1:$G$1006,4,FALSE)),"",INT(VLOOKUP($AB804&amp;"-"&amp;$E804&amp;" "&amp;$F804,Bonuses!$B$1:$G$1006,4,FALSE)))</f>
        <v/>
      </c>
      <c r="AE8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5" spans="1:31" s="52" customFormat="1" x14ac:dyDescent="0.25">
      <c r="A805" s="52">
        <v>7215</v>
      </c>
      <c r="B805" s="52">
        <f>COUNTIF(Table5[PID],A805)</f>
        <v>1</v>
      </c>
      <c r="C805" s="52" t="str">
        <f>IF(COUNTIF(Table3[[#All],[PID]],A805)&gt;0,"P","B")</f>
        <v>P</v>
      </c>
      <c r="D805" s="61" t="str">
        <f>IF($C805="B",INDEX(Batters[[#All],[POS]],MATCH(Table5[[#This Row],[PID]],Batters[[#All],[PID]],0)),INDEX(Table3[[#All],[POS]],MATCH(Table5[[#This Row],[PID]],Table3[[#All],[PID]],0)))</f>
        <v>RP</v>
      </c>
      <c r="E805" s="54" t="str">
        <f>IF($C805="B",INDEX(Batters[[#All],[First]],MATCH(Table5[[#This Row],[PID]],Batters[[#All],[PID]],0)),INDEX(Table3[[#All],[First]],MATCH(Table5[[#This Row],[PID]],Table3[[#All],[PID]],0)))</f>
        <v>Tony</v>
      </c>
      <c r="F805" s="52" t="str">
        <f>IF($C805="B",INDEX(Batters[[#All],[Last]],MATCH(A805,Batters[[#All],[PID]],0)),INDEX(Table3[[#All],[Last]],MATCH(A805,Table3[[#All],[PID]],0)))</f>
        <v>Skinner</v>
      </c>
      <c r="G805" s="58">
        <f>IF($C805="B",INDEX(Batters[[#All],[Age]],MATCH(Table5[[#This Row],[PID]],Batters[[#All],[PID]],0)),INDEX(Table3[[#All],[Age]],MATCH(Table5[[#This Row],[PID]],Table3[[#All],[PID]],0)))</f>
        <v>22</v>
      </c>
      <c r="H805" s="54" t="str">
        <f>IF($C805="B",INDEX(Batters[[#All],[B]],MATCH(Table5[[#This Row],[PID]],Batters[[#All],[PID]],0)),INDEX(Table3[[#All],[B]],MATCH(Table5[[#This Row],[PID]],Table3[[#All],[PID]],0)))</f>
        <v>L</v>
      </c>
      <c r="I805" s="54" t="str">
        <f>IF($C805="B",INDEX(Batters[[#All],[T]],MATCH(Table5[[#This Row],[PID]],Batters[[#All],[PID]],0)),INDEX(Table3[[#All],[T]],MATCH(Table5[[#This Row],[PID]],Table3[[#All],[PID]],0)))</f>
        <v>R</v>
      </c>
      <c r="J805" s="54" t="str">
        <f>IF($C805="B",INDEX(Batters[[#All],[WE]],MATCH(Table5[[#This Row],[PID]],Batters[[#All],[PID]],0)),INDEX(Table3[[#All],[WE]],MATCH(Table5[[#This Row],[PID]],Table3[[#All],[PID]],0)))</f>
        <v>Normal</v>
      </c>
      <c r="K805" s="54" t="str">
        <f>IF($C805="B",INDEX(Batters[[#All],[INT]],MATCH(Table5[[#This Row],[PID]],Batters[[#All],[PID]],0)),INDEX(Table3[[#All],[INT]],MATCH(Table5[[#This Row],[PID]],Table3[[#All],[PID]],0)))</f>
        <v>High</v>
      </c>
      <c r="L805" s="62">
        <f>IF($C805="B",INDEX(Batters[[#All],[CON P]],MATCH(Table5[[#This Row],[PID]],Batters[[#All],[PID]],0)),INDEX(Table3[[#All],[STU P]],MATCH(Table5[[#This Row],[PID]],Table3[[#All],[PID]],0)))</f>
        <v>5</v>
      </c>
      <c r="M805" s="58">
        <f>IF($C805="B",INDEX(Batters[[#All],[GAP P]],MATCH(Table5[[#This Row],[PID]],Batters[[#All],[PID]],0)),INDEX(Table3[[#All],[MOV P]],MATCH(Table5[[#This Row],[PID]],Table3[[#All],[PID]],0)))</f>
        <v>1</v>
      </c>
      <c r="N805" s="58">
        <f>IF($C805="B",INDEX(Batters[[#All],[POW P]],MATCH(Table5[[#This Row],[PID]],Batters[[#All],[PID]],0)),INDEX(Table3[[#All],[CON P]],MATCH(Table5[[#This Row],[PID]],Table3[[#All],[PID]],0)))</f>
        <v>2</v>
      </c>
      <c r="O805" s="58" t="str">
        <f>IF($C805="B",INDEX(Batters[[#All],[EYE P]],MATCH(Table5[[#This Row],[PID]],Batters[[#All],[PID]],0)),INDEX(Table3[[#All],[VELO]],MATCH(Table5[[#This Row],[PID]],Table3[[#All],[PID]],0)))</f>
        <v>93-95 Mph</v>
      </c>
      <c r="P805" s="58">
        <f>IF($C805="B",INDEX(Batters[[#All],[K P]],MATCH(Table5[[#This Row],[PID]],Batters[[#All],[PID]],0)),INDEX(Table3[[#All],[STM]],MATCH(Table5[[#This Row],[PID]],Table3[[#All],[PID]],0)))</f>
        <v>7</v>
      </c>
      <c r="Q805" s="63">
        <f>IF($C805="B",INDEX(Batters[[#All],[Tot]],MATCH(Table5[[#This Row],[PID]],Batters[[#All],[PID]],0)),INDEX(Table3[[#All],[Tot]],MATCH(Table5[[#This Row],[PID]],Table3[[#All],[PID]],0)))</f>
        <v>25.660170615942199</v>
      </c>
      <c r="R805" s="54">
        <f>IF($C805="B",INDEX(Batters[[#All],[zScore]],MATCH(Table5[[#This Row],[PID]],Batters[[#All],[PID]],0)),INDEX(Table3[[#All],[zScore]],MATCH(Table5[[#This Row],[PID]],Table3[[#All],[PID]],0)))</f>
        <v>-0.64762294180083801</v>
      </c>
      <c r="S805" s="60" t="str">
        <f>IF($C805="B",INDEX(Batters[[#All],[DEM]],MATCH(Table5[[#This Row],[PID]],Batters[[#All],[PID]],0)),INDEX(Table3[[#All],[DEM]],MATCH(Table5[[#This Row],[PID]],Table3[[#All],[PID]],0)))</f>
        <v>-</v>
      </c>
      <c r="T805" s="64">
        <f>IF($C805="B",VLOOKUP($A805,Bat!$A$4:$AU$1417,46,FALSE),VLOOKUP($A805,Pit!$A$4:$BD$570,55,FALSE))</f>
        <v>0</v>
      </c>
      <c r="U805" s="52">
        <f>IF($C805="B",VLOOKUP($A805,Bat!$A$4:$BA$1417,47,FALSE),VLOOKUP($A805,Pit!$A$4:$BF$570,56,FALSE))</f>
        <v>0</v>
      </c>
      <c r="V805" s="52">
        <f>IF($C805="B",VLOOKUP($A805,Bat!$A$4:$BA$1417,48,FALSE),VLOOKUP($A805,Pit!$A$4:$BF$570,57,FALSE))</f>
        <v>0</v>
      </c>
      <c r="W805" s="52">
        <f>Table5[[#This Row],[posRnk]]+Table5[[#This Row],[zRnk]]+IF($W$3&lt;&gt;Table5[[#This Row],[Type]],50,0)</f>
        <v>851</v>
      </c>
      <c r="X805" s="53">
        <f>RANK(Table5[[#This Row],[zScore]],Table5[[#All],[zScore]])</f>
        <v>801</v>
      </c>
      <c r="Y805" s="52" t="str">
        <f>IFERROR(INDEX(DraftResults[[#All],[OVR]],MATCH(Table5[[#This Row],[PID]],DraftResults[[#All],[Player ID]],0)),"")</f>
        <v/>
      </c>
      <c r="Z8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5" s="52" t="str">
        <f>IFERROR(INDEX(DraftResults[[#All],[Pick in Round]],MATCH(Table5[[#This Row],[PID]],DraftResults[[#All],[Player ID]],0)),"")</f>
        <v/>
      </c>
      <c r="AB805" s="52" t="str">
        <f>IFERROR(INDEX(DraftResults[[#All],[Team Name]],MATCH(Table5[[#This Row],[PID]],DraftResults[[#All],[Player ID]],0)),"")</f>
        <v/>
      </c>
      <c r="AC805" s="52" t="str">
        <f>IF(Table5[[#This Row],[Ovr]]="","",IF(Table5[[#This Row],[cmbList]]="","",Table5[[#This Row],[cmbList]]-Table5[[#This Row],[Ovr]]))</f>
        <v/>
      </c>
      <c r="AD805" s="56" t="str">
        <f>IF(ISERROR(VLOOKUP($AB805&amp;"-"&amp;$E805&amp;" "&amp;F805,Bonuses!$B$1:$G$1006,4,FALSE)),"",INT(VLOOKUP($AB805&amp;"-"&amp;$E805&amp;" "&amp;$F805,Bonuses!$B$1:$G$1006,4,FALSE)))</f>
        <v/>
      </c>
      <c r="AE8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6" spans="1:31" s="52" customFormat="1" x14ac:dyDescent="0.25">
      <c r="A806" s="52">
        <v>5894</v>
      </c>
      <c r="B806" s="52">
        <f>COUNTIF(Table5[PID],A806)</f>
        <v>1</v>
      </c>
      <c r="C806" s="52" t="str">
        <f>IF(COUNTIF(Table3[[#All],[PID]],A806)&gt;0,"P","B")</f>
        <v>P</v>
      </c>
      <c r="D806" s="61" t="str">
        <f>IF($C806="B",INDEX(Batters[[#All],[POS]],MATCH(Table5[[#This Row],[PID]],Batters[[#All],[PID]],0)),INDEX(Table3[[#All],[POS]],MATCH(Table5[[#This Row],[PID]],Table3[[#All],[PID]],0)))</f>
        <v>RP</v>
      </c>
      <c r="E806" s="54" t="str">
        <f>IF($C806="B",INDEX(Batters[[#All],[First]],MATCH(Table5[[#This Row],[PID]],Batters[[#All],[PID]],0)),INDEX(Table3[[#All],[First]],MATCH(Table5[[#This Row],[PID]],Table3[[#All],[PID]],0)))</f>
        <v>Lloyd</v>
      </c>
      <c r="F806" s="52" t="str">
        <f>IF($C806="B",INDEX(Batters[[#All],[Last]],MATCH(A806,Batters[[#All],[PID]],0)),INDEX(Table3[[#All],[Last]],MATCH(A806,Table3[[#All],[PID]],0)))</f>
        <v>Berry</v>
      </c>
      <c r="G806" s="58">
        <f>IF($C806="B",INDEX(Batters[[#All],[Age]],MATCH(Table5[[#This Row],[PID]],Batters[[#All],[PID]],0)),INDEX(Table3[[#All],[Age]],MATCH(Table5[[#This Row],[PID]],Table3[[#All],[PID]],0)))</f>
        <v>18</v>
      </c>
      <c r="H806" s="54" t="str">
        <f>IF($C806="B",INDEX(Batters[[#All],[B]],MATCH(Table5[[#This Row],[PID]],Batters[[#All],[PID]],0)),INDEX(Table3[[#All],[B]],MATCH(Table5[[#This Row],[PID]],Table3[[#All],[PID]],0)))</f>
        <v>R</v>
      </c>
      <c r="I806" s="54" t="str">
        <f>IF($C806="B",INDEX(Batters[[#All],[T]],MATCH(Table5[[#This Row],[PID]],Batters[[#All],[PID]],0)),INDEX(Table3[[#All],[T]],MATCH(Table5[[#This Row],[PID]],Table3[[#All],[PID]],0)))</f>
        <v>L</v>
      </c>
      <c r="J806" s="54" t="str">
        <f>IF($C806="B",INDEX(Batters[[#All],[WE]],MATCH(Table5[[#This Row],[PID]],Batters[[#All],[PID]],0)),INDEX(Table3[[#All],[WE]],MATCH(Table5[[#This Row],[PID]],Table3[[#All],[PID]],0)))</f>
        <v>Low</v>
      </c>
      <c r="K806" s="54" t="str">
        <f>IF($C806="B",INDEX(Batters[[#All],[INT]],MATCH(Table5[[#This Row],[PID]],Batters[[#All],[PID]],0)),INDEX(Table3[[#All],[INT]],MATCH(Table5[[#This Row],[PID]],Table3[[#All],[PID]],0)))</f>
        <v>Normal</v>
      </c>
      <c r="L806" s="62">
        <f>IF($C806="B",INDEX(Batters[[#All],[CON P]],MATCH(Table5[[#This Row],[PID]],Batters[[#All],[PID]],0)),INDEX(Table3[[#All],[STU P]],MATCH(Table5[[#This Row],[PID]],Table3[[#All],[PID]],0)))</f>
        <v>5</v>
      </c>
      <c r="M806" s="58">
        <f>IF($C806="B",INDEX(Batters[[#All],[GAP P]],MATCH(Table5[[#This Row],[PID]],Batters[[#All],[PID]],0)),INDEX(Table3[[#All],[MOV P]],MATCH(Table5[[#This Row],[PID]],Table3[[#All],[PID]],0)))</f>
        <v>1</v>
      </c>
      <c r="N806" s="58">
        <f>IF($C806="B",INDEX(Batters[[#All],[POW P]],MATCH(Table5[[#This Row],[PID]],Batters[[#All],[PID]],0)),INDEX(Table3[[#All],[CON P]],MATCH(Table5[[#This Row],[PID]],Table3[[#All],[PID]],0)))</f>
        <v>1</v>
      </c>
      <c r="O806" s="58" t="str">
        <f>IF($C806="B",INDEX(Batters[[#All],[EYE P]],MATCH(Table5[[#This Row],[PID]],Batters[[#All],[PID]],0)),INDEX(Table3[[#All],[VELO]],MATCH(Table5[[#This Row],[PID]],Table3[[#All],[PID]],0)))</f>
        <v>91-93 Mph</v>
      </c>
      <c r="P806" s="58">
        <f>IF($C806="B",INDEX(Batters[[#All],[K P]],MATCH(Table5[[#This Row],[PID]],Batters[[#All],[PID]],0)),INDEX(Table3[[#All],[STM]],MATCH(Table5[[#This Row],[PID]],Table3[[#All],[PID]],0)))</f>
        <v>9</v>
      </c>
      <c r="Q806" s="63">
        <f>IF($C806="B",INDEX(Batters[[#All],[Tot]],MATCH(Table5[[#This Row],[PID]],Batters[[#All],[PID]],0)),INDEX(Table3[[#All],[Tot]],MATCH(Table5[[#This Row],[PID]],Table3[[#All],[PID]],0)))</f>
        <v>25.654157633431669</v>
      </c>
      <c r="R806" s="54">
        <f>IF($C806="B",INDEX(Batters[[#All],[zScore]],MATCH(Table5[[#This Row],[PID]],Batters[[#All],[PID]],0)),INDEX(Table3[[#All],[zScore]],MATCH(Table5[[#This Row],[PID]],Table3[[#All],[PID]],0)))</f>
        <v>-0.64817435799708101</v>
      </c>
      <c r="S806" s="60" t="str">
        <f>IF($C806="B",INDEX(Batters[[#All],[DEM]],MATCH(Table5[[#This Row],[PID]],Batters[[#All],[PID]],0)),INDEX(Table3[[#All],[DEM]],MATCH(Table5[[#This Row],[PID]],Table3[[#All],[PID]],0)))</f>
        <v>$65k</v>
      </c>
      <c r="T806" s="64">
        <f>IF($C806="B",VLOOKUP($A806,Bat!$A$4:$AU$1417,46,FALSE),VLOOKUP($A806,Pit!$A$4:$BD$570,55,FALSE))</f>
        <v>0</v>
      </c>
      <c r="U806" s="52">
        <f>IF($C806="B",VLOOKUP($A806,Bat!$A$4:$BA$1417,47,FALSE),VLOOKUP($A806,Pit!$A$4:$BF$570,56,FALSE))</f>
        <v>0</v>
      </c>
      <c r="V806" s="52">
        <f>IF($C806="B",VLOOKUP($A806,Bat!$A$4:$BA$1417,48,FALSE),VLOOKUP($A806,Pit!$A$4:$BF$570,57,FALSE))</f>
        <v>0</v>
      </c>
      <c r="W806" s="52">
        <f>Table5[[#This Row],[posRnk]]+Table5[[#This Row],[zRnk]]+IF($W$3&lt;&gt;Table5[[#This Row],[Type]],50,0)</f>
        <v>852</v>
      </c>
      <c r="X806" s="53">
        <f>RANK(Table5[[#This Row],[zScore]],Table5[[#All],[zScore]])</f>
        <v>802</v>
      </c>
      <c r="Y806" s="52" t="str">
        <f>IFERROR(INDEX(DraftResults[[#All],[OVR]],MATCH(Table5[[#This Row],[PID]],DraftResults[[#All],[Player ID]],0)),"")</f>
        <v/>
      </c>
      <c r="Z8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6" s="52" t="str">
        <f>IFERROR(INDEX(DraftResults[[#All],[Pick in Round]],MATCH(Table5[[#This Row],[PID]],DraftResults[[#All],[Player ID]],0)),"")</f>
        <v/>
      </c>
      <c r="AB806" s="52" t="str">
        <f>IFERROR(INDEX(DraftResults[[#All],[Team Name]],MATCH(Table5[[#This Row],[PID]],DraftResults[[#All],[Player ID]],0)),"")</f>
        <v/>
      </c>
      <c r="AC806" s="52" t="str">
        <f>IF(Table5[[#This Row],[Ovr]]="","",IF(Table5[[#This Row],[cmbList]]="","",Table5[[#This Row],[cmbList]]-Table5[[#This Row],[Ovr]]))</f>
        <v/>
      </c>
      <c r="AD806" s="56" t="str">
        <f>IF(ISERROR(VLOOKUP($AB806&amp;"-"&amp;$E806&amp;" "&amp;F806,Bonuses!$B$1:$G$1006,4,FALSE)),"",INT(VLOOKUP($AB806&amp;"-"&amp;$E806&amp;" "&amp;$F806,Bonuses!$B$1:$G$1006,4,FALSE)))</f>
        <v/>
      </c>
      <c r="AE8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7" spans="1:31" s="52" customFormat="1" x14ac:dyDescent="0.25">
      <c r="A807" s="52">
        <v>11727</v>
      </c>
      <c r="B807" s="52">
        <f>COUNTIF(Table5[PID],A807)</f>
        <v>1</v>
      </c>
      <c r="C807" s="52" t="str">
        <f>IF(COUNTIF(Table3[[#All],[PID]],A807)&gt;0,"P","B")</f>
        <v>B</v>
      </c>
      <c r="D807" s="61" t="str">
        <f>IF($C807="B",INDEX(Batters[[#All],[POS]],MATCH(Table5[[#This Row],[PID]],Batters[[#All],[PID]],0)),INDEX(Table3[[#All],[POS]],MATCH(Table5[[#This Row],[PID]],Table3[[#All],[PID]],0)))</f>
        <v>2B</v>
      </c>
      <c r="E807" s="54" t="str">
        <f>IF($C807="B",INDEX(Batters[[#All],[First]],MATCH(Table5[[#This Row],[PID]],Batters[[#All],[PID]],0)),INDEX(Table3[[#All],[First]],MATCH(Table5[[#This Row],[PID]],Table3[[#All],[PID]],0)))</f>
        <v>Phil</v>
      </c>
      <c r="F807" s="52" t="str">
        <f>IF($C807="B",INDEX(Batters[[#All],[Last]],MATCH(A807,Batters[[#All],[PID]],0)),INDEX(Table3[[#All],[Last]],MATCH(A807,Table3[[#All],[PID]],0)))</f>
        <v>Hinojosa</v>
      </c>
      <c r="G807" s="58">
        <f>IF($C807="B",INDEX(Batters[[#All],[Age]],MATCH(Table5[[#This Row],[PID]],Batters[[#All],[PID]],0)),INDEX(Table3[[#All],[Age]],MATCH(Table5[[#This Row],[PID]],Table3[[#All],[PID]],0)))</f>
        <v>21</v>
      </c>
      <c r="H807" s="54" t="str">
        <f>IF($C807="B",INDEX(Batters[[#All],[B]],MATCH(Table5[[#This Row],[PID]],Batters[[#All],[PID]],0)),INDEX(Table3[[#All],[B]],MATCH(Table5[[#This Row],[PID]],Table3[[#All],[PID]],0)))</f>
        <v>R</v>
      </c>
      <c r="I807" s="54" t="str">
        <f>IF($C807="B",INDEX(Batters[[#All],[T]],MATCH(Table5[[#This Row],[PID]],Batters[[#All],[PID]],0)),INDEX(Table3[[#All],[T]],MATCH(Table5[[#This Row],[PID]],Table3[[#All],[PID]],0)))</f>
        <v>R</v>
      </c>
      <c r="J807" s="54" t="str">
        <f>IF($C807="B",INDEX(Batters[[#All],[WE]],MATCH(Table5[[#This Row],[PID]],Batters[[#All],[PID]],0)),INDEX(Table3[[#All],[WE]],MATCH(Table5[[#This Row],[PID]],Table3[[#All],[PID]],0)))</f>
        <v>Normal</v>
      </c>
      <c r="K807" s="54" t="str">
        <f>IF($C807="B",INDEX(Batters[[#All],[INT]],MATCH(Table5[[#This Row],[PID]],Batters[[#All],[PID]],0)),INDEX(Table3[[#All],[INT]],MATCH(Table5[[#This Row],[PID]],Table3[[#All],[PID]],0)))</f>
        <v>Normal</v>
      </c>
      <c r="L807" s="62">
        <f>IF($C807="B",INDEX(Batters[[#All],[CON P]],MATCH(Table5[[#This Row],[PID]],Batters[[#All],[PID]],0)),INDEX(Table3[[#All],[STU P]],MATCH(Table5[[#This Row],[PID]],Table3[[#All],[PID]],0)))</f>
        <v>4</v>
      </c>
      <c r="M807" s="58">
        <f>IF($C807="B",INDEX(Batters[[#All],[GAP P]],MATCH(Table5[[#This Row],[PID]],Batters[[#All],[PID]],0)),INDEX(Table3[[#All],[MOV P]],MATCH(Table5[[#This Row],[PID]],Table3[[#All],[PID]],0)))</f>
        <v>4</v>
      </c>
      <c r="N807" s="58">
        <f>IF($C807="B",INDEX(Batters[[#All],[POW P]],MATCH(Table5[[#This Row],[PID]],Batters[[#All],[PID]],0)),INDEX(Table3[[#All],[CON P]],MATCH(Table5[[#This Row],[PID]],Table3[[#All],[PID]],0)))</f>
        <v>3</v>
      </c>
      <c r="O807" s="58">
        <f>IF($C807="B",INDEX(Batters[[#All],[EYE P]],MATCH(Table5[[#This Row],[PID]],Batters[[#All],[PID]],0)),INDEX(Table3[[#All],[VELO]],MATCH(Table5[[#This Row],[PID]],Table3[[#All],[PID]],0)))</f>
        <v>1</v>
      </c>
      <c r="P807" s="58">
        <f>IF($C807="B",INDEX(Batters[[#All],[K P]],MATCH(Table5[[#This Row],[PID]],Batters[[#All],[PID]],0)),INDEX(Table3[[#All],[STM]],MATCH(Table5[[#This Row],[PID]],Table3[[#All],[PID]],0)))</f>
        <v>3</v>
      </c>
      <c r="Q807" s="63">
        <f>IF($C807="B",INDEX(Batters[[#All],[Tot]],MATCH(Table5[[#This Row],[PID]],Batters[[#All],[PID]],0)),INDEX(Table3[[#All],[Tot]],MATCH(Table5[[#This Row],[PID]],Table3[[#All],[PID]],0)))</f>
        <v>36.64689138620389</v>
      </c>
      <c r="R807" s="54">
        <f>IF($C807="B",INDEX(Batters[[#All],[zScore]],MATCH(Table5[[#This Row],[PID]],Batters[[#All],[PID]],0)),INDEX(Table3[[#All],[zScore]],MATCH(Table5[[#This Row],[PID]],Table3[[#All],[PID]],0)))</f>
        <v>-0.65122898293181997</v>
      </c>
      <c r="S807" s="60" t="str">
        <f>IF($C807="B",INDEX(Batters[[#All],[DEM]],MATCH(Table5[[#This Row],[PID]],Batters[[#All],[PID]],0)),INDEX(Table3[[#All],[DEM]],MATCH(Table5[[#This Row],[PID]],Table3[[#All],[PID]],0)))</f>
        <v>$110k</v>
      </c>
      <c r="T807" s="64">
        <f>IF($C807="B",VLOOKUP($A807,Bat!$A$4:$AU$1417,46,FALSE),VLOOKUP($A807,Pit!$A$4:$BD$570,55,FALSE))</f>
        <v>0</v>
      </c>
      <c r="U807" s="52">
        <f>IF($C807="B",VLOOKUP($A807,Bat!$A$4:$BA$1417,47,FALSE),VLOOKUP($A807,Pit!$A$4:$BF$570,56,FALSE))</f>
        <v>0</v>
      </c>
      <c r="V807" s="52">
        <f>IF($C807="B",VLOOKUP($A807,Bat!$A$4:$BA$1417,48,FALSE),VLOOKUP($A807,Pit!$A$4:$BF$570,57,FALSE))</f>
        <v>0</v>
      </c>
      <c r="W807" s="52">
        <f>Table5[[#This Row],[posRnk]]+Table5[[#This Row],[zRnk]]+IF($W$3&lt;&gt;Table5[[#This Row],[Type]],50,0)</f>
        <v>853</v>
      </c>
      <c r="X807" s="53">
        <f>RANK(Table5[[#This Row],[zScore]],Table5[[#All],[zScore]])</f>
        <v>803</v>
      </c>
      <c r="Y807" s="52" t="str">
        <f>IFERROR(INDEX(DraftResults[[#All],[OVR]],MATCH(Table5[[#This Row],[PID]],DraftResults[[#All],[Player ID]],0)),"")</f>
        <v/>
      </c>
      <c r="Z8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7" s="52" t="str">
        <f>IFERROR(INDEX(DraftResults[[#All],[Pick in Round]],MATCH(Table5[[#This Row],[PID]],DraftResults[[#All],[Player ID]],0)),"")</f>
        <v/>
      </c>
      <c r="AB807" s="52" t="str">
        <f>IFERROR(INDEX(DraftResults[[#All],[Team Name]],MATCH(Table5[[#This Row],[PID]],DraftResults[[#All],[Player ID]],0)),"")</f>
        <v/>
      </c>
      <c r="AC807" s="52" t="str">
        <f>IF(Table5[[#This Row],[Ovr]]="","",IF(Table5[[#This Row],[cmbList]]="","",Table5[[#This Row],[cmbList]]-Table5[[#This Row],[Ovr]]))</f>
        <v/>
      </c>
      <c r="AD807" s="56" t="str">
        <f>IF(ISERROR(VLOOKUP($AB807&amp;"-"&amp;$E807&amp;" "&amp;F807,Bonuses!$B$1:$G$1006,4,FALSE)),"",INT(VLOOKUP($AB807&amp;"-"&amp;$E807&amp;" "&amp;$F807,Bonuses!$B$1:$G$1006,4,FALSE)))</f>
        <v/>
      </c>
      <c r="AE8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8" spans="1:31" s="52" customFormat="1" x14ac:dyDescent="0.25">
      <c r="A808" s="52">
        <v>5329</v>
      </c>
      <c r="B808" s="52">
        <f>COUNTIF(Table5[PID],A808)</f>
        <v>1</v>
      </c>
      <c r="C808" s="52" t="str">
        <f>IF(COUNTIF(Table3[[#All],[PID]],A808)&gt;0,"P","B")</f>
        <v>P</v>
      </c>
      <c r="D808" s="61" t="str">
        <f>IF($C808="B",INDEX(Batters[[#All],[POS]],MATCH(Table5[[#This Row],[PID]],Batters[[#All],[PID]],0)),INDEX(Table3[[#All],[POS]],MATCH(Table5[[#This Row],[PID]],Table3[[#All],[PID]],0)))</f>
        <v>RP</v>
      </c>
      <c r="E808" s="54" t="str">
        <f>IF($C808="B",INDEX(Batters[[#All],[First]],MATCH(Table5[[#This Row],[PID]],Batters[[#All],[PID]],0)),INDEX(Table3[[#All],[First]],MATCH(Table5[[#This Row],[PID]],Table3[[#All],[PID]],0)))</f>
        <v>Jim</v>
      </c>
      <c r="F808" s="52" t="str">
        <f>IF($C808="B",INDEX(Batters[[#All],[Last]],MATCH(A808,Batters[[#All],[PID]],0)),INDEX(Table3[[#All],[Last]],MATCH(A808,Table3[[#All],[PID]],0)))</f>
        <v>Carter</v>
      </c>
      <c r="G808" s="58">
        <f>IF($C808="B",INDEX(Batters[[#All],[Age]],MATCH(Table5[[#This Row],[PID]],Batters[[#All],[PID]],0)),INDEX(Table3[[#All],[Age]],MATCH(Table5[[#This Row],[PID]],Table3[[#All],[PID]],0)))</f>
        <v>18</v>
      </c>
      <c r="H808" s="54" t="str">
        <f>IF($C808="B",INDEX(Batters[[#All],[B]],MATCH(Table5[[#This Row],[PID]],Batters[[#All],[PID]],0)),INDEX(Table3[[#All],[B]],MATCH(Table5[[#This Row],[PID]],Table3[[#All],[PID]],0)))</f>
        <v>L</v>
      </c>
      <c r="I808" s="54" t="str">
        <f>IF($C808="B",INDEX(Batters[[#All],[T]],MATCH(Table5[[#This Row],[PID]],Batters[[#All],[PID]],0)),INDEX(Table3[[#All],[T]],MATCH(Table5[[#This Row],[PID]],Table3[[#All],[PID]],0)))</f>
        <v>R</v>
      </c>
      <c r="J808" s="54" t="str">
        <f>IF($C808="B",INDEX(Batters[[#All],[WE]],MATCH(Table5[[#This Row],[PID]],Batters[[#All],[PID]],0)),INDEX(Table3[[#All],[WE]],MATCH(Table5[[#This Row],[PID]],Table3[[#All],[PID]],0)))</f>
        <v>Normal</v>
      </c>
      <c r="K808" s="54" t="str">
        <f>IF($C808="B",INDEX(Batters[[#All],[INT]],MATCH(Table5[[#This Row],[PID]],Batters[[#All],[PID]],0)),INDEX(Table3[[#All],[INT]],MATCH(Table5[[#This Row],[PID]],Table3[[#All],[PID]],0)))</f>
        <v>Normal</v>
      </c>
      <c r="L808" s="62">
        <f>IF($C808="B",INDEX(Batters[[#All],[CON P]],MATCH(Table5[[#This Row],[PID]],Batters[[#All],[PID]],0)),INDEX(Table3[[#All],[STU P]],MATCH(Table5[[#This Row],[PID]],Table3[[#All],[PID]],0)))</f>
        <v>4</v>
      </c>
      <c r="M808" s="58">
        <f>IF($C808="B",INDEX(Batters[[#All],[GAP P]],MATCH(Table5[[#This Row],[PID]],Batters[[#All],[PID]],0)),INDEX(Table3[[#All],[MOV P]],MATCH(Table5[[#This Row],[PID]],Table3[[#All],[PID]],0)))</f>
        <v>1</v>
      </c>
      <c r="N808" s="58">
        <f>IF($C808="B",INDEX(Batters[[#All],[POW P]],MATCH(Table5[[#This Row],[PID]],Batters[[#All],[PID]],0)),INDEX(Table3[[#All],[CON P]],MATCH(Table5[[#This Row],[PID]],Table3[[#All],[PID]],0)))</f>
        <v>2</v>
      </c>
      <c r="O808" s="58" t="str">
        <f>IF($C808="B",INDEX(Batters[[#All],[EYE P]],MATCH(Table5[[#This Row],[PID]],Batters[[#All],[PID]],0)),INDEX(Table3[[#All],[VELO]],MATCH(Table5[[#This Row],[PID]],Table3[[#All],[PID]],0)))</f>
        <v>87-89 Mph</v>
      </c>
      <c r="P808" s="58">
        <f>IF($C808="B",INDEX(Batters[[#All],[K P]],MATCH(Table5[[#This Row],[PID]],Batters[[#All],[PID]],0)),INDEX(Table3[[#All],[STM]],MATCH(Table5[[#This Row],[PID]],Table3[[#All],[PID]],0)))</f>
        <v>8</v>
      </c>
      <c r="Q808" s="63">
        <f>IF($C808="B",INDEX(Batters[[#All],[Tot]],MATCH(Table5[[#This Row],[PID]],Batters[[#All],[PID]],0)),INDEX(Table3[[#All],[Tot]],MATCH(Table5[[#This Row],[PID]],Table3[[#All],[PID]],0)))</f>
        <v>25.617804199428566</v>
      </c>
      <c r="R808" s="54">
        <f>IF($C808="B",INDEX(Batters[[#All],[zScore]],MATCH(Table5[[#This Row],[PID]],Batters[[#All],[PID]],0)),INDEX(Table3[[#All],[zScore]],MATCH(Table5[[#This Row],[PID]],Table3[[#All],[PID]],0)))</f>
        <v>-0.65150812327300811</v>
      </c>
      <c r="S808" s="60" t="str">
        <f>IF($C808="B",INDEX(Batters[[#All],[DEM]],MATCH(Table5[[#This Row],[PID]],Batters[[#All],[PID]],0)),INDEX(Table3[[#All],[DEM]],MATCH(Table5[[#This Row],[PID]],Table3[[#All],[PID]],0)))</f>
        <v>$65k</v>
      </c>
      <c r="T808" s="64">
        <f>IF($C808="B",VLOOKUP($A808,Bat!$A$4:$AU$1417,46,FALSE),VLOOKUP($A808,Pit!$A$4:$BD$570,55,FALSE))</f>
        <v>0</v>
      </c>
      <c r="U808" s="52">
        <f>IF($C808="B",VLOOKUP($A808,Bat!$A$4:$BA$1417,47,FALSE),VLOOKUP($A808,Pit!$A$4:$BF$570,56,FALSE))</f>
        <v>0</v>
      </c>
      <c r="V808" s="52">
        <f>IF($C808="B",VLOOKUP($A808,Bat!$A$4:$BA$1417,48,FALSE),VLOOKUP($A808,Pit!$A$4:$BF$570,57,FALSE))</f>
        <v>0</v>
      </c>
      <c r="W808" s="52">
        <f>Table5[[#This Row],[posRnk]]+Table5[[#This Row],[zRnk]]+IF($W$3&lt;&gt;Table5[[#This Row],[Type]],50,0)</f>
        <v>854</v>
      </c>
      <c r="X808" s="53">
        <f>RANK(Table5[[#This Row],[zScore]],Table5[[#All],[zScore]])</f>
        <v>804</v>
      </c>
      <c r="Y808" s="52" t="str">
        <f>IFERROR(INDEX(DraftResults[[#All],[OVR]],MATCH(Table5[[#This Row],[PID]],DraftResults[[#All],[Player ID]],0)),"")</f>
        <v/>
      </c>
      <c r="Z8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8" s="52" t="str">
        <f>IFERROR(INDEX(DraftResults[[#All],[Pick in Round]],MATCH(Table5[[#This Row],[PID]],DraftResults[[#All],[Player ID]],0)),"")</f>
        <v/>
      </c>
      <c r="AB808" s="52" t="str">
        <f>IFERROR(INDEX(DraftResults[[#All],[Team Name]],MATCH(Table5[[#This Row],[PID]],DraftResults[[#All],[Player ID]],0)),"")</f>
        <v/>
      </c>
      <c r="AC808" s="52" t="str">
        <f>IF(Table5[[#This Row],[Ovr]]="","",IF(Table5[[#This Row],[cmbList]]="","",Table5[[#This Row],[cmbList]]-Table5[[#This Row],[Ovr]]))</f>
        <v/>
      </c>
      <c r="AD808" s="56" t="str">
        <f>IF(ISERROR(VLOOKUP($AB808&amp;"-"&amp;$E808&amp;" "&amp;F808,Bonuses!$B$1:$G$1006,4,FALSE)),"",INT(VLOOKUP($AB808&amp;"-"&amp;$E808&amp;" "&amp;$F808,Bonuses!$B$1:$G$1006,4,FALSE)))</f>
        <v/>
      </c>
      <c r="AE8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9" spans="1:31" s="52" customFormat="1" x14ac:dyDescent="0.25">
      <c r="A809" s="52">
        <v>12682</v>
      </c>
      <c r="B809" s="57">
        <f>COUNTIF(Table5[PID],A809)</f>
        <v>1</v>
      </c>
      <c r="C809" s="57" t="str">
        <f>IF(COUNTIF(Table3[[#All],[PID]],A809)&gt;0,"P","B")</f>
        <v>B</v>
      </c>
      <c r="D809" s="61" t="str">
        <f>IF($C809="B",INDEX(Batters[[#All],[POS]],MATCH(Table5[[#This Row],[PID]],Batters[[#All],[PID]],0)),INDEX(Table3[[#All],[POS]],MATCH(Table5[[#This Row],[PID]],Table3[[#All],[PID]],0)))</f>
        <v>RF</v>
      </c>
      <c r="E809" s="54" t="str">
        <f>IF($C809="B",INDEX(Batters[[#All],[First]],MATCH(Table5[[#This Row],[PID]],Batters[[#All],[PID]],0)),INDEX(Table3[[#All],[First]],MATCH(Table5[[#This Row],[PID]],Table3[[#All],[PID]],0)))</f>
        <v>Christopher</v>
      </c>
      <c r="F809" s="52" t="str">
        <f>IF($C809="B",INDEX(Batters[[#All],[Last]],MATCH(A809,Batters[[#All],[PID]],0)),INDEX(Table3[[#All],[Last]],MATCH(A809,Table3[[#All],[PID]],0)))</f>
        <v>McGaughey</v>
      </c>
      <c r="G809" s="58">
        <f>IF($C809="B",INDEX(Batters[[#All],[Age]],MATCH(Table5[[#This Row],[PID]],Batters[[#All],[PID]],0)),INDEX(Table3[[#All],[Age]],MATCH(Table5[[#This Row],[PID]],Table3[[#All],[PID]],0)))</f>
        <v>21</v>
      </c>
      <c r="H809" s="54" t="str">
        <f>IF($C809="B",INDEX(Batters[[#All],[B]],MATCH(Table5[[#This Row],[PID]],Batters[[#All],[PID]],0)),INDEX(Table3[[#All],[B]],MATCH(Table5[[#This Row],[PID]],Table3[[#All],[PID]],0)))</f>
        <v>L</v>
      </c>
      <c r="I809" s="54" t="str">
        <f>IF($C809="B",INDEX(Batters[[#All],[T]],MATCH(Table5[[#This Row],[PID]],Batters[[#All],[PID]],0)),INDEX(Table3[[#All],[T]],MATCH(Table5[[#This Row],[PID]],Table3[[#All],[PID]],0)))</f>
        <v>L</v>
      </c>
      <c r="J809" s="54" t="str">
        <f>IF($C809="B",INDEX(Batters[[#All],[WE]],MATCH(Table5[[#This Row],[PID]],Batters[[#All],[PID]],0)),INDEX(Table3[[#All],[WE]],MATCH(Table5[[#This Row],[PID]],Table3[[#All],[PID]],0)))</f>
        <v>High</v>
      </c>
      <c r="K809" s="54" t="str">
        <f>IF($C809="B",INDEX(Batters[[#All],[INT]],MATCH(Table5[[#This Row],[PID]],Batters[[#All],[PID]],0)),INDEX(Table3[[#All],[INT]],MATCH(Table5[[#This Row],[PID]],Table3[[#All],[PID]],0)))</f>
        <v>Low</v>
      </c>
      <c r="L809" s="62">
        <f>IF($C809="B",INDEX(Batters[[#All],[CON P]],MATCH(Table5[[#This Row],[PID]],Batters[[#All],[PID]],0)),INDEX(Table3[[#All],[STU P]],MATCH(Table5[[#This Row],[PID]],Table3[[#All],[PID]],0)))</f>
        <v>3</v>
      </c>
      <c r="M809" s="58">
        <f>IF($C809="B",INDEX(Batters[[#All],[GAP P]],MATCH(Table5[[#This Row],[PID]],Batters[[#All],[PID]],0)),INDEX(Table3[[#All],[MOV P]],MATCH(Table5[[#This Row],[PID]],Table3[[#All],[PID]],0)))</f>
        <v>3</v>
      </c>
      <c r="N809" s="58">
        <f>IF($C809="B",INDEX(Batters[[#All],[POW P]],MATCH(Table5[[#This Row],[PID]],Batters[[#All],[PID]],0)),INDEX(Table3[[#All],[CON P]],MATCH(Table5[[#This Row],[PID]],Table3[[#All],[PID]],0)))</f>
        <v>2</v>
      </c>
      <c r="O809" s="58">
        <f>IF($C809="B",INDEX(Batters[[#All],[EYE P]],MATCH(Table5[[#This Row],[PID]],Batters[[#All],[PID]],0)),INDEX(Table3[[#All],[VELO]],MATCH(Table5[[#This Row],[PID]],Table3[[#All],[PID]],0)))</f>
        <v>4</v>
      </c>
      <c r="P809" s="58">
        <f>IF($C809="B",INDEX(Batters[[#All],[K P]],MATCH(Table5[[#This Row],[PID]],Batters[[#All],[PID]],0)),INDEX(Table3[[#All],[STM]],MATCH(Table5[[#This Row],[PID]],Table3[[#All],[PID]],0)))</f>
        <v>4</v>
      </c>
      <c r="Q809" s="63">
        <f>IF($C809="B",INDEX(Batters[[#All],[Tot]],MATCH(Table5[[#This Row],[PID]],Batters[[#All],[PID]],0)),INDEX(Table3[[#All],[Tot]],MATCH(Table5[[#This Row],[PID]],Table3[[#All],[PID]],0)))</f>
        <v>36.621732918813393</v>
      </c>
      <c r="R809" s="54">
        <f>IF($C809="B",INDEX(Batters[[#All],[zScore]],MATCH(Table5[[#This Row],[PID]],Batters[[#All],[PID]],0)),INDEX(Table3[[#All],[zScore]],MATCH(Table5[[#This Row],[PID]],Table3[[#All],[PID]],0)))</f>
        <v>-0.65565544805837117</v>
      </c>
      <c r="S809" s="60" t="str">
        <f>IF($C809="B",INDEX(Batters[[#All],[DEM]],MATCH(Table5[[#This Row],[PID]],Batters[[#All],[PID]],0)),INDEX(Table3[[#All],[DEM]],MATCH(Table5[[#This Row],[PID]],Table3[[#All],[PID]],0)))</f>
        <v>-</v>
      </c>
      <c r="T809" s="64">
        <f>IF($C809="B",VLOOKUP($A809,Bat!$A$4:$AU$1417,46,FALSE),VLOOKUP($A809,Pit!$A$4:$BD$570,55,FALSE))</f>
        <v>0</v>
      </c>
      <c r="U809" s="52">
        <f>IF($C809="B",VLOOKUP($A809,Bat!$A$4:$BA$1417,47,FALSE),VLOOKUP($A809,Pit!$A$4:$BF$570,56,FALSE))</f>
        <v>0</v>
      </c>
      <c r="V809" s="52">
        <f>IF($C809="B",VLOOKUP($A809,Bat!$A$4:$BA$1417,48,FALSE),VLOOKUP($A809,Pit!$A$4:$BF$570,57,FALSE))</f>
        <v>0</v>
      </c>
      <c r="W809" s="52">
        <f>Table5[[#This Row],[posRnk]]+Table5[[#This Row],[zRnk]]+IF($W$3&lt;&gt;Table5[[#This Row],[Type]],50,0)</f>
        <v>855</v>
      </c>
      <c r="X809" s="53">
        <f>RANK(Table5[[#This Row],[zScore]],Table5[[#All],[zScore]])</f>
        <v>805</v>
      </c>
      <c r="Y809" s="52" t="str">
        <f>IFERROR(INDEX(DraftResults[[#All],[OVR]],MATCH(Table5[[#This Row],[PID]],DraftResults[[#All],[Player ID]],0)),"")</f>
        <v/>
      </c>
      <c r="Z8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9" s="52" t="str">
        <f>IFERROR(INDEX(DraftResults[[#All],[Pick in Round]],MATCH(Table5[[#This Row],[PID]],DraftResults[[#All],[Player ID]],0)),"")</f>
        <v/>
      </c>
      <c r="AB809" s="52" t="str">
        <f>IFERROR(INDEX(DraftResults[[#All],[Team Name]],MATCH(Table5[[#This Row],[PID]],DraftResults[[#All],[Player ID]],0)),"")</f>
        <v/>
      </c>
      <c r="AC809" s="52" t="str">
        <f>IF(Table5[[#This Row],[Ovr]]="","",IF(Table5[[#This Row],[cmbList]]="","",Table5[[#This Row],[cmbList]]-Table5[[#This Row],[Ovr]]))</f>
        <v/>
      </c>
      <c r="AD809" s="56" t="str">
        <f>IF(ISERROR(VLOOKUP($AB809&amp;"-"&amp;$E809&amp;" "&amp;F809,Bonuses!$B$1:$G$1006,4,FALSE)),"",INT(VLOOKUP($AB809&amp;"-"&amp;$E809&amp;" "&amp;$F809,Bonuses!$B$1:$G$1006,4,FALSE)))</f>
        <v/>
      </c>
      <c r="AE8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0" spans="1:31" s="52" customFormat="1" x14ac:dyDescent="0.25">
      <c r="A810" s="52">
        <v>10310</v>
      </c>
      <c r="B810" s="52">
        <f>COUNTIF(Table5[PID],A810)</f>
        <v>1</v>
      </c>
      <c r="C810" s="52" t="str">
        <f>IF(COUNTIF(Table3[[#All],[PID]],A810)&gt;0,"P","B")</f>
        <v>P</v>
      </c>
      <c r="D810" s="61" t="str">
        <f>IF($C810="B",INDEX(Batters[[#All],[POS]],MATCH(Table5[[#This Row],[PID]],Batters[[#All],[PID]],0)),INDEX(Table3[[#All],[POS]],MATCH(Table5[[#This Row],[PID]],Table3[[#All],[PID]],0)))</f>
        <v>SP</v>
      </c>
      <c r="E810" s="54" t="str">
        <f>IF($C810="B",INDEX(Batters[[#All],[First]],MATCH(Table5[[#This Row],[PID]],Batters[[#All],[PID]],0)),INDEX(Table3[[#All],[First]],MATCH(Table5[[#This Row],[PID]],Table3[[#All],[PID]],0)))</f>
        <v>Tony</v>
      </c>
      <c r="F810" s="52" t="str">
        <f>IF($C810="B",INDEX(Batters[[#All],[Last]],MATCH(A810,Batters[[#All],[PID]],0)),INDEX(Table3[[#All],[Last]],MATCH(A810,Table3[[#All],[PID]],0)))</f>
        <v>MacKinney</v>
      </c>
      <c r="G810" s="58">
        <f>IF($C810="B",INDEX(Batters[[#All],[Age]],MATCH(Table5[[#This Row],[PID]],Batters[[#All],[PID]],0)),INDEX(Table3[[#All],[Age]],MATCH(Table5[[#This Row],[PID]],Table3[[#All],[PID]],0)))</f>
        <v>21</v>
      </c>
      <c r="H810" s="54" t="str">
        <f>IF($C810="B",INDEX(Batters[[#All],[B]],MATCH(Table5[[#This Row],[PID]],Batters[[#All],[PID]],0)),INDEX(Table3[[#All],[B]],MATCH(Table5[[#This Row],[PID]],Table3[[#All],[PID]],0)))</f>
        <v>R</v>
      </c>
      <c r="I810" s="54" t="str">
        <f>IF($C810="B",INDEX(Batters[[#All],[T]],MATCH(Table5[[#This Row],[PID]],Batters[[#All],[PID]],0)),INDEX(Table3[[#All],[T]],MATCH(Table5[[#This Row],[PID]],Table3[[#All],[PID]],0)))</f>
        <v>R</v>
      </c>
      <c r="J810" s="54" t="str">
        <f>IF($C810="B",INDEX(Batters[[#All],[WE]],MATCH(Table5[[#This Row],[PID]],Batters[[#All],[PID]],0)),INDEX(Table3[[#All],[WE]],MATCH(Table5[[#This Row],[PID]],Table3[[#All],[PID]],0)))</f>
        <v>Low</v>
      </c>
      <c r="K810" s="54" t="str">
        <f>IF($C810="B",INDEX(Batters[[#All],[INT]],MATCH(Table5[[#This Row],[PID]],Batters[[#All],[PID]],0)),INDEX(Table3[[#All],[INT]],MATCH(Table5[[#This Row],[PID]],Table3[[#All],[PID]],0)))</f>
        <v>Normal</v>
      </c>
      <c r="L810" s="62">
        <f>IF($C810="B",INDEX(Batters[[#All],[CON P]],MATCH(Table5[[#This Row],[PID]],Batters[[#All],[PID]],0)),INDEX(Table3[[#All],[STU P]],MATCH(Table5[[#This Row],[PID]],Table3[[#All],[PID]],0)))</f>
        <v>4</v>
      </c>
      <c r="M810" s="58">
        <f>IF($C810="B",INDEX(Batters[[#All],[GAP P]],MATCH(Table5[[#This Row],[PID]],Batters[[#All],[PID]],0)),INDEX(Table3[[#All],[MOV P]],MATCH(Table5[[#This Row],[PID]],Table3[[#All],[PID]],0)))</f>
        <v>2</v>
      </c>
      <c r="N810" s="58">
        <f>IF($C810="B",INDEX(Batters[[#All],[POW P]],MATCH(Table5[[#This Row],[PID]],Batters[[#All],[PID]],0)),INDEX(Table3[[#All],[CON P]],MATCH(Table5[[#This Row],[PID]],Table3[[#All],[PID]],0)))</f>
        <v>2</v>
      </c>
      <c r="O810" s="58" t="str">
        <f>IF($C810="B",INDEX(Batters[[#All],[EYE P]],MATCH(Table5[[#This Row],[PID]],Batters[[#All],[PID]],0)),INDEX(Table3[[#All],[VELO]],MATCH(Table5[[#This Row],[PID]],Table3[[#All],[PID]],0)))</f>
        <v>93-95 Mph</v>
      </c>
      <c r="P810" s="58">
        <f>IF($C810="B",INDEX(Batters[[#All],[K P]],MATCH(Table5[[#This Row],[PID]],Batters[[#All],[PID]],0)),INDEX(Table3[[#All],[STM]],MATCH(Table5[[#This Row],[PID]],Table3[[#All],[PID]],0)))</f>
        <v>6</v>
      </c>
      <c r="Q810" s="63">
        <f>IF($C810="B",INDEX(Batters[[#All],[Tot]],MATCH(Table5[[#This Row],[PID]],Batters[[#All],[PID]],0)),INDEX(Table3[[#All],[Tot]],MATCH(Table5[[#This Row],[PID]],Table3[[#All],[PID]],0)))</f>
        <v>25.567679096757391</v>
      </c>
      <c r="R810" s="54">
        <f>IF($C810="B",INDEX(Batters[[#All],[zScore]],MATCH(Table5[[#This Row],[PID]],Batters[[#All],[PID]],0)),INDEX(Table3[[#All],[zScore]],MATCH(Table5[[#This Row],[PID]],Table3[[#All],[PID]],0)))</f>
        <v>-0.65610480942714633</v>
      </c>
      <c r="S810" s="60" t="str">
        <f>IF($C810="B",INDEX(Batters[[#All],[DEM]],MATCH(Table5[[#This Row],[PID]],Batters[[#All],[PID]],0)),INDEX(Table3[[#All],[DEM]],MATCH(Table5[[#This Row],[PID]],Table3[[#All],[PID]],0)))</f>
        <v>$20k</v>
      </c>
      <c r="T810" s="64">
        <f>IF($C810="B",VLOOKUP($A810,Bat!$A$4:$AU$1417,46,FALSE),VLOOKUP($A810,Pit!$A$4:$BD$570,55,FALSE))</f>
        <v>0</v>
      </c>
      <c r="U810" s="52">
        <f>IF($C810="B",VLOOKUP($A810,Bat!$A$4:$BA$1417,47,FALSE),VLOOKUP($A810,Pit!$A$4:$BF$570,56,FALSE))</f>
        <v>0</v>
      </c>
      <c r="V810" s="52">
        <f>IF($C810="B",VLOOKUP($A810,Bat!$A$4:$BA$1417,48,FALSE),VLOOKUP($A810,Pit!$A$4:$BF$570,57,FALSE))</f>
        <v>0</v>
      </c>
      <c r="W810" s="52">
        <f>Table5[[#This Row],[posRnk]]+Table5[[#This Row],[zRnk]]+IF($W$3&lt;&gt;Table5[[#This Row],[Type]],50,0)</f>
        <v>856</v>
      </c>
      <c r="X810" s="53">
        <f>RANK(Table5[[#This Row],[zScore]],Table5[[#All],[zScore]])</f>
        <v>806</v>
      </c>
      <c r="Y810" s="52" t="str">
        <f>IFERROR(INDEX(DraftResults[[#All],[OVR]],MATCH(Table5[[#This Row],[PID]],DraftResults[[#All],[Player ID]],0)),"")</f>
        <v/>
      </c>
      <c r="Z8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0" s="52" t="str">
        <f>IFERROR(INDEX(DraftResults[[#All],[Pick in Round]],MATCH(Table5[[#This Row],[PID]],DraftResults[[#All],[Player ID]],0)),"")</f>
        <v/>
      </c>
      <c r="AB810" s="52" t="str">
        <f>IFERROR(INDEX(DraftResults[[#All],[Team Name]],MATCH(Table5[[#This Row],[PID]],DraftResults[[#All],[Player ID]],0)),"")</f>
        <v/>
      </c>
      <c r="AC810" s="52" t="str">
        <f>IF(Table5[[#This Row],[Ovr]]="","",IF(Table5[[#This Row],[cmbList]]="","",Table5[[#This Row],[cmbList]]-Table5[[#This Row],[Ovr]]))</f>
        <v/>
      </c>
      <c r="AD810" s="56" t="str">
        <f>IF(ISERROR(VLOOKUP($AB810&amp;"-"&amp;$E810&amp;" "&amp;F810,Bonuses!$B$1:$G$1006,4,FALSE)),"",INT(VLOOKUP($AB810&amp;"-"&amp;$E810&amp;" "&amp;$F810,Bonuses!$B$1:$G$1006,4,FALSE)))</f>
        <v/>
      </c>
      <c r="AE8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1" spans="1:31" s="52" customFormat="1" x14ac:dyDescent="0.25">
      <c r="A811" s="52">
        <v>13559</v>
      </c>
      <c r="B811" s="52">
        <f>COUNTIF(Table5[PID],A811)</f>
        <v>1</v>
      </c>
      <c r="C811" s="52" t="str">
        <f>IF(COUNTIF(Table3[[#All],[PID]],A811)&gt;0,"P","B")</f>
        <v>B</v>
      </c>
      <c r="D811" s="61" t="str">
        <f>IF($C811="B",INDEX(Batters[[#All],[POS]],MATCH(Table5[[#This Row],[PID]],Batters[[#All],[PID]],0)),INDEX(Table3[[#All],[POS]],MATCH(Table5[[#This Row],[PID]],Table3[[#All],[PID]],0)))</f>
        <v>2B</v>
      </c>
      <c r="E811" s="54" t="str">
        <f>IF($C811="B",INDEX(Batters[[#All],[First]],MATCH(Table5[[#This Row],[PID]],Batters[[#All],[PID]],0)),INDEX(Table3[[#All],[First]],MATCH(Table5[[#This Row],[PID]],Table3[[#All],[PID]],0)))</f>
        <v>Kenny</v>
      </c>
      <c r="F811" s="52" t="str">
        <f>IF($C811="B",INDEX(Batters[[#All],[Last]],MATCH(A811,Batters[[#All],[PID]],0)),INDEX(Table3[[#All],[Last]],MATCH(A811,Table3[[#All],[PID]],0)))</f>
        <v>Correa</v>
      </c>
      <c r="G811" s="58">
        <f>IF($C811="B",INDEX(Batters[[#All],[Age]],MATCH(Table5[[#This Row],[PID]],Batters[[#All],[PID]],0)),INDEX(Table3[[#All],[Age]],MATCH(Table5[[#This Row],[PID]],Table3[[#All],[PID]],0)))</f>
        <v>18</v>
      </c>
      <c r="H811" s="54" t="str">
        <f>IF($C811="B",INDEX(Batters[[#All],[B]],MATCH(Table5[[#This Row],[PID]],Batters[[#All],[PID]],0)),INDEX(Table3[[#All],[B]],MATCH(Table5[[#This Row],[PID]],Table3[[#All],[PID]],0)))</f>
        <v>R</v>
      </c>
      <c r="I811" s="54" t="str">
        <f>IF($C811="B",INDEX(Batters[[#All],[T]],MATCH(Table5[[#This Row],[PID]],Batters[[#All],[PID]],0)),INDEX(Table3[[#All],[T]],MATCH(Table5[[#This Row],[PID]],Table3[[#All],[PID]],0)))</f>
        <v>R</v>
      </c>
      <c r="J811" s="54" t="str">
        <f>IF($C811="B",INDEX(Batters[[#All],[WE]],MATCH(Table5[[#This Row],[PID]],Batters[[#All],[PID]],0)),INDEX(Table3[[#All],[WE]],MATCH(Table5[[#This Row],[PID]],Table3[[#All],[PID]],0)))</f>
        <v>Low</v>
      </c>
      <c r="K811" s="54" t="str">
        <f>IF($C811="B",INDEX(Batters[[#All],[INT]],MATCH(Table5[[#This Row],[PID]],Batters[[#All],[PID]],0)),INDEX(Table3[[#All],[INT]],MATCH(Table5[[#This Row],[PID]],Table3[[#All],[PID]],0)))</f>
        <v>Normal</v>
      </c>
      <c r="L811" s="62">
        <f>IF($C811="B",INDEX(Batters[[#All],[CON P]],MATCH(Table5[[#This Row],[PID]],Batters[[#All],[PID]],0)),INDEX(Table3[[#All],[STU P]],MATCH(Table5[[#This Row],[PID]],Table3[[#All],[PID]],0)))</f>
        <v>2</v>
      </c>
      <c r="M811" s="58">
        <f>IF($C811="B",INDEX(Batters[[#All],[GAP P]],MATCH(Table5[[#This Row],[PID]],Batters[[#All],[PID]],0)),INDEX(Table3[[#All],[MOV P]],MATCH(Table5[[#This Row],[PID]],Table3[[#All],[PID]],0)))</f>
        <v>3</v>
      </c>
      <c r="N811" s="58">
        <f>IF($C811="B",INDEX(Batters[[#All],[POW P]],MATCH(Table5[[#This Row],[PID]],Batters[[#All],[PID]],0)),INDEX(Table3[[#All],[CON P]],MATCH(Table5[[#This Row],[PID]],Table3[[#All],[PID]],0)))</f>
        <v>4</v>
      </c>
      <c r="O811" s="58">
        <f>IF($C811="B",INDEX(Batters[[#All],[EYE P]],MATCH(Table5[[#This Row],[PID]],Batters[[#All],[PID]],0)),INDEX(Table3[[#All],[VELO]],MATCH(Table5[[#This Row],[PID]],Table3[[#All],[PID]],0)))</f>
        <v>4</v>
      </c>
      <c r="P811" s="58">
        <f>IF($C811="B",INDEX(Batters[[#All],[K P]],MATCH(Table5[[#This Row],[PID]],Batters[[#All],[PID]],0)),INDEX(Table3[[#All],[STM]],MATCH(Table5[[#This Row],[PID]],Table3[[#All],[PID]],0)))</f>
        <v>2</v>
      </c>
      <c r="Q811" s="63">
        <f>IF($C811="B",INDEX(Batters[[#All],[Tot]],MATCH(Table5[[#This Row],[PID]],Batters[[#All],[PID]],0)),INDEX(Table3[[#All],[Tot]],MATCH(Table5[[#This Row],[PID]],Table3[[#All],[PID]],0)))</f>
        <v>36.617145758113452</v>
      </c>
      <c r="R811" s="54">
        <f>IF($C811="B",INDEX(Batters[[#All],[zScore]],MATCH(Table5[[#This Row],[PID]],Batters[[#All],[PID]],0)),INDEX(Table3[[#All],[zScore]],MATCH(Table5[[#This Row],[PID]],Table3[[#All],[PID]],0)))</f>
        <v>-0.65646252849586417</v>
      </c>
      <c r="S811" s="60" t="str">
        <f>IF($C811="B",INDEX(Batters[[#All],[DEM]],MATCH(Table5[[#This Row],[PID]],Batters[[#All],[PID]],0)),INDEX(Table3[[#All],[DEM]],MATCH(Table5[[#This Row],[PID]],Table3[[#All],[PID]],0)))</f>
        <v>$200k</v>
      </c>
      <c r="T811" s="64">
        <f>IF($C811="B",VLOOKUP($A811,Bat!$A$4:$AU$1417,46,FALSE),VLOOKUP($A811,Pit!$A$4:$BD$570,55,FALSE))</f>
        <v>0</v>
      </c>
      <c r="U811" s="52">
        <f>IF($C811="B",VLOOKUP($A811,Bat!$A$4:$BA$1417,47,FALSE),VLOOKUP($A811,Pit!$A$4:$BF$570,56,FALSE))</f>
        <v>0</v>
      </c>
      <c r="V811" s="52">
        <f>IF($C811="B",VLOOKUP($A811,Bat!$A$4:$BA$1417,48,FALSE),VLOOKUP($A811,Pit!$A$4:$BF$570,57,FALSE))</f>
        <v>0</v>
      </c>
      <c r="W811" s="52">
        <f>Table5[[#This Row],[posRnk]]+Table5[[#This Row],[zRnk]]+IF($W$3&lt;&gt;Table5[[#This Row],[Type]],50,0)</f>
        <v>857</v>
      </c>
      <c r="X811" s="53">
        <f>RANK(Table5[[#This Row],[zScore]],Table5[[#All],[zScore]])</f>
        <v>807</v>
      </c>
      <c r="Y811" s="52" t="str">
        <f>IFERROR(INDEX(DraftResults[[#All],[OVR]],MATCH(Table5[[#This Row],[PID]],DraftResults[[#All],[Player ID]],0)),"")</f>
        <v/>
      </c>
      <c r="Z8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1" s="52" t="str">
        <f>IFERROR(INDEX(DraftResults[[#All],[Pick in Round]],MATCH(Table5[[#This Row],[PID]],DraftResults[[#All],[Player ID]],0)),"")</f>
        <v/>
      </c>
      <c r="AB811" s="52" t="str">
        <f>IFERROR(INDEX(DraftResults[[#All],[Team Name]],MATCH(Table5[[#This Row],[PID]],DraftResults[[#All],[Player ID]],0)),"")</f>
        <v/>
      </c>
      <c r="AC811" s="52" t="str">
        <f>IF(Table5[[#This Row],[Ovr]]="","",IF(Table5[[#This Row],[cmbList]]="","",Table5[[#This Row],[cmbList]]-Table5[[#This Row],[Ovr]]))</f>
        <v/>
      </c>
      <c r="AD811" s="56" t="str">
        <f>IF(ISERROR(VLOOKUP($AB811&amp;"-"&amp;$E811&amp;" "&amp;F811,Bonuses!$B$1:$G$1006,4,FALSE)),"",INT(VLOOKUP($AB811&amp;"-"&amp;$E811&amp;" "&amp;$F811,Bonuses!$B$1:$G$1006,4,FALSE)))</f>
        <v/>
      </c>
      <c r="AE8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2" spans="1:31" s="52" customFormat="1" x14ac:dyDescent="0.25">
      <c r="A812" s="52">
        <v>12960</v>
      </c>
      <c r="B812" s="52">
        <f>COUNTIF(Table5[PID],A812)</f>
        <v>1</v>
      </c>
      <c r="C812" s="52" t="str">
        <f>IF(COUNTIF(Table3[[#All],[PID]],A812)&gt;0,"P","B")</f>
        <v>B</v>
      </c>
      <c r="D812" s="61" t="str">
        <f>IF($C812="B",INDEX(Batters[[#All],[POS]],MATCH(Table5[[#This Row],[PID]],Batters[[#All],[PID]],0)),INDEX(Table3[[#All],[POS]],MATCH(Table5[[#This Row],[PID]],Table3[[#All],[PID]],0)))</f>
        <v>C</v>
      </c>
      <c r="E812" s="54" t="str">
        <f>IF($C812="B",INDEX(Batters[[#All],[First]],MATCH(Table5[[#This Row],[PID]],Batters[[#All],[PID]],0)),INDEX(Table3[[#All],[First]],MATCH(Table5[[#This Row],[PID]],Table3[[#All],[PID]],0)))</f>
        <v>Konosuke</v>
      </c>
      <c r="F812" s="52" t="str">
        <f>IF($C812="B",INDEX(Batters[[#All],[Last]],MATCH(A812,Batters[[#All],[PID]],0)),INDEX(Table3[[#All],[Last]],MATCH(A812,Table3[[#All],[PID]],0)))</f>
        <v>Kamimura</v>
      </c>
      <c r="G812" s="58">
        <f>IF($C812="B",INDEX(Batters[[#All],[Age]],MATCH(Table5[[#This Row],[PID]],Batters[[#All],[PID]],0)),INDEX(Table3[[#All],[Age]],MATCH(Table5[[#This Row],[PID]],Table3[[#All],[PID]],0)))</f>
        <v>21</v>
      </c>
      <c r="H812" s="54" t="str">
        <f>IF($C812="B",INDEX(Batters[[#All],[B]],MATCH(Table5[[#This Row],[PID]],Batters[[#All],[PID]],0)),INDEX(Table3[[#All],[B]],MATCH(Table5[[#This Row],[PID]],Table3[[#All],[PID]],0)))</f>
        <v>R</v>
      </c>
      <c r="I812" s="54" t="str">
        <f>IF($C812="B",INDEX(Batters[[#All],[T]],MATCH(Table5[[#This Row],[PID]],Batters[[#All],[PID]],0)),INDEX(Table3[[#All],[T]],MATCH(Table5[[#This Row],[PID]],Table3[[#All],[PID]],0)))</f>
        <v>R</v>
      </c>
      <c r="J812" s="54" t="str">
        <f>IF($C812="B",INDEX(Batters[[#All],[WE]],MATCH(Table5[[#This Row],[PID]],Batters[[#All],[PID]],0)),INDEX(Table3[[#All],[WE]],MATCH(Table5[[#This Row],[PID]],Table3[[#All],[PID]],0)))</f>
        <v>Low</v>
      </c>
      <c r="K812" s="54" t="str">
        <f>IF($C812="B",INDEX(Batters[[#All],[INT]],MATCH(Table5[[#This Row],[PID]],Batters[[#All],[PID]],0)),INDEX(Table3[[#All],[INT]],MATCH(Table5[[#This Row],[PID]],Table3[[#All],[PID]],0)))</f>
        <v>Normal</v>
      </c>
      <c r="L812" s="62">
        <f>IF($C812="B",INDEX(Batters[[#All],[CON P]],MATCH(Table5[[#This Row],[PID]],Batters[[#All],[PID]],0)),INDEX(Table3[[#All],[STU P]],MATCH(Table5[[#This Row],[PID]],Table3[[#All],[PID]],0)))</f>
        <v>3</v>
      </c>
      <c r="M812" s="58">
        <f>IF($C812="B",INDEX(Batters[[#All],[GAP P]],MATCH(Table5[[#This Row],[PID]],Batters[[#All],[PID]],0)),INDEX(Table3[[#All],[MOV P]],MATCH(Table5[[#This Row],[PID]],Table3[[#All],[PID]],0)))</f>
        <v>3</v>
      </c>
      <c r="N812" s="58">
        <f>IF($C812="B",INDEX(Batters[[#All],[POW P]],MATCH(Table5[[#This Row],[PID]],Batters[[#All],[PID]],0)),INDEX(Table3[[#All],[CON P]],MATCH(Table5[[#This Row],[PID]],Table3[[#All],[PID]],0)))</f>
        <v>4</v>
      </c>
      <c r="O812" s="58">
        <f>IF($C812="B",INDEX(Batters[[#All],[EYE P]],MATCH(Table5[[#This Row],[PID]],Batters[[#All],[PID]],0)),INDEX(Table3[[#All],[VELO]],MATCH(Table5[[#This Row],[PID]],Table3[[#All],[PID]],0)))</f>
        <v>5</v>
      </c>
      <c r="P812" s="58">
        <f>IF($C812="B",INDEX(Batters[[#All],[K P]],MATCH(Table5[[#This Row],[PID]],Batters[[#All],[PID]],0)),INDEX(Table3[[#All],[STM]],MATCH(Table5[[#This Row],[PID]],Table3[[#All],[PID]],0)))</f>
        <v>3</v>
      </c>
      <c r="Q812" s="63">
        <f>IF($C812="B",INDEX(Batters[[#All],[Tot]],MATCH(Table5[[#This Row],[PID]],Batters[[#All],[PID]],0)),INDEX(Table3[[#All],[Tot]],MATCH(Table5[[#This Row],[PID]],Table3[[#All],[PID]],0)))</f>
        <v>36.61583181311768</v>
      </c>
      <c r="R812" s="54">
        <f>IF($C812="B",INDEX(Batters[[#All],[zScore]],MATCH(Table5[[#This Row],[PID]],Batters[[#All],[PID]],0)),INDEX(Table3[[#All],[zScore]],MATCH(Table5[[#This Row],[PID]],Table3[[#All],[PID]],0)))</f>
        <v>-0.65669370838499319</v>
      </c>
      <c r="S812" s="60" t="str">
        <f>IF($C812="B",INDEX(Batters[[#All],[DEM]],MATCH(Table5[[#This Row],[PID]],Batters[[#All],[PID]],0)),INDEX(Table3[[#All],[DEM]],MATCH(Table5[[#This Row],[PID]],Table3[[#All],[PID]],0)))</f>
        <v>-</v>
      </c>
      <c r="T812" s="64">
        <f>IF($C812="B",VLOOKUP($A812,Bat!$A$4:$AU$1417,46,FALSE),VLOOKUP($A812,Pit!$A$4:$BD$570,55,FALSE))</f>
        <v>0</v>
      </c>
      <c r="U812" s="52">
        <f>IF($C812="B",VLOOKUP($A812,Bat!$A$4:$BA$1417,47,FALSE),VLOOKUP($A812,Pit!$A$4:$BF$570,56,FALSE))</f>
        <v>0</v>
      </c>
      <c r="V812" s="52">
        <f>IF($C812="B",VLOOKUP($A812,Bat!$A$4:$BA$1417,48,FALSE),VLOOKUP($A812,Pit!$A$4:$BF$570,57,FALSE))</f>
        <v>0</v>
      </c>
      <c r="W812" s="52">
        <f>Table5[[#This Row],[posRnk]]+Table5[[#This Row],[zRnk]]+IF($W$3&lt;&gt;Table5[[#This Row],[Type]],50,0)</f>
        <v>858</v>
      </c>
      <c r="X812" s="53">
        <f>RANK(Table5[[#This Row],[zScore]],Table5[[#All],[zScore]])</f>
        <v>808</v>
      </c>
      <c r="Y812" s="52" t="str">
        <f>IFERROR(INDEX(DraftResults[[#All],[OVR]],MATCH(Table5[[#This Row],[PID]],DraftResults[[#All],[Player ID]],0)),"")</f>
        <v/>
      </c>
      <c r="Z8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2" s="52" t="str">
        <f>IFERROR(INDEX(DraftResults[[#All],[Pick in Round]],MATCH(Table5[[#This Row],[PID]],DraftResults[[#All],[Player ID]],0)),"")</f>
        <v/>
      </c>
      <c r="AB812" s="52" t="str">
        <f>IFERROR(INDEX(DraftResults[[#All],[Team Name]],MATCH(Table5[[#This Row],[PID]],DraftResults[[#All],[Player ID]],0)),"")</f>
        <v/>
      </c>
      <c r="AC812" s="52" t="str">
        <f>IF(Table5[[#This Row],[Ovr]]="","",IF(Table5[[#This Row],[cmbList]]="","",Table5[[#This Row],[cmbList]]-Table5[[#This Row],[Ovr]]))</f>
        <v/>
      </c>
      <c r="AD812" s="56" t="str">
        <f>IF(ISERROR(VLOOKUP($AB812&amp;"-"&amp;$E812&amp;" "&amp;F812,Bonuses!$B$1:$G$1006,4,FALSE)),"",INT(VLOOKUP($AB812&amp;"-"&amp;$E812&amp;" "&amp;$F812,Bonuses!$B$1:$G$1006,4,FALSE)))</f>
        <v/>
      </c>
      <c r="AE8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3" spans="1:31" s="52" customFormat="1" x14ac:dyDescent="0.25">
      <c r="A813" s="52">
        <v>5328</v>
      </c>
      <c r="B813" s="52">
        <f>COUNTIF(Table5[PID],A813)</f>
        <v>1</v>
      </c>
      <c r="C813" s="52" t="str">
        <f>IF(COUNTIF(Table3[[#All],[PID]],A813)&gt;0,"P","B")</f>
        <v>P</v>
      </c>
      <c r="D813" s="61" t="str">
        <f>IF($C813="B",INDEX(Batters[[#All],[POS]],MATCH(Table5[[#This Row],[PID]],Batters[[#All],[PID]],0)),INDEX(Table3[[#All],[POS]],MATCH(Table5[[#This Row],[PID]],Table3[[#All],[PID]],0)))</f>
        <v>RP</v>
      </c>
      <c r="E813" s="54" t="str">
        <f>IF($C813="B",INDEX(Batters[[#All],[First]],MATCH(Table5[[#This Row],[PID]],Batters[[#All],[PID]],0)),INDEX(Table3[[#All],[First]],MATCH(Table5[[#This Row],[PID]],Table3[[#All],[PID]],0)))</f>
        <v>Troy</v>
      </c>
      <c r="F813" s="52" t="str">
        <f>IF($C813="B",INDEX(Batters[[#All],[Last]],MATCH(A813,Batters[[#All],[PID]],0)),INDEX(Table3[[#All],[Last]],MATCH(A813,Table3[[#All],[PID]],0)))</f>
        <v>Castaneda</v>
      </c>
      <c r="G813" s="58">
        <f>IF($C813="B",INDEX(Batters[[#All],[Age]],MATCH(Table5[[#This Row],[PID]],Batters[[#All],[PID]],0)),INDEX(Table3[[#All],[Age]],MATCH(Table5[[#This Row],[PID]],Table3[[#All],[PID]],0)))</f>
        <v>22</v>
      </c>
      <c r="H813" s="54" t="str">
        <f>IF($C813="B",INDEX(Batters[[#All],[B]],MATCH(Table5[[#This Row],[PID]],Batters[[#All],[PID]],0)),INDEX(Table3[[#All],[B]],MATCH(Table5[[#This Row],[PID]],Table3[[#All],[PID]],0)))</f>
        <v>S</v>
      </c>
      <c r="I813" s="54" t="str">
        <f>IF($C813="B",INDEX(Batters[[#All],[T]],MATCH(Table5[[#This Row],[PID]],Batters[[#All],[PID]],0)),INDEX(Table3[[#All],[T]],MATCH(Table5[[#This Row],[PID]],Table3[[#All],[PID]],0)))</f>
        <v>L</v>
      </c>
      <c r="J813" s="54" t="str">
        <f>IF($C813="B",INDEX(Batters[[#All],[WE]],MATCH(Table5[[#This Row],[PID]],Batters[[#All],[PID]],0)),INDEX(Table3[[#All],[WE]],MATCH(Table5[[#This Row],[PID]],Table3[[#All],[PID]],0)))</f>
        <v>Low</v>
      </c>
      <c r="K813" s="54" t="str">
        <f>IF($C813="B",INDEX(Batters[[#All],[INT]],MATCH(Table5[[#This Row],[PID]],Batters[[#All],[PID]],0)),INDEX(Table3[[#All],[INT]],MATCH(Table5[[#This Row],[PID]],Table3[[#All],[PID]],0)))</f>
        <v>Normal</v>
      </c>
      <c r="L813" s="62">
        <f>IF($C813="B",INDEX(Batters[[#All],[CON P]],MATCH(Table5[[#This Row],[PID]],Batters[[#All],[PID]],0)),INDEX(Table3[[#All],[STU P]],MATCH(Table5[[#This Row],[PID]],Table3[[#All],[PID]],0)))</f>
        <v>5</v>
      </c>
      <c r="M813" s="58">
        <f>IF($C813="B",INDEX(Batters[[#All],[GAP P]],MATCH(Table5[[#This Row],[PID]],Batters[[#All],[PID]],0)),INDEX(Table3[[#All],[MOV P]],MATCH(Table5[[#This Row],[PID]],Table3[[#All],[PID]],0)))</f>
        <v>1</v>
      </c>
      <c r="N813" s="58">
        <f>IF($C813="B",INDEX(Batters[[#All],[POW P]],MATCH(Table5[[#This Row],[PID]],Batters[[#All],[PID]],0)),INDEX(Table3[[#All],[CON P]],MATCH(Table5[[#This Row],[PID]],Table3[[#All],[PID]],0)))</f>
        <v>2</v>
      </c>
      <c r="O813" s="58" t="str">
        <f>IF($C813="B",INDEX(Batters[[#All],[EYE P]],MATCH(Table5[[#This Row],[PID]],Batters[[#All],[PID]],0)),INDEX(Table3[[#All],[VELO]],MATCH(Table5[[#This Row],[PID]],Table3[[#All],[PID]],0)))</f>
        <v>90-92 Mph</v>
      </c>
      <c r="P813" s="58">
        <f>IF($C813="B",INDEX(Batters[[#All],[K P]],MATCH(Table5[[#This Row],[PID]],Batters[[#All],[PID]],0)),INDEX(Table3[[#All],[STM]],MATCH(Table5[[#This Row],[PID]],Table3[[#All],[PID]],0)))</f>
        <v>7</v>
      </c>
      <c r="Q813" s="63">
        <f>IF($C813="B",INDEX(Batters[[#All],[Tot]],MATCH(Table5[[#This Row],[PID]],Batters[[#All],[PID]],0)),INDEX(Table3[[#All],[Tot]],MATCH(Table5[[#This Row],[PID]],Table3[[#All],[PID]],0)))</f>
        <v>25.539507219415711</v>
      </c>
      <c r="R813" s="54">
        <f>IF($C813="B",INDEX(Batters[[#All],[zScore]],MATCH(Table5[[#This Row],[PID]],Batters[[#All],[PID]],0)),INDEX(Table3[[#All],[zScore]],MATCH(Table5[[#This Row],[PID]],Table3[[#All],[PID]],0)))</f>
        <v>-0.65868829098851289</v>
      </c>
      <c r="S813" s="60" t="str">
        <f>IF($C813="B",INDEX(Batters[[#All],[DEM]],MATCH(Table5[[#This Row],[PID]],Batters[[#All],[PID]],0)),INDEX(Table3[[#All],[DEM]],MATCH(Table5[[#This Row],[PID]],Table3[[#All],[PID]],0)))</f>
        <v>-</v>
      </c>
      <c r="T813" s="64">
        <f>IF($C813="B",VLOOKUP($A813,Bat!$A$4:$AU$1417,46,FALSE),VLOOKUP($A813,Pit!$A$4:$BD$570,55,FALSE))</f>
        <v>0</v>
      </c>
      <c r="U813" s="52">
        <f>IF($C813="B",VLOOKUP($A813,Bat!$A$4:$BA$1417,47,FALSE),VLOOKUP($A813,Pit!$A$4:$BF$570,56,FALSE))</f>
        <v>0</v>
      </c>
      <c r="V813" s="52">
        <f>IF($C813="B",VLOOKUP($A813,Bat!$A$4:$BA$1417,48,FALSE),VLOOKUP($A813,Pit!$A$4:$BF$570,57,FALSE))</f>
        <v>0</v>
      </c>
      <c r="W813" s="52">
        <f>Table5[[#This Row],[posRnk]]+Table5[[#This Row],[zRnk]]+IF($W$3&lt;&gt;Table5[[#This Row],[Type]],50,0)</f>
        <v>859</v>
      </c>
      <c r="X813" s="53">
        <f>RANK(Table5[[#This Row],[zScore]],Table5[[#All],[zScore]])</f>
        <v>809</v>
      </c>
      <c r="Y813" s="52" t="str">
        <f>IFERROR(INDEX(DraftResults[[#All],[OVR]],MATCH(Table5[[#This Row],[PID]],DraftResults[[#All],[Player ID]],0)),"")</f>
        <v/>
      </c>
      <c r="Z8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3" s="52" t="str">
        <f>IFERROR(INDEX(DraftResults[[#All],[Pick in Round]],MATCH(Table5[[#This Row],[PID]],DraftResults[[#All],[Player ID]],0)),"")</f>
        <v/>
      </c>
      <c r="AB813" s="52" t="str">
        <f>IFERROR(INDEX(DraftResults[[#All],[Team Name]],MATCH(Table5[[#This Row],[PID]],DraftResults[[#All],[Player ID]],0)),"")</f>
        <v/>
      </c>
      <c r="AC813" s="52" t="str">
        <f>IF(Table5[[#This Row],[Ovr]]="","",IF(Table5[[#This Row],[cmbList]]="","",Table5[[#This Row],[cmbList]]-Table5[[#This Row],[Ovr]]))</f>
        <v/>
      </c>
      <c r="AD813" s="56" t="str">
        <f>IF(ISERROR(VLOOKUP($AB813&amp;"-"&amp;$E813&amp;" "&amp;F813,Bonuses!$B$1:$G$1006,4,FALSE)),"",INT(VLOOKUP($AB813&amp;"-"&amp;$E813&amp;" "&amp;$F813,Bonuses!$B$1:$G$1006,4,FALSE)))</f>
        <v/>
      </c>
      <c r="AE8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4" spans="1:31" s="52" customFormat="1" x14ac:dyDescent="0.25">
      <c r="A814" s="52">
        <v>5890</v>
      </c>
      <c r="B814" s="52">
        <f>COUNTIF(Table5[PID],A814)</f>
        <v>1</v>
      </c>
      <c r="C814" s="52" t="str">
        <f>IF(COUNTIF(Table3[[#All],[PID]],A814)&gt;0,"P","B")</f>
        <v>P</v>
      </c>
      <c r="D814" s="61" t="str">
        <f>IF($C814="B",INDEX(Batters[[#All],[POS]],MATCH(Table5[[#This Row],[PID]],Batters[[#All],[PID]],0)),INDEX(Table3[[#All],[POS]],MATCH(Table5[[#This Row],[PID]],Table3[[#All],[PID]],0)))</f>
        <v>RP</v>
      </c>
      <c r="E814" s="54" t="str">
        <f>IF($C814="B",INDEX(Batters[[#All],[First]],MATCH(Table5[[#This Row],[PID]],Batters[[#All],[PID]],0)),INDEX(Table3[[#All],[First]],MATCH(Table5[[#This Row],[PID]],Table3[[#All],[PID]],0)))</f>
        <v>Adrian</v>
      </c>
      <c r="F814" s="52" t="str">
        <f>IF($C814="B",INDEX(Batters[[#All],[Last]],MATCH(A814,Batters[[#All],[PID]],0)),INDEX(Table3[[#All],[Last]],MATCH(A814,Table3[[#All],[PID]],0)))</f>
        <v>Coleman</v>
      </c>
      <c r="G814" s="58">
        <f>IF($C814="B",INDEX(Batters[[#All],[Age]],MATCH(Table5[[#This Row],[PID]],Batters[[#All],[PID]],0)),INDEX(Table3[[#All],[Age]],MATCH(Table5[[#This Row],[PID]],Table3[[#All],[PID]],0)))</f>
        <v>18</v>
      </c>
      <c r="H814" s="54" t="str">
        <f>IF($C814="B",INDEX(Batters[[#All],[B]],MATCH(Table5[[#This Row],[PID]],Batters[[#All],[PID]],0)),INDEX(Table3[[#All],[B]],MATCH(Table5[[#This Row],[PID]],Table3[[#All],[PID]],0)))</f>
        <v>S</v>
      </c>
      <c r="I814" s="54" t="str">
        <f>IF($C814="B",INDEX(Batters[[#All],[T]],MATCH(Table5[[#This Row],[PID]],Batters[[#All],[PID]],0)),INDEX(Table3[[#All],[T]],MATCH(Table5[[#This Row],[PID]],Table3[[#All],[PID]],0)))</f>
        <v>R</v>
      </c>
      <c r="J814" s="54" t="str">
        <f>IF($C814="B",INDEX(Batters[[#All],[WE]],MATCH(Table5[[#This Row],[PID]],Batters[[#All],[PID]],0)),INDEX(Table3[[#All],[WE]],MATCH(Table5[[#This Row],[PID]],Table3[[#All],[PID]],0)))</f>
        <v>High</v>
      </c>
      <c r="K814" s="54" t="str">
        <f>IF($C814="B",INDEX(Batters[[#All],[INT]],MATCH(Table5[[#This Row],[PID]],Batters[[#All],[PID]],0)),INDEX(Table3[[#All],[INT]],MATCH(Table5[[#This Row],[PID]],Table3[[#All],[PID]],0)))</f>
        <v>Normal</v>
      </c>
      <c r="L814" s="62">
        <f>IF($C814="B",INDEX(Batters[[#All],[CON P]],MATCH(Table5[[#This Row],[PID]],Batters[[#All],[PID]],0)),INDEX(Table3[[#All],[STU P]],MATCH(Table5[[#This Row],[PID]],Table3[[#All],[PID]],0)))</f>
        <v>3</v>
      </c>
      <c r="M814" s="58">
        <f>IF($C814="B",INDEX(Batters[[#All],[GAP P]],MATCH(Table5[[#This Row],[PID]],Batters[[#All],[PID]],0)),INDEX(Table3[[#All],[MOV P]],MATCH(Table5[[#This Row],[PID]],Table3[[#All],[PID]],0)))</f>
        <v>1</v>
      </c>
      <c r="N814" s="58">
        <f>IF($C814="B",INDEX(Batters[[#All],[POW P]],MATCH(Table5[[#This Row],[PID]],Batters[[#All],[PID]],0)),INDEX(Table3[[#All],[CON P]],MATCH(Table5[[#This Row],[PID]],Table3[[#All],[PID]],0)))</f>
        <v>2</v>
      </c>
      <c r="O814" s="58" t="str">
        <f>IF($C814="B",INDEX(Batters[[#All],[EYE P]],MATCH(Table5[[#This Row],[PID]],Batters[[#All],[PID]],0)),INDEX(Table3[[#All],[VELO]],MATCH(Table5[[#This Row],[PID]],Table3[[#All],[PID]],0)))</f>
        <v>84-86 Mph</v>
      </c>
      <c r="P814" s="58">
        <f>IF($C814="B",INDEX(Batters[[#All],[K P]],MATCH(Table5[[#This Row],[PID]],Batters[[#All],[PID]],0)),INDEX(Table3[[#All],[STM]],MATCH(Table5[[#This Row],[PID]],Table3[[#All],[PID]],0)))</f>
        <v>9</v>
      </c>
      <c r="Q814" s="63">
        <f>IF($C814="B",INDEX(Batters[[#All],[Tot]],MATCH(Table5[[#This Row],[PID]],Batters[[#All],[PID]],0)),INDEX(Table3[[#All],[Tot]],MATCH(Table5[[#This Row],[PID]],Table3[[#All],[PID]],0)))</f>
        <v>25.501579938320589</v>
      </c>
      <c r="R814" s="54">
        <f>IF($C814="B",INDEX(Batters[[#All],[zScore]],MATCH(Table5[[#This Row],[PID]],Batters[[#All],[PID]],0)),INDEX(Table3[[#All],[zScore]],MATCH(Table5[[#This Row],[PID]],Table3[[#All],[PID]],0)))</f>
        <v>-0.66216638476954193</v>
      </c>
      <c r="S814" s="60" t="str">
        <f>IF($C814="B",INDEX(Batters[[#All],[DEM]],MATCH(Table5[[#This Row],[PID]],Batters[[#All],[PID]],0)),INDEX(Table3[[#All],[DEM]],MATCH(Table5[[#This Row],[PID]],Table3[[#All],[PID]],0)))</f>
        <v>$65k</v>
      </c>
      <c r="T814" s="64">
        <f>IF($C814="B",VLOOKUP($A814,Bat!$A$4:$AU$1417,46,FALSE),VLOOKUP($A814,Pit!$A$4:$BD$570,55,FALSE))</f>
        <v>0</v>
      </c>
      <c r="U814" s="52">
        <f>IF($C814="B",VLOOKUP($A814,Bat!$A$4:$BA$1417,47,FALSE),VLOOKUP($A814,Pit!$A$4:$BF$570,56,FALSE))</f>
        <v>0</v>
      </c>
      <c r="V814" s="52">
        <f>IF($C814="B",VLOOKUP($A814,Bat!$A$4:$BA$1417,48,FALSE),VLOOKUP($A814,Pit!$A$4:$BF$570,57,FALSE))</f>
        <v>0</v>
      </c>
      <c r="W814" s="52">
        <f>Table5[[#This Row],[posRnk]]+Table5[[#This Row],[zRnk]]+IF($W$3&lt;&gt;Table5[[#This Row],[Type]],50,0)</f>
        <v>860</v>
      </c>
      <c r="X814" s="53">
        <f>RANK(Table5[[#This Row],[zScore]],Table5[[#All],[zScore]])</f>
        <v>810</v>
      </c>
      <c r="Y814" s="52" t="str">
        <f>IFERROR(INDEX(DraftResults[[#All],[OVR]],MATCH(Table5[[#This Row],[PID]],DraftResults[[#All],[Player ID]],0)),"")</f>
        <v/>
      </c>
      <c r="Z8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4" s="52" t="str">
        <f>IFERROR(INDEX(DraftResults[[#All],[Pick in Round]],MATCH(Table5[[#This Row],[PID]],DraftResults[[#All],[Player ID]],0)),"")</f>
        <v/>
      </c>
      <c r="AB814" s="52" t="str">
        <f>IFERROR(INDEX(DraftResults[[#All],[Team Name]],MATCH(Table5[[#This Row],[PID]],DraftResults[[#All],[Player ID]],0)),"")</f>
        <v/>
      </c>
      <c r="AC814" s="52" t="str">
        <f>IF(Table5[[#This Row],[Ovr]]="","",IF(Table5[[#This Row],[cmbList]]="","",Table5[[#This Row],[cmbList]]-Table5[[#This Row],[Ovr]]))</f>
        <v/>
      </c>
      <c r="AD814" s="56" t="str">
        <f>IF(ISERROR(VLOOKUP($AB814&amp;"-"&amp;$E814&amp;" "&amp;F814,Bonuses!$B$1:$G$1006,4,FALSE)),"",INT(VLOOKUP($AB814&amp;"-"&amp;$E814&amp;" "&amp;$F814,Bonuses!$B$1:$G$1006,4,FALSE)))</f>
        <v/>
      </c>
      <c r="AE8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5" spans="1:31" s="52" customFormat="1" x14ac:dyDescent="0.25">
      <c r="A815" s="52">
        <v>8727</v>
      </c>
      <c r="B815" s="52">
        <f>COUNTIF(Table5[PID],A815)</f>
        <v>1</v>
      </c>
      <c r="C815" s="52" t="str">
        <f>IF(COUNTIF(Table3[[#All],[PID]],A815)&gt;0,"P","B")</f>
        <v>P</v>
      </c>
      <c r="D815" s="61" t="str">
        <f>IF($C815="B",INDEX(Batters[[#All],[POS]],MATCH(Table5[[#This Row],[PID]],Batters[[#All],[PID]],0)),INDEX(Table3[[#All],[POS]],MATCH(Table5[[#This Row],[PID]],Table3[[#All],[PID]],0)))</f>
        <v>RP</v>
      </c>
      <c r="E815" s="54" t="str">
        <f>IF($C815="B",INDEX(Batters[[#All],[First]],MATCH(Table5[[#This Row],[PID]],Batters[[#All],[PID]],0)),INDEX(Table3[[#All],[First]],MATCH(Table5[[#This Row],[PID]],Table3[[#All],[PID]],0)))</f>
        <v>Pedro</v>
      </c>
      <c r="F815" s="52" t="str">
        <f>IF($C815="B",INDEX(Batters[[#All],[Last]],MATCH(A815,Batters[[#All],[PID]],0)),INDEX(Table3[[#All],[Last]],MATCH(A815,Table3[[#All],[PID]],0)))</f>
        <v>Blanco</v>
      </c>
      <c r="G815" s="58">
        <f>IF($C815="B",INDEX(Batters[[#All],[Age]],MATCH(Table5[[#This Row],[PID]],Batters[[#All],[PID]],0)),INDEX(Table3[[#All],[Age]],MATCH(Table5[[#This Row],[PID]],Table3[[#All],[PID]],0)))</f>
        <v>21</v>
      </c>
      <c r="H815" s="54" t="str">
        <f>IF($C815="B",INDEX(Batters[[#All],[B]],MATCH(Table5[[#This Row],[PID]],Batters[[#All],[PID]],0)),INDEX(Table3[[#All],[B]],MATCH(Table5[[#This Row],[PID]],Table3[[#All],[PID]],0)))</f>
        <v>R</v>
      </c>
      <c r="I815" s="54" t="str">
        <f>IF($C815="B",INDEX(Batters[[#All],[T]],MATCH(Table5[[#This Row],[PID]],Batters[[#All],[PID]],0)),INDEX(Table3[[#All],[T]],MATCH(Table5[[#This Row],[PID]],Table3[[#All],[PID]],0)))</f>
        <v>R</v>
      </c>
      <c r="J815" s="54" t="str">
        <f>IF($C815="B",INDEX(Batters[[#All],[WE]],MATCH(Table5[[#This Row],[PID]],Batters[[#All],[PID]],0)),INDEX(Table3[[#All],[WE]],MATCH(Table5[[#This Row],[PID]],Table3[[#All],[PID]],0)))</f>
        <v>Low</v>
      </c>
      <c r="K815" s="54" t="str">
        <f>IF($C815="B",INDEX(Batters[[#All],[INT]],MATCH(Table5[[#This Row],[PID]],Batters[[#All],[PID]],0)),INDEX(Table3[[#All],[INT]],MATCH(Table5[[#This Row],[PID]],Table3[[#All],[PID]],0)))</f>
        <v>Normal</v>
      </c>
      <c r="L815" s="62">
        <f>IF($C815="B",INDEX(Batters[[#All],[CON P]],MATCH(Table5[[#This Row],[PID]],Batters[[#All],[PID]],0)),INDEX(Table3[[#All],[STU P]],MATCH(Table5[[#This Row],[PID]],Table3[[#All],[PID]],0)))</f>
        <v>5</v>
      </c>
      <c r="M815" s="58">
        <f>IF($C815="B",INDEX(Batters[[#All],[GAP P]],MATCH(Table5[[#This Row],[PID]],Batters[[#All],[PID]],0)),INDEX(Table3[[#All],[MOV P]],MATCH(Table5[[#This Row],[PID]],Table3[[#All],[PID]],0)))</f>
        <v>1</v>
      </c>
      <c r="N815" s="58">
        <f>IF($C815="B",INDEX(Batters[[#All],[POW P]],MATCH(Table5[[#This Row],[PID]],Batters[[#All],[PID]],0)),INDEX(Table3[[#All],[CON P]],MATCH(Table5[[#This Row],[PID]],Table3[[#All],[PID]],0)))</f>
        <v>2</v>
      </c>
      <c r="O815" s="58" t="str">
        <f>IF($C815="B",INDEX(Batters[[#All],[EYE P]],MATCH(Table5[[#This Row],[PID]],Batters[[#All],[PID]],0)),INDEX(Table3[[#All],[VELO]],MATCH(Table5[[#This Row],[PID]],Table3[[#All],[PID]],0)))</f>
        <v>90-92 Mph</v>
      </c>
      <c r="P815" s="58">
        <f>IF($C815="B",INDEX(Batters[[#All],[K P]],MATCH(Table5[[#This Row],[PID]],Batters[[#All],[PID]],0)),INDEX(Table3[[#All],[STM]],MATCH(Table5[[#This Row],[PID]],Table3[[#All],[PID]],0)))</f>
        <v>7</v>
      </c>
      <c r="Q815" s="63">
        <f>IF($C815="B",INDEX(Batters[[#All],[Tot]],MATCH(Table5[[#This Row],[PID]],Batters[[#All],[PID]],0)),INDEX(Table3[[#All],[Tot]],MATCH(Table5[[#This Row],[PID]],Table3[[#All],[PID]],0)))</f>
        <v>25.500568954513874</v>
      </c>
      <c r="R815" s="54">
        <f>IF($C815="B",INDEX(Batters[[#All],[zScore]],MATCH(Table5[[#This Row],[PID]],Batters[[#All],[PID]],0)),INDEX(Table3[[#All],[zScore]],MATCH(Table5[[#This Row],[PID]],Table3[[#All],[PID]],0)))</f>
        <v>-0.66225909630565327</v>
      </c>
      <c r="S815" s="60" t="str">
        <f>IF($C815="B",INDEX(Batters[[#All],[DEM]],MATCH(Table5[[#This Row],[PID]],Batters[[#All],[PID]],0)),INDEX(Table3[[#All],[DEM]],MATCH(Table5[[#This Row],[PID]],Table3[[#All],[PID]],0)))</f>
        <v>$36k</v>
      </c>
      <c r="T815" s="64">
        <f>IF($C815="B",VLOOKUP($A815,Bat!$A$4:$AU$1417,46,FALSE),VLOOKUP($A815,Pit!$A$4:$BD$570,55,FALSE))</f>
        <v>0</v>
      </c>
      <c r="U815" s="52">
        <f>IF($C815="B",VLOOKUP($A815,Bat!$A$4:$BA$1417,47,FALSE),VLOOKUP($A815,Pit!$A$4:$BF$570,56,FALSE))</f>
        <v>0</v>
      </c>
      <c r="V815" s="52">
        <f>IF($C815="B",VLOOKUP($A815,Bat!$A$4:$BA$1417,48,FALSE),VLOOKUP($A815,Pit!$A$4:$BF$570,57,FALSE))</f>
        <v>0</v>
      </c>
      <c r="W815" s="52">
        <f>Table5[[#This Row],[posRnk]]+Table5[[#This Row],[zRnk]]+IF($W$3&lt;&gt;Table5[[#This Row],[Type]],50,0)</f>
        <v>861</v>
      </c>
      <c r="X815" s="53">
        <f>RANK(Table5[[#This Row],[zScore]],Table5[[#All],[zScore]])</f>
        <v>811</v>
      </c>
      <c r="Y815" s="52" t="str">
        <f>IFERROR(INDEX(DraftResults[[#All],[OVR]],MATCH(Table5[[#This Row],[PID]],DraftResults[[#All],[Player ID]],0)),"")</f>
        <v/>
      </c>
      <c r="Z8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5" s="52" t="str">
        <f>IFERROR(INDEX(DraftResults[[#All],[Pick in Round]],MATCH(Table5[[#This Row],[PID]],DraftResults[[#All],[Player ID]],0)),"")</f>
        <v/>
      </c>
      <c r="AB815" s="52" t="str">
        <f>IFERROR(INDEX(DraftResults[[#All],[Team Name]],MATCH(Table5[[#This Row],[PID]],DraftResults[[#All],[Player ID]],0)),"")</f>
        <v/>
      </c>
      <c r="AC815" s="52" t="str">
        <f>IF(Table5[[#This Row],[Ovr]]="","",IF(Table5[[#This Row],[cmbList]]="","",Table5[[#This Row],[cmbList]]-Table5[[#This Row],[Ovr]]))</f>
        <v/>
      </c>
      <c r="AD815" s="56" t="str">
        <f>IF(ISERROR(VLOOKUP($AB815&amp;"-"&amp;$E815&amp;" "&amp;F815,Bonuses!$B$1:$G$1006,4,FALSE)),"",INT(VLOOKUP($AB815&amp;"-"&amp;$E815&amp;" "&amp;$F815,Bonuses!$B$1:$G$1006,4,FALSE)))</f>
        <v/>
      </c>
      <c r="AE8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6" spans="1:31" s="52" customFormat="1" x14ac:dyDescent="0.25">
      <c r="A816" s="52">
        <v>12596</v>
      </c>
      <c r="B816" s="52">
        <f>COUNTIF(Table5[PID],A816)</f>
        <v>1</v>
      </c>
      <c r="C816" s="52" t="str">
        <f>IF(COUNTIF(Table3[[#All],[PID]],A816)&gt;0,"P","B")</f>
        <v>P</v>
      </c>
      <c r="D816" s="61" t="str">
        <f>IF($C816="B",INDEX(Batters[[#All],[POS]],MATCH(Table5[[#This Row],[PID]],Batters[[#All],[PID]],0)),INDEX(Table3[[#All],[POS]],MATCH(Table5[[#This Row],[PID]],Table3[[#All],[PID]],0)))</f>
        <v>SP</v>
      </c>
      <c r="E816" s="54" t="str">
        <f>IF($C816="B",INDEX(Batters[[#All],[First]],MATCH(Table5[[#This Row],[PID]],Batters[[#All],[PID]],0)),INDEX(Table3[[#All],[First]],MATCH(Table5[[#This Row],[PID]],Table3[[#All],[PID]],0)))</f>
        <v>Toshimichi</v>
      </c>
      <c r="F816" s="52" t="str">
        <f>IF($C816="B",INDEX(Batters[[#All],[Last]],MATCH(A816,Batters[[#All],[PID]],0)),INDEX(Table3[[#All],[Last]],MATCH(A816,Table3[[#All],[PID]],0)))</f>
        <v>Mori</v>
      </c>
      <c r="G816" s="58">
        <f>IF($C816="B",INDEX(Batters[[#All],[Age]],MATCH(Table5[[#This Row],[PID]],Batters[[#All],[PID]],0)),INDEX(Table3[[#All],[Age]],MATCH(Table5[[#This Row],[PID]],Table3[[#All],[PID]],0)))</f>
        <v>21</v>
      </c>
      <c r="H816" s="54" t="str">
        <f>IF($C816="B",INDEX(Batters[[#All],[B]],MATCH(Table5[[#This Row],[PID]],Batters[[#All],[PID]],0)),INDEX(Table3[[#All],[B]],MATCH(Table5[[#This Row],[PID]],Table3[[#All],[PID]],0)))</f>
        <v>R</v>
      </c>
      <c r="I816" s="54" t="str">
        <f>IF($C816="B",INDEX(Batters[[#All],[T]],MATCH(Table5[[#This Row],[PID]],Batters[[#All],[PID]],0)),INDEX(Table3[[#All],[T]],MATCH(Table5[[#This Row],[PID]],Table3[[#All],[PID]],0)))</f>
        <v>R</v>
      </c>
      <c r="J816" s="54" t="str">
        <f>IF($C816="B",INDEX(Batters[[#All],[WE]],MATCH(Table5[[#This Row],[PID]],Batters[[#All],[PID]],0)),INDEX(Table3[[#All],[WE]],MATCH(Table5[[#This Row],[PID]],Table3[[#All],[PID]],0)))</f>
        <v>Low</v>
      </c>
      <c r="K816" s="54" t="str">
        <f>IF($C816="B",INDEX(Batters[[#All],[INT]],MATCH(Table5[[#This Row],[PID]],Batters[[#All],[PID]],0)),INDEX(Table3[[#All],[INT]],MATCH(Table5[[#This Row],[PID]],Table3[[#All],[PID]],0)))</f>
        <v>Normal</v>
      </c>
      <c r="L816" s="62">
        <f>IF($C816="B",INDEX(Batters[[#All],[CON P]],MATCH(Table5[[#This Row],[PID]],Batters[[#All],[PID]],0)),INDEX(Table3[[#All],[STU P]],MATCH(Table5[[#This Row],[PID]],Table3[[#All],[PID]],0)))</f>
        <v>5</v>
      </c>
      <c r="M816" s="58">
        <f>IF($C816="B",INDEX(Batters[[#All],[GAP P]],MATCH(Table5[[#This Row],[PID]],Batters[[#All],[PID]],0)),INDEX(Table3[[#All],[MOV P]],MATCH(Table5[[#This Row],[PID]],Table3[[#All],[PID]],0)))</f>
        <v>1</v>
      </c>
      <c r="N816" s="58">
        <f>IF($C816="B",INDEX(Batters[[#All],[POW P]],MATCH(Table5[[#This Row],[PID]],Batters[[#All],[PID]],0)),INDEX(Table3[[#All],[CON P]],MATCH(Table5[[#This Row],[PID]],Table3[[#All],[PID]],0)))</f>
        <v>2</v>
      </c>
      <c r="O816" s="58" t="str">
        <f>IF($C816="B",INDEX(Batters[[#All],[EYE P]],MATCH(Table5[[#This Row],[PID]],Batters[[#All],[PID]],0)),INDEX(Table3[[#All],[VELO]],MATCH(Table5[[#This Row],[PID]],Table3[[#All],[PID]],0)))</f>
        <v>92-94 Mph</v>
      </c>
      <c r="P816" s="58">
        <f>IF($C816="B",INDEX(Batters[[#All],[K P]],MATCH(Table5[[#This Row],[PID]],Batters[[#All],[PID]],0)),INDEX(Table3[[#All],[STM]],MATCH(Table5[[#This Row],[PID]],Table3[[#All],[PID]],0)))</f>
        <v>7</v>
      </c>
      <c r="Q816" s="63">
        <f>IF($C816="B",INDEX(Batters[[#All],[Tot]],MATCH(Table5[[#This Row],[PID]],Batters[[#All],[PID]],0)),INDEX(Table3[[#All],[Tot]],MATCH(Table5[[#This Row],[PID]],Table3[[#All],[PID]],0)))</f>
        <v>25.500568954513874</v>
      </c>
      <c r="R816" s="54">
        <f>IF($C816="B",INDEX(Batters[[#All],[zScore]],MATCH(Table5[[#This Row],[PID]],Batters[[#All],[PID]],0)),INDEX(Table3[[#All],[zScore]],MATCH(Table5[[#This Row],[PID]],Table3[[#All],[PID]],0)))</f>
        <v>-0.66225909630565327</v>
      </c>
      <c r="S816" s="60" t="str">
        <f>IF($C816="B",INDEX(Batters[[#All],[DEM]],MATCH(Table5[[#This Row],[PID]],Batters[[#All],[PID]],0)),INDEX(Table3[[#All],[DEM]],MATCH(Table5[[#This Row],[PID]],Table3[[#All],[PID]],0)))</f>
        <v>-</v>
      </c>
      <c r="T816" s="64">
        <f>IF($C816="B",VLOOKUP($A816,Bat!$A$4:$AU$1417,46,FALSE),VLOOKUP($A816,Pit!$A$4:$BD$570,55,FALSE))</f>
        <v>0</v>
      </c>
      <c r="U816" s="52">
        <f>IF($C816="B",VLOOKUP($A816,Bat!$A$4:$BA$1417,47,FALSE),VLOOKUP($A816,Pit!$A$4:$BF$570,56,FALSE))</f>
        <v>0</v>
      </c>
      <c r="V816" s="52">
        <f>IF($C816="B",VLOOKUP($A816,Bat!$A$4:$BA$1417,48,FALSE),VLOOKUP($A816,Pit!$A$4:$BF$570,57,FALSE))</f>
        <v>0</v>
      </c>
      <c r="W816" s="52">
        <f>Table5[[#This Row],[posRnk]]+Table5[[#This Row],[zRnk]]+IF($W$3&lt;&gt;Table5[[#This Row],[Type]],50,0)</f>
        <v>861</v>
      </c>
      <c r="X816" s="53">
        <f>RANK(Table5[[#This Row],[zScore]],Table5[[#All],[zScore]])</f>
        <v>811</v>
      </c>
      <c r="Y816" s="52" t="str">
        <f>IFERROR(INDEX(DraftResults[[#All],[OVR]],MATCH(Table5[[#This Row],[PID]],DraftResults[[#All],[Player ID]],0)),"")</f>
        <v/>
      </c>
      <c r="Z8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6" s="52" t="str">
        <f>IFERROR(INDEX(DraftResults[[#All],[Pick in Round]],MATCH(Table5[[#This Row],[PID]],DraftResults[[#All],[Player ID]],0)),"")</f>
        <v/>
      </c>
      <c r="AB816" s="52" t="str">
        <f>IFERROR(INDEX(DraftResults[[#All],[Team Name]],MATCH(Table5[[#This Row],[PID]],DraftResults[[#All],[Player ID]],0)),"")</f>
        <v/>
      </c>
      <c r="AC816" s="52" t="str">
        <f>IF(Table5[[#This Row],[Ovr]]="","",IF(Table5[[#This Row],[cmbList]]="","",Table5[[#This Row],[cmbList]]-Table5[[#This Row],[Ovr]]))</f>
        <v/>
      </c>
      <c r="AD816" s="56" t="str">
        <f>IF(ISERROR(VLOOKUP($AB816&amp;"-"&amp;$E816&amp;" "&amp;F816,Bonuses!$B$1:$G$1006,4,FALSE)),"",INT(VLOOKUP($AB816&amp;"-"&amp;$E816&amp;" "&amp;$F816,Bonuses!$B$1:$G$1006,4,FALSE)))</f>
        <v/>
      </c>
      <c r="AE8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7" spans="1:31" s="52" customFormat="1" x14ac:dyDescent="0.25">
      <c r="A817" s="52">
        <v>6466</v>
      </c>
      <c r="B817" s="52">
        <f>COUNTIF(Table5[PID],A817)</f>
        <v>1</v>
      </c>
      <c r="C817" s="52" t="str">
        <f>IF(COUNTIF(Table3[[#All],[PID]],A817)&gt;0,"P","B")</f>
        <v>P</v>
      </c>
      <c r="D817" s="61" t="str">
        <f>IF($C817="B",INDEX(Batters[[#All],[POS]],MATCH(Table5[[#This Row],[PID]],Batters[[#All],[PID]],0)),INDEX(Table3[[#All],[POS]],MATCH(Table5[[#This Row],[PID]],Table3[[#All],[PID]],0)))</f>
        <v>RP</v>
      </c>
      <c r="E817" s="54" t="str">
        <f>IF($C817="B",INDEX(Batters[[#All],[First]],MATCH(Table5[[#This Row],[PID]],Batters[[#All],[PID]],0)),INDEX(Table3[[#All],[First]],MATCH(Table5[[#This Row],[PID]],Table3[[#All],[PID]],0)))</f>
        <v>Kunisada</v>
      </c>
      <c r="F817" s="52" t="str">
        <f>IF($C817="B",INDEX(Batters[[#All],[Last]],MATCH(A817,Batters[[#All],[PID]],0)),INDEX(Table3[[#All],[Last]],MATCH(A817,Table3[[#All],[PID]],0)))</f>
        <v>Takahashi</v>
      </c>
      <c r="G817" s="58">
        <f>IF($C817="B",INDEX(Batters[[#All],[Age]],MATCH(Table5[[#This Row],[PID]],Batters[[#All],[PID]],0)),INDEX(Table3[[#All],[Age]],MATCH(Table5[[#This Row],[PID]],Table3[[#All],[PID]],0)))</f>
        <v>18</v>
      </c>
      <c r="H817" s="54" t="str">
        <f>IF($C817="B",INDEX(Batters[[#All],[B]],MATCH(Table5[[#This Row],[PID]],Batters[[#All],[PID]],0)),INDEX(Table3[[#All],[B]],MATCH(Table5[[#This Row],[PID]],Table3[[#All],[PID]],0)))</f>
        <v>R</v>
      </c>
      <c r="I817" s="54" t="str">
        <f>IF($C817="B",INDEX(Batters[[#All],[T]],MATCH(Table5[[#This Row],[PID]],Batters[[#All],[PID]],0)),INDEX(Table3[[#All],[T]],MATCH(Table5[[#This Row],[PID]],Table3[[#All],[PID]],0)))</f>
        <v>R</v>
      </c>
      <c r="J817" s="54" t="str">
        <f>IF($C817="B",INDEX(Batters[[#All],[WE]],MATCH(Table5[[#This Row],[PID]],Batters[[#All],[PID]],0)),INDEX(Table3[[#All],[WE]],MATCH(Table5[[#This Row],[PID]],Table3[[#All],[PID]],0)))</f>
        <v>High</v>
      </c>
      <c r="K817" s="54" t="str">
        <f>IF($C817="B",INDEX(Batters[[#All],[INT]],MATCH(Table5[[#This Row],[PID]],Batters[[#All],[PID]],0)),INDEX(Table3[[#All],[INT]],MATCH(Table5[[#This Row],[PID]],Table3[[#All],[PID]],0)))</f>
        <v>High</v>
      </c>
      <c r="L817" s="62">
        <f>IF($C817="B",INDEX(Batters[[#All],[CON P]],MATCH(Table5[[#This Row],[PID]],Batters[[#All],[PID]],0)),INDEX(Table3[[#All],[STU P]],MATCH(Table5[[#This Row],[PID]],Table3[[#All],[PID]],0)))</f>
        <v>2</v>
      </c>
      <c r="M817" s="58">
        <f>IF($C817="B",INDEX(Batters[[#All],[GAP P]],MATCH(Table5[[#This Row],[PID]],Batters[[#All],[PID]],0)),INDEX(Table3[[#All],[MOV P]],MATCH(Table5[[#This Row],[PID]],Table3[[#All],[PID]],0)))</f>
        <v>1</v>
      </c>
      <c r="N817" s="58">
        <f>IF($C817="B",INDEX(Batters[[#All],[POW P]],MATCH(Table5[[#This Row],[PID]],Batters[[#All],[PID]],0)),INDEX(Table3[[#All],[CON P]],MATCH(Table5[[#This Row],[PID]],Table3[[#All],[PID]],0)))</f>
        <v>2</v>
      </c>
      <c r="O817" s="58" t="str">
        <f>IF($C817="B",INDEX(Batters[[#All],[EYE P]],MATCH(Table5[[#This Row],[PID]],Batters[[#All],[PID]],0)),INDEX(Table3[[#All],[VELO]],MATCH(Table5[[#This Row],[PID]],Table3[[#All],[PID]],0)))</f>
        <v>84-86 Mph</v>
      </c>
      <c r="P817" s="58">
        <f>IF($C817="B",INDEX(Batters[[#All],[K P]],MATCH(Table5[[#This Row],[PID]],Batters[[#All],[PID]],0)),INDEX(Table3[[#All],[STM]],MATCH(Table5[[#This Row],[PID]],Table3[[#All],[PID]],0)))</f>
        <v>6</v>
      </c>
      <c r="Q817" s="63">
        <f>IF($C817="B",INDEX(Batters[[#All],[Tot]],MATCH(Table5[[#This Row],[PID]],Batters[[#All],[PID]],0)),INDEX(Table3[[#All],[Tot]],MATCH(Table5[[#This Row],[PID]],Table3[[#All],[PID]],0)))</f>
        <v>22.835332694726585</v>
      </c>
      <c r="R817" s="54">
        <f>IF($C817="B",INDEX(Batters[[#All],[zScore]],MATCH(Table5[[#This Row],[PID]],Batters[[#All],[PID]],0)),INDEX(Table3[[#All],[zScore]],MATCH(Table5[[#This Row],[PID]],Table3[[#All],[PID]],0)))</f>
        <v>-0.66257036294231386</v>
      </c>
      <c r="S817" s="60" t="str">
        <f>IF($C817="B",INDEX(Batters[[#All],[DEM]],MATCH(Table5[[#This Row],[PID]],Batters[[#All],[PID]],0)),INDEX(Table3[[#All],[DEM]],MATCH(Table5[[#This Row],[PID]],Table3[[#All],[PID]],0)))</f>
        <v>$130k</v>
      </c>
      <c r="T817" s="64">
        <f>IF($C817="B",VLOOKUP($A817,Bat!$A$4:$AU$1417,46,FALSE),VLOOKUP($A817,Pit!$A$4:$BD$570,55,FALSE))</f>
        <v>0</v>
      </c>
      <c r="U817" s="52">
        <f>IF($C817="B",VLOOKUP($A817,Bat!$A$4:$BA$1417,47,FALSE),VLOOKUP($A817,Pit!$A$4:$BF$570,56,FALSE))</f>
        <v>0</v>
      </c>
      <c r="V817" s="52">
        <f>IF($C817="B",VLOOKUP($A817,Bat!$A$4:$BA$1417,48,FALSE),VLOOKUP($A817,Pit!$A$4:$BF$570,57,FALSE))</f>
        <v>0</v>
      </c>
      <c r="W817" s="52">
        <f>Table5[[#This Row],[posRnk]]+Table5[[#This Row],[zRnk]]+IF($W$3&lt;&gt;Table5[[#This Row],[Type]],50,0)</f>
        <v>863</v>
      </c>
      <c r="X817" s="53">
        <f>RANK(Table5[[#This Row],[zScore]],Table5[[#All],[zScore]])</f>
        <v>813</v>
      </c>
      <c r="Y817" s="52" t="str">
        <f>IFERROR(INDEX(DraftResults[[#All],[OVR]],MATCH(Table5[[#This Row],[PID]],DraftResults[[#All],[Player ID]],0)),"")</f>
        <v/>
      </c>
      <c r="Z8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7" s="52" t="str">
        <f>IFERROR(INDEX(DraftResults[[#All],[Pick in Round]],MATCH(Table5[[#This Row],[PID]],DraftResults[[#All],[Player ID]],0)),"")</f>
        <v/>
      </c>
      <c r="AB817" s="52" t="str">
        <f>IFERROR(INDEX(DraftResults[[#All],[Team Name]],MATCH(Table5[[#This Row],[PID]],DraftResults[[#All],[Player ID]],0)),"")</f>
        <v/>
      </c>
      <c r="AC817" s="52" t="str">
        <f>IF(Table5[[#This Row],[Ovr]]="","",IF(Table5[[#This Row],[cmbList]]="","",Table5[[#This Row],[cmbList]]-Table5[[#This Row],[Ovr]]))</f>
        <v/>
      </c>
      <c r="AD817" s="56" t="str">
        <f>IF(ISERROR(VLOOKUP($AB817&amp;"-"&amp;$E817&amp;" "&amp;F817,Bonuses!$B$1:$G$1006,4,FALSE)),"",INT(VLOOKUP($AB817&amp;"-"&amp;$E817&amp;" "&amp;$F817,Bonuses!$B$1:$G$1006,4,FALSE)))</f>
        <v/>
      </c>
      <c r="AE8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8" spans="1:31" s="52" customFormat="1" x14ac:dyDescent="0.25">
      <c r="A818" s="52">
        <v>12702</v>
      </c>
      <c r="B818" s="52">
        <f>COUNTIF(Table5[PID],A818)</f>
        <v>1</v>
      </c>
      <c r="C818" s="52" t="str">
        <f>IF(COUNTIF(Table3[[#All],[PID]],A818)&gt;0,"P","B")</f>
        <v>B</v>
      </c>
      <c r="D818" s="61" t="str">
        <f>IF($C818="B",INDEX(Batters[[#All],[POS]],MATCH(Table5[[#This Row],[PID]],Batters[[#All],[PID]],0)),INDEX(Table3[[#All],[POS]],MATCH(Table5[[#This Row],[PID]],Table3[[#All],[PID]],0)))</f>
        <v>1B</v>
      </c>
      <c r="E818" s="54" t="str">
        <f>IF($C818="B",INDEX(Batters[[#All],[First]],MATCH(Table5[[#This Row],[PID]],Batters[[#All],[PID]],0)),INDEX(Table3[[#All],[First]],MATCH(Table5[[#This Row],[PID]],Table3[[#All],[PID]],0)))</f>
        <v>José</v>
      </c>
      <c r="F818" s="52" t="str">
        <f>IF($C818="B",INDEX(Batters[[#All],[Last]],MATCH(A818,Batters[[#All],[PID]],0)),INDEX(Table3[[#All],[Last]],MATCH(A818,Table3[[#All],[PID]],0)))</f>
        <v>Salas</v>
      </c>
      <c r="G818" s="58">
        <f>IF($C818="B",INDEX(Batters[[#All],[Age]],MATCH(Table5[[#This Row],[PID]],Batters[[#All],[PID]],0)),INDEX(Table3[[#All],[Age]],MATCH(Table5[[#This Row],[PID]],Table3[[#All],[PID]],0)))</f>
        <v>21</v>
      </c>
      <c r="H818" s="54" t="str">
        <f>IF($C818="B",INDEX(Batters[[#All],[B]],MATCH(Table5[[#This Row],[PID]],Batters[[#All],[PID]],0)),INDEX(Table3[[#All],[B]],MATCH(Table5[[#This Row],[PID]],Table3[[#All],[PID]],0)))</f>
        <v>R</v>
      </c>
      <c r="I818" s="54" t="str">
        <f>IF($C818="B",INDEX(Batters[[#All],[T]],MATCH(Table5[[#This Row],[PID]],Batters[[#All],[PID]],0)),INDEX(Table3[[#All],[T]],MATCH(Table5[[#This Row],[PID]],Table3[[#All],[PID]],0)))</f>
        <v>R</v>
      </c>
      <c r="J818" s="54" t="str">
        <f>IF($C818="B",INDEX(Batters[[#All],[WE]],MATCH(Table5[[#This Row],[PID]],Batters[[#All],[PID]],0)),INDEX(Table3[[#All],[WE]],MATCH(Table5[[#This Row],[PID]],Table3[[#All],[PID]],0)))</f>
        <v>High</v>
      </c>
      <c r="K818" s="54" t="str">
        <f>IF($C818="B",INDEX(Batters[[#All],[INT]],MATCH(Table5[[#This Row],[PID]],Batters[[#All],[PID]],0)),INDEX(Table3[[#All],[INT]],MATCH(Table5[[#This Row],[PID]],Table3[[#All],[PID]],0)))</f>
        <v>High</v>
      </c>
      <c r="L818" s="62">
        <f>IF($C818="B",INDEX(Batters[[#All],[CON P]],MATCH(Table5[[#This Row],[PID]],Batters[[#All],[PID]],0)),INDEX(Table3[[#All],[STU P]],MATCH(Table5[[#This Row],[PID]],Table3[[#All],[PID]],0)))</f>
        <v>3</v>
      </c>
      <c r="M818" s="58">
        <f>IF($C818="B",INDEX(Batters[[#All],[GAP P]],MATCH(Table5[[#This Row],[PID]],Batters[[#All],[PID]],0)),INDEX(Table3[[#All],[MOV P]],MATCH(Table5[[#This Row],[PID]],Table3[[#All],[PID]],0)))</f>
        <v>3</v>
      </c>
      <c r="N818" s="58">
        <f>IF($C818="B",INDEX(Batters[[#All],[POW P]],MATCH(Table5[[#This Row],[PID]],Batters[[#All],[PID]],0)),INDEX(Table3[[#All],[CON P]],MATCH(Table5[[#This Row],[PID]],Table3[[#All],[PID]],0)))</f>
        <v>4</v>
      </c>
      <c r="O818" s="58">
        <f>IF($C818="B",INDEX(Batters[[#All],[EYE P]],MATCH(Table5[[#This Row],[PID]],Batters[[#All],[PID]],0)),INDEX(Table3[[#All],[VELO]],MATCH(Table5[[#This Row],[PID]],Table3[[#All],[PID]],0)))</f>
        <v>4</v>
      </c>
      <c r="P818" s="58">
        <f>IF($C818="B",INDEX(Batters[[#All],[K P]],MATCH(Table5[[#This Row],[PID]],Batters[[#All],[PID]],0)),INDEX(Table3[[#All],[STM]],MATCH(Table5[[#This Row],[PID]],Table3[[#All],[PID]],0)))</f>
        <v>3</v>
      </c>
      <c r="Q818" s="63">
        <f>IF($C818="B",INDEX(Batters[[#All],[Tot]],MATCH(Table5[[#This Row],[PID]],Batters[[#All],[PID]],0)),INDEX(Table3[[#All],[Tot]],MATCH(Table5[[#This Row],[PID]],Table3[[#All],[PID]],0)))</f>
        <v>36.57204010859936</v>
      </c>
      <c r="R818" s="54">
        <f>IF($C818="B",INDEX(Batters[[#All],[zScore]],MATCH(Table5[[#This Row],[PID]],Batters[[#All],[PID]],0)),INDEX(Table3[[#All],[zScore]],MATCH(Table5[[#This Row],[PID]],Table3[[#All],[PID]],0)))</f>
        <v>-0.66439856774203787</v>
      </c>
      <c r="S818" s="60" t="str">
        <f>IF($C818="B",INDEX(Batters[[#All],[DEM]],MATCH(Table5[[#This Row],[PID]],Batters[[#All],[PID]],0)),INDEX(Table3[[#All],[DEM]],MATCH(Table5[[#This Row],[PID]],Table3[[#All],[PID]],0)))</f>
        <v>-</v>
      </c>
      <c r="T818" s="64">
        <f>IF($C818="B",VLOOKUP($A818,Bat!$A$4:$AU$1417,46,FALSE),VLOOKUP($A818,Pit!$A$4:$BD$570,55,FALSE))</f>
        <v>0</v>
      </c>
      <c r="U818" s="52">
        <f>IF($C818="B",VLOOKUP($A818,Bat!$A$4:$BA$1417,47,FALSE),VLOOKUP($A818,Pit!$A$4:$BF$570,56,FALSE))</f>
        <v>0</v>
      </c>
      <c r="V818" s="52">
        <f>IF($C818="B",VLOOKUP($A818,Bat!$A$4:$BA$1417,48,FALSE),VLOOKUP($A818,Pit!$A$4:$BF$570,57,FALSE))</f>
        <v>0</v>
      </c>
      <c r="W818" s="52">
        <f>Table5[[#This Row],[posRnk]]+Table5[[#This Row],[zRnk]]+IF($W$3&lt;&gt;Table5[[#This Row],[Type]],50,0)</f>
        <v>864</v>
      </c>
      <c r="X818" s="53">
        <f>RANK(Table5[[#This Row],[zScore]],Table5[[#All],[zScore]])</f>
        <v>814</v>
      </c>
      <c r="Y818" s="52" t="str">
        <f>IFERROR(INDEX(DraftResults[[#All],[OVR]],MATCH(Table5[[#This Row],[PID]],DraftResults[[#All],[Player ID]],0)),"")</f>
        <v/>
      </c>
      <c r="Z8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8" s="52" t="str">
        <f>IFERROR(INDEX(DraftResults[[#All],[Pick in Round]],MATCH(Table5[[#This Row],[PID]],DraftResults[[#All],[Player ID]],0)),"")</f>
        <v/>
      </c>
      <c r="AB818" s="52" t="str">
        <f>IFERROR(INDEX(DraftResults[[#All],[Team Name]],MATCH(Table5[[#This Row],[PID]],DraftResults[[#All],[Player ID]],0)),"")</f>
        <v/>
      </c>
      <c r="AC818" s="52" t="str">
        <f>IF(Table5[[#This Row],[Ovr]]="","",IF(Table5[[#This Row],[cmbList]]="","",Table5[[#This Row],[cmbList]]-Table5[[#This Row],[Ovr]]))</f>
        <v/>
      </c>
      <c r="AD818" s="56" t="str">
        <f>IF(ISERROR(VLOOKUP($AB818&amp;"-"&amp;$E818&amp;" "&amp;F818,Bonuses!$B$1:$G$1006,4,FALSE)),"",INT(VLOOKUP($AB818&amp;"-"&amp;$E818&amp;" "&amp;$F818,Bonuses!$B$1:$G$1006,4,FALSE)))</f>
        <v/>
      </c>
      <c r="AE8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9" spans="1:31" s="52" customFormat="1" x14ac:dyDescent="0.25">
      <c r="A819" s="52">
        <v>12592</v>
      </c>
      <c r="B819" s="57">
        <f>COUNTIF(Table5[PID],A819)</f>
        <v>1</v>
      </c>
      <c r="C819" s="57" t="str">
        <f>IF(COUNTIF(Table3[[#All],[PID]],A819)&gt;0,"P","B")</f>
        <v>B</v>
      </c>
      <c r="D819" s="61" t="str">
        <f>IF($C819="B",INDEX(Batters[[#All],[POS]],MATCH(Table5[[#This Row],[PID]],Batters[[#All],[PID]],0)),INDEX(Table3[[#All],[POS]],MATCH(Table5[[#This Row],[PID]],Table3[[#All],[PID]],0)))</f>
        <v>LF</v>
      </c>
      <c r="E819" s="54" t="str">
        <f>IF($C819="B",INDEX(Batters[[#All],[First]],MATCH(Table5[[#This Row],[PID]],Batters[[#All],[PID]],0)),INDEX(Table3[[#All],[First]],MATCH(Table5[[#This Row],[PID]],Table3[[#All],[PID]],0)))</f>
        <v>Jorge</v>
      </c>
      <c r="F819" s="52" t="str">
        <f>IF($C819="B",INDEX(Batters[[#All],[Last]],MATCH(A819,Batters[[#All],[PID]],0)),INDEX(Table3[[#All],[Last]],MATCH(A819,Table3[[#All],[PID]],0)))</f>
        <v>Rodríguez</v>
      </c>
      <c r="G819" s="58">
        <f>IF($C819="B",INDEX(Batters[[#All],[Age]],MATCH(Table5[[#This Row],[PID]],Batters[[#All],[PID]],0)),INDEX(Table3[[#All],[Age]],MATCH(Table5[[#This Row],[PID]],Table3[[#All],[PID]],0)))</f>
        <v>21</v>
      </c>
      <c r="H819" s="54" t="str">
        <f>IF($C819="B",INDEX(Batters[[#All],[B]],MATCH(Table5[[#This Row],[PID]],Batters[[#All],[PID]],0)),INDEX(Table3[[#All],[B]],MATCH(Table5[[#This Row],[PID]],Table3[[#All],[PID]],0)))</f>
        <v>R</v>
      </c>
      <c r="I819" s="54" t="str">
        <f>IF($C819="B",INDEX(Batters[[#All],[T]],MATCH(Table5[[#This Row],[PID]],Batters[[#All],[PID]],0)),INDEX(Table3[[#All],[T]],MATCH(Table5[[#This Row],[PID]],Table3[[#All],[PID]],0)))</f>
        <v>R</v>
      </c>
      <c r="J819" s="54" t="str">
        <f>IF($C819="B",INDEX(Batters[[#All],[WE]],MATCH(Table5[[#This Row],[PID]],Batters[[#All],[PID]],0)),INDEX(Table3[[#All],[WE]],MATCH(Table5[[#This Row],[PID]],Table3[[#All],[PID]],0)))</f>
        <v>Normal</v>
      </c>
      <c r="K819" s="54" t="str">
        <f>IF($C819="B",INDEX(Batters[[#All],[INT]],MATCH(Table5[[#This Row],[PID]],Batters[[#All],[PID]],0)),INDEX(Table3[[#All],[INT]],MATCH(Table5[[#This Row],[PID]],Table3[[#All],[PID]],0)))</f>
        <v>High</v>
      </c>
      <c r="L819" s="62">
        <f>IF($C819="B",INDEX(Batters[[#All],[CON P]],MATCH(Table5[[#This Row],[PID]],Batters[[#All],[PID]],0)),INDEX(Table3[[#All],[STU P]],MATCH(Table5[[#This Row],[PID]],Table3[[#All],[PID]],0)))</f>
        <v>3</v>
      </c>
      <c r="M819" s="58">
        <f>IF($C819="B",INDEX(Batters[[#All],[GAP P]],MATCH(Table5[[#This Row],[PID]],Batters[[#All],[PID]],0)),INDEX(Table3[[#All],[MOV P]],MATCH(Table5[[#This Row],[PID]],Table3[[#All],[PID]],0)))</f>
        <v>4</v>
      </c>
      <c r="N819" s="58">
        <f>IF($C819="B",INDEX(Batters[[#All],[POW P]],MATCH(Table5[[#This Row],[PID]],Batters[[#All],[PID]],0)),INDEX(Table3[[#All],[CON P]],MATCH(Table5[[#This Row],[PID]],Table3[[#All],[PID]],0)))</f>
        <v>4</v>
      </c>
      <c r="O819" s="58">
        <f>IF($C819="B",INDEX(Batters[[#All],[EYE P]],MATCH(Table5[[#This Row],[PID]],Batters[[#All],[PID]],0)),INDEX(Table3[[#All],[VELO]],MATCH(Table5[[#This Row],[PID]],Table3[[#All],[PID]],0)))</f>
        <v>3</v>
      </c>
      <c r="P819" s="58">
        <f>IF($C819="B",INDEX(Batters[[#All],[K P]],MATCH(Table5[[#This Row],[PID]],Batters[[#All],[PID]],0)),INDEX(Table3[[#All],[STM]],MATCH(Table5[[#This Row],[PID]],Table3[[#All],[PID]],0)))</f>
        <v>3</v>
      </c>
      <c r="Q819" s="63">
        <f>IF($C819="B",INDEX(Batters[[#All],[Tot]],MATCH(Table5[[#This Row],[PID]],Batters[[#All],[PID]],0)),INDEX(Table3[[#All],[Tot]],MATCH(Table5[[#This Row],[PID]],Table3[[#All],[PID]],0)))</f>
        <v>36.565038239320444</v>
      </c>
      <c r="R819" s="54">
        <f>IF($C819="B",INDEX(Batters[[#All],[zScore]],MATCH(Table5[[#This Row],[PID]],Batters[[#All],[PID]],0)),INDEX(Table3[[#All],[zScore]],MATCH(Table5[[#This Row],[PID]],Table3[[#All],[PID]],0)))</f>
        <v>-0.66563050010511582</v>
      </c>
      <c r="S819" s="60" t="str">
        <f>IF($C819="B",INDEX(Batters[[#All],[DEM]],MATCH(Table5[[#This Row],[PID]],Batters[[#All],[PID]],0)),INDEX(Table3[[#All],[DEM]],MATCH(Table5[[#This Row],[PID]],Table3[[#All],[PID]],0)))</f>
        <v>$140k</v>
      </c>
      <c r="T819" s="64">
        <f>IF($C819="B",VLOOKUP($A819,Bat!$A$4:$AU$1417,46,FALSE),VLOOKUP($A819,Pit!$A$4:$BD$570,55,FALSE))</f>
        <v>0</v>
      </c>
      <c r="U819" s="52">
        <f>IF($C819="B",VLOOKUP($A819,Bat!$A$4:$BA$1417,47,FALSE),VLOOKUP($A819,Pit!$A$4:$BF$570,56,FALSE))</f>
        <v>0</v>
      </c>
      <c r="V819" s="52">
        <f>IF($C819="B",VLOOKUP($A819,Bat!$A$4:$BA$1417,48,FALSE),VLOOKUP($A819,Pit!$A$4:$BF$570,57,FALSE))</f>
        <v>0</v>
      </c>
      <c r="W819" s="52">
        <f>Table5[[#This Row],[posRnk]]+Table5[[#This Row],[zRnk]]+IF($W$3&lt;&gt;Table5[[#This Row],[Type]],50,0)</f>
        <v>865</v>
      </c>
      <c r="X819" s="53">
        <f>RANK(Table5[[#This Row],[zScore]],Table5[[#All],[zScore]])</f>
        <v>815</v>
      </c>
      <c r="Y819" s="52" t="str">
        <f>IFERROR(INDEX(DraftResults[[#All],[OVR]],MATCH(Table5[[#This Row],[PID]],DraftResults[[#All],[Player ID]],0)),"")</f>
        <v/>
      </c>
      <c r="Z8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9" s="52" t="str">
        <f>IFERROR(INDEX(DraftResults[[#All],[Pick in Round]],MATCH(Table5[[#This Row],[PID]],DraftResults[[#All],[Player ID]],0)),"")</f>
        <v/>
      </c>
      <c r="AB819" s="52" t="str">
        <f>IFERROR(INDEX(DraftResults[[#All],[Team Name]],MATCH(Table5[[#This Row],[PID]],DraftResults[[#All],[Player ID]],0)),"")</f>
        <v/>
      </c>
      <c r="AC819" s="52" t="str">
        <f>IF(Table5[[#This Row],[Ovr]]="","",IF(Table5[[#This Row],[cmbList]]="","",Table5[[#This Row],[cmbList]]-Table5[[#This Row],[Ovr]]))</f>
        <v/>
      </c>
      <c r="AD819" s="56" t="str">
        <f>IF(ISERROR(VLOOKUP($AB819&amp;"-"&amp;$E819&amp;" "&amp;F819,Bonuses!$B$1:$G$1006,4,FALSE)),"",INT(VLOOKUP($AB819&amp;"-"&amp;$E819&amp;" "&amp;$F819,Bonuses!$B$1:$G$1006,4,FALSE)))</f>
        <v/>
      </c>
      <c r="AE8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0" spans="1:31" s="52" customFormat="1" x14ac:dyDescent="0.25">
      <c r="A820" s="52">
        <v>8017</v>
      </c>
      <c r="B820" s="52">
        <f>COUNTIF(Table5[PID],A820)</f>
        <v>1</v>
      </c>
      <c r="C820" s="52" t="str">
        <f>IF(COUNTIF(Table3[[#All],[PID]],A820)&gt;0,"P","B")</f>
        <v>P</v>
      </c>
      <c r="D820" s="61" t="str">
        <f>IF($C820="B",INDEX(Batters[[#All],[POS]],MATCH(Table5[[#This Row],[PID]],Batters[[#All],[PID]],0)),INDEX(Table3[[#All],[POS]],MATCH(Table5[[#This Row],[PID]],Table3[[#All],[PID]],0)))</f>
        <v>RP</v>
      </c>
      <c r="E820" s="54" t="str">
        <f>IF($C820="B",INDEX(Batters[[#All],[First]],MATCH(Table5[[#This Row],[PID]],Batters[[#All],[PID]],0)),INDEX(Table3[[#All],[First]],MATCH(Table5[[#This Row],[PID]],Table3[[#All],[PID]],0)))</f>
        <v>Matt</v>
      </c>
      <c r="F820" s="52" t="str">
        <f>IF($C820="B",INDEX(Batters[[#All],[Last]],MATCH(A820,Batters[[#All],[PID]],0)),INDEX(Table3[[#All],[Last]],MATCH(A820,Table3[[#All],[PID]],0)))</f>
        <v>Christopher</v>
      </c>
      <c r="G820" s="58">
        <f>IF($C820="B",INDEX(Batters[[#All],[Age]],MATCH(Table5[[#This Row],[PID]],Batters[[#All],[PID]],0)),INDEX(Table3[[#All],[Age]],MATCH(Table5[[#This Row],[PID]],Table3[[#All],[PID]],0)))</f>
        <v>18</v>
      </c>
      <c r="H820" s="54" t="str">
        <f>IF($C820="B",INDEX(Batters[[#All],[B]],MATCH(Table5[[#This Row],[PID]],Batters[[#All],[PID]],0)),INDEX(Table3[[#All],[B]],MATCH(Table5[[#This Row],[PID]],Table3[[#All],[PID]],0)))</f>
        <v>R</v>
      </c>
      <c r="I820" s="54" t="str">
        <f>IF($C820="B",INDEX(Batters[[#All],[T]],MATCH(Table5[[#This Row],[PID]],Batters[[#All],[PID]],0)),INDEX(Table3[[#All],[T]],MATCH(Table5[[#This Row],[PID]],Table3[[#All],[PID]],0)))</f>
        <v>R</v>
      </c>
      <c r="J820" s="54" t="str">
        <f>IF($C820="B",INDEX(Batters[[#All],[WE]],MATCH(Table5[[#This Row],[PID]],Batters[[#All],[PID]],0)),INDEX(Table3[[#All],[WE]],MATCH(Table5[[#This Row],[PID]],Table3[[#All],[PID]],0)))</f>
        <v>Low</v>
      </c>
      <c r="K820" s="54" t="str">
        <f>IF($C820="B",INDEX(Batters[[#All],[INT]],MATCH(Table5[[#This Row],[PID]],Batters[[#All],[PID]],0)),INDEX(Table3[[#All],[INT]],MATCH(Table5[[#This Row],[PID]],Table3[[#All],[PID]],0)))</f>
        <v>Normal</v>
      </c>
      <c r="L820" s="62">
        <f>IF($C820="B",INDEX(Batters[[#All],[CON P]],MATCH(Table5[[#This Row],[PID]],Batters[[#All],[PID]],0)),INDEX(Table3[[#All],[STU P]],MATCH(Table5[[#This Row],[PID]],Table3[[#All],[PID]],0)))</f>
        <v>4</v>
      </c>
      <c r="M820" s="58">
        <f>IF($C820="B",INDEX(Batters[[#All],[GAP P]],MATCH(Table5[[#This Row],[PID]],Batters[[#All],[PID]],0)),INDEX(Table3[[#All],[MOV P]],MATCH(Table5[[#This Row],[PID]],Table3[[#All],[PID]],0)))</f>
        <v>1</v>
      </c>
      <c r="N820" s="58">
        <f>IF($C820="B",INDEX(Batters[[#All],[POW P]],MATCH(Table5[[#This Row],[PID]],Batters[[#All],[PID]],0)),INDEX(Table3[[#All],[CON P]],MATCH(Table5[[#This Row],[PID]],Table3[[#All],[PID]],0)))</f>
        <v>2</v>
      </c>
      <c r="O820" s="58" t="str">
        <f>IF($C820="B",INDEX(Batters[[#All],[EYE P]],MATCH(Table5[[#This Row],[PID]],Batters[[#All],[PID]],0)),INDEX(Table3[[#All],[VELO]],MATCH(Table5[[#This Row],[PID]],Table3[[#All],[PID]],0)))</f>
        <v>85-87 Mph</v>
      </c>
      <c r="P820" s="58">
        <f>IF($C820="B",INDEX(Batters[[#All],[K P]],MATCH(Table5[[#This Row],[PID]],Batters[[#All],[PID]],0)),INDEX(Table3[[#All],[STM]],MATCH(Table5[[#This Row],[PID]],Table3[[#All],[PID]],0)))</f>
        <v>7</v>
      </c>
      <c r="Q820" s="63">
        <f>IF($C820="B",INDEX(Batters[[#All],[Tot]],MATCH(Table5[[#This Row],[PID]],Batters[[#All],[PID]],0)),INDEX(Table3[[#All],[Tot]],MATCH(Table5[[#This Row],[PID]],Table3[[#All],[PID]],0)))</f>
        <v>25.449413989457138</v>
      </c>
      <c r="R820" s="54">
        <f>IF($C820="B",INDEX(Batters[[#All],[zScore]],MATCH(Table5[[#This Row],[PID]],Batters[[#All],[PID]],0)),INDEX(Table3[[#All],[zScore]],MATCH(Table5[[#This Row],[PID]],Table3[[#All],[PID]],0)))</f>
        <v>-0.66695022524227177</v>
      </c>
      <c r="S820" s="60" t="str">
        <f>IF($C820="B",INDEX(Batters[[#All],[DEM]],MATCH(Table5[[#This Row],[PID]],Batters[[#All],[PID]],0)),INDEX(Table3[[#All],[DEM]],MATCH(Table5[[#This Row],[PID]],Table3[[#All],[PID]],0)))</f>
        <v>$65k</v>
      </c>
      <c r="T820" s="64">
        <f>IF($C820="B",VLOOKUP($A820,Bat!$A$4:$AU$1417,46,FALSE),VLOOKUP($A820,Pit!$A$4:$BD$570,55,FALSE))</f>
        <v>0</v>
      </c>
      <c r="U820" s="52">
        <f>IF($C820="B",VLOOKUP($A820,Bat!$A$4:$BA$1417,47,FALSE),VLOOKUP($A820,Pit!$A$4:$BF$570,56,FALSE))</f>
        <v>0</v>
      </c>
      <c r="V820" s="52">
        <f>IF($C820="B",VLOOKUP($A820,Bat!$A$4:$BA$1417,48,FALSE),VLOOKUP($A820,Pit!$A$4:$BF$570,57,FALSE))</f>
        <v>0</v>
      </c>
      <c r="W820" s="52">
        <f>Table5[[#This Row],[posRnk]]+Table5[[#This Row],[zRnk]]+IF($W$3&lt;&gt;Table5[[#This Row],[Type]],50,0)</f>
        <v>866</v>
      </c>
      <c r="X820" s="53">
        <f>RANK(Table5[[#This Row],[zScore]],Table5[[#All],[zScore]])</f>
        <v>816</v>
      </c>
      <c r="Y820" s="52" t="str">
        <f>IFERROR(INDEX(DraftResults[[#All],[OVR]],MATCH(Table5[[#This Row],[PID]],DraftResults[[#All],[Player ID]],0)),"")</f>
        <v/>
      </c>
      <c r="Z8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0" s="52" t="str">
        <f>IFERROR(INDEX(DraftResults[[#All],[Pick in Round]],MATCH(Table5[[#This Row],[PID]],DraftResults[[#All],[Player ID]],0)),"")</f>
        <v/>
      </c>
      <c r="AB820" s="52" t="str">
        <f>IFERROR(INDEX(DraftResults[[#All],[Team Name]],MATCH(Table5[[#This Row],[PID]],DraftResults[[#All],[Player ID]],0)),"")</f>
        <v/>
      </c>
      <c r="AC820" s="52" t="str">
        <f>IF(Table5[[#This Row],[Ovr]]="","",IF(Table5[[#This Row],[cmbList]]="","",Table5[[#This Row],[cmbList]]-Table5[[#This Row],[Ovr]]))</f>
        <v/>
      </c>
      <c r="AD820" s="56" t="str">
        <f>IF(ISERROR(VLOOKUP($AB820&amp;"-"&amp;$E820&amp;" "&amp;F820,Bonuses!$B$1:$G$1006,4,FALSE)),"",INT(VLOOKUP($AB820&amp;"-"&amp;$E820&amp;" "&amp;$F820,Bonuses!$B$1:$G$1006,4,FALSE)))</f>
        <v/>
      </c>
      <c r="AE8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1" spans="1:31" s="52" customFormat="1" x14ac:dyDescent="0.25">
      <c r="A821" s="52">
        <v>12707</v>
      </c>
      <c r="B821" s="57">
        <f>COUNTIF(Table5[PID],A821)</f>
        <v>1</v>
      </c>
      <c r="C821" s="57" t="str">
        <f>IF(COUNTIF(Table3[[#All],[PID]],A821)&gt;0,"P","B")</f>
        <v>B</v>
      </c>
      <c r="D821" s="61" t="str">
        <f>IF($C821="B",INDEX(Batters[[#All],[POS]],MATCH(Table5[[#This Row],[PID]],Batters[[#All],[PID]],0)),INDEX(Table3[[#All],[POS]],MATCH(Table5[[#This Row],[PID]],Table3[[#All],[PID]],0)))</f>
        <v>RF</v>
      </c>
      <c r="E821" s="54" t="str">
        <f>IF($C821="B",INDEX(Batters[[#All],[First]],MATCH(Table5[[#This Row],[PID]],Batters[[#All],[PID]],0)),INDEX(Table3[[#All],[First]],MATCH(Table5[[#This Row],[PID]],Table3[[#All],[PID]],0)))</f>
        <v>Trevor</v>
      </c>
      <c r="F821" s="52" t="str">
        <f>IF($C821="B",INDEX(Batters[[#All],[Last]],MATCH(A821,Batters[[#All],[PID]],0)),INDEX(Table3[[#All],[Last]],MATCH(A821,Table3[[#All],[PID]],0)))</f>
        <v>Weijers</v>
      </c>
      <c r="G821" s="58">
        <f>IF($C821="B",INDEX(Batters[[#All],[Age]],MATCH(Table5[[#This Row],[PID]],Batters[[#All],[PID]],0)),INDEX(Table3[[#All],[Age]],MATCH(Table5[[#This Row],[PID]],Table3[[#All],[PID]],0)))</f>
        <v>21</v>
      </c>
      <c r="H821" s="54" t="str">
        <f>IF($C821="B",INDEX(Batters[[#All],[B]],MATCH(Table5[[#This Row],[PID]],Batters[[#All],[PID]],0)),INDEX(Table3[[#All],[B]],MATCH(Table5[[#This Row],[PID]],Table3[[#All],[PID]],0)))</f>
        <v>R</v>
      </c>
      <c r="I821" s="54" t="str">
        <f>IF($C821="B",INDEX(Batters[[#All],[T]],MATCH(Table5[[#This Row],[PID]],Batters[[#All],[PID]],0)),INDEX(Table3[[#All],[T]],MATCH(Table5[[#This Row],[PID]],Table3[[#All],[PID]],0)))</f>
        <v>R</v>
      </c>
      <c r="J821" s="54" t="str">
        <f>IF($C821="B",INDEX(Batters[[#All],[WE]],MATCH(Table5[[#This Row],[PID]],Batters[[#All],[PID]],0)),INDEX(Table3[[#All],[WE]],MATCH(Table5[[#This Row],[PID]],Table3[[#All],[PID]],0)))</f>
        <v>High</v>
      </c>
      <c r="K821" s="54" t="str">
        <f>IF($C821="B",INDEX(Batters[[#All],[INT]],MATCH(Table5[[#This Row],[PID]],Batters[[#All],[PID]],0)),INDEX(Table3[[#All],[INT]],MATCH(Table5[[#This Row],[PID]],Table3[[#All],[PID]],0)))</f>
        <v>Normal</v>
      </c>
      <c r="L821" s="62">
        <f>IF($C821="B",INDEX(Batters[[#All],[CON P]],MATCH(Table5[[#This Row],[PID]],Batters[[#All],[PID]],0)),INDEX(Table3[[#All],[STU P]],MATCH(Table5[[#This Row],[PID]],Table3[[#All],[PID]],0)))</f>
        <v>3</v>
      </c>
      <c r="M821" s="58">
        <f>IF($C821="B",INDEX(Batters[[#All],[GAP P]],MATCH(Table5[[#This Row],[PID]],Batters[[#All],[PID]],0)),INDEX(Table3[[#All],[MOV P]],MATCH(Table5[[#This Row],[PID]],Table3[[#All],[PID]],0)))</f>
        <v>4</v>
      </c>
      <c r="N821" s="58">
        <f>IF($C821="B",INDEX(Batters[[#All],[POW P]],MATCH(Table5[[#This Row],[PID]],Batters[[#All],[PID]],0)),INDEX(Table3[[#All],[CON P]],MATCH(Table5[[#This Row],[PID]],Table3[[#All],[PID]],0)))</f>
        <v>3</v>
      </c>
      <c r="O821" s="58">
        <f>IF($C821="B",INDEX(Batters[[#All],[EYE P]],MATCH(Table5[[#This Row],[PID]],Batters[[#All],[PID]],0)),INDEX(Table3[[#All],[VELO]],MATCH(Table5[[#This Row],[PID]],Table3[[#All],[PID]],0)))</f>
        <v>4</v>
      </c>
      <c r="P821" s="58">
        <f>IF($C821="B",INDEX(Batters[[#All],[K P]],MATCH(Table5[[#This Row],[PID]],Batters[[#All],[PID]],0)),INDEX(Table3[[#All],[STM]],MATCH(Table5[[#This Row],[PID]],Table3[[#All],[PID]],0)))</f>
        <v>3</v>
      </c>
      <c r="Q821" s="63">
        <f>IF($C821="B",INDEX(Batters[[#All],[Tot]],MATCH(Table5[[#This Row],[PID]],Batters[[#All],[PID]],0)),INDEX(Table3[[#All],[Tot]],MATCH(Table5[[#This Row],[PID]],Table3[[#All],[PID]],0)))</f>
        <v>36.552097678699809</v>
      </c>
      <c r="R821" s="54">
        <f>IF($C821="B",INDEX(Batters[[#All],[zScore]],MATCH(Table5[[#This Row],[PID]],Batters[[#All],[PID]],0)),INDEX(Table3[[#All],[zScore]],MATCH(Table5[[#This Row],[PID]],Table3[[#All],[PID]],0)))</f>
        <v>-0.66790730573942469</v>
      </c>
      <c r="S821" s="60" t="str">
        <f>IF($C821="B",INDEX(Batters[[#All],[DEM]],MATCH(Table5[[#This Row],[PID]],Batters[[#All],[PID]],0)),INDEX(Table3[[#All],[DEM]],MATCH(Table5[[#This Row],[PID]],Table3[[#All],[PID]],0)))</f>
        <v>-</v>
      </c>
      <c r="T821" s="64">
        <f>IF($C821="B",VLOOKUP($A821,Bat!$A$4:$AU$1417,46,FALSE),VLOOKUP($A821,Pit!$A$4:$BD$570,55,FALSE))</f>
        <v>0</v>
      </c>
      <c r="U821" s="52">
        <f>IF($C821="B",VLOOKUP($A821,Bat!$A$4:$BA$1417,47,FALSE),VLOOKUP($A821,Pit!$A$4:$BF$570,56,FALSE))</f>
        <v>0</v>
      </c>
      <c r="V821" s="52">
        <f>IF($C821="B",VLOOKUP($A821,Bat!$A$4:$BA$1417,48,FALSE),VLOOKUP($A821,Pit!$A$4:$BF$570,57,FALSE))</f>
        <v>0</v>
      </c>
      <c r="W821" s="52">
        <f>Table5[[#This Row],[posRnk]]+Table5[[#This Row],[zRnk]]+IF($W$3&lt;&gt;Table5[[#This Row],[Type]],50,0)</f>
        <v>867</v>
      </c>
      <c r="X821" s="53">
        <f>RANK(Table5[[#This Row],[zScore]],Table5[[#All],[zScore]])</f>
        <v>817</v>
      </c>
      <c r="Y821" s="52" t="str">
        <f>IFERROR(INDEX(DraftResults[[#All],[OVR]],MATCH(Table5[[#This Row],[PID]],DraftResults[[#All],[Player ID]],0)),"")</f>
        <v/>
      </c>
      <c r="Z8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1" s="52" t="str">
        <f>IFERROR(INDEX(DraftResults[[#All],[Pick in Round]],MATCH(Table5[[#This Row],[PID]],DraftResults[[#All],[Player ID]],0)),"")</f>
        <v/>
      </c>
      <c r="AB821" s="52" t="str">
        <f>IFERROR(INDEX(DraftResults[[#All],[Team Name]],MATCH(Table5[[#This Row],[PID]],DraftResults[[#All],[Player ID]],0)),"")</f>
        <v/>
      </c>
      <c r="AC821" s="52" t="str">
        <f>IF(Table5[[#This Row],[Ovr]]="","",IF(Table5[[#This Row],[cmbList]]="","",Table5[[#This Row],[cmbList]]-Table5[[#This Row],[Ovr]]))</f>
        <v/>
      </c>
      <c r="AD821" s="56" t="str">
        <f>IF(ISERROR(VLOOKUP($AB821&amp;"-"&amp;$E821&amp;" "&amp;F821,Bonuses!$B$1:$G$1006,4,FALSE)),"",INT(VLOOKUP($AB821&amp;"-"&amp;$E821&amp;" "&amp;$F821,Bonuses!$B$1:$G$1006,4,FALSE)))</f>
        <v/>
      </c>
      <c r="AE8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2" spans="1:31" s="52" customFormat="1" x14ac:dyDescent="0.25">
      <c r="A822" s="52">
        <v>6687</v>
      </c>
      <c r="B822" s="52">
        <f>COUNTIF(Table5[PID],A822)</f>
        <v>1</v>
      </c>
      <c r="C822" s="52" t="str">
        <f>IF(COUNTIF(Table3[[#All],[PID]],A822)&gt;0,"P","B")</f>
        <v>P</v>
      </c>
      <c r="D822" s="61" t="str">
        <f>IF($C822="B",INDEX(Batters[[#All],[POS]],MATCH(Table5[[#This Row],[PID]],Batters[[#All],[PID]],0)),INDEX(Table3[[#All],[POS]],MATCH(Table5[[#This Row],[PID]],Table3[[#All],[PID]],0)))</f>
        <v>RP</v>
      </c>
      <c r="E822" s="54" t="str">
        <f>IF($C822="B",INDEX(Batters[[#All],[First]],MATCH(Table5[[#This Row],[PID]],Batters[[#All],[PID]],0)),INDEX(Table3[[#All],[First]],MATCH(Table5[[#This Row],[PID]],Table3[[#All],[PID]],0)))</f>
        <v>Doug</v>
      </c>
      <c r="F822" s="52" t="str">
        <f>IF($C822="B",INDEX(Batters[[#All],[Last]],MATCH(A822,Batters[[#All],[PID]],0)),INDEX(Table3[[#All],[Last]],MATCH(A822,Table3[[#All],[PID]],0)))</f>
        <v>Askin</v>
      </c>
      <c r="G822" s="58">
        <f>IF($C822="B",INDEX(Batters[[#All],[Age]],MATCH(Table5[[#This Row],[PID]],Batters[[#All],[PID]],0)),INDEX(Table3[[#All],[Age]],MATCH(Table5[[#This Row],[PID]],Table3[[#All],[PID]],0)))</f>
        <v>18</v>
      </c>
      <c r="H822" s="54" t="str">
        <f>IF($C822="B",INDEX(Batters[[#All],[B]],MATCH(Table5[[#This Row],[PID]],Batters[[#All],[PID]],0)),INDEX(Table3[[#All],[B]],MATCH(Table5[[#This Row],[PID]],Table3[[#All],[PID]],0)))</f>
        <v>R</v>
      </c>
      <c r="I822" s="54" t="str">
        <f>IF($C822="B",INDEX(Batters[[#All],[T]],MATCH(Table5[[#This Row],[PID]],Batters[[#All],[PID]],0)),INDEX(Table3[[#All],[T]],MATCH(Table5[[#This Row],[PID]],Table3[[#All],[PID]],0)))</f>
        <v>R</v>
      </c>
      <c r="J822" s="54" t="str">
        <f>IF($C822="B",INDEX(Batters[[#All],[WE]],MATCH(Table5[[#This Row],[PID]],Batters[[#All],[PID]],0)),INDEX(Table3[[#All],[WE]],MATCH(Table5[[#This Row],[PID]],Table3[[#All],[PID]],0)))</f>
        <v>Normal</v>
      </c>
      <c r="K822" s="54" t="str">
        <f>IF($C822="B",INDEX(Batters[[#All],[INT]],MATCH(Table5[[#This Row],[PID]],Batters[[#All],[PID]],0)),INDEX(Table3[[#All],[INT]],MATCH(Table5[[#This Row],[PID]],Table3[[#All],[PID]],0)))</f>
        <v>Normal</v>
      </c>
      <c r="L822" s="62">
        <f>IF($C822="B",INDEX(Batters[[#All],[CON P]],MATCH(Table5[[#This Row],[PID]],Batters[[#All],[PID]],0)),INDEX(Table3[[#All],[STU P]],MATCH(Table5[[#This Row],[PID]],Table3[[#All],[PID]],0)))</f>
        <v>3</v>
      </c>
      <c r="M822" s="58">
        <f>IF($C822="B",INDEX(Batters[[#All],[GAP P]],MATCH(Table5[[#This Row],[PID]],Batters[[#All],[PID]],0)),INDEX(Table3[[#All],[MOV P]],MATCH(Table5[[#This Row],[PID]],Table3[[#All],[PID]],0)))</f>
        <v>1</v>
      </c>
      <c r="N822" s="58">
        <f>IF($C822="B",INDEX(Batters[[#All],[POW P]],MATCH(Table5[[#This Row],[PID]],Batters[[#All],[PID]],0)),INDEX(Table3[[#All],[CON P]],MATCH(Table5[[#This Row],[PID]],Table3[[#All],[PID]],0)))</f>
        <v>2</v>
      </c>
      <c r="O822" s="58" t="str">
        <f>IF($C822="B",INDEX(Batters[[#All],[EYE P]],MATCH(Table5[[#This Row],[PID]],Batters[[#All],[PID]],0)),INDEX(Table3[[#All],[VELO]],MATCH(Table5[[#This Row],[PID]],Table3[[#All],[PID]],0)))</f>
        <v>83-85 Mph</v>
      </c>
      <c r="P822" s="58">
        <f>IF($C822="B",INDEX(Batters[[#All],[K P]],MATCH(Table5[[#This Row],[PID]],Batters[[#All],[PID]],0)),INDEX(Table3[[#All],[STM]],MATCH(Table5[[#This Row],[PID]],Table3[[#All],[PID]],0)))</f>
        <v>6</v>
      </c>
      <c r="Q822" s="63">
        <f>IF($C822="B",INDEX(Batters[[#All],[Tot]],MATCH(Table5[[#This Row],[PID]],Batters[[#All],[PID]],0)),INDEX(Table3[[#All],[Tot]],MATCH(Table5[[#This Row],[PID]],Table3[[#All],[PID]],0)))</f>
        <v>25.432790439862575</v>
      </c>
      <c r="R822" s="54">
        <f>IF($C822="B",INDEX(Batters[[#All],[zScore]],MATCH(Table5[[#This Row],[PID]],Batters[[#All],[PID]],0)),INDEX(Table3[[#All],[zScore]],MATCH(Table5[[#This Row],[PID]],Table3[[#All],[PID]],0)))</f>
        <v>-0.66847467579063746</v>
      </c>
      <c r="S822" s="60" t="str">
        <f>IF($C822="B",INDEX(Batters[[#All],[DEM]],MATCH(Table5[[#This Row],[PID]],Batters[[#All],[PID]],0)),INDEX(Table3[[#All],[DEM]],MATCH(Table5[[#This Row],[PID]],Table3[[#All],[PID]],0)))</f>
        <v>$65k</v>
      </c>
      <c r="T822" s="64">
        <f>IF($C822="B",VLOOKUP($A822,Bat!$A$4:$AU$1417,46,FALSE),VLOOKUP($A822,Pit!$A$4:$BD$570,55,FALSE))</f>
        <v>0</v>
      </c>
      <c r="U822" s="52">
        <f>IF($C822="B",VLOOKUP($A822,Bat!$A$4:$BA$1417,47,FALSE),VLOOKUP($A822,Pit!$A$4:$BF$570,56,FALSE))</f>
        <v>0</v>
      </c>
      <c r="V822" s="52">
        <f>IF($C822="B",VLOOKUP($A822,Bat!$A$4:$BA$1417,48,FALSE),VLOOKUP($A822,Pit!$A$4:$BF$570,57,FALSE))</f>
        <v>0</v>
      </c>
      <c r="W822" s="52">
        <f>Table5[[#This Row],[posRnk]]+Table5[[#This Row],[zRnk]]+IF($W$3&lt;&gt;Table5[[#This Row],[Type]],50,0)</f>
        <v>868</v>
      </c>
      <c r="X822" s="53">
        <f>RANK(Table5[[#This Row],[zScore]],Table5[[#All],[zScore]])</f>
        <v>818</v>
      </c>
      <c r="Y822" s="52" t="str">
        <f>IFERROR(INDEX(DraftResults[[#All],[OVR]],MATCH(Table5[[#This Row],[PID]],DraftResults[[#All],[Player ID]],0)),"")</f>
        <v/>
      </c>
      <c r="Z8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2" s="52" t="str">
        <f>IFERROR(INDEX(DraftResults[[#All],[Pick in Round]],MATCH(Table5[[#This Row],[PID]],DraftResults[[#All],[Player ID]],0)),"")</f>
        <v/>
      </c>
      <c r="AB822" s="52" t="str">
        <f>IFERROR(INDEX(DraftResults[[#All],[Team Name]],MATCH(Table5[[#This Row],[PID]],DraftResults[[#All],[Player ID]],0)),"")</f>
        <v/>
      </c>
      <c r="AC822" s="52" t="str">
        <f>IF(Table5[[#This Row],[Ovr]]="","",IF(Table5[[#This Row],[cmbList]]="","",Table5[[#This Row],[cmbList]]-Table5[[#This Row],[Ovr]]))</f>
        <v/>
      </c>
      <c r="AD822" s="56" t="str">
        <f>IF(ISERROR(VLOOKUP($AB822&amp;"-"&amp;$E822&amp;" "&amp;F822,Bonuses!$B$1:$G$1006,4,FALSE)),"",INT(VLOOKUP($AB822&amp;"-"&amp;$E822&amp;" "&amp;$F822,Bonuses!$B$1:$G$1006,4,FALSE)))</f>
        <v/>
      </c>
      <c r="AE8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3" spans="1:31" s="52" customFormat="1" x14ac:dyDescent="0.25">
      <c r="A823" s="52">
        <v>11167</v>
      </c>
      <c r="B823" s="52">
        <f>COUNTIF(Table5[PID],A823)</f>
        <v>1</v>
      </c>
      <c r="C823" s="52" t="str">
        <f>IF(COUNTIF(Table3[[#All],[PID]],A823)&gt;0,"P","B")</f>
        <v>P</v>
      </c>
      <c r="D823" s="61" t="str">
        <f>IF($C823="B",INDEX(Batters[[#All],[POS]],MATCH(Table5[[#This Row],[PID]],Batters[[#All],[PID]],0)),INDEX(Table3[[#All],[POS]],MATCH(Table5[[#This Row],[PID]],Table3[[#All],[PID]],0)))</f>
        <v>RP</v>
      </c>
      <c r="E823" s="54" t="str">
        <f>IF($C823="B",INDEX(Batters[[#All],[First]],MATCH(Table5[[#This Row],[PID]],Batters[[#All],[PID]],0)),INDEX(Table3[[#All],[First]],MATCH(Table5[[#This Row],[PID]],Table3[[#All],[PID]],0)))</f>
        <v>David</v>
      </c>
      <c r="F823" s="52" t="str">
        <f>IF($C823="B",INDEX(Batters[[#All],[Last]],MATCH(A823,Batters[[#All],[PID]],0)),INDEX(Table3[[#All],[Last]],MATCH(A823,Table3[[#All],[PID]],0)))</f>
        <v>Millar</v>
      </c>
      <c r="G823" s="58">
        <f>IF($C823="B",INDEX(Batters[[#All],[Age]],MATCH(Table5[[#This Row],[PID]],Batters[[#All],[PID]],0)),INDEX(Table3[[#All],[Age]],MATCH(Table5[[#This Row],[PID]],Table3[[#All],[PID]],0)))</f>
        <v>21</v>
      </c>
      <c r="H823" s="54" t="str">
        <f>IF($C823="B",INDEX(Batters[[#All],[B]],MATCH(Table5[[#This Row],[PID]],Batters[[#All],[PID]],0)),INDEX(Table3[[#All],[B]],MATCH(Table5[[#This Row],[PID]],Table3[[#All],[PID]],0)))</f>
        <v>R</v>
      </c>
      <c r="I823" s="54" t="str">
        <f>IF($C823="B",INDEX(Batters[[#All],[T]],MATCH(Table5[[#This Row],[PID]],Batters[[#All],[PID]],0)),INDEX(Table3[[#All],[T]],MATCH(Table5[[#This Row],[PID]],Table3[[#All],[PID]],0)))</f>
        <v>R</v>
      </c>
      <c r="J823" s="54" t="str">
        <f>IF($C823="B",INDEX(Batters[[#All],[WE]],MATCH(Table5[[#This Row],[PID]],Batters[[#All],[PID]],0)),INDEX(Table3[[#All],[WE]],MATCH(Table5[[#This Row],[PID]],Table3[[#All],[PID]],0)))</f>
        <v>Low</v>
      </c>
      <c r="K823" s="54" t="str">
        <f>IF($C823="B",INDEX(Batters[[#All],[INT]],MATCH(Table5[[#This Row],[PID]],Batters[[#All],[PID]],0)),INDEX(Table3[[#All],[INT]],MATCH(Table5[[#This Row],[PID]],Table3[[#All],[PID]],0)))</f>
        <v>Normal</v>
      </c>
      <c r="L823" s="62">
        <f>IF($C823="B",INDEX(Batters[[#All],[CON P]],MATCH(Table5[[#This Row],[PID]],Batters[[#All],[PID]],0)),INDEX(Table3[[#All],[STU P]],MATCH(Table5[[#This Row],[PID]],Table3[[#All],[PID]],0)))</f>
        <v>4</v>
      </c>
      <c r="M823" s="58">
        <f>IF($C823="B",INDEX(Batters[[#All],[GAP P]],MATCH(Table5[[#This Row],[PID]],Batters[[#All],[PID]],0)),INDEX(Table3[[#All],[MOV P]],MATCH(Table5[[#This Row],[PID]],Table3[[#All],[PID]],0)))</f>
        <v>2</v>
      </c>
      <c r="N823" s="58">
        <f>IF($C823="B",INDEX(Batters[[#All],[POW P]],MATCH(Table5[[#This Row],[PID]],Batters[[#All],[PID]],0)),INDEX(Table3[[#All],[CON P]],MATCH(Table5[[#This Row],[PID]],Table3[[#All],[PID]],0)))</f>
        <v>2</v>
      </c>
      <c r="O823" s="58" t="str">
        <f>IF($C823="B",INDEX(Batters[[#All],[EYE P]],MATCH(Table5[[#This Row],[PID]],Batters[[#All],[PID]],0)),INDEX(Table3[[#All],[VELO]],MATCH(Table5[[#This Row],[PID]],Table3[[#All],[PID]],0)))</f>
        <v>85-87 Mph</v>
      </c>
      <c r="P823" s="58">
        <f>IF($C823="B",INDEX(Batters[[#All],[K P]],MATCH(Table5[[#This Row],[PID]],Batters[[#All],[PID]],0)),INDEX(Table3[[#All],[STM]],MATCH(Table5[[#This Row],[PID]],Table3[[#All],[PID]],0)))</f>
        <v>8</v>
      </c>
      <c r="Q823" s="63">
        <f>IF($C823="B",INDEX(Batters[[#All],[Tot]],MATCH(Table5[[#This Row],[PID]],Batters[[#All],[PID]],0)),INDEX(Table3[[#All],[Tot]],MATCH(Table5[[#This Row],[PID]],Table3[[#All],[PID]],0)))</f>
        <v>25.42423997940665</v>
      </c>
      <c r="R823" s="54">
        <f>IF($C823="B",INDEX(Batters[[#All],[zScore]],MATCH(Table5[[#This Row],[PID]],Batters[[#All],[PID]],0)),INDEX(Table3[[#All],[zScore]],MATCH(Table5[[#This Row],[PID]],Table3[[#All],[PID]],0)))</f>
        <v>-0.66925878955988183</v>
      </c>
      <c r="S823" s="60" t="str">
        <f>IF($C823="B",INDEX(Batters[[#All],[DEM]],MATCH(Table5[[#This Row],[PID]],Batters[[#All],[PID]],0)),INDEX(Table3[[#All],[DEM]],MATCH(Table5[[#This Row],[PID]],Table3[[#All],[PID]],0)))</f>
        <v>-</v>
      </c>
      <c r="T823" s="64">
        <f>IF($C823="B",VLOOKUP($A823,Bat!$A$4:$AU$1417,46,FALSE),VLOOKUP($A823,Pit!$A$4:$BD$570,55,FALSE))</f>
        <v>0</v>
      </c>
      <c r="U823" s="52">
        <f>IF($C823="B",VLOOKUP($A823,Bat!$A$4:$BA$1417,47,FALSE),VLOOKUP($A823,Pit!$A$4:$BF$570,56,FALSE))</f>
        <v>0</v>
      </c>
      <c r="V823" s="52">
        <f>IF($C823="B",VLOOKUP($A823,Bat!$A$4:$BA$1417,48,FALSE),VLOOKUP($A823,Pit!$A$4:$BF$570,57,FALSE))</f>
        <v>0</v>
      </c>
      <c r="W823" s="52">
        <f>Table5[[#This Row],[posRnk]]+Table5[[#This Row],[zRnk]]+IF($W$3&lt;&gt;Table5[[#This Row],[Type]],50,0)</f>
        <v>869</v>
      </c>
      <c r="X823" s="53">
        <f>RANK(Table5[[#This Row],[zScore]],Table5[[#All],[zScore]])</f>
        <v>819</v>
      </c>
      <c r="Y823" s="52" t="str">
        <f>IFERROR(INDEX(DraftResults[[#All],[OVR]],MATCH(Table5[[#This Row],[PID]],DraftResults[[#All],[Player ID]],0)),"")</f>
        <v/>
      </c>
      <c r="Z8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3" s="52" t="str">
        <f>IFERROR(INDEX(DraftResults[[#All],[Pick in Round]],MATCH(Table5[[#This Row],[PID]],DraftResults[[#All],[Player ID]],0)),"")</f>
        <v/>
      </c>
      <c r="AB823" s="52" t="str">
        <f>IFERROR(INDEX(DraftResults[[#All],[Team Name]],MATCH(Table5[[#This Row],[PID]],DraftResults[[#All],[Player ID]],0)),"")</f>
        <v/>
      </c>
      <c r="AC823" s="52" t="str">
        <f>IF(Table5[[#This Row],[Ovr]]="","",IF(Table5[[#This Row],[cmbList]]="","",Table5[[#This Row],[cmbList]]-Table5[[#This Row],[Ovr]]))</f>
        <v/>
      </c>
      <c r="AD823" s="56" t="str">
        <f>IF(ISERROR(VLOOKUP($AB823&amp;"-"&amp;$E823&amp;" "&amp;F823,Bonuses!$B$1:$G$1006,4,FALSE)),"",INT(VLOOKUP($AB823&amp;"-"&amp;$E823&amp;" "&amp;$F823,Bonuses!$B$1:$G$1006,4,FALSE)))</f>
        <v/>
      </c>
      <c r="AE8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4" spans="1:31" s="52" customFormat="1" x14ac:dyDescent="0.25">
      <c r="A824" s="52">
        <v>5779</v>
      </c>
      <c r="B824" s="52">
        <f>COUNTIF(Table5[PID],A824)</f>
        <v>1</v>
      </c>
      <c r="C824" s="52" t="str">
        <f>IF(COUNTIF(Table3[[#All],[PID]],A824)&gt;0,"P","B")</f>
        <v>P</v>
      </c>
      <c r="D824" s="61" t="str">
        <f>IF($C824="B",INDEX(Batters[[#All],[POS]],MATCH(Table5[[#This Row],[PID]],Batters[[#All],[PID]],0)),INDEX(Table3[[#All],[POS]],MATCH(Table5[[#This Row],[PID]],Table3[[#All],[PID]],0)))</f>
        <v>RP</v>
      </c>
      <c r="E824" s="54" t="str">
        <f>IF($C824="B",INDEX(Batters[[#All],[First]],MATCH(Table5[[#This Row],[PID]],Batters[[#All],[PID]],0)),INDEX(Table3[[#All],[First]],MATCH(Table5[[#This Row],[PID]],Table3[[#All],[PID]],0)))</f>
        <v>Ben</v>
      </c>
      <c r="F824" s="52" t="str">
        <f>IF($C824="B",INDEX(Batters[[#All],[Last]],MATCH(A824,Batters[[#All],[PID]],0)),INDEX(Table3[[#All],[Last]],MATCH(A824,Table3[[#All],[PID]],0)))</f>
        <v>McKinley</v>
      </c>
      <c r="G824" s="58">
        <f>IF($C824="B",INDEX(Batters[[#All],[Age]],MATCH(Table5[[#This Row],[PID]],Batters[[#All],[PID]],0)),INDEX(Table3[[#All],[Age]],MATCH(Table5[[#This Row],[PID]],Table3[[#All],[PID]],0)))</f>
        <v>22</v>
      </c>
      <c r="H824" s="54" t="str">
        <f>IF($C824="B",INDEX(Batters[[#All],[B]],MATCH(Table5[[#This Row],[PID]],Batters[[#All],[PID]],0)),INDEX(Table3[[#All],[B]],MATCH(Table5[[#This Row],[PID]],Table3[[#All],[PID]],0)))</f>
        <v>R</v>
      </c>
      <c r="I824" s="54" t="str">
        <f>IF($C824="B",INDEX(Batters[[#All],[T]],MATCH(Table5[[#This Row],[PID]],Batters[[#All],[PID]],0)),INDEX(Table3[[#All],[T]],MATCH(Table5[[#This Row],[PID]],Table3[[#All],[PID]],0)))</f>
        <v>R</v>
      </c>
      <c r="J824" s="54" t="str">
        <f>IF($C824="B",INDEX(Batters[[#All],[WE]],MATCH(Table5[[#This Row],[PID]],Batters[[#All],[PID]],0)),INDEX(Table3[[#All],[WE]],MATCH(Table5[[#This Row],[PID]],Table3[[#All],[PID]],0)))</f>
        <v>Normal</v>
      </c>
      <c r="K824" s="54" t="str">
        <f>IF($C824="B",INDEX(Batters[[#All],[INT]],MATCH(Table5[[#This Row],[PID]],Batters[[#All],[PID]],0)),INDEX(Table3[[#All],[INT]],MATCH(Table5[[#This Row],[PID]],Table3[[#All],[PID]],0)))</f>
        <v>Normal</v>
      </c>
      <c r="L824" s="62">
        <f>IF($C824="B",INDEX(Batters[[#All],[CON P]],MATCH(Table5[[#This Row],[PID]],Batters[[#All],[PID]],0)),INDEX(Table3[[#All],[STU P]],MATCH(Table5[[#This Row],[PID]],Table3[[#All],[PID]],0)))</f>
        <v>4</v>
      </c>
      <c r="M824" s="58">
        <f>IF($C824="B",INDEX(Batters[[#All],[GAP P]],MATCH(Table5[[#This Row],[PID]],Batters[[#All],[PID]],0)),INDEX(Table3[[#All],[MOV P]],MATCH(Table5[[#This Row],[PID]],Table3[[#All],[PID]],0)))</f>
        <v>2</v>
      </c>
      <c r="N824" s="58">
        <f>IF($C824="B",INDEX(Batters[[#All],[POW P]],MATCH(Table5[[#This Row],[PID]],Batters[[#All],[PID]],0)),INDEX(Table3[[#All],[CON P]],MATCH(Table5[[#This Row],[PID]],Table3[[#All],[PID]],0)))</f>
        <v>2</v>
      </c>
      <c r="O824" s="58" t="str">
        <f>IF($C824="B",INDEX(Batters[[#All],[EYE P]],MATCH(Table5[[#This Row],[PID]],Batters[[#All],[PID]],0)),INDEX(Table3[[#All],[VELO]],MATCH(Table5[[#This Row],[PID]],Table3[[#All],[PID]],0)))</f>
        <v>92-94 Mph</v>
      </c>
      <c r="P824" s="58">
        <f>IF($C824="B",INDEX(Batters[[#All],[K P]],MATCH(Table5[[#This Row],[PID]],Batters[[#All],[PID]],0)),INDEX(Table3[[#All],[STM]],MATCH(Table5[[#This Row],[PID]],Table3[[#All],[PID]],0)))</f>
        <v>6</v>
      </c>
      <c r="Q824" s="63">
        <f>IF($C824="B",INDEX(Batters[[#All],[Tot]],MATCH(Table5[[#This Row],[PID]],Batters[[#All],[PID]],0)),INDEX(Table3[[#All],[Tot]],MATCH(Table5[[#This Row],[PID]],Table3[[#All],[PID]],0)))</f>
        <v>25.389351557812084</v>
      </c>
      <c r="R824" s="54">
        <f>IF($C824="B",INDEX(Batters[[#All],[zScore]],MATCH(Table5[[#This Row],[PID]],Batters[[#All],[PID]],0)),INDEX(Table3[[#All],[zScore]],MATCH(Table5[[#This Row],[PID]],Table3[[#All],[PID]],0)))</f>
        <v>-0.67245820693635139</v>
      </c>
      <c r="S824" s="60" t="str">
        <f>IF($C824="B",INDEX(Batters[[#All],[DEM]],MATCH(Table5[[#This Row],[PID]],Batters[[#All],[PID]],0)),INDEX(Table3[[#All],[DEM]],MATCH(Table5[[#This Row],[PID]],Table3[[#All],[PID]],0)))</f>
        <v>-</v>
      </c>
      <c r="T824" s="64">
        <f>IF($C824="B",VLOOKUP($A824,Bat!$A$4:$AU$1417,46,FALSE),VLOOKUP($A824,Pit!$A$4:$BD$570,55,FALSE))</f>
        <v>0</v>
      </c>
      <c r="U824" s="52">
        <f>IF($C824="B",VLOOKUP($A824,Bat!$A$4:$BA$1417,47,FALSE),VLOOKUP($A824,Pit!$A$4:$BF$570,56,FALSE))</f>
        <v>0</v>
      </c>
      <c r="V824" s="52">
        <f>IF($C824="B",VLOOKUP($A824,Bat!$A$4:$BA$1417,48,FALSE),VLOOKUP($A824,Pit!$A$4:$BF$570,57,FALSE))</f>
        <v>0</v>
      </c>
      <c r="W824" s="52">
        <f>Table5[[#This Row],[posRnk]]+Table5[[#This Row],[zRnk]]+IF($W$3&lt;&gt;Table5[[#This Row],[Type]],50,0)</f>
        <v>870</v>
      </c>
      <c r="X824" s="53">
        <f>RANK(Table5[[#This Row],[zScore]],Table5[[#All],[zScore]])</f>
        <v>820</v>
      </c>
      <c r="Y824" s="52" t="str">
        <f>IFERROR(INDEX(DraftResults[[#All],[OVR]],MATCH(Table5[[#This Row],[PID]],DraftResults[[#All],[Player ID]],0)),"")</f>
        <v/>
      </c>
      <c r="Z8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4" s="52" t="str">
        <f>IFERROR(INDEX(DraftResults[[#All],[Pick in Round]],MATCH(Table5[[#This Row],[PID]],DraftResults[[#All],[Player ID]],0)),"")</f>
        <v/>
      </c>
      <c r="AB824" s="52" t="str">
        <f>IFERROR(INDEX(DraftResults[[#All],[Team Name]],MATCH(Table5[[#This Row],[PID]],DraftResults[[#All],[Player ID]],0)),"")</f>
        <v/>
      </c>
      <c r="AC824" s="52" t="str">
        <f>IF(Table5[[#This Row],[Ovr]]="","",IF(Table5[[#This Row],[cmbList]]="","",Table5[[#This Row],[cmbList]]-Table5[[#This Row],[Ovr]]))</f>
        <v/>
      </c>
      <c r="AD824" s="56" t="str">
        <f>IF(ISERROR(VLOOKUP($AB824&amp;"-"&amp;$E824&amp;" "&amp;F824,Bonuses!$B$1:$G$1006,4,FALSE)),"",INT(VLOOKUP($AB824&amp;"-"&amp;$E824&amp;" "&amp;$F824,Bonuses!$B$1:$G$1006,4,FALSE)))</f>
        <v/>
      </c>
      <c r="AE8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5" spans="1:31" s="52" customFormat="1" x14ac:dyDescent="0.25">
      <c r="A825" s="52">
        <v>11713</v>
      </c>
      <c r="B825" s="52">
        <f>COUNTIF(Table5[PID],A825)</f>
        <v>1</v>
      </c>
      <c r="C825" s="52" t="str">
        <f>IF(COUNTIF(Table3[[#All],[PID]],A825)&gt;0,"P","B")</f>
        <v>B</v>
      </c>
      <c r="D825" s="61" t="str">
        <f>IF($C825="B",INDEX(Batters[[#All],[POS]],MATCH(Table5[[#This Row],[PID]],Batters[[#All],[PID]],0)),INDEX(Table3[[#All],[POS]],MATCH(Table5[[#This Row],[PID]],Table3[[#All],[PID]],0)))</f>
        <v>CF</v>
      </c>
      <c r="E825" s="54" t="str">
        <f>IF($C825="B",INDEX(Batters[[#All],[First]],MATCH(Table5[[#This Row],[PID]],Batters[[#All],[PID]],0)),INDEX(Table3[[#All],[First]],MATCH(Table5[[#This Row],[PID]],Table3[[#All],[PID]],0)))</f>
        <v>Aaron</v>
      </c>
      <c r="F825" s="52" t="str">
        <f>IF($C825="B",INDEX(Batters[[#All],[Last]],MATCH(A825,Batters[[#All],[PID]],0)),INDEX(Table3[[#All],[Last]],MATCH(A825,Table3[[#All],[PID]],0)))</f>
        <v>Long</v>
      </c>
      <c r="G825" s="58">
        <f>IF($C825="B",INDEX(Batters[[#All],[Age]],MATCH(Table5[[#This Row],[PID]],Batters[[#All],[PID]],0)),INDEX(Table3[[#All],[Age]],MATCH(Table5[[#This Row],[PID]],Table3[[#All],[PID]],0)))</f>
        <v>21</v>
      </c>
      <c r="H825" s="54" t="str">
        <f>IF($C825="B",INDEX(Batters[[#All],[B]],MATCH(Table5[[#This Row],[PID]],Batters[[#All],[PID]],0)),INDEX(Table3[[#All],[B]],MATCH(Table5[[#This Row],[PID]],Table3[[#All],[PID]],0)))</f>
        <v>R</v>
      </c>
      <c r="I825" s="54" t="str">
        <f>IF($C825="B",INDEX(Batters[[#All],[T]],MATCH(Table5[[#This Row],[PID]],Batters[[#All],[PID]],0)),INDEX(Table3[[#All],[T]],MATCH(Table5[[#This Row],[PID]],Table3[[#All],[PID]],0)))</f>
        <v>R</v>
      </c>
      <c r="J825" s="54" t="str">
        <f>IF($C825="B",INDEX(Batters[[#All],[WE]],MATCH(Table5[[#This Row],[PID]],Batters[[#All],[PID]],0)),INDEX(Table3[[#All],[WE]],MATCH(Table5[[#This Row],[PID]],Table3[[#All],[PID]],0)))</f>
        <v>Normal</v>
      </c>
      <c r="K825" s="54" t="str">
        <f>IF($C825="B",INDEX(Batters[[#All],[INT]],MATCH(Table5[[#This Row],[PID]],Batters[[#All],[PID]],0)),INDEX(Table3[[#All],[INT]],MATCH(Table5[[#This Row],[PID]],Table3[[#All],[PID]],0)))</f>
        <v>High</v>
      </c>
      <c r="L825" s="62">
        <f>IF($C825="B",INDEX(Batters[[#All],[CON P]],MATCH(Table5[[#This Row],[PID]],Batters[[#All],[PID]],0)),INDEX(Table3[[#All],[STU P]],MATCH(Table5[[#This Row],[PID]],Table3[[#All],[PID]],0)))</f>
        <v>3</v>
      </c>
      <c r="M825" s="58">
        <f>IF($C825="B",INDEX(Batters[[#All],[GAP P]],MATCH(Table5[[#This Row],[PID]],Batters[[#All],[PID]],0)),INDEX(Table3[[#All],[MOV P]],MATCH(Table5[[#This Row],[PID]],Table3[[#All],[PID]],0)))</f>
        <v>3</v>
      </c>
      <c r="N825" s="58">
        <f>IF($C825="B",INDEX(Batters[[#All],[POW P]],MATCH(Table5[[#This Row],[PID]],Batters[[#All],[PID]],0)),INDEX(Table3[[#All],[CON P]],MATCH(Table5[[#This Row],[PID]],Table3[[#All],[PID]],0)))</f>
        <v>2</v>
      </c>
      <c r="O825" s="58">
        <f>IF($C825="B",INDEX(Batters[[#All],[EYE P]],MATCH(Table5[[#This Row],[PID]],Batters[[#All],[PID]],0)),INDEX(Table3[[#All],[VELO]],MATCH(Table5[[#This Row],[PID]],Table3[[#All],[PID]],0)))</f>
        <v>4</v>
      </c>
      <c r="P825" s="58">
        <f>IF($C825="B",INDEX(Batters[[#All],[K P]],MATCH(Table5[[#This Row],[PID]],Batters[[#All],[PID]],0)),INDEX(Table3[[#All],[STM]],MATCH(Table5[[#This Row],[PID]],Table3[[#All],[PID]],0)))</f>
        <v>4</v>
      </c>
      <c r="Q825" s="63">
        <f>IF($C825="B",INDEX(Batters[[#All],[Tot]],MATCH(Table5[[#This Row],[PID]],Batters[[#All],[PID]],0)),INDEX(Table3[[#All],[Tot]],MATCH(Table5[[#This Row],[PID]],Table3[[#All],[PID]],0)))</f>
        <v>36.521732918813399</v>
      </c>
      <c r="R825" s="54">
        <f>IF($C825="B",INDEX(Batters[[#All],[zScore]],MATCH(Table5[[#This Row],[PID]],Batters[[#All],[PID]],0)),INDEX(Table3[[#All],[zScore]],MATCH(Table5[[#This Row],[PID]],Table3[[#All],[PID]],0)))</f>
        <v>-0.67324978342803243</v>
      </c>
      <c r="S825" s="60" t="str">
        <f>IF($C825="B",INDEX(Batters[[#All],[DEM]],MATCH(Table5[[#This Row],[PID]],Batters[[#All],[PID]],0)),INDEX(Table3[[#All],[DEM]],MATCH(Table5[[#This Row],[PID]],Table3[[#All],[PID]],0)))</f>
        <v>$110k</v>
      </c>
      <c r="T825" s="64">
        <f>IF($C825="B",VLOOKUP($A825,Bat!$A$4:$AU$1417,46,FALSE),VLOOKUP($A825,Pit!$A$4:$BD$570,55,FALSE))</f>
        <v>0</v>
      </c>
      <c r="U825" s="52">
        <f>IF($C825="B",VLOOKUP($A825,Bat!$A$4:$BA$1417,47,FALSE),VLOOKUP($A825,Pit!$A$4:$BF$570,56,FALSE))</f>
        <v>0</v>
      </c>
      <c r="V825" s="52">
        <f>IF($C825="B",VLOOKUP($A825,Bat!$A$4:$BA$1417,48,FALSE),VLOOKUP($A825,Pit!$A$4:$BF$570,57,FALSE))</f>
        <v>0</v>
      </c>
      <c r="W825" s="52">
        <f>Table5[[#This Row],[posRnk]]+Table5[[#This Row],[zRnk]]+IF($W$3&lt;&gt;Table5[[#This Row],[Type]],50,0)</f>
        <v>871</v>
      </c>
      <c r="X825" s="53">
        <f>RANK(Table5[[#This Row],[zScore]],Table5[[#All],[zScore]])</f>
        <v>821</v>
      </c>
      <c r="Y825" s="52" t="str">
        <f>IFERROR(INDEX(DraftResults[[#All],[OVR]],MATCH(Table5[[#This Row],[PID]],DraftResults[[#All],[Player ID]],0)),"")</f>
        <v/>
      </c>
      <c r="Z8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5" s="52" t="str">
        <f>IFERROR(INDEX(DraftResults[[#All],[Pick in Round]],MATCH(Table5[[#This Row],[PID]],DraftResults[[#All],[Player ID]],0)),"")</f>
        <v/>
      </c>
      <c r="AB825" s="52" t="str">
        <f>IFERROR(INDEX(DraftResults[[#All],[Team Name]],MATCH(Table5[[#This Row],[PID]],DraftResults[[#All],[Player ID]],0)),"")</f>
        <v/>
      </c>
      <c r="AC825" s="52" t="str">
        <f>IF(Table5[[#This Row],[Ovr]]="","",IF(Table5[[#This Row],[cmbList]]="","",Table5[[#This Row],[cmbList]]-Table5[[#This Row],[Ovr]]))</f>
        <v/>
      </c>
      <c r="AD825" s="56" t="str">
        <f>IF(ISERROR(VLOOKUP($AB825&amp;"-"&amp;$E825&amp;" "&amp;F825,Bonuses!$B$1:$G$1006,4,FALSE)),"",INT(VLOOKUP($AB825&amp;"-"&amp;$E825&amp;" "&amp;$F825,Bonuses!$B$1:$G$1006,4,FALSE)))</f>
        <v/>
      </c>
      <c r="AE8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6" spans="1:31" s="52" customFormat="1" x14ac:dyDescent="0.25">
      <c r="A826" s="52">
        <v>10138</v>
      </c>
      <c r="B826" s="52">
        <f>COUNTIF(Table5[PID],A826)</f>
        <v>1</v>
      </c>
      <c r="C826" s="52" t="str">
        <f>IF(COUNTIF(Table3[[#All],[PID]],A826)&gt;0,"P","B")</f>
        <v>P</v>
      </c>
      <c r="D826" s="61" t="str">
        <f>IF($C826="B",INDEX(Batters[[#All],[POS]],MATCH(Table5[[#This Row],[PID]],Batters[[#All],[PID]],0)),INDEX(Table3[[#All],[POS]],MATCH(Table5[[#This Row],[PID]],Table3[[#All],[PID]],0)))</f>
        <v>SP</v>
      </c>
      <c r="E826" s="54" t="str">
        <f>IF($C826="B",INDEX(Batters[[#All],[First]],MATCH(Table5[[#This Row],[PID]],Batters[[#All],[PID]],0)),INDEX(Table3[[#All],[First]],MATCH(Table5[[#This Row],[PID]],Table3[[#All],[PID]],0)))</f>
        <v>Mike</v>
      </c>
      <c r="F826" s="52" t="str">
        <f>IF($C826="B",INDEX(Batters[[#All],[Last]],MATCH(A826,Batters[[#All],[PID]],0)),INDEX(Table3[[#All],[Last]],MATCH(A826,Table3[[#All],[PID]],0)))</f>
        <v>Melton</v>
      </c>
      <c r="G826" s="58">
        <f>IF($C826="B",INDEX(Batters[[#All],[Age]],MATCH(Table5[[#This Row],[PID]],Batters[[#All],[PID]],0)),INDEX(Table3[[#All],[Age]],MATCH(Table5[[#This Row],[PID]],Table3[[#All],[PID]],0)))</f>
        <v>21</v>
      </c>
      <c r="H826" s="54" t="str">
        <f>IF($C826="B",INDEX(Batters[[#All],[B]],MATCH(Table5[[#This Row],[PID]],Batters[[#All],[PID]],0)),INDEX(Table3[[#All],[B]],MATCH(Table5[[#This Row],[PID]],Table3[[#All],[PID]],0)))</f>
        <v>R</v>
      </c>
      <c r="I826" s="54" t="str">
        <f>IF($C826="B",INDEX(Batters[[#All],[T]],MATCH(Table5[[#This Row],[PID]],Batters[[#All],[PID]],0)),INDEX(Table3[[#All],[T]],MATCH(Table5[[#This Row],[PID]],Table3[[#All],[PID]],0)))</f>
        <v>R</v>
      </c>
      <c r="J826" s="54" t="str">
        <f>IF($C826="B",INDEX(Batters[[#All],[WE]],MATCH(Table5[[#This Row],[PID]],Batters[[#All],[PID]],0)),INDEX(Table3[[#All],[WE]],MATCH(Table5[[#This Row],[PID]],Table3[[#All],[PID]],0)))</f>
        <v>Normal</v>
      </c>
      <c r="K826" s="54" t="str">
        <f>IF($C826="B",INDEX(Batters[[#All],[INT]],MATCH(Table5[[#This Row],[PID]],Batters[[#All],[PID]],0)),INDEX(Table3[[#All],[INT]],MATCH(Table5[[#This Row],[PID]],Table3[[#All],[PID]],0)))</f>
        <v>Normal</v>
      </c>
      <c r="L826" s="62">
        <f>IF($C826="B",INDEX(Batters[[#All],[CON P]],MATCH(Table5[[#This Row],[PID]],Batters[[#All],[PID]],0)),INDEX(Table3[[#All],[STU P]],MATCH(Table5[[#This Row],[PID]],Table3[[#All],[PID]],0)))</f>
        <v>4</v>
      </c>
      <c r="M826" s="58">
        <f>IF($C826="B",INDEX(Batters[[#All],[GAP P]],MATCH(Table5[[#This Row],[PID]],Batters[[#All],[PID]],0)),INDEX(Table3[[#All],[MOV P]],MATCH(Table5[[#This Row],[PID]],Table3[[#All],[PID]],0)))</f>
        <v>2</v>
      </c>
      <c r="N826" s="58">
        <f>IF($C826="B",INDEX(Batters[[#All],[POW P]],MATCH(Table5[[#This Row],[PID]],Batters[[#All],[PID]],0)),INDEX(Table3[[#All],[CON P]],MATCH(Table5[[#This Row],[PID]],Table3[[#All],[PID]],0)))</f>
        <v>2</v>
      </c>
      <c r="O826" s="58" t="str">
        <f>IF($C826="B",INDEX(Batters[[#All],[EYE P]],MATCH(Table5[[#This Row],[PID]],Batters[[#All],[PID]],0)),INDEX(Table3[[#All],[VELO]],MATCH(Table5[[#This Row],[PID]],Table3[[#All],[PID]],0)))</f>
        <v>93-95 Mph</v>
      </c>
      <c r="P826" s="58">
        <f>IF($C826="B",INDEX(Batters[[#All],[K P]],MATCH(Table5[[#This Row],[PID]],Batters[[#All],[PID]],0)),INDEX(Table3[[#All],[STM]],MATCH(Table5[[#This Row],[PID]],Table3[[#All],[PID]],0)))</f>
        <v>8</v>
      </c>
      <c r="Q826" s="63">
        <f>IF($C826="B",INDEX(Batters[[#All],[Tot]],MATCH(Table5[[#This Row],[PID]],Batters[[#All],[PID]],0)),INDEX(Table3[[#All],[Tot]],MATCH(Table5[[#This Row],[PID]],Table3[[#All],[PID]],0)))</f>
        <v>25.375500430664058</v>
      </c>
      <c r="R826" s="54">
        <f>IF($C826="B",INDEX(Batters[[#All],[zScore]],MATCH(Table5[[#This Row],[PID]],Batters[[#All],[PID]],0)),INDEX(Table3[[#All],[zScore]],MATCH(Table5[[#This Row],[PID]],Table3[[#All],[PID]],0)))</f>
        <v>-0.67372841449678711</v>
      </c>
      <c r="S826" s="60" t="str">
        <f>IF($C826="B",INDEX(Batters[[#All],[DEM]],MATCH(Table5[[#This Row],[PID]],Batters[[#All],[PID]],0)),INDEX(Table3[[#All],[DEM]],MATCH(Table5[[#This Row],[PID]],Table3[[#All],[PID]],0)))</f>
        <v>-</v>
      </c>
      <c r="T826" s="64">
        <f>IF($C826="B",VLOOKUP($A826,Bat!$A$4:$AU$1417,46,FALSE),VLOOKUP($A826,Pit!$A$4:$BD$570,55,FALSE))</f>
        <v>0</v>
      </c>
      <c r="U826" s="52">
        <f>IF($C826="B",VLOOKUP($A826,Bat!$A$4:$BA$1417,47,FALSE),VLOOKUP($A826,Pit!$A$4:$BF$570,56,FALSE))</f>
        <v>0</v>
      </c>
      <c r="V826" s="52">
        <f>IF($C826="B",VLOOKUP($A826,Bat!$A$4:$BA$1417,48,FALSE),VLOOKUP($A826,Pit!$A$4:$BF$570,57,FALSE))</f>
        <v>0</v>
      </c>
      <c r="W826" s="52">
        <f>Table5[[#This Row],[posRnk]]+Table5[[#This Row],[zRnk]]+IF($W$3&lt;&gt;Table5[[#This Row],[Type]],50,0)</f>
        <v>872</v>
      </c>
      <c r="X826" s="53">
        <f>RANK(Table5[[#This Row],[zScore]],Table5[[#All],[zScore]])</f>
        <v>822</v>
      </c>
      <c r="Y826" s="52" t="str">
        <f>IFERROR(INDEX(DraftResults[[#All],[OVR]],MATCH(Table5[[#This Row],[PID]],DraftResults[[#All],[Player ID]],0)),"")</f>
        <v/>
      </c>
      <c r="Z8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6" s="52" t="str">
        <f>IFERROR(INDEX(DraftResults[[#All],[Pick in Round]],MATCH(Table5[[#This Row],[PID]],DraftResults[[#All],[Player ID]],0)),"")</f>
        <v/>
      </c>
      <c r="AB826" s="52" t="str">
        <f>IFERROR(INDEX(DraftResults[[#All],[Team Name]],MATCH(Table5[[#This Row],[PID]],DraftResults[[#All],[Player ID]],0)),"")</f>
        <v/>
      </c>
      <c r="AC826" s="52" t="str">
        <f>IF(Table5[[#This Row],[Ovr]]="","",IF(Table5[[#This Row],[cmbList]]="","",Table5[[#This Row],[cmbList]]-Table5[[#This Row],[Ovr]]))</f>
        <v/>
      </c>
      <c r="AD826" s="56" t="str">
        <f>IF(ISERROR(VLOOKUP($AB826&amp;"-"&amp;$E826&amp;" "&amp;F826,Bonuses!$B$1:$G$1006,4,FALSE)),"",INT(VLOOKUP($AB826&amp;"-"&amp;$E826&amp;" "&amp;$F826,Bonuses!$B$1:$G$1006,4,FALSE)))</f>
        <v/>
      </c>
      <c r="AE8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7" spans="1:31" s="52" customFormat="1" x14ac:dyDescent="0.25">
      <c r="A827" s="52">
        <v>14043</v>
      </c>
      <c r="B827" s="52">
        <f>COUNTIF(Table5[PID],A827)</f>
        <v>1</v>
      </c>
      <c r="C827" s="52" t="str">
        <f>IF(COUNTIF(Table3[[#All],[PID]],A827)&gt;0,"P","B")</f>
        <v>P</v>
      </c>
      <c r="D827" s="61" t="str">
        <f>IF($C827="B",INDEX(Batters[[#All],[POS]],MATCH(Table5[[#This Row],[PID]],Batters[[#All],[PID]],0)),INDEX(Table3[[#All],[POS]],MATCH(Table5[[#This Row],[PID]],Table3[[#All],[PID]],0)))</f>
        <v>RP</v>
      </c>
      <c r="E827" s="54" t="str">
        <f>IF($C827="B",INDEX(Batters[[#All],[First]],MATCH(Table5[[#This Row],[PID]],Batters[[#All],[PID]],0)),INDEX(Table3[[#All],[First]],MATCH(Table5[[#This Row],[PID]],Table3[[#All],[PID]],0)))</f>
        <v>Valentín</v>
      </c>
      <c r="F827" s="52" t="str">
        <f>IF($C827="B",INDEX(Batters[[#All],[Last]],MATCH(A827,Batters[[#All],[PID]],0)),INDEX(Table3[[#All],[Last]],MATCH(A827,Table3[[#All],[PID]],0)))</f>
        <v>Sosa</v>
      </c>
      <c r="G827" s="58">
        <f>IF($C827="B",INDEX(Batters[[#All],[Age]],MATCH(Table5[[#This Row],[PID]],Batters[[#All],[PID]],0)),INDEX(Table3[[#All],[Age]],MATCH(Table5[[#This Row],[PID]],Table3[[#All],[PID]],0)))</f>
        <v>21</v>
      </c>
      <c r="H827" s="54" t="str">
        <f>IF($C827="B",INDEX(Batters[[#All],[B]],MATCH(Table5[[#This Row],[PID]],Batters[[#All],[PID]],0)),INDEX(Table3[[#All],[B]],MATCH(Table5[[#This Row],[PID]],Table3[[#All],[PID]],0)))</f>
        <v>R</v>
      </c>
      <c r="I827" s="54" t="str">
        <f>IF($C827="B",INDEX(Batters[[#All],[T]],MATCH(Table5[[#This Row],[PID]],Batters[[#All],[PID]],0)),INDEX(Table3[[#All],[T]],MATCH(Table5[[#This Row],[PID]],Table3[[#All],[PID]],0)))</f>
        <v>R</v>
      </c>
      <c r="J827" s="54" t="str">
        <f>IF($C827="B",INDEX(Batters[[#All],[WE]],MATCH(Table5[[#This Row],[PID]],Batters[[#All],[PID]],0)),INDEX(Table3[[#All],[WE]],MATCH(Table5[[#This Row],[PID]],Table3[[#All],[PID]],0)))</f>
        <v>Low</v>
      </c>
      <c r="K827" s="54" t="str">
        <f>IF($C827="B",INDEX(Batters[[#All],[INT]],MATCH(Table5[[#This Row],[PID]],Batters[[#All],[PID]],0)),INDEX(Table3[[#All],[INT]],MATCH(Table5[[#This Row],[PID]],Table3[[#All],[PID]],0)))</f>
        <v>Low</v>
      </c>
      <c r="L827" s="62">
        <f>IF($C827="B",INDEX(Batters[[#All],[CON P]],MATCH(Table5[[#This Row],[PID]],Batters[[#All],[PID]],0)),INDEX(Table3[[#All],[STU P]],MATCH(Table5[[#This Row],[PID]],Table3[[#All],[PID]],0)))</f>
        <v>3</v>
      </c>
      <c r="M827" s="58">
        <f>IF($C827="B",INDEX(Batters[[#All],[GAP P]],MATCH(Table5[[#This Row],[PID]],Batters[[#All],[PID]],0)),INDEX(Table3[[#All],[MOV P]],MATCH(Table5[[#This Row],[PID]],Table3[[#All],[PID]],0)))</f>
        <v>2</v>
      </c>
      <c r="N827" s="58">
        <f>IF($C827="B",INDEX(Batters[[#All],[POW P]],MATCH(Table5[[#This Row],[PID]],Batters[[#All],[PID]],0)),INDEX(Table3[[#All],[CON P]],MATCH(Table5[[#This Row],[PID]],Table3[[#All],[PID]],0)))</f>
        <v>2</v>
      </c>
      <c r="O827" s="58" t="str">
        <f>IF($C827="B",INDEX(Batters[[#All],[EYE P]],MATCH(Table5[[#This Row],[PID]],Batters[[#All],[PID]],0)),INDEX(Table3[[#All],[VELO]],MATCH(Table5[[#This Row],[PID]],Table3[[#All],[PID]],0)))</f>
        <v>84-86 Mph</v>
      </c>
      <c r="P827" s="58">
        <f>IF($C827="B",INDEX(Batters[[#All],[K P]],MATCH(Table5[[#This Row],[PID]],Batters[[#All],[PID]],0)),INDEX(Table3[[#All],[STM]],MATCH(Table5[[#This Row],[PID]],Table3[[#All],[PID]],0)))</f>
        <v>9</v>
      </c>
      <c r="Q827" s="63">
        <f>IF($C827="B",INDEX(Batters[[#All],[Tot]],MATCH(Table5[[#This Row],[PID]],Batters[[#All],[PID]],0)),INDEX(Table3[[#All],[Tot]],MATCH(Table5[[#This Row],[PID]],Table3[[#All],[PID]],0)))</f>
        <v>22.704395272473239</v>
      </c>
      <c r="R827" s="54">
        <f>IF($C827="B",INDEX(Batters[[#All],[zScore]],MATCH(Table5[[#This Row],[PID]],Batters[[#All],[PID]],0)),INDEX(Table3[[#All],[zScore]],MATCH(Table5[[#This Row],[PID]],Table3[[#All],[PID]],0)))</f>
        <v>-0.67404605928548444</v>
      </c>
      <c r="S827" s="60" t="str">
        <f>IF($C827="B",INDEX(Batters[[#All],[DEM]],MATCH(Table5[[#This Row],[PID]],Batters[[#All],[PID]],0)),INDEX(Table3[[#All],[DEM]],MATCH(Table5[[#This Row],[PID]],Table3[[#All],[PID]],0)))</f>
        <v>-</v>
      </c>
      <c r="T827" s="64">
        <f>IF($C827="B",VLOOKUP($A827,Bat!$A$4:$AU$1417,46,FALSE),VLOOKUP($A827,Pit!$A$4:$BD$570,55,FALSE))</f>
        <v>0</v>
      </c>
      <c r="U827" s="52">
        <f>IF($C827="B",VLOOKUP($A827,Bat!$A$4:$BA$1417,47,FALSE),VLOOKUP($A827,Pit!$A$4:$BF$570,56,FALSE))</f>
        <v>0</v>
      </c>
      <c r="V827" s="52">
        <f>IF($C827="B",VLOOKUP($A827,Bat!$A$4:$BA$1417,48,FALSE),VLOOKUP($A827,Pit!$A$4:$BF$570,57,FALSE))</f>
        <v>0</v>
      </c>
      <c r="W827" s="52">
        <f>Table5[[#This Row],[posRnk]]+Table5[[#This Row],[zRnk]]+IF($W$3&lt;&gt;Table5[[#This Row],[Type]],50,0)</f>
        <v>873</v>
      </c>
      <c r="X827" s="53">
        <f>RANK(Table5[[#This Row],[zScore]],Table5[[#All],[zScore]])</f>
        <v>823</v>
      </c>
      <c r="Y827" s="52" t="str">
        <f>IFERROR(INDEX(DraftResults[[#All],[OVR]],MATCH(Table5[[#This Row],[PID]],DraftResults[[#All],[Player ID]],0)),"")</f>
        <v/>
      </c>
      <c r="Z8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7" s="52" t="str">
        <f>IFERROR(INDEX(DraftResults[[#All],[Pick in Round]],MATCH(Table5[[#This Row],[PID]],DraftResults[[#All],[Player ID]],0)),"")</f>
        <v/>
      </c>
      <c r="AB827" s="52" t="str">
        <f>IFERROR(INDEX(DraftResults[[#All],[Team Name]],MATCH(Table5[[#This Row],[PID]],DraftResults[[#All],[Player ID]],0)),"")</f>
        <v/>
      </c>
      <c r="AC827" s="52" t="str">
        <f>IF(Table5[[#This Row],[Ovr]]="","",IF(Table5[[#This Row],[cmbList]]="","",Table5[[#This Row],[cmbList]]-Table5[[#This Row],[Ovr]]))</f>
        <v/>
      </c>
      <c r="AD827" s="56" t="str">
        <f>IF(ISERROR(VLOOKUP($AB827&amp;"-"&amp;$E827&amp;" "&amp;F827,Bonuses!$B$1:$G$1006,4,FALSE)),"",INT(VLOOKUP($AB827&amp;"-"&amp;$E827&amp;" "&amp;$F827,Bonuses!$B$1:$G$1006,4,FALSE)))</f>
        <v/>
      </c>
      <c r="AE8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8" spans="1:31" s="52" customFormat="1" x14ac:dyDescent="0.25">
      <c r="A828" s="52">
        <v>7851</v>
      </c>
      <c r="B828" s="52">
        <f>COUNTIF(Table5[PID],A828)</f>
        <v>1</v>
      </c>
      <c r="C828" s="52" t="str">
        <f>IF(COUNTIF(Table3[[#All],[PID]],A828)&gt;0,"P","B")</f>
        <v>B</v>
      </c>
      <c r="D828" s="61" t="str">
        <f>IF($C828="B",INDEX(Batters[[#All],[POS]],MATCH(Table5[[#This Row],[PID]],Batters[[#All],[PID]],0)),INDEX(Table3[[#All],[POS]],MATCH(Table5[[#This Row],[PID]],Table3[[#All],[PID]],0)))</f>
        <v>C</v>
      </c>
      <c r="E828" s="54" t="str">
        <f>IF($C828="B",INDEX(Batters[[#All],[First]],MATCH(Table5[[#This Row],[PID]],Batters[[#All],[PID]],0)),INDEX(Table3[[#All],[First]],MATCH(Table5[[#This Row],[PID]],Table3[[#All],[PID]],0)))</f>
        <v>Vicente</v>
      </c>
      <c r="F828" s="52" t="str">
        <f>IF($C828="B",INDEX(Batters[[#All],[Last]],MATCH(A828,Batters[[#All],[PID]],0)),INDEX(Table3[[#All],[Last]],MATCH(A828,Table3[[#All],[PID]],0)))</f>
        <v>Gallegos</v>
      </c>
      <c r="G828" s="58">
        <f>IF($C828="B",INDEX(Batters[[#All],[Age]],MATCH(Table5[[#This Row],[PID]],Batters[[#All],[PID]],0)),INDEX(Table3[[#All],[Age]],MATCH(Table5[[#This Row],[PID]],Table3[[#All],[PID]],0)))</f>
        <v>18</v>
      </c>
      <c r="H828" s="54" t="str">
        <f>IF($C828="B",INDEX(Batters[[#All],[B]],MATCH(Table5[[#This Row],[PID]],Batters[[#All],[PID]],0)),INDEX(Table3[[#All],[B]],MATCH(Table5[[#This Row],[PID]],Table3[[#All],[PID]],0)))</f>
        <v>R</v>
      </c>
      <c r="I828" s="54" t="str">
        <f>IF($C828="B",INDEX(Batters[[#All],[T]],MATCH(Table5[[#This Row],[PID]],Batters[[#All],[PID]],0)),INDEX(Table3[[#All],[T]],MATCH(Table5[[#This Row],[PID]],Table3[[#All],[PID]],0)))</f>
        <v>R</v>
      </c>
      <c r="J828" s="54" t="str">
        <f>IF($C828="B",INDEX(Batters[[#All],[WE]],MATCH(Table5[[#This Row],[PID]],Batters[[#All],[PID]],0)),INDEX(Table3[[#All],[WE]],MATCH(Table5[[#This Row],[PID]],Table3[[#All],[PID]],0)))</f>
        <v>Normal</v>
      </c>
      <c r="K828" s="54" t="str">
        <f>IF($C828="B",INDEX(Batters[[#All],[INT]],MATCH(Table5[[#This Row],[PID]],Batters[[#All],[PID]],0)),INDEX(Table3[[#All],[INT]],MATCH(Table5[[#This Row],[PID]],Table3[[#All],[PID]],0)))</f>
        <v>Normal</v>
      </c>
      <c r="L828" s="62">
        <f>IF($C828="B",INDEX(Batters[[#All],[CON P]],MATCH(Table5[[#This Row],[PID]],Batters[[#All],[PID]],0)),INDEX(Table3[[#All],[STU P]],MATCH(Table5[[#This Row],[PID]],Table3[[#All],[PID]],0)))</f>
        <v>2</v>
      </c>
      <c r="M828" s="58">
        <f>IF($C828="B",INDEX(Batters[[#All],[GAP P]],MATCH(Table5[[#This Row],[PID]],Batters[[#All],[PID]],0)),INDEX(Table3[[#All],[MOV P]],MATCH(Table5[[#This Row],[PID]],Table3[[#All],[PID]],0)))</f>
        <v>3</v>
      </c>
      <c r="N828" s="58">
        <f>IF($C828="B",INDEX(Batters[[#All],[POW P]],MATCH(Table5[[#This Row],[PID]],Batters[[#All],[PID]],0)),INDEX(Table3[[#All],[CON P]],MATCH(Table5[[#This Row],[PID]],Table3[[#All],[PID]],0)))</f>
        <v>3</v>
      </c>
      <c r="O828" s="58">
        <f>IF($C828="B",INDEX(Batters[[#All],[EYE P]],MATCH(Table5[[#This Row],[PID]],Batters[[#All],[PID]],0)),INDEX(Table3[[#All],[VELO]],MATCH(Table5[[#This Row],[PID]],Table3[[#All],[PID]],0)))</f>
        <v>5</v>
      </c>
      <c r="P828" s="58">
        <f>IF($C828="B",INDEX(Batters[[#All],[K P]],MATCH(Table5[[#This Row],[PID]],Batters[[#All],[PID]],0)),INDEX(Table3[[#All],[STM]],MATCH(Table5[[#This Row],[PID]],Table3[[#All],[PID]],0)))</f>
        <v>2</v>
      </c>
      <c r="Q828" s="63">
        <f>IF($C828="B",INDEX(Batters[[#All],[Tot]],MATCH(Table5[[#This Row],[PID]],Batters[[#All],[PID]],0)),INDEX(Table3[[#All],[Tot]],MATCH(Table5[[#This Row],[PID]],Table3[[#All],[PID]],0)))</f>
        <v>36.513589096608271</v>
      </c>
      <c r="R828" s="54">
        <f>IF($C828="B",INDEX(Batters[[#All],[zScore]],MATCH(Table5[[#This Row],[PID]],Batters[[#All],[PID]],0)),INDEX(Table3[[#All],[zScore]],MATCH(Table5[[#This Row],[PID]],Table3[[#All],[PID]],0)))</f>
        <v>-0.6746826348187116</v>
      </c>
      <c r="S828" s="60" t="str">
        <f>IF($C828="B",INDEX(Batters[[#All],[DEM]],MATCH(Table5[[#This Row],[PID]],Batters[[#All],[PID]],0)),INDEX(Table3[[#All],[DEM]],MATCH(Table5[[#This Row],[PID]],Table3[[#All],[PID]],0)))</f>
        <v>$38k</v>
      </c>
      <c r="T828" s="64">
        <f>IF($C828="B",VLOOKUP($A828,Bat!$A$4:$AU$1417,46,FALSE),VLOOKUP($A828,Pit!$A$4:$BD$570,55,FALSE))</f>
        <v>0</v>
      </c>
      <c r="U828" s="52">
        <f>IF($C828="B",VLOOKUP($A828,Bat!$A$4:$BA$1417,47,FALSE),VLOOKUP($A828,Pit!$A$4:$BF$570,56,FALSE))</f>
        <v>0</v>
      </c>
      <c r="V828" s="52">
        <f>IF($C828="B",VLOOKUP($A828,Bat!$A$4:$BA$1417,48,FALSE),VLOOKUP($A828,Pit!$A$4:$BF$570,57,FALSE))</f>
        <v>0</v>
      </c>
      <c r="W828" s="52">
        <f>Table5[[#This Row],[posRnk]]+Table5[[#This Row],[zRnk]]+IF($W$3&lt;&gt;Table5[[#This Row],[Type]],50,0)</f>
        <v>874</v>
      </c>
      <c r="X828" s="53">
        <f>RANK(Table5[[#This Row],[zScore]],Table5[[#All],[zScore]])</f>
        <v>824</v>
      </c>
      <c r="Y828" s="52" t="str">
        <f>IFERROR(INDEX(DraftResults[[#All],[OVR]],MATCH(Table5[[#This Row],[PID]],DraftResults[[#All],[Player ID]],0)),"")</f>
        <v/>
      </c>
      <c r="Z8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8" s="52" t="str">
        <f>IFERROR(INDEX(DraftResults[[#All],[Pick in Round]],MATCH(Table5[[#This Row],[PID]],DraftResults[[#All],[Player ID]],0)),"")</f>
        <v/>
      </c>
      <c r="AB828" s="52" t="str">
        <f>IFERROR(INDEX(DraftResults[[#All],[Team Name]],MATCH(Table5[[#This Row],[PID]],DraftResults[[#All],[Player ID]],0)),"")</f>
        <v/>
      </c>
      <c r="AC828" s="52" t="str">
        <f>IF(Table5[[#This Row],[Ovr]]="","",IF(Table5[[#This Row],[cmbList]]="","",Table5[[#This Row],[cmbList]]-Table5[[#This Row],[Ovr]]))</f>
        <v/>
      </c>
      <c r="AD828" s="56" t="str">
        <f>IF(ISERROR(VLOOKUP($AB828&amp;"-"&amp;$E828&amp;" "&amp;F828,Bonuses!$B$1:$G$1006,4,FALSE)),"",INT(VLOOKUP($AB828&amp;"-"&amp;$E828&amp;" "&amp;$F828,Bonuses!$B$1:$G$1006,4,FALSE)))</f>
        <v/>
      </c>
      <c r="AE8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9" spans="1:31" s="52" customFormat="1" x14ac:dyDescent="0.25">
      <c r="A829" s="52">
        <v>12091</v>
      </c>
      <c r="B829" s="52">
        <f>COUNTIF(Table5[PID],A829)</f>
        <v>1</v>
      </c>
      <c r="C829" s="52" t="str">
        <f>IF(COUNTIF(Table3[[#All],[PID]],A829)&gt;0,"P","B")</f>
        <v>P</v>
      </c>
      <c r="D829" s="61" t="str">
        <f>IF($C829="B",INDEX(Batters[[#All],[POS]],MATCH(Table5[[#This Row],[PID]],Batters[[#All],[PID]],0)),INDEX(Table3[[#All],[POS]],MATCH(Table5[[#This Row],[PID]],Table3[[#All],[PID]],0)))</f>
        <v>SP</v>
      </c>
      <c r="E829" s="54" t="str">
        <f>IF($C829="B",INDEX(Batters[[#All],[First]],MATCH(Table5[[#This Row],[PID]],Batters[[#All],[PID]],0)),INDEX(Table3[[#All],[First]],MATCH(Table5[[#This Row],[PID]],Table3[[#All],[PID]],0)))</f>
        <v>Francisco</v>
      </c>
      <c r="F829" s="52" t="str">
        <f>IF($C829="B",INDEX(Batters[[#All],[Last]],MATCH(A829,Batters[[#All],[PID]],0)),INDEX(Table3[[#All],[Last]],MATCH(A829,Table3[[#All],[PID]],0)))</f>
        <v>Guzmán</v>
      </c>
      <c r="G829" s="58">
        <f>IF($C829="B",INDEX(Batters[[#All],[Age]],MATCH(Table5[[#This Row],[PID]],Batters[[#All],[PID]],0)),INDEX(Table3[[#All],[Age]],MATCH(Table5[[#This Row],[PID]],Table3[[#All],[PID]],0)))</f>
        <v>21</v>
      </c>
      <c r="H829" s="54" t="str">
        <f>IF($C829="B",INDEX(Batters[[#All],[B]],MATCH(Table5[[#This Row],[PID]],Batters[[#All],[PID]],0)),INDEX(Table3[[#All],[B]],MATCH(Table5[[#This Row],[PID]],Table3[[#All],[PID]],0)))</f>
        <v>R</v>
      </c>
      <c r="I829" s="54" t="str">
        <f>IF($C829="B",INDEX(Batters[[#All],[T]],MATCH(Table5[[#This Row],[PID]],Batters[[#All],[PID]],0)),INDEX(Table3[[#All],[T]],MATCH(Table5[[#This Row],[PID]],Table3[[#All],[PID]],0)))</f>
        <v>R</v>
      </c>
      <c r="J829" s="54" t="str">
        <f>IF($C829="B",INDEX(Batters[[#All],[WE]],MATCH(Table5[[#This Row],[PID]],Batters[[#All],[PID]],0)),INDEX(Table3[[#All],[WE]],MATCH(Table5[[#This Row],[PID]],Table3[[#All],[PID]],0)))</f>
        <v>Low</v>
      </c>
      <c r="K829" s="54" t="str">
        <f>IF($C829="B",INDEX(Batters[[#All],[INT]],MATCH(Table5[[#This Row],[PID]],Batters[[#All],[PID]],0)),INDEX(Table3[[#All],[INT]],MATCH(Table5[[#This Row],[PID]],Table3[[#All],[PID]],0)))</f>
        <v>Normal</v>
      </c>
      <c r="L829" s="62">
        <f>IF($C829="B",INDEX(Batters[[#All],[CON P]],MATCH(Table5[[#This Row],[PID]],Batters[[#All],[PID]],0)),INDEX(Table3[[#All],[STU P]],MATCH(Table5[[#This Row],[PID]],Table3[[#All],[PID]],0)))</f>
        <v>4</v>
      </c>
      <c r="M829" s="58">
        <f>IF($C829="B",INDEX(Batters[[#All],[GAP P]],MATCH(Table5[[#This Row],[PID]],Batters[[#All],[PID]],0)),INDEX(Table3[[#All],[MOV P]],MATCH(Table5[[#This Row],[PID]],Table3[[#All],[PID]],0)))</f>
        <v>2</v>
      </c>
      <c r="N829" s="58">
        <f>IF($C829="B",INDEX(Batters[[#All],[POW P]],MATCH(Table5[[#This Row],[PID]],Batters[[#All],[PID]],0)),INDEX(Table3[[#All],[CON P]],MATCH(Table5[[#This Row],[PID]],Table3[[#All],[PID]],0)))</f>
        <v>2</v>
      </c>
      <c r="O829" s="58" t="str">
        <f>IF($C829="B",INDEX(Batters[[#All],[EYE P]],MATCH(Table5[[#This Row],[PID]],Batters[[#All],[PID]],0)),INDEX(Table3[[#All],[VELO]],MATCH(Table5[[#This Row],[PID]],Table3[[#All],[PID]],0)))</f>
        <v>90-92 Mph</v>
      </c>
      <c r="P829" s="58">
        <f>IF($C829="B",INDEX(Batters[[#All],[K P]],MATCH(Table5[[#This Row],[PID]],Batters[[#All],[PID]],0)),INDEX(Table3[[#All],[STM]],MATCH(Table5[[#This Row],[PID]],Table3[[#All],[PID]],0)))</f>
        <v>5</v>
      </c>
      <c r="Q829" s="63">
        <f>IF($C829="B",INDEX(Batters[[#All],[Tot]],MATCH(Table5[[#This Row],[PID]],Batters[[#All],[PID]],0)),INDEX(Table3[[#All],[Tot]],MATCH(Table5[[#This Row],[PID]],Table3[[#All],[PID]],0)))</f>
        <v>25.351851557812086</v>
      </c>
      <c r="R829" s="54">
        <f>IF($C829="B",INDEX(Batters[[#All],[zScore]],MATCH(Table5[[#This Row],[PID]],Batters[[#All],[PID]],0)),INDEX(Table3[[#All],[zScore]],MATCH(Table5[[#This Row],[PID]],Table3[[#All],[PID]],0)))</f>
        <v>-0.67589711721471979</v>
      </c>
      <c r="S829" s="60" t="str">
        <f>IF($C829="B",INDEX(Batters[[#All],[DEM]],MATCH(Table5[[#This Row],[PID]],Batters[[#All],[PID]],0)),INDEX(Table3[[#All],[DEM]],MATCH(Table5[[#This Row],[PID]],Table3[[#All],[PID]],0)))</f>
        <v>$20k</v>
      </c>
      <c r="T829" s="64">
        <f>IF($C829="B",VLOOKUP($A829,Bat!$A$4:$AU$1417,46,FALSE),VLOOKUP($A829,Pit!$A$4:$BD$570,55,FALSE))</f>
        <v>0</v>
      </c>
      <c r="U829" s="52">
        <f>IF($C829="B",VLOOKUP($A829,Bat!$A$4:$BA$1417,47,FALSE),VLOOKUP($A829,Pit!$A$4:$BF$570,56,FALSE))</f>
        <v>0</v>
      </c>
      <c r="V829" s="52">
        <f>IF($C829="B",VLOOKUP($A829,Bat!$A$4:$BA$1417,48,FALSE),VLOOKUP($A829,Pit!$A$4:$BF$570,57,FALSE))</f>
        <v>0</v>
      </c>
      <c r="W829" s="52">
        <f>Table5[[#This Row],[posRnk]]+Table5[[#This Row],[zRnk]]+IF($W$3&lt;&gt;Table5[[#This Row],[Type]],50,0)</f>
        <v>875</v>
      </c>
      <c r="X829" s="53">
        <f>RANK(Table5[[#This Row],[zScore]],Table5[[#All],[zScore]])</f>
        <v>825</v>
      </c>
      <c r="Y829" s="52" t="str">
        <f>IFERROR(INDEX(DraftResults[[#All],[OVR]],MATCH(Table5[[#This Row],[PID]],DraftResults[[#All],[Player ID]],0)),"")</f>
        <v/>
      </c>
      <c r="Z8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9" s="52" t="str">
        <f>IFERROR(INDEX(DraftResults[[#All],[Pick in Round]],MATCH(Table5[[#This Row],[PID]],DraftResults[[#All],[Player ID]],0)),"")</f>
        <v/>
      </c>
      <c r="AB829" s="52" t="str">
        <f>IFERROR(INDEX(DraftResults[[#All],[Team Name]],MATCH(Table5[[#This Row],[PID]],DraftResults[[#All],[Player ID]],0)),"")</f>
        <v/>
      </c>
      <c r="AC829" s="52" t="str">
        <f>IF(Table5[[#This Row],[Ovr]]="","",IF(Table5[[#This Row],[cmbList]]="","",Table5[[#This Row],[cmbList]]-Table5[[#This Row],[Ovr]]))</f>
        <v/>
      </c>
      <c r="AD829" s="56" t="str">
        <f>IF(ISERROR(VLOOKUP($AB829&amp;"-"&amp;$E829&amp;" "&amp;F829,Bonuses!$B$1:$G$1006,4,FALSE)),"",INT(VLOOKUP($AB829&amp;"-"&amp;$E829&amp;" "&amp;$F829,Bonuses!$B$1:$G$1006,4,FALSE)))</f>
        <v/>
      </c>
      <c r="AE8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0" spans="1:31" s="52" customFormat="1" x14ac:dyDescent="0.25">
      <c r="A830" s="52">
        <v>9489</v>
      </c>
      <c r="B830" s="52">
        <f>COUNTIF(Table5[PID],A830)</f>
        <v>1</v>
      </c>
      <c r="C830" s="52" t="str">
        <f>IF(COUNTIF(Table3[[#All],[PID]],A830)&gt;0,"P","B")</f>
        <v>P</v>
      </c>
      <c r="D830" s="61" t="str">
        <f>IF($C830="B",INDEX(Batters[[#All],[POS]],MATCH(Table5[[#This Row],[PID]],Batters[[#All],[PID]],0)),INDEX(Table3[[#All],[POS]],MATCH(Table5[[#This Row],[PID]],Table3[[#All],[PID]],0)))</f>
        <v>RP</v>
      </c>
      <c r="E830" s="54" t="str">
        <f>IF($C830="B",INDEX(Batters[[#All],[First]],MATCH(Table5[[#This Row],[PID]],Batters[[#All],[PID]],0)),INDEX(Table3[[#All],[First]],MATCH(Table5[[#This Row],[PID]],Table3[[#All],[PID]],0)))</f>
        <v>Greg</v>
      </c>
      <c r="F830" s="52" t="str">
        <f>IF($C830="B",INDEX(Batters[[#All],[Last]],MATCH(A830,Batters[[#All],[PID]],0)),INDEX(Table3[[#All],[Last]],MATCH(A830,Table3[[#All],[PID]],0)))</f>
        <v>Roberts</v>
      </c>
      <c r="G830" s="58">
        <f>IF($C830="B",INDEX(Batters[[#All],[Age]],MATCH(Table5[[#This Row],[PID]],Batters[[#All],[PID]],0)),INDEX(Table3[[#All],[Age]],MATCH(Table5[[#This Row],[PID]],Table3[[#All],[PID]],0)))</f>
        <v>21</v>
      </c>
      <c r="H830" s="54" t="str">
        <f>IF($C830="B",INDEX(Batters[[#All],[B]],MATCH(Table5[[#This Row],[PID]],Batters[[#All],[PID]],0)),INDEX(Table3[[#All],[B]],MATCH(Table5[[#This Row],[PID]],Table3[[#All],[PID]],0)))</f>
        <v>L</v>
      </c>
      <c r="I830" s="54" t="str">
        <f>IF($C830="B",INDEX(Batters[[#All],[T]],MATCH(Table5[[#This Row],[PID]],Batters[[#All],[PID]],0)),INDEX(Table3[[#All],[T]],MATCH(Table5[[#This Row],[PID]],Table3[[#All],[PID]],0)))</f>
        <v>L</v>
      </c>
      <c r="J830" s="54" t="str">
        <f>IF($C830="B",INDEX(Batters[[#All],[WE]],MATCH(Table5[[#This Row],[PID]],Batters[[#All],[PID]],0)),INDEX(Table3[[#All],[WE]],MATCH(Table5[[#This Row],[PID]],Table3[[#All],[PID]],0)))</f>
        <v>High</v>
      </c>
      <c r="K830" s="54" t="str">
        <f>IF($C830="B",INDEX(Batters[[#All],[INT]],MATCH(Table5[[#This Row],[PID]],Batters[[#All],[PID]],0)),INDEX(Table3[[#All],[INT]],MATCH(Table5[[#This Row],[PID]],Table3[[#All],[PID]],0)))</f>
        <v>Normal</v>
      </c>
      <c r="L830" s="62">
        <f>IF($C830="B",INDEX(Batters[[#All],[CON P]],MATCH(Table5[[#This Row],[PID]],Batters[[#All],[PID]],0)),INDEX(Table3[[#All],[STU P]],MATCH(Table5[[#This Row],[PID]],Table3[[#All],[PID]],0)))</f>
        <v>4</v>
      </c>
      <c r="M830" s="58">
        <f>IF($C830="B",INDEX(Batters[[#All],[GAP P]],MATCH(Table5[[#This Row],[PID]],Batters[[#All],[PID]],0)),INDEX(Table3[[#All],[MOV P]],MATCH(Table5[[#This Row],[PID]],Table3[[#All],[PID]],0)))</f>
        <v>1</v>
      </c>
      <c r="N830" s="58">
        <f>IF($C830="B",INDEX(Batters[[#All],[POW P]],MATCH(Table5[[#This Row],[PID]],Batters[[#All],[PID]],0)),INDEX(Table3[[#All],[CON P]],MATCH(Table5[[#This Row],[PID]],Table3[[#All],[PID]],0)))</f>
        <v>3</v>
      </c>
      <c r="O830" s="58" t="str">
        <f>IF($C830="B",INDEX(Batters[[#All],[EYE P]],MATCH(Table5[[#This Row],[PID]],Batters[[#All],[PID]],0)),INDEX(Table3[[#All],[VELO]],MATCH(Table5[[#This Row],[PID]],Table3[[#All],[PID]],0)))</f>
        <v>88-90 Mph</v>
      </c>
      <c r="P830" s="58">
        <f>IF($C830="B",INDEX(Batters[[#All],[K P]],MATCH(Table5[[#This Row],[PID]],Batters[[#All],[PID]],0)),INDEX(Table3[[#All],[STM]],MATCH(Table5[[#This Row],[PID]],Table3[[#All],[PID]],0)))</f>
        <v>10</v>
      </c>
      <c r="Q830" s="63">
        <f>IF($C830="B",INDEX(Batters[[#All],[Tot]],MATCH(Table5[[#This Row],[PID]],Batters[[#All],[PID]],0)),INDEX(Table3[[#All],[Tot]],MATCH(Table5[[#This Row],[PID]],Table3[[#All],[PID]],0)))</f>
        <v>25.326617898623429</v>
      </c>
      <c r="R830" s="54">
        <f>IF($C830="B",INDEX(Batters[[#All],[zScore]],MATCH(Table5[[#This Row],[PID]],Batters[[#All],[PID]],0)),INDEX(Table3[[#All],[zScore]],MATCH(Table5[[#This Row],[PID]],Table3[[#All],[PID]],0)))</f>
        <v>-0.67821115161324574</v>
      </c>
      <c r="S830" s="60" t="str">
        <f>IF($C830="B",INDEX(Batters[[#All],[DEM]],MATCH(Table5[[#This Row],[PID]],Batters[[#All],[PID]],0)),INDEX(Table3[[#All],[DEM]],MATCH(Table5[[#This Row],[PID]],Table3[[#All],[PID]],0)))</f>
        <v>-</v>
      </c>
      <c r="T830" s="64">
        <f>IF($C830="B",VLOOKUP($A830,Bat!$A$4:$AU$1417,46,FALSE),VLOOKUP($A830,Pit!$A$4:$BD$570,55,FALSE))</f>
        <v>0</v>
      </c>
      <c r="U830" s="52">
        <f>IF($C830="B",VLOOKUP($A830,Bat!$A$4:$BA$1417,47,FALSE),VLOOKUP($A830,Pit!$A$4:$BF$570,56,FALSE))</f>
        <v>0</v>
      </c>
      <c r="V830" s="52">
        <f>IF($C830="B",VLOOKUP($A830,Bat!$A$4:$BA$1417,48,FALSE),VLOOKUP($A830,Pit!$A$4:$BF$570,57,FALSE))</f>
        <v>0</v>
      </c>
      <c r="W830" s="52">
        <f>Table5[[#This Row],[posRnk]]+Table5[[#This Row],[zRnk]]+IF($W$3&lt;&gt;Table5[[#This Row],[Type]],50,0)</f>
        <v>876</v>
      </c>
      <c r="X830" s="53">
        <f>RANK(Table5[[#This Row],[zScore]],Table5[[#All],[zScore]])</f>
        <v>826</v>
      </c>
      <c r="Y830" s="52" t="str">
        <f>IFERROR(INDEX(DraftResults[[#All],[OVR]],MATCH(Table5[[#This Row],[PID]],DraftResults[[#All],[Player ID]],0)),"")</f>
        <v/>
      </c>
      <c r="Z8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0" s="52" t="str">
        <f>IFERROR(INDEX(DraftResults[[#All],[Pick in Round]],MATCH(Table5[[#This Row],[PID]],DraftResults[[#All],[Player ID]],0)),"")</f>
        <v/>
      </c>
      <c r="AB830" s="52" t="str">
        <f>IFERROR(INDEX(DraftResults[[#All],[Team Name]],MATCH(Table5[[#This Row],[PID]],DraftResults[[#All],[Player ID]],0)),"")</f>
        <v/>
      </c>
      <c r="AC830" s="52" t="str">
        <f>IF(Table5[[#This Row],[Ovr]]="","",IF(Table5[[#This Row],[cmbList]]="","",Table5[[#This Row],[cmbList]]-Table5[[#This Row],[Ovr]]))</f>
        <v/>
      </c>
      <c r="AD830" s="56" t="str">
        <f>IF(ISERROR(VLOOKUP($AB830&amp;"-"&amp;$E830&amp;" "&amp;F830,Bonuses!$B$1:$G$1006,4,FALSE)),"",INT(VLOOKUP($AB830&amp;"-"&amp;$E830&amp;" "&amp;$F830,Bonuses!$B$1:$G$1006,4,FALSE)))</f>
        <v/>
      </c>
      <c r="AE8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1" spans="1:31" s="52" customFormat="1" x14ac:dyDescent="0.25">
      <c r="A831" s="52">
        <v>12156</v>
      </c>
      <c r="B831" s="57">
        <f>COUNTIF(Table5[PID],A831)</f>
        <v>1</v>
      </c>
      <c r="C831" s="57" t="str">
        <f>IF(COUNTIF(Table3[[#All],[PID]],A831)&gt;0,"P","B")</f>
        <v>B</v>
      </c>
      <c r="D831" s="61" t="str">
        <f>IF($C831="B",INDEX(Batters[[#All],[POS]],MATCH(Table5[[#This Row],[PID]],Batters[[#All],[PID]],0)),INDEX(Table3[[#All],[POS]],MATCH(Table5[[#This Row],[PID]],Table3[[#All],[PID]],0)))</f>
        <v>SS</v>
      </c>
      <c r="E831" s="54" t="str">
        <f>IF($C831="B",INDEX(Batters[[#All],[First]],MATCH(Table5[[#This Row],[PID]],Batters[[#All],[PID]],0)),INDEX(Table3[[#All],[First]],MATCH(Table5[[#This Row],[PID]],Table3[[#All],[PID]],0)))</f>
        <v>Melvin</v>
      </c>
      <c r="F831" s="52" t="str">
        <f>IF($C831="B",INDEX(Batters[[#All],[Last]],MATCH(A831,Batters[[#All],[PID]],0)),INDEX(Table3[[#All],[Last]],MATCH(A831,Table3[[#All],[PID]],0)))</f>
        <v>Maxwell</v>
      </c>
      <c r="G831" s="58">
        <f>IF($C831="B",INDEX(Batters[[#All],[Age]],MATCH(Table5[[#This Row],[PID]],Batters[[#All],[PID]],0)),INDEX(Table3[[#All],[Age]],MATCH(Table5[[#This Row],[PID]],Table3[[#All],[PID]],0)))</f>
        <v>21</v>
      </c>
      <c r="H831" s="54" t="str">
        <f>IF($C831="B",INDEX(Batters[[#All],[B]],MATCH(Table5[[#This Row],[PID]],Batters[[#All],[PID]],0)),INDEX(Table3[[#All],[B]],MATCH(Table5[[#This Row],[PID]],Table3[[#All],[PID]],0)))</f>
        <v>R</v>
      </c>
      <c r="I831" s="54" t="str">
        <f>IF($C831="B",INDEX(Batters[[#All],[T]],MATCH(Table5[[#This Row],[PID]],Batters[[#All],[PID]],0)),INDEX(Table3[[#All],[T]],MATCH(Table5[[#This Row],[PID]],Table3[[#All],[PID]],0)))</f>
        <v>R</v>
      </c>
      <c r="J831" s="54" t="str">
        <f>IF($C831="B",INDEX(Batters[[#All],[WE]],MATCH(Table5[[#This Row],[PID]],Batters[[#All],[PID]],0)),INDEX(Table3[[#All],[WE]],MATCH(Table5[[#This Row],[PID]],Table3[[#All],[PID]],0)))</f>
        <v>Low</v>
      </c>
      <c r="K831" s="54" t="str">
        <f>IF($C831="B",INDEX(Batters[[#All],[INT]],MATCH(Table5[[#This Row],[PID]],Batters[[#All],[PID]],0)),INDEX(Table3[[#All],[INT]],MATCH(Table5[[#This Row],[PID]],Table3[[#All],[PID]],0)))</f>
        <v>Normal</v>
      </c>
      <c r="L831" s="62">
        <f>IF($C831="B",INDEX(Batters[[#All],[CON P]],MATCH(Table5[[#This Row],[PID]],Batters[[#All],[PID]],0)),INDEX(Table3[[#All],[STU P]],MATCH(Table5[[#This Row],[PID]],Table3[[#All],[PID]],0)))</f>
        <v>3</v>
      </c>
      <c r="M831" s="58">
        <f>IF($C831="B",INDEX(Batters[[#All],[GAP P]],MATCH(Table5[[#This Row],[PID]],Batters[[#All],[PID]],0)),INDEX(Table3[[#All],[MOV P]],MATCH(Table5[[#This Row],[PID]],Table3[[#All],[PID]],0)))</f>
        <v>3</v>
      </c>
      <c r="N831" s="58">
        <f>IF($C831="B",INDEX(Batters[[#All],[POW P]],MATCH(Table5[[#This Row],[PID]],Batters[[#All],[PID]],0)),INDEX(Table3[[#All],[CON P]],MATCH(Table5[[#This Row],[PID]],Table3[[#All],[PID]],0)))</f>
        <v>3</v>
      </c>
      <c r="O831" s="58">
        <f>IF($C831="B",INDEX(Batters[[#All],[EYE P]],MATCH(Table5[[#This Row],[PID]],Batters[[#All],[PID]],0)),INDEX(Table3[[#All],[VELO]],MATCH(Table5[[#This Row],[PID]],Table3[[#All],[PID]],0)))</f>
        <v>4</v>
      </c>
      <c r="P831" s="58">
        <f>IF($C831="B",INDEX(Batters[[#All],[K P]],MATCH(Table5[[#This Row],[PID]],Batters[[#All],[PID]],0)),INDEX(Table3[[#All],[STM]],MATCH(Table5[[#This Row],[PID]],Table3[[#All],[PID]],0)))</f>
        <v>3</v>
      </c>
      <c r="Q831" s="63">
        <f>IF($C831="B",INDEX(Batters[[#All],[Tot]],MATCH(Table5[[#This Row],[PID]],Batters[[#All],[PID]],0)),INDEX(Table3[[#All],[Tot]],MATCH(Table5[[#This Row],[PID]],Table3[[#All],[PID]],0)))</f>
        <v>36.485350885026563</v>
      </c>
      <c r="R831" s="54">
        <f>IF($C831="B",INDEX(Batters[[#All],[zScore]],MATCH(Table5[[#This Row],[PID]],Batters[[#All],[PID]],0)),INDEX(Table3[[#All],[zScore]],MATCH(Table5[[#This Row],[PID]],Table3[[#All],[PID]],0)))</f>
        <v>-0.67965096046679219</v>
      </c>
      <c r="S831" s="60" t="str">
        <f>IF($C831="B",INDEX(Batters[[#All],[DEM]],MATCH(Table5[[#This Row],[PID]],Batters[[#All],[PID]],0)),INDEX(Table3[[#All],[DEM]],MATCH(Table5[[#This Row],[PID]],Table3[[#All],[PID]],0)))</f>
        <v>-</v>
      </c>
      <c r="T831" s="64">
        <f>IF($C831="B",VLOOKUP($A831,Bat!$A$4:$AU$1417,46,FALSE),VLOOKUP($A831,Pit!$A$4:$BD$570,55,FALSE))</f>
        <v>0</v>
      </c>
      <c r="U831" s="52">
        <f>IF($C831="B",VLOOKUP($A831,Bat!$A$4:$BA$1417,47,FALSE),VLOOKUP($A831,Pit!$A$4:$BF$570,56,FALSE))</f>
        <v>0</v>
      </c>
      <c r="V831" s="52">
        <f>IF($C831="B",VLOOKUP($A831,Bat!$A$4:$BA$1417,48,FALSE),VLOOKUP($A831,Pit!$A$4:$BF$570,57,FALSE))</f>
        <v>0</v>
      </c>
      <c r="W831" s="52">
        <f>Table5[[#This Row],[posRnk]]+Table5[[#This Row],[zRnk]]+IF($W$3&lt;&gt;Table5[[#This Row],[Type]],50,0)</f>
        <v>877</v>
      </c>
      <c r="X831" s="53">
        <f>RANK(Table5[[#This Row],[zScore]],Table5[[#All],[zScore]])</f>
        <v>827</v>
      </c>
      <c r="Y831" s="52" t="str">
        <f>IFERROR(INDEX(DraftResults[[#All],[OVR]],MATCH(Table5[[#This Row],[PID]],DraftResults[[#All],[Player ID]],0)),"")</f>
        <v/>
      </c>
      <c r="Z8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1" s="52" t="str">
        <f>IFERROR(INDEX(DraftResults[[#All],[Pick in Round]],MATCH(Table5[[#This Row],[PID]],DraftResults[[#All],[Player ID]],0)),"")</f>
        <v/>
      </c>
      <c r="AB831" s="52" t="str">
        <f>IFERROR(INDEX(DraftResults[[#All],[Team Name]],MATCH(Table5[[#This Row],[PID]],DraftResults[[#All],[Player ID]],0)),"")</f>
        <v/>
      </c>
      <c r="AC831" s="52" t="str">
        <f>IF(Table5[[#This Row],[Ovr]]="","",IF(Table5[[#This Row],[cmbList]]="","",Table5[[#This Row],[cmbList]]-Table5[[#This Row],[Ovr]]))</f>
        <v/>
      </c>
      <c r="AD831" s="56" t="str">
        <f>IF(ISERROR(VLOOKUP($AB831&amp;"-"&amp;$E831&amp;" "&amp;F831,Bonuses!$B$1:$G$1006,4,FALSE)),"",INT(VLOOKUP($AB831&amp;"-"&amp;$E831&amp;" "&amp;$F831,Bonuses!$B$1:$G$1006,4,FALSE)))</f>
        <v/>
      </c>
      <c r="AE8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2" spans="1:31" s="52" customFormat="1" x14ac:dyDescent="0.25">
      <c r="A832" s="52">
        <v>6069</v>
      </c>
      <c r="B832" s="52">
        <f>COUNTIF(Table5[PID],A832)</f>
        <v>1</v>
      </c>
      <c r="C832" s="52" t="str">
        <f>IF(COUNTIF(Table3[[#All],[PID]],A832)&gt;0,"P","B")</f>
        <v>B</v>
      </c>
      <c r="D832" s="61" t="str">
        <f>IF($C832="B",INDEX(Batters[[#All],[POS]],MATCH(Table5[[#This Row],[PID]],Batters[[#All],[PID]],0)),INDEX(Table3[[#All],[POS]],MATCH(Table5[[#This Row],[PID]],Table3[[#All],[PID]],0)))</f>
        <v>LF</v>
      </c>
      <c r="E832" s="54" t="str">
        <f>IF($C832="B",INDEX(Batters[[#All],[First]],MATCH(Table5[[#This Row],[PID]],Batters[[#All],[PID]],0)),INDEX(Table3[[#All],[First]],MATCH(Table5[[#This Row],[PID]],Table3[[#All],[PID]],0)))</f>
        <v>Bryan</v>
      </c>
      <c r="F832" s="52" t="str">
        <f>IF($C832="B",INDEX(Batters[[#All],[Last]],MATCH(A832,Batters[[#All],[PID]],0)),INDEX(Table3[[#All],[Last]],MATCH(A832,Table3[[#All],[PID]],0)))</f>
        <v>Clark</v>
      </c>
      <c r="G832" s="58">
        <f>IF($C832="B",INDEX(Batters[[#All],[Age]],MATCH(Table5[[#This Row],[PID]],Batters[[#All],[PID]],0)),INDEX(Table3[[#All],[Age]],MATCH(Table5[[#This Row],[PID]],Table3[[#All],[PID]],0)))</f>
        <v>18</v>
      </c>
      <c r="H832" s="54" t="str">
        <f>IF($C832="B",INDEX(Batters[[#All],[B]],MATCH(Table5[[#This Row],[PID]],Batters[[#All],[PID]],0)),INDEX(Table3[[#All],[B]],MATCH(Table5[[#This Row],[PID]],Table3[[#All],[PID]],0)))</f>
        <v>R</v>
      </c>
      <c r="I832" s="54" t="str">
        <f>IF($C832="B",INDEX(Batters[[#All],[T]],MATCH(Table5[[#This Row],[PID]],Batters[[#All],[PID]],0)),INDEX(Table3[[#All],[T]],MATCH(Table5[[#This Row],[PID]],Table3[[#All],[PID]],0)))</f>
        <v>R</v>
      </c>
      <c r="J832" s="54" t="str">
        <f>IF($C832="B",INDEX(Batters[[#All],[WE]],MATCH(Table5[[#This Row],[PID]],Batters[[#All],[PID]],0)),INDEX(Table3[[#All],[WE]],MATCH(Table5[[#This Row],[PID]],Table3[[#All],[PID]],0)))</f>
        <v>Low</v>
      </c>
      <c r="K832" s="54" t="str">
        <f>IF($C832="B",INDEX(Batters[[#All],[INT]],MATCH(Table5[[#This Row],[PID]],Batters[[#All],[PID]],0)),INDEX(Table3[[#All],[INT]],MATCH(Table5[[#This Row],[PID]],Table3[[#All],[PID]],0)))</f>
        <v>Normal</v>
      </c>
      <c r="L832" s="62">
        <f>IF($C832="B",INDEX(Batters[[#All],[CON P]],MATCH(Table5[[#This Row],[PID]],Batters[[#All],[PID]],0)),INDEX(Table3[[#All],[STU P]],MATCH(Table5[[#This Row],[PID]],Table3[[#All],[PID]],0)))</f>
        <v>2</v>
      </c>
      <c r="M832" s="58">
        <f>IF($C832="B",INDEX(Batters[[#All],[GAP P]],MATCH(Table5[[#This Row],[PID]],Batters[[#All],[PID]],0)),INDEX(Table3[[#All],[MOV P]],MATCH(Table5[[#This Row],[PID]],Table3[[#All],[PID]],0)))</f>
        <v>3</v>
      </c>
      <c r="N832" s="58">
        <f>IF($C832="B",INDEX(Batters[[#All],[POW P]],MATCH(Table5[[#This Row],[PID]],Batters[[#All],[PID]],0)),INDEX(Table3[[#All],[CON P]],MATCH(Table5[[#This Row],[PID]],Table3[[#All],[PID]],0)))</f>
        <v>4</v>
      </c>
      <c r="O832" s="58">
        <f>IF($C832="B",INDEX(Batters[[#All],[EYE P]],MATCH(Table5[[#This Row],[PID]],Batters[[#All],[PID]],0)),INDEX(Table3[[#All],[VELO]],MATCH(Table5[[#This Row],[PID]],Table3[[#All],[PID]],0)))</f>
        <v>4</v>
      </c>
      <c r="P832" s="58">
        <f>IF($C832="B",INDEX(Batters[[#All],[K P]],MATCH(Table5[[#This Row],[PID]],Batters[[#All],[PID]],0)),INDEX(Table3[[#All],[STM]],MATCH(Table5[[#This Row],[PID]],Table3[[#All],[PID]],0)))</f>
        <v>2</v>
      </c>
      <c r="Q832" s="63">
        <f>IF($C832="B",INDEX(Batters[[#All],[Tot]],MATCH(Table5[[#This Row],[PID]],Batters[[#All],[PID]],0)),INDEX(Table3[[#All],[Tot]],MATCH(Table5[[#This Row],[PID]],Table3[[#All],[PID]],0)))</f>
        <v>36.467145758113453</v>
      </c>
      <c r="R832" s="54">
        <f>IF($C832="B",INDEX(Batters[[#All],[zScore]],MATCH(Table5[[#This Row],[PID]],Batters[[#All],[PID]],0)),INDEX(Table3[[#All],[zScore]],MATCH(Table5[[#This Row],[PID]],Table3[[#All],[PID]],0)))</f>
        <v>-0.68285403155035729</v>
      </c>
      <c r="S832" s="60" t="str">
        <f>IF($C832="B",INDEX(Batters[[#All],[DEM]],MATCH(Table5[[#This Row],[PID]],Batters[[#All],[PID]],0)),INDEX(Table3[[#All],[DEM]],MATCH(Table5[[#This Row],[PID]],Table3[[#All],[PID]],0)))</f>
        <v>$65k</v>
      </c>
      <c r="T832" s="64">
        <f>IF($C832="B",VLOOKUP($A832,Bat!$A$4:$AU$1417,46,FALSE),VLOOKUP($A832,Pit!$A$4:$BD$570,55,FALSE))</f>
        <v>0</v>
      </c>
      <c r="U832" s="52">
        <f>IF($C832="B",VLOOKUP($A832,Bat!$A$4:$BA$1417,47,FALSE),VLOOKUP($A832,Pit!$A$4:$BF$570,56,FALSE))</f>
        <v>0</v>
      </c>
      <c r="V832" s="52">
        <f>IF($C832="B",VLOOKUP($A832,Bat!$A$4:$BA$1417,48,FALSE),VLOOKUP($A832,Pit!$A$4:$BF$570,57,FALSE))</f>
        <v>0</v>
      </c>
      <c r="W832" s="52">
        <f>Table5[[#This Row],[posRnk]]+Table5[[#This Row],[zRnk]]+IF($W$3&lt;&gt;Table5[[#This Row],[Type]],50,0)</f>
        <v>878</v>
      </c>
      <c r="X832" s="53">
        <f>RANK(Table5[[#This Row],[zScore]],Table5[[#All],[zScore]])</f>
        <v>828</v>
      </c>
      <c r="Y832" s="52" t="str">
        <f>IFERROR(INDEX(DraftResults[[#All],[OVR]],MATCH(Table5[[#This Row],[PID]],DraftResults[[#All],[Player ID]],0)),"")</f>
        <v/>
      </c>
      <c r="Z8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2" s="52" t="str">
        <f>IFERROR(INDEX(DraftResults[[#All],[Pick in Round]],MATCH(Table5[[#This Row],[PID]],DraftResults[[#All],[Player ID]],0)),"")</f>
        <v/>
      </c>
      <c r="AB832" s="52" t="str">
        <f>IFERROR(INDEX(DraftResults[[#All],[Team Name]],MATCH(Table5[[#This Row],[PID]],DraftResults[[#All],[Player ID]],0)),"")</f>
        <v/>
      </c>
      <c r="AC832" s="52" t="str">
        <f>IF(Table5[[#This Row],[Ovr]]="","",IF(Table5[[#This Row],[cmbList]]="","",Table5[[#This Row],[cmbList]]-Table5[[#This Row],[Ovr]]))</f>
        <v/>
      </c>
      <c r="AD832" s="56" t="str">
        <f>IF(ISERROR(VLOOKUP($AB832&amp;"-"&amp;$E832&amp;" "&amp;F832,Bonuses!$B$1:$G$1006,4,FALSE)),"",INT(VLOOKUP($AB832&amp;"-"&amp;$E832&amp;" "&amp;$F832,Bonuses!$B$1:$G$1006,4,FALSE)))</f>
        <v/>
      </c>
      <c r="AE8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3" spans="1:31" s="52" customFormat="1" x14ac:dyDescent="0.25">
      <c r="A833" s="52">
        <v>6335</v>
      </c>
      <c r="B833" s="52">
        <f>COUNTIF(Table5[PID],A833)</f>
        <v>1</v>
      </c>
      <c r="C833" s="52" t="str">
        <f>IF(COUNTIF(Table3[[#All],[PID]],A833)&gt;0,"P","B")</f>
        <v>P</v>
      </c>
      <c r="D833" s="61" t="str">
        <f>IF($C833="B",INDEX(Batters[[#All],[POS]],MATCH(Table5[[#This Row],[PID]],Batters[[#All],[PID]],0)),INDEX(Table3[[#All],[POS]],MATCH(Table5[[#This Row],[PID]],Table3[[#All],[PID]],0)))</f>
        <v>RP</v>
      </c>
      <c r="E833" s="54" t="str">
        <f>IF($C833="B",INDEX(Batters[[#All],[First]],MATCH(Table5[[#This Row],[PID]],Batters[[#All],[PID]],0)),INDEX(Table3[[#All],[First]],MATCH(Table5[[#This Row],[PID]],Table3[[#All],[PID]],0)))</f>
        <v>Gonzalo</v>
      </c>
      <c r="F833" s="52" t="str">
        <f>IF($C833="B",INDEX(Batters[[#All],[Last]],MATCH(A833,Batters[[#All],[PID]],0)),INDEX(Table3[[#All],[Last]],MATCH(A833,Table3[[#All],[PID]],0)))</f>
        <v>Romero</v>
      </c>
      <c r="G833" s="58">
        <f>IF($C833="B",INDEX(Batters[[#All],[Age]],MATCH(Table5[[#This Row],[PID]],Batters[[#All],[PID]],0)),INDEX(Table3[[#All],[Age]],MATCH(Table5[[#This Row],[PID]],Table3[[#All],[PID]],0)))</f>
        <v>17</v>
      </c>
      <c r="H833" s="54" t="str">
        <f>IF($C833="B",INDEX(Batters[[#All],[B]],MATCH(Table5[[#This Row],[PID]],Batters[[#All],[PID]],0)),INDEX(Table3[[#All],[B]],MATCH(Table5[[#This Row],[PID]],Table3[[#All],[PID]],0)))</f>
        <v>R</v>
      </c>
      <c r="I833" s="54" t="str">
        <f>IF($C833="B",INDEX(Batters[[#All],[T]],MATCH(Table5[[#This Row],[PID]],Batters[[#All],[PID]],0)),INDEX(Table3[[#All],[T]],MATCH(Table5[[#This Row],[PID]],Table3[[#All],[PID]],0)))</f>
        <v>R</v>
      </c>
      <c r="J833" s="54" t="str">
        <f>IF($C833="B",INDEX(Batters[[#All],[WE]],MATCH(Table5[[#This Row],[PID]],Batters[[#All],[PID]],0)),INDEX(Table3[[#All],[WE]],MATCH(Table5[[#This Row],[PID]],Table3[[#All],[PID]],0)))</f>
        <v>Low</v>
      </c>
      <c r="K833" s="54" t="str">
        <f>IF($C833="B",INDEX(Batters[[#All],[INT]],MATCH(Table5[[#This Row],[PID]],Batters[[#All],[PID]],0)),INDEX(Table3[[#All],[INT]],MATCH(Table5[[#This Row],[PID]],Table3[[#All],[PID]],0)))</f>
        <v>Normal</v>
      </c>
      <c r="L833" s="62">
        <f>IF($C833="B",INDEX(Batters[[#All],[CON P]],MATCH(Table5[[#This Row],[PID]],Batters[[#All],[PID]],0)),INDEX(Table3[[#All],[STU P]],MATCH(Table5[[#This Row],[PID]],Table3[[#All],[PID]],0)))</f>
        <v>4</v>
      </c>
      <c r="M833" s="58">
        <f>IF($C833="B",INDEX(Batters[[#All],[GAP P]],MATCH(Table5[[#This Row],[PID]],Batters[[#All],[PID]],0)),INDEX(Table3[[#All],[MOV P]],MATCH(Table5[[#This Row],[PID]],Table3[[#All],[PID]],0)))</f>
        <v>2</v>
      </c>
      <c r="N833" s="58">
        <f>IF($C833="B",INDEX(Batters[[#All],[POW P]],MATCH(Table5[[#This Row],[PID]],Batters[[#All],[PID]],0)),INDEX(Table3[[#All],[CON P]],MATCH(Table5[[#This Row],[PID]],Table3[[#All],[PID]],0)))</f>
        <v>1</v>
      </c>
      <c r="O833" s="58" t="str">
        <f>IF($C833="B",INDEX(Batters[[#All],[EYE P]],MATCH(Table5[[#This Row],[PID]],Batters[[#All],[PID]],0)),INDEX(Table3[[#All],[VELO]],MATCH(Table5[[#This Row],[PID]],Table3[[#All],[PID]],0)))</f>
        <v>86-88 Mph</v>
      </c>
      <c r="P833" s="58">
        <f>IF($C833="B",INDEX(Batters[[#All],[K P]],MATCH(Table5[[#This Row],[PID]],Batters[[#All],[PID]],0)),INDEX(Table3[[#All],[STM]],MATCH(Table5[[#This Row],[PID]],Table3[[#All],[PID]],0)))</f>
        <v>5</v>
      </c>
      <c r="Q833" s="63">
        <f>IF($C833="B",INDEX(Batters[[#All],[Tot]],MATCH(Table5[[#This Row],[PID]],Batters[[#All],[PID]],0)),INDEX(Table3[[#All],[Tot]],MATCH(Table5[[#This Row],[PID]],Table3[[#All],[PID]],0)))</f>
        <v>25.273129268300423</v>
      </c>
      <c r="R833" s="54">
        <f>IF($C833="B",INDEX(Batters[[#All],[zScore]],MATCH(Table5[[#This Row],[PID]],Batters[[#All],[PID]],0)),INDEX(Table3[[#All],[zScore]],MATCH(Table5[[#This Row],[PID]],Table3[[#All],[PID]],0)))</f>
        <v>-0.68311628762907628</v>
      </c>
      <c r="S833" s="60" t="str">
        <f>IF($C833="B",INDEX(Batters[[#All],[DEM]],MATCH(Table5[[#This Row],[PID]],Batters[[#All],[PID]],0)),INDEX(Table3[[#All],[DEM]],MATCH(Table5[[#This Row],[PID]],Table3[[#All],[PID]],0)))</f>
        <v>$70k</v>
      </c>
      <c r="T833" s="64">
        <f>IF($C833="B",VLOOKUP($A833,Bat!$A$4:$AU$1417,46,FALSE),VLOOKUP($A833,Pit!$A$4:$BD$570,55,FALSE))</f>
        <v>0</v>
      </c>
      <c r="U833" s="52">
        <f>IF($C833="B",VLOOKUP($A833,Bat!$A$4:$BA$1417,47,FALSE),VLOOKUP($A833,Pit!$A$4:$BF$570,56,FALSE))</f>
        <v>0</v>
      </c>
      <c r="V833" s="52">
        <f>IF($C833="B",VLOOKUP($A833,Bat!$A$4:$BA$1417,48,FALSE),VLOOKUP($A833,Pit!$A$4:$BF$570,57,FALSE))</f>
        <v>0</v>
      </c>
      <c r="W833" s="52">
        <f>Table5[[#This Row],[posRnk]]+Table5[[#This Row],[zRnk]]+IF($W$3&lt;&gt;Table5[[#This Row],[Type]],50,0)</f>
        <v>879</v>
      </c>
      <c r="X833" s="53">
        <f>RANK(Table5[[#This Row],[zScore]],Table5[[#All],[zScore]])</f>
        <v>829</v>
      </c>
      <c r="Y833" s="52" t="str">
        <f>IFERROR(INDEX(DraftResults[[#All],[OVR]],MATCH(Table5[[#This Row],[PID]],DraftResults[[#All],[Player ID]],0)),"")</f>
        <v/>
      </c>
      <c r="Z8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3" s="52" t="str">
        <f>IFERROR(INDEX(DraftResults[[#All],[Pick in Round]],MATCH(Table5[[#This Row],[PID]],DraftResults[[#All],[Player ID]],0)),"")</f>
        <v/>
      </c>
      <c r="AB833" s="52" t="str">
        <f>IFERROR(INDEX(DraftResults[[#All],[Team Name]],MATCH(Table5[[#This Row],[PID]],DraftResults[[#All],[Player ID]],0)),"")</f>
        <v/>
      </c>
      <c r="AC833" s="52" t="str">
        <f>IF(Table5[[#This Row],[Ovr]]="","",IF(Table5[[#This Row],[cmbList]]="","",Table5[[#This Row],[cmbList]]-Table5[[#This Row],[Ovr]]))</f>
        <v/>
      </c>
      <c r="AD833" s="56" t="str">
        <f>IF(ISERROR(VLOOKUP($AB833&amp;"-"&amp;$E833&amp;" "&amp;F833,Bonuses!$B$1:$G$1006,4,FALSE)),"",INT(VLOOKUP($AB833&amp;"-"&amp;$E833&amp;" "&amp;$F833,Bonuses!$B$1:$G$1006,4,FALSE)))</f>
        <v/>
      </c>
      <c r="AE8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4" spans="1:31" s="52" customFormat="1" x14ac:dyDescent="0.25">
      <c r="A834" s="52">
        <v>9259</v>
      </c>
      <c r="B834" s="52">
        <f>COUNTIF(Table5[PID],A834)</f>
        <v>1</v>
      </c>
      <c r="C834" s="52" t="str">
        <f>IF(COUNTIF(Table3[[#All],[PID]],A834)&gt;0,"P","B")</f>
        <v>P</v>
      </c>
      <c r="D834" s="61" t="str">
        <f>IF($C834="B",INDEX(Batters[[#All],[POS]],MATCH(Table5[[#This Row],[PID]],Batters[[#All],[PID]],0)),INDEX(Table3[[#All],[POS]],MATCH(Table5[[#This Row],[PID]],Table3[[#All],[PID]],0)))</f>
        <v>SP</v>
      </c>
      <c r="E834" s="54" t="str">
        <f>IF($C834="B",INDEX(Batters[[#All],[First]],MATCH(Table5[[#This Row],[PID]],Batters[[#All],[PID]],0)),INDEX(Table3[[#All],[First]],MATCH(Table5[[#This Row],[PID]],Table3[[#All],[PID]],0)))</f>
        <v>Ralph</v>
      </c>
      <c r="F834" s="52" t="str">
        <f>IF($C834="B",INDEX(Batters[[#All],[Last]],MATCH(A834,Batters[[#All],[PID]],0)),INDEX(Table3[[#All],[Last]],MATCH(A834,Table3[[#All],[PID]],0)))</f>
        <v>Martínez</v>
      </c>
      <c r="G834" s="58">
        <f>IF($C834="B",INDEX(Batters[[#All],[Age]],MATCH(Table5[[#This Row],[PID]],Batters[[#All],[PID]],0)),INDEX(Table3[[#All],[Age]],MATCH(Table5[[#This Row],[PID]],Table3[[#All],[PID]],0)))</f>
        <v>20</v>
      </c>
      <c r="H834" s="54" t="str">
        <f>IF($C834="B",INDEX(Batters[[#All],[B]],MATCH(Table5[[#This Row],[PID]],Batters[[#All],[PID]],0)),INDEX(Table3[[#All],[B]],MATCH(Table5[[#This Row],[PID]],Table3[[#All],[PID]],0)))</f>
        <v>R</v>
      </c>
      <c r="I834" s="54" t="str">
        <f>IF($C834="B",INDEX(Batters[[#All],[T]],MATCH(Table5[[#This Row],[PID]],Batters[[#All],[PID]],0)),INDEX(Table3[[#All],[T]],MATCH(Table5[[#This Row],[PID]],Table3[[#All],[PID]],0)))</f>
        <v>R</v>
      </c>
      <c r="J834" s="54" t="str">
        <f>IF($C834="B",INDEX(Batters[[#All],[WE]],MATCH(Table5[[#This Row],[PID]],Batters[[#All],[PID]],0)),INDEX(Table3[[#All],[WE]],MATCH(Table5[[#This Row],[PID]],Table3[[#All],[PID]],0)))</f>
        <v>Low</v>
      </c>
      <c r="K834" s="54" t="str">
        <f>IF($C834="B",INDEX(Batters[[#All],[INT]],MATCH(Table5[[#This Row],[PID]],Batters[[#All],[PID]],0)),INDEX(Table3[[#All],[INT]],MATCH(Table5[[#This Row],[PID]],Table3[[#All],[PID]],0)))</f>
        <v>Normal</v>
      </c>
      <c r="L834" s="62">
        <f>IF($C834="B",INDEX(Batters[[#All],[CON P]],MATCH(Table5[[#This Row],[PID]],Batters[[#All],[PID]],0)),INDEX(Table3[[#All],[STU P]],MATCH(Table5[[#This Row],[PID]],Table3[[#All],[PID]],0)))</f>
        <v>4</v>
      </c>
      <c r="M834" s="58">
        <f>IF($C834="B",INDEX(Batters[[#All],[GAP P]],MATCH(Table5[[#This Row],[PID]],Batters[[#All],[PID]],0)),INDEX(Table3[[#All],[MOV P]],MATCH(Table5[[#This Row],[PID]],Table3[[#All],[PID]],0)))</f>
        <v>2</v>
      </c>
      <c r="N834" s="58">
        <f>IF($C834="B",INDEX(Batters[[#All],[POW P]],MATCH(Table5[[#This Row],[PID]],Batters[[#All],[PID]],0)),INDEX(Table3[[#All],[CON P]],MATCH(Table5[[#This Row],[PID]],Table3[[#All],[PID]],0)))</f>
        <v>2</v>
      </c>
      <c r="O834" s="58" t="str">
        <f>IF($C834="B",INDEX(Batters[[#All],[EYE P]],MATCH(Table5[[#This Row],[PID]],Batters[[#All],[PID]],0)),INDEX(Table3[[#All],[VELO]],MATCH(Table5[[#This Row],[PID]],Table3[[#All],[PID]],0)))</f>
        <v>91-93 Mph</v>
      </c>
      <c r="P834" s="58">
        <f>IF($C834="B",INDEX(Batters[[#All],[K P]],MATCH(Table5[[#This Row],[PID]],Batters[[#All],[PID]],0)),INDEX(Table3[[#All],[STM]],MATCH(Table5[[#This Row],[PID]],Table3[[#All],[PID]],0)))</f>
        <v>8</v>
      </c>
      <c r="Q834" s="63">
        <f>IF($C834="B",INDEX(Batters[[#All],[Tot]],MATCH(Table5[[#This Row],[PID]],Batters[[#All],[PID]],0)),INDEX(Table3[[#All],[Tot]],MATCH(Table5[[#This Row],[PID]],Table3[[#All],[PID]],0)))</f>
        <v>25.265376792931512</v>
      </c>
      <c r="R834" s="54">
        <f>IF($C834="B",INDEX(Batters[[#All],[zScore]],MATCH(Table5[[#This Row],[PID]],Batters[[#All],[PID]],0)),INDEX(Table3[[#All],[zScore]],MATCH(Table5[[#This Row],[PID]],Table3[[#All],[PID]],0)))</f>
        <v>-0.68382722275518149</v>
      </c>
      <c r="S834" s="60" t="str">
        <f>IF($C834="B",INDEX(Batters[[#All],[DEM]],MATCH(Table5[[#This Row],[PID]],Batters[[#All],[PID]],0)),INDEX(Table3[[#All],[DEM]],MATCH(Table5[[#This Row],[PID]],Table3[[#All],[PID]],0)))</f>
        <v>-</v>
      </c>
      <c r="T834" s="64">
        <f>IF($C834="B",VLOOKUP($A834,Bat!$A$4:$AU$1417,46,FALSE),VLOOKUP($A834,Pit!$A$4:$BD$570,55,FALSE))</f>
        <v>0</v>
      </c>
      <c r="U834" s="52">
        <f>IF($C834="B",VLOOKUP($A834,Bat!$A$4:$BA$1417,47,FALSE),VLOOKUP($A834,Pit!$A$4:$BF$570,56,FALSE))</f>
        <v>0</v>
      </c>
      <c r="V834" s="52">
        <f>IF($C834="B",VLOOKUP($A834,Bat!$A$4:$BA$1417,48,FALSE),VLOOKUP($A834,Pit!$A$4:$BF$570,57,FALSE))</f>
        <v>0</v>
      </c>
      <c r="W834" s="52">
        <f>Table5[[#This Row],[posRnk]]+Table5[[#This Row],[zRnk]]+IF($W$3&lt;&gt;Table5[[#This Row],[Type]],50,0)</f>
        <v>880</v>
      </c>
      <c r="X834" s="53">
        <f>RANK(Table5[[#This Row],[zScore]],Table5[[#All],[zScore]])</f>
        <v>830</v>
      </c>
      <c r="Y834" s="52" t="str">
        <f>IFERROR(INDEX(DraftResults[[#All],[OVR]],MATCH(Table5[[#This Row],[PID]],DraftResults[[#All],[Player ID]],0)),"")</f>
        <v/>
      </c>
      <c r="Z8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4" s="52" t="str">
        <f>IFERROR(INDEX(DraftResults[[#All],[Pick in Round]],MATCH(Table5[[#This Row],[PID]],DraftResults[[#All],[Player ID]],0)),"")</f>
        <v/>
      </c>
      <c r="AB834" s="52" t="str">
        <f>IFERROR(INDEX(DraftResults[[#All],[Team Name]],MATCH(Table5[[#This Row],[PID]],DraftResults[[#All],[Player ID]],0)),"")</f>
        <v/>
      </c>
      <c r="AC834" s="52" t="str">
        <f>IF(Table5[[#This Row],[Ovr]]="","",IF(Table5[[#This Row],[cmbList]]="","",Table5[[#This Row],[cmbList]]-Table5[[#This Row],[Ovr]]))</f>
        <v/>
      </c>
      <c r="AD834" s="56" t="str">
        <f>IF(ISERROR(VLOOKUP($AB834&amp;"-"&amp;$E834&amp;" "&amp;F834,Bonuses!$B$1:$G$1006,4,FALSE)),"",INT(VLOOKUP($AB834&amp;"-"&amp;$E834&amp;" "&amp;$F834,Bonuses!$B$1:$G$1006,4,FALSE)))</f>
        <v/>
      </c>
      <c r="AE8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5" spans="1:31" s="52" customFormat="1" x14ac:dyDescent="0.25">
      <c r="A835" s="52">
        <v>17869</v>
      </c>
      <c r="B835" s="52">
        <f>COUNTIF(Table5[PID],A835)</f>
        <v>1</v>
      </c>
      <c r="C835" s="52" t="str">
        <f>IF(COUNTIF(Table3[[#All],[PID]],A835)&gt;0,"P","B")</f>
        <v>P</v>
      </c>
      <c r="D835" s="61" t="str">
        <f>IF($C835="B",INDEX(Batters[[#All],[POS]],MATCH(Table5[[#This Row],[PID]],Batters[[#All],[PID]],0)),INDEX(Table3[[#All],[POS]],MATCH(Table5[[#This Row],[PID]],Table3[[#All],[PID]],0)))</f>
        <v>RP</v>
      </c>
      <c r="E835" s="54" t="str">
        <f>IF($C835="B",INDEX(Batters[[#All],[First]],MATCH(Table5[[#This Row],[PID]],Batters[[#All],[PID]],0)),INDEX(Table3[[#All],[First]],MATCH(Table5[[#This Row],[PID]],Table3[[#All],[PID]],0)))</f>
        <v>Reijiro</v>
      </c>
      <c r="F835" s="52" t="str">
        <f>IF($C835="B",INDEX(Batters[[#All],[Last]],MATCH(A835,Batters[[#All],[PID]],0)),INDEX(Table3[[#All],[Last]],MATCH(A835,Table3[[#All],[PID]],0)))</f>
        <v>Takeuchi</v>
      </c>
      <c r="G835" s="58">
        <f>IF($C835="B",INDEX(Batters[[#All],[Age]],MATCH(Table5[[#This Row],[PID]],Batters[[#All],[PID]],0)),INDEX(Table3[[#All],[Age]],MATCH(Table5[[#This Row],[PID]],Table3[[#All],[PID]],0)))</f>
        <v>18</v>
      </c>
      <c r="H835" s="54" t="str">
        <f>IF($C835="B",INDEX(Batters[[#All],[B]],MATCH(Table5[[#This Row],[PID]],Batters[[#All],[PID]],0)),INDEX(Table3[[#All],[B]],MATCH(Table5[[#This Row],[PID]],Table3[[#All],[PID]],0)))</f>
        <v>R</v>
      </c>
      <c r="I835" s="54" t="str">
        <f>IF($C835="B",INDEX(Batters[[#All],[T]],MATCH(Table5[[#This Row],[PID]],Batters[[#All],[PID]],0)),INDEX(Table3[[#All],[T]],MATCH(Table5[[#This Row],[PID]],Table3[[#All],[PID]],0)))</f>
        <v>R</v>
      </c>
      <c r="J835" s="54" t="str">
        <f>IF($C835="B",INDEX(Batters[[#All],[WE]],MATCH(Table5[[#This Row],[PID]],Batters[[#All],[PID]],0)),INDEX(Table3[[#All],[WE]],MATCH(Table5[[#This Row],[PID]],Table3[[#All],[PID]],0)))</f>
        <v>Normal</v>
      </c>
      <c r="K835" s="54" t="str">
        <f>IF($C835="B",INDEX(Batters[[#All],[INT]],MATCH(Table5[[#This Row],[PID]],Batters[[#All],[PID]],0)),INDEX(Table3[[#All],[INT]],MATCH(Table5[[#This Row],[PID]],Table3[[#All],[PID]],0)))</f>
        <v>Normal</v>
      </c>
      <c r="L835" s="62">
        <f>IF($C835="B",INDEX(Batters[[#All],[CON P]],MATCH(Table5[[#This Row],[PID]],Batters[[#All],[PID]],0)),INDEX(Table3[[#All],[STU P]],MATCH(Table5[[#This Row],[PID]],Table3[[#All],[PID]],0)))</f>
        <v>4</v>
      </c>
      <c r="M835" s="58">
        <f>IF($C835="B",INDEX(Batters[[#All],[GAP P]],MATCH(Table5[[#This Row],[PID]],Batters[[#All],[PID]],0)),INDEX(Table3[[#All],[MOV P]],MATCH(Table5[[#This Row],[PID]],Table3[[#All],[PID]],0)))</f>
        <v>2</v>
      </c>
      <c r="N835" s="58">
        <f>IF($C835="B",INDEX(Batters[[#All],[POW P]],MATCH(Table5[[#This Row],[PID]],Batters[[#All],[PID]],0)),INDEX(Table3[[#All],[CON P]],MATCH(Table5[[#This Row],[PID]],Table3[[#All],[PID]],0)))</f>
        <v>1</v>
      </c>
      <c r="O835" s="58" t="str">
        <f>IF($C835="B",INDEX(Batters[[#All],[EYE P]],MATCH(Table5[[#This Row],[PID]],Batters[[#All],[PID]],0)),INDEX(Table3[[#All],[VELO]],MATCH(Table5[[#This Row],[PID]],Table3[[#All],[PID]],0)))</f>
        <v>87-89 Mph</v>
      </c>
      <c r="P835" s="58">
        <f>IF($C835="B",INDEX(Batters[[#All],[K P]],MATCH(Table5[[#This Row],[PID]],Batters[[#All],[PID]],0)),INDEX(Table3[[#All],[STM]],MATCH(Table5[[#This Row],[PID]],Table3[[#All],[PID]],0)))</f>
        <v>10</v>
      </c>
      <c r="Q835" s="63">
        <f>IF($C835="B",INDEX(Batters[[#All],[Tot]],MATCH(Table5[[#This Row],[PID]],Batters[[#All],[PID]],0)),INDEX(Table3[[#All],[Tot]],MATCH(Table5[[#This Row],[PID]],Table3[[#All],[PID]],0)))</f>
        <v>25.258051815135321</v>
      </c>
      <c r="R835" s="54">
        <f>IF($C835="B",INDEX(Batters[[#All],[zScore]],MATCH(Table5[[#This Row],[PID]],Batters[[#All],[PID]],0)),INDEX(Table3[[#All],[zScore]],MATCH(Table5[[#This Row],[PID]],Table3[[#All],[PID]],0)))</f>
        <v>-0.68449895452670528</v>
      </c>
      <c r="S835" s="60" t="str">
        <f>IF($C835="B",INDEX(Batters[[#All],[DEM]],MATCH(Table5[[#This Row],[PID]],Batters[[#All],[PID]],0)),INDEX(Table3[[#All],[DEM]],MATCH(Table5[[#This Row],[PID]],Table3[[#All],[PID]],0)))</f>
        <v>$65k</v>
      </c>
      <c r="T835" s="64">
        <f>IF($C835="B",VLOOKUP($A835,Bat!$A$4:$AU$1417,46,FALSE),VLOOKUP($A835,Pit!$A$4:$BD$570,55,FALSE))</f>
        <v>0</v>
      </c>
      <c r="U835" s="52">
        <f>IF($C835="B",VLOOKUP($A835,Bat!$A$4:$BA$1417,47,FALSE),VLOOKUP($A835,Pit!$A$4:$BF$570,56,FALSE))</f>
        <v>0</v>
      </c>
      <c r="V835" s="52">
        <f>IF($C835="B",VLOOKUP($A835,Bat!$A$4:$BA$1417,48,FALSE),VLOOKUP($A835,Pit!$A$4:$BF$570,57,FALSE))</f>
        <v>0</v>
      </c>
      <c r="W835" s="52">
        <f>Table5[[#This Row],[posRnk]]+Table5[[#This Row],[zRnk]]+IF($W$3&lt;&gt;Table5[[#This Row],[Type]],50,0)</f>
        <v>881</v>
      </c>
      <c r="X835" s="53">
        <f>RANK(Table5[[#This Row],[zScore]],Table5[[#All],[zScore]])</f>
        <v>831</v>
      </c>
      <c r="Y835" s="52" t="str">
        <f>IFERROR(INDEX(DraftResults[[#All],[OVR]],MATCH(Table5[[#This Row],[PID]],DraftResults[[#All],[Player ID]],0)),"")</f>
        <v/>
      </c>
      <c r="Z8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5" s="52" t="str">
        <f>IFERROR(INDEX(DraftResults[[#All],[Pick in Round]],MATCH(Table5[[#This Row],[PID]],DraftResults[[#All],[Player ID]],0)),"")</f>
        <v/>
      </c>
      <c r="AB835" s="52" t="str">
        <f>IFERROR(INDEX(DraftResults[[#All],[Team Name]],MATCH(Table5[[#This Row],[PID]],DraftResults[[#All],[Player ID]],0)),"")</f>
        <v/>
      </c>
      <c r="AC835" s="52" t="str">
        <f>IF(Table5[[#This Row],[Ovr]]="","",IF(Table5[[#This Row],[cmbList]]="","",Table5[[#This Row],[cmbList]]-Table5[[#This Row],[Ovr]]))</f>
        <v/>
      </c>
      <c r="AD835" s="56" t="str">
        <f>IF(ISERROR(VLOOKUP($AB835&amp;"-"&amp;$E835&amp;" "&amp;F835,Bonuses!$B$1:$G$1006,4,FALSE)),"",INT(VLOOKUP($AB835&amp;"-"&amp;$E835&amp;" "&amp;$F835,Bonuses!$B$1:$G$1006,4,FALSE)))</f>
        <v/>
      </c>
      <c r="AE8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6" spans="1:31" s="52" customFormat="1" x14ac:dyDescent="0.25">
      <c r="A836" s="52">
        <v>7441</v>
      </c>
      <c r="B836" s="52">
        <f>COUNTIF(Table5[PID],A836)</f>
        <v>1</v>
      </c>
      <c r="C836" s="52" t="str">
        <f>IF(COUNTIF(Table3[[#All],[PID]],A836)&gt;0,"P","B")</f>
        <v>P</v>
      </c>
      <c r="D836" s="61" t="str">
        <f>IF($C836="B",INDEX(Batters[[#All],[POS]],MATCH(Table5[[#This Row],[PID]],Batters[[#All],[PID]],0)),INDEX(Table3[[#All],[POS]],MATCH(Table5[[#This Row],[PID]],Table3[[#All],[PID]],0)))</f>
        <v>RP</v>
      </c>
      <c r="E836" s="54" t="str">
        <f>IF($C836="B",INDEX(Batters[[#All],[First]],MATCH(Table5[[#This Row],[PID]],Batters[[#All],[PID]],0)),INDEX(Table3[[#All],[First]],MATCH(Table5[[#This Row],[PID]],Table3[[#All],[PID]],0)))</f>
        <v>Tom</v>
      </c>
      <c r="F836" s="52" t="str">
        <f>IF($C836="B",INDEX(Batters[[#All],[Last]],MATCH(A836,Batters[[#All],[PID]],0)),INDEX(Table3[[#All],[Last]],MATCH(A836,Table3[[#All],[PID]],0)))</f>
        <v>Jackson</v>
      </c>
      <c r="G836" s="58">
        <f>IF($C836="B",INDEX(Batters[[#All],[Age]],MATCH(Table5[[#This Row],[PID]],Batters[[#All],[PID]],0)),INDEX(Table3[[#All],[Age]],MATCH(Table5[[#This Row],[PID]],Table3[[#All],[PID]],0)))</f>
        <v>21</v>
      </c>
      <c r="H836" s="54" t="str">
        <f>IF($C836="B",INDEX(Batters[[#All],[B]],MATCH(Table5[[#This Row],[PID]],Batters[[#All],[PID]],0)),INDEX(Table3[[#All],[B]],MATCH(Table5[[#This Row],[PID]],Table3[[#All],[PID]],0)))</f>
        <v>L</v>
      </c>
      <c r="I836" s="54" t="str">
        <f>IF($C836="B",INDEX(Batters[[#All],[T]],MATCH(Table5[[#This Row],[PID]],Batters[[#All],[PID]],0)),INDEX(Table3[[#All],[T]],MATCH(Table5[[#This Row],[PID]],Table3[[#All],[PID]],0)))</f>
        <v>R</v>
      </c>
      <c r="J836" s="54" t="str">
        <f>IF($C836="B",INDEX(Batters[[#All],[WE]],MATCH(Table5[[#This Row],[PID]],Batters[[#All],[PID]],0)),INDEX(Table3[[#All],[WE]],MATCH(Table5[[#This Row],[PID]],Table3[[#All],[PID]],0)))</f>
        <v>Low</v>
      </c>
      <c r="K836" s="54" t="str">
        <f>IF($C836="B",INDEX(Batters[[#All],[INT]],MATCH(Table5[[#This Row],[PID]],Batters[[#All],[PID]],0)),INDEX(Table3[[#All],[INT]],MATCH(Table5[[#This Row],[PID]],Table3[[#All],[PID]],0)))</f>
        <v>Normal</v>
      </c>
      <c r="L836" s="62">
        <f>IF($C836="B",INDEX(Batters[[#All],[CON P]],MATCH(Table5[[#This Row],[PID]],Batters[[#All],[PID]],0)),INDEX(Table3[[#All],[STU P]],MATCH(Table5[[#This Row],[PID]],Table3[[#All],[PID]],0)))</f>
        <v>5</v>
      </c>
      <c r="M836" s="58">
        <f>IF($C836="B",INDEX(Batters[[#All],[GAP P]],MATCH(Table5[[#This Row],[PID]],Batters[[#All],[PID]],0)),INDEX(Table3[[#All],[MOV P]],MATCH(Table5[[#This Row],[PID]],Table3[[#All],[PID]],0)))</f>
        <v>2</v>
      </c>
      <c r="N836" s="58">
        <f>IF($C836="B",INDEX(Batters[[#All],[POW P]],MATCH(Table5[[#This Row],[PID]],Batters[[#All],[PID]],0)),INDEX(Table3[[#All],[CON P]],MATCH(Table5[[#This Row],[PID]],Table3[[#All],[PID]],0)))</f>
        <v>1</v>
      </c>
      <c r="O836" s="58" t="str">
        <f>IF($C836="B",INDEX(Batters[[#All],[EYE P]],MATCH(Table5[[#This Row],[PID]],Batters[[#All],[PID]],0)),INDEX(Table3[[#All],[VELO]],MATCH(Table5[[#This Row],[PID]],Table3[[#All],[PID]],0)))</f>
        <v>92-94 Mph</v>
      </c>
      <c r="P836" s="58">
        <f>IF($C836="B",INDEX(Batters[[#All],[K P]],MATCH(Table5[[#This Row],[PID]],Batters[[#All],[PID]],0)),INDEX(Table3[[#All],[STM]],MATCH(Table5[[#This Row],[PID]],Table3[[#All],[PID]],0)))</f>
        <v>2</v>
      </c>
      <c r="Q836" s="63">
        <f>IF($C836="B",INDEX(Batters[[#All],[Tot]],MATCH(Table5[[#This Row],[PID]],Batters[[#All],[PID]],0)),INDEX(Table3[[#All],[Tot]],MATCH(Table5[[#This Row],[PID]],Table3[[#All],[PID]],0)))</f>
        <v>25.256275741709587</v>
      </c>
      <c r="R836" s="54">
        <f>IF($C836="B",INDEX(Batters[[#All],[zScore]],MATCH(Table5[[#This Row],[PID]],Batters[[#All],[PID]],0)),INDEX(Table3[[#All],[zScore]],MATCH(Table5[[#This Row],[PID]],Table3[[#All],[PID]],0)))</f>
        <v>-0.68466182805094256</v>
      </c>
      <c r="S836" s="60" t="str">
        <f>IF($C836="B",INDEX(Batters[[#All],[DEM]],MATCH(Table5[[#This Row],[PID]],Batters[[#All],[PID]],0)),INDEX(Table3[[#All],[DEM]],MATCH(Table5[[#This Row],[PID]],Table3[[#All],[PID]],0)))</f>
        <v>-</v>
      </c>
      <c r="T836" s="64">
        <f>IF($C836="B",VLOOKUP($A836,Bat!$A$4:$AU$1417,46,FALSE),VLOOKUP($A836,Pit!$A$4:$BD$570,55,FALSE))</f>
        <v>0</v>
      </c>
      <c r="U836" s="52">
        <f>IF($C836="B",VLOOKUP($A836,Bat!$A$4:$BA$1417,47,FALSE),VLOOKUP($A836,Pit!$A$4:$BF$570,56,FALSE))</f>
        <v>0</v>
      </c>
      <c r="V836" s="52">
        <f>IF($C836="B",VLOOKUP($A836,Bat!$A$4:$BA$1417,48,FALSE),VLOOKUP($A836,Pit!$A$4:$BF$570,57,FALSE))</f>
        <v>0</v>
      </c>
      <c r="W836" s="52">
        <f>Table5[[#This Row],[posRnk]]+Table5[[#This Row],[zRnk]]+IF($W$3&lt;&gt;Table5[[#This Row],[Type]],50,0)</f>
        <v>882</v>
      </c>
      <c r="X836" s="53">
        <f>RANK(Table5[[#This Row],[zScore]],Table5[[#All],[zScore]])</f>
        <v>832</v>
      </c>
      <c r="Y836" s="52" t="str">
        <f>IFERROR(INDEX(DraftResults[[#All],[OVR]],MATCH(Table5[[#This Row],[PID]],DraftResults[[#All],[Player ID]],0)),"")</f>
        <v/>
      </c>
      <c r="Z8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6" s="52" t="str">
        <f>IFERROR(INDEX(DraftResults[[#All],[Pick in Round]],MATCH(Table5[[#This Row],[PID]],DraftResults[[#All],[Player ID]],0)),"")</f>
        <v/>
      </c>
      <c r="AB836" s="52" t="str">
        <f>IFERROR(INDEX(DraftResults[[#All],[Team Name]],MATCH(Table5[[#This Row],[PID]],DraftResults[[#All],[Player ID]],0)),"")</f>
        <v/>
      </c>
      <c r="AC836" s="52" t="str">
        <f>IF(Table5[[#This Row],[Ovr]]="","",IF(Table5[[#This Row],[cmbList]]="","",Table5[[#This Row],[cmbList]]-Table5[[#This Row],[Ovr]]))</f>
        <v/>
      </c>
      <c r="AD836" s="56" t="str">
        <f>IF(ISERROR(VLOOKUP($AB836&amp;"-"&amp;$E836&amp;" "&amp;F836,Bonuses!$B$1:$G$1006,4,FALSE)),"",INT(VLOOKUP($AB836&amp;"-"&amp;$E836&amp;" "&amp;$F836,Bonuses!$B$1:$G$1006,4,FALSE)))</f>
        <v/>
      </c>
      <c r="AE8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7" spans="1:31" s="52" customFormat="1" x14ac:dyDescent="0.25">
      <c r="A837" s="52">
        <v>5316</v>
      </c>
      <c r="B837" s="52">
        <f>COUNTIF(Table5[PID],A837)</f>
        <v>1</v>
      </c>
      <c r="C837" s="52" t="str">
        <f>IF(COUNTIF(Table3[[#All],[PID]],A837)&gt;0,"P","B")</f>
        <v>B</v>
      </c>
      <c r="D837" s="61" t="str">
        <f>IF($C837="B",INDEX(Batters[[#All],[POS]],MATCH(Table5[[#This Row],[PID]],Batters[[#All],[PID]],0)),INDEX(Table3[[#All],[POS]],MATCH(Table5[[#This Row],[PID]],Table3[[#All],[PID]],0)))</f>
        <v>1B</v>
      </c>
      <c r="E837" s="54" t="str">
        <f>IF($C837="B",INDEX(Batters[[#All],[First]],MATCH(Table5[[#This Row],[PID]],Batters[[#All],[PID]],0)),INDEX(Table3[[#All],[First]],MATCH(Table5[[#This Row],[PID]],Table3[[#All],[PID]],0)))</f>
        <v>Patrick</v>
      </c>
      <c r="F837" s="52" t="str">
        <f>IF($C837="B",INDEX(Batters[[#All],[Last]],MATCH(A837,Batters[[#All],[PID]],0)),INDEX(Table3[[#All],[Last]],MATCH(A837,Table3[[#All],[PID]],0)))</f>
        <v>Dixon</v>
      </c>
      <c r="G837" s="58">
        <f>IF($C837="B",INDEX(Batters[[#All],[Age]],MATCH(Table5[[#This Row],[PID]],Batters[[#All],[PID]],0)),INDEX(Table3[[#All],[Age]],MATCH(Table5[[#This Row],[PID]],Table3[[#All],[PID]],0)))</f>
        <v>22</v>
      </c>
      <c r="H837" s="54" t="str">
        <f>IF($C837="B",INDEX(Batters[[#All],[B]],MATCH(Table5[[#This Row],[PID]],Batters[[#All],[PID]],0)),INDEX(Table3[[#All],[B]],MATCH(Table5[[#This Row],[PID]],Table3[[#All],[PID]],0)))</f>
        <v>S</v>
      </c>
      <c r="I837" s="54" t="str">
        <f>IF($C837="B",INDEX(Batters[[#All],[T]],MATCH(Table5[[#This Row],[PID]],Batters[[#All],[PID]],0)),INDEX(Table3[[#All],[T]],MATCH(Table5[[#This Row],[PID]],Table3[[#All],[PID]],0)))</f>
        <v>R</v>
      </c>
      <c r="J837" s="54" t="str">
        <f>IF($C837="B",INDEX(Batters[[#All],[WE]],MATCH(Table5[[#This Row],[PID]],Batters[[#All],[PID]],0)),INDEX(Table3[[#All],[WE]],MATCH(Table5[[#This Row],[PID]],Table3[[#All],[PID]],0)))</f>
        <v>Low</v>
      </c>
      <c r="K837" s="54" t="str">
        <f>IF($C837="B",INDEX(Batters[[#All],[INT]],MATCH(Table5[[#This Row],[PID]],Batters[[#All],[PID]],0)),INDEX(Table3[[#All],[INT]],MATCH(Table5[[#This Row],[PID]],Table3[[#All],[PID]],0)))</f>
        <v>Normal</v>
      </c>
      <c r="L837" s="62">
        <f>IF($C837="B",INDEX(Batters[[#All],[CON P]],MATCH(Table5[[#This Row],[PID]],Batters[[#All],[PID]],0)),INDEX(Table3[[#All],[STU P]],MATCH(Table5[[#This Row],[PID]],Table3[[#All],[PID]],0)))</f>
        <v>3</v>
      </c>
      <c r="M837" s="58">
        <f>IF($C837="B",INDEX(Batters[[#All],[GAP P]],MATCH(Table5[[#This Row],[PID]],Batters[[#All],[PID]],0)),INDEX(Table3[[#All],[MOV P]],MATCH(Table5[[#This Row],[PID]],Table3[[#All],[PID]],0)))</f>
        <v>3</v>
      </c>
      <c r="N837" s="58">
        <f>IF($C837="B",INDEX(Batters[[#All],[POW P]],MATCH(Table5[[#This Row],[PID]],Batters[[#All],[PID]],0)),INDEX(Table3[[#All],[CON P]],MATCH(Table5[[#This Row],[PID]],Table3[[#All],[PID]],0)))</f>
        <v>3</v>
      </c>
      <c r="O837" s="58">
        <f>IF($C837="B",INDEX(Batters[[#All],[EYE P]],MATCH(Table5[[#This Row],[PID]],Batters[[#All],[PID]],0)),INDEX(Table3[[#All],[VELO]],MATCH(Table5[[#This Row],[PID]],Table3[[#All],[PID]],0)))</f>
        <v>5</v>
      </c>
      <c r="P837" s="58">
        <f>IF($C837="B",INDEX(Batters[[#All],[K P]],MATCH(Table5[[#This Row],[PID]],Batters[[#All],[PID]],0)),INDEX(Table3[[#All],[STM]],MATCH(Table5[[#This Row],[PID]],Table3[[#All],[PID]],0)))</f>
        <v>3</v>
      </c>
      <c r="Q837" s="63">
        <f>IF($C837="B",INDEX(Batters[[#All],[Tot]],MATCH(Table5[[#This Row],[PID]],Batters[[#All],[PID]],0)),INDEX(Table3[[#All],[Tot]],MATCH(Table5[[#This Row],[PID]],Table3[[#All],[PID]],0)))</f>
        <v>36.427454402095137</v>
      </c>
      <c r="R837" s="54">
        <f>IF($C837="B",INDEX(Batters[[#All],[zScore]],MATCH(Table5[[#This Row],[PID]],Batters[[#All],[PID]],0)),INDEX(Table3[[#All],[zScore]],MATCH(Table5[[#This Row],[PID]],Table3[[#All],[PID]],0)))</f>
        <v>-0.68983746184098649</v>
      </c>
      <c r="S837" s="60" t="str">
        <f>IF($C837="B",INDEX(Batters[[#All],[DEM]],MATCH(Table5[[#This Row],[PID]],Batters[[#All],[PID]],0)),INDEX(Table3[[#All],[DEM]],MATCH(Table5[[#This Row],[PID]],Table3[[#All],[PID]],0)))</f>
        <v>-</v>
      </c>
      <c r="T837" s="64">
        <f>IF($C837="B",VLOOKUP($A837,Bat!$A$4:$AU$1417,46,FALSE),VLOOKUP($A837,Pit!$A$4:$BD$570,55,FALSE))</f>
        <v>0</v>
      </c>
      <c r="U837" s="52">
        <f>IF($C837="B",VLOOKUP($A837,Bat!$A$4:$BA$1417,47,FALSE),VLOOKUP($A837,Pit!$A$4:$BF$570,56,FALSE))</f>
        <v>0</v>
      </c>
      <c r="V837" s="52">
        <f>IF($C837="B",VLOOKUP($A837,Bat!$A$4:$BA$1417,48,FALSE),VLOOKUP($A837,Pit!$A$4:$BF$570,57,FALSE))</f>
        <v>0</v>
      </c>
      <c r="W837" s="52">
        <f>Table5[[#This Row],[posRnk]]+Table5[[#This Row],[zRnk]]+IF($W$3&lt;&gt;Table5[[#This Row],[Type]],50,0)</f>
        <v>883</v>
      </c>
      <c r="X837" s="53">
        <f>RANK(Table5[[#This Row],[zScore]],Table5[[#All],[zScore]])</f>
        <v>833</v>
      </c>
      <c r="Y837" s="52" t="str">
        <f>IFERROR(INDEX(DraftResults[[#All],[OVR]],MATCH(Table5[[#This Row],[PID]],DraftResults[[#All],[Player ID]],0)),"")</f>
        <v/>
      </c>
      <c r="Z8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7" s="52" t="str">
        <f>IFERROR(INDEX(DraftResults[[#All],[Pick in Round]],MATCH(Table5[[#This Row],[PID]],DraftResults[[#All],[Player ID]],0)),"")</f>
        <v/>
      </c>
      <c r="AB837" s="52" t="str">
        <f>IFERROR(INDEX(DraftResults[[#All],[Team Name]],MATCH(Table5[[#This Row],[PID]],DraftResults[[#All],[Player ID]],0)),"")</f>
        <v/>
      </c>
      <c r="AC837" s="52" t="str">
        <f>IF(Table5[[#This Row],[Ovr]]="","",IF(Table5[[#This Row],[cmbList]]="","",Table5[[#This Row],[cmbList]]-Table5[[#This Row],[Ovr]]))</f>
        <v/>
      </c>
      <c r="AD837" s="56" t="str">
        <f>IF(ISERROR(VLOOKUP($AB837&amp;"-"&amp;$E837&amp;" "&amp;F837,Bonuses!$B$1:$G$1006,4,FALSE)),"",INT(VLOOKUP($AB837&amp;"-"&amp;$E837&amp;" "&amp;$F837,Bonuses!$B$1:$G$1006,4,FALSE)))</f>
        <v/>
      </c>
      <c r="AE8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8" spans="1:31" s="52" customFormat="1" x14ac:dyDescent="0.25">
      <c r="A838" s="52">
        <v>12518</v>
      </c>
      <c r="B838" s="52">
        <f>COUNTIF(Table5[PID],A838)</f>
        <v>1</v>
      </c>
      <c r="C838" s="52" t="str">
        <f>IF(COUNTIF(Table3[[#All],[PID]],A838)&gt;0,"P","B")</f>
        <v>B</v>
      </c>
      <c r="D838" s="61" t="str">
        <f>IF($C838="B",INDEX(Batters[[#All],[POS]],MATCH(Table5[[#This Row],[PID]],Batters[[#All],[PID]],0)),INDEX(Table3[[#All],[POS]],MATCH(Table5[[#This Row],[PID]],Table3[[#All],[PID]],0)))</f>
        <v>C</v>
      </c>
      <c r="E838" s="54" t="str">
        <f>IF($C838="B",INDEX(Batters[[#All],[First]],MATCH(Table5[[#This Row],[PID]],Batters[[#All],[PID]],0)),INDEX(Table3[[#All],[First]],MATCH(Table5[[#This Row],[PID]],Table3[[#All],[PID]],0)))</f>
        <v>Troy</v>
      </c>
      <c r="F838" s="52" t="str">
        <f>IF($C838="B",INDEX(Batters[[#All],[Last]],MATCH(A838,Batters[[#All],[PID]],0)),INDEX(Table3[[#All],[Last]],MATCH(A838,Table3[[#All],[PID]],0)))</f>
        <v>Blue</v>
      </c>
      <c r="G838" s="58">
        <f>IF($C838="B",INDEX(Batters[[#All],[Age]],MATCH(Table5[[#This Row],[PID]],Batters[[#All],[PID]],0)),INDEX(Table3[[#All],[Age]],MATCH(Table5[[#This Row],[PID]],Table3[[#All],[PID]],0)))</f>
        <v>18</v>
      </c>
      <c r="H838" s="54" t="str">
        <f>IF($C838="B",INDEX(Batters[[#All],[B]],MATCH(Table5[[#This Row],[PID]],Batters[[#All],[PID]],0)),INDEX(Table3[[#All],[B]],MATCH(Table5[[#This Row],[PID]],Table3[[#All],[PID]],0)))</f>
        <v>R</v>
      </c>
      <c r="I838" s="54" t="str">
        <f>IF($C838="B",INDEX(Batters[[#All],[T]],MATCH(Table5[[#This Row],[PID]],Batters[[#All],[PID]],0)),INDEX(Table3[[#All],[T]],MATCH(Table5[[#This Row],[PID]],Table3[[#All],[PID]],0)))</f>
        <v>R</v>
      </c>
      <c r="J838" s="54" t="str">
        <f>IF($C838="B",INDEX(Batters[[#All],[WE]],MATCH(Table5[[#This Row],[PID]],Batters[[#All],[PID]],0)),INDEX(Table3[[#All],[WE]],MATCH(Table5[[#This Row],[PID]],Table3[[#All],[PID]],0)))</f>
        <v>Normal</v>
      </c>
      <c r="K838" s="54" t="str">
        <f>IF($C838="B",INDEX(Batters[[#All],[INT]],MATCH(Table5[[#This Row],[PID]],Batters[[#All],[PID]],0)),INDEX(Table3[[#All],[INT]],MATCH(Table5[[#This Row],[PID]],Table3[[#All],[PID]],0)))</f>
        <v>Normal</v>
      </c>
      <c r="L838" s="62">
        <f>IF($C838="B",INDEX(Batters[[#All],[CON P]],MATCH(Table5[[#This Row],[PID]],Batters[[#All],[PID]],0)),INDEX(Table3[[#All],[STU P]],MATCH(Table5[[#This Row],[PID]],Table3[[#All],[PID]],0)))</f>
        <v>2</v>
      </c>
      <c r="M838" s="58">
        <f>IF($C838="B",INDEX(Batters[[#All],[GAP P]],MATCH(Table5[[#This Row],[PID]],Batters[[#All],[PID]],0)),INDEX(Table3[[#All],[MOV P]],MATCH(Table5[[#This Row],[PID]],Table3[[#All],[PID]],0)))</f>
        <v>3</v>
      </c>
      <c r="N838" s="58">
        <f>IF($C838="B",INDEX(Batters[[#All],[POW P]],MATCH(Table5[[#This Row],[PID]],Batters[[#All],[PID]],0)),INDEX(Table3[[#All],[CON P]],MATCH(Table5[[#This Row],[PID]],Table3[[#All],[PID]],0)))</f>
        <v>2</v>
      </c>
      <c r="O838" s="58">
        <f>IF($C838="B",INDEX(Batters[[#All],[EYE P]],MATCH(Table5[[#This Row],[PID]],Batters[[#All],[PID]],0)),INDEX(Table3[[#All],[VELO]],MATCH(Table5[[#This Row],[PID]],Table3[[#All],[PID]],0)))</f>
        <v>4</v>
      </c>
      <c r="P838" s="58">
        <f>IF($C838="B",INDEX(Batters[[#All],[K P]],MATCH(Table5[[#This Row],[PID]],Batters[[#All],[PID]],0)),INDEX(Table3[[#All],[STM]],MATCH(Table5[[#This Row],[PID]],Table3[[#All],[PID]],0)))</f>
        <v>3</v>
      </c>
      <c r="Q838" s="63">
        <f>IF($C838="B",INDEX(Batters[[#All],[Tot]],MATCH(Table5[[#This Row],[PID]],Batters[[#All],[PID]],0)),INDEX(Table3[[#All],[Tot]],MATCH(Table5[[#This Row],[PID]],Table3[[#All],[PID]],0)))</f>
        <v>36.420532646011488</v>
      </c>
      <c r="R838" s="54">
        <f>IF($C838="B",INDEX(Batters[[#All],[zScore]],MATCH(Table5[[#This Row],[PID]],Batters[[#All],[PID]],0)),INDEX(Table3[[#All],[zScore]],MATCH(Table5[[#This Row],[PID]],Table3[[#All],[PID]],0)))</f>
        <v>-0.69105529881981376</v>
      </c>
      <c r="S838" s="60" t="str">
        <f>IF($C838="B",INDEX(Batters[[#All],[DEM]],MATCH(Table5[[#This Row],[PID]],Batters[[#All],[PID]],0)),INDEX(Table3[[#All],[DEM]],MATCH(Table5[[#This Row],[PID]],Table3[[#All],[PID]],0)))</f>
        <v>$190k</v>
      </c>
      <c r="T838" s="64">
        <f>IF($C838="B",VLOOKUP($A838,Bat!$A$4:$AU$1417,46,FALSE),VLOOKUP($A838,Pit!$A$4:$BD$570,55,FALSE))</f>
        <v>0</v>
      </c>
      <c r="U838" s="52">
        <f>IF($C838="B",VLOOKUP($A838,Bat!$A$4:$BA$1417,47,FALSE),VLOOKUP($A838,Pit!$A$4:$BF$570,56,FALSE))</f>
        <v>0</v>
      </c>
      <c r="V838" s="52">
        <f>IF($C838="B",VLOOKUP($A838,Bat!$A$4:$BA$1417,48,FALSE),VLOOKUP($A838,Pit!$A$4:$BF$570,57,FALSE))</f>
        <v>0</v>
      </c>
      <c r="W838" s="52">
        <f>Table5[[#This Row],[posRnk]]+Table5[[#This Row],[zRnk]]+IF($W$3&lt;&gt;Table5[[#This Row],[Type]],50,0)</f>
        <v>884</v>
      </c>
      <c r="X838" s="53">
        <f>RANK(Table5[[#This Row],[zScore]],Table5[[#All],[zScore]])</f>
        <v>834</v>
      </c>
      <c r="Y838" s="52" t="str">
        <f>IFERROR(INDEX(DraftResults[[#All],[OVR]],MATCH(Table5[[#This Row],[PID]],DraftResults[[#All],[Player ID]],0)),"")</f>
        <v/>
      </c>
      <c r="Z8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8" s="52" t="str">
        <f>IFERROR(INDEX(DraftResults[[#All],[Pick in Round]],MATCH(Table5[[#This Row],[PID]],DraftResults[[#All],[Player ID]],0)),"")</f>
        <v/>
      </c>
      <c r="AB838" s="52" t="str">
        <f>IFERROR(INDEX(DraftResults[[#All],[Team Name]],MATCH(Table5[[#This Row],[PID]],DraftResults[[#All],[Player ID]],0)),"")</f>
        <v/>
      </c>
      <c r="AC838" s="52" t="str">
        <f>IF(Table5[[#This Row],[Ovr]]="","",IF(Table5[[#This Row],[cmbList]]="","",Table5[[#This Row],[cmbList]]-Table5[[#This Row],[Ovr]]))</f>
        <v/>
      </c>
      <c r="AD838" s="56" t="str">
        <f>IF(ISERROR(VLOOKUP($AB838&amp;"-"&amp;$E838&amp;" "&amp;F838,Bonuses!$B$1:$G$1006,4,FALSE)),"",INT(VLOOKUP($AB838&amp;"-"&amp;$E838&amp;" "&amp;$F838,Bonuses!$B$1:$G$1006,4,FALSE)))</f>
        <v/>
      </c>
      <c r="AE8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9" spans="1:31" s="52" customFormat="1" x14ac:dyDescent="0.25">
      <c r="A839" s="52">
        <v>11678</v>
      </c>
      <c r="B839" s="52">
        <f>COUNTIF(Table5[PID],A839)</f>
        <v>1</v>
      </c>
      <c r="C839" s="52" t="str">
        <f>IF(COUNTIF(Table3[[#All],[PID]],A839)&gt;0,"P","B")</f>
        <v>B</v>
      </c>
      <c r="D839" s="61" t="str">
        <f>IF($C839="B",INDEX(Batters[[#All],[POS]],MATCH(Table5[[#This Row],[PID]],Batters[[#All],[PID]],0)),INDEX(Table3[[#All],[POS]],MATCH(Table5[[#This Row],[PID]],Table3[[#All],[PID]],0)))</f>
        <v>1B</v>
      </c>
      <c r="E839" s="54" t="str">
        <f>IF($C839="B",INDEX(Batters[[#All],[First]],MATCH(Table5[[#This Row],[PID]],Batters[[#All],[PID]],0)),INDEX(Table3[[#All],[First]],MATCH(Table5[[#This Row],[PID]],Table3[[#All],[PID]],0)))</f>
        <v>Dewitt</v>
      </c>
      <c r="F839" s="52" t="str">
        <f>IF($C839="B",INDEX(Batters[[#All],[Last]],MATCH(A839,Batters[[#All],[PID]],0)),INDEX(Table3[[#All],[Last]],MATCH(A839,Table3[[#All],[PID]],0)))</f>
        <v>O'Melaghlin</v>
      </c>
      <c r="G839" s="58">
        <f>IF($C839="B",INDEX(Batters[[#All],[Age]],MATCH(Table5[[#This Row],[PID]],Batters[[#All],[PID]],0)),INDEX(Table3[[#All],[Age]],MATCH(Table5[[#This Row],[PID]],Table3[[#All],[PID]],0)))</f>
        <v>21</v>
      </c>
      <c r="H839" s="54" t="str">
        <f>IF($C839="B",INDEX(Batters[[#All],[B]],MATCH(Table5[[#This Row],[PID]],Batters[[#All],[PID]],0)),INDEX(Table3[[#All],[B]],MATCH(Table5[[#This Row],[PID]],Table3[[#All],[PID]],0)))</f>
        <v>R</v>
      </c>
      <c r="I839" s="54" t="str">
        <f>IF($C839="B",INDEX(Batters[[#All],[T]],MATCH(Table5[[#This Row],[PID]],Batters[[#All],[PID]],0)),INDEX(Table3[[#All],[T]],MATCH(Table5[[#This Row],[PID]],Table3[[#All],[PID]],0)))</f>
        <v>R</v>
      </c>
      <c r="J839" s="54" t="str">
        <f>IF($C839="B",INDEX(Batters[[#All],[WE]],MATCH(Table5[[#This Row],[PID]],Batters[[#All],[PID]],0)),INDEX(Table3[[#All],[WE]],MATCH(Table5[[#This Row],[PID]],Table3[[#All],[PID]],0)))</f>
        <v>Low</v>
      </c>
      <c r="K839" s="54" t="str">
        <f>IF($C839="B",INDEX(Batters[[#All],[INT]],MATCH(Table5[[#This Row],[PID]],Batters[[#All],[PID]],0)),INDEX(Table3[[#All],[INT]],MATCH(Table5[[#This Row],[PID]],Table3[[#All],[PID]],0)))</f>
        <v>Normal</v>
      </c>
      <c r="L839" s="62">
        <f>IF($C839="B",INDEX(Batters[[#All],[CON P]],MATCH(Table5[[#This Row],[PID]],Batters[[#All],[PID]],0)),INDEX(Table3[[#All],[STU P]],MATCH(Table5[[#This Row],[PID]],Table3[[#All],[PID]],0)))</f>
        <v>3</v>
      </c>
      <c r="M839" s="58">
        <f>IF($C839="B",INDEX(Batters[[#All],[GAP P]],MATCH(Table5[[#This Row],[PID]],Batters[[#All],[PID]],0)),INDEX(Table3[[#All],[MOV P]],MATCH(Table5[[#This Row],[PID]],Table3[[#All],[PID]],0)))</f>
        <v>3</v>
      </c>
      <c r="N839" s="58">
        <f>IF($C839="B",INDEX(Batters[[#All],[POW P]],MATCH(Table5[[#This Row],[PID]],Batters[[#All],[PID]],0)),INDEX(Table3[[#All],[CON P]],MATCH(Table5[[#This Row],[PID]],Table3[[#All],[PID]],0)))</f>
        <v>3</v>
      </c>
      <c r="O839" s="58">
        <f>IF($C839="B",INDEX(Batters[[#All],[EYE P]],MATCH(Table5[[#This Row],[PID]],Batters[[#All],[PID]],0)),INDEX(Table3[[#All],[VELO]],MATCH(Table5[[#This Row],[PID]],Table3[[#All],[PID]],0)))</f>
        <v>5</v>
      </c>
      <c r="P839" s="58">
        <f>IF($C839="B",INDEX(Batters[[#All],[K P]],MATCH(Table5[[#This Row],[PID]],Batters[[#All],[PID]],0)),INDEX(Table3[[#All],[STM]],MATCH(Table5[[#This Row],[PID]],Table3[[#All],[PID]],0)))</f>
        <v>4</v>
      </c>
      <c r="Q839" s="63">
        <f>IF($C839="B",INDEX(Batters[[#All],[Tot]],MATCH(Table5[[#This Row],[PID]],Batters[[#All],[PID]],0)),INDEX(Table3[[#All],[Tot]],MATCH(Table5[[#This Row],[PID]],Table3[[#All],[PID]],0)))</f>
        <v>36.415517080920935</v>
      </c>
      <c r="R839" s="54">
        <f>IF($C839="B",INDEX(Batters[[#All],[zScore]],MATCH(Table5[[#This Row],[PID]],Batters[[#All],[PID]],0)),INDEX(Table3[[#All],[zScore]],MATCH(Table5[[#This Row],[PID]],Table3[[#All],[PID]],0)))</f>
        <v>-0.69193775416252923</v>
      </c>
      <c r="S839" s="60" t="str">
        <f>IF($C839="B",INDEX(Batters[[#All],[DEM]],MATCH(Table5[[#This Row],[PID]],Batters[[#All],[PID]],0)),INDEX(Table3[[#All],[DEM]],MATCH(Table5[[#This Row],[PID]],Table3[[#All],[PID]],0)))</f>
        <v>-</v>
      </c>
      <c r="T839" s="64">
        <f>IF($C839="B",VLOOKUP($A839,Bat!$A$4:$AU$1417,46,FALSE),VLOOKUP($A839,Pit!$A$4:$BD$570,55,FALSE))</f>
        <v>0</v>
      </c>
      <c r="U839" s="52">
        <f>IF($C839="B",VLOOKUP($A839,Bat!$A$4:$BA$1417,47,FALSE),VLOOKUP($A839,Pit!$A$4:$BF$570,56,FALSE))</f>
        <v>0</v>
      </c>
      <c r="V839" s="52">
        <f>IF($C839="B",VLOOKUP($A839,Bat!$A$4:$BA$1417,48,FALSE),VLOOKUP($A839,Pit!$A$4:$BF$570,57,FALSE))</f>
        <v>0</v>
      </c>
      <c r="W839" s="52">
        <f>Table5[[#This Row],[posRnk]]+Table5[[#This Row],[zRnk]]+IF($W$3&lt;&gt;Table5[[#This Row],[Type]],50,0)</f>
        <v>885</v>
      </c>
      <c r="X839" s="53">
        <f>RANK(Table5[[#This Row],[zScore]],Table5[[#All],[zScore]])</f>
        <v>835</v>
      </c>
      <c r="Y839" s="52" t="str">
        <f>IFERROR(INDEX(DraftResults[[#All],[OVR]],MATCH(Table5[[#This Row],[PID]],DraftResults[[#All],[Player ID]],0)),"")</f>
        <v/>
      </c>
      <c r="Z8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9" s="52" t="str">
        <f>IFERROR(INDEX(DraftResults[[#All],[Pick in Round]],MATCH(Table5[[#This Row],[PID]],DraftResults[[#All],[Player ID]],0)),"")</f>
        <v/>
      </c>
      <c r="AB839" s="52" t="str">
        <f>IFERROR(INDEX(DraftResults[[#All],[Team Name]],MATCH(Table5[[#This Row],[PID]],DraftResults[[#All],[Player ID]],0)),"")</f>
        <v/>
      </c>
      <c r="AC839" s="52" t="str">
        <f>IF(Table5[[#This Row],[Ovr]]="","",IF(Table5[[#This Row],[cmbList]]="","",Table5[[#This Row],[cmbList]]-Table5[[#This Row],[Ovr]]))</f>
        <v/>
      </c>
      <c r="AD839" s="56" t="str">
        <f>IF(ISERROR(VLOOKUP($AB839&amp;"-"&amp;$E839&amp;" "&amp;F839,Bonuses!$B$1:$G$1006,4,FALSE)),"",INT(VLOOKUP($AB839&amp;"-"&amp;$E839&amp;" "&amp;$F839,Bonuses!$B$1:$G$1006,4,FALSE)))</f>
        <v/>
      </c>
      <c r="AE8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0" spans="1:31" s="52" customFormat="1" x14ac:dyDescent="0.25">
      <c r="A840" s="52">
        <v>5531</v>
      </c>
      <c r="B840" s="52">
        <f>COUNTIF(Table5[PID],A840)</f>
        <v>1</v>
      </c>
      <c r="C840" s="52" t="str">
        <f>IF(COUNTIF(Table3[[#All],[PID]],A840)&gt;0,"P","B")</f>
        <v>P</v>
      </c>
      <c r="D840" s="61" t="str">
        <f>IF($C840="B",INDEX(Batters[[#All],[POS]],MATCH(Table5[[#This Row],[PID]],Batters[[#All],[PID]],0)),INDEX(Table3[[#All],[POS]],MATCH(Table5[[#This Row],[PID]],Table3[[#All],[PID]],0)))</f>
        <v>RP</v>
      </c>
      <c r="E840" s="54" t="str">
        <f>IF($C840="B",INDEX(Batters[[#All],[First]],MATCH(Table5[[#This Row],[PID]],Batters[[#All],[PID]],0)),INDEX(Table3[[#All],[First]],MATCH(Table5[[#This Row],[PID]],Table3[[#All],[PID]],0)))</f>
        <v>Esteban</v>
      </c>
      <c r="F840" s="52" t="str">
        <f>IF($C840="B",INDEX(Batters[[#All],[Last]],MATCH(A840,Batters[[#All],[PID]],0)),INDEX(Table3[[#All],[Last]],MATCH(A840,Table3[[#All],[PID]],0)))</f>
        <v>García</v>
      </c>
      <c r="G840" s="58">
        <f>IF($C840="B",INDEX(Batters[[#All],[Age]],MATCH(Table5[[#This Row],[PID]],Batters[[#All],[PID]],0)),INDEX(Table3[[#All],[Age]],MATCH(Table5[[#This Row],[PID]],Table3[[#All],[PID]],0)))</f>
        <v>22</v>
      </c>
      <c r="H840" s="54" t="str">
        <f>IF($C840="B",INDEX(Batters[[#All],[B]],MATCH(Table5[[#This Row],[PID]],Batters[[#All],[PID]],0)),INDEX(Table3[[#All],[B]],MATCH(Table5[[#This Row],[PID]],Table3[[#All],[PID]],0)))</f>
        <v>R</v>
      </c>
      <c r="I840" s="54" t="str">
        <f>IF($C840="B",INDEX(Batters[[#All],[T]],MATCH(Table5[[#This Row],[PID]],Batters[[#All],[PID]],0)),INDEX(Table3[[#All],[T]],MATCH(Table5[[#This Row],[PID]],Table3[[#All],[PID]],0)))</f>
        <v>R</v>
      </c>
      <c r="J840" s="54" t="str">
        <f>IF($C840="B",INDEX(Batters[[#All],[WE]],MATCH(Table5[[#This Row],[PID]],Batters[[#All],[PID]],0)),INDEX(Table3[[#All],[WE]],MATCH(Table5[[#This Row],[PID]],Table3[[#All],[PID]],0)))</f>
        <v>Normal</v>
      </c>
      <c r="K840" s="54" t="str">
        <f>IF($C840="B",INDEX(Batters[[#All],[INT]],MATCH(Table5[[#This Row],[PID]],Batters[[#All],[PID]],0)),INDEX(Table3[[#All],[INT]],MATCH(Table5[[#This Row],[PID]],Table3[[#All],[PID]],0)))</f>
        <v>Normal</v>
      </c>
      <c r="L840" s="62">
        <f>IF($C840="B",INDEX(Batters[[#All],[CON P]],MATCH(Table5[[#This Row],[PID]],Batters[[#All],[PID]],0)),INDEX(Table3[[#All],[STU P]],MATCH(Table5[[#This Row],[PID]],Table3[[#All],[PID]],0)))</f>
        <v>4</v>
      </c>
      <c r="M840" s="58">
        <f>IF($C840="B",INDEX(Batters[[#All],[GAP P]],MATCH(Table5[[#This Row],[PID]],Batters[[#All],[PID]],0)),INDEX(Table3[[#All],[MOV P]],MATCH(Table5[[#This Row],[PID]],Table3[[#All],[PID]],0)))</f>
        <v>2</v>
      </c>
      <c r="N840" s="58">
        <f>IF($C840="B",INDEX(Batters[[#All],[POW P]],MATCH(Table5[[#This Row],[PID]],Batters[[#All],[PID]],0)),INDEX(Table3[[#All],[CON P]],MATCH(Table5[[#This Row],[PID]],Table3[[#All],[PID]],0)))</f>
        <v>2</v>
      </c>
      <c r="O840" s="58" t="str">
        <f>IF($C840="B",INDEX(Batters[[#All],[EYE P]],MATCH(Table5[[#This Row],[PID]],Batters[[#All],[PID]],0)),INDEX(Table3[[#All],[VELO]],MATCH(Table5[[#This Row],[PID]],Table3[[#All],[PID]],0)))</f>
        <v>90-92 Mph</v>
      </c>
      <c r="P840" s="58">
        <f>IF($C840="B",INDEX(Batters[[#All],[K P]],MATCH(Table5[[#This Row],[PID]],Batters[[#All],[PID]],0)),INDEX(Table3[[#All],[STM]],MATCH(Table5[[#This Row],[PID]],Table3[[#All],[PID]],0)))</f>
        <v>5</v>
      </c>
      <c r="Q840" s="63">
        <f>IF($C840="B",INDEX(Batters[[#All],[Tot]],MATCH(Table5[[#This Row],[PID]],Batters[[#All],[PID]],0)),INDEX(Table3[[#All],[Tot]],MATCH(Table5[[#This Row],[PID]],Table3[[#All],[PID]],0)))</f>
        <v>25.164351557812086</v>
      </c>
      <c r="R840" s="54">
        <f>IF($C840="B",INDEX(Batters[[#All],[zScore]],MATCH(Table5[[#This Row],[PID]],Batters[[#All],[PID]],0)),INDEX(Table3[[#All],[zScore]],MATCH(Table5[[#This Row],[PID]],Table3[[#All],[PID]],0)))</f>
        <v>-0.69309166860656268</v>
      </c>
      <c r="S840" s="60" t="str">
        <f>IF($C840="B",INDEX(Batters[[#All],[DEM]],MATCH(Table5[[#This Row],[PID]],Batters[[#All],[PID]],0)),INDEX(Table3[[#All],[DEM]],MATCH(Table5[[#This Row],[PID]],Table3[[#All],[PID]],0)))</f>
        <v>-</v>
      </c>
      <c r="T840" s="64">
        <f>IF($C840="B",VLOOKUP($A840,Bat!$A$4:$AU$1417,46,FALSE),VLOOKUP($A840,Pit!$A$4:$BD$570,55,FALSE))</f>
        <v>0</v>
      </c>
      <c r="U840" s="52">
        <f>IF($C840="B",VLOOKUP($A840,Bat!$A$4:$BA$1417,47,FALSE),VLOOKUP($A840,Pit!$A$4:$BF$570,56,FALSE))</f>
        <v>0</v>
      </c>
      <c r="V840" s="52">
        <f>IF($C840="B",VLOOKUP($A840,Bat!$A$4:$BA$1417,48,FALSE),VLOOKUP($A840,Pit!$A$4:$BF$570,57,FALSE))</f>
        <v>0</v>
      </c>
      <c r="W840" s="52">
        <f>Table5[[#This Row],[posRnk]]+Table5[[#This Row],[zRnk]]+IF($W$3&lt;&gt;Table5[[#This Row],[Type]],50,0)</f>
        <v>886</v>
      </c>
      <c r="X840" s="53">
        <f>RANK(Table5[[#This Row],[zScore]],Table5[[#All],[zScore]])</f>
        <v>836</v>
      </c>
      <c r="Y840" s="52" t="str">
        <f>IFERROR(INDEX(DraftResults[[#All],[OVR]],MATCH(Table5[[#This Row],[PID]],DraftResults[[#All],[Player ID]],0)),"")</f>
        <v/>
      </c>
      <c r="Z8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0" s="52" t="str">
        <f>IFERROR(INDEX(DraftResults[[#All],[Pick in Round]],MATCH(Table5[[#This Row],[PID]],DraftResults[[#All],[Player ID]],0)),"")</f>
        <v/>
      </c>
      <c r="AB840" s="52" t="str">
        <f>IFERROR(INDEX(DraftResults[[#All],[Team Name]],MATCH(Table5[[#This Row],[PID]],DraftResults[[#All],[Player ID]],0)),"")</f>
        <v/>
      </c>
      <c r="AC840" s="52" t="str">
        <f>IF(Table5[[#This Row],[Ovr]]="","",IF(Table5[[#This Row],[cmbList]]="","",Table5[[#This Row],[cmbList]]-Table5[[#This Row],[Ovr]]))</f>
        <v/>
      </c>
      <c r="AD840" s="56" t="str">
        <f>IF(ISERROR(VLOOKUP($AB840&amp;"-"&amp;$E840&amp;" "&amp;F840,Bonuses!$B$1:$G$1006,4,FALSE)),"",INT(VLOOKUP($AB840&amp;"-"&amp;$E840&amp;" "&amp;$F840,Bonuses!$B$1:$G$1006,4,FALSE)))</f>
        <v/>
      </c>
      <c r="AE8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1" spans="1:31" s="52" customFormat="1" x14ac:dyDescent="0.25">
      <c r="A841" s="52">
        <v>9389</v>
      </c>
      <c r="B841" s="52">
        <f>COUNTIF(Table5[PID],A841)</f>
        <v>1</v>
      </c>
      <c r="C841" s="52" t="str">
        <f>IF(COUNTIF(Table3[[#All],[PID]],A841)&gt;0,"P","B")</f>
        <v>P</v>
      </c>
      <c r="D841" s="61" t="str">
        <f>IF($C841="B",INDEX(Batters[[#All],[POS]],MATCH(Table5[[#This Row],[PID]],Batters[[#All],[PID]],0)),INDEX(Table3[[#All],[POS]],MATCH(Table5[[#This Row],[PID]],Table3[[#All],[PID]],0)))</f>
        <v>RP</v>
      </c>
      <c r="E841" s="54" t="str">
        <f>IF($C841="B",INDEX(Batters[[#All],[First]],MATCH(Table5[[#This Row],[PID]],Batters[[#All],[PID]],0)),INDEX(Table3[[#All],[First]],MATCH(Table5[[#This Row],[PID]],Table3[[#All],[PID]],0)))</f>
        <v>Irwin</v>
      </c>
      <c r="F841" s="52" t="str">
        <f>IF($C841="B",INDEX(Batters[[#All],[Last]],MATCH(A841,Batters[[#All],[PID]],0)),INDEX(Table3[[#All],[Last]],MATCH(A841,Table3[[#All],[PID]],0)))</f>
        <v>Oglethorpe</v>
      </c>
      <c r="G841" s="58">
        <f>IF($C841="B",INDEX(Batters[[#All],[Age]],MATCH(Table5[[#This Row],[PID]],Batters[[#All],[PID]],0)),INDEX(Table3[[#All],[Age]],MATCH(Table5[[#This Row],[PID]],Table3[[#All],[PID]],0)))</f>
        <v>21</v>
      </c>
      <c r="H841" s="54" t="str">
        <f>IF($C841="B",INDEX(Batters[[#All],[B]],MATCH(Table5[[#This Row],[PID]],Batters[[#All],[PID]],0)),INDEX(Table3[[#All],[B]],MATCH(Table5[[#This Row],[PID]],Table3[[#All],[PID]],0)))</f>
        <v>L</v>
      </c>
      <c r="I841" s="54" t="str">
        <f>IF($C841="B",INDEX(Batters[[#All],[T]],MATCH(Table5[[#This Row],[PID]],Batters[[#All],[PID]],0)),INDEX(Table3[[#All],[T]],MATCH(Table5[[#This Row],[PID]],Table3[[#All],[PID]],0)))</f>
        <v>L</v>
      </c>
      <c r="J841" s="54" t="str">
        <f>IF($C841="B",INDEX(Batters[[#All],[WE]],MATCH(Table5[[#This Row],[PID]],Batters[[#All],[PID]],0)),INDEX(Table3[[#All],[WE]],MATCH(Table5[[#This Row],[PID]],Table3[[#All],[PID]],0)))</f>
        <v>Low</v>
      </c>
      <c r="K841" s="54" t="str">
        <f>IF($C841="B",INDEX(Batters[[#All],[INT]],MATCH(Table5[[#This Row],[PID]],Batters[[#All],[PID]],0)),INDEX(Table3[[#All],[INT]],MATCH(Table5[[#This Row],[PID]],Table3[[#All],[PID]],0)))</f>
        <v>High</v>
      </c>
      <c r="L841" s="62">
        <f>IF($C841="B",INDEX(Batters[[#All],[CON P]],MATCH(Table5[[#This Row],[PID]],Batters[[#All],[PID]],0)),INDEX(Table3[[#All],[STU P]],MATCH(Table5[[#This Row],[PID]],Table3[[#All],[PID]],0)))</f>
        <v>4</v>
      </c>
      <c r="M841" s="58">
        <f>IF($C841="B",INDEX(Batters[[#All],[GAP P]],MATCH(Table5[[#This Row],[PID]],Batters[[#All],[PID]],0)),INDEX(Table3[[#All],[MOV P]],MATCH(Table5[[#This Row],[PID]],Table3[[#All],[PID]],0)))</f>
        <v>2</v>
      </c>
      <c r="N841" s="58">
        <f>IF($C841="B",INDEX(Batters[[#All],[POW P]],MATCH(Table5[[#This Row],[PID]],Batters[[#All],[PID]],0)),INDEX(Table3[[#All],[CON P]],MATCH(Table5[[#This Row],[PID]],Table3[[#All],[PID]],0)))</f>
        <v>2</v>
      </c>
      <c r="O841" s="58" t="str">
        <f>IF($C841="B",INDEX(Batters[[#All],[EYE P]],MATCH(Table5[[#This Row],[PID]],Batters[[#All],[PID]],0)),INDEX(Table3[[#All],[VELO]],MATCH(Table5[[#This Row],[PID]],Table3[[#All],[PID]],0)))</f>
        <v>87-89 Mph</v>
      </c>
      <c r="P841" s="58">
        <f>IF($C841="B",INDEX(Batters[[#All],[K P]],MATCH(Table5[[#This Row],[PID]],Batters[[#All],[PID]],0)),INDEX(Table3[[#All],[STM]],MATCH(Table5[[#This Row],[PID]],Table3[[#All],[PID]],0)))</f>
        <v>6</v>
      </c>
      <c r="Q841" s="63">
        <f>IF($C841="B",INDEX(Batters[[#All],[Tot]],MATCH(Table5[[#This Row],[PID]],Batters[[#All],[PID]],0)),INDEX(Table3[[#All],[Tot]],MATCH(Table5[[#This Row],[PID]],Table3[[#All],[PID]],0)))</f>
        <v>25.164351557812086</v>
      </c>
      <c r="R841" s="54">
        <f>IF($C841="B",INDEX(Batters[[#All],[zScore]],MATCH(Table5[[#This Row],[PID]],Batters[[#All],[PID]],0)),INDEX(Table3[[#All],[zScore]],MATCH(Table5[[#This Row],[PID]],Table3[[#All],[PID]],0)))</f>
        <v>-0.69309166860656268</v>
      </c>
      <c r="S841" s="60" t="str">
        <f>IF($C841="B",INDEX(Batters[[#All],[DEM]],MATCH(Table5[[#This Row],[PID]],Batters[[#All],[PID]],0)),INDEX(Table3[[#All],[DEM]],MATCH(Table5[[#This Row],[PID]],Table3[[#All],[PID]],0)))</f>
        <v>-</v>
      </c>
      <c r="T841" s="64">
        <f>IF($C841="B",VLOOKUP($A841,Bat!$A$4:$AU$1417,46,FALSE),VLOOKUP($A841,Pit!$A$4:$BD$570,55,FALSE))</f>
        <v>0</v>
      </c>
      <c r="U841" s="52">
        <f>IF($C841="B",VLOOKUP($A841,Bat!$A$4:$BA$1417,47,FALSE),VLOOKUP($A841,Pit!$A$4:$BF$570,56,FALSE))</f>
        <v>0</v>
      </c>
      <c r="V841" s="52">
        <f>IF($C841="B",VLOOKUP($A841,Bat!$A$4:$BA$1417,48,FALSE),VLOOKUP($A841,Pit!$A$4:$BF$570,57,FALSE))</f>
        <v>0</v>
      </c>
      <c r="W841" s="52">
        <f>Table5[[#This Row],[posRnk]]+Table5[[#This Row],[zRnk]]+IF($W$3&lt;&gt;Table5[[#This Row],[Type]],50,0)</f>
        <v>886</v>
      </c>
      <c r="X841" s="53">
        <f>RANK(Table5[[#This Row],[zScore]],Table5[[#All],[zScore]])</f>
        <v>836</v>
      </c>
      <c r="Y841" s="52" t="str">
        <f>IFERROR(INDEX(DraftResults[[#All],[OVR]],MATCH(Table5[[#This Row],[PID]],DraftResults[[#All],[Player ID]],0)),"")</f>
        <v/>
      </c>
      <c r="Z8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1" s="52" t="str">
        <f>IFERROR(INDEX(DraftResults[[#All],[Pick in Round]],MATCH(Table5[[#This Row],[PID]],DraftResults[[#All],[Player ID]],0)),"")</f>
        <v/>
      </c>
      <c r="AB841" s="52" t="str">
        <f>IFERROR(INDEX(DraftResults[[#All],[Team Name]],MATCH(Table5[[#This Row],[PID]],DraftResults[[#All],[Player ID]],0)),"")</f>
        <v/>
      </c>
      <c r="AC841" s="52" t="str">
        <f>IF(Table5[[#This Row],[Ovr]]="","",IF(Table5[[#This Row],[cmbList]]="","",Table5[[#This Row],[cmbList]]-Table5[[#This Row],[Ovr]]))</f>
        <v/>
      </c>
      <c r="AD841" s="56" t="str">
        <f>IF(ISERROR(VLOOKUP($AB841&amp;"-"&amp;$E841&amp;" "&amp;F841,Bonuses!$B$1:$G$1006,4,FALSE)),"",INT(VLOOKUP($AB841&amp;"-"&amp;$E841&amp;" "&amp;$F841,Bonuses!$B$1:$G$1006,4,FALSE)))</f>
        <v/>
      </c>
      <c r="AE8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2" spans="1:31" s="52" customFormat="1" x14ac:dyDescent="0.25">
      <c r="A842" s="52">
        <v>17942</v>
      </c>
      <c r="B842" s="52">
        <f>COUNTIF(Table5[PID],A842)</f>
        <v>1</v>
      </c>
      <c r="C842" s="52" t="str">
        <f>IF(COUNTIF(Table3[[#All],[PID]],A842)&gt;0,"P","B")</f>
        <v>P</v>
      </c>
      <c r="D842" s="61" t="str">
        <f>IF($C842="B",INDEX(Batters[[#All],[POS]],MATCH(Table5[[#This Row],[PID]],Batters[[#All],[PID]],0)),INDEX(Table3[[#All],[POS]],MATCH(Table5[[#This Row],[PID]],Table3[[#All],[PID]],0)))</f>
        <v>SP</v>
      </c>
      <c r="E842" s="54" t="str">
        <f>IF($C842="B",INDEX(Batters[[#All],[First]],MATCH(Table5[[#This Row],[PID]],Batters[[#All],[PID]],0)),INDEX(Table3[[#All],[First]],MATCH(Table5[[#This Row],[PID]],Table3[[#All],[PID]],0)))</f>
        <v>Greg</v>
      </c>
      <c r="F842" s="52" t="str">
        <f>IF($C842="B",INDEX(Batters[[#All],[Last]],MATCH(A842,Batters[[#All],[PID]],0)),INDEX(Table3[[#All],[Last]],MATCH(A842,Table3[[#All],[PID]],0)))</f>
        <v>Beck</v>
      </c>
      <c r="G842" s="58">
        <f>IF($C842="B",INDEX(Batters[[#All],[Age]],MATCH(Table5[[#This Row],[PID]],Batters[[#All],[PID]],0)),INDEX(Table3[[#All],[Age]],MATCH(Table5[[#This Row],[PID]],Table3[[#All],[PID]],0)))</f>
        <v>18</v>
      </c>
      <c r="H842" s="54" t="str">
        <f>IF($C842="B",INDEX(Batters[[#All],[B]],MATCH(Table5[[#This Row],[PID]],Batters[[#All],[PID]],0)),INDEX(Table3[[#All],[B]],MATCH(Table5[[#This Row],[PID]],Table3[[#All],[PID]],0)))</f>
        <v>R</v>
      </c>
      <c r="I842" s="54" t="str">
        <f>IF($C842="B",INDEX(Batters[[#All],[T]],MATCH(Table5[[#This Row],[PID]],Batters[[#All],[PID]],0)),INDEX(Table3[[#All],[T]],MATCH(Table5[[#This Row],[PID]],Table3[[#All],[PID]],0)))</f>
        <v>L</v>
      </c>
      <c r="J842" s="54" t="str">
        <f>IF($C842="B",INDEX(Batters[[#All],[WE]],MATCH(Table5[[#This Row],[PID]],Batters[[#All],[PID]],0)),INDEX(Table3[[#All],[WE]],MATCH(Table5[[#This Row],[PID]],Table3[[#All],[PID]],0)))</f>
        <v>Normal</v>
      </c>
      <c r="K842" s="54" t="str">
        <f>IF($C842="B",INDEX(Batters[[#All],[INT]],MATCH(Table5[[#This Row],[PID]],Batters[[#All],[PID]],0)),INDEX(Table3[[#All],[INT]],MATCH(Table5[[#This Row],[PID]],Table3[[#All],[PID]],0)))</f>
        <v>Normal</v>
      </c>
      <c r="L842" s="62">
        <f>IF($C842="B",INDEX(Batters[[#All],[CON P]],MATCH(Table5[[#This Row],[PID]],Batters[[#All],[PID]],0)),INDEX(Table3[[#All],[STU P]],MATCH(Table5[[#This Row],[PID]],Table3[[#All],[PID]],0)))</f>
        <v>4</v>
      </c>
      <c r="M842" s="58">
        <f>IF($C842="B",INDEX(Batters[[#All],[GAP P]],MATCH(Table5[[#This Row],[PID]],Batters[[#All],[PID]],0)),INDEX(Table3[[#All],[MOV P]],MATCH(Table5[[#This Row],[PID]],Table3[[#All],[PID]],0)))</f>
        <v>1</v>
      </c>
      <c r="N842" s="58">
        <f>IF($C842="B",INDEX(Batters[[#All],[POW P]],MATCH(Table5[[#This Row],[PID]],Batters[[#All],[PID]],0)),INDEX(Table3[[#All],[CON P]],MATCH(Table5[[#This Row],[PID]],Table3[[#All],[PID]],0)))</f>
        <v>2</v>
      </c>
      <c r="O842" s="58" t="str">
        <f>IF($C842="B",INDEX(Batters[[#All],[EYE P]],MATCH(Table5[[#This Row],[PID]],Batters[[#All],[PID]],0)),INDEX(Table3[[#All],[VELO]],MATCH(Table5[[#This Row],[PID]],Table3[[#All],[PID]],0)))</f>
        <v>88-90 Mph</v>
      </c>
      <c r="P842" s="58">
        <f>IF($C842="B",INDEX(Batters[[#All],[K P]],MATCH(Table5[[#This Row],[PID]],Batters[[#All],[PID]],0)),INDEX(Table3[[#All],[STM]],MATCH(Table5[[#This Row],[PID]],Table3[[#All],[PID]],0)))</f>
        <v>4</v>
      </c>
      <c r="Q842" s="63">
        <f>IF($C842="B",INDEX(Batters[[#All],[Tot]],MATCH(Table5[[#This Row],[PID]],Batters[[#All],[PID]],0)),INDEX(Table3[[#All],[Tot]],MATCH(Table5[[#This Row],[PID]],Table3[[#All],[PID]],0)))</f>
        <v>25.161913989457137</v>
      </c>
      <c r="R842" s="54">
        <f>IF($C842="B",INDEX(Batters[[#All],[zScore]],MATCH(Table5[[#This Row],[PID]],Batters[[#All],[PID]],0)),INDEX(Table3[[#All],[zScore]],MATCH(Table5[[#This Row],[PID]],Table3[[#All],[PID]],0)))</f>
        <v>-0.69331520404309765</v>
      </c>
      <c r="S842" s="60" t="str">
        <f>IF($C842="B",INDEX(Batters[[#All],[DEM]],MATCH(Table5[[#This Row],[PID]],Batters[[#All],[PID]],0)),INDEX(Table3[[#All],[DEM]],MATCH(Table5[[#This Row],[PID]],Table3[[#All],[PID]],0)))</f>
        <v>$38k</v>
      </c>
      <c r="T842" s="64">
        <f>IF($C842="B",VLOOKUP($A842,Bat!$A$4:$AU$1417,46,FALSE),VLOOKUP($A842,Pit!$A$4:$BD$570,55,FALSE))</f>
        <v>0</v>
      </c>
      <c r="U842" s="52">
        <f>IF($C842="B",VLOOKUP($A842,Bat!$A$4:$BA$1417,47,FALSE),VLOOKUP($A842,Pit!$A$4:$BF$570,56,FALSE))</f>
        <v>0</v>
      </c>
      <c r="V842" s="52">
        <f>IF($C842="B",VLOOKUP($A842,Bat!$A$4:$BA$1417,48,FALSE),VLOOKUP($A842,Pit!$A$4:$BF$570,57,FALSE))</f>
        <v>0</v>
      </c>
      <c r="W842" s="52">
        <f>Table5[[#This Row],[posRnk]]+Table5[[#This Row],[zRnk]]+IF($W$3&lt;&gt;Table5[[#This Row],[Type]],50,0)</f>
        <v>888</v>
      </c>
      <c r="X842" s="53">
        <f>RANK(Table5[[#This Row],[zScore]],Table5[[#All],[zScore]])</f>
        <v>838</v>
      </c>
      <c r="Y842" s="52" t="str">
        <f>IFERROR(INDEX(DraftResults[[#All],[OVR]],MATCH(Table5[[#This Row],[PID]],DraftResults[[#All],[Player ID]],0)),"")</f>
        <v/>
      </c>
      <c r="Z8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2" s="52" t="str">
        <f>IFERROR(INDEX(DraftResults[[#All],[Pick in Round]],MATCH(Table5[[#This Row],[PID]],DraftResults[[#All],[Player ID]],0)),"")</f>
        <v/>
      </c>
      <c r="AB842" s="52" t="str">
        <f>IFERROR(INDEX(DraftResults[[#All],[Team Name]],MATCH(Table5[[#This Row],[PID]],DraftResults[[#All],[Player ID]],0)),"")</f>
        <v/>
      </c>
      <c r="AC842" s="52" t="str">
        <f>IF(Table5[[#This Row],[Ovr]]="","",IF(Table5[[#This Row],[cmbList]]="","",Table5[[#This Row],[cmbList]]-Table5[[#This Row],[Ovr]]))</f>
        <v/>
      </c>
      <c r="AD842" s="56" t="str">
        <f>IF(ISERROR(VLOOKUP($AB842&amp;"-"&amp;$E842&amp;" "&amp;F842,Bonuses!$B$1:$G$1006,4,FALSE)),"",INT(VLOOKUP($AB842&amp;"-"&amp;$E842&amp;" "&amp;$F842,Bonuses!$B$1:$G$1006,4,FALSE)))</f>
        <v/>
      </c>
      <c r="AE8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3" spans="1:31" s="52" customFormat="1" x14ac:dyDescent="0.25">
      <c r="A843" s="52">
        <v>5120</v>
      </c>
      <c r="B843" s="52">
        <f>COUNTIF(Table5[PID],A843)</f>
        <v>1</v>
      </c>
      <c r="C843" s="52" t="str">
        <f>IF(COUNTIF(Table3[[#All],[PID]],A843)&gt;0,"P","B")</f>
        <v>P</v>
      </c>
      <c r="D843" s="61" t="str">
        <f>IF($C843="B",INDEX(Batters[[#All],[POS]],MATCH(Table5[[#This Row],[PID]],Batters[[#All],[PID]],0)),INDEX(Table3[[#All],[POS]],MATCH(Table5[[#This Row],[PID]],Table3[[#All],[PID]],0)))</f>
        <v>RP</v>
      </c>
      <c r="E843" s="54" t="str">
        <f>IF($C843="B",INDEX(Batters[[#All],[First]],MATCH(Table5[[#This Row],[PID]],Batters[[#All],[PID]],0)),INDEX(Table3[[#All],[First]],MATCH(Table5[[#This Row],[PID]],Table3[[#All],[PID]],0)))</f>
        <v>Elvis</v>
      </c>
      <c r="F843" s="52" t="str">
        <f>IF($C843="B",INDEX(Batters[[#All],[Last]],MATCH(A843,Batters[[#All],[PID]],0)),INDEX(Table3[[#All],[Last]],MATCH(A843,Table3[[#All],[PID]],0)))</f>
        <v>López</v>
      </c>
      <c r="G843" s="58">
        <f>IF($C843="B",INDEX(Batters[[#All],[Age]],MATCH(Table5[[#This Row],[PID]],Batters[[#All],[PID]],0)),INDEX(Table3[[#All],[Age]],MATCH(Table5[[#This Row],[PID]],Table3[[#All],[PID]],0)))</f>
        <v>22</v>
      </c>
      <c r="H843" s="54" t="str">
        <f>IF($C843="B",INDEX(Batters[[#All],[B]],MATCH(Table5[[#This Row],[PID]],Batters[[#All],[PID]],0)),INDEX(Table3[[#All],[B]],MATCH(Table5[[#This Row],[PID]],Table3[[#All],[PID]],0)))</f>
        <v>S</v>
      </c>
      <c r="I843" s="54" t="str">
        <f>IF($C843="B",INDEX(Batters[[#All],[T]],MATCH(Table5[[#This Row],[PID]],Batters[[#All],[PID]],0)),INDEX(Table3[[#All],[T]],MATCH(Table5[[#This Row],[PID]],Table3[[#All],[PID]],0)))</f>
        <v>R</v>
      </c>
      <c r="J843" s="54" t="str">
        <f>IF($C843="B",INDEX(Batters[[#All],[WE]],MATCH(Table5[[#This Row],[PID]],Batters[[#All],[PID]],0)),INDEX(Table3[[#All],[WE]],MATCH(Table5[[#This Row],[PID]],Table3[[#All],[PID]],0)))</f>
        <v>High</v>
      </c>
      <c r="K843" s="54" t="str">
        <f>IF($C843="B",INDEX(Batters[[#All],[INT]],MATCH(Table5[[#This Row],[PID]],Batters[[#All],[PID]],0)),INDEX(Table3[[#All],[INT]],MATCH(Table5[[#This Row],[PID]],Table3[[#All],[PID]],0)))</f>
        <v>Normal</v>
      </c>
      <c r="L843" s="62">
        <f>IF($C843="B",INDEX(Batters[[#All],[CON P]],MATCH(Table5[[#This Row],[PID]],Batters[[#All],[PID]],0)),INDEX(Table3[[#All],[STU P]],MATCH(Table5[[#This Row],[PID]],Table3[[#All],[PID]],0)))</f>
        <v>4</v>
      </c>
      <c r="M843" s="58">
        <f>IF($C843="B",INDEX(Batters[[#All],[GAP P]],MATCH(Table5[[#This Row],[PID]],Batters[[#All],[PID]],0)),INDEX(Table3[[#All],[MOV P]],MATCH(Table5[[#This Row],[PID]],Table3[[#All],[PID]],0)))</f>
        <v>2</v>
      </c>
      <c r="N843" s="58">
        <f>IF($C843="B",INDEX(Batters[[#All],[POW P]],MATCH(Table5[[#This Row],[PID]],Batters[[#All],[PID]],0)),INDEX(Table3[[#All],[CON P]],MATCH(Table5[[#This Row],[PID]],Table3[[#All],[PID]],0)))</f>
        <v>2</v>
      </c>
      <c r="O843" s="58" t="str">
        <f>IF($C843="B",INDEX(Batters[[#All],[EYE P]],MATCH(Table5[[#This Row],[PID]],Batters[[#All],[PID]],0)),INDEX(Table3[[#All],[VELO]],MATCH(Table5[[#This Row],[PID]],Table3[[#All],[PID]],0)))</f>
        <v>88-90 Mph</v>
      </c>
      <c r="P843" s="58">
        <f>IF($C843="B",INDEX(Batters[[#All],[K P]],MATCH(Table5[[#This Row],[PID]],Batters[[#All],[PID]],0)),INDEX(Table3[[#All],[STM]],MATCH(Table5[[#This Row],[PID]],Table3[[#All],[PID]],0)))</f>
        <v>9</v>
      </c>
      <c r="Q843" s="63">
        <f>IF($C843="B",INDEX(Batters[[#All],[Tot]],MATCH(Table5[[#This Row],[PID]],Batters[[#All],[PID]],0)),INDEX(Table3[[#All],[Tot]],MATCH(Table5[[#This Row],[PID]],Table3[[#All],[PID]],0)))</f>
        <v>25.154463136217526</v>
      </c>
      <c r="R843" s="54">
        <f>IF($C843="B",INDEX(Batters[[#All],[zScore]],MATCH(Table5[[#This Row],[PID]],Batters[[#All],[PID]],0)),INDEX(Table3[[#All],[zScore]],MATCH(Table5[[#This Row],[PID]],Table3[[#All],[PID]],0)))</f>
        <v>-0.69399847913078605</v>
      </c>
      <c r="S843" s="60" t="str">
        <f>IF($C843="B",INDEX(Batters[[#All],[DEM]],MATCH(Table5[[#This Row],[PID]],Batters[[#All],[PID]],0)),INDEX(Table3[[#All],[DEM]],MATCH(Table5[[#This Row],[PID]],Table3[[#All],[PID]],0)))</f>
        <v>-</v>
      </c>
      <c r="T843" s="64">
        <f>IF($C843="B",VLOOKUP($A843,Bat!$A$4:$AU$1417,46,FALSE),VLOOKUP($A843,Pit!$A$4:$BD$570,55,FALSE))</f>
        <v>0</v>
      </c>
      <c r="U843" s="52">
        <f>IF($C843="B",VLOOKUP($A843,Bat!$A$4:$BA$1417,47,FALSE),VLOOKUP($A843,Pit!$A$4:$BF$570,56,FALSE))</f>
        <v>0</v>
      </c>
      <c r="V843" s="52">
        <f>IF($C843="B",VLOOKUP($A843,Bat!$A$4:$BA$1417,48,FALSE),VLOOKUP($A843,Pit!$A$4:$BF$570,57,FALSE))</f>
        <v>0</v>
      </c>
      <c r="W843" s="52">
        <f>Table5[[#This Row],[posRnk]]+Table5[[#This Row],[zRnk]]+IF($W$3&lt;&gt;Table5[[#This Row],[Type]],50,0)</f>
        <v>889</v>
      </c>
      <c r="X843" s="53">
        <f>RANK(Table5[[#This Row],[zScore]],Table5[[#All],[zScore]])</f>
        <v>839</v>
      </c>
      <c r="Y843" s="52" t="str">
        <f>IFERROR(INDEX(DraftResults[[#All],[OVR]],MATCH(Table5[[#This Row],[PID]],DraftResults[[#All],[Player ID]],0)),"")</f>
        <v/>
      </c>
      <c r="Z8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3" s="52" t="str">
        <f>IFERROR(INDEX(DraftResults[[#All],[Pick in Round]],MATCH(Table5[[#This Row],[PID]],DraftResults[[#All],[Player ID]],0)),"")</f>
        <v/>
      </c>
      <c r="AB843" s="52" t="str">
        <f>IFERROR(INDEX(DraftResults[[#All],[Team Name]],MATCH(Table5[[#This Row],[PID]],DraftResults[[#All],[Player ID]],0)),"")</f>
        <v/>
      </c>
      <c r="AC843" s="52" t="str">
        <f>IF(Table5[[#This Row],[Ovr]]="","",IF(Table5[[#This Row],[cmbList]]="","",Table5[[#This Row],[cmbList]]-Table5[[#This Row],[Ovr]]))</f>
        <v/>
      </c>
      <c r="AD843" s="56" t="str">
        <f>IF(ISERROR(VLOOKUP($AB843&amp;"-"&amp;$E843&amp;" "&amp;F843,Bonuses!$B$1:$G$1006,4,FALSE)),"",INT(VLOOKUP($AB843&amp;"-"&amp;$E843&amp;" "&amp;$F843,Bonuses!$B$1:$G$1006,4,FALSE)))</f>
        <v/>
      </c>
      <c r="AE8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4" spans="1:31" s="52" customFormat="1" x14ac:dyDescent="0.25">
      <c r="A844" s="52">
        <v>15085</v>
      </c>
      <c r="B844" s="52">
        <f>COUNTIF(Table5[PID],A844)</f>
        <v>1</v>
      </c>
      <c r="C844" s="52" t="str">
        <f>IF(COUNTIF(Table3[[#All],[PID]],A844)&gt;0,"P","B")</f>
        <v>B</v>
      </c>
      <c r="D844" s="61" t="str">
        <f>IF($C844="B",INDEX(Batters[[#All],[POS]],MATCH(Table5[[#This Row],[PID]],Batters[[#All],[PID]],0)),INDEX(Table3[[#All],[POS]],MATCH(Table5[[#This Row],[PID]],Table3[[#All],[PID]],0)))</f>
        <v>3B</v>
      </c>
      <c r="E844" s="54" t="str">
        <f>IF($C844="B",INDEX(Batters[[#All],[First]],MATCH(Table5[[#This Row],[PID]],Batters[[#All],[PID]],0)),INDEX(Table3[[#All],[First]],MATCH(Table5[[#This Row],[PID]],Table3[[#All],[PID]],0)))</f>
        <v>José</v>
      </c>
      <c r="F844" s="52" t="str">
        <f>IF($C844="B",INDEX(Batters[[#All],[Last]],MATCH(A844,Batters[[#All],[PID]],0)),INDEX(Table3[[#All],[Last]],MATCH(A844,Table3[[#All],[PID]],0)))</f>
        <v>Torres</v>
      </c>
      <c r="G844" s="58">
        <f>IF($C844="B",INDEX(Batters[[#All],[Age]],MATCH(Table5[[#This Row],[PID]],Batters[[#All],[PID]],0)),INDEX(Table3[[#All],[Age]],MATCH(Table5[[#This Row],[PID]],Table3[[#All],[PID]],0)))</f>
        <v>21</v>
      </c>
      <c r="H844" s="54" t="str">
        <f>IF($C844="B",INDEX(Batters[[#All],[B]],MATCH(Table5[[#This Row],[PID]],Batters[[#All],[PID]],0)),INDEX(Table3[[#All],[B]],MATCH(Table5[[#This Row],[PID]],Table3[[#All],[PID]],0)))</f>
        <v>R</v>
      </c>
      <c r="I844" s="54" t="str">
        <f>IF($C844="B",INDEX(Batters[[#All],[T]],MATCH(Table5[[#This Row],[PID]],Batters[[#All],[PID]],0)),INDEX(Table3[[#All],[T]],MATCH(Table5[[#This Row],[PID]],Table3[[#All],[PID]],0)))</f>
        <v>R</v>
      </c>
      <c r="J844" s="54" t="str">
        <f>IF($C844="B",INDEX(Batters[[#All],[WE]],MATCH(Table5[[#This Row],[PID]],Batters[[#All],[PID]],0)),INDEX(Table3[[#All],[WE]],MATCH(Table5[[#This Row],[PID]],Table3[[#All],[PID]],0)))</f>
        <v>Low</v>
      </c>
      <c r="K844" s="54" t="str">
        <f>IF($C844="B",INDEX(Batters[[#All],[INT]],MATCH(Table5[[#This Row],[PID]],Batters[[#All],[PID]],0)),INDEX(Table3[[#All],[INT]],MATCH(Table5[[#This Row],[PID]],Table3[[#All],[PID]],0)))</f>
        <v>Normal</v>
      </c>
      <c r="L844" s="62">
        <f>IF($C844="B",INDEX(Batters[[#All],[CON P]],MATCH(Table5[[#This Row],[PID]],Batters[[#All],[PID]],0)),INDEX(Table3[[#All],[STU P]],MATCH(Table5[[#This Row],[PID]],Table3[[#All],[PID]],0)))</f>
        <v>3</v>
      </c>
      <c r="M844" s="58">
        <f>IF($C844="B",INDEX(Batters[[#All],[GAP P]],MATCH(Table5[[#This Row],[PID]],Batters[[#All],[PID]],0)),INDEX(Table3[[#All],[MOV P]],MATCH(Table5[[#This Row],[PID]],Table3[[#All],[PID]],0)))</f>
        <v>4</v>
      </c>
      <c r="N844" s="58">
        <f>IF($C844="B",INDEX(Batters[[#All],[POW P]],MATCH(Table5[[#This Row],[PID]],Batters[[#All],[PID]],0)),INDEX(Table3[[#All],[CON P]],MATCH(Table5[[#This Row],[PID]],Table3[[#All],[PID]],0)))</f>
        <v>3</v>
      </c>
      <c r="O844" s="58">
        <f>IF($C844="B",INDEX(Batters[[#All],[EYE P]],MATCH(Table5[[#This Row],[PID]],Batters[[#All],[PID]],0)),INDEX(Table3[[#All],[VELO]],MATCH(Table5[[#This Row],[PID]],Table3[[#All],[PID]],0)))</f>
        <v>5</v>
      </c>
      <c r="P844" s="58">
        <f>IF($C844="B",INDEX(Batters[[#All],[K P]],MATCH(Table5[[#This Row],[PID]],Batters[[#All],[PID]],0)),INDEX(Table3[[#All],[STM]],MATCH(Table5[[#This Row],[PID]],Table3[[#All],[PID]],0)))</f>
        <v>3</v>
      </c>
      <c r="Q844" s="63">
        <f>IF($C844="B",INDEX(Batters[[#All],[Tot]],MATCH(Table5[[#This Row],[PID]],Batters[[#All],[PID]],0)),INDEX(Table3[[#All],[Tot]],MATCH(Table5[[#This Row],[PID]],Table3[[#All],[PID]],0)))</f>
        <v>36.38247724585387</v>
      </c>
      <c r="R844" s="54">
        <f>IF($C844="B",INDEX(Batters[[#All],[zScore]],MATCH(Table5[[#This Row],[PID]],Batters[[#All],[PID]],0)),INDEX(Table3[[#All],[zScore]],MATCH(Table5[[#This Row],[PID]],Table3[[#All],[PID]],0)))</f>
        <v>-0.6977508935498119</v>
      </c>
      <c r="S844" s="60" t="str">
        <f>IF($C844="B",INDEX(Batters[[#All],[DEM]],MATCH(Table5[[#This Row],[PID]],Batters[[#All],[PID]],0)),INDEX(Table3[[#All],[DEM]],MATCH(Table5[[#This Row],[PID]],Table3[[#All],[PID]],0)))</f>
        <v>-</v>
      </c>
      <c r="T844" s="64">
        <f>IF($C844="B",VLOOKUP($A844,Bat!$A$4:$AU$1417,46,FALSE),VLOOKUP($A844,Pit!$A$4:$BD$570,55,FALSE))</f>
        <v>0</v>
      </c>
      <c r="U844" s="52">
        <f>IF($C844="B",VLOOKUP($A844,Bat!$A$4:$BA$1417,47,FALSE),VLOOKUP($A844,Pit!$A$4:$BF$570,56,FALSE))</f>
        <v>0</v>
      </c>
      <c r="V844" s="52">
        <f>IF($C844="B",VLOOKUP($A844,Bat!$A$4:$BA$1417,48,FALSE),VLOOKUP($A844,Pit!$A$4:$BF$570,57,FALSE))</f>
        <v>0</v>
      </c>
      <c r="W844" s="52">
        <f>Table5[[#This Row],[posRnk]]+Table5[[#This Row],[zRnk]]+IF($W$3&lt;&gt;Table5[[#This Row],[Type]],50,0)</f>
        <v>890</v>
      </c>
      <c r="X844" s="53">
        <f>RANK(Table5[[#This Row],[zScore]],Table5[[#All],[zScore]])</f>
        <v>840</v>
      </c>
      <c r="Y844" s="52" t="str">
        <f>IFERROR(INDEX(DraftResults[[#All],[OVR]],MATCH(Table5[[#This Row],[PID]],DraftResults[[#All],[Player ID]],0)),"")</f>
        <v/>
      </c>
      <c r="Z8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4" s="52" t="str">
        <f>IFERROR(INDEX(DraftResults[[#All],[Pick in Round]],MATCH(Table5[[#This Row],[PID]],DraftResults[[#All],[Player ID]],0)),"")</f>
        <v/>
      </c>
      <c r="AB844" s="52" t="str">
        <f>IFERROR(INDEX(DraftResults[[#All],[Team Name]],MATCH(Table5[[#This Row],[PID]],DraftResults[[#All],[Player ID]],0)),"")</f>
        <v/>
      </c>
      <c r="AC844" s="52" t="str">
        <f>IF(Table5[[#This Row],[Ovr]]="","",IF(Table5[[#This Row],[cmbList]]="","",Table5[[#This Row],[cmbList]]-Table5[[#This Row],[Ovr]]))</f>
        <v/>
      </c>
      <c r="AD844" s="56" t="str">
        <f>IF(ISERROR(VLOOKUP($AB844&amp;"-"&amp;$E844&amp;" "&amp;F844,Bonuses!$B$1:$G$1006,4,FALSE)),"",INT(VLOOKUP($AB844&amp;"-"&amp;$E844&amp;" "&amp;$F844,Bonuses!$B$1:$G$1006,4,FALSE)))</f>
        <v/>
      </c>
      <c r="AE8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5" spans="1:31" s="52" customFormat="1" x14ac:dyDescent="0.25">
      <c r="A845" s="52">
        <v>12412</v>
      </c>
      <c r="B845" s="52">
        <f>COUNTIF(Table5[PID],A845)</f>
        <v>1</v>
      </c>
      <c r="C845" s="52" t="str">
        <f>IF(COUNTIF(Table3[[#All],[PID]],A845)&gt;0,"P","B")</f>
        <v>P</v>
      </c>
      <c r="D845" s="61" t="str">
        <f>IF($C845="B",INDEX(Batters[[#All],[POS]],MATCH(Table5[[#This Row],[PID]],Batters[[#All],[PID]],0)),INDEX(Table3[[#All],[POS]],MATCH(Table5[[#This Row],[PID]],Table3[[#All],[PID]],0)))</f>
        <v>RP</v>
      </c>
      <c r="E845" s="54" t="str">
        <f>IF($C845="B",INDEX(Batters[[#All],[First]],MATCH(Table5[[#This Row],[PID]],Batters[[#All],[PID]],0)),INDEX(Table3[[#All],[First]],MATCH(Table5[[#This Row],[PID]],Table3[[#All],[PID]],0)))</f>
        <v>Jorge</v>
      </c>
      <c r="F845" s="52" t="str">
        <f>IF($C845="B",INDEX(Batters[[#All],[Last]],MATCH(A845,Batters[[#All],[PID]],0)),INDEX(Table3[[#All],[Last]],MATCH(A845,Table3[[#All],[PID]],0)))</f>
        <v>Villanueva</v>
      </c>
      <c r="G845" s="58">
        <f>IF($C845="B",INDEX(Batters[[#All],[Age]],MATCH(Table5[[#This Row],[PID]],Batters[[#All],[PID]],0)),INDEX(Table3[[#All],[Age]],MATCH(Table5[[#This Row],[PID]],Table3[[#All],[PID]],0)))</f>
        <v>18</v>
      </c>
      <c r="H845" s="54" t="str">
        <f>IF($C845="B",INDEX(Batters[[#All],[B]],MATCH(Table5[[#This Row],[PID]],Batters[[#All],[PID]],0)),INDEX(Table3[[#All],[B]],MATCH(Table5[[#This Row],[PID]],Table3[[#All],[PID]],0)))</f>
        <v>R</v>
      </c>
      <c r="I845" s="54" t="str">
        <f>IF($C845="B",INDEX(Batters[[#All],[T]],MATCH(Table5[[#This Row],[PID]],Batters[[#All],[PID]],0)),INDEX(Table3[[#All],[T]],MATCH(Table5[[#This Row],[PID]],Table3[[#All],[PID]],0)))</f>
        <v>R</v>
      </c>
      <c r="J845" s="54" t="str">
        <f>IF($C845="B",INDEX(Batters[[#All],[WE]],MATCH(Table5[[#This Row],[PID]],Batters[[#All],[PID]],0)),INDEX(Table3[[#All],[WE]],MATCH(Table5[[#This Row],[PID]],Table3[[#All],[PID]],0)))</f>
        <v>Normal</v>
      </c>
      <c r="K845" s="54" t="str">
        <f>IF($C845="B",INDEX(Batters[[#All],[INT]],MATCH(Table5[[#This Row],[PID]],Batters[[#All],[PID]],0)),INDEX(Table3[[#All],[INT]],MATCH(Table5[[#This Row],[PID]],Table3[[#All],[PID]],0)))</f>
        <v>Low</v>
      </c>
      <c r="L845" s="62">
        <f>IF($C845="B",INDEX(Batters[[#All],[CON P]],MATCH(Table5[[#This Row],[PID]],Batters[[#All],[PID]],0)),INDEX(Table3[[#All],[STU P]],MATCH(Table5[[#This Row],[PID]],Table3[[#All],[PID]],0)))</f>
        <v>4</v>
      </c>
      <c r="M845" s="58">
        <f>IF($C845="B",INDEX(Batters[[#All],[GAP P]],MATCH(Table5[[#This Row],[PID]],Batters[[#All],[PID]],0)),INDEX(Table3[[#All],[MOV P]],MATCH(Table5[[#This Row],[PID]],Table3[[#All],[PID]],0)))</f>
        <v>1</v>
      </c>
      <c r="N845" s="58">
        <f>IF($C845="B",INDEX(Batters[[#All],[POW P]],MATCH(Table5[[#This Row],[PID]],Batters[[#All],[PID]],0)),INDEX(Table3[[#All],[CON P]],MATCH(Table5[[#This Row],[PID]],Table3[[#All],[PID]],0)))</f>
        <v>2</v>
      </c>
      <c r="O845" s="58" t="str">
        <f>IF($C845="B",INDEX(Batters[[#All],[EYE P]],MATCH(Table5[[#This Row],[PID]],Batters[[#All],[PID]],0)),INDEX(Table3[[#All],[VELO]],MATCH(Table5[[#This Row],[PID]],Table3[[#All],[PID]],0)))</f>
        <v>88-90 Mph</v>
      </c>
      <c r="P845" s="58">
        <f>IF($C845="B",INDEX(Batters[[#All],[K P]],MATCH(Table5[[#This Row],[PID]],Batters[[#All],[PID]],0)),INDEX(Table3[[#All],[STM]],MATCH(Table5[[#This Row],[PID]],Table3[[#All],[PID]],0)))</f>
        <v>7</v>
      </c>
      <c r="Q845" s="63">
        <f>IF($C845="B",INDEX(Batters[[#All],[Tot]],MATCH(Table5[[#This Row],[PID]],Batters[[#All],[PID]],0)),INDEX(Table3[[#All],[Tot]],MATCH(Table5[[#This Row],[PID]],Table3[[#All],[PID]],0)))</f>
        <v>25.106742464330399</v>
      </c>
      <c r="R845" s="54">
        <f>IF($C845="B",INDEX(Batters[[#All],[zScore]],MATCH(Table5[[#This Row],[PID]],Batters[[#All],[PID]],0)),INDEX(Table3[[#All],[zScore]],MATCH(Table5[[#This Row],[PID]],Table3[[#All],[PID]],0)))</f>
        <v>-0.69837466870527398</v>
      </c>
      <c r="S845" s="60" t="str">
        <f>IF($C845="B",INDEX(Batters[[#All],[DEM]],MATCH(Table5[[#This Row],[PID]],Batters[[#All],[PID]],0)),INDEX(Table3[[#All],[DEM]],MATCH(Table5[[#This Row],[PID]],Table3[[#All],[PID]],0)))</f>
        <v>$75k</v>
      </c>
      <c r="T845" s="64">
        <f>IF($C845="B",VLOOKUP($A845,Bat!$A$4:$AU$1417,46,FALSE),VLOOKUP($A845,Pit!$A$4:$BD$570,55,FALSE))</f>
        <v>0</v>
      </c>
      <c r="U845" s="52">
        <f>IF($C845="B",VLOOKUP($A845,Bat!$A$4:$BA$1417,47,FALSE),VLOOKUP($A845,Pit!$A$4:$BF$570,56,FALSE))</f>
        <v>0</v>
      </c>
      <c r="V845" s="52">
        <f>IF($C845="B",VLOOKUP($A845,Bat!$A$4:$BA$1417,48,FALSE),VLOOKUP($A845,Pit!$A$4:$BF$570,57,FALSE))</f>
        <v>0</v>
      </c>
      <c r="W845" s="52">
        <f>Table5[[#This Row],[posRnk]]+Table5[[#This Row],[zRnk]]+IF($W$3&lt;&gt;Table5[[#This Row],[Type]],50,0)</f>
        <v>891</v>
      </c>
      <c r="X845" s="53">
        <f>RANK(Table5[[#This Row],[zScore]],Table5[[#All],[zScore]])</f>
        <v>841</v>
      </c>
      <c r="Y845" s="52" t="str">
        <f>IFERROR(INDEX(DraftResults[[#All],[OVR]],MATCH(Table5[[#This Row],[PID]],DraftResults[[#All],[Player ID]],0)),"")</f>
        <v/>
      </c>
      <c r="Z8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5" s="52" t="str">
        <f>IFERROR(INDEX(DraftResults[[#All],[Pick in Round]],MATCH(Table5[[#This Row],[PID]],DraftResults[[#All],[Player ID]],0)),"")</f>
        <v/>
      </c>
      <c r="AB845" s="52" t="str">
        <f>IFERROR(INDEX(DraftResults[[#All],[Team Name]],MATCH(Table5[[#This Row],[PID]],DraftResults[[#All],[Player ID]],0)),"")</f>
        <v/>
      </c>
      <c r="AC845" s="52" t="str">
        <f>IF(Table5[[#This Row],[Ovr]]="","",IF(Table5[[#This Row],[cmbList]]="","",Table5[[#This Row],[cmbList]]-Table5[[#This Row],[Ovr]]))</f>
        <v/>
      </c>
      <c r="AD845" s="56" t="str">
        <f>IF(ISERROR(VLOOKUP($AB845&amp;"-"&amp;$E845&amp;" "&amp;F845,Bonuses!$B$1:$G$1006,4,FALSE)),"",INT(VLOOKUP($AB845&amp;"-"&amp;$E845&amp;" "&amp;$F845,Bonuses!$B$1:$G$1006,4,FALSE)))</f>
        <v/>
      </c>
      <c r="AE8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6" spans="1:31" s="52" customFormat="1" x14ac:dyDescent="0.25">
      <c r="A846" s="52">
        <v>7749</v>
      </c>
      <c r="B846" s="52">
        <f>COUNTIF(Table5[PID],A846)</f>
        <v>1</v>
      </c>
      <c r="C846" s="52" t="str">
        <f>IF(COUNTIF(Table3[[#All],[PID]],A846)&gt;0,"P","B")</f>
        <v>B</v>
      </c>
      <c r="D846" s="61" t="str">
        <f>IF($C846="B",INDEX(Batters[[#All],[POS]],MATCH(Table5[[#This Row],[PID]],Batters[[#All],[PID]],0)),INDEX(Table3[[#All],[POS]],MATCH(Table5[[#This Row],[PID]],Table3[[#All],[PID]],0)))</f>
        <v>C</v>
      </c>
      <c r="E846" s="54" t="str">
        <f>IF($C846="B",INDEX(Batters[[#All],[First]],MATCH(Table5[[#This Row],[PID]],Batters[[#All],[PID]],0)),INDEX(Table3[[#All],[First]],MATCH(Table5[[#This Row],[PID]],Table3[[#All],[PID]],0)))</f>
        <v>Juan</v>
      </c>
      <c r="F846" s="52" t="str">
        <f>IF($C846="B",INDEX(Batters[[#All],[Last]],MATCH(A846,Batters[[#All],[PID]],0)),INDEX(Table3[[#All],[Last]],MATCH(A846,Table3[[#All],[PID]],0)))</f>
        <v>Franco</v>
      </c>
      <c r="G846" s="58">
        <f>IF($C846="B",INDEX(Batters[[#All],[Age]],MATCH(Table5[[#This Row],[PID]],Batters[[#All],[PID]],0)),INDEX(Table3[[#All],[Age]],MATCH(Table5[[#This Row],[PID]],Table3[[#All],[PID]],0)))</f>
        <v>18</v>
      </c>
      <c r="H846" s="54" t="str">
        <f>IF($C846="B",INDEX(Batters[[#All],[B]],MATCH(Table5[[#This Row],[PID]],Batters[[#All],[PID]],0)),INDEX(Table3[[#All],[B]],MATCH(Table5[[#This Row],[PID]],Table3[[#All],[PID]],0)))</f>
        <v>S</v>
      </c>
      <c r="I846" s="54" t="str">
        <f>IF($C846="B",INDEX(Batters[[#All],[T]],MATCH(Table5[[#This Row],[PID]],Batters[[#All],[PID]],0)),INDEX(Table3[[#All],[T]],MATCH(Table5[[#This Row],[PID]],Table3[[#All],[PID]],0)))</f>
        <v>R</v>
      </c>
      <c r="J846" s="54" t="str">
        <f>IF($C846="B",INDEX(Batters[[#All],[WE]],MATCH(Table5[[#This Row],[PID]],Batters[[#All],[PID]],0)),INDEX(Table3[[#All],[WE]],MATCH(Table5[[#This Row],[PID]],Table3[[#All],[PID]],0)))</f>
        <v>Low</v>
      </c>
      <c r="K846" s="54" t="str">
        <f>IF($C846="B",INDEX(Batters[[#All],[INT]],MATCH(Table5[[#This Row],[PID]],Batters[[#All],[PID]],0)),INDEX(Table3[[#All],[INT]],MATCH(Table5[[#This Row],[PID]],Table3[[#All],[PID]],0)))</f>
        <v>Normal</v>
      </c>
      <c r="L846" s="62">
        <f>IF($C846="B",INDEX(Batters[[#All],[CON P]],MATCH(Table5[[#This Row],[PID]],Batters[[#All],[PID]],0)),INDEX(Table3[[#All],[STU P]],MATCH(Table5[[#This Row],[PID]],Table3[[#All],[PID]],0)))</f>
        <v>2</v>
      </c>
      <c r="M846" s="58">
        <f>IF($C846="B",INDEX(Batters[[#All],[GAP P]],MATCH(Table5[[#This Row],[PID]],Batters[[#All],[PID]],0)),INDEX(Table3[[#All],[MOV P]],MATCH(Table5[[#This Row],[PID]],Table3[[#All],[PID]],0)))</f>
        <v>3</v>
      </c>
      <c r="N846" s="58">
        <f>IF($C846="B",INDEX(Batters[[#All],[POW P]],MATCH(Table5[[#This Row],[PID]],Batters[[#All],[PID]],0)),INDEX(Table3[[#All],[CON P]],MATCH(Table5[[#This Row],[PID]],Table3[[#All],[PID]],0)))</f>
        <v>3</v>
      </c>
      <c r="O846" s="58">
        <f>IF($C846="B",INDEX(Batters[[#All],[EYE P]],MATCH(Table5[[#This Row],[PID]],Batters[[#All],[PID]],0)),INDEX(Table3[[#All],[VELO]],MATCH(Table5[[#This Row],[PID]],Table3[[#All],[PID]],0)))</f>
        <v>5</v>
      </c>
      <c r="P846" s="58">
        <f>IF($C846="B",INDEX(Batters[[#All],[K P]],MATCH(Table5[[#This Row],[PID]],Batters[[#All],[PID]],0)),INDEX(Table3[[#All],[STM]],MATCH(Table5[[#This Row],[PID]],Table3[[#All],[PID]],0)))</f>
        <v>2</v>
      </c>
      <c r="Q846" s="63">
        <f>IF($C846="B",INDEX(Batters[[#All],[Tot]],MATCH(Table5[[#This Row],[PID]],Batters[[#All],[PID]],0)),INDEX(Table3[[#All],[Tot]],MATCH(Table5[[#This Row],[PID]],Table3[[#All],[PID]],0)))</f>
        <v>36.372560051609234</v>
      </c>
      <c r="R846" s="54">
        <f>IF($C846="B",INDEX(Batters[[#All],[zScore]],MATCH(Table5[[#This Row],[PID]],Batters[[#All],[PID]],0)),INDEX(Table3[[#All],[zScore]],MATCH(Table5[[#This Row],[PID]],Table3[[#All],[PID]],0)))</f>
        <v>-0.69949575796447405</v>
      </c>
      <c r="S846" s="60" t="str">
        <f>IF($C846="B",INDEX(Batters[[#All],[DEM]],MATCH(Table5[[#This Row],[PID]],Batters[[#All],[PID]],0)),INDEX(Table3[[#All],[DEM]],MATCH(Table5[[#This Row],[PID]],Table3[[#All],[PID]],0)))</f>
        <v>$65k</v>
      </c>
      <c r="T846" s="64">
        <f>IF($C846="B",VLOOKUP($A846,Bat!$A$4:$AU$1417,46,FALSE),VLOOKUP($A846,Pit!$A$4:$BD$570,55,FALSE))</f>
        <v>0</v>
      </c>
      <c r="U846" s="52">
        <f>IF($C846="B",VLOOKUP($A846,Bat!$A$4:$BA$1417,47,FALSE),VLOOKUP($A846,Pit!$A$4:$BF$570,56,FALSE))</f>
        <v>0</v>
      </c>
      <c r="V846" s="52">
        <f>IF($C846="B",VLOOKUP($A846,Bat!$A$4:$BA$1417,48,FALSE),VLOOKUP($A846,Pit!$A$4:$BF$570,57,FALSE))</f>
        <v>0</v>
      </c>
      <c r="W846" s="52">
        <f>Table5[[#This Row],[posRnk]]+Table5[[#This Row],[zRnk]]+IF($W$3&lt;&gt;Table5[[#This Row],[Type]],50,0)</f>
        <v>892</v>
      </c>
      <c r="X846" s="53">
        <f>RANK(Table5[[#This Row],[zScore]],Table5[[#All],[zScore]])</f>
        <v>842</v>
      </c>
      <c r="Y846" s="52" t="str">
        <f>IFERROR(INDEX(DraftResults[[#All],[OVR]],MATCH(Table5[[#This Row],[PID]],DraftResults[[#All],[Player ID]],0)),"")</f>
        <v/>
      </c>
      <c r="Z8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6" s="52" t="str">
        <f>IFERROR(INDEX(DraftResults[[#All],[Pick in Round]],MATCH(Table5[[#This Row],[PID]],DraftResults[[#All],[Player ID]],0)),"")</f>
        <v/>
      </c>
      <c r="AB846" s="52" t="str">
        <f>IFERROR(INDEX(DraftResults[[#All],[Team Name]],MATCH(Table5[[#This Row],[PID]],DraftResults[[#All],[Player ID]],0)),"")</f>
        <v/>
      </c>
      <c r="AC846" s="52" t="str">
        <f>IF(Table5[[#This Row],[Ovr]]="","",IF(Table5[[#This Row],[cmbList]]="","",Table5[[#This Row],[cmbList]]-Table5[[#This Row],[Ovr]]))</f>
        <v/>
      </c>
      <c r="AD846" s="56" t="str">
        <f>IF(ISERROR(VLOOKUP($AB846&amp;"-"&amp;$E846&amp;" "&amp;F846,Bonuses!$B$1:$G$1006,4,FALSE)),"",INT(VLOOKUP($AB846&amp;"-"&amp;$E846&amp;" "&amp;$F846,Bonuses!$B$1:$G$1006,4,FALSE)))</f>
        <v/>
      </c>
      <c r="AE8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7" spans="1:31" s="52" customFormat="1" x14ac:dyDescent="0.25">
      <c r="A847" s="52">
        <v>9673</v>
      </c>
      <c r="B847" s="52">
        <f>COUNTIF(Table5[PID],A847)</f>
        <v>1</v>
      </c>
      <c r="C847" s="52" t="str">
        <f>IF(COUNTIF(Table3[[#All],[PID]],A847)&gt;0,"P","B")</f>
        <v>P</v>
      </c>
      <c r="D847" s="61" t="str">
        <f>IF($C847="B",INDEX(Batters[[#All],[POS]],MATCH(Table5[[#This Row],[PID]],Batters[[#All],[PID]],0)),INDEX(Table3[[#All],[POS]],MATCH(Table5[[#This Row],[PID]],Table3[[#All],[PID]],0)))</f>
        <v>SP</v>
      </c>
      <c r="E847" s="54" t="str">
        <f>IF($C847="B",INDEX(Batters[[#All],[First]],MATCH(Table5[[#This Row],[PID]],Batters[[#All],[PID]],0)),INDEX(Table3[[#All],[First]],MATCH(Table5[[#This Row],[PID]],Table3[[#All],[PID]],0)))</f>
        <v>Alfredo</v>
      </c>
      <c r="F847" s="52" t="str">
        <f>IF($C847="B",INDEX(Batters[[#All],[Last]],MATCH(A847,Batters[[#All],[PID]],0)),INDEX(Table3[[#All],[Last]],MATCH(A847,Table3[[#All],[PID]],0)))</f>
        <v>Sánchez</v>
      </c>
      <c r="G847" s="58">
        <f>IF($C847="B",INDEX(Batters[[#All],[Age]],MATCH(Table5[[#This Row],[PID]],Batters[[#All],[PID]],0)),INDEX(Table3[[#All],[Age]],MATCH(Table5[[#This Row],[PID]],Table3[[#All],[PID]],0)))</f>
        <v>21</v>
      </c>
      <c r="H847" s="54" t="str">
        <f>IF($C847="B",INDEX(Batters[[#All],[B]],MATCH(Table5[[#This Row],[PID]],Batters[[#All],[PID]],0)),INDEX(Table3[[#All],[B]],MATCH(Table5[[#This Row],[PID]],Table3[[#All],[PID]],0)))</f>
        <v>L</v>
      </c>
      <c r="I847" s="54" t="str">
        <f>IF($C847="B",INDEX(Batters[[#All],[T]],MATCH(Table5[[#This Row],[PID]],Batters[[#All],[PID]],0)),INDEX(Table3[[#All],[T]],MATCH(Table5[[#This Row],[PID]],Table3[[#All],[PID]],0)))</f>
        <v>L</v>
      </c>
      <c r="J847" s="54" t="str">
        <f>IF($C847="B",INDEX(Batters[[#All],[WE]],MATCH(Table5[[#This Row],[PID]],Batters[[#All],[PID]],0)),INDEX(Table3[[#All],[WE]],MATCH(Table5[[#This Row],[PID]],Table3[[#All],[PID]],0)))</f>
        <v>Normal</v>
      </c>
      <c r="K847" s="54" t="str">
        <f>IF($C847="B",INDEX(Batters[[#All],[INT]],MATCH(Table5[[#This Row],[PID]],Batters[[#All],[PID]],0)),INDEX(Table3[[#All],[INT]],MATCH(Table5[[#This Row],[PID]],Table3[[#All],[PID]],0)))</f>
        <v>Low</v>
      </c>
      <c r="L847" s="62">
        <f>IF($C847="B",INDEX(Batters[[#All],[CON P]],MATCH(Table5[[#This Row],[PID]],Batters[[#All],[PID]],0)),INDEX(Table3[[#All],[STU P]],MATCH(Table5[[#This Row],[PID]],Table3[[#All],[PID]],0)))</f>
        <v>4</v>
      </c>
      <c r="M847" s="58">
        <f>IF($C847="B",INDEX(Batters[[#All],[GAP P]],MATCH(Table5[[#This Row],[PID]],Batters[[#All],[PID]],0)),INDEX(Table3[[#All],[MOV P]],MATCH(Table5[[#This Row],[PID]],Table3[[#All],[PID]],0)))</f>
        <v>1</v>
      </c>
      <c r="N847" s="58">
        <f>IF($C847="B",INDEX(Batters[[#All],[POW P]],MATCH(Table5[[#This Row],[PID]],Batters[[#All],[PID]],0)),INDEX(Table3[[#All],[CON P]],MATCH(Table5[[#This Row],[PID]],Table3[[#All],[PID]],0)))</f>
        <v>3</v>
      </c>
      <c r="O847" s="58" t="str">
        <f>IF($C847="B",INDEX(Batters[[#All],[EYE P]],MATCH(Table5[[#This Row],[PID]],Batters[[#All],[PID]],0)),INDEX(Table3[[#All],[VELO]],MATCH(Table5[[#This Row],[PID]],Table3[[#All],[PID]],0)))</f>
        <v>94-96 Mph</v>
      </c>
      <c r="P847" s="58">
        <f>IF($C847="B",INDEX(Batters[[#All],[K P]],MATCH(Table5[[#This Row],[PID]],Batters[[#All],[PID]],0)),INDEX(Table3[[#All],[STM]],MATCH(Table5[[#This Row],[PID]],Table3[[#All],[PID]],0)))</f>
        <v>3</v>
      </c>
      <c r="Q847" s="63">
        <f>IF($C847="B",INDEX(Batters[[#All],[Tot]],MATCH(Table5[[#This Row],[PID]],Batters[[#All],[PID]],0)),INDEX(Table3[[#All],[Tot]],MATCH(Table5[[#This Row],[PID]],Table3[[#All],[PID]],0)))</f>
        <v>25.031825428784568</v>
      </c>
      <c r="R847" s="54">
        <f>IF($C847="B",INDEX(Batters[[#All],[zScore]],MATCH(Table5[[#This Row],[PID]],Batters[[#All],[PID]],0)),INDEX(Table3[[#All],[zScore]],MATCH(Table5[[#This Row],[PID]],Table3[[#All],[PID]],0)))</f>
        <v>-0.70524488106696626</v>
      </c>
      <c r="S847" s="60" t="str">
        <f>IF($C847="B",INDEX(Batters[[#All],[DEM]],MATCH(Table5[[#This Row],[PID]],Batters[[#All],[PID]],0)),INDEX(Table3[[#All],[DEM]],MATCH(Table5[[#This Row],[PID]],Table3[[#All],[PID]],0)))</f>
        <v>-</v>
      </c>
      <c r="T847" s="64">
        <f>IF($C847="B",VLOOKUP($A847,Bat!$A$4:$AU$1417,46,FALSE),VLOOKUP($A847,Pit!$A$4:$BD$570,55,FALSE))</f>
        <v>0</v>
      </c>
      <c r="U847" s="52">
        <f>IF($C847="B",VLOOKUP($A847,Bat!$A$4:$BA$1417,47,FALSE),VLOOKUP($A847,Pit!$A$4:$BF$570,56,FALSE))</f>
        <v>0</v>
      </c>
      <c r="V847" s="52">
        <f>IF($C847="B",VLOOKUP($A847,Bat!$A$4:$BA$1417,48,FALSE),VLOOKUP($A847,Pit!$A$4:$BF$570,57,FALSE))</f>
        <v>0</v>
      </c>
      <c r="W847" s="52">
        <f>Table5[[#This Row],[posRnk]]+Table5[[#This Row],[zRnk]]+IF($W$3&lt;&gt;Table5[[#This Row],[Type]],50,0)</f>
        <v>893</v>
      </c>
      <c r="X847" s="53">
        <f>RANK(Table5[[#This Row],[zScore]],Table5[[#All],[zScore]])</f>
        <v>843</v>
      </c>
      <c r="Y847" s="52" t="str">
        <f>IFERROR(INDEX(DraftResults[[#All],[OVR]],MATCH(Table5[[#This Row],[PID]],DraftResults[[#All],[Player ID]],0)),"")</f>
        <v/>
      </c>
      <c r="Z8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7" s="52" t="str">
        <f>IFERROR(INDEX(DraftResults[[#All],[Pick in Round]],MATCH(Table5[[#This Row],[PID]],DraftResults[[#All],[Player ID]],0)),"")</f>
        <v/>
      </c>
      <c r="AB847" s="52" t="str">
        <f>IFERROR(INDEX(DraftResults[[#All],[Team Name]],MATCH(Table5[[#This Row],[PID]],DraftResults[[#All],[Player ID]],0)),"")</f>
        <v/>
      </c>
      <c r="AC847" s="52" t="str">
        <f>IF(Table5[[#This Row],[Ovr]]="","",IF(Table5[[#This Row],[cmbList]]="","",Table5[[#This Row],[cmbList]]-Table5[[#This Row],[Ovr]]))</f>
        <v/>
      </c>
      <c r="AD847" s="56" t="str">
        <f>IF(ISERROR(VLOOKUP($AB847&amp;"-"&amp;$E847&amp;" "&amp;F847,Bonuses!$B$1:$G$1006,4,FALSE)),"",INT(VLOOKUP($AB847&amp;"-"&amp;$E847&amp;" "&amp;$F847,Bonuses!$B$1:$G$1006,4,FALSE)))</f>
        <v/>
      </c>
      <c r="AE8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8" spans="1:31" s="52" customFormat="1" x14ac:dyDescent="0.25">
      <c r="A848" s="52">
        <v>12594</v>
      </c>
      <c r="B848" s="52">
        <f>COUNTIF(Table5[PID],A848)</f>
        <v>1</v>
      </c>
      <c r="C848" s="52" t="str">
        <f>IF(COUNTIF(Table3[[#All],[PID]],A848)&gt;0,"P","B")</f>
        <v>B</v>
      </c>
      <c r="D848" s="61" t="str">
        <f>IF($C848="B",INDEX(Batters[[#All],[POS]],MATCH(Table5[[#This Row],[PID]],Batters[[#All],[PID]],0)),INDEX(Table3[[#All],[POS]],MATCH(Table5[[#This Row],[PID]],Table3[[#All],[PID]],0)))</f>
        <v>C</v>
      </c>
      <c r="E848" s="54" t="str">
        <f>IF($C848="B",INDEX(Batters[[#All],[First]],MATCH(Table5[[#This Row],[PID]],Batters[[#All],[PID]],0)),INDEX(Table3[[#All],[First]],MATCH(Table5[[#This Row],[PID]],Table3[[#All],[PID]],0)))</f>
        <v>Alex</v>
      </c>
      <c r="F848" s="52" t="str">
        <f>IF($C848="B",INDEX(Batters[[#All],[Last]],MATCH(A848,Batters[[#All],[PID]],0)),INDEX(Table3[[#All],[Last]],MATCH(A848,Table3[[#All],[PID]],0)))</f>
        <v>Borlase</v>
      </c>
      <c r="G848" s="58">
        <f>IF($C848="B",INDEX(Batters[[#All],[Age]],MATCH(Table5[[#This Row],[PID]],Batters[[#All],[PID]],0)),INDEX(Table3[[#All],[Age]],MATCH(Table5[[#This Row],[PID]],Table3[[#All],[PID]],0)))</f>
        <v>20</v>
      </c>
      <c r="H848" s="54" t="str">
        <f>IF($C848="B",INDEX(Batters[[#All],[B]],MATCH(Table5[[#This Row],[PID]],Batters[[#All],[PID]],0)),INDEX(Table3[[#All],[B]],MATCH(Table5[[#This Row],[PID]],Table3[[#All],[PID]],0)))</f>
        <v>R</v>
      </c>
      <c r="I848" s="54" t="str">
        <f>IF($C848="B",INDEX(Batters[[#All],[T]],MATCH(Table5[[#This Row],[PID]],Batters[[#All],[PID]],0)),INDEX(Table3[[#All],[T]],MATCH(Table5[[#This Row],[PID]],Table3[[#All],[PID]],0)))</f>
        <v>R</v>
      </c>
      <c r="J848" s="54" t="str">
        <f>IF($C848="B",INDEX(Batters[[#All],[WE]],MATCH(Table5[[#This Row],[PID]],Batters[[#All],[PID]],0)),INDEX(Table3[[#All],[WE]],MATCH(Table5[[#This Row],[PID]],Table3[[#All],[PID]],0)))</f>
        <v>High</v>
      </c>
      <c r="K848" s="54" t="str">
        <f>IF($C848="B",INDEX(Batters[[#All],[INT]],MATCH(Table5[[#This Row],[PID]],Batters[[#All],[PID]],0)),INDEX(Table3[[#All],[INT]],MATCH(Table5[[#This Row],[PID]],Table3[[#All],[PID]],0)))</f>
        <v>Normal</v>
      </c>
      <c r="L848" s="62">
        <f>IF($C848="B",INDEX(Batters[[#All],[CON P]],MATCH(Table5[[#This Row],[PID]],Batters[[#All],[PID]],0)),INDEX(Table3[[#All],[STU P]],MATCH(Table5[[#This Row],[PID]],Table3[[#All],[PID]],0)))</f>
        <v>3</v>
      </c>
      <c r="M848" s="58">
        <f>IF($C848="B",INDEX(Batters[[#All],[GAP P]],MATCH(Table5[[#This Row],[PID]],Batters[[#All],[PID]],0)),INDEX(Table3[[#All],[MOV P]],MATCH(Table5[[#This Row],[PID]],Table3[[#All],[PID]],0)))</f>
        <v>3</v>
      </c>
      <c r="N848" s="58">
        <f>IF($C848="B",INDEX(Batters[[#All],[POW P]],MATCH(Table5[[#This Row],[PID]],Batters[[#All],[PID]],0)),INDEX(Table3[[#All],[CON P]],MATCH(Table5[[#This Row],[PID]],Table3[[#All],[PID]],0)))</f>
        <v>3</v>
      </c>
      <c r="O848" s="58">
        <f>IF($C848="B",INDEX(Batters[[#All],[EYE P]],MATCH(Table5[[#This Row],[PID]],Batters[[#All],[PID]],0)),INDEX(Table3[[#All],[VELO]],MATCH(Table5[[#This Row],[PID]],Table3[[#All],[PID]],0)))</f>
        <v>5</v>
      </c>
      <c r="P848" s="58">
        <f>IF($C848="B",INDEX(Batters[[#All],[K P]],MATCH(Table5[[#This Row],[PID]],Batters[[#All],[PID]],0)),INDEX(Table3[[#All],[STM]],MATCH(Table5[[#This Row],[PID]],Table3[[#All],[PID]],0)))</f>
        <v>3</v>
      </c>
      <c r="Q848" s="63">
        <f>IF($C848="B",INDEX(Batters[[#All],[Tot]],MATCH(Table5[[#This Row],[PID]],Batters[[#All],[PID]],0)),INDEX(Table3[[#All],[Tot]],MATCH(Table5[[#This Row],[PID]],Table3[[#All],[PID]],0)))</f>
        <v>36.328532151808204</v>
      </c>
      <c r="R848" s="54">
        <f>IF($C848="B",INDEX(Batters[[#All],[zScore]],MATCH(Table5[[#This Row],[PID]],Batters[[#All],[PID]],0)),INDEX(Table3[[#All],[zScore]],MATCH(Table5[[#This Row],[PID]],Table3[[#All],[PID]],0)))</f>
        <v>-0.70724217431168612</v>
      </c>
      <c r="S848" s="60" t="str">
        <f>IF($C848="B",INDEX(Batters[[#All],[DEM]],MATCH(Table5[[#This Row],[PID]],Batters[[#All],[PID]],0)),INDEX(Table3[[#All],[DEM]],MATCH(Table5[[#This Row],[PID]],Table3[[#All],[PID]],0)))</f>
        <v>-</v>
      </c>
      <c r="T848" s="64">
        <f>IF($C848="B",VLOOKUP($A848,Bat!$A$4:$AU$1417,46,FALSE),VLOOKUP($A848,Pit!$A$4:$BD$570,55,FALSE))</f>
        <v>0</v>
      </c>
      <c r="U848" s="52">
        <f>IF($C848="B",VLOOKUP($A848,Bat!$A$4:$BA$1417,47,FALSE),VLOOKUP($A848,Pit!$A$4:$BF$570,56,FALSE))</f>
        <v>0</v>
      </c>
      <c r="V848" s="52">
        <f>IF($C848="B",VLOOKUP($A848,Bat!$A$4:$BA$1417,48,FALSE),VLOOKUP($A848,Pit!$A$4:$BF$570,57,FALSE))</f>
        <v>0</v>
      </c>
      <c r="W848" s="52">
        <f>Table5[[#This Row],[posRnk]]+Table5[[#This Row],[zRnk]]+IF($W$3&lt;&gt;Table5[[#This Row],[Type]],50,0)</f>
        <v>894</v>
      </c>
      <c r="X848" s="53">
        <f>RANK(Table5[[#This Row],[zScore]],Table5[[#All],[zScore]])</f>
        <v>844</v>
      </c>
      <c r="Y848" s="52" t="str">
        <f>IFERROR(INDEX(DraftResults[[#All],[OVR]],MATCH(Table5[[#This Row],[PID]],DraftResults[[#All],[Player ID]],0)),"")</f>
        <v/>
      </c>
      <c r="Z8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8" s="52" t="str">
        <f>IFERROR(INDEX(DraftResults[[#All],[Pick in Round]],MATCH(Table5[[#This Row],[PID]],DraftResults[[#All],[Player ID]],0)),"")</f>
        <v/>
      </c>
      <c r="AB848" s="52" t="str">
        <f>IFERROR(INDEX(DraftResults[[#All],[Team Name]],MATCH(Table5[[#This Row],[PID]],DraftResults[[#All],[Player ID]],0)),"")</f>
        <v/>
      </c>
      <c r="AC848" s="52" t="str">
        <f>IF(Table5[[#This Row],[Ovr]]="","",IF(Table5[[#This Row],[cmbList]]="","",Table5[[#This Row],[cmbList]]-Table5[[#This Row],[Ovr]]))</f>
        <v/>
      </c>
      <c r="AD848" s="56" t="str">
        <f>IF(ISERROR(VLOOKUP($AB848&amp;"-"&amp;$E848&amp;" "&amp;F848,Bonuses!$B$1:$G$1006,4,FALSE)),"",INT(VLOOKUP($AB848&amp;"-"&amp;$E848&amp;" "&amp;$F848,Bonuses!$B$1:$G$1006,4,FALSE)))</f>
        <v/>
      </c>
      <c r="AE8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9" spans="1:31" s="52" customFormat="1" x14ac:dyDescent="0.25">
      <c r="A849" s="52">
        <v>5951</v>
      </c>
      <c r="B849" s="52">
        <f>COUNTIF(Table5[PID],A849)</f>
        <v>1</v>
      </c>
      <c r="C849" s="52" t="str">
        <f>IF(COUNTIF(Table3[[#All],[PID]],A849)&gt;0,"P","B")</f>
        <v>P</v>
      </c>
      <c r="D849" s="61" t="str">
        <f>IF($C849="B",INDEX(Batters[[#All],[POS]],MATCH(Table5[[#This Row],[PID]],Batters[[#All],[PID]],0)),INDEX(Table3[[#All],[POS]],MATCH(Table5[[#This Row],[PID]],Table3[[#All],[PID]],0)))</f>
        <v>RP</v>
      </c>
      <c r="E849" s="54" t="str">
        <f>IF($C849="B",INDEX(Batters[[#All],[First]],MATCH(Table5[[#This Row],[PID]],Batters[[#All],[PID]],0)),INDEX(Table3[[#All],[First]],MATCH(Table5[[#This Row],[PID]],Table3[[#All],[PID]],0)))</f>
        <v>Scott</v>
      </c>
      <c r="F849" s="52" t="str">
        <f>IF($C849="B",INDEX(Batters[[#All],[Last]],MATCH(A849,Batters[[#All],[PID]],0)),INDEX(Table3[[#All],[Last]],MATCH(A849,Table3[[#All],[PID]],0)))</f>
        <v>McKenzie</v>
      </c>
      <c r="G849" s="58">
        <f>IF($C849="B",INDEX(Batters[[#All],[Age]],MATCH(Table5[[#This Row],[PID]],Batters[[#All],[PID]],0)),INDEX(Table3[[#All],[Age]],MATCH(Table5[[#This Row],[PID]],Table3[[#All],[PID]],0)))</f>
        <v>18</v>
      </c>
      <c r="H849" s="54" t="str">
        <f>IF($C849="B",INDEX(Batters[[#All],[B]],MATCH(Table5[[#This Row],[PID]],Batters[[#All],[PID]],0)),INDEX(Table3[[#All],[B]],MATCH(Table5[[#This Row],[PID]],Table3[[#All],[PID]],0)))</f>
        <v>R</v>
      </c>
      <c r="I849" s="54" t="str">
        <f>IF($C849="B",INDEX(Batters[[#All],[T]],MATCH(Table5[[#This Row],[PID]],Batters[[#All],[PID]],0)),INDEX(Table3[[#All],[T]],MATCH(Table5[[#This Row],[PID]],Table3[[#All],[PID]],0)))</f>
        <v>R</v>
      </c>
      <c r="J849" s="54" t="str">
        <f>IF($C849="B",INDEX(Batters[[#All],[WE]],MATCH(Table5[[#This Row],[PID]],Batters[[#All],[PID]],0)),INDEX(Table3[[#All],[WE]],MATCH(Table5[[#This Row],[PID]],Table3[[#All],[PID]],0)))</f>
        <v>High</v>
      </c>
      <c r="K849" s="54" t="str">
        <f>IF($C849="B",INDEX(Batters[[#All],[INT]],MATCH(Table5[[#This Row],[PID]],Batters[[#All],[PID]],0)),INDEX(Table3[[#All],[INT]],MATCH(Table5[[#This Row],[PID]],Table3[[#All],[PID]],0)))</f>
        <v>Normal</v>
      </c>
      <c r="L849" s="62">
        <f>IF($C849="B",INDEX(Batters[[#All],[CON P]],MATCH(Table5[[#This Row],[PID]],Batters[[#All],[PID]],0)),INDEX(Table3[[#All],[STU P]],MATCH(Table5[[#This Row],[PID]],Table3[[#All],[PID]],0)))</f>
        <v>3</v>
      </c>
      <c r="M849" s="58">
        <f>IF($C849="B",INDEX(Batters[[#All],[GAP P]],MATCH(Table5[[#This Row],[PID]],Batters[[#All],[PID]],0)),INDEX(Table3[[#All],[MOV P]],MATCH(Table5[[#This Row],[PID]],Table3[[#All],[PID]],0)))</f>
        <v>1</v>
      </c>
      <c r="N849" s="58">
        <f>IF($C849="B",INDEX(Batters[[#All],[POW P]],MATCH(Table5[[#This Row],[PID]],Batters[[#All],[PID]],0)),INDEX(Table3[[#All],[CON P]],MATCH(Table5[[#This Row],[PID]],Table3[[#All],[PID]],0)))</f>
        <v>2</v>
      </c>
      <c r="O849" s="58" t="str">
        <f>IF($C849="B",INDEX(Batters[[#All],[EYE P]],MATCH(Table5[[#This Row],[PID]],Batters[[#All],[PID]],0)),INDEX(Table3[[#All],[VELO]],MATCH(Table5[[#This Row],[PID]],Table3[[#All],[PID]],0)))</f>
        <v>85-87 Mph</v>
      </c>
      <c r="P849" s="58">
        <f>IF($C849="B",INDEX(Batters[[#All],[K P]],MATCH(Table5[[#This Row],[PID]],Batters[[#All],[PID]],0)),INDEX(Table3[[#All],[STM]],MATCH(Table5[[#This Row],[PID]],Table3[[#All],[PID]],0)))</f>
        <v>4</v>
      </c>
      <c r="Q849" s="63">
        <f>IF($C849="B",INDEX(Batters[[#All],[Tot]],MATCH(Table5[[#This Row],[PID]],Batters[[#All],[PID]],0)),INDEX(Table3[[#All],[Tot]],MATCH(Table5[[#This Row],[PID]],Table3[[#All],[PID]],0)))</f>
        <v>22.299014882593706</v>
      </c>
      <c r="R849" s="54">
        <f>IF($C849="B",INDEX(Batters[[#All],[zScore]],MATCH(Table5[[#This Row],[PID]],Batters[[#All],[PID]],0)),INDEX(Table3[[#All],[zScore]],MATCH(Table5[[#This Row],[PID]],Table3[[#All],[PID]],0)))</f>
        <v>-0.70957465132338626</v>
      </c>
      <c r="S849" s="60" t="str">
        <f>IF($C849="B",INDEX(Batters[[#All],[DEM]],MATCH(Table5[[#This Row],[PID]],Batters[[#All],[PID]],0)),INDEX(Table3[[#All],[DEM]],MATCH(Table5[[#This Row],[PID]],Table3[[#All],[PID]],0)))</f>
        <v>$65k</v>
      </c>
      <c r="T849" s="64">
        <f>IF($C849="B",VLOOKUP($A849,Bat!$A$4:$AU$1417,46,FALSE),VLOOKUP($A849,Pit!$A$4:$BD$570,55,FALSE))</f>
        <v>0</v>
      </c>
      <c r="U849" s="52">
        <f>IF($C849="B",VLOOKUP($A849,Bat!$A$4:$BA$1417,47,FALSE),VLOOKUP($A849,Pit!$A$4:$BF$570,56,FALSE))</f>
        <v>0</v>
      </c>
      <c r="V849" s="52">
        <f>IF($C849="B",VLOOKUP($A849,Bat!$A$4:$BA$1417,48,FALSE),VLOOKUP($A849,Pit!$A$4:$BF$570,57,FALSE))</f>
        <v>0</v>
      </c>
      <c r="W849" s="52">
        <f>Table5[[#This Row],[posRnk]]+Table5[[#This Row],[zRnk]]+IF($W$3&lt;&gt;Table5[[#This Row],[Type]],50,0)</f>
        <v>895</v>
      </c>
      <c r="X849" s="53">
        <f>RANK(Table5[[#This Row],[zScore]],Table5[[#All],[zScore]])</f>
        <v>845</v>
      </c>
      <c r="Y849" s="52" t="str">
        <f>IFERROR(INDEX(DraftResults[[#All],[OVR]],MATCH(Table5[[#This Row],[PID]],DraftResults[[#All],[Player ID]],0)),"")</f>
        <v/>
      </c>
      <c r="Z8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9" s="52" t="str">
        <f>IFERROR(INDEX(DraftResults[[#All],[Pick in Round]],MATCH(Table5[[#This Row],[PID]],DraftResults[[#All],[Player ID]],0)),"")</f>
        <v/>
      </c>
      <c r="AB849" s="52" t="str">
        <f>IFERROR(INDEX(DraftResults[[#All],[Team Name]],MATCH(Table5[[#This Row],[PID]],DraftResults[[#All],[Player ID]],0)),"")</f>
        <v/>
      </c>
      <c r="AC849" s="52" t="str">
        <f>IF(Table5[[#This Row],[Ovr]]="","",IF(Table5[[#This Row],[cmbList]]="","",Table5[[#This Row],[cmbList]]-Table5[[#This Row],[Ovr]]))</f>
        <v/>
      </c>
      <c r="AD849" s="56" t="str">
        <f>IF(ISERROR(VLOOKUP($AB849&amp;"-"&amp;$E849&amp;" "&amp;F849,Bonuses!$B$1:$G$1006,4,FALSE)),"",INT(VLOOKUP($AB849&amp;"-"&amp;$E849&amp;" "&amp;$F849,Bonuses!$B$1:$G$1006,4,FALSE)))</f>
        <v/>
      </c>
      <c r="AE8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0" spans="1:31" s="52" customFormat="1" x14ac:dyDescent="0.25">
      <c r="A850" s="52">
        <v>11871</v>
      </c>
      <c r="B850" s="52">
        <f>COUNTIF(Table5[PID],A850)</f>
        <v>1</v>
      </c>
      <c r="C850" s="52" t="str">
        <f>IF(COUNTIF(Table3[[#All],[PID]],A850)&gt;0,"P","B")</f>
        <v>B</v>
      </c>
      <c r="D850" s="61" t="str">
        <f>IF($C850="B",INDEX(Batters[[#All],[POS]],MATCH(Table5[[#This Row],[PID]],Batters[[#All],[PID]],0)),INDEX(Table3[[#All],[POS]],MATCH(Table5[[#This Row],[PID]],Table3[[#All],[PID]],0)))</f>
        <v>3B</v>
      </c>
      <c r="E850" s="54" t="str">
        <f>IF($C850="B",INDEX(Batters[[#All],[First]],MATCH(Table5[[#This Row],[PID]],Batters[[#All],[PID]],0)),INDEX(Table3[[#All],[First]],MATCH(Table5[[#This Row],[PID]],Table3[[#All],[PID]],0)))</f>
        <v>Luis</v>
      </c>
      <c r="F850" s="52" t="str">
        <f>IF($C850="B",INDEX(Batters[[#All],[Last]],MATCH(A850,Batters[[#All],[PID]],0)),INDEX(Table3[[#All],[Last]],MATCH(A850,Table3[[#All],[PID]],0)))</f>
        <v>Chávez</v>
      </c>
      <c r="G850" s="58">
        <f>IF($C850="B",INDEX(Batters[[#All],[Age]],MATCH(Table5[[#This Row],[PID]],Batters[[#All],[PID]],0)),INDEX(Table3[[#All],[Age]],MATCH(Table5[[#This Row],[PID]],Table3[[#All],[PID]],0)))</f>
        <v>21</v>
      </c>
      <c r="H850" s="54" t="str">
        <f>IF($C850="B",INDEX(Batters[[#All],[B]],MATCH(Table5[[#This Row],[PID]],Batters[[#All],[PID]],0)),INDEX(Table3[[#All],[B]],MATCH(Table5[[#This Row],[PID]],Table3[[#All],[PID]],0)))</f>
        <v>R</v>
      </c>
      <c r="I850" s="54" t="str">
        <f>IF($C850="B",INDEX(Batters[[#All],[T]],MATCH(Table5[[#This Row],[PID]],Batters[[#All],[PID]],0)),INDEX(Table3[[#All],[T]],MATCH(Table5[[#This Row],[PID]],Table3[[#All],[PID]],0)))</f>
        <v>R</v>
      </c>
      <c r="J850" s="54" t="str">
        <f>IF($C850="B",INDEX(Batters[[#All],[WE]],MATCH(Table5[[#This Row],[PID]],Batters[[#All],[PID]],0)),INDEX(Table3[[#All],[WE]],MATCH(Table5[[#This Row],[PID]],Table3[[#All],[PID]],0)))</f>
        <v>Normal</v>
      </c>
      <c r="K850" s="54" t="str">
        <f>IF($C850="B",INDEX(Batters[[#All],[INT]],MATCH(Table5[[#This Row],[PID]],Batters[[#All],[PID]],0)),INDEX(Table3[[#All],[INT]],MATCH(Table5[[#This Row],[PID]],Table3[[#All],[PID]],0)))</f>
        <v>Normal</v>
      </c>
      <c r="L850" s="62">
        <f>IF($C850="B",INDEX(Batters[[#All],[CON P]],MATCH(Table5[[#This Row],[PID]],Batters[[#All],[PID]],0)),INDEX(Table3[[#All],[STU P]],MATCH(Table5[[#This Row],[PID]],Table3[[#All],[PID]],0)))</f>
        <v>3</v>
      </c>
      <c r="M850" s="58">
        <f>IF($C850="B",INDEX(Batters[[#All],[GAP P]],MATCH(Table5[[#This Row],[PID]],Batters[[#All],[PID]],0)),INDEX(Table3[[#All],[MOV P]],MATCH(Table5[[#This Row],[PID]],Table3[[#All],[PID]],0)))</f>
        <v>3</v>
      </c>
      <c r="N850" s="58">
        <f>IF($C850="B",INDEX(Batters[[#All],[POW P]],MATCH(Table5[[#This Row],[PID]],Batters[[#All],[PID]],0)),INDEX(Table3[[#All],[CON P]],MATCH(Table5[[#This Row],[PID]],Table3[[#All],[PID]],0)))</f>
        <v>2</v>
      </c>
      <c r="O850" s="58">
        <f>IF($C850="B",INDEX(Batters[[#All],[EYE P]],MATCH(Table5[[#This Row],[PID]],Batters[[#All],[PID]],0)),INDEX(Table3[[#All],[VELO]],MATCH(Table5[[#This Row],[PID]],Table3[[#All],[PID]],0)))</f>
        <v>5</v>
      </c>
      <c r="P850" s="58">
        <f>IF($C850="B",INDEX(Batters[[#All],[K P]],MATCH(Table5[[#This Row],[PID]],Batters[[#All],[PID]],0)),INDEX(Table3[[#All],[STM]],MATCH(Table5[[#This Row],[PID]],Table3[[#All],[PID]],0)))</f>
        <v>4</v>
      </c>
      <c r="Q850" s="63">
        <f>IF($C850="B",INDEX(Batters[[#All],[Tot]],MATCH(Table5[[#This Row],[PID]],Batters[[#All],[PID]],0)),INDEX(Table3[[#All],[Tot]],MATCH(Table5[[#This Row],[PID]],Table3[[#All],[PID]],0)))</f>
        <v>36.294245884946655</v>
      </c>
      <c r="R850" s="54">
        <f>IF($C850="B",INDEX(Batters[[#All],[zScore]],MATCH(Table5[[#This Row],[PID]],Batters[[#All],[PID]],0)),INDEX(Table3[[#All],[zScore]],MATCH(Table5[[#This Row],[PID]],Table3[[#All],[PID]],0)))</f>
        <v>-0.71327461508904455</v>
      </c>
      <c r="S850" s="60" t="str">
        <f>IF($C850="B",INDEX(Batters[[#All],[DEM]],MATCH(Table5[[#This Row],[PID]],Batters[[#All],[PID]],0)),INDEX(Table3[[#All],[DEM]],MATCH(Table5[[#This Row],[PID]],Table3[[#All],[PID]],0)))</f>
        <v>-</v>
      </c>
      <c r="T850" s="64">
        <f>IF($C850="B",VLOOKUP($A850,Bat!$A$4:$AU$1417,46,FALSE),VLOOKUP($A850,Pit!$A$4:$BD$570,55,FALSE))</f>
        <v>0</v>
      </c>
      <c r="U850" s="52">
        <f>IF($C850="B",VLOOKUP($A850,Bat!$A$4:$BA$1417,47,FALSE),VLOOKUP($A850,Pit!$A$4:$BF$570,56,FALSE))</f>
        <v>0</v>
      </c>
      <c r="V850" s="52">
        <f>IF($C850="B",VLOOKUP($A850,Bat!$A$4:$BA$1417,48,FALSE),VLOOKUP($A850,Pit!$A$4:$BF$570,57,FALSE))</f>
        <v>0</v>
      </c>
      <c r="W850" s="52">
        <f>Table5[[#This Row],[posRnk]]+Table5[[#This Row],[zRnk]]+IF($W$3&lt;&gt;Table5[[#This Row],[Type]],50,0)</f>
        <v>896</v>
      </c>
      <c r="X850" s="53">
        <f>RANK(Table5[[#This Row],[zScore]],Table5[[#All],[zScore]])</f>
        <v>846</v>
      </c>
      <c r="Y850" s="52" t="str">
        <f>IFERROR(INDEX(DraftResults[[#All],[OVR]],MATCH(Table5[[#This Row],[PID]],DraftResults[[#All],[Player ID]],0)),"")</f>
        <v/>
      </c>
      <c r="Z8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0" s="52" t="str">
        <f>IFERROR(INDEX(DraftResults[[#All],[Pick in Round]],MATCH(Table5[[#This Row],[PID]],DraftResults[[#All],[Player ID]],0)),"")</f>
        <v/>
      </c>
      <c r="AB850" s="52" t="str">
        <f>IFERROR(INDEX(DraftResults[[#All],[Team Name]],MATCH(Table5[[#This Row],[PID]],DraftResults[[#All],[Player ID]],0)),"")</f>
        <v/>
      </c>
      <c r="AC850" s="52" t="str">
        <f>IF(Table5[[#This Row],[Ovr]]="","",IF(Table5[[#This Row],[cmbList]]="","",Table5[[#This Row],[cmbList]]-Table5[[#This Row],[Ovr]]))</f>
        <v/>
      </c>
      <c r="AD850" s="56" t="str">
        <f>IF(ISERROR(VLOOKUP($AB850&amp;"-"&amp;$E850&amp;" "&amp;F850,Bonuses!$B$1:$G$1006,4,FALSE)),"",INT(VLOOKUP($AB850&amp;"-"&amp;$E850&amp;" "&amp;$F850,Bonuses!$B$1:$G$1006,4,FALSE)))</f>
        <v/>
      </c>
      <c r="AE8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1" spans="1:31" s="52" customFormat="1" x14ac:dyDescent="0.25">
      <c r="A851" s="52">
        <v>7236</v>
      </c>
      <c r="B851" s="52">
        <f>COUNTIF(Table5[PID],A851)</f>
        <v>1</v>
      </c>
      <c r="C851" s="52" t="str">
        <f>IF(COUNTIF(Table3[[#All],[PID]],A851)&gt;0,"P","B")</f>
        <v>B</v>
      </c>
      <c r="D851" s="61" t="str">
        <f>IF($C851="B",INDEX(Batters[[#All],[POS]],MATCH(Table5[[#This Row],[PID]],Batters[[#All],[PID]],0)),INDEX(Table3[[#All],[POS]],MATCH(Table5[[#This Row],[PID]],Table3[[#All],[PID]],0)))</f>
        <v>1B</v>
      </c>
      <c r="E851" s="54" t="str">
        <f>IF($C851="B",INDEX(Batters[[#All],[First]],MATCH(Table5[[#This Row],[PID]],Batters[[#All],[PID]],0)),INDEX(Table3[[#All],[First]],MATCH(Table5[[#This Row],[PID]],Table3[[#All],[PID]],0)))</f>
        <v>Shohei</v>
      </c>
      <c r="F851" s="52" t="str">
        <f>IF($C851="B",INDEX(Batters[[#All],[Last]],MATCH(A851,Batters[[#All],[PID]],0)),INDEX(Table3[[#All],[Last]],MATCH(A851,Table3[[#All],[PID]],0)))</f>
        <v>Daisen</v>
      </c>
      <c r="G851" s="58">
        <f>IF($C851="B",INDEX(Batters[[#All],[Age]],MATCH(Table5[[#This Row],[PID]],Batters[[#All],[PID]],0)),INDEX(Table3[[#All],[Age]],MATCH(Table5[[#This Row],[PID]],Table3[[#All],[PID]],0)))</f>
        <v>21</v>
      </c>
      <c r="H851" s="54" t="str">
        <f>IF($C851="B",INDEX(Batters[[#All],[B]],MATCH(Table5[[#This Row],[PID]],Batters[[#All],[PID]],0)),INDEX(Table3[[#All],[B]],MATCH(Table5[[#This Row],[PID]],Table3[[#All],[PID]],0)))</f>
        <v>L</v>
      </c>
      <c r="I851" s="54" t="str">
        <f>IF($C851="B",INDEX(Batters[[#All],[T]],MATCH(Table5[[#This Row],[PID]],Batters[[#All],[PID]],0)),INDEX(Table3[[#All],[T]],MATCH(Table5[[#This Row],[PID]],Table3[[#All],[PID]],0)))</f>
        <v>R</v>
      </c>
      <c r="J851" s="54" t="str">
        <f>IF($C851="B",INDEX(Batters[[#All],[WE]],MATCH(Table5[[#This Row],[PID]],Batters[[#All],[PID]],0)),INDEX(Table3[[#All],[WE]],MATCH(Table5[[#This Row],[PID]],Table3[[#All],[PID]],0)))</f>
        <v>Normal</v>
      </c>
      <c r="K851" s="54" t="str">
        <f>IF($C851="B",INDEX(Batters[[#All],[INT]],MATCH(Table5[[#This Row],[PID]],Batters[[#All],[PID]],0)),INDEX(Table3[[#All],[INT]],MATCH(Table5[[#This Row],[PID]],Table3[[#All],[PID]],0)))</f>
        <v>Normal</v>
      </c>
      <c r="L851" s="62">
        <f>IF($C851="B",INDEX(Batters[[#All],[CON P]],MATCH(Table5[[#This Row],[PID]],Batters[[#All],[PID]],0)),INDEX(Table3[[#All],[STU P]],MATCH(Table5[[#This Row],[PID]],Table3[[#All],[PID]],0)))</f>
        <v>4</v>
      </c>
      <c r="M851" s="58">
        <f>IF($C851="B",INDEX(Batters[[#All],[GAP P]],MATCH(Table5[[#This Row],[PID]],Batters[[#All],[PID]],0)),INDEX(Table3[[#All],[MOV P]],MATCH(Table5[[#This Row],[PID]],Table3[[#All],[PID]],0)))</f>
        <v>2</v>
      </c>
      <c r="N851" s="58">
        <f>IF($C851="B",INDEX(Batters[[#All],[POW P]],MATCH(Table5[[#This Row],[PID]],Batters[[#All],[PID]],0)),INDEX(Table3[[#All],[CON P]],MATCH(Table5[[#This Row],[PID]],Table3[[#All],[PID]],0)))</f>
        <v>2</v>
      </c>
      <c r="O851" s="58">
        <f>IF($C851="B",INDEX(Batters[[#All],[EYE P]],MATCH(Table5[[#This Row],[PID]],Batters[[#All],[PID]],0)),INDEX(Table3[[#All],[VELO]],MATCH(Table5[[#This Row],[PID]],Table3[[#All],[PID]],0)))</f>
        <v>2</v>
      </c>
      <c r="P851" s="58">
        <f>IF($C851="B",INDEX(Batters[[#All],[K P]],MATCH(Table5[[#This Row],[PID]],Batters[[#All],[PID]],0)),INDEX(Table3[[#All],[STM]],MATCH(Table5[[#This Row],[PID]],Table3[[#All],[PID]],0)))</f>
        <v>5</v>
      </c>
      <c r="Q851" s="63">
        <f>IF($C851="B",INDEX(Batters[[#All],[Tot]],MATCH(Table5[[#This Row],[PID]],Batters[[#All],[PID]],0)),INDEX(Table3[[#All],[Tot]],MATCH(Table5[[#This Row],[PID]],Table3[[#All],[PID]],0)))</f>
        <v>36.289854543359517</v>
      </c>
      <c r="R851" s="54">
        <f>IF($C851="B",INDEX(Batters[[#All],[zScore]],MATCH(Table5[[#This Row],[PID]],Batters[[#All],[PID]],0)),INDEX(Table3[[#All],[zScore]],MATCH(Table5[[#This Row],[PID]],Table3[[#All],[PID]],0)))</f>
        <v>-0.71404724245511286</v>
      </c>
      <c r="S851" s="60" t="str">
        <f>IF($C851="B",INDEX(Batters[[#All],[DEM]],MATCH(Table5[[#This Row],[PID]],Batters[[#All],[PID]],0)),INDEX(Table3[[#All],[DEM]],MATCH(Table5[[#This Row],[PID]],Table3[[#All],[PID]],0)))</f>
        <v>-</v>
      </c>
      <c r="T851" s="64">
        <f>IF($C851="B",VLOOKUP($A851,Bat!$A$4:$AU$1417,46,FALSE),VLOOKUP($A851,Pit!$A$4:$BD$570,55,FALSE))</f>
        <v>0</v>
      </c>
      <c r="U851" s="52">
        <f>IF($C851="B",VLOOKUP($A851,Bat!$A$4:$BA$1417,47,FALSE),VLOOKUP($A851,Pit!$A$4:$BF$570,56,FALSE))</f>
        <v>0</v>
      </c>
      <c r="V851" s="52">
        <f>IF($C851="B",VLOOKUP($A851,Bat!$A$4:$BA$1417,48,FALSE),VLOOKUP($A851,Pit!$A$4:$BF$570,57,FALSE))</f>
        <v>0</v>
      </c>
      <c r="W851" s="52">
        <f>Table5[[#This Row],[posRnk]]+Table5[[#This Row],[zRnk]]+IF($W$3&lt;&gt;Table5[[#This Row],[Type]],50,0)</f>
        <v>897</v>
      </c>
      <c r="X851" s="53">
        <f>RANK(Table5[[#This Row],[zScore]],Table5[[#All],[zScore]])</f>
        <v>847</v>
      </c>
      <c r="Y851" s="52" t="str">
        <f>IFERROR(INDEX(DraftResults[[#All],[OVR]],MATCH(Table5[[#This Row],[PID]],DraftResults[[#All],[Player ID]],0)),"")</f>
        <v/>
      </c>
      <c r="Z8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1" s="52" t="str">
        <f>IFERROR(INDEX(DraftResults[[#All],[Pick in Round]],MATCH(Table5[[#This Row],[PID]],DraftResults[[#All],[Player ID]],0)),"")</f>
        <v/>
      </c>
      <c r="AB851" s="52" t="str">
        <f>IFERROR(INDEX(DraftResults[[#All],[Team Name]],MATCH(Table5[[#This Row],[PID]],DraftResults[[#All],[Player ID]],0)),"")</f>
        <v/>
      </c>
      <c r="AC851" s="52" t="str">
        <f>IF(Table5[[#This Row],[Ovr]]="","",IF(Table5[[#This Row],[cmbList]]="","",Table5[[#This Row],[cmbList]]-Table5[[#This Row],[Ovr]]))</f>
        <v/>
      </c>
      <c r="AD851" s="56" t="str">
        <f>IF(ISERROR(VLOOKUP($AB851&amp;"-"&amp;$E851&amp;" "&amp;F851,Bonuses!$B$1:$G$1006,4,FALSE)),"",INT(VLOOKUP($AB851&amp;"-"&amp;$E851&amp;" "&amp;$F851,Bonuses!$B$1:$G$1006,4,FALSE)))</f>
        <v/>
      </c>
      <c r="AE8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2" spans="1:31" s="52" customFormat="1" x14ac:dyDescent="0.25">
      <c r="A852" s="52">
        <v>15657</v>
      </c>
      <c r="B852" s="52">
        <f>COUNTIF(Table5[PID],A852)</f>
        <v>1</v>
      </c>
      <c r="C852" s="52" t="str">
        <f>IF(COUNTIF(Table3[[#All],[PID]],A852)&gt;0,"P","B")</f>
        <v>B</v>
      </c>
      <c r="D852" s="61" t="str">
        <f>IF($C852="B",INDEX(Batters[[#All],[POS]],MATCH(Table5[[#This Row],[PID]],Batters[[#All],[PID]],0)),INDEX(Table3[[#All],[POS]],MATCH(Table5[[#This Row],[PID]],Table3[[#All],[PID]],0)))</f>
        <v>1B</v>
      </c>
      <c r="E852" s="54" t="str">
        <f>IF($C852="B",INDEX(Batters[[#All],[First]],MATCH(Table5[[#This Row],[PID]],Batters[[#All],[PID]],0)),INDEX(Table3[[#All],[First]],MATCH(Table5[[#This Row],[PID]],Table3[[#All],[PID]],0)))</f>
        <v>Hideaki</v>
      </c>
      <c r="F852" s="52" t="str">
        <f>IF($C852="B",INDEX(Batters[[#All],[Last]],MATCH(A852,Batters[[#All],[PID]],0)),INDEX(Table3[[#All],[Last]],MATCH(A852,Table3[[#All],[PID]],0)))</f>
        <v>Arai</v>
      </c>
      <c r="G852" s="58">
        <f>IF($C852="B",INDEX(Batters[[#All],[Age]],MATCH(Table5[[#This Row],[PID]],Batters[[#All],[PID]],0)),INDEX(Table3[[#All],[Age]],MATCH(Table5[[#This Row],[PID]],Table3[[#All],[PID]],0)))</f>
        <v>21</v>
      </c>
      <c r="H852" s="54" t="str">
        <f>IF($C852="B",INDEX(Batters[[#All],[B]],MATCH(Table5[[#This Row],[PID]],Batters[[#All],[PID]],0)),INDEX(Table3[[#All],[B]],MATCH(Table5[[#This Row],[PID]],Table3[[#All],[PID]],0)))</f>
        <v>R</v>
      </c>
      <c r="I852" s="54" t="str">
        <f>IF($C852="B",INDEX(Batters[[#All],[T]],MATCH(Table5[[#This Row],[PID]],Batters[[#All],[PID]],0)),INDEX(Table3[[#All],[T]],MATCH(Table5[[#This Row],[PID]],Table3[[#All],[PID]],0)))</f>
        <v>R</v>
      </c>
      <c r="J852" s="54" t="str">
        <f>IF($C852="B",INDEX(Batters[[#All],[WE]],MATCH(Table5[[#This Row],[PID]],Batters[[#All],[PID]],0)),INDEX(Table3[[#All],[WE]],MATCH(Table5[[#This Row],[PID]],Table3[[#All],[PID]],0)))</f>
        <v>Low</v>
      </c>
      <c r="K852" s="54" t="str">
        <f>IF($C852="B",INDEX(Batters[[#All],[INT]],MATCH(Table5[[#This Row],[PID]],Batters[[#All],[PID]],0)),INDEX(Table3[[#All],[INT]],MATCH(Table5[[#This Row],[PID]],Table3[[#All],[PID]],0)))</f>
        <v>Normal</v>
      </c>
      <c r="L852" s="62">
        <f>IF($C852="B",INDEX(Batters[[#All],[CON P]],MATCH(Table5[[#This Row],[PID]],Batters[[#All],[PID]],0)),INDEX(Table3[[#All],[STU P]],MATCH(Table5[[#This Row],[PID]],Table3[[#All],[PID]],0)))</f>
        <v>3</v>
      </c>
      <c r="M852" s="58">
        <f>IF($C852="B",INDEX(Batters[[#All],[GAP P]],MATCH(Table5[[#This Row],[PID]],Batters[[#All],[PID]],0)),INDEX(Table3[[#All],[MOV P]],MATCH(Table5[[#This Row],[PID]],Table3[[#All],[PID]],0)))</f>
        <v>2</v>
      </c>
      <c r="N852" s="58">
        <f>IF($C852="B",INDEX(Batters[[#All],[POW P]],MATCH(Table5[[#This Row],[PID]],Batters[[#All],[PID]],0)),INDEX(Table3[[#All],[CON P]],MATCH(Table5[[#This Row],[PID]],Table3[[#All],[PID]],0)))</f>
        <v>4</v>
      </c>
      <c r="O852" s="58">
        <f>IF($C852="B",INDEX(Batters[[#All],[EYE P]],MATCH(Table5[[#This Row],[PID]],Batters[[#All],[PID]],0)),INDEX(Table3[[#All],[VELO]],MATCH(Table5[[#This Row],[PID]],Table3[[#All],[PID]],0)))</f>
        <v>5</v>
      </c>
      <c r="P852" s="58">
        <f>IF($C852="B",INDEX(Batters[[#All],[K P]],MATCH(Table5[[#This Row],[PID]],Batters[[#All],[PID]],0)),INDEX(Table3[[#All],[STM]],MATCH(Table5[[#This Row],[PID]],Table3[[#All],[PID]],0)))</f>
        <v>3</v>
      </c>
      <c r="Q852" s="63">
        <f>IF($C852="B",INDEX(Batters[[#All],[Tot]],MATCH(Table5[[#This Row],[PID]],Batters[[#All],[PID]],0)),INDEX(Table3[[#All],[Tot]],MATCH(Table5[[#This Row],[PID]],Table3[[#All],[PID]],0)))</f>
        <v>36.282418352777768</v>
      </c>
      <c r="R852" s="54">
        <f>IF($C852="B",INDEX(Batters[[#All],[zScore]],MATCH(Table5[[#This Row],[PID]],Batters[[#All],[PID]],0)),INDEX(Table3[[#All],[zScore]],MATCH(Table5[[#This Row],[PID]],Table3[[#All],[PID]],0)))</f>
        <v>-0.71535559076479316</v>
      </c>
      <c r="S852" s="60" t="str">
        <f>IF($C852="B",INDEX(Batters[[#All],[DEM]],MATCH(Table5[[#This Row],[PID]],Batters[[#All],[PID]],0)),INDEX(Table3[[#All],[DEM]],MATCH(Table5[[#This Row],[PID]],Table3[[#All],[PID]],0)))</f>
        <v>-</v>
      </c>
      <c r="T852" s="64">
        <f>IF($C852="B",VLOOKUP($A852,Bat!$A$4:$AU$1417,46,FALSE),VLOOKUP($A852,Pit!$A$4:$BD$570,55,FALSE))</f>
        <v>0</v>
      </c>
      <c r="U852" s="52">
        <f>IF($C852="B",VLOOKUP($A852,Bat!$A$4:$BA$1417,47,FALSE),VLOOKUP($A852,Pit!$A$4:$BF$570,56,FALSE))</f>
        <v>0</v>
      </c>
      <c r="V852" s="52">
        <f>IF($C852="B",VLOOKUP($A852,Bat!$A$4:$BA$1417,48,FALSE),VLOOKUP($A852,Pit!$A$4:$BF$570,57,FALSE))</f>
        <v>0</v>
      </c>
      <c r="W852" s="52">
        <f>Table5[[#This Row],[posRnk]]+Table5[[#This Row],[zRnk]]+IF($W$3&lt;&gt;Table5[[#This Row],[Type]],50,0)</f>
        <v>898</v>
      </c>
      <c r="X852" s="53">
        <f>RANK(Table5[[#This Row],[zScore]],Table5[[#All],[zScore]])</f>
        <v>848</v>
      </c>
      <c r="Y852" s="52" t="str">
        <f>IFERROR(INDEX(DraftResults[[#All],[OVR]],MATCH(Table5[[#This Row],[PID]],DraftResults[[#All],[Player ID]],0)),"")</f>
        <v/>
      </c>
      <c r="Z8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2" s="52" t="str">
        <f>IFERROR(INDEX(DraftResults[[#All],[Pick in Round]],MATCH(Table5[[#This Row],[PID]],DraftResults[[#All],[Player ID]],0)),"")</f>
        <v/>
      </c>
      <c r="AB852" s="52" t="str">
        <f>IFERROR(INDEX(DraftResults[[#All],[Team Name]],MATCH(Table5[[#This Row],[PID]],DraftResults[[#All],[Player ID]],0)),"")</f>
        <v/>
      </c>
      <c r="AC852" s="52" t="str">
        <f>IF(Table5[[#This Row],[Ovr]]="","",IF(Table5[[#This Row],[cmbList]]="","",Table5[[#This Row],[cmbList]]-Table5[[#This Row],[Ovr]]))</f>
        <v/>
      </c>
      <c r="AD852" s="56" t="str">
        <f>IF(ISERROR(VLOOKUP($AB852&amp;"-"&amp;$E852&amp;" "&amp;F852,Bonuses!$B$1:$G$1006,4,FALSE)),"",INT(VLOOKUP($AB852&amp;"-"&amp;$E852&amp;" "&amp;$F852,Bonuses!$B$1:$G$1006,4,FALSE)))</f>
        <v/>
      </c>
      <c r="AE8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3" spans="1:31" s="52" customFormat="1" x14ac:dyDescent="0.25">
      <c r="A853" s="52">
        <v>9377</v>
      </c>
      <c r="B853" s="52">
        <f>COUNTIF(Table5[PID],A853)</f>
        <v>1</v>
      </c>
      <c r="C853" s="52" t="str">
        <f>IF(COUNTIF(Table3[[#All],[PID]],A853)&gt;0,"P","B")</f>
        <v>P</v>
      </c>
      <c r="D853" s="61" t="str">
        <f>IF($C853="B",INDEX(Batters[[#All],[POS]],MATCH(Table5[[#This Row],[PID]],Batters[[#All],[PID]],0)),INDEX(Table3[[#All],[POS]],MATCH(Table5[[#This Row],[PID]],Table3[[#All],[PID]],0)))</f>
        <v>RP</v>
      </c>
      <c r="E853" s="54" t="str">
        <f>IF($C853="B",INDEX(Batters[[#All],[First]],MATCH(Table5[[#This Row],[PID]],Batters[[#All],[PID]],0)),INDEX(Table3[[#All],[First]],MATCH(Table5[[#This Row],[PID]],Table3[[#All],[PID]],0)))</f>
        <v>Bill</v>
      </c>
      <c r="F853" s="52" t="str">
        <f>IF($C853="B",INDEX(Batters[[#All],[Last]],MATCH(A853,Batters[[#All],[PID]],0)),INDEX(Table3[[#All],[Last]],MATCH(A853,Table3[[#All],[PID]],0)))</f>
        <v>Rich</v>
      </c>
      <c r="G853" s="58">
        <f>IF($C853="B",INDEX(Batters[[#All],[Age]],MATCH(Table5[[#This Row],[PID]],Batters[[#All],[PID]],0)),INDEX(Table3[[#All],[Age]],MATCH(Table5[[#This Row],[PID]],Table3[[#All],[PID]],0)))</f>
        <v>21</v>
      </c>
      <c r="H853" s="54" t="str">
        <f>IF($C853="B",INDEX(Batters[[#All],[B]],MATCH(Table5[[#This Row],[PID]],Batters[[#All],[PID]],0)),INDEX(Table3[[#All],[B]],MATCH(Table5[[#This Row],[PID]],Table3[[#All],[PID]],0)))</f>
        <v>L</v>
      </c>
      <c r="I853" s="54" t="str">
        <f>IF($C853="B",INDEX(Batters[[#All],[T]],MATCH(Table5[[#This Row],[PID]],Batters[[#All],[PID]],0)),INDEX(Table3[[#All],[T]],MATCH(Table5[[#This Row],[PID]],Table3[[#All],[PID]],0)))</f>
        <v>L</v>
      </c>
      <c r="J853" s="54" t="str">
        <f>IF($C853="B",INDEX(Batters[[#All],[WE]],MATCH(Table5[[#This Row],[PID]],Batters[[#All],[PID]],0)),INDEX(Table3[[#All],[WE]],MATCH(Table5[[#This Row],[PID]],Table3[[#All],[PID]],0)))</f>
        <v>Normal</v>
      </c>
      <c r="K853" s="54" t="str">
        <f>IF($C853="B",INDEX(Batters[[#All],[INT]],MATCH(Table5[[#This Row],[PID]],Batters[[#All],[PID]],0)),INDEX(Table3[[#All],[INT]],MATCH(Table5[[#This Row],[PID]],Table3[[#All],[PID]],0)))</f>
        <v>Normal</v>
      </c>
      <c r="L853" s="62">
        <f>IF($C853="B",INDEX(Batters[[#All],[CON P]],MATCH(Table5[[#This Row],[PID]],Batters[[#All],[PID]],0)),INDEX(Table3[[#All],[STU P]],MATCH(Table5[[#This Row],[PID]],Table3[[#All],[PID]],0)))</f>
        <v>4</v>
      </c>
      <c r="M853" s="58">
        <f>IF($C853="B",INDEX(Batters[[#All],[GAP P]],MATCH(Table5[[#This Row],[PID]],Batters[[#All],[PID]],0)),INDEX(Table3[[#All],[MOV P]],MATCH(Table5[[#This Row],[PID]],Table3[[#All],[PID]],0)))</f>
        <v>2</v>
      </c>
      <c r="N853" s="58">
        <f>IF($C853="B",INDEX(Batters[[#All],[POW P]],MATCH(Table5[[#This Row],[PID]],Batters[[#All],[PID]],0)),INDEX(Table3[[#All],[CON P]],MATCH(Table5[[#This Row],[PID]],Table3[[#All],[PID]],0)))</f>
        <v>2</v>
      </c>
      <c r="O853" s="58" t="str">
        <f>IF($C853="B",INDEX(Batters[[#All],[EYE P]],MATCH(Table5[[#This Row],[PID]],Batters[[#All],[PID]],0)),INDEX(Table3[[#All],[VELO]],MATCH(Table5[[#This Row],[PID]],Table3[[#All],[PID]],0)))</f>
        <v>88-90 Mph</v>
      </c>
      <c r="P853" s="58">
        <f>IF($C853="B",INDEX(Batters[[#All],[K P]],MATCH(Table5[[#This Row],[PID]],Batters[[#All],[PID]],0)),INDEX(Table3[[#All],[STM]],MATCH(Table5[[#This Row],[PID]],Table3[[#All],[PID]],0)))</f>
        <v>6</v>
      </c>
      <c r="Q853" s="63">
        <f>IF($C853="B",INDEX(Batters[[#All],[Tot]],MATCH(Table5[[#This Row],[PID]],Batters[[#All],[PID]],0)),INDEX(Table3[[#All],[Tot]],MATCH(Table5[[#This Row],[PID]],Table3[[#All],[PID]],0)))</f>
        <v>24.920601557812088</v>
      </c>
      <c r="R853" s="54">
        <f>IF($C853="B",INDEX(Batters[[#All],[zScore]],MATCH(Table5[[#This Row],[PID]],Batters[[#All],[PID]],0)),INDEX(Table3[[#All],[zScore]],MATCH(Table5[[#This Row],[PID]],Table3[[#All],[PID]],0)))</f>
        <v>-0.71544458541595835</v>
      </c>
      <c r="S853" s="60" t="str">
        <f>IF($C853="B",INDEX(Batters[[#All],[DEM]],MATCH(Table5[[#This Row],[PID]],Batters[[#All],[PID]],0)),INDEX(Table3[[#All],[DEM]],MATCH(Table5[[#This Row],[PID]],Table3[[#All],[PID]],0)))</f>
        <v>-</v>
      </c>
      <c r="T853" s="64">
        <f>IF($C853="B",VLOOKUP($A853,Bat!$A$4:$AU$1417,46,FALSE),VLOOKUP($A853,Pit!$A$4:$BD$570,55,FALSE))</f>
        <v>0</v>
      </c>
      <c r="U853" s="52">
        <f>IF($C853="B",VLOOKUP($A853,Bat!$A$4:$BA$1417,47,FALSE),VLOOKUP($A853,Pit!$A$4:$BF$570,56,FALSE))</f>
        <v>0</v>
      </c>
      <c r="V853" s="52">
        <f>IF($C853="B",VLOOKUP($A853,Bat!$A$4:$BA$1417,48,FALSE),VLOOKUP($A853,Pit!$A$4:$BF$570,57,FALSE))</f>
        <v>0</v>
      </c>
      <c r="W853" s="52">
        <f>Table5[[#This Row],[posRnk]]+Table5[[#This Row],[zRnk]]+IF($W$3&lt;&gt;Table5[[#This Row],[Type]],50,0)</f>
        <v>899</v>
      </c>
      <c r="X853" s="53">
        <f>RANK(Table5[[#This Row],[zScore]],Table5[[#All],[zScore]])</f>
        <v>849</v>
      </c>
      <c r="Y853" s="52" t="str">
        <f>IFERROR(INDEX(DraftResults[[#All],[OVR]],MATCH(Table5[[#This Row],[PID]],DraftResults[[#All],[Player ID]],0)),"")</f>
        <v/>
      </c>
      <c r="Z8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3" s="52" t="str">
        <f>IFERROR(INDEX(DraftResults[[#All],[Pick in Round]],MATCH(Table5[[#This Row],[PID]],DraftResults[[#All],[Player ID]],0)),"")</f>
        <v/>
      </c>
      <c r="AB853" s="52" t="str">
        <f>IFERROR(INDEX(DraftResults[[#All],[Team Name]],MATCH(Table5[[#This Row],[PID]],DraftResults[[#All],[Player ID]],0)),"")</f>
        <v/>
      </c>
      <c r="AC853" s="52" t="str">
        <f>IF(Table5[[#This Row],[Ovr]]="","",IF(Table5[[#This Row],[cmbList]]="","",Table5[[#This Row],[cmbList]]-Table5[[#This Row],[Ovr]]))</f>
        <v/>
      </c>
      <c r="AD853" s="56" t="str">
        <f>IF(ISERROR(VLOOKUP($AB853&amp;"-"&amp;$E853&amp;" "&amp;F853,Bonuses!$B$1:$G$1006,4,FALSE)),"",INT(VLOOKUP($AB853&amp;"-"&amp;$E853&amp;" "&amp;$F853,Bonuses!$B$1:$G$1006,4,FALSE)))</f>
        <v/>
      </c>
      <c r="AE8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4" spans="1:31" s="52" customFormat="1" x14ac:dyDescent="0.25">
      <c r="A854" s="52">
        <v>5913</v>
      </c>
      <c r="B854" s="52">
        <f>COUNTIF(Table5[PID],A854)</f>
        <v>1</v>
      </c>
      <c r="C854" s="52" t="str">
        <f>IF(COUNTIF(Table3[[#All],[PID]],A854)&gt;0,"P","B")</f>
        <v>B</v>
      </c>
      <c r="D854" s="61" t="str">
        <f>IF($C854="B",INDEX(Batters[[#All],[POS]],MATCH(Table5[[#This Row],[PID]],Batters[[#All],[PID]],0)),INDEX(Table3[[#All],[POS]],MATCH(Table5[[#This Row],[PID]],Table3[[#All],[PID]],0)))</f>
        <v>2B</v>
      </c>
      <c r="E854" s="54" t="str">
        <f>IF($C854="B",INDEX(Batters[[#All],[First]],MATCH(Table5[[#This Row],[PID]],Batters[[#All],[PID]],0)),INDEX(Table3[[#All],[First]],MATCH(Table5[[#This Row],[PID]],Table3[[#All],[PID]],0)))</f>
        <v>Gerald</v>
      </c>
      <c r="F854" s="52" t="str">
        <f>IF($C854="B",INDEX(Batters[[#All],[Last]],MATCH(A854,Batters[[#All],[PID]],0)),INDEX(Table3[[#All],[Last]],MATCH(A854,Table3[[#All],[PID]],0)))</f>
        <v>Lee</v>
      </c>
      <c r="G854" s="58">
        <f>IF($C854="B",INDEX(Batters[[#All],[Age]],MATCH(Table5[[#This Row],[PID]],Batters[[#All],[PID]],0)),INDEX(Table3[[#All],[Age]],MATCH(Table5[[#This Row],[PID]],Table3[[#All],[PID]],0)))</f>
        <v>18</v>
      </c>
      <c r="H854" s="54" t="str">
        <f>IF($C854="B",INDEX(Batters[[#All],[B]],MATCH(Table5[[#This Row],[PID]],Batters[[#All],[PID]],0)),INDEX(Table3[[#All],[B]],MATCH(Table5[[#This Row],[PID]],Table3[[#All],[PID]],0)))</f>
        <v>L</v>
      </c>
      <c r="I854" s="54" t="str">
        <f>IF($C854="B",INDEX(Batters[[#All],[T]],MATCH(Table5[[#This Row],[PID]],Batters[[#All],[PID]],0)),INDEX(Table3[[#All],[T]],MATCH(Table5[[#This Row],[PID]],Table3[[#All],[PID]],0)))</f>
        <v>R</v>
      </c>
      <c r="J854" s="54" t="str">
        <f>IF($C854="B",INDEX(Batters[[#All],[WE]],MATCH(Table5[[#This Row],[PID]],Batters[[#All],[PID]],0)),INDEX(Table3[[#All],[WE]],MATCH(Table5[[#This Row],[PID]],Table3[[#All],[PID]],0)))</f>
        <v>Low</v>
      </c>
      <c r="K854" s="54" t="str">
        <f>IF($C854="B",INDEX(Batters[[#All],[INT]],MATCH(Table5[[#This Row],[PID]],Batters[[#All],[PID]],0)),INDEX(Table3[[#All],[INT]],MATCH(Table5[[#This Row],[PID]],Table3[[#All],[PID]],0)))</f>
        <v>Normal</v>
      </c>
      <c r="L854" s="62">
        <f>IF($C854="B",INDEX(Batters[[#All],[CON P]],MATCH(Table5[[#This Row],[PID]],Batters[[#All],[PID]],0)),INDEX(Table3[[#All],[STU P]],MATCH(Table5[[#This Row],[PID]],Table3[[#All],[PID]],0)))</f>
        <v>2</v>
      </c>
      <c r="M854" s="58">
        <f>IF($C854="B",INDEX(Batters[[#All],[GAP P]],MATCH(Table5[[#This Row],[PID]],Batters[[#All],[PID]],0)),INDEX(Table3[[#All],[MOV P]],MATCH(Table5[[#This Row],[PID]],Table3[[#All],[PID]],0)))</f>
        <v>3</v>
      </c>
      <c r="N854" s="58">
        <f>IF($C854="B",INDEX(Batters[[#All],[POW P]],MATCH(Table5[[#This Row],[PID]],Batters[[#All],[PID]],0)),INDEX(Table3[[#All],[CON P]],MATCH(Table5[[#This Row],[PID]],Table3[[#All],[PID]],0)))</f>
        <v>3</v>
      </c>
      <c r="O854" s="58">
        <f>IF($C854="B",INDEX(Batters[[#All],[EYE P]],MATCH(Table5[[#This Row],[PID]],Batters[[#All],[PID]],0)),INDEX(Table3[[#All],[VELO]],MATCH(Table5[[#This Row],[PID]],Table3[[#All],[PID]],0)))</f>
        <v>4</v>
      </c>
      <c r="P854" s="58">
        <f>IF($C854="B",INDEX(Batters[[#All],[K P]],MATCH(Table5[[#This Row],[PID]],Batters[[#All],[PID]],0)),INDEX(Table3[[#All],[STM]],MATCH(Table5[[#This Row],[PID]],Table3[[#All],[PID]],0)))</f>
        <v>3</v>
      </c>
      <c r="Q854" s="63">
        <f>IF($C854="B",INDEX(Batters[[#All],[Tot]],MATCH(Table5[[#This Row],[PID]],Batters[[#All],[PID]],0)),INDEX(Table3[[#All],[Tot]],MATCH(Table5[[#This Row],[PID]],Table3[[#All],[PID]],0)))</f>
        <v>36.267270574298308</v>
      </c>
      <c r="R854" s="54">
        <f>IF($C854="B",INDEX(Batters[[#All],[zScore]],MATCH(Table5[[#This Row],[PID]],Batters[[#All],[PID]],0)),INDEX(Table3[[#All],[zScore]],MATCH(Table5[[#This Row],[PID]],Table3[[#All],[PID]],0)))</f>
        <v>-0.71802074171152275</v>
      </c>
      <c r="S854" s="60" t="str">
        <f>IF($C854="B",INDEX(Batters[[#All],[DEM]],MATCH(Table5[[#This Row],[PID]],Batters[[#All],[PID]],0)),INDEX(Table3[[#All],[DEM]],MATCH(Table5[[#This Row],[PID]],Table3[[#All],[PID]],0)))</f>
        <v>$75k</v>
      </c>
      <c r="T854" s="64">
        <f>IF($C854="B",VLOOKUP($A854,Bat!$A$4:$AU$1417,46,FALSE),VLOOKUP($A854,Pit!$A$4:$BD$570,55,FALSE))</f>
        <v>0</v>
      </c>
      <c r="U854" s="52">
        <f>IF($C854="B",VLOOKUP($A854,Bat!$A$4:$BA$1417,47,FALSE),VLOOKUP($A854,Pit!$A$4:$BF$570,56,FALSE))</f>
        <v>0</v>
      </c>
      <c r="V854" s="52">
        <f>IF($C854="B",VLOOKUP($A854,Bat!$A$4:$BA$1417,48,FALSE),VLOOKUP($A854,Pit!$A$4:$BF$570,57,FALSE))</f>
        <v>0</v>
      </c>
      <c r="W854" s="52">
        <f>Table5[[#This Row],[posRnk]]+Table5[[#This Row],[zRnk]]+IF($W$3&lt;&gt;Table5[[#This Row],[Type]],50,0)</f>
        <v>900</v>
      </c>
      <c r="X854" s="53">
        <f>RANK(Table5[[#This Row],[zScore]],Table5[[#All],[zScore]])</f>
        <v>850</v>
      </c>
      <c r="Y854" s="52" t="str">
        <f>IFERROR(INDEX(DraftResults[[#All],[OVR]],MATCH(Table5[[#This Row],[PID]],DraftResults[[#All],[Player ID]],0)),"")</f>
        <v/>
      </c>
      <c r="Z8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4" s="52" t="str">
        <f>IFERROR(INDEX(DraftResults[[#All],[Pick in Round]],MATCH(Table5[[#This Row],[PID]],DraftResults[[#All],[Player ID]],0)),"")</f>
        <v/>
      </c>
      <c r="AB854" s="52" t="str">
        <f>IFERROR(INDEX(DraftResults[[#All],[Team Name]],MATCH(Table5[[#This Row],[PID]],DraftResults[[#All],[Player ID]],0)),"")</f>
        <v/>
      </c>
      <c r="AC854" s="52" t="str">
        <f>IF(Table5[[#This Row],[Ovr]]="","",IF(Table5[[#This Row],[cmbList]]="","",Table5[[#This Row],[cmbList]]-Table5[[#This Row],[Ovr]]))</f>
        <v/>
      </c>
      <c r="AD854" s="56" t="str">
        <f>IF(ISERROR(VLOOKUP($AB854&amp;"-"&amp;$E854&amp;" "&amp;F854,Bonuses!$B$1:$G$1006,4,FALSE)),"",INT(VLOOKUP($AB854&amp;"-"&amp;$E854&amp;" "&amp;$F854,Bonuses!$B$1:$G$1006,4,FALSE)))</f>
        <v/>
      </c>
      <c r="AE8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5" spans="1:31" s="52" customFormat="1" x14ac:dyDescent="0.25">
      <c r="A855" s="52">
        <v>15256</v>
      </c>
      <c r="B855" s="52">
        <f>COUNTIF(Table5[PID],A855)</f>
        <v>1</v>
      </c>
      <c r="C855" s="52" t="str">
        <f>IF(COUNTIF(Table3[[#All],[PID]],A855)&gt;0,"P","B")</f>
        <v>P</v>
      </c>
      <c r="D855" s="61" t="str">
        <f>IF($C855="B",INDEX(Batters[[#All],[POS]],MATCH(Table5[[#This Row],[PID]],Batters[[#All],[PID]],0)),INDEX(Table3[[#All],[POS]],MATCH(Table5[[#This Row],[PID]],Table3[[#All],[PID]],0)))</f>
        <v>RP</v>
      </c>
      <c r="E855" s="54" t="str">
        <f>IF($C855="B",INDEX(Batters[[#All],[First]],MATCH(Table5[[#This Row],[PID]],Batters[[#All],[PID]],0)),INDEX(Table3[[#All],[First]],MATCH(Table5[[#This Row],[PID]],Table3[[#All],[PID]],0)))</f>
        <v>Orinosuke</v>
      </c>
      <c r="F855" s="52" t="str">
        <f>IF($C855="B",INDEX(Batters[[#All],[Last]],MATCH(A855,Batters[[#All],[PID]],0)),INDEX(Table3[[#All],[Last]],MATCH(A855,Table3[[#All],[PID]],0)))</f>
        <v>Koga</v>
      </c>
      <c r="G855" s="58">
        <f>IF($C855="B",INDEX(Batters[[#All],[Age]],MATCH(Table5[[#This Row],[PID]],Batters[[#All],[PID]],0)),INDEX(Table3[[#All],[Age]],MATCH(Table5[[#This Row],[PID]],Table3[[#All],[PID]],0)))</f>
        <v>18</v>
      </c>
      <c r="H855" s="54" t="str">
        <f>IF($C855="B",INDEX(Batters[[#All],[B]],MATCH(Table5[[#This Row],[PID]],Batters[[#All],[PID]],0)),INDEX(Table3[[#All],[B]],MATCH(Table5[[#This Row],[PID]],Table3[[#All],[PID]],0)))</f>
        <v>L</v>
      </c>
      <c r="I855" s="54" t="str">
        <f>IF($C855="B",INDEX(Batters[[#All],[T]],MATCH(Table5[[#This Row],[PID]],Batters[[#All],[PID]],0)),INDEX(Table3[[#All],[T]],MATCH(Table5[[#This Row],[PID]],Table3[[#All],[PID]],0)))</f>
        <v>R</v>
      </c>
      <c r="J855" s="54" t="str">
        <f>IF($C855="B",INDEX(Batters[[#All],[WE]],MATCH(Table5[[#This Row],[PID]],Batters[[#All],[PID]],0)),INDEX(Table3[[#All],[WE]],MATCH(Table5[[#This Row],[PID]],Table3[[#All],[PID]],0)))</f>
        <v>Low</v>
      </c>
      <c r="K855" s="54" t="str">
        <f>IF($C855="B",INDEX(Batters[[#All],[INT]],MATCH(Table5[[#This Row],[PID]],Batters[[#All],[PID]],0)),INDEX(Table3[[#All],[INT]],MATCH(Table5[[#This Row],[PID]],Table3[[#All],[PID]],0)))</f>
        <v>Low</v>
      </c>
      <c r="L855" s="62">
        <f>IF($C855="B",INDEX(Batters[[#All],[CON P]],MATCH(Table5[[#This Row],[PID]],Batters[[#All],[PID]],0)),INDEX(Table3[[#All],[STU P]],MATCH(Table5[[#This Row],[PID]],Table3[[#All],[PID]],0)))</f>
        <v>3</v>
      </c>
      <c r="M855" s="58">
        <f>IF($C855="B",INDEX(Batters[[#All],[GAP P]],MATCH(Table5[[#This Row],[PID]],Batters[[#All],[PID]],0)),INDEX(Table3[[#All],[MOV P]],MATCH(Table5[[#This Row],[PID]],Table3[[#All],[PID]],0)))</f>
        <v>1</v>
      </c>
      <c r="N855" s="58">
        <f>IF($C855="B",INDEX(Batters[[#All],[POW P]],MATCH(Table5[[#This Row],[PID]],Batters[[#All],[PID]],0)),INDEX(Table3[[#All],[CON P]],MATCH(Table5[[#This Row],[PID]],Table3[[#All],[PID]],0)))</f>
        <v>2</v>
      </c>
      <c r="O855" s="58" t="str">
        <f>IF($C855="B",INDEX(Batters[[#All],[EYE P]],MATCH(Table5[[#This Row],[PID]],Batters[[#All],[PID]],0)),INDEX(Table3[[#All],[VELO]],MATCH(Table5[[#This Row],[PID]],Table3[[#All],[PID]],0)))</f>
        <v>85-87 Mph</v>
      </c>
      <c r="P855" s="58">
        <f>IF($C855="B",INDEX(Batters[[#All],[K P]],MATCH(Table5[[#This Row],[PID]],Batters[[#All],[PID]],0)),INDEX(Table3[[#All],[STM]],MATCH(Table5[[#This Row],[PID]],Table3[[#All],[PID]],0)))</f>
        <v>5</v>
      </c>
      <c r="Q855" s="63">
        <f>IF($C855="B",INDEX(Batters[[#All],[Tot]],MATCH(Table5[[#This Row],[PID]],Batters[[#All],[PID]],0)),INDEX(Table3[[#All],[Tot]],MATCH(Table5[[#This Row],[PID]],Table3[[#All],[PID]],0)))</f>
        <v>22.19902185318827</v>
      </c>
      <c r="R855" s="54">
        <f>IF($C855="B",INDEX(Batters[[#All],[zScore]],MATCH(Table5[[#This Row],[PID]],Batters[[#All],[PID]],0)),INDEX(Table3[[#All],[zScore]],MATCH(Table5[[#This Row],[PID]],Table3[[#All],[PID]],0)))</f>
        <v>-0.71833830057004899</v>
      </c>
      <c r="S855" s="60" t="str">
        <f>IF($C855="B",INDEX(Batters[[#All],[DEM]],MATCH(Table5[[#This Row],[PID]],Batters[[#All],[PID]],0)),INDEX(Table3[[#All],[DEM]],MATCH(Table5[[#This Row],[PID]],Table3[[#All],[PID]],0)))</f>
        <v>$75k</v>
      </c>
      <c r="T855" s="64">
        <f>IF($C855="B",VLOOKUP($A855,Bat!$A$4:$AU$1417,46,FALSE),VLOOKUP($A855,Pit!$A$4:$BD$570,55,FALSE))</f>
        <v>0</v>
      </c>
      <c r="U855" s="52">
        <f>IF($C855="B",VLOOKUP($A855,Bat!$A$4:$BA$1417,47,FALSE),VLOOKUP($A855,Pit!$A$4:$BF$570,56,FALSE))</f>
        <v>0</v>
      </c>
      <c r="V855" s="52">
        <f>IF($C855="B",VLOOKUP($A855,Bat!$A$4:$BA$1417,48,FALSE),VLOOKUP($A855,Pit!$A$4:$BF$570,57,FALSE))</f>
        <v>0</v>
      </c>
      <c r="W855" s="52">
        <f>Table5[[#This Row],[posRnk]]+Table5[[#This Row],[zRnk]]+IF($W$3&lt;&gt;Table5[[#This Row],[Type]],50,0)</f>
        <v>901</v>
      </c>
      <c r="X855" s="53">
        <f>RANK(Table5[[#This Row],[zScore]],Table5[[#All],[zScore]])</f>
        <v>851</v>
      </c>
      <c r="Y855" s="52" t="str">
        <f>IFERROR(INDEX(DraftResults[[#All],[OVR]],MATCH(Table5[[#This Row],[PID]],DraftResults[[#All],[Player ID]],0)),"")</f>
        <v/>
      </c>
      <c r="Z8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5" s="52" t="str">
        <f>IFERROR(INDEX(DraftResults[[#All],[Pick in Round]],MATCH(Table5[[#This Row],[PID]],DraftResults[[#All],[Player ID]],0)),"")</f>
        <v/>
      </c>
      <c r="AB855" s="52" t="str">
        <f>IFERROR(INDEX(DraftResults[[#All],[Team Name]],MATCH(Table5[[#This Row],[PID]],DraftResults[[#All],[Player ID]],0)),"")</f>
        <v/>
      </c>
      <c r="AC855" s="52" t="str">
        <f>IF(Table5[[#This Row],[Ovr]]="","",IF(Table5[[#This Row],[cmbList]]="","",Table5[[#This Row],[cmbList]]-Table5[[#This Row],[Ovr]]))</f>
        <v/>
      </c>
      <c r="AD855" s="56" t="str">
        <f>IF(ISERROR(VLOOKUP($AB855&amp;"-"&amp;$E855&amp;" "&amp;F855,Bonuses!$B$1:$G$1006,4,FALSE)),"",INT(VLOOKUP($AB855&amp;"-"&amp;$E855&amp;" "&amp;$F855,Bonuses!$B$1:$G$1006,4,FALSE)))</f>
        <v/>
      </c>
      <c r="AE8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6" spans="1:31" s="52" customFormat="1" x14ac:dyDescent="0.25">
      <c r="A856" s="52">
        <v>9600</v>
      </c>
      <c r="B856" s="57">
        <f>COUNTIF(Table5[PID],A856)</f>
        <v>1</v>
      </c>
      <c r="C856" s="57" t="str">
        <f>IF(COUNTIF(Table3[[#All],[PID]],A856)&gt;0,"P","B")</f>
        <v>B</v>
      </c>
      <c r="D856" s="61" t="str">
        <f>IF($C856="B",INDEX(Batters[[#All],[POS]],MATCH(Table5[[#This Row],[PID]],Batters[[#All],[PID]],0)),INDEX(Table3[[#All],[POS]],MATCH(Table5[[#This Row],[PID]],Table3[[#All],[PID]],0)))</f>
        <v>LF</v>
      </c>
      <c r="E856" s="54" t="str">
        <f>IF($C856="B",INDEX(Batters[[#All],[First]],MATCH(Table5[[#This Row],[PID]],Batters[[#All],[PID]],0)),INDEX(Table3[[#All],[First]],MATCH(Table5[[#This Row],[PID]],Table3[[#All],[PID]],0)))</f>
        <v>Ted</v>
      </c>
      <c r="F856" s="52" t="str">
        <f>IF($C856="B",INDEX(Batters[[#All],[Last]],MATCH(A856,Batters[[#All],[PID]],0)),INDEX(Table3[[#All],[Last]],MATCH(A856,Table3[[#All],[PID]],0)))</f>
        <v>Patton</v>
      </c>
      <c r="G856" s="58">
        <f>IF($C856="B",INDEX(Batters[[#All],[Age]],MATCH(Table5[[#This Row],[PID]],Batters[[#All],[PID]],0)),INDEX(Table3[[#All],[Age]],MATCH(Table5[[#This Row],[PID]],Table3[[#All],[PID]],0)))</f>
        <v>22</v>
      </c>
      <c r="H856" s="54" t="str">
        <f>IF($C856="B",INDEX(Batters[[#All],[B]],MATCH(Table5[[#This Row],[PID]],Batters[[#All],[PID]],0)),INDEX(Table3[[#All],[B]],MATCH(Table5[[#This Row],[PID]],Table3[[#All],[PID]],0)))</f>
        <v>R</v>
      </c>
      <c r="I856" s="54" t="str">
        <f>IF($C856="B",INDEX(Batters[[#All],[T]],MATCH(Table5[[#This Row],[PID]],Batters[[#All],[PID]],0)),INDEX(Table3[[#All],[T]],MATCH(Table5[[#This Row],[PID]],Table3[[#All],[PID]],0)))</f>
        <v>R</v>
      </c>
      <c r="J856" s="54" t="str">
        <f>IF($C856="B",INDEX(Batters[[#All],[WE]],MATCH(Table5[[#This Row],[PID]],Batters[[#All],[PID]],0)),INDEX(Table3[[#All],[WE]],MATCH(Table5[[#This Row],[PID]],Table3[[#All],[PID]],0)))</f>
        <v>Low</v>
      </c>
      <c r="K856" s="54" t="str">
        <f>IF($C856="B",INDEX(Batters[[#All],[INT]],MATCH(Table5[[#This Row],[PID]],Batters[[#All],[PID]],0)),INDEX(Table3[[#All],[INT]],MATCH(Table5[[#This Row],[PID]],Table3[[#All],[PID]],0)))</f>
        <v>Normal</v>
      </c>
      <c r="L856" s="62">
        <f>IF($C856="B",INDEX(Batters[[#All],[CON P]],MATCH(Table5[[#This Row],[PID]],Batters[[#All],[PID]],0)),INDEX(Table3[[#All],[STU P]],MATCH(Table5[[#This Row],[PID]],Table3[[#All],[PID]],0)))</f>
        <v>3</v>
      </c>
      <c r="M856" s="58">
        <f>IF($C856="B",INDEX(Batters[[#All],[GAP P]],MATCH(Table5[[#This Row],[PID]],Batters[[#All],[PID]],0)),INDEX(Table3[[#All],[MOV P]],MATCH(Table5[[#This Row],[PID]],Table3[[#All],[PID]],0)))</f>
        <v>3</v>
      </c>
      <c r="N856" s="58">
        <f>IF($C856="B",INDEX(Batters[[#All],[POW P]],MATCH(Table5[[#This Row],[PID]],Batters[[#All],[PID]],0)),INDEX(Table3[[#All],[CON P]],MATCH(Table5[[#This Row],[PID]],Table3[[#All],[PID]],0)))</f>
        <v>3</v>
      </c>
      <c r="O856" s="58">
        <f>IF($C856="B",INDEX(Batters[[#All],[EYE P]],MATCH(Table5[[#This Row],[PID]],Batters[[#All],[PID]],0)),INDEX(Table3[[#All],[VELO]],MATCH(Table5[[#This Row],[PID]],Table3[[#All],[PID]],0)))</f>
        <v>5</v>
      </c>
      <c r="P856" s="58">
        <f>IF($C856="B",INDEX(Batters[[#All],[K P]],MATCH(Table5[[#This Row],[PID]],Batters[[#All],[PID]],0)),INDEX(Table3[[#All],[STM]],MATCH(Table5[[#This Row],[PID]],Table3[[#All],[PID]],0)))</f>
        <v>4</v>
      </c>
      <c r="Q856" s="63">
        <f>IF($C856="B",INDEX(Batters[[#All],[Tot]],MATCH(Table5[[#This Row],[PID]],Batters[[#All],[PID]],0)),INDEX(Table3[[#All],[Tot]],MATCH(Table5[[#This Row],[PID]],Table3[[#All],[PID]],0)))</f>
        <v>36.262262551618527</v>
      </c>
      <c r="R856" s="54">
        <f>IF($C856="B",INDEX(Batters[[#All],[zScore]],MATCH(Table5[[#This Row],[PID]],Batters[[#All],[PID]],0)),INDEX(Table3[[#All],[zScore]],MATCH(Table5[[#This Row],[PID]],Table3[[#All],[PID]],0)))</f>
        <v>-0.7189018700171923</v>
      </c>
      <c r="S856" s="60" t="str">
        <f>IF($C856="B",INDEX(Batters[[#All],[DEM]],MATCH(Table5[[#This Row],[PID]],Batters[[#All],[PID]],0)),INDEX(Table3[[#All],[DEM]],MATCH(Table5[[#This Row],[PID]],Table3[[#All],[PID]],0)))</f>
        <v>-</v>
      </c>
      <c r="T856" s="64">
        <f>IF($C856="B",VLOOKUP($A856,Bat!$A$4:$AU$1417,46,FALSE),VLOOKUP($A856,Pit!$A$4:$BD$570,55,FALSE))</f>
        <v>0</v>
      </c>
      <c r="U856" s="52">
        <f>IF($C856="B",VLOOKUP($A856,Bat!$A$4:$BA$1417,47,FALSE),VLOOKUP($A856,Pit!$A$4:$BF$570,56,FALSE))</f>
        <v>0</v>
      </c>
      <c r="V856" s="52">
        <f>IF($C856="B",VLOOKUP($A856,Bat!$A$4:$BA$1417,48,FALSE),VLOOKUP($A856,Pit!$A$4:$BF$570,57,FALSE))</f>
        <v>0</v>
      </c>
      <c r="W856" s="52">
        <f>Table5[[#This Row],[posRnk]]+Table5[[#This Row],[zRnk]]+IF($W$3&lt;&gt;Table5[[#This Row],[Type]],50,0)</f>
        <v>902</v>
      </c>
      <c r="X856" s="53">
        <f>RANK(Table5[[#This Row],[zScore]],Table5[[#All],[zScore]])</f>
        <v>852</v>
      </c>
      <c r="Y856" s="52" t="str">
        <f>IFERROR(INDEX(DraftResults[[#All],[OVR]],MATCH(Table5[[#This Row],[PID]],DraftResults[[#All],[Player ID]],0)),"")</f>
        <v/>
      </c>
      <c r="Z8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6" s="52" t="str">
        <f>IFERROR(INDEX(DraftResults[[#All],[Pick in Round]],MATCH(Table5[[#This Row],[PID]],DraftResults[[#All],[Player ID]],0)),"")</f>
        <v/>
      </c>
      <c r="AB856" s="52" t="str">
        <f>IFERROR(INDEX(DraftResults[[#All],[Team Name]],MATCH(Table5[[#This Row],[PID]],DraftResults[[#All],[Player ID]],0)),"")</f>
        <v/>
      </c>
      <c r="AC856" s="52" t="str">
        <f>IF(Table5[[#This Row],[Ovr]]="","",IF(Table5[[#This Row],[cmbList]]="","",Table5[[#This Row],[cmbList]]-Table5[[#This Row],[Ovr]]))</f>
        <v/>
      </c>
      <c r="AD856" s="56" t="str">
        <f>IF(ISERROR(VLOOKUP($AB856&amp;"-"&amp;$E856&amp;" "&amp;F856,Bonuses!$B$1:$G$1006,4,FALSE)),"",INT(VLOOKUP($AB856&amp;"-"&amp;$E856&amp;" "&amp;$F856,Bonuses!$B$1:$G$1006,4,FALSE)))</f>
        <v/>
      </c>
      <c r="AE8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7" spans="1:31" s="52" customFormat="1" x14ac:dyDescent="0.25">
      <c r="A857" s="52">
        <v>2795</v>
      </c>
      <c r="B857" s="52">
        <f>COUNTIF(Table5[PID],A857)</f>
        <v>1</v>
      </c>
      <c r="C857" s="52" t="str">
        <f>IF(COUNTIF(Table3[[#All],[PID]],A857)&gt;0,"P","B")</f>
        <v>B</v>
      </c>
      <c r="D857" s="61" t="str">
        <f>IF($C857="B",INDEX(Batters[[#All],[POS]],MATCH(Table5[[#This Row],[PID]],Batters[[#All],[PID]],0)),INDEX(Table3[[#All],[POS]],MATCH(Table5[[#This Row],[PID]],Table3[[#All],[PID]],0)))</f>
        <v>C</v>
      </c>
      <c r="E857" s="54" t="str">
        <f>IF($C857="B",INDEX(Batters[[#All],[First]],MATCH(Table5[[#This Row],[PID]],Batters[[#All],[PID]],0)),INDEX(Table3[[#All],[First]],MATCH(Table5[[#This Row],[PID]],Table3[[#All],[PID]],0)))</f>
        <v>Matsuyo</v>
      </c>
      <c r="F857" s="52" t="str">
        <f>IF($C857="B",INDEX(Batters[[#All],[Last]],MATCH(A857,Batters[[#All],[PID]],0)),INDEX(Table3[[#All],[Last]],MATCH(A857,Table3[[#All],[PID]],0)))</f>
        <v>Nishimura</v>
      </c>
      <c r="G857" s="58">
        <f>IF($C857="B",INDEX(Batters[[#All],[Age]],MATCH(Table5[[#This Row],[PID]],Batters[[#All],[PID]],0)),INDEX(Table3[[#All],[Age]],MATCH(Table5[[#This Row],[PID]],Table3[[#All],[PID]],0)))</f>
        <v>21</v>
      </c>
      <c r="H857" s="54" t="str">
        <f>IF($C857="B",INDEX(Batters[[#All],[B]],MATCH(Table5[[#This Row],[PID]],Batters[[#All],[PID]],0)),INDEX(Table3[[#All],[B]],MATCH(Table5[[#This Row],[PID]],Table3[[#All],[PID]],0)))</f>
        <v>S</v>
      </c>
      <c r="I857" s="54" t="str">
        <f>IF($C857="B",INDEX(Batters[[#All],[T]],MATCH(Table5[[#This Row],[PID]],Batters[[#All],[PID]],0)),INDEX(Table3[[#All],[T]],MATCH(Table5[[#This Row],[PID]],Table3[[#All],[PID]],0)))</f>
        <v>R</v>
      </c>
      <c r="J857" s="54" t="str">
        <f>IF($C857="B",INDEX(Batters[[#All],[WE]],MATCH(Table5[[#This Row],[PID]],Batters[[#All],[PID]],0)),INDEX(Table3[[#All],[WE]],MATCH(Table5[[#This Row],[PID]],Table3[[#All],[PID]],0)))</f>
        <v>Low</v>
      </c>
      <c r="K857" s="54" t="str">
        <f>IF($C857="B",INDEX(Batters[[#All],[INT]],MATCH(Table5[[#This Row],[PID]],Batters[[#All],[PID]],0)),INDEX(Table3[[#All],[INT]],MATCH(Table5[[#This Row],[PID]],Table3[[#All],[PID]],0)))</f>
        <v>Normal</v>
      </c>
      <c r="L857" s="62">
        <f>IF($C857="B",INDEX(Batters[[#All],[CON P]],MATCH(Table5[[#This Row],[PID]],Batters[[#All],[PID]],0)),INDEX(Table3[[#All],[STU P]],MATCH(Table5[[#This Row],[PID]],Table3[[#All],[PID]],0)))</f>
        <v>3</v>
      </c>
      <c r="M857" s="58">
        <f>IF($C857="B",INDEX(Batters[[#All],[GAP P]],MATCH(Table5[[#This Row],[PID]],Batters[[#All],[PID]],0)),INDEX(Table3[[#All],[MOV P]],MATCH(Table5[[#This Row],[PID]],Table3[[#All],[PID]],0)))</f>
        <v>3</v>
      </c>
      <c r="N857" s="58">
        <f>IF($C857="B",INDEX(Batters[[#All],[POW P]],MATCH(Table5[[#This Row],[PID]],Batters[[#All],[PID]],0)),INDEX(Table3[[#All],[CON P]],MATCH(Table5[[#This Row],[PID]],Table3[[#All],[PID]],0)))</f>
        <v>3</v>
      </c>
      <c r="O857" s="58">
        <f>IF($C857="B",INDEX(Batters[[#All],[EYE P]],MATCH(Table5[[#This Row],[PID]],Batters[[#All],[PID]],0)),INDEX(Table3[[#All],[VELO]],MATCH(Table5[[#This Row],[PID]],Table3[[#All],[PID]],0)))</f>
        <v>5</v>
      </c>
      <c r="P857" s="58">
        <f>IF($C857="B",INDEX(Batters[[#All],[K P]],MATCH(Table5[[#This Row],[PID]],Batters[[#All],[PID]],0)),INDEX(Table3[[#All],[STM]],MATCH(Table5[[#This Row],[PID]],Table3[[#All],[PID]],0)))</f>
        <v>4</v>
      </c>
      <c r="Q857" s="63">
        <f>IF($C857="B",INDEX(Batters[[#All],[Tot]],MATCH(Table5[[#This Row],[PID]],Batters[[#All],[PID]],0)),INDEX(Table3[[#All],[Tot]],MATCH(Table5[[#This Row],[PID]],Table3[[#All],[PID]],0)))</f>
        <v>36.259062390178009</v>
      </c>
      <c r="R857" s="54">
        <f>IF($C857="B",INDEX(Batters[[#All],[zScore]],MATCH(Table5[[#This Row],[PID]],Batters[[#All],[PID]],0)),INDEX(Table3[[#All],[zScore]],MATCH(Table5[[#This Row],[PID]],Table3[[#All],[PID]],0)))</f>
        <v>-0.71946491715340755</v>
      </c>
      <c r="S857" s="60" t="str">
        <f>IF($C857="B",INDEX(Batters[[#All],[DEM]],MATCH(Table5[[#This Row],[PID]],Batters[[#All],[PID]],0)),INDEX(Table3[[#All],[DEM]],MATCH(Table5[[#This Row],[PID]],Table3[[#All],[PID]],0)))</f>
        <v>$20k</v>
      </c>
      <c r="T857" s="64">
        <f>IF($C857="B",VLOOKUP($A857,Bat!$A$4:$AU$1417,46,FALSE),VLOOKUP($A857,Pit!$A$4:$BD$570,55,FALSE))</f>
        <v>0</v>
      </c>
      <c r="U857" s="52">
        <f>IF($C857="B",VLOOKUP($A857,Bat!$A$4:$BA$1417,47,FALSE),VLOOKUP($A857,Pit!$A$4:$BF$570,56,FALSE))</f>
        <v>0</v>
      </c>
      <c r="V857" s="52">
        <f>IF($C857="B",VLOOKUP($A857,Bat!$A$4:$BA$1417,48,FALSE),VLOOKUP($A857,Pit!$A$4:$BF$570,57,FALSE))</f>
        <v>0</v>
      </c>
      <c r="W857" s="52">
        <f>Table5[[#This Row],[posRnk]]+Table5[[#This Row],[zRnk]]+IF($W$3&lt;&gt;Table5[[#This Row],[Type]],50,0)</f>
        <v>903</v>
      </c>
      <c r="X857" s="53">
        <f>RANK(Table5[[#This Row],[zScore]],Table5[[#All],[zScore]])</f>
        <v>853</v>
      </c>
      <c r="Y857" s="52" t="str">
        <f>IFERROR(INDEX(DraftResults[[#All],[OVR]],MATCH(Table5[[#This Row],[PID]],DraftResults[[#All],[Player ID]],0)),"")</f>
        <v/>
      </c>
      <c r="Z8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7" s="52" t="str">
        <f>IFERROR(INDEX(DraftResults[[#All],[Pick in Round]],MATCH(Table5[[#This Row],[PID]],DraftResults[[#All],[Player ID]],0)),"")</f>
        <v/>
      </c>
      <c r="AB857" s="52" t="str">
        <f>IFERROR(INDEX(DraftResults[[#All],[Team Name]],MATCH(Table5[[#This Row],[PID]],DraftResults[[#All],[Player ID]],0)),"")</f>
        <v/>
      </c>
      <c r="AC857" s="52" t="str">
        <f>IF(Table5[[#This Row],[Ovr]]="","",IF(Table5[[#This Row],[cmbList]]="","",Table5[[#This Row],[cmbList]]-Table5[[#This Row],[Ovr]]))</f>
        <v/>
      </c>
      <c r="AD857" s="56" t="str">
        <f>IF(ISERROR(VLOOKUP($AB857&amp;"-"&amp;$E857&amp;" "&amp;F857,Bonuses!$B$1:$G$1006,4,FALSE)),"",INT(VLOOKUP($AB857&amp;"-"&amp;$E857&amp;" "&amp;$F857,Bonuses!$B$1:$G$1006,4,FALSE)))</f>
        <v/>
      </c>
      <c r="AE8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8" spans="1:31" s="52" customFormat="1" x14ac:dyDescent="0.25">
      <c r="A858" s="52">
        <v>17876</v>
      </c>
      <c r="B858" s="52">
        <f>COUNTIF(Table5[PID],A858)</f>
        <v>1</v>
      </c>
      <c r="C858" s="52" t="str">
        <f>IF(COUNTIF(Table3[[#All],[PID]],A858)&gt;0,"P","B")</f>
        <v>P</v>
      </c>
      <c r="D858" s="61" t="str">
        <f>IF($C858="B",INDEX(Batters[[#All],[POS]],MATCH(Table5[[#This Row],[PID]],Batters[[#All],[PID]],0)),INDEX(Table3[[#All],[POS]],MATCH(Table5[[#This Row],[PID]],Table3[[#All],[PID]],0)))</f>
        <v>RP</v>
      </c>
      <c r="E858" s="54" t="str">
        <f>IF($C858="B",INDEX(Batters[[#All],[First]],MATCH(Table5[[#This Row],[PID]],Batters[[#All],[PID]],0)),INDEX(Table3[[#All],[First]],MATCH(Table5[[#This Row],[PID]],Table3[[#All],[PID]],0)))</f>
        <v>Tony</v>
      </c>
      <c r="F858" s="52" t="str">
        <f>IF($C858="B",INDEX(Batters[[#All],[Last]],MATCH(A858,Batters[[#All],[PID]],0)),INDEX(Table3[[#All],[Last]],MATCH(A858,Table3[[#All],[PID]],0)))</f>
        <v>Hernández</v>
      </c>
      <c r="G858" s="58">
        <f>IF($C858="B",INDEX(Batters[[#All],[Age]],MATCH(Table5[[#This Row],[PID]],Batters[[#All],[PID]],0)),INDEX(Table3[[#All],[Age]],MATCH(Table5[[#This Row],[PID]],Table3[[#All],[PID]],0)))</f>
        <v>18</v>
      </c>
      <c r="H858" s="54" t="str">
        <f>IF($C858="B",INDEX(Batters[[#All],[B]],MATCH(Table5[[#This Row],[PID]],Batters[[#All],[PID]],0)),INDEX(Table3[[#All],[B]],MATCH(Table5[[#This Row],[PID]],Table3[[#All],[PID]],0)))</f>
        <v>S</v>
      </c>
      <c r="I858" s="54" t="str">
        <f>IF($C858="B",INDEX(Batters[[#All],[T]],MATCH(Table5[[#This Row],[PID]],Batters[[#All],[PID]],0)),INDEX(Table3[[#All],[T]],MATCH(Table5[[#This Row],[PID]],Table3[[#All],[PID]],0)))</f>
        <v>R</v>
      </c>
      <c r="J858" s="54" t="str">
        <f>IF($C858="B",INDEX(Batters[[#All],[WE]],MATCH(Table5[[#This Row],[PID]],Batters[[#All],[PID]],0)),INDEX(Table3[[#All],[WE]],MATCH(Table5[[#This Row],[PID]],Table3[[#All],[PID]],0)))</f>
        <v>Normal</v>
      </c>
      <c r="K858" s="54" t="str">
        <f>IF($C858="B",INDEX(Batters[[#All],[INT]],MATCH(Table5[[#This Row],[PID]],Batters[[#All],[PID]],0)),INDEX(Table3[[#All],[INT]],MATCH(Table5[[#This Row],[PID]],Table3[[#All],[PID]],0)))</f>
        <v>Normal</v>
      </c>
      <c r="L858" s="62">
        <f>IF($C858="B",INDEX(Batters[[#All],[CON P]],MATCH(Table5[[#This Row],[PID]],Batters[[#All],[PID]],0)),INDEX(Table3[[#All],[STU P]],MATCH(Table5[[#This Row],[PID]],Table3[[#All],[PID]],0)))</f>
        <v>4</v>
      </c>
      <c r="M858" s="58">
        <f>IF($C858="B",INDEX(Batters[[#All],[GAP P]],MATCH(Table5[[#This Row],[PID]],Batters[[#All],[PID]],0)),INDEX(Table3[[#All],[MOV P]],MATCH(Table5[[#This Row],[PID]],Table3[[#All],[PID]],0)))</f>
        <v>1</v>
      </c>
      <c r="N858" s="58">
        <f>IF($C858="B",INDEX(Batters[[#All],[POW P]],MATCH(Table5[[#This Row],[PID]],Batters[[#All],[PID]],0)),INDEX(Table3[[#All],[CON P]],MATCH(Table5[[#This Row],[PID]],Table3[[#All],[PID]],0)))</f>
        <v>2</v>
      </c>
      <c r="O858" s="58" t="str">
        <f>IF($C858="B",INDEX(Batters[[#All],[EYE P]],MATCH(Table5[[#This Row],[PID]],Batters[[#All],[PID]],0)),INDEX(Table3[[#All],[VELO]],MATCH(Table5[[#This Row],[PID]],Table3[[#All],[PID]],0)))</f>
        <v>87-89 Mph</v>
      </c>
      <c r="P858" s="58">
        <f>IF($C858="B",INDEX(Batters[[#All],[K P]],MATCH(Table5[[#This Row],[PID]],Batters[[#All],[PID]],0)),INDEX(Table3[[#All],[STM]],MATCH(Table5[[#This Row],[PID]],Table3[[#All],[PID]],0)))</f>
        <v>7</v>
      </c>
      <c r="Q858" s="63">
        <f>IF($C858="B",INDEX(Batters[[#All],[Tot]],MATCH(Table5[[#This Row],[PID]],Batters[[#All],[PID]],0)),INDEX(Table3[[#All],[Tot]],MATCH(Table5[[#This Row],[PID]],Table3[[#All],[PID]],0)))</f>
        <v>24.867804199428566</v>
      </c>
      <c r="R858" s="54">
        <f>IF($C858="B",INDEX(Batters[[#All],[zScore]],MATCH(Table5[[#This Row],[PID]],Batters[[#All],[PID]],0)),INDEX(Table3[[#All],[zScore]],MATCH(Table5[[#This Row],[PID]],Table3[[#All],[PID]],0)))</f>
        <v>-0.7202863288403798</v>
      </c>
      <c r="S858" s="60" t="str">
        <f>IF($C858="B",INDEX(Batters[[#All],[DEM]],MATCH(Table5[[#This Row],[PID]],Batters[[#All],[PID]],0)),INDEX(Table3[[#All],[DEM]],MATCH(Table5[[#This Row],[PID]],Table3[[#All],[PID]],0)))</f>
        <v>$70k</v>
      </c>
      <c r="T858" s="64">
        <f>IF($C858="B",VLOOKUP($A858,Bat!$A$4:$AU$1417,46,FALSE),VLOOKUP($A858,Pit!$A$4:$BD$570,55,FALSE))</f>
        <v>0</v>
      </c>
      <c r="U858" s="52">
        <f>IF($C858="B",VLOOKUP($A858,Bat!$A$4:$BA$1417,47,FALSE),VLOOKUP($A858,Pit!$A$4:$BF$570,56,FALSE))</f>
        <v>0</v>
      </c>
      <c r="V858" s="52">
        <f>IF($C858="B",VLOOKUP($A858,Bat!$A$4:$BA$1417,48,FALSE),VLOOKUP($A858,Pit!$A$4:$BF$570,57,FALSE))</f>
        <v>0</v>
      </c>
      <c r="W858" s="52">
        <f>Table5[[#This Row],[posRnk]]+Table5[[#This Row],[zRnk]]+IF($W$3&lt;&gt;Table5[[#This Row],[Type]],50,0)</f>
        <v>904</v>
      </c>
      <c r="X858" s="53">
        <f>RANK(Table5[[#This Row],[zScore]],Table5[[#All],[zScore]])</f>
        <v>854</v>
      </c>
      <c r="Y858" s="52" t="str">
        <f>IFERROR(INDEX(DraftResults[[#All],[OVR]],MATCH(Table5[[#This Row],[PID]],DraftResults[[#All],[Player ID]],0)),"")</f>
        <v/>
      </c>
      <c r="Z8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8" s="52" t="str">
        <f>IFERROR(INDEX(DraftResults[[#All],[Pick in Round]],MATCH(Table5[[#This Row],[PID]],DraftResults[[#All],[Player ID]],0)),"")</f>
        <v/>
      </c>
      <c r="AB858" s="52" t="str">
        <f>IFERROR(INDEX(DraftResults[[#All],[Team Name]],MATCH(Table5[[#This Row],[PID]],DraftResults[[#All],[Player ID]],0)),"")</f>
        <v/>
      </c>
      <c r="AC858" s="52" t="str">
        <f>IF(Table5[[#This Row],[Ovr]]="","",IF(Table5[[#This Row],[cmbList]]="","",Table5[[#This Row],[cmbList]]-Table5[[#This Row],[Ovr]]))</f>
        <v/>
      </c>
      <c r="AD858" s="56" t="str">
        <f>IF(ISERROR(VLOOKUP($AB858&amp;"-"&amp;$E858&amp;" "&amp;F858,Bonuses!$B$1:$G$1006,4,FALSE)),"",INT(VLOOKUP($AB858&amp;"-"&amp;$E858&amp;" "&amp;$F858,Bonuses!$B$1:$G$1006,4,FALSE)))</f>
        <v/>
      </c>
      <c r="AE8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9" spans="1:31" s="52" customFormat="1" x14ac:dyDescent="0.25">
      <c r="A859" s="52">
        <v>17777</v>
      </c>
      <c r="B859" s="52">
        <f>COUNTIF(Table5[PID],A859)</f>
        <v>1</v>
      </c>
      <c r="C859" s="52" t="str">
        <f>IF(COUNTIF(Table3[[#All],[PID]],A859)&gt;0,"P","B")</f>
        <v>P</v>
      </c>
      <c r="D859" s="61" t="str">
        <f>IF($C859="B",INDEX(Batters[[#All],[POS]],MATCH(Table5[[#This Row],[PID]],Batters[[#All],[PID]],0)),INDEX(Table3[[#All],[POS]],MATCH(Table5[[#This Row],[PID]],Table3[[#All],[PID]],0)))</f>
        <v>RP</v>
      </c>
      <c r="E859" s="54" t="str">
        <f>IF($C859="B",INDEX(Batters[[#All],[First]],MATCH(Table5[[#This Row],[PID]],Batters[[#All],[PID]],0)),INDEX(Table3[[#All],[First]],MATCH(Table5[[#This Row],[PID]],Table3[[#All],[PID]],0)))</f>
        <v>Kojuro</v>
      </c>
      <c r="F859" s="52" t="str">
        <f>IF($C859="B",INDEX(Batters[[#All],[Last]],MATCH(A859,Batters[[#All],[PID]],0)),INDEX(Table3[[#All],[Last]],MATCH(A859,Table3[[#All],[PID]],0)))</f>
        <v>Suzuki</v>
      </c>
      <c r="G859" s="58">
        <f>IF($C859="B",INDEX(Batters[[#All],[Age]],MATCH(Table5[[#This Row],[PID]],Batters[[#All],[PID]],0)),INDEX(Table3[[#All],[Age]],MATCH(Table5[[#This Row],[PID]],Table3[[#All],[PID]],0)))</f>
        <v>21</v>
      </c>
      <c r="H859" s="54" t="str">
        <f>IF($C859="B",INDEX(Batters[[#All],[B]],MATCH(Table5[[#This Row],[PID]],Batters[[#All],[PID]],0)),INDEX(Table3[[#All],[B]],MATCH(Table5[[#This Row],[PID]],Table3[[#All],[PID]],0)))</f>
        <v>L</v>
      </c>
      <c r="I859" s="54" t="str">
        <f>IF($C859="B",INDEX(Batters[[#All],[T]],MATCH(Table5[[#This Row],[PID]],Batters[[#All],[PID]],0)),INDEX(Table3[[#All],[T]],MATCH(Table5[[#This Row],[PID]],Table3[[#All],[PID]],0)))</f>
        <v>L</v>
      </c>
      <c r="J859" s="54" t="str">
        <f>IF($C859="B",INDEX(Batters[[#All],[WE]],MATCH(Table5[[#This Row],[PID]],Batters[[#All],[PID]],0)),INDEX(Table3[[#All],[WE]],MATCH(Table5[[#This Row],[PID]],Table3[[#All],[PID]],0)))</f>
        <v>Normal</v>
      </c>
      <c r="K859" s="54" t="str">
        <f>IF($C859="B",INDEX(Batters[[#All],[INT]],MATCH(Table5[[#This Row],[PID]],Batters[[#All],[PID]],0)),INDEX(Table3[[#All],[INT]],MATCH(Table5[[#This Row],[PID]],Table3[[#All],[PID]],0)))</f>
        <v>Normal</v>
      </c>
      <c r="L859" s="62">
        <f>IF($C859="B",INDEX(Batters[[#All],[CON P]],MATCH(Table5[[#This Row],[PID]],Batters[[#All],[PID]],0)),INDEX(Table3[[#All],[STU P]],MATCH(Table5[[#This Row],[PID]],Table3[[#All],[PID]],0)))</f>
        <v>5</v>
      </c>
      <c r="M859" s="58">
        <f>IF($C859="B",INDEX(Batters[[#All],[GAP P]],MATCH(Table5[[#This Row],[PID]],Batters[[#All],[PID]],0)),INDEX(Table3[[#All],[MOV P]],MATCH(Table5[[#This Row],[PID]],Table3[[#All],[PID]],0)))</f>
        <v>2</v>
      </c>
      <c r="N859" s="58">
        <f>IF($C859="B",INDEX(Batters[[#All],[POW P]],MATCH(Table5[[#This Row],[PID]],Batters[[#All],[PID]],0)),INDEX(Table3[[#All],[CON P]],MATCH(Table5[[#This Row],[PID]],Table3[[#All],[PID]],0)))</f>
        <v>1</v>
      </c>
      <c r="O859" s="58" t="str">
        <f>IF($C859="B",INDEX(Batters[[#All],[EYE P]],MATCH(Table5[[#This Row],[PID]],Batters[[#All],[PID]],0)),INDEX(Table3[[#All],[VELO]],MATCH(Table5[[#This Row],[PID]],Table3[[#All],[PID]],0)))</f>
        <v>87-89 Mph</v>
      </c>
      <c r="P859" s="58">
        <f>IF($C859="B",INDEX(Batters[[#All],[K P]],MATCH(Table5[[#This Row],[PID]],Batters[[#All],[PID]],0)),INDEX(Table3[[#All],[STM]],MATCH(Table5[[#This Row],[PID]],Table3[[#All],[PID]],0)))</f>
        <v>7</v>
      </c>
      <c r="Q859" s="63">
        <f>IF($C859="B",INDEX(Batters[[#All],[Tot]],MATCH(Table5[[#This Row],[PID]],Batters[[#All],[PID]],0)),INDEX(Table3[[#All],[Tot]],MATCH(Table5[[#This Row],[PID]],Table3[[#All],[PID]],0)))</f>
        <v>24.862791962032773</v>
      </c>
      <c r="R859" s="54">
        <f>IF($C859="B",INDEX(Batters[[#All],[zScore]],MATCH(Table5[[#This Row],[PID]],Batters[[#All],[PID]],0)),INDEX(Table3[[#All],[zScore]],MATCH(Table5[[#This Row],[PID]],Table3[[#All],[PID]],0)))</f>
        <v>-0.72074597243232685</v>
      </c>
      <c r="S859" s="60" t="str">
        <f>IF($C859="B",INDEX(Batters[[#All],[DEM]],MATCH(Table5[[#This Row],[PID]],Batters[[#All],[PID]],0)),INDEX(Table3[[#All],[DEM]],MATCH(Table5[[#This Row],[PID]],Table3[[#All],[PID]],0)))</f>
        <v>-</v>
      </c>
      <c r="T859" s="64">
        <f>IF($C859="B",VLOOKUP($A859,Bat!$A$4:$AU$1417,46,FALSE),VLOOKUP($A859,Pit!$A$4:$BD$570,55,FALSE))</f>
        <v>0</v>
      </c>
      <c r="U859" s="52">
        <f>IF($C859="B",VLOOKUP($A859,Bat!$A$4:$BA$1417,47,FALSE),VLOOKUP($A859,Pit!$A$4:$BF$570,56,FALSE))</f>
        <v>0</v>
      </c>
      <c r="V859" s="52">
        <f>IF($C859="B",VLOOKUP($A859,Bat!$A$4:$BA$1417,48,FALSE),VLOOKUP($A859,Pit!$A$4:$BF$570,57,FALSE))</f>
        <v>0</v>
      </c>
      <c r="W859" s="52">
        <f>Table5[[#This Row],[posRnk]]+Table5[[#This Row],[zRnk]]+IF($W$3&lt;&gt;Table5[[#This Row],[Type]],50,0)</f>
        <v>905</v>
      </c>
      <c r="X859" s="53">
        <f>RANK(Table5[[#This Row],[zScore]],Table5[[#All],[zScore]])</f>
        <v>855</v>
      </c>
      <c r="Y859" s="52" t="str">
        <f>IFERROR(INDEX(DraftResults[[#All],[OVR]],MATCH(Table5[[#This Row],[PID]],DraftResults[[#All],[Player ID]],0)),"")</f>
        <v/>
      </c>
      <c r="Z8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9" s="52" t="str">
        <f>IFERROR(INDEX(DraftResults[[#All],[Pick in Round]],MATCH(Table5[[#This Row],[PID]],DraftResults[[#All],[Player ID]],0)),"")</f>
        <v/>
      </c>
      <c r="AB859" s="52" t="str">
        <f>IFERROR(INDEX(DraftResults[[#All],[Team Name]],MATCH(Table5[[#This Row],[PID]],DraftResults[[#All],[Player ID]],0)),"")</f>
        <v/>
      </c>
      <c r="AC859" s="52" t="str">
        <f>IF(Table5[[#This Row],[Ovr]]="","",IF(Table5[[#This Row],[cmbList]]="","",Table5[[#This Row],[cmbList]]-Table5[[#This Row],[Ovr]]))</f>
        <v/>
      </c>
      <c r="AD859" s="56" t="str">
        <f>IF(ISERROR(VLOOKUP($AB859&amp;"-"&amp;$E859&amp;" "&amp;F859,Bonuses!$B$1:$G$1006,4,FALSE)),"",INT(VLOOKUP($AB859&amp;"-"&amp;$E859&amp;" "&amp;$F859,Bonuses!$B$1:$G$1006,4,FALSE)))</f>
        <v/>
      </c>
      <c r="AE8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0" spans="1:31" s="52" customFormat="1" x14ac:dyDescent="0.25">
      <c r="A860" s="52">
        <v>6107</v>
      </c>
      <c r="B860" s="52">
        <f>COUNTIF(Table5[PID],A860)</f>
        <v>1</v>
      </c>
      <c r="C860" s="52" t="str">
        <f>IF(COUNTIF(Table3[[#All],[PID]],A860)&gt;0,"P","B")</f>
        <v>P</v>
      </c>
      <c r="D860" s="61" t="str">
        <f>IF($C860="B",INDEX(Batters[[#All],[POS]],MATCH(Table5[[#This Row],[PID]],Batters[[#All],[PID]],0)),INDEX(Table3[[#All],[POS]],MATCH(Table5[[#This Row],[PID]],Table3[[#All],[PID]],0)))</f>
        <v>RP</v>
      </c>
      <c r="E860" s="54" t="str">
        <f>IF($C860="B",INDEX(Batters[[#All],[First]],MATCH(Table5[[#This Row],[PID]],Batters[[#All],[PID]],0)),INDEX(Table3[[#All],[First]],MATCH(Table5[[#This Row],[PID]],Table3[[#All],[PID]],0)))</f>
        <v>Ken</v>
      </c>
      <c r="F860" s="52" t="str">
        <f>IF($C860="B",INDEX(Batters[[#All],[Last]],MATCH(A860,Batters[[#All],[PID]],0)),INDEX(Table3[[#All],[Last]],MATCH(A860,Table3[[#All],[PID]],0)))</f>
        <v>Collins</v>
      </c>
      <c r="G860" s="58">
        <f>IF($C860="B",INDEX(Batters[[#All],[Age]],MATCH(Table5[[#This Row],[PID]],Batters[[#All],[PID]],0)),INDEX(Table3[[#All],[Age]],MATCH(Table5[[#This Row],[PID]],Table3[[#All],[PID]],0)))</f>
        <v>18</v>
      </c>
      <c r="H860" s="54" t="str">
        <f>IF($C860="B",INDEX(Batters[[#All],[B]],MATCH(Table5[[#This Row],[PID]],Batters[[#All],[PID]],0)),INDEX(Table3[[#All],[B]],MATCH(Table5[[#This Row],[PID]],Table3[[#All],[PID]],0)))</f>
        <v>R</v>
      </c>
      <c r="I860" s="54" t="str">
        <f>IF($C860="B",INDEX(Batters[[#All],[T]],MATCH(Table5[[#This Row],[PID]],Batters[[#All],[PID]],0)),INDEX(Table3[[#All],[T]],MATCH(Table5[[#This Row],[PID]],Table3[[#All],[PID]],0)))</f>
        <v>R</v>
      </c>
      <c r="J860" s="54" t="str">
        <f>IF($C860="B",INDEX(Batters[[#All],[WE]],MATCH(Table5[[#This Row],[PID]],Batters[[#All],[PID]],0)),INDEX(Table3[[#All],[WE]],MATCH(Table5[[#This Row],[PID]],Table3[[#All],[PID]],0)))</f>
        <v>High</v>
      </c>
      <c r="K860" s="54" t="str">
        <f>IF($C860="B",INDEX(Batters[[#All],[INT]],MATCH(Table5[[#This Row],[PID]],Batters[[#All],[PID]],0)),INDEX(Table3[[#All],[INT]],MATCH(Table5[[#This Row],[PID]],Table3[[#All],[PID]],0)))</f>
        <v>Normal</v>
      </c>
      <c r="L860" s="62">
        <f>IF($C860="B",INDEX(Batters[[#All],[CON P]],MATCH(Table5[[#This Row],[PID]],Batters[[#All],[PID]],0)),INDEX(Table3[[#All],[STU P]],MATCH(Table5[[#This Row],[PID]],Table3[[#All],[PID]],0)))</f>
        <v>4</v>
      </c>
      <c r="M860" s="58">
        <f>IF($C860="B",INDEX(Batters[[#All],[GAP P]],MATCH(Table5[[#This Row],[PID]],Batters[[#All],[PID]],0)),INDEX(Table3[[#All],[MOV P]],MATCH(Table5[[#This Row],[PID]],Table3[[#All],[PID]],0)))</f>
        <v>2</v>
      </c>
      <c r="N860" s="58">
        <f>IF($C860="B",INDEX(Batters[[#All],[POW P]],MATCH(Table5[[#This Row],[PID]],Batters[[#All],[PID]],0)),INDEX(Table3[[#All],[CON P]],MATCH(Table5[[#This Row],[PID]],Table3[[#All],[PID]],0)))</f>
        <v>2</v>
      </c>
      <c r="O860" s="58" t="str">
        <f>IF($C860="B",INDEX(Batters[[#All],[EYE P]],MATCH(Table5[[#This Row],[PID]],Batters[[#All],[PID]],0)),INDEX(Table3[[#All],[VELO]],MATCH(Table5[[#This Row],[PID]],Table3[[#All],[PID]],0)))</f>
        <v>86-88 Mph</v>
      </c>
      <c r="P860" s="58">
        <f>IF($C860="B",INDEX(Batters[[#All],[K P]],MATCH(Table5[[#This Row],[PID]],Batters[[#All],[PID]],0)),INDEX(Table3[[#All],[STM]],MATCH(Table5[[#This Row],[PID]],Table3[[#All],[PID]],0)))</f>
        <v>3</v>
      </c>
      <c r="Q860" s="63">
        <f>IF($C860="B",INDEX(Batters[[#All],[Tot]],MATCH(Table5[[#This Row],[PID]],Batters[[#All],[PID]],0)),INDEX(Table3[[#All],[Tot]],MATCH(Table5[[#This Row],[PID]],Table3[[#All],[PID]],0)))</f>
        <v>24.826636196362411</v>
      </c>
      <c r="R860" s="54">
        <f>IF($C860="B",INDEX(Batters[[#All],[zScore]],MATCH(Table5[[#This Row],[PID]],Batters[[#All],[PID]],0)),INDEX(Table3[[#All],[zScore]],MATCH(Table5[[#This Row],[PID]],Table3[[#All],[PID]],0)))</f>
        <v>-0.72406161067728936</v>
      </c>
      <c r="S860" s="60" t="str">
        <f>IF($C860="B",INDEX(Batters[[#All],[DEM]],MATCH(Table5[[#This Row],[PID]],Batters[[#All],[PID]],0)),INDEX(Table3[[#All],[DEM]],MATCH(Table5[[#This Row],[PID]],Table3[[#All],[PID]],0)))</f>
        <v>$65k</v>
      </c>
      <c r="T860" s="64">
        <f>IF($C860="B",VLOOKUP($A860,Bat!$A$4:$AU$1417,46,FALSE),VLOOKUP($A860,Pit!$A$4:$BD$570,55,FALSE))</f>
        <v>0</v>
      </c>
      <c r="U860" s="52">
        <f>IF($C860="B",VLOOKUP($A860,Bat!$A$4:$BA$1417,47,FALSE),VLOOKUP($A860,Pit!$A$4:$BF$570,56,FALSE))</f>
        <v>0</v>
      </c>
      <c r="V860" s="52">
        <f>IF($C860="B",VLOOKUP($A860,Bat!$A$4:$BA$1417,48,FALSE),VLOOKUP($A860,Pit!$A$4:$BF$570,57,FALSE))</f>
        <v>0</v>
      </c>
      <c r="W860" s="52">
        <f>Table5[[#This Row],[posRnk]]+Table5[[#This Row],[zRnk]]+IF($W$3&lt;&gt;Table5[[#This Row],[Type]],50,0)</f>
        <v>906</v>
      </c>
      <c r="X860" s="53">
        <f>RANK(Table5[[#This Row],[zScore]],Table5[[#All],[zScore]])</f>
        <v>856</v>
      </c>
      <c r="Y860" s="52" t="str">
        <f>IFERROR(INDEX(DraftResults[[#All],[OVR]],MATCH(Table5[[#This Row],[PID]],DraftResults[[#All],[Player ID]],0)),"")</f>
        <v/>
      </c>
      <c r="Z8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0" s="52" t="str">
        <f>IFERROR(INDEX(DraftResults[[#All],[Pick in Round]],MATCH(Table5[[#This Row],[PID]],DraftResults[[#All],[Player ID]],0)),"")</f>
        <v/>
      </c>
      <c r="AB860" s="52" t="str">
        <f>IFERROR(INDEX(DraftResults[[#All],[Team Name]],MATCH(Table5[[#This Row],[PID]],DraftResults[[#All],[Player ID]],0)),"")</f>
        <v/>
      </c>
      <c r="AC860" s="52" t="str">
        <f>IF(Table5[[#This Row],[Ovr]]="","",IF(Table5[[#This Row],[cmbList]]="","",Table5[[#This Row],[cmbList]]-Table5[[#This Row],[Ovr]]))</f>
        <v/>
      </c>
      <c r="AD860" s="56" t="str">
        <f>IF(ISERROR(VLOOKUP($AB860&amp;"-"&amp;$E860&amp;" "&amp;F860,Bonuses!$B$1:$G$1006,4,FALSE)),"",INT(VLOOKUP($AB860&amp;"-"&amp;$E860&amp;" "&amp;$F860,Bonuses!$B$1:$G$1006,4,FALSE)))</f>
        <v/>
      </c>
      <c r="AE8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1" spans="1:31" s="52" customFormat="1" x14ac:dyDescent="0.25">
      <c r="A861" s="52">
        <v>8587</v>
      </c>
      <c r="B861" s="52">
        <f>COUNTIF(Table5[PID],A861)</f>
        <v>1</v>
      </c>
      <c r="C861" s="52" t="str">
        <f>IF(COUNTIF(Table3[[#All],[PID]],A861)&gt;0,"P","B")</f>
        <v>B</v>
      </c>
      <c r="D861" s="61" t="str">
        <f>IF($C861="B",INDEX(Batters[[#All],[POS]],MATCH(Table5[[#This Row],[PID]],Batters[[#All],[PID]],0)),INDEX(Table3[[#All],[POS]],MATCH(Table5[[#This Row],[PID]],Table3[[#All],[PID]],0)))</f>
        <v>1B</v>
      </c>
      <c r="E861" s="54" t="str">
        <f>IF($C861="B",INDEX(Batters[[#All],[First]],MATCH(Table5[[#This Row],[PID]],Batters[[#All],[PID]],0)),INDEX(Table3[[#All],[First]],MATCH(Table5[[#This Row],[PID]],Table3[[#All],[PID]],0)))</f>
        <v>Carlos</v>
      </c>
      <c r="F861" s="52" t="str">
        <f>IF($C861="B",INDEX(Batters[[#All],[Last]],MATCH(A861,Batters[[#All],[PID]],0)),INDEX(Table3[[#All],[Last]],MATCH(A861,Table3[[#All],[PID]],0)))</f>
        <v>Jiménez</v>
      </c>
      <c r="G861" s="58">
        <f>IF($C861="B",INDEX(Batters[[#All],[Age]],MATCH(Table5[[#This Row],[PID]],Batters[[#All],[PID]],0)),INDEX(Table3[[#All],[Age]],MATCH(Table5[[#This Row],[PID]],Table3[[#All],[PID]],0)))</f>
        <v>18</v>
      </c>
      <c r="H861" s="54" t="str">
        <f>IF($C861="B",INDEX(Batters[[#All],[B]],MATCH(Table5[[#This Row],[PID]],Batters[[#All],[PID]],0)),INDEX(Table3[[#All],[B]],MATCH(Table5[[#This Row],[PID]],Table3[[#All],[PID]],0)))</f>
        <v>R</v>
      </c>
      <c r="I861" s="54" t="str">
        <f>IF($C861="B",INDEX(Batters[[#All],[T]],MATCH(Table5[[#This Row],[PID]],Batters[[#All],[PID]],0)),INDEX(Table3[[#All],[T]],MATCH(Table5[[#This Row],[PID]],Table3[[#All],[PID]],0)))</f>
        <v>R</v>
      </c>
      <c r="J861" s="54" t="str">
        <f>IF($C861="B",INDEX(Batters[[#All],[WE]],MATCH(Table5[[#This Row],[PID]],Batters[[#All],[PID]],0)),INDEX(Table3[[#All],[WE]],MATCH(Table5[[#This Row],[PID]],Table3[[#All],[PID]],0)))</f>
        <v>Low</v>
      </c>
      <c r="K861" s="54" t="str">
        <f>IF($C861="B",INDEX(Batters[[#All],[INT]],MATCH(Table5[[#This Row],[PID]],Batters[[#All],[PID]],0)),INDEX(Table3[[#All],[INT]],MATCH(Table5[[#This Row],[PID]],Table3[[#All],[PID]],0)))</f>
        <v>Normal</v>
      </c>
      <c r="L861" s="62">
        <f>IF($C861="B",INDEX(Batters[[#All],[CON P]],MATCH(Table5[[#This Row],[PID]],Batters[[#All],[PID]],0)),INDEX(Table3[[#All],[STU P]],MATCH(Table5[[#This Row],[PID]],Table3[[#All],[PID]],0)))</f>
        <v>2</v>
      </c>
      <c r="M861" s="58">
        <f>IF($C861="B",INDEX(Batters[[#All],[GAP P]],MATCH(Table5[[#This Row],[PID]],Batters[[#All],[PID]],0)),INDEX(Table3[[#All],[MOV P]],MATCH(Table5[[#This Row],[PID]],Table3[[#All],[PID]],0)))</f>
        <v>2</v>
      </c>
      <c r="N861" s="58">
        <f>IF($C861="B",INDEX(Batters[[#All],[POW P]],MATCH(Table5[[#This Row],[PID]],Batters[[#All],[PID]],0)),INDEX(Table3[[#All],[CON P]],MATCH(Table5[[#This Row],[PID]],Table3[[#All],[PID]],0)))</f>
        <v>3</v>
      </c>
      <c r="O861" s="58">
        <f>IF($C861="B",INDEX(Batters[[#All],[EYE P]],MATCH(Table5[[#This Row],[PID]],Batters[[#All],[PID]],0)),INDEX(Table3[[#All],[VELO]],MATCH(Table5[[#This Row],[PID]],Table3[[#All],[PID]],0)))</f>
        <v>5</v>
      </c>
      <c r="P861" s="58">
        <f>IF($C861="B",INDEX(Batters[[#All],[K P]],MATCH(Table5[[#This Row],[PID]],Batters[[#All],[PID]],0)),INDEX(Table3[[#All],[STM]],MATCH(Table5[[#This Row],[PID]],Table3[[#All],[PID]],0)))</f>
        <v>3</v>
      </c>
      <c r="Q861" s="63">
        <f>IF($C861="B",INDEX(Batters[[#All],[Tot]],MATCH(Table5[[#This Row],[PID]],Batters[[#All],[PID]],0)),INDEX(Table3[[#All],[Tot]],MATCH(Table5[[#This Row],[PID]],Table3[[#All],[PID]],0)))</f>
        <v>36.231066618988834</v>
      </c>
      <c r="R861" s="54">
        <f>IF($C861="B",INDEX(Batters[[#All],[zScore]],MATCH(Table5[[#This Row],[PID]],Batters[[#All],[PID]],0)),INDEX(Table3[[#All],[zScore]],MATCH(Table5[[#This Row],[PID]],Table3[[#All],[PID]],0)))</f>
        <v>-0.72439058702575443</v>
      </c>
      <c r="S861" s="60" t="str">
        <f>IF($C861="B",INDEX(Batters[[#All],[DEM]],MATCH(Table5[[#This Row],[PID]],Batters[[#All],[PID]],0)),INDEX(Table3[[#All],[DEM]],MATCH(Table5[[#This Row],[PID]],Table3[[#All],[PID]],0)))</f>
        <v>$75k</v>
      </c>
      <c r="T861" s="64">
        <f>IF($C861="B",VLOOKUP($A861,Bat!$A$4:$AU$1417,46,FALSE),VLOOKUP($A861,Pit!$A$4:$BD$570,55,FALSE))</f>
        <v>0</v>
      </c>
      <c r="U861" s="52">
        <f>IF($C861="B",VLOOKUP($A861,Bat!$A$4:$BA$1417,47,FALSE),VLOOKUP($A861,Pit!$A$4:$BF$570,56,FALSE))</f>
        <v>0</v>
      </c>
      <c r="V861" s="52">
        <f>IF($C861="B",VLOOKUP($A861,Bat!$A$4:$BA$1417,48,FALSE),VLOOKUP($A861,Pit!$A$4:$BF$570,57,FALSE))</f>
        <v>0</v>
      </c>
      <c r="W861" s="52">
        <f>Table5[[#This Row],[posRnk]]+Table5[[#This Row],[zRnk]]+IF($W$3&lt;&gt;Table5[[#This Row],[Type]],50,0)</f>
        <v>907</v>
      </c>
      <c r="X861" s="53">
        <f>RANK(Table5[[#This Row],[zScore]],Table5[[#All],[zScore]])</f>
        <v>857</v>
      </c>
      <c r="Y861" s="52" t="str">
        <f>IFERROR(INDEX(DraftResults[[#All],[OVR]],MATCH(Table5[[#This Row],[PID]],DraftResults[[#All],[Player ID]],0)),"")</f>
        <v/>
      </c>
      <c r="Z8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1" s="52" t="str">
        <f>IFERROR(INDEX(DraftResults[[#All],[Pick in Round]],MATCH(Table5[[#This Row],[PID]],DraftResults[[#All],[Player ID]],0)),"")</f>
        <v/>
      </c>
      <c r="AB861" s="52" t="str">
        <f>IFERROR(INDEX(DraftResults[[#All],[Team Name]],MATCH(Table5[[#This Row],[PID]],DraftResults[[#All],[Player ID]],0)),"")</f>
        <v/>
      </c>
      <c r="AC861" s="52" t="str">
        <f>IF(Table5[[#This Row],[Ovr]]="","",IF(Table5[[#This Row],[cmbList]]="","",Table5[[#This Row],[cmbList]]-Table5[[#This Row],[Ovr]]))</f>
        <v/>
      </c>
      <c r="AD861" s="56" t="str">
        <f>IF(ISERROR(VLOOKUP($AB861&amp;"-"&amp;$E861&amp;" "&amp;F861,Bonuses!$B$1:$G$1006,4,FALSE)),"",INT(VLOOKUP($AB861&amp;"-"&amp;$E861&amp;" "&amp;$F861,Bonuses!$B$1:$G$1006,4,FALSE)))</f>
        <v/>
      </c>
      <c r="AE8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2" spans="1:31" s="52" customFormat="1" x14ac:dyDescent="0.25">
      <c r="A862" s="52">
        <v>17646</v>
      </c>
      <c r="B862" s="52">
        <f>COUNTIF(Table5[PID],A862)</f>
        <v>1</v>
      </c>
      <c r="C862" s="52" t="str">
        <f>IF(COUNTIF(Table3[[#All],[PID]],A862)&gt;0,"P","B")</f>
        <v>B</v>
      </c>
      <c r="D862" s="61" t="str">
        <f>IF($C862="B",INDEX(Batters[[#All],[POS]],MATCH(Table5[[#This Row],[PID]],Batters[[#All],[PID]],0)),INDEX(Table3[[#All],[POS]],MATCH(Table5[[#This Row],[PID]],Table3[[#All],[PID]],0)))</f>
        <v>C</v>
      </c>
      <c r="E862" s="54" t="str">
        <f>IF($C862="B",INDEX(Batters[[#All],[First]],MATCH(Table5[[#This Row],[PID]],Batters[[#All],[PID]],0)),INDEX(Table3[[#All],[First]],MATCH(Table5[[#This Row],[PID]],Table3[[#All],[PID]],0)))</f>
        <v>Jarne</v>
      </c>
      <c r="F862" s="52" t="str">
        <f>IF($C862="B",INDEX(Batters[[#All],[Last]],MATCH(A862,Batters[[#All],[PID]],0)),INDEX(Table3[[#All],[Last]],MATCH(A862,Table3[[#All],[PID]],0)))</f>
        <v>Dijkman</v>
      </c>
      <c r="G862" s="58">
        <f>IF($C862="B",INDEX(Batters[[#All],[Age]],MATCH(Table5[[#This Row],[PID]],Batters[[#All],[PID]],0)),INDEX(Table3[[#All],[Age]],MATCH(Table5[[#This Row],[PID]],Table3[[#All],[PID]],0)))</f>
        <v>18</v>
      </c>
      <c r="H862" s="54" t="str">
        <f>IF($C862="B",INDEX(Batters[[#All],[B]],MATCH(Table5[[#This Row],[PID]],Batters[[#All],[PID]],0)),INDEX(Table3[[#All],[B]],MATCH(Table5[[#This Row],[PID]],Table3[[#All],[PID]],0)))</f>
        <v>S</v>
      </c>
      <c r="I862" s="54" t="str">
        <f>IF($C862="B",INDEX(Batters[[#All],[T]],MATCH(Table5[[#This Row],[PID]],Batters[[#All],[PID]],0)),INDEX(Table3[[#All],[T]],MATCH(Table5[[#This Row],[PID]],Table3[[#All],[PID]],0)))</f>
        <v>R</v>
      </c>
      <c r="J862" s="54" t="str">
        <f>IF($C862="B",INDEX(Batters[[#All],[WE]],MATCH(Table5[[#This Row],[PID]],Batters[[#All],[PID]],0)),INDEX(Table3[[#All],[WE]],MATCH(Table5[[#This Row],[PID]],Table3[[#All],[PID]],0)))</f>
        <v>Low</v>
      </c>
      <c r="K862" s="54" t="str">
        <f>IF($C862="B",INDEX(Batters[[#All],[INT]],MATCH(Table5[[#This Row],[PID]],Batters[[#All],[PID]],0)),INDEX(Table3[[#All],[INT]],MATCH(Table5[[#This Row],[PID]],Table3[[#All],[PID]],0)))</f>
        <v>Normal</v>
      </c>
      <c r="L862" s="62">
        <f>IF($C862="B",INDEX(Batters[[#All],[CON P]],MATCH(Table5[[#This Row],[PID]],Batters[[#All],[PID]],0)),INDEX(Table3[[#All],[STU P]],MATCH(Table5[[#This Row],[PID]],Table3[[#All],[PID]],0)))</f>
        <v>2</v>
      </c>
      <c r="M862" s="58">
        <f>IF($C862="B",INDEX(Batters[[#All],[GAP P]],MATCH(Table5[[#This Row],[PID]],Batters[[#All],[PID]],0)),INDEX(Table3[[#All],[MOV P]],MATCH(Table5[[#This Row],[PID]],Table3[[#All],[PID]],0)))</f>
        <v>2</v>
      </c>
      <c r="N862" s="58">
        <f>IF($C862="B",INDEX(Batters[[#All],[POW P]],MATCH(Table5[[#This Row],[PID]],Batters[[#All],[PID]],0)),INDEX(Table3[[#All],[CON P]],MATCH(Table5[[#This Row],[PID]],Table3[[#All],[PID]],0)))</f>
        <v>3</v>
      </c>
      <c r="O862" s="58">
        <f>IF($C862="B",INDEX(Batters[[#All],[EYE P]],MATCH(Table5[[#This Row],[PID]],Batters[[#All],[PID]],0)),INDEX(Table3[[#All],[VELO]],MATCH(Table5[[#This Row],[PID]],Table3[[#All],[PID]],0)))</f>
        <v>5</v>
      </c>
      <c r="P862" s="58">
        <f>IF($C862="B",INDEX(Batters[[#All],[K P]],MATCH(Table5[[#This Row],[PID]],Batters[[#All],[PID]],0)),INDEX(Table3[[#All],[STM]],MATCH(Table5[[#This Row],[PID]],Table3[[#All],[PID]],0)))</f>
        <v>3</v>
      </c>
      <c r="Q862" s="63">
        <f>IF($C862="B",INDEX(Batters[[#All],[Tot]],MATCH(Table5[[#This Row],[PID]],Batters[[#All],[PID]],0)),INDEX(Table3[[#All],[Tot]],MATCH(Table5[[#This Row],[PID]],Table3[[#All],[PID]],0)))</f>
        <v>36.231066618988834</v>
      </c>
      <c r="R862" s="54">
        <f>IF($C862="B",INDEX(Batters[[#All],[zScore]],MATCH(Table5[[#This Row],[PID]],Batters[[#All],[PID]],0)),INDEX(Table3[[#All],[zScore]],MATCH(Table5[[#This Row],[PID]],Table3[[#All],[PID]],0)))</f>
        <v>-0.72439058702575443</v>
      </c>
      <c r="S862" s="60" t="str">
        <f>IF($C862="B",INDEX(Batters[[#All],[DEM]],MATCH(Table5[[#This Row],[PID]],Batters[[#All],[PID]],0)),INDEX(Table3[[#All],[DEM]],MATCH(Table5[[#This Row],[PID]],Table3[[#All],[PID]],0)))</f>
        <v>$65k</v>
      </c>
      <c r="T862" s="64">
        <f>IF($C862="B",VLOOKUP($A862,Bat!$A$4:$AU$1417,46,FALSE),VLOOKUP($A862,Pit!$A$4:$BD$570,55,FALSE))</f>
        <v>0</v>
      </c>
      <c r="U862" s="52">
        <f>IF($C862="B",VLOOKUP($A862,Bat!$A$4:$BA$1417,47,FALSE),VLOOKUP($A862,Pit!$A$4:$BF$570,56,FALSE))</f>
        <v>0</v>
      </c>
      <c r="V862" s="52">
        <f>IF($C862="B",VLOOKUP($A862,Bat!$A$4:$BA$1417,48,FALSE),VLOOKUP($A862,Pit!$A$4:$BF$570,57,FALSE))</f>
        <v>0</v>
      </c>
      <c r="W862" s="52">
        <f>Table5[[#This Row],[posRnk]]+Table5[[#This Row],[zRnk]]+IF($W$3&lt;&gt;Table5[[#This Row],[Type]],50,0)</f>
        <v>907</v>
      </c>
      <c r="X862" s="53">
        <f>RANK(Table5[[#This Row],[zScore]],Table5[[#All],[zScore]])</f>
        <v>857</v>
      </c>
      <c r="Y862" s="52" t="str">
        <f>IFERROR(INDEX(DraftResults[[#All],[OVR]],MATCH(Table5[[#This Row],[PID]],DraftResults[[#All],[Player ID]],0)),"")</f>
        <v/>
      </c>
      <c r="Z8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2" s="52" t="str">
        <f>IFERROR(INDEX(DraftResults[[#All],[Pick in Round]],MATCH(Table5[[#This Row],[PID]],DraftResults[[#All],[Player ID]],0)),"")</f>
        <v/>
      </c>
      <c r="AB862" s="52" t="str">
        <f>IFERROR(INDEX(DraftResults[[#All],[Team Name]],MATCH(Table5[[#This Row],[PID]],DraftResults[[#All],[Player ID]],0)),"")</f>
        <v/>
      </c>
      <c r="AC862" s="52" t="str">
        <f>IF(Table5[[#This Row],[Ovr]]="","",IF(Table5[[#This Row],[cmbList]]="","",Table5[[#This Row],[cmbList]]-Table5[[#This Row],[Ovr]]))</f>
        <v/>
      </c>
      <c r="AD862" s="56" t="str">
        <f>IF(ISERROR(VLOOKUP($AB862&amp;"-"&amp;$E862&amp;" "&amp;F862,Bonuses!$B$1:$G$1006,4,FALSE)),"",INT(VLOOKUP($AB862&amp;"-"&amp;$E862&amp;" "&amp;$F862,Bonuses!$B$1:$G$1006,4,FALSE)))</f>
        <v/>
      </c>
      <c r="AE8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3" spans="1:31" s="52" customFormat="1" x14ac:dyDescent="0.25">
      <c r="A863" s="52">
        <v>10455</v>
      </c>
      <c r="B863" s="52">
        <f>COUNTIF(Table5[PID],A863)</f>
        <v>1</v>
      </c>
      <c r="C863" s="52" t="str">
        <f>IF(COUNTIF(Table3[[#All],[PID]],A863)&gt;0,"P","B")</f>
        <v>B</v>
      </c>
      <c r="D863" s="61" t="str">
        <f>IF($C863="B",INDEX(Batters[[#All],[POS]],MATCH(Table5[[#This Row],[PID]],Batters[[#All],[PID]],0)),INDEX(Table3[[#All],[POS]],MATCH(Table5[[#This Row],[PID]],Table3[[#All],[PID]],0)))</f>
        <v>1B</v>
      </c>
      <c r="E863" s="54" t="str">
        <f>IF($C863="B",INDEX(Batters[[#All],[First]],MATCH(Table5[[#This Row],[PID]],Batters[[#All],[PID]],0)),INDEX(Table3[[#All],[First]],MATCH(Table5[[#This Row],[PID]],Table3[[#All],[PID]],0)))</f>
        <v>Allen</v>
      </c>
      <c r="F863" s="52" t="str">
        <f>IF($C863="B",INDEX(Batters[[#All],[Last]],MATCH(A863,Batters[[#All],[PID]],0)),INDEX(Table3[[#All],[Last]],MATCH(A863,Table3[[#All],[PID]],0)))</f>
        <v>Seals</v>
      </c>
      <c r="G863" s="58">
        <f>IF($C863="B",INDEX(Batters[[#All],[Age]],MATCH(Table5[[#This Row],[PID]],Batters[[#All],[PID]],0)),INDEX(Table3[[#All],[Age]],MATCH(Table5[[#This Row],[PID]],Table3[[#All],[PID]],0)))</f>
        <v>22</v>
      </c>
      <c r="H863" s="54" t="str">
        <f>IF($C863="B",INDEX(Batters[[#All],[B]],MATCH(Table5[[#This Row],[PID]],Batters[[#All],[PID]],0)),INDEX(Table3[[#All],[B]],MATCH(Table5[[#This Row],[PID]],Table3[[#All],[PID]],0)))</f>
        <v>R</v>
      </c>
      <c r="I863" s="54" t="str">
        <f>IF($C863="B",INDEX(Batters[[#All],[T]],MATCH(Table5[[#This Row],[PID]],Batters[[#All],[PID]],0)),INDEX(Table3[[#All],[T]],MATCH(Table5[[#This Row],[PID]],Table3[[#All],[PID]],0)))</f>
        <v>R</v>
      </c>
      <c r="J863" s="54" t="str">
        <f>IF($C863="B",INDEX(Batters[[#All],[WE]],MATCH(Table5[[#This Row],[PID]],Batters[[#All],[PID]],0)),INDEX(Table3[[#All],[WE]],MATCH(Table5[[#This Row],[PID]],Table3[[#All],[PID]],0)))</f>
        <v>Low</v>
      </c>
      <c r="K863" s="54" t="str">
        <f>IF($C863="B",INDEX(Batters[[#All],[INT]],MATCH(Table5[[#This Row],[PID]],Batters[[#All],[PID]],0)),INDEX(Table3[[#All],[INT]],MATCH(Table5[[#This Row],[PID]],Table3[[#All],[PID]],0)))</f>
        <v>Normal</v>
      </c>
      <c r="L863" s="62">
        <f>IF($C863="B",INDEX(Batters[[#All],[CON P]],MATCH(Table5[[#This Row],[PID]],Batters[[#All],[PID]],0)),INDEX(Table3[[#All],[STU P]],MATCH(Table5[[#This Row],[PID]],Table3[[#All],[PID]],0)))</f>
        <v>3</v>
      </c>
      <c r="M863" s="58">
        <f>IF($C863="B",INDEX(Batters[[#All],[GAP P]],MATCH(Table5[[#This Row],[PID]],Batters[[#All],[PID]],0)),INDEX(Table3[[#All],[MOV P]],MATCH(Table5[[#This Row],[PID]],Table3[[#All],[PID]],0)))</f>
        <v>3</v>
      </c>
      <c r="N863" s="58">
        <f>IF($C863="B",INDEX(Batters[[#All],[POW P]],MATCH(Table5[[#This Row],[PID]],Batters[[#All],[PID]],0)),INDEX(Table3[[#All],[CON P]],MATCH(Table5[[#This Row],[PID]],Table3[[#All],[PID]],0)))</f>
        <v>3</v>
      </c>
      <c r="O863" s="58">
        <f>IF($C863="B",INDEX(Batters[[#All],[EYE P]],MATCH(Table5[[#This Row],[PID]],Batters[[#All],[PID]],0)),INDEX(Table3[[#All],[VELO]],MATCH(Table5[[#This Row],[PID]],Table3[[#All],[PID]],0)))</f>
        <v>6</v>
      </c>
      <c r="P863" s="58">
        <f>IF($C863="B",INDEX(Batters[[#All],[K P]],MATCH(Table5[[#This Row],[PID]],Batters[[#All],[PID]],0)),INDEX(Table3[[#All],[STM]],MATCH(Table5[[#This Row],[PID]],Table3[[#All],[PID]],0)))</f>
        <v>2</v>
      </c>
      <c r="Q863" s="63">
        <f>IF($C863="B",INDEX(Batters[[#All],[Tot]],MATCH(Table5[[#This Row],[PID]],Batters[[#All],[PID]],0)),INDEX(Table3[[#All],[Tot]],MATCH(Table5[[#This Row],[PID]],Table3[[#All],[PID]],0)))</f>
        <v>36.230154155702223</v>
      </c>
      <c r="R863" s="54">
        <f>IF($C863="B",INDEX(Batters[[#All],[zScore]],MATCH(Table5[[#This Row],[PID]],Batters[[#All],[PID]],0)),INDEX(Table3[[#All],[zScore]],MATCH(Table5[[#This Row],[PID]],Table3[[#All],[PID]],0)))</f>
        <v>-0.72455112887652562</v>
      </c>
      <c r="S863" s="60" t="str">
        <f>IF($C863="B",INDEX(Batters[[#All],[DEM]],MATCH(Table5[[#This Row],[PID]],Batters[[#All],[PID]],0)),INDEX(Table3[[#All],[DEM]],MATCH(Table5[[#This Row],[PID]],Table3[[#All],[PID]],0)))</f>
        <v>-</v>
      </c>
      <c r="T863" s="64">
        <f>IF($C863="B",VLOOKUP($A863,Bat!$A$4:$AU$1417,46,FALSE),VLOOKUP($A863,Pit!$A$4:$BD$570,55,FALSE))</f>
        <v>0</v>
      </c>
      <c r="U863" s="52">
        <f>IF($C863="B",VLOOKUP($A863,Bat!$A$4:$BA$1417,47,FALSE),VLOOKUP($A863,Pit!$A$4:$BF$570,56,FALSE))</f>
        <v>0</v>
      </c>
      <c r="V863" s="52">
        <f>IF($C863="B",VLOOKUP($A863,Bat!$A$4:$BA$1417,48,FALSE),VLOOKUP($A863,Pit!$A$4:$BF$570,57,FALSE))</f>
        <v>0</v>
      </c>
      <c r="W863" s="52">
        <f>Table5[[#This Row],[posRnk]]+Table5[[#This Row],[zRnk]]+IF($W$3&lt;&gt;Table5[[#This Row],[Type]],50,0)</f>
        <v>909</v>
      </c>
      <c r="X863" s="53">
        <f>RANK(Table5[[#This Row],[zScore]],Table5[[#All],[zScore]])</f>
        <v>859</v>
      </c>
      <c r="Y863" s="52" t="str">
        <f>IFERROR(INDEX(DraftResults[[#All],[OVR]],MATCH(Table5[[#This Row],[PID]],DraftResults[[#All],[Player ID]],0)),"")</f>
        <v/>
      </c>
      <c r="Z8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3" s="52" t="str">
        <f>IFERROR(INDEX(DraftResults[[#All],[Pick in Round]],MATCH(Table5[[#This Row],[PID]],DraftResults[[#All],[Player ID]],0)),"")</f>
        <v/>
      </c>
      <c r="AB863" s="52" t="str">
        <f>IFERROR(INDEX(DraftResults[[#All],[Team Name]],MATCH(Table5[[#This Row],[PID]],DraftResults[[#All],[Player ID]],0)),"")</f>
        <v/>
      </c>
      <c r="AC863" s="52" t="str">
        <f>IF(Table5[[#This Row],[Ovr]]="","",IF(Table5[[#This Row],[cmbList]]="","",Table5[[#This Row],[cmbList]]-Table5[[#This Row],[Ovr]]))</f>
        <v/>
      </c>
      <c r="AD863" s="56" t="str">
        <f>IF(ISERROR(VLOOKUP($AB863&amp;"-"&amp;$E863&amp;" "&amp;F863,Bonuses!$B$1:$G$1006,4,FALSE)),"",INT(VLOOKUP($AB863&amp;"-"&amp;$E863&amp;" "&amp;$F863,Bonuses!$B$1:$G$1006,4,FALSE)))</f>
        <v/>
      </c>
      <c r="AE8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4" spans="1:31" s="52" customFormat="1" x14ac:dyDescent="0.25">
      <c r="A864" s="52">
        <v>10194</v>
      </c>
      <c r="B864" s="52">
        <f>COUNTIF(Table5[PID],A864)</f>
        <v>1</v>
      </c>
      <c r="C864" s="52" t="str">
        <f>IF(COUNTIF(Table3[[#All],[PID]],A864)&gt;0,"P","B")</f>
        <v>B</v>
      </c>
      <c r="D864" s="61" t="str">
        <f>IF($C864="B",INDEX(Batters[[#All],[POS]],MATCH(Table5[[#This Row],[PID]],Batters[[#All],[PID]],0)),INDEX(Table3[[#All],[POS]],MATCH(Table5[[#This Row],[PID]],Table3[[#All],[PID]],0)))</f>
        <v>2B</v>
      </c>
      <c r="E864" s="54" t="str">
        <f>IF($C864="B",INDEX(Batters[[#All],[First]],MATCH(Table5[[#This Row],[PID]],Batters[[#All],[PID]],0)),INDEX(Table3[[#All],[First]],MATCH(Table5[[#This Row],[PID]],Table3[[#All],[PID]],0)))</f>
        <v>José</v>
      </c>
      <c r="F864" s="52" t="str">
        <f>IF($C864="B",INDEX(Batters[[#All],[Last]],MATCH(A864,Batters[[#All],[PID]],0)),INDEX(Table3[[#All],[Last]],MATCH(A864,Table3[[#All],[PID]],0)))</f>
        <v>Santana</v>
      </c>
      <c r="G864" s="58">
        <f>IF($C864="B",INDEX(Batters[[#All],[Age]],MATCH(Table5[[#This Row],[PID]],Batters[[#All],[PID]],0)),INDEX(Table3[[#All],[Age]],MATCH(Table5[[#This Row],[PID]],Table3[[#All],[PID]],0)))</f>
        <v>21</v>
      </c>
      <c r="H864" s="54" t="str">
        <f>IF($C864="B",INDEX(Batters[[#All],[B]],MATCH(Table5[[#This Row],[PID]],Batters[[#All],[PID]],0)),INDEX(Table3[[#All],[B]],MATCH(Table5[[#This Row],[PID]],Table3[[#All],[PID]],0)))</f>
        <v>R</v>
      </c>
      <c r="I864" s="54" t="str">
        <f>IF($C864="B",INDEX(Batters[[#All],[T]],MATCH(Table5[[#This Row],[PID]],Batters[[#All],[PID]],0)),INDEX(Table3[[#All],[T]],MATCH(Table5[[#This Row],[PID]],Table3[[#All],[PID]],0)))</f>
        <v>R</v>
      </c>
      <c r="J864" s="54" t="str">
        <f>IF($C864="B",INDEX(Batters[[#All],[WE]],MATCH(Table5[[#This Row],[PID]],Batters[[#All],[PID]],0)),INDEX(Table3[[#All],[WE]],MATCH(Table5[[#This Row],[PID]],Table3[[#All],[PID]],0)))</f>
        <v>Normal</v>
      </c>
      <c r="K864" s="54" t="str">
        <f>IF($C864="B",INDEX(Batters[[#All],[INT]],MATCH(Table5[[#This Row],[PID]],Batters[[#All],[PID]],0)),INDEX(Table3[[#All],[INT]],MATCH(Table5[[#This Row],[PID]],Table3[[#All],[PID]],0)))</f>
        <v>Normal</v>
      </c>
      <c r="L864" s="62">
        <f>IF($C864="B",INDEX(Batters[[#All],[CON P]],MATCH(Table5[[#This Row],[PID]],Batters[[#All],[PID]],0)),INDEX(Table3[[#All],[STU P]],MATCH(Table5[[#This Row],[PID]],Table3[[#All],[PID]],0)))</f>
        <v>3</v>
      </c>
      <c r="M864" s="58">
        <f>IF($C864="B",INDEX(Batters[[#All],[GAP P]],MATCH(Table5[[#This Row],[PID]],Batters[[#All],[PID]],0)),INDEX(Table3[[#All],[MOV P]],MATCH(Table5[[#This Row],[PID]],Table3[[#All],[PID]],0)))</f>
        <v>3</v>
      </c>
      <c r="N864" s="58">
        <f>IF($C864="B",INDEX(Batters[[#All],[POW P]],MATCH(Table5[[#This Row],[PID]],Batters[[#All],[PID]],0)),INDEX(Table3[[#All],[CON P]],MATCH(Table5[[#This Row],[PID]],Table3[[#All],[PID]],0)))</f>
        <v>2</v>
      </c>
      <c r="O864" s="58">
        <f>IF($C864="B",INDEX(Batters[[#All],[EYE P]],MATCH(Table5[[#This Row],[PID]],Batters[[#All],[PID]],0)),INDEX(Table3[[#All],[VELO]],MATCH(Table5[[#This Row],[PID]],Table3[[#All],[PID]],0)))</f>
        <v>5</v>
      </c>
      <c r="P864" s="58">
        <f>IF($C864="B",INDEX(Batters[[#All],[K P]],MATCH(Table5[[#This Row],[PID]],Batters[[#All],[PID]],0)),INDEX(Table3[[#All],[STM]],MATCH(Table5[[#This Row],[PID]],Table3[[#All],[PID]],0)))</f>
        <v>4</v>
      </c>
      <c r="Q864" s="63">
        <f>IF($C864="B",INDEX(Batters[[#All],[Tot]],MATCH(Table5[[#This Row],[PID]],Batters[[#All],[PID]],0)),INDEX(Table3[[#All],[Tot]],MATCH(Table5[[#This Row],[PID]],Table3[[#All],[PID]],0)))</f>
        <v>36.223885140595989</v>
      </c>
      <c r="R864" s="54">
        <f>IF($C864="B",INDEX(Batters[[#All],[zScore]],MATCH(Table5[[#This Row],[PID]],Batters[[#All],[PID]],0)),INDEX(Table3[[#All],[zScore]],MATCH(Table5[[#This Row],[PID]],Table3[[#All],[PID]],0)))</f>
        <v>-0.72565412041869126</v>
      </c>
      <c r="S864" s="60" t="str">
        <f>IF($C864="B",INDEX(Batters[[#All],[DEM]],MATCH(Table5[[#This Row],[PID]],Batters[[#All],[PID]],0)),INDEX(Table3[[#All],[DEM]],MATCH(Table5[[#This Row],[PID]],Table3[[#All],[PID]],0)))</f>
        <v>-</v>
      </c>
      <c r="T864" s="64">
        <f>IF($C864="B",VLOOKUP($A864,Bat!$A$4:$AU$1417,46,FALSE),VLOOKUP($A864,Pit!$A$4:$BD$570,55,FALSE))</f>
        <v>0</v>
      </c>
      <c r="U864" s="52">
        <f>IF($C864="B",VLOOKUP($A864,Bat!$A$4:$BA$1417,47,FALSE),VLOOKUP($A864,Pit!$A$4:$BF$570,56,FALSE))</f>
        <v>0</v>
      </c>
      <c r="V864" s="52">
        <f>IF($C864="B",VLOOKUP($A864,Bat!$A$4:$BA$1417,48,FALSE),VLOOKUP($A864,Pit!$A$4:$BF$570,57,FALSE))</f>
        <v>0</v>
      </c>
      <c r="W864" s="52">
        <f>Table5[[#This Row],[posRnk]]+Table5[[#This Row],[zRnk]]+IF($W$3&lt;&gt;Table5[[#This Row],[Type]],50,0)</f>
        <v>910</v>
      </c>
      <c r="X864" s="53">
        <f>RANK(Table5[[#This Row],[zScore]],Table5[[#All],[zScore]])</f>
        <v>860</v>
      </c>
      <c r="Y864" s="52" t="str">
        <f>IFERROR(INDEX(DraftResults[[#All],[OVR]],MATCH(Table5[[#This Row],[PID]],DraftResults[[#All],[Player ID]],0)),"")</f>
        <v/>
      </c>
      <c r="Z8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4" s="52" t="str">
        <f>IFERROR(INDEX(DraftResults[[#All],[Pick in Round]],MATCH(Table5[[#This Row],[PID]],DraftResults[[#All],[Player ID]],0)),"")</f>
        <v/>
      </c>
      <c r="AB864" s="52" t="str">
        <f>IFERROR(INDEX(DraftResults[[#All],[Team Name]],MATCH(Table5[[#This Row],[PID]],DraftResults[[#All],[Player ID]],0)),"")</f>
        <v/>
      </c>
      <c r="AC864" s="52" t="str">
        <f>IF(Table5[[#This Row],[Ovr]]="","",IF(Table5[[#This Row],[cmbList]]="","",Table5[[#This Row],[cmbList]]-Table5[[#This Row],[Ovr]]))</f>
        <v/>
      </c>
      <c r="AD864" s="56" t="str">
        <f>IF(ISERROR(VLOOKUP($AB864&amp;"-"&amp;$E864&amp;" "&amp;F864,Bonuses!$B$1:$G$1006,4,FALSE)),"",INT(VLOOKUP($AB864&amp;"-"&amp;$E864&amp;" "&amp;$F864,Bonuses!$B$1:$G$1006,4,FALSE)))</f>
        <v/>
      </c>
      <c r="AE8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5" spans="1:31" s="52" customFormat="1" x14ac:dyDescent="0.25">
      <c r="A865" s="52">
        <v>17981</v>
      </c>
      <c r="B865" s="52">
        <f>COUNTIF(Table5[PID],A865)</f>
        <v>1</v>
      </c>
      <c r="C865" s="52" t="str">
        <f>IF(COUNTIF(Table3[[#All],[PID]],A865)&gt;0,"P","B")</f>
        <v>P</v>
      </c>
      <c r="D865" s="61" t="str">
        <f>IF($C865="B",INDEX(Batters[[#All],[POS]],MATCH(Table5[[#This Row],[PID]],Batters[[#All],[PID]],0)),INDEX(Table3[[#All],[POS]],MATCH(Table5[[#This Row],[PID]],Table3[[#All],[PID]],0)))</f>
        <v>RP</v>
      </c>
      <c r="E865" s="54" t="str">
        <f>IF($C865="B",INDEX(Batters[[#All],[First]],MATCH(Table5[[#This Row],[PID]],Batters[[#All],[PID]],0)),INDEX(Table3[[#All],[First]],MATCH(Table5[[#This Row],[PID]],Table3[[#All],[PID]],0)))</f>
        <v>Sam</v>
      </c>
      <c r="F865" s="52" t="str">
        <f>IF($C865="B",INDEX(Batters[[#All],[Last]],MATCH(A865,Batters[[#All],[PID]],0)),INDEX(Table3[[#All],[Last]],MATCH(A865,Table3[[#All],[PID]],0)))</f>
        <v>Carter</v>
      </c>
      <c r="G865" s="58">
        <f>IF($C865="B",INDEX(Batters[[#All],[Age]],MATCH(Table5[[#This Row],[PID]],Batters[[#All],[PID]],0)),INDEX(Table3[[#All],[Age]],MATCH(Table5[[#This Row],[PID]],Table3[[#All],[PID]],0)))</f>
        <v>20</v>
      </c>
      <c r="H865" s="54" t="str">
        <f>IF($C865="B",INDEX(Batters[[#All],[B]],MATCH(Table5[[#This Row],[PID]],Batters[[#All],[PID]],0)),INDEX(Table3[[#All],[B]],MATCH(Table5[[#This Row],[PID]],Table3[[#All],[PID]],0)))</f>
        <v>R</v>
      </c>
      <c r="I865" s="54" t="str">
        <f>IF($C865="B",INDEX(Batters[[#All],[T]],MATCH(Table5[[#This Row],[PID]],Batters[[#All],[PID]],0)),INDEX(Table3[[#All],[T]],MATCH(Table5[[#This Row],[PID]],Table3[[#All],[PID]],0)))</f>
        <v>R</v>
      </c>
      <c r="J865" s="54" t="str">
        <f>IF($C865="B",INDEX(Batters[[#All],[WE]],MATCH(Table5[[#This Row],[PID]],Batters[[#All],[PID]],0)),INDEX(Table3[[#All],[WE]],MATCH(Table5[[#This Row],[PID]],Table3[[#All],[PID]],0)))</f>
        <v>Normal</v>
      </c>
      <c r="K865" s="54" t="str">
        <f>IF($C865="B",INDEX(Batters[[#All],[INT]],MATCH(Table5[[#This Row],[PID]],Batters[[#All],[PID]],0)),INDEX(Table3[[#All],[INT]],MATCH(Table5[[#This Row],[PID]],Table3[[#All],[PID]],0)))</f>
        <v>Normal</v>
      </c>
      <c r="L865" s="62">
        <f>IF($C865="B",INDEX(Batters[[#All],[CON P]],MATCH(Table5[[#This Row],[PID]],Batters[[#All],[PID]],0)),INDEX(Table3[[#All],[STU P]],MATCH(Table5[[#This Row],[PID]],Table3[[#All],[PID]],0)))</f>
        <v>3</v>
      </c>
      <c r="M865" s="58">
        <f>IF($C865="B",INDEX(Batters[[#All],[GAP P]],MATCH(Table5[[#This Row],[PID]],Batters[[#All],[PID]],0)),INDEX(Table3[[#All],[MOV P]],MATCH(Table5[[#This Row],[PID]],Table3[[#All],[PID]],0)))</f>
        <v>2</v>
      </c>
      <c r="N865" s="58">
        <f>IF($C865="B",INDEX(Batters[[#All],[POW P]],MATCH(Table5[[#This Row],[PID]],Batters[[#All],[PID]],0)),INDEX(Table3[[#All],[CON P]],MATCH(Table5[[#This Row],[PID]],Table3[[#All],[PID]],0)))</f>
        <v>3</v>
      </c>
      <c r="O865" s="58" t="str">
        <f>IF($C865="B",INDEX(Batters[[#All],[EYE P]],MATCH(Table5[[#This Row],[PID]],Batters[[#All],[PID]],0)),INDEX(Table3[[#All],[VELO]],MATCH(Table5[[#This Row],[PID]],Table3[[#All],[PID]],0)))</f>
        <v>89-91 Mph</v>
      </c>
      <c r="P865" s="58">
        <f>IF($C865="B",INDEX(Batters[[#All],[K P]],MATCH(Table5[[#This Row],[PID]],Batters[[#All],[PID]],0)),INDEX(Table3[[#All],[STM]],MATCH(Table5[[#This Row],[PID]],Table3[[#All],[PID]],0)))</f>
        <v>10</v>
      </c>
      <c r="Q865" s="63">
        <f>IF($C865="B",INDEX(Batters[[#All],[Tot]],MATCH(Table5[[#This Row],[PID]],Batters[[#All],[PID]],0)),INDEX(Table3[[#All],[Tot]],MATCH(Table5[[#This Row],[PID]],Table3[[#All],[PID]],0)))</f>
        <v>24.807047967116265</v>
      </c>
      <c r="R865" s="54">
        <f>IF($C865="B",INDEX(Batters[[#All],[zScore]],MATCH(Table5[[#This Row],[PID]],Batters[[#All],[PID]],0)),INDEX(Table3[[#All],[zScore]],MATCH(Table5[[#This Row],[PID]],Table3[[#All],[PID]],0)))</f>
        <v>-0.72585793502101237</v>
      </c>
      <c r="S865" s="60" t="str">
        <f>IF($C865="B",INDEX(Batters[[#All],[DEM]],MATCH(Table5[[#This Row],[PID]],Batters[[#All],[PID]],0)),INDEX(Table3[[#All],[DEM]],MATCH(Table5[[#This Row],[PID]],Table3[[#All],[PID]],0)))</f>
        <v>-</v>
      </c>
      <c r="T865" s="64">
        <f>IF($C865="B",VLOOKUP($A865,Bat!$A$4:$AU$1417,46,FALSE),VLOOKUP($A865,Pit!$A$4:$BD$570,55,FALSE))</f>
        <v>0</v>
      </c>
      <c r="U865" s="52">
        <f>IF($C865="B",VLOOKUP($A865,Bat!$A$4:$BA$1417,47,FALSE),VLOOKUP($A865,Pit!$A$4:$BF$570,56,FALSE))</f>
        <v>0</v>
      </c>
      <c r="V865" s="52">
        <f>IF($C865="B",VLOOKUP($A865,Bat!$A$4:$BA$1417,48,FALSE),VLOOKUP($A865,Pit!$A$4:$BF$570,57,FALSE))</f>
        <v>0</v>
      </c>
      <c r="W865" s="52">
        <f>Table5[[#This Row],[posRnk]]+Table5[[#This Row],[zRnk]]+IF($W$3&lt;&gt;Table5[[#This Row],[Type]],50,0)</f>
        <v>911</v>
      </c>
      <c r="X865" s="53">
        <f>RANK(Table5[[#This Row],[zScore]],Table5[[#All],[zScore]])</f>
        <v>861</v>
      </c>
      <c r="Y865" s="52" t="str">
        <f>IFERROR(INDEX(DraftResults[[#All],[OVR]],MATCH(Table5[[#This Row],[PID]],DraftResults[[#All],[Player ID]],0)),"")</f>
        <v/>
      </c>
      <c r="Z8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5" s="52" t="str">
        <f>IFERROR(INDEX(DraftResults[[#All],[Pick in Round]],MATCH(Table5[[#This Row],[PID]],DraftResults[[#All],[Player ID]],0)),"")</f>
        <v/>
      </c>
      <c r="AB865" s="52" t="str">
        <f>IFERROR(INDEX(DraftResults[[#All],[Team Name]],MATCH(Table5[[#This Row],[PID]],DraftResults[[#All],[Player ID]],0)),"")</f>
        <v/>
      </c>
      <c r="AC865" s="52" t="str">
        <f>IF(Table5[[#This Row],[Ovr]]="","",IF(Table5[[#This Row],[cmbList]]="","",Table5[[#This Row],[cmbList]]-Table5[[#This Row],[Ovr]]))</f>
        <v/>
      </c>
      <c r="AD865" s="56" t="str">
        <f>IF(ISERROR(VLOOKUP($AB865&amp;"-"&amp;$E865&amp;" "&amp;F865,Bonuses!$B$1:$G$1006,4,FALSE)),"",INT(VLOOKUP($AB865&amp;"-"&amp;$E865&amp;" "&amp;$F865,Bonuses!$B$1:$G$1006,4,FALSE)))</f>
        <v/>
      </c>
      <c r="AE8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6" spans="1:31" s="52" customFormat="1" x14ac:dyDescent="0.25">
      <c r="A866" s="52">
        <v>15267</v>
      </c>
      <c r="B866" s="52">
        <f>COUNTIF(Table5[PID],A866)</f>
        <v>1</v>
      </c>
      <c r="C866" s="52" t="str">
        <f>IF(COUNTIF(Table3[[#All],[PID]],A866)&gt;0,"P","B")</f>
        <v>B</v>
      </c>
      <c r="D866" s="61" t="str">
        <f>IF($C866="B",INDEX(Batters[[#All],[POS]],MATCH(Table5[[#This Row],[PID]],Batters[[#All],[PID]],0)),INDEX(Table3[[#All],[POS]],MATCH(Table5[[#This Row],[PID]],Table3[[#All],[PID]],0)))</f>
        <v>1B</v>
      </c>
      <c r="E866" s="54" t="str">
        <f>IF($C866="B",INDEX(Batters[[#All],[First]],MATCH(Table5[[#This Row],[PID]],Batters[[#All],[PID]],0)),INDEX(Table3[[#All],[First]],MATCH(Table5[[#This Row],[PID]],Table3[[#All],[PID]],0)))</f>
        <v>Isao</v>
      </c>
      <c r="F866" s="52" t="str">
        <f>IF($C866="B",INDEX(Batters[[#All],[Last]],MATCH(A866,Batters[[#All],[PID]],0)),INDEX(Table3[[#All],[Last]],MATCH(A866,Table3[[#All],[PID]],0)))</f>
        <v>Umaba</v>
      </c>
      <c r="G866" s="58">
        <f>IF($C866="B",INDEX(Batters[[#All],[Age]],MATCH(Table5[[#This Row],[PID]],Batters[[#All],[PID]],0)),INDEX(Table3[[#All],[Age]],MATCH(Table5[[#This Row],[PID]],Table3[[#All],[PID]],0)))</f>
        <v>22</v>
      </c>
      <c r="H866" s="54" t="str">
        <f>IF($C866="B",INDEX(Batters[[#All],[B]],MATCH(Table5[[#This Row],[PID]],Batters[[#All],[PID]],0)),INDEX(Table3[[#All],[B]],MATCH(Table5[[#This Row],[PID]],Table3[[#All],[PID]],0)))</f>
        <v>R</v>
      </c>
      <c r="I866" s="54" t="str">
        <f>IF($C866="B",INDEX(Batters[[#All],[T]],MATCH(Table5[[#This Row],[PID]],Batters[[#All],[PID]],0)),INDEX(Table3[[#All],[T]],MATCH(Table5[[#This Row],[PID]],Table3[[#All],[PID]],0)))</f>
        <v>R</v>
      </c>
      <c r="J866" s="54" t="str">
        <f>IF($C866="B",INDEX(Batters[[#All],[WE]],MATCH(Table5[[#This Row],[PID]],Batters[[#All],[PID]],0)),INDEX(Table3[[#All],[WE]],MATCH(Table5[[#This Row],[PID]],Table3[[#All],[PID]],0)))</f>
        <v>Low</v>
      </c>
      <c r="K866" s="54" t="str">
        <f>IF($C866="B",INDEX(Batters[[#All],[INT]],MATCH(Table5[[#This Row],[PID]],Batters[[#All],[PID]],0)),INDEX(Table3[[#All],[INT]],MATCH(Table5[[#This Row],[PID]],Table3[[#All],[PID]],0)))</f>
        <v>High</v>
      </c>
      <c r="L866" s="62">
        <f>IF($C866="B",INDEX(Batters[[#All],[CON P]],MATCH(Table5[[#This Row],[PID]],Batters[[#All],[PID]],0)),INDEX(Table3[[#All],[STU P]],MATCH(Table5[[#This Row],[PID]],Table3[[#All],[PID]],0)))</f>
        <v>4</v>
      </c>
      <c r="M866" s="58">
        <f>IF($C866="B",INDEX(Batters[[#All],[GAP P]],MATCH(Table5[[#This Row],[PID]],Batters[[#All],[PID]],0)),INDEX(Table3[[#All],[MOV P]],MATCH(Table5[[#This Row],[PID]],Table3[[#All],[PID]],0)))</f>
        <v>3</v>
      </c>
      <c r="N866" s="58">
        <f>IF($C866="B",INDEX(Batters[[#All],[POW P]],MATCH(Table5[[#This Row],[PID]],Batters[[#All],[PID]],0)),INDEX(Table3[[#All],[CON P]],MATCH(Table5[[#This Row],[PID]],Table3[[#All],[PID]],0)))</f>
        <v>2</v>
      </c>
      <c r="O866" s="58">
        <f>IF($C866="B",INDEX(Batters[[#All],[EYE P]],MATCH(Table5[[#This Row],[PID]],Batters[[#All],[PID]],0)),INDEX(Table3[[#All],[VELO]],MATCH(Table5[[#This Row],[PID]],Table3[[#All],[PID]],0)))</f>
        <v>2</v>
      </c>
      <c r="P866" s="58">
        <f>IF($C866="B",INDEX(Batters[[#All],[K P]],MATCH(Table5[[#This Row],[PID]],Batters[[#All],[PID]],0)),INDEX(Table3[[#All],[STM]],MATCH(Table5[[#This Row],[PID]],Table3[[#All],[PID]],0)))</f>
        <v>4</v>
      </c>
      <c r="Q866" s="63">
        <f>IF($C866="B",INDEX(Batters[[#All],[Tot]],MATCH(Table5[[#This Row],[PID]],Batters[[#All],[PID]],0)),INDEX(Table3[[#All],[Tot]],MATCH(Table5[[#This Row],[PID]],Table3[[#All],[PID]],0)))</f>
        <v>36.221766003578438</v>
      </c>
      <c r="R866" s="54">
        <f>IF($C866="B",INDEX(Batters[[#All],[zScore]],MATCH(Table5[[#This Row],[PID]],Batters[[#All],[PID]],0)),INDEX(Table3[[#All],[zScore]],MATCH(Table5[[#This Row],[PID]],Table3[[#All],[PID]],0)))</f>
        <v>-0.72602696849250192</v>
      </c>
      <c r="S866" s="60" t="str">
        <f>IF($C866="B",INDEX(Batters[[#All],[DEM]],MATCH(Table5[[#This Row],[PID]],Batters[[#All],[PID]],0)),INDEX(Table3[[#All],[DEM]],MATCH(Table5[[#This Row],[PID]],Table3[[#All],[PID]],0)))</f>
        <v>-</v>
      </c>
      <c r="T866" s="64">
        <f>IF($C866="B",VLOOKUP($A866,Bat!$A$4:$AU$1417,46,FALSE),VLOOKUP($A866,Pit!$A$4:$BD$570,55,FALSE))</f>
        <v>0</v>
      </c>
      <c r="U866" s="52">
        <f>IF($C866="B",VLOOKUP($A866,Bat!$A$4:$BA$1417,47,FALSE),VLOOKUP($A866,Pit!$A$4:$BF$570,56,FALSE))</f>
        <v>0</v>
      </c>
      <c r="V866" s="52">
        <f>IF($C866="B",VLOOKUP($A866,Bat!$A$4:$BA$1417,48,FALSE),VLOOKUP($A866,Pit!$A$4:$BF$570,57,FALSE))</f>
        <v>0</v>
      </c>
      <c r="W866" s="52">
        <f>Table5[[#This Row],[posRnk]]+Table5[[#This Row],[zRnk]]+IF($W$3&lt;&gt;Table5[[#This Row],[Type]],50,0)</f>
        <v>912</v>
      </c>
      <c r="X866" s="53">
        <f>RANK(Table5[[#This Row],[zScore]],Table5[[#All],[zScore]])</f>
        <v>862</v>
      </c>
      <c r="Y866" s="52" t="str">
        <f>IFERROR(INDEX(DraftResults[[#All],[OVR]],MATCH(Table5[[#This Row],[PID]],DraftResults[[#All],[Player ID]],0)),"")</f>
        <v/>
      </c>
      <c r="Z8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6" s="52" t="str">
        <f>IFERROR(INDEX(DraftResults[[#All],[Pick in Round]],MATCH(Table5[[#This Row],[PID]],DraftResults[[#All],[Player ID]],0)),"")</f>
        <v/>
      </c>
      <c r="AB866" s="52" t="str">
        <f>IFERROR(INDEX(DraftResults[[#All],[Team Name]],MATCH(Table5[[#This Row],[PID]],DraftResults[[#All],[Player ID]],0)),"")</f>
        <v/>
      </c>
      <c r="AC866" s="52" t="str">
        <f>IF(Table5[[#This Row],[Ovr]]="","",IF(Table5[[#This Row],[cmbList]]="","",Table5[[#This Row],[cmbList]]-Table5[[#This Row],[Ovr]]))</f>
        <v/>
      </c>
      <c r="AD866" s="56" t="str">
        <f>IF(ISERROR(VLOOKUP($AB866&amp;"-"&amp;$E866&amp;" "&amp;F866,Bonuses!$B$1:$G$1006,4,FALSE)),"",INT(VLOOKUP($AB866&amp;"-"&amp;$E866&amp;" "&amp;$F866,Bonuses!$B$1:$G$1006,4,FALSE)))</f>
        <v/>
      </c>
      <c r="AE8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7" spans="1:31" s="52" customFormat="1" x14ac:dyDescent="0.25">
      <c r="A867" s="52">
        <v>6909</v>
      </c>
      <c r="B867" s="52">
        <f>COUNTIF(Table5[PID],A867)</f>
        <v>1</v>
      </c>
      <c r="C867" s="52" t="str">
        <f>IF(COUNTIF(Table3[[#All],[PID]],A867)&gt;0,"P","B")</f>
        <v>B</v>
      </c>
      <c r="D867" s="61" t="str">
        <f>IF($C867="B",INDEX(Batters[[#All],[POS]],MATCH(Table5[[#This Row],[PID]],Batters[[#All],[PID]],0)),INDEX(Table3[[#All],[POS]],MATCH(Table5[[#This Row],[PID]],Table3[[#All],[PID]],0)))</f>
        <v>1B</v>
      </c>
      <c r="E867" s="54" t="str">
        <f>IF($C867="B",INDEX(Batters[[#All],[First]],MATCH(Table5[[#This Row],[PID]],Batters[[#All],[PID]],0)),INDEX(Table3[[#All],[First]],MATCH(Table5[[#This Row],[PID]],Table3[[#All],[PID]],0)))</f>
        <v>Alfredo</v>
      </c>
      <c r="F867" s="52" t="str">
        <f>IF($C867="B",INDEX(Batters[[#All],[Last]],MATCH(A867,Batters[[#All],[PID]],0)),INDEX(Table3[[#All],[Last]],MATCH(A867,Table3[[#All],[PID]],0)))</f>
        <v>Rodríguez</v>
      </c>
      <c r="G867" s="58">
        <f>IF($C867="B",INDEX(Batters[[#All],[Age]],MATCH(Table5[[#This Row],[PID]],Batters[[#All],[PID]],0)),INDEX(Table3[[#All],[Age]],MATCH(Table5[[#This Row],[PID]],Table3[[#All],[PID]],0)))</f>
        <v>21</v>
      </c>
      <c r="H867" s="54" t="str">
        <f>IF($C867="B",INDEX(Batters[[#All],[B]],MATCH(Table5[[#This Row],[PID]],Batters[[#All],[PID]],0)),INDEX(Table3[[#All],[B]],MATCH(Table5[[#This Row],[PID]],Table3[[#All],[PID]],0)))</f>
        <v>R</v>
      </c>
      <c r="I867" s="54" t="str">
        <f>IF($C867="B",INDEX(Batters[[#All],[T]],MATCH(Table5[[#This Row],[PID]],Batters[[#All],[PID]],0)),INDEX(Table3[[#All],[T]],MATCH(Table5[[#This Row],[PID]],Table3[[#All],[PID]],0)))</f>
        <v>R</v>
      </c>
      <c r="J867" s="54" t="str">
        <f>IF($C867="B",INDEX(Batters[[#All],[WE]],MATCH(Table5[[#This Row],[PID]],Batters[[#All],[PID]],0)),INDEX(Table3[[#All],[WE]],MATCH(Table5[[#This Row],[PID]],Table3[[#All],[PID]],0)))</f>
        <v>Normal</v>
      </c>
      <c r="K867" s="54" t="str">
        <f>IF($C867="B",INDEX(Batters[[#All],[INT]],MATCH(Table5[[#This Row],[PID]],Batters[[#All],[PID]],0)),INDEX(Table3[[#All],[INT]],MATCH(Table5[[#This Row],[PID]],Table3[[#All],[PID]],0)))</f>
        <v>Normal</v>
      </c>
      <c r="L867" s="62">
        <f>IF($C867="B",INDEX(Batters[[#All],[CON P]],MATCH(Table5[[#This Row],[PID]],Batters[[#All],[PID]],0)),INDEX(Table3[[#All],[STU P]],MATCH(Table5[[#This Row],[PID]],Table3[[#All],[PID]],0)))</f>
        <v>4</v>
      </c>
      <c r="M867" s="58">
        <f>IF($C867="B",INDEX(Batters[[#All],[GAP P]],MATCH(Table5[[#This Row],[PID]],Batters[[#All],[PID]],0)),INDEX(Table3[[#All],[MOV P]],MATCH(Table5[[#This Row],[PID]],Table3[[#All],[PID]],0)))</f>
        <v>3</v>
      </c>
      <c r="N867" s="58">
        <f>IF($C867="B",INDEX(Batters[[#All],[POW P]],MATCH(Table5[[#This Row],[PID]],Batters[[#All],[PID]],0)),INDEX(Table3[[#All],[CON P]],MATCH(Table5[[#This Row],[PID]],Table3[[#All],[PID]],0)))</f>
        <v>2</v>
      </c>
      <c r="O867" s="58">
        <f>IF($C867="B",INDEX(Batters[[#All],[EYE P]],MATCH(Table5[[#This Row],[PID]],Batters[[#All],[PID]],0)),INDEX(Table3[[#All],[VELO]],MATCH(Table5[[#This Row],[PID]],Table3[[#All],[PID]],0)))</f>
        <v>2</v>
      </c>
      <c r="P867" s="58">
        <f>IF($C867="B",INDEX(Batters[[#All],[K P]],MATCH(Table5[[#This Row],[PID]],Batters[[#All],[PID]],0)),INDEX(Table3[[#All],[STM]],MATCH(Table5[[#This Row],[PID]],Table3[[#All],[PID]],0)))</f>
        <v>4</v>
      </c>
      <c r="Q867" s="63">
        <f>IF($C867="B",INDEX(Batters[[#All],[Tot]],MATCH(Table5[[#This Row],[PID]],Batters[[#All],[PID]],0)),INDEX(Table3[[#All],[Tot]],MATCH(Table5[[#This Row],[PID]],Table3[[#All],[PID]],0)))</f>
        <v>36.216660015616561</v>
      </c>
      <c r="R867" s="54">
        <f>IF($C867="B",INDEX(Batters[[#All],[zScore]],MATCH(Table5[[#This Row],[PID]],Batters[[#All],[PID]],0)),INDEX(Table3[[#All],[zScore]],MATCH(Table5[[#This Row],[PID]],Table3[[#All],[PID]],0)))</f>
        <v>-0.72692533313844898</v>
      </c>
      <c r="S867" s="60" t="str">
        <f>IF($C867="B",INDEX(Batters[[#All],[DEM]],MATCH(Table5[[#This Row],[PID]],Batters[[#All],[PID]],0)),INDEX(Table3[[#All],[DEM]],MATCH(Table5[[#This Row],[PID]],Table3[[#All],[PID]],0)))</f>
        <v>$20k</v>
      </c>
      <c r="T867" s="64">
        <f>IF($C867="B",VLOOKUP($A867,Bat!$A$4:$AU$1417,46,FALSE),VLOOKUP($A867,Pit!$A$4:$BD$570,55,FALSE))</f>
        <v>0</v>
      </c>
      <c r="U867" s="52">
        <f>IF($C867="B",VLOOKUP($A867,Bat!$A$4:$BA$1417,47,FALSE),VLOOKUP($A867,Pit!$A$4:$BF$570,56,FALSE))</f>
        <v>0</v>
      </c>
      <c r="V867" s="52">
        <f>IF($C867="B",VLOOKUP($A867,Bat!$A$4:$BA$1417,48,FALSE),VLOOKUP($A867,Pit!$A$4:$BF$570,57,FALSE))</f>
        <v>0</v>
      </c>
      <c r="W867" s="52">
        <f>Table5[[#This Row],[posRnk]]+Table5[[#This Row],[zRnk]]+IF($W$3&lt;&gt;Table5[[#This Row],[Type]],50,0)</f>
        <v>913</v>
      </c>
      <c r="X867" s="53">
        <f>RANK(Table5[[#This Row],[zScore]],Table5[[#All],[zScore]])</f>
        <v>863</v>
      </c>
      <c r="Y867" s="52" t="str">
        <f>IFERROR(INDEX(DraftResults[[#All],[OVR]],MATCH(Table5[[#This Row],[PID]],DraftResults[[#All],[Player ID]],0)),"")</f>
        <v/>
      </c>
      <c r="Z8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7" s="52" t="str">
        <f>IFERROR(INDEX(DraftResults[[#All],[Pick in Round]],MATCH(Table5[[#This Row],[PID]],DraftResults[[#All],[Player ID]],0)),"")</f>
        <v/>
      </c>
      <c r="AB867" s="52" t="str">
        <f>IFERROR(INDEX(DraftResults[[#All],[Team Name]],MATCH(Table5[[#This Row],[PID]],DraftResults[[#All],[Player ID]],0)),"")</f>
        <v/>
      </c>
      <c r="AC867" s="52" t="str">
        <f>IF(Table5[[#This Row],[Ovr]]="","",IF(Table5[[#This Row],[cmbList]]="","",Table5[[#This Row],[cmbList]]-Table5[[#This Row],[Ovr]]))</f>
        <v/>
      </c>
      <c r="AD867" s="56" t="str">
        <f>IF(ISERROR(VLOOKUP($AB867&amp;"-"&amp;$E867&amp;" "&amp;F867,Bonuses!$B$1:$G$1006,4,FALSE)),"",INT(VLOOKUP($AB867&amp;"-"&amp;$E867&amp;" "&amp;$F867,Bonuses!$B$1:$G$1006,4,FALSE)))</f>
        <v/>
      </c>
      <c r="AE8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8" spans="1:31" s="52" customFormat="1" x14ac:dyDescent="0.25">
      <c r="A868" s="52">
        <v>6138</v>
      </c>
      <c r="B868" s="52">
        <f>COUNTIF(Table5[PID],A868)</f>
        <v>1</v>
      </c>
      <c r="C868" s="52" t="str">
        <f>IF(COUNTIF(Table3[[#All],[PID]],A868)&gt;0,"P","B")</f>
        <v>P</v>
      </c>
      <c r="D868" s="61" t="str">
        <f>IF($C868="B",INDEX(Batters[[#All],[POS]],MATCH(Table5[[#This Row],[PID]],Batters[[#All],[PID]],0)),INDEX(Table3[[#All],[POS]],MATCH(Table5[[#This Row],[PID]],Table3[[#All],[PID]],0)))</f>
        <v>RP</v>
      </c>
      <c r="E868" s="54" t="str">
        <f>IF($C868="B",INDEX(Batters[[#All],[First]],MATCH(Table5[[#This Row],[PID]],Batters[[#All],[PID]],0)),INDEX(Table3[[#All],[First]],MATCH(Table5[[#This Row],[PID]],Table3[[#All],[PID]],0)))</f>
        <v>David</v>
      </c>
      <c r="F868" s="52" t="str">
        <f>IF($C868="B",INDEX(Batters[[#All],[Last]],MATCH(A868,Batters[[#All],[PID]],0)),INDEX(Table3[[#All],[Last]],MATCH(A868,Table3[[#All],[PID]],0)))</f>
        <v>Madison</v>
      </c>
      <c r="G868" s="58">
        <f>IF($C868="B",INDEX(Batters[[#All],[Age]],MATCH(Table5[[#This Row],[PID]],Batters[[#All],[PID]],0)),INDEX(Table3[[#All],[Age]],MATCH(Table5[[#This Row],[PID]],Table3[[#All],[PID]],0)))</f>
        <v>21</v>
      </c>
      <c r="H868" s="54" t="str">
        <f>IF($C868="B",INDEX(Batters[[#All],[B]],MATCH(Table5[[#This Row],[PID]],Batters[[#All],[PID]],0)),INDEX(Table3[[#All],[B]],MATCH(Table5[[#This Row],[PID]],Table3[[#All],[PID]],0)))</f>
        <v>R</v>
      </c>
      <c r="I868" s="54" t="str">
        <f>IF($C868="B",INDEX(Batters[[#All],[T]],MATCH(Table5[[#This Row],[PID]],Batters[[#All],[PID]],0)),INDEX(Table3[[#All],[T]],MATCH(Table5[[#This Row],[PID]],Table3[[#All],[PID]],0)))</f>
        <v>R</v>
      </c>
      <c r="J868" s="54" t="str">
        <f>IF($C868="B",INDEX(Batters[[#All],[WE]],MATCH(Table5[[#This Row],[PID]],Batters[[#All],[PID]],0)),INDEX(Table3[[#All],[WE]],MATCH(Table5[[#This Row],[PID]],Table3[[#All],[PID]],0)))</f>
        <v>Low</v>
      </c>
      <c r="K868" s="54" t="str">
        <f>IF($C868="B",INDEX(Batters[[#All],[INT]],MATCH(Table5[[#This Row],[PID]],Batters[[#All],[PID]],0)),INDEX(Table3[[#All],[INT]],MATCH(Table5[[#This Row],[PID]],Table3[[#All],[PID]],0)))</f>
        <v>Normal</v>
      </c>
      <c r="L868" s="62">
        <f>IF($C868="B",INDEX(Batters[[#All],[CON P]],MATCH(Table5[[#This Row],[PID]],Batters[[#All],[PID]],0)),INDEX(Table3[[#All],[STU P]],MATCH(Table5[[#This Row],[PID]],Table3[[#All],[PID]],0)))</f>
        <v>3</v>
      </c>
      <c r="M868" s="58">
        <f>IF($C868="B",INDEX(Batters[[#All],[GAP P]],MATCH(Table5[[#This Row],[PID]],Batters[[#All],[PID]],0)),INDEX(Table3[[#All],[MOV P]],MATCH(Table5[[#This Row],[PID]],Table3[[#All],[PID]],0)))</f>
        <v>2</v>
      </c>
      <c r="N868" s="58">
        <f>IF($C868="B",INDEX(Batters[[#All],[POW P]],MATCH(Table5[[#This Row],[PID]],Batters[[#All],[PID]],0)),INDEX(Table3[[#All],[CON P]],MATCH(Table5[[#This Row],[PID]],Table3[[#All],[PID]],0)))</f>
        <v>2</v>
      </c>
      <c r="O868" s="58" t="str">
        <f>IF($C868="B",INDEX(Batters[[#All],[EYE P]],MATCH(Table5[[#This Row],[PID]],Batters[[#All],[PID]],0)),INDEX(Table3[[#All],[VELO]],MATCH(Table5[[#This Row],[PID]],Table3[[#All],[PID]],0)))</f>
        <v>85-87 Mph</v>
      </c>
      <c r="P868" s="58">
        <f>IF($C868="B",INDEX(Batters[[#All],[K P]],MATCH(Table5[[#This Row],[PID]],Batters[[#All],[PID]],0)),INDEX(Table3[[#All],[STM]],MATCH(Table5[[#This Row],[PID]],Table3[[#All],[PID]],0)))</f>
        <v>6</v>
      </c>
      <c r="Q868" s="63">
        <f>IF($C868="B",INDEX(Batters[[#All],[Tot]],MATCH(Table5[[#This Row],[PID]],Batters[[#All],[PID]],0)),INDEX(Table3[[#All],[Tot]],MATCH(Table5[[#This Row],[PID]],Table3[[#All],[PID]],0)))</f>
        <v>22.081848125523724</v>
      </c>
      <c r="R868" s="54">
        <f>IF($C868="B",INDEX(Batters[[#All],[zScore]],MATCH(Table5[[#This Row],[PID]],Batters[[#All],[PID]],0)),INDEX(Table3[[#All],[zScore]],MATCH(Table5[[#This Row],[PID]],Table3[[#All],[PID]],0)))</f>
        <v>-0.72860771091076881</v>
      </c>
      <c r="S868" s="60" t="str">
        <f>IF($C868="B",INDEX(Batters[[#All],[DEM]],MATCH(Table5[[#This Row],[PID]],Batters[[#All],[PID]],0)),INDEX(Table3[[#All],[DEM]],MATCH(Table5[[#This Row],[PID]],Table3[[#All],[PID]],0)))</f>
        <v>-</v>
      </c>
      <c r="T868" s="64">
        <f>IF($C868="B",VLOOKUP($A868,Bat!$A$4:$AU$1417,46,FALSE),VLOOKUP($A868,Pit!$A$4:$BD$570,55,FALSE))</f>
        <v>0</v>
      </c>
      <c r="U868" s="52">
        <f>IF($C868="B",VLOOKUP($A868,Bat!$A$4:$BA$1417,47,FALSE),VLOOKUP($A868,Pit!$A$4:$BF$570,56,FALSE))</f>
        <v>0</v>
      </c>
      <c r="V868" s="52">
        <f>IF($C868="B",VLOOKUP($A868,Bat!$A$4:$BA$1417,48,FALSE),VLOOKUP($A868,Pit!$A$4:$BF$570,57,FALSE))</f>
        <v>0</v>
      </c>
      <c r="W868" s="52">
        <f>Table5[[#This Row],[posRnk]]+Table5[[#This Row],[zRnk]]+IF($W$3&lt;&gt;Table5[[#This Row],[Type]],50,0)</f>
        <v>914</v>
      </c>
      <c r="X868" s="53">
        <f>RANK(Table5[[#This Row],[zScore]],Table5[[#All],[zScore]])</f>
        <v>864</v>
      </c>
      <c r="Y868" s="52" t="str">
        <f>IFERROR(INDEX(DraftResults[[#All],[OVR]],MATCH(Table5[[#This Row],[PID]],DraftResults[[#All],[Player ID]],0)),"")</f>
        <v/>
      </c>
      <c r="Z8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8" s="52" t="str">
        <f>IFERROR(INDEX(DraftResults[[#All],[Pick in Round]],MATCH(Table5[[#This Row],[PID]],DraftResults[[#All],[Player ID]],0)),"")</f>
        <v/>
      </c>
      <c r="AB868" s="52" t="str">
        <f>IFERROR(INDEX(DraftResults[[#All],[Team Name]],MATCH(Table5[[#This Row],[PID]],DraftResults[[#All],[Player ID]],0)),"")</f>
        <v/>
      </c>
      <c r="AC868" s="52" t="str">
        <f>IF(Table5[[#This Row],[Ovr]]="","",IF(Table5[[#This Row],[cmbList]]="","",Table5[[#This Row],[cmbList]]-Table5[[#This Row],[Ovr]]))</f>
        <v/>
      </c>
      <c r="AD868" s="56" t="str">
        <f>IF(ISERROR(VLOOKUP($AB868&amp;"-"&amp;$E868&amp;" "&amp;F868,Bonuses!$B$1:$G$1006,4,FALSE)),"",INT(VLOOKUP($AB868&amp;"-"&amp;$E868&amp;" "&amp;$F868,Bonuses!$B$1:$G$1006,4,FALSE)))</f>
        <v/>
      </c>
      <c r="AE8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9" spans="1:31" s="52" customFormat="1" x14ac:dyDescent="0.25">
      <c r="A869" s="52">
        <v>7678</v>
      </c>
      <c r="B869" s="52">
        <f>COUNTIF(Table5[PID],A869)</f>
        <v>1</v>
      </c>
      <c r="C869" s="52" t="str">
        <f>IF(COUNTIF(Table3[[#All],[PID]],A869)&gt;0,"P","B")</f>
        <v>B</v>
      </c>
      <c r="D869" s="61" t="str">
        <f>IF($C869="B",INDEX(Batters[[#All],[POS]],MATCH(Table5[[#This Row],[PID]],Batters[[#All],[PID]],0)),INDEX(Table3[[#All],[POS]],MATCH(Table5[[#This Row],[PID]],Table3[[#All],[PID]],0)))</f>
        <v>1B</v>
      </c>
      <c r="E869" s="54" t="str">
        <f>IF($C869="B",INDEX(Batters[[#All],[First]],MATCH(Table5[[#This Row],[PID]],Batters[[#All],[PID]],0)),INDEX(Table3[[#All],[First]],MATCH(Table5[[#This Row],[PID]],Table3[[#All],[PID]],0)))</f>
        <v>Scott</v>
      </c>
      <c r="F869" s="52" t="str">
        <f>IF($C869="B",INDEX(Batters[[#All],[Last]],MATCH(A869,Batters[[#All],[PID]],0)),INDEX(Table3[[#All],[Last]],MATCH(A869,Table3[[#All],[PID]],0)))</f>
        <v>Clark</v>
      </c>
      <c r="G869" s="58">
        <f>IF($C869="B",INDEX(Batters[[#All],[Age]],MATCH(Table5[[#This Row],[PID]],Batters[[#All],[PID]],0)),INDEX(Table3[[#All],[Age]],MATCH(Table5[[#This Row],[PID]],Table3[[#All],[PID]],0)))</f>
        <v>18</v>
      </c>
      <c r="H869" s="54" t="str">
        <f>IF($C869="B",INDEX(Batters[[#All],[B]],MATCH(Table5[[#This Row],[PID]],Batters[[#All],[PID]],0)),INDEX(Table3[[#All],[B]],MATCH(Table5[[#This Row],[PID]],Table3[[#All],[PID]],0)))</f>
        <v>S</v>
      </c>
      <c r="I869" s="54" t="str">
        <f>IF($C869="B",INDEX(Batters[[#All],[T]],MATCH(Table5[[#This Row],[PID]],Batters[[#All],[PID]],0)),INDEX(Table3[[#All],[T]],MATCH(Table5[[#This Row],[PID]],Table3[[#All],[PID]],0)))</f>
        <v>L</v>
      </c>
      <c r="J869" s="54" t="str">
        <f>IF($C869="B",INDEX(Batters[[#All],[WE]],MATCH(Table5[[#This Row],[PID]],Batters[[#All],[PID]],0)),INDEX(Table3[[#All],[WE]],MATCH(Table5[[#This Row],[PID]],Table3[[#All],[PID]],0)))</f>
        <v>Normal</v>
      </c>
      <c r="K869" s="54" t="str">
        <f>IF($C869="B",INDEX(Batters[[#All],[INT]],MATCH(Table5[[#This Row],[PID]],Batters[[#All],[PID]],0)),INDEX(Table3[[#All],[INT]],MATCH(Table5[[#This Row],[PID]],Table3[[#All],[PID]],0)))</f>
        <v>Normal</v>
      </c>
      <c r="L869" s="62">
        <f>IF($C869="B",INDEX(Batters[[#All],[CON P]],MATCH(Table5[[#This Row],[PID]],Batters[[#All],[PID]],0)),INDEX(Table3[[#All],[STU P]],MATCH(Table5[[#This Row],[PID]],Table3[[#All],[PID]],0)))</f>
        <v>3</v>
      </c>
      <c r="M869" s="58">
        <f>IF($C869="B",INDEX(Batters[[#All],[GAP P]],MATCH(Table5[[#This Row],[PID]],Batters[[#All],[PID]],0)),INDEX(Table3[[#All],[MOV P]],MATCH(Table5[[#This Row],[PID]],Table3[[#All],[PID]],0)))</f>
        <v>2</v>
      </c>
      <c r="N869" s="58">
        <f>IF($C869="B",INDEX(Batters[[#All],[POW P]],MATCH(Table5[[#This Row],[PID]],Batters[[#All],[PID]],0)),INDEX(Table3[[#All],[CON P]],MATCH(Table5[[#This Row],[PID]],Table3[[#All],[PID]],0)))</f>
        <v>2</v>
      </c>
      <c r="O869" s="58">
        <f>IF($C869="B",INDEX(Batters[[#All],[EYE P]],MATCH(Table5[[#This Row],[PID]],Batters[[#All],[PID]],0)),INDEX(Table3[[#All],[VELO]],MATCH(Table5[[#This Row],[PID]],Table3[[#All],[PID]],0)))</f>
        <v>2</v>
      </c>
      <c r="P869" s="58">
        <f>IF($C869="B",INDEX(Batters[[#All],[K P]],MATCH(Table5[[#This Row],[PID]],Batters[[#All],[PID]],0)),INDEX(Table3[[#All],[STM]],MATCH(Table5[[#This Row],[PID]],Table3[[#All],[PID]],0)))</f>
        <v>3</v>
      </c>
      <c r="Q869" s="63">
        <f>IF($C869="B",INDEX(Batters[[#All],[Tot]],MATCH(Table5[[#This Row],[PID]],Batters[[#All],[PID]],0)),INDEX(Table3[[#All],[Tot]],MATCH(Table5[[#This Row],[PID]],Table3[[#All],[PID]],0)))</f>
        <v>36.1754549247892</v>
      </c>
      <c r="R869" s="54">
        <f>IF($C869="B",INDEX(Batters[[#All],[zScore]],MATCH(Table5[[#This Row],[PID]],Batters[[#All],[PID]],0)),INDEX(Table3[[#All],[zScore]],MATCH(Table5[[#This Row],[PID]],Table3[[#All],[PID]],0)))</f>
        <v>-0.73417509500798894</v>
      </c>
      <c r="S869" s="60" t="str">
        <f>IF($C869="B",INDEX(Batters[[#All],[DEM]],MATCH(Table5[[#This Row],[PID]],Batters[[#All],[PID]],0)),INDEX(Table3[[#All],[DEM]],MATCH(Table5[[#This Row],[PID]],Table3[[#All],[PID]],0)))</f>
        <v>$70k</v>
      </c>
      <c r="T869" s="64">
        <f>IF($C869="B",VLOOKUP($A869,Bat!$A$4:$AU$1417,46,FALSE),VLOOKUP($A869,Pit!$A$4:$BD$570,55,FALSE))</f>
        <v>0</v>
      </c>
      <c r="U869" s="52">
        <f>IF($C869="B",VLOOKUP($A869,Bat!$A$4:$BA$1417,47,FALSE),VLOOKUP($A869,Pit!$A$4:$BF$570,56,FALSE))</f>
        <v>0</v>
      </c>
      <c r="V869" s="52">
        <f>IF($C869="B",VLOOKUP($A869,Bat!$A$4:$BA$1417,48,FALSE),VLOOKUP($A869,Pit!$A$4:$BF$570,57,FALSE))</f>
        <v>0</v>
      </c>
      <c r="W869" s="52">
        <f>Table5[[#This Row],[posRnk]]+Table5[[#This Row],[zRnk]]+IF($W$3&lt;&gt;Table5[[#This Row],[Type]],50,0)</f>
        <v>915</v>
      </c>
      <c r="X869" s="53">
        <f>RANK(Table5[[#This Row],[zScore]],Table5[[#All],[zScore]])</f>
        <v>865</v>
      </c>
      <c r="Y869" s="52" t="str">
        <f>IFERROR(INDEX(DraftResults[[#All],[OVR]],MATCH(Table5[[#This Row],[PID]],DraftResults[[#All],[Player ID]],0)),"")</f>
        <v/>
      </c>
      <c r="Z8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9" s="52" t="str">
        <f>IFERROR(INDEX(DraftResults[[#All],[Pick in Round]],MATCH(Table5[[#This Row],[PID]],DraftResults[[#All],[Player ID]],0)),"")</f>
        <v/>
      </c>
      <c r="AB869" s="52" t="str">
        <f>IFERROR(INDEX(DraftResults[[#All],[Team Name]],MATCH(Table5[[#This Row],[PID]],DraftResults[[#All],[Player ID]],0)),"")</f>
        <v/>
      </c>
      <c r="AC869" s="52" t="str">
        <f>IF(Table5[[#This Row],[Ovr]]="","",IF(Table5[[#This Row],[cmbList]]="","",Table5[[#This Row],[cmbList]]-Table5[[#This Row],[Ovr]]))</f>
        <v/>
      </c>
      <c r="AD869" s="56" t="str">
        <f>IF(ISERROR(VLOOKUP($AB869&amp;"-"&amp;$E869&amp;" "&amp;F869,Bonuses!$B$1:$G$1006,4,FALSE)),"",INT(VLOOKUP($AB869&amp;"-"&amp;$E869&amp;" "&amp;$F869,Bonuses!$B$1:$G$1006,4,FALSE)))</f>
        <v/>
      </c>
      <c r="AE8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0" spans="1:31" s="52" customFormat="1" x14ac:dyDescent="0.25">
      <c r="A870" s="52">
        <v>11033</v>
      </c>
      <c r="B870" s="52">
        <f>COUNTIF(Table5[PID],A870)</f>
        <v>1</v>
      </c>
      <c r="C870" s="52" t="str">
        <f>IF(COUNTIF(Table3[[#All],[PID]],A870)&gt;0,"P","B")</f>
        <v>P</v>
      </c>
      <c r="D870" s="61" t="str">
        <f>IF($C870="B",INDEX(Batters[[#All],[POS]],MATCH(Table5[[#This Row],[PID]],Batters[[#All],[PID]],0)),INDEX(Table3[[#All],[POS]],MATCH(Table5[[#This Row],[PID]],Table3[[#All],[PID]],0)))</f>
        <v>RP</v>
      </c>
      <c r="E870" s="54" t="str">
        <f>IF($C870="B",INDEX(Batters[[#All],[First]],MATCH(Table5[[#This Row],[PID]],Batters[[#All],[PID]],0)),INDEX(Table3[[#All],[First]],MATCH(Table5[[#This Row],[PID]],Table3[[#All],[PID]],0)))</f>
        <v>Mauk</v>
      </c>
      <c r="F870" s="52" t="str">
        <f>IF($C870="B",INDEX(Batters[[#All],[Last]],MATCH(A870,Batters[[#All],[PID]],0)),INDEX(Table3[[#All],[Last]],MATCH(A870,Table3[[#All],[PID]],0)))</f>
        <v>Arnesen</v>
      </c>
      <c r="G870" s="58">
        <f>IF($C870="B",INDEX(Batters[[#All],[Age]],MATCH(Table5[[#This Row],[PID]],Batters[[#All],[PID]],0)),INDEX(Table3[[#All],[Age]],MATCH(Table5[[#This Row],[PID]],Table3[[#All],[PID]],0)))</f>
        <v>18</v>
      </c>
      <c r="H870" s="54" t="str">
        <f>IF($C870="B",INDEX(Batters[[#All],[B]],MATCH(Table5[[#This Row],[PID]],Batters[[#All],[PID]],0)),INDEX(Table3[[#All],[B]],MATCH(Table5[[#This Row],[PID]],Table3[[#All],[PID]],0)))</f>
        <v>R</v>
      </c>
      <c r="I870" s="54" t="str">
        <f>IF($C870="B",INDEX(Batters[[#All],[T]],MATCH(Table5[[#This Row],[PID]],Batters[[#All],[PID]],0)),INDEX(Table3[[#All],[T]],MATCH(Table5[[#This Row],[PID]],Table3[[#All],[PID]],0)))</f>
        <v>R</v>
      </c>
      <c r="J870" s="54" t="str">
        <f>IF($C870="B",INDEX(Batters[[#All],[WE]],MATCH(Table5[[#This Row],[PID]],Batters[[#All],[PID]],0)),INDEX(Table3[[#All],[WE]],MATCH(Table5[[#This Row],[PID]],Table3[[#All],[PID]],0)))</f>
        <v>High</v>
      </c>
      <c r="K870" s="54" t="str">
        <f>IF($C870="B",INDEX(Batters[[#All],[INT]],MATCH(Table5[[#This Row],[PID]],Batters[[#All],[PID]],0)),INDEX(Table3[[#All],[INT]],MATCH(Table5[[#This Row],[PID]],Table3[[#All],[PID]],0)))</f>
        <v>Normal</v>
      </c>
      <c r="L870" s="62">
        <f>IF($C870="B",INDEX(Batters[[#All],[CON P]],MATCH(Table5[[#This Row],[PID]],Batters[[#All],[PID]],0)),INDEX(Table3[[#All],[STU P]],MATCH(Table5[[#This Row],[PID]],Table3[[#All],[PID]],0)))</f>
        <v>4</v>
      </c>
      <c r="M870" s="58">
        <f>IF($C870="B",INDEX(Batters[[#All],[GAP P]],MATCH(Table5[[#This Row],[PID]],Batters[[#All],[PID]],0)),INDEX(Table3[[#All],[MOV P]],MATCH(Table5[[#This Row],[PID]],Table3[[#All],[PID]],0)))</f>
        <v>1</v>
      </c>
      <c r="N870" s="58">
        <f>IF($C870="B",INDEX(Batters[[#All],[POW P]],MATCH(Table5[[#This Row],[PID]],Batters[[#All],[PID]],0)),INDEX(Table3[[#All],[CON P]],MATCH(Table5[[#This Row],[PID]],Table3[[#All],[PID]],0)))</f>
        <v>2</v>
      </c>
      <c r="O870" s="58" t="str">
        <f>IF($C870="B",INDEX(Batters[[#All],[EYE P]],MATCH(Table5[[#This Row],[PID]],Batters[[#All],[PID]],0)),INDEX(Table3[[#All],[VELO]],MATCH(Table5[[#This Row],[PID]],Table3[[#All],[PID]],0)))</f>
        <v>89-91 Mph</v>
      </c>
      <c r="P870" s="58">
        <f>IF($C870="B",INDEX(Batters[[#All],[K P]],MATCH(Table5[[#This Row],[PID]],Batters[[#All],[PID]],0)),INDEX(Table3[[#All],[STM]],MATCH(Table5[[#This Row],[PID]],Table3[[#All],[PID]],0)))</f>
        <v>7</v>
      </c>
      <c r="Q870" s="63">
        <f>IF($C870="B",INDEX(Batters[[#All],[Tot]],MATCH(Table5[[#This Row],[PID]],Batters[[#All],[PID]],0)),INDEX(Table3[[#All],[Tot]],MATCH(Table5[[#This Row],[PID]],Table3[[#All],[PID]],0)))</f>
        <v>24.667804199428566</v>
      </c>
      <c r="R870" s="54">
        <f>IF($C870="B",INDEX(Batters[[#All],[zScore]],MATCH(Table5[[#This Row],[PID]],Batters[[#All],[PID]],0)),INDEX(Table3[[#All],[zScore]],MATCH(Table5[[#This Row],[PID]],Table3[[#All],[PID]],0)))</f>
        <v>-0.73862718365834557</v>
      </c>
      <c r="S870" s="60" t="str">
        <f>IF($C870="B",INDEX(Batters[[#All],[DEM]],MATCH(Table5[[#This Row],[PID]],Batters[[#All],[PID]],0)),INDEX(Table3[[#All],[DEM]],MATCH(Table5[[#This Row],[PID]],Table3[[#All],[PID]],0)))</f>
        <v>$130k</v>
      </c>
      <c r="T870" s="64">
        <f>IF($C870="B",VLOOKUP($A870,Bat!$A$4:$AU$1417,46,FALSE),VLOOKUP($A870,Pit!$A$4:$BD$570,55,FALSE))</f>
        <v>0</v>
      </c>
      <c r="U870" s="52">
        <f>IF($C870="B",VLOOKUP($A870,Bat!$A$4:$BA$1417,47,FALSE),VLOOKUP($A870,Pit!$A$4:$BF$570,56,FALSE))</f>
        <v>0</v>
      </c>
      <c r="V870" s="52">
        <f>IF($C870="B",VLOOKUP($A870,Bat!$A$4:$BA$1417,48,FALSE),VLOOKUP($A870,Pit!$A$4:$BF$570,57,FALSE))</f>
        <v>0</v>
      </c>
      <c r="W870" s="52">
        <f>Table5[[#This Row],[posRnk]]+Table5[[#This Row],[zRnk]]+IF($W$3&lt;&gt;Table5[[#This Row],[Type]],50,0)</f>
        <v>916</v>
      </c>
      <c r="X870" s="53">
        <f>RANK(Table5[[#This Row],[zScore]],Table5[[#All],[zScore]])</f>
        <v>866</v>
      </c>
      <c r="Y870" s="52" t="str">
        <f>IFERROR(INDEX(DraftResults[[#All],[OVR]],MATCH(Table5[[#This Row],[PID]],DraftResults[[#All],[Player ID]],0)),"")</f>
        <v/>
      </c>
      <c r="Z8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0" s="52" t="str">
        <f>IFERROR(INDEX(DraftResults[[#All],[Pick in Round]],MATCH(Table5[[#This Row],[PID]],DraftResults[[#All],[Player ID]],0)),"")</f>
        <v/>
      </c>
      <c r="AB870" s="52" t="str">
        <f>IFERROR(INDEX(DraftResults[[#All],[Team Name]],MATCH(Table5[[#This Row],[PID]],DraftResults[[#All],[Player ID]],0)),"")</f>
        <v/>
      </c>
      <c r="AC870" s="52" t="str">
        <f>IF(Table5[[#This Row],[Ovr]]="","",IF(Table5[[#This Row],[cmbList]]="","",Table5[[#This Row],[cmbList]]-Table5[[#This Row],[Ovr]]))</f>
        <v/>
      </c>
      <c r="AD870" s="56" t="str">
        <f>IF(ISERROR(VLOOKUP($AB870&amp;"-"&amp;$E870&amp;" "&amp;F870,Bonuses!$B$1:$G$1006,4,FALSE)),"",INT(VLOOKUP($AB870&amp;"-"&amp;$E870&amp;" "&amp;$F870,Bonuses!$B$1:$G$1006,4,FALSE)))</f>
        <v/>
      </c>
      <c r="AE8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1" spans="1:31" s="52" customFormat="1" x14ac:dyDescent="0.25">
      <c r="A871" s="52">
        <v>12587</v>
      </c>
      <c r="B871" s="52">
        <f>COUNTIF(Table5[PID],A871)</f>
        <v>1</v>
      </c>
      <c r="C871" s="52" t="str">
        <f>IF(COUNTIF(Table3[[#All],[PID]],A871)&gt;0,"P","B")</f>
        <v>P</v>
      </c>
      <c r="D871" s="61" t="str">
        <f>IF($C871="B",INDEX(Batters[[#All],[POS]],MATCH(Table5[[#This Row],[PID]],Batters[[#All],[PID]],0)),INDEX(Table3[[#All],[POS]],MATCH(Table5[[#This Row],[PID]],Table3[[#All],[PID]],0)))</f>
        <v>RP</v>
      </c>
      <c r="E871" s="54" t="str">
        <f>IF($C871="B",INDEX(Batters[[#All],[First]],MATCH(Table5[[#This Row],[PID]],Batters[[#All],[PID]],0)),INDEX(Table3[[#All],[First]],MATCH(Table5[[#This Row],[PID]],Table3[[#All],[PID]],0)))</f>
        <v>Kuniaki</v>
      </c>
      <c r="F871" s="52" t="str">
        <f>IF($C871="B",INDEX(Batters[[#All],[Last]],MATCH(A871,Batters[[#All],[PID]],0)),INDEX(Table3[[#All],[Last]],MATCH(A871,Table3[[#All],[PID]],0)))</f>
        <v>Watanabe</v>
      </c>
      <c r="G871" s="58">
        <f>IF($C871="B",INDEX(Batters[[#All],[Age]],MATCH(Table5[[#This Row],[PID]],Batters[[#All],[PID]],0)),INDEX(Table3[[#All],[Age]],MATCH(Table5[[#This Row],[PID]],Table3[[#All],[PID]],0)))</f>
        <v>21</v>
      </c>
      <c r="H871" s="54" t="str">
        <f>IF($C871="B",INDEX(Batters[[#All],[B]],MATCH(Table5[[#This Row],[PID]],Batters[[#All],[PID]],0)),INDEX(Table3[[#All],[B]],MATCH(Table5[[#This Row],[PID]],Table3[[#All],[PID]],0)))</f>
        <v>L</v>
      </c>
      <c r="I871" s="54" t="str">
        <f>IF($C871="B",INDEX(Batters[[#All],[T]],MATCH(Table5[[#This Row],[PID]],Batters[[#All],[PID]],0)),INDEX(Table3[[#All],[T]],MATCH(Table5[[#This Row],[PID]],Table3[[#All],[PID]],0)))</f>
        <v>R</v>
      </c>
      <c r="J871" s="54" t="str">
        <f>IF($C871="B",INDEX(Batters[[#All],[WE]],MATCH(Table5[[#This Row],[PID]],Batters[[#All],[PID]],0)),INDEX(Table3[[#All],[WE]],MATCH(Table5[[#This Row],[PID]],Table3[[#All],[PID]],0)))</f>
        <v>Normal</v>
      </c>
      <c r="K871" s="54" t="str">
        <f>IF($C871="B",INDEX(Batters[[#All],[INT]],MATCH(Table5[[#This Row],[PID]],Batters[[#All],[PID]],0)),INDEX(Table3[[#All],[INT]],MATCH(Table5[[#This Row],[PID]],Table3[[#All],[PID]],0)))</f>
        <v>Normal</v>
      </c>
      <c r="L871" s="62">
        <f>IF($C871="B",INDEX(Batters[[#All],[CON P]],MATCH(Table5[[#This Row],[PID]],Batters[[#All],[PID]],0)),INDEX(Table3[[#All],[STU P]],MATCH(Table5[[#This Row],[PID]],Table3[[#All],[PID]],0)))</f>
        <v>3</v>
      </c>
      <c r="M871" s="58">
        <f>IF($C871="B",INDEX(Batters[[#All],[GAP P]],MATCH(Table5[[#This Row],[PID]],Batters[[#All],[PID]],0)),INDEX(Table3[[#All],[MOV P]],MATCH(Table5[[#This Row],[PID]],Table3[[#All],[PID]],0)))</f>
        <v>2</v>
      </c>
      <c r="N871" s="58">
        <f>IF($C871="B",INDEX(Batters[[#All],[POW P]],MATCH(Table5[[#This Row],[PID]],Batters[[#All],[PID]],0)),INDEX(Table3[[#All],[CON P]],MATCH(Table5[[#This Row],[PID]],Table3[[#All],[PID]],0)))</f>
        <v>2</v>
      </c>
      <c r="O871" s="58" t="str">
        <f>IF($C871="B",INDEX(Batters[[#All],[EYE P]],MATCH(Table5[[#This Row],[PID]],Batters[[#All],[PID]],0)),INDEX(Table3[[#All],[VELO]],MATCH(Table5[[#This Row],[PID]],Table3[[#All],[PID]],0)))</f>
        <v>86-88 Mph</v>
      </c>
      <c r="P871" s="58">
        <f>IF($C871="B",INDEX(Batters[[#All],[K P]],MATCH(Table5[[#This Row],[PID]],Batters[[#All],[PID]],0)),INDEX(Table3[[#All],[STM]],MATCH(Table5[[#This Row],[PID]],Table3[[#All],[PID]],0)))</f>
        <v>6</v>
      </c>
      <c r="Q871" s="63">
        <f>IF($C871="B",INDEX(Batters[[#All],[Tot]],MATCH(Table5[[#This Row],[PID]],Batters[[#All],[PID]],0)),INDEX(Table3[[#All],[Tot]],MATCH(Table5[[#This Row],[PID]],Table3[[#All],[PID]],0)))</f>
        <v>21.954789693389049</v>
      </c>
      <c r="R871" s="54">
        <f>IF($C871="B",INDEX(Batters[[#All],[zScore]],MATCH(Table5[[#This Row],[PID]],Batters[[#All],[PID]],0)),INDEX(Table3[[#All],[zScore]],MATCH(Table5[[#This Row],[PID]],Table3[[#All],[PID]],0)))</f>
        <v>-0.73974344246805945</v>
      </c>
      <c r="S871" s="60" t="str">
        <f>IF($C871="B",INDEX(Batters[[#All],[DEM]],MATCH(Table5[[#This Row],[PID]],Batters[[#All],[PID]],0)),INDEX(Table3[[#All],[DEM]],MATCH(Table5[[#This Row],[PID]],Table3[[#All],[PID]],0)))</f>
        <v>-</v>
      </c>
      <c r="T871" s="64">
        <f>IF($C871="B",VLOOKUP($A871,Bat!$A$4:$AU$1417,46,FALSE),VLOOKUP($A871,Pit!$A$4:$BD$570,55,FALSE))</f>
        <v>0</v>
      </c>
      <c r="U871" s="52">
        <f>IF($C871="B",VLOOKUP($A871,Bat!$A$4:$BA$1417,47,FALSE),VLOOKUP($A871,Pit!$A$4:$BF$570,56,FALSE))</f>
        <v>0</v>
      </c>
      <c r="V871" s="52">
        <f>IF($C871="B",VLOOKUP($A871,Bat!$A$4:$BA$1417,48,FALSE),VLOOKUP($A871,Pit!$A$4:$BF$570,57,FALSE))</f>
        <v>0</v>
      </c>
      <c r="W871" s="52">
        <f>Table5[[#This Row],[posRnk]]+Table5[[#This Row],[zRnk]]+IF($W$3&lt;&gt;Table5[[#This Row],[Type]],50,0)</f>
        <v>917</v>
      </c>
      <c r="X871" s="53">
        <f>RANK(Table5[[#This Row],[zScore]],Table5[[#All],[zScore]])</f>
        <v>867</v>
      </c>
      <c r="Y871" s="52" t="str">
        <f>IFERROR(INDEX(DraftResults[[#All],[OVR]],MATCH(Table5[[#This Row],[PID]],DraftResults[[#All],[Player ID]],0)),"")</f>
        <v/>
      </c>
      <c r="Z8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1" s="52" t="str">
        <f>IFERROR(INDEX(DraftResults[[#All],[Pick in Round]],MATCH(Table5[[#This Row],[PID]],DraftResults[[#All],[Player ID]],0)),"")</f>
        <v/>
      </c>
      <c r="AB871" s="52" t="str">
        <f>IFERROR(INDEX(DraftResults[[#All],[Team Name]],MATCH(Table5[[#This Row],[PID]],DraftResults[[#All],[Player ID]],0)),"")</f>
        <v/>
      </c>
      <c r="AC871" s="52" t="str">
        <f>IF(Table5[[#This Row],[Ovr]]="","",IF(Table5[[#This Row],[cmbList]]="","",Table5[[#This Row],[cmbList]]-Table5[[#This Row],[Ovr]]))</f>
        <v/>
      </c>
      <c r="AD871" s="56" t="str">
        <f>IF(ISERROR(VLOOKUP($AB871&amp;"-"&amp;$E871&amp;" "&amp;F871,Bonuses!$B$1:$G$1006,4,FALSE)),"",INT(VLOOKUP($AB871&amp;"-"&amp;$E871&amp;" "&amp;$F871,Bonuses!$B$1:$G$1006,4,FALSE)))</f>
        <v/>
      </c>
      <c r="AE8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2" spans="1:31" s="52" customFormat="1" x14ac:dyDescent="0.25">
      <c r="A872" s="52">
        <v>17635</v>
      </c>
      <c r="B872" s="52">
        <f>COUNTIF(Table5[PID],A872)</f>
        <v>1</v>
      </c>
      <c r="C872" s="52" t="str">
        <f>IF(COUNTIF(Table3[[#All],[PID]],A872)&gt;0,"P","B")</f>
        <v>P</v>
      </c>
      <c r="D872" s="61" t="str">
        <f>IF($C872="B",INDEX(Batters[[#All],[POS]],MATCH(Table5[[#This Row],[PID]],Batters[[#All],[PID]],0)),INDEX(Table3[[#All],[POS]],MATCH(Table5[[#This Row],[PID]],Table3[[#All],[PID]],0)))</f>
        <v>RP</v>
      </c>
      <c r="E872" s="54" t="str">
        <f>IF($C872="B",INDEX(Batters[[#All],[First]],MATCH(Table5[[#This Row],[PID]],Batters[[#All],[PID]],0)),INDEX(Table3[[#All],[First]],MATCH(Table5[[#This Row],[PID]],Table3[[#All],[PID]],0)))</f>
        <v>Hoyt</v>
      </c>
      <c r="F872" s="52" t="str">
        <f>IF($C872="B",INDEX(Batters[[#All],[Last]],MATCH(A872,Batters[[#All],[PID]],0)),INDEX(Table3[[#All],[Last]],MATCH(A872,Table3[[#All],[PID]],0)))</f>
        <v>Hart</v>
      </c>
      <c r="G872" s="58">
        <f>IF($C872="B",INDEX(Batters[[#All],[Age]],MATCH(Table5[[#This Row],[PID]],Batters[[#All],[PID]],0)),INDEX(Table3[[#All],[Age]],MATCH(Table5[[#This Row],[PID]],Table3[[#All],[PID]],0)))</f>
        <v>17</v>
      </c>
      <c r="H872" s="54" t="str">
        <f>IF($C872="B",INDEX(Batters[[#All],[B]],MATCH(Table5[[#This Row],[PID]],Batters[[#All],[PID]],0)),INDEX(Table3[[#All],[B]],MATCH(Table5[[#This Row],[PID]],Table3[[#All],[PID]],0)))</f>
        <v>S</v>
      </c>
      <c r="I872" s="54" t="str">
        <f>IF($C872="B",INDEX(Batters[[#All],[T]],MATCH(Table5[[#This Row],[PID]],Batters[[#All],[PID]],0)),INDEX(Table3[[#All],[T]],MATCH(Table5[[#This Row],[PID]],Table3[[#All],[PID]],0)))</f>
        <v>R</v>
      </c>
      <c r="J872" s="54" t="str">
        <f>IF($C872="B",INDEX(Batters[[#All],[WE]],MATCH(Table5[[#This Row],[PID]],Batters[[#All],[PID]],0)),INDEX(Table3[[#All],[WE]],MATCH(Table5[[#This Row],[PID]],Table3[[#All],[PID]],0)))</f>
        <v>Low</v>
      </c>
      <c r="K872" s="54" t="str">
        <f>IF($C872="B",INDEX(Batters[[#All],[INT]],MATCH(Table5[[#This Row],[PID]],Batters[[#All],[PID]],0)),INDEX(Table3[[#All],[INT]],MATCH(Table5[[#This Row],[PID]],Table3[[#All],[PID]],0)))</f>
        <v>Normal</v>
      </c>
      <c r="L872" s="62">
        <f>IF($C872="B",INDEX(Batters[[#All],[CON P]],MATCH(Table5[[#This Row],[PID]],Batters[[#All],[PID]],0)),INDEX(Table3[[#All],[STU P]],MATCH(Table5[[#This Row],[PID]],Table3[[#All],[PID]],0)))</f>
        <v>4</v>
      </c>
      <c r="M872" s="58">
        <f>IF($C872="B",INDEX(Batters[[#All],[GAP P]],MATCH(Table5[[#This Row],[PID]],Batters[[#All],[PID]],0)),INDEX(Table3[[#All],[MOV P]],MATCH(Table5[[#This Row],[PID]],Table3[[#All],[PID]],0)))</f>
        <v>1</v>
      </c>
      <c r="N872" s="58">
        <f>IF($C872="B",INDEX(Batters[[#All],[POW P]],MATCH(Table5[[#This Row],[PID]],Batters[[#All],[PID]],0)),INDEX(Table3[[#All],[CON P]],MATCH(Table5[[#This Row],[PID]],Table3[[#All],[PID]],0)))</f>
        <v>2</v>
      </c>
      <c r="O872" s="58" t="str">
        <f>IF($C872="B",INDEX(Batters[[#All],[EYE P]],MATCH(Table5[[#This Row],[PID]],Batters[[#All],[PID]],0)),INDEX(Table3[[#All],[VELO]],MATCH(Table5[[#This Row],[PID]],Table3[[#All],[PID]],0)))</f>
        <v>90-92 Mph</v>
      </c>
      <c r="P872" s="58">
        <f>IF($C872="B",INDEX(Batters[[#All],[K P]],MATCH(Table5[[#This Row],[PID]],Batters[[#All],[PID]],0)),INDEX(Table3[[#All],[STM]],MATCH(Table5[[#This Row],[PID]],Table3[[#All],[PID]],0)))</f>
        <v>6</v>
      </c>
      <c r="Q872" s="63">
        <f>IF($C872="B",INDEX(Batters[[#All],[Tot]],MATCH(Table5[[#This Row],[PID]],Batters[[#All],[PID]],0)),INDEX(Table3[[#All],[Tot]],MATCH(Table5[[#This Row],[PID]],Table3[[#All],[PID]],0)))</f>
        <v>24.646573902722139</v>
      </c>
      <c r="R872" s="54">
        <f>IF($C872="B",INDEX(Batters[[#All],[zScore]],MATCH(Table5[[#This Row],[PID]],Batters[[#All],[PID]],0)),INDEX(Table3[[#All],[zScore]],MATCH(Table5[[#This Row],[PID]],Table3[[#All],[PID]],0)))</f>
        <v>-0.74057409260652018</v>
      </c>
      <c r="S872" s="60" t="str">
        <f>IF($C872="B",INDEX(Batters[[#All],[DEM]],MATCH(Table5[[#This Row],[PID]],Batters[[#All],[PID]],0)),INDEX(Table3[[#All],[DEM]],MATCH(Table5[[#This Row],[PID]],Table3[[#All],[PID]],0)))</f>
        <v>$80k</v>
      </c>
      <c r="T872" s="64">
        <f>IF($C872="B",VLOOKUP($A872,Bat!$A$4:$AU$1417,46,FALSE),VLOOKUP($A872,Pit!$A$4:$BD$570,55,FALSE))</f>
        <v>0</v>
      </c>
      <c r="U872" s="52">
        <f>IF($C872="B",VLOOKUP($A872,Bat!$A$4:$BA$1417,47,FALSE),VLOOKUP($A872,Pit!$A$4:$BF$570,56,FALSE))</f>
        <v>0</v>
      </c>
      <c r="V872" s="52">
        <f>IF($C872="B",VLOOKUP($A872,Bat!$A$4:$BA$1417,48,FALSE),VLOOKUP($A872,Pit!$A$4:$BF$570,57,FALSE))</f>
        <v>0</v>
      </c>
      <c r="W872" s="52">
        <f>Table5[[#This Row],[posRnk]]+Table5[[#This Row],[zRnk]]+IF($W$3&lt;&gt;Table5[[#This Row],[Type]],50,0)</f>
        <v>918</v>
      </c>
      <c r="X872" s="53">
        <f>RANK(Table5[[#This Row],[zScore]],Table5[[#All],[zScore]])</f>
        <v>868</v>
      </c>
      <c r="Y872" s="52" t="str">
        <f>IFERROR(INDEX(DraftResults[[#All],[OVR]],MATCH(Table5[[#This Row],[PID]],DraftResults[[#All],[Player ID]],0)),"")</f>
        <v/>
      </c>
      <c r="Z8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2" s="52" t="str">
        <f>IFERROR(INDEX(DraftResults[[#All],[Pick in Round]],MATCH(Table5[[#This Row],[PID]],DraftResults[[#All],[Player ID]],0)),"")</f>
        <v/>
      </c>
      <c r="AB872" s="52" t="str">
        <f>IFERROR(INDEX(DraftResults[[#All],[Team Name]],MATCH(Table5[[#This Row],[PID]],DraftResults[[#All],[Player ID]],0)),"")</f>
        <v/>
      </c>
      <c r="AC872" s="52" t="str">
        <f>IF(Table5[[#This Row],[Ovr]]="","",IF(Table5[[#This Row],[cmbList]]="","",Table5[[#This Row],[cmbList]]-Table5[[#This Row],[Ovr]]))</f>
        <v/>
      </c>
      <c r="AD872" s="56" t="str">
        <f>IF(ISERROR(VLOOKUP($AB872&amp;"-"&amp;$E872&amp;" "&amp;F872,Bonuses!$B$1:$G$1006,4,FALSE)),"",INT(VLOOKUP($AB872&amp;"-"&amp;$E872&amp;" "&amp;$F872,Bonuses!$B$1:$G$1006,4,FALSE)))</f>
        <v/>
      </c>
      <c r="AE8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3" spans="1:31" s="52" customFormat="1" x14ac:dyDescent="0.25">
      <c r="A873" s="52">
        <v>6697</v>
      </c>
      <c r="B873" s="52">
        <f>COUNTIF(Table5[PID],A873)</f>
        <v>1</v>
      </c>
      <c r="C873" s="52" t="str">
        <f>IF(COUNTIF(Table3[[#All],[PID]],A873)&gt;0,"P","B")</f>
        <v>B</v>
      </c>
      <c r="D873" s="61" t="str">
        <f>IF($C873="B",INDEX(Batters[[#All],[POS]],MATCH(Table5[[#This Row],[PID]],Batters[[#All],[PID]],0)),INDEX(Table3[[#All],[POS]],MATCH(Table5[[#This Row],[PID]],Table3[[#All],[PID]],0)))</f>
        <v>LF</v>
      </c>
      <c r="E873" s="54" t="str">
        <f>IF($C873="B",INDEX(Batters[[#All],[First]],MATCH(Table5[[#This Row],[PID]],Batters[[#All],[PID]],0)),INDEX(Table3[[#All],[First]],MATCH(Table5[[#This Row],[PID]],Table3[[#All],[PID]],0)))</f>
        <v>Brandon</v>
      </c>
      <c r="F873" s="52" t="str">
        <f>IF($C873="B",INDEX(Batters[[#All],[Last]],MATCH(A873,Batters[[#All],[PID]],0)),INDEX(Table3[[#All],[Last]],MATCH(A873,Table3[[#All],[PID]],0)))</f>
        <v>Hopper</v>
      </c>
      <c r="G873" s="58">
        <f>IF($C873="B",INDEX(Batters[[#All],[Age]],MATCH(Table5[[#This Row],[PID]],Batters[[#All],[PID]],0)),INDEX(Table3[[#All],[Age]],MATCH(Table5[[#This Row],[PID]],Table3[[#All],[PID]],0)))</f>
        <v>21</v>
      </c>
      <c r="H873" s="54" t="str">
        <f>IF($C873="B",INDEX(Batters[[#All],[B]],MATCH(Table5[[#This Row],[PID]],Batters[[#All],[PID]],0)),INDEX(Table3[[#All],[B]],MATCH(Table5[[#This Row],[PID]],Table3[[#All],[PID]],0)))</f>
        <v>L</v>
      </c>
      <c r="I873" s="54" t="str">
        <f>IF($C873="B",INDEX(Batters[[#All],[T]],MATCH(Table5[[#This Row],[PID]],Batters[[#All],[PID]],0)),INDEX(Table3[[#All],[T]],MATCH(Table5[[#This Row],[PID]],Table3[[#All],[PID]],0)))</f>
        <v>R</v>
      </c>
      <c r="J873" s="54" t="str">
        <f>IF($C873="B",INDEX(Batters[[#All],[WE]],MATCH(Table5[[#This Row],[PID]],Batters[[#All],[PID]],0)),INDEX(Table3[[#All],[WE]],MATCH(Table5[[#This Row],[PID]],Table3[[#All],[PID]],0)))</f>
        <v>Low</v>
      </c>
      <c r="K873" s="54" t="str">
        <f>IF($C873="B",INDEX(Batters[[#All],[INT]],MATCH(Table5[[#This Row],[PID]],Batters[[#All],[PID]],0)),INDEX(Table3[[#All],[INT]],MATCH(Table5[[#This Row],[PID]],Table3[[#All],[PID]],0)))</f>
        <v>Normal</v>
      </c>
      <c r="L873" s="62">
        <f>IF($C873="B",INDEX(Batters[[#All],[CON P]],MATCH(Table5[[#This Row],[PID]],Batters[[#All],[PID]],0)),INDEX(Table3[[#All],[STU P]],MATCH(Table5[[#This Row],[PID]],Table3[[#All],[PID]],0)))</f>
        <v>3</v>
      </c>
      <c r="M873" s="58">
        <f>IF($C873="B",INDEX(Batters[[#All],[GAP P]],MATCH(Table5[[#This Row],[PID]],Batters[[#All],[PID]],0)),INDEX(Table3[[#All],[MOV P]],MATCH(Table5[[#This Row],[PID]],Table3[[#All],[PID]],0)))</f>
        <v>3</v>
      </c>
      <c r="N873" s="58">
        <f>IF($C873="B",INDEX(Batters[[#All],[POW P]],MATCH(Table5[[#This Row],[PID]],Batters[[#All],[PID]],0)),INDEX(Table3[[#All],[CON P]],MATCH(Table5[[#This Row],[PID]],Table3[[#All],[PID]],0)))</f>
        <v>4</v>
      </c>
      <c r="O873" s="58">
        <f>IF($C873="B",INDEX(Batters[[#All],[EYE P]],MATCH(Table5[[#This Row],[PID]],Batters[[#All],[PID]],0)),INDEX(Table3[[#All],[VELO]],MATCH(Table5[[#This Row],[PID]],Table3[[#All],[PID]],0)))</f>
        <v>4</v>
      </c>
      <c r="P873" s="58">
        <f>IF($C873="B",INDEX(Batters[[#All],[K P]],MATCH(Table5[[#This Row],[PID]],Batters[[#All],[PID]],0)),INDEX(Table3[[#All],[STM]],MATCH(Table5[[#This Row],[PID]],Table3[[#All],[PID]],0)))</f>
        <v>4</v>
      </c>
      <c r="Q873" s="63">
        <f>IF($C873="B",INDEX(Batters[[#All],[Tot]],MATCH(Table5[[#This Row],[PID]],Batters[[#All],[PID]],0)),INDEX(Table3[[#All],[Tot]],MATCH(Table5[[#This Row],[PID]],Table3[[#All],[PID]],0)))</f>
        <v>36.137257707187437</v>
      </c>
      <c r="R873" s="54">
        <f>IF($C873="B",INDEX(Batters[[#All],[zScore]],MATCH(Table5[[#This Row],[PID]],Batters[[#All],[PID]],0)),INDEX(Table3[[#All],[zScore]],MATCH(Table5[[#This Row],[PID]],Table3[[#All],[PID]],0)))</f>
        <v>-0.74089564157472265</v>
      </c>
      <c r="S873" s="60" t="str">
        <f>IF($C873="B",INDEX(Batters[[#All],[DEM]],MATCH(Table5[[#This Row],[PID]],Batters[[#All],[PID]],0)),INDEX(Table3[[#All],[DEM]],MATCH(Table5[[#This Row],[PID]],Table3[[#All],[PID]],0)))</f>
        <v>$20k</v>
      </c>
      <c r="T873" s="64">
        <f>IF($C873="B",VLOOKUP($A873,Bat!$A$4:$AU$1417,46,FALSE),VLOOKUP($A873,Pit!$A$4:$BD$570,55,FALSE))</f>
        <v>0</v>
      </c>
      <c r="U873" s="52">
        <f>IF($C873="B",VLOOKUP($A873,Bat!$A$4:$BA$1417,47,FALSE),VLOOKUP($A873,Pit!$A$4:$BF$570,56,FALSE))</f>
        <v>0</v>
      </c>
      <c r="V873" s="52">
        <f>IF($C873="B",VLOOKUP($A873,Bat!$A$4:$BA$1417,48,FALSE),VLOOKUP($A873,Pit!$A$4:$BF$570,57,FALSE))</f>
        <v>0</v>
      </c>
      <c r="W873" s="52">
        <f>Table5[[#This Row],[posRnk]]+Table5[[#This Row],[zRnk]]+IF($W$3&lt;&gt;Table5[[#This Row],[Type]],50,0)</f>
        <v>919</v>
      </c>
      <c r="X873" s="53">
        <f>RANK(Table5[[#This Row],[zScore]],Table5[[#All],[zScore]])</f>
        <v>869</v>
      </c>
      <c r="Y873" s="52" t="str">
        <f>IFERROR(INDEX(DraftResults[[#All],[OVR]],MATCH(Table5[[#This Row],[PID]],DraftResults[[#All],[Player ID]],0)),"")</f>
        <v/>
      </c>
      <c r="Z8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3" s="52" t="str">
        <f>IFERROR(INDEX(DraftResults[[#All],[Pick in Round]],MATCH(Table5[[#This Row],[PID]],DraftResults[[#All],[Player ID]],0)),"")</f>
        <v/>
      </c>
      <c r="AB873" s="52" t="str">
        <f>IFERROR(INDEX(DraftResults[[#All],[Team Name]],MATCH(Table5[[#This Row],[PID]],DraftResults[[#All],[Player ID]],0)),"")</f>
        <v/>
      </c>
      <c r="AC873" s="52" t="str">
        <f>IF(Table5[[#This Row],[Ovr]]="","",IF(Table5[[#This Row],[cmbList]]="","",Table5[[#This Row],[cmbList]]-Table5[[#This Row],[Ovr]]))</f>
        <v/>
      </c>
      <c r="AD873" s="56" t="str">
        <f>IF(ISERROR(VLOOKUP($AB873&amp;"-"&amp;$E873&amp;" "&amp;F873,Bonuses!$B$1:$G$1006,4,FALSE)),"",INT(VLOOKUP($AB873&amp;"-"&amp;$E873&amp;" "&amp;$F873,Bonuses!$B$1:$G$1006,4,FALSE)))</f>
        <v/>
      </c>
      <c r="AE8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4" spans="1:31" s="52" customFormat="1" x14ac:dyDescent="0.25">
      <c r="A874" s="52">
        <v>5629</v>
      </c>
      <c r="B874" s="52">
        <f>COUNTIF(Table5[PID],A874)</f>
        <v>1</v>
      </c>
      <c r="C874" s="52" t="str">
        <f>IF(COUNTIF(Table3[[#All],[PID]],A874)&gt;0,"P","B")</f>
        <v>P</v>
      </c>
      <c r="D874" s="61" t="str">
        <f>IF($C874="B",INDEX(Batters[[#All],[POS]],MATCH(Table5[[#This Row],[PID]],Batters[[#All],[PID]],0)),INDEX(Table3[[#All],[POS]],MATCH(Table5[[#This Row],[PID]],Table3[[#All],[PID]],0)))</f>
        <v>SP</v>
      </c>
      <c r="E874" s="54" t="str">
        <f>IF($C874="B",INDEX(Batters[[#All],[First]],MATCH(Table5[[#This Row],[PID]],Batters[[#All],[PID]],0)),INDEX(Table3[[#All],[First]],MATCH(Table5[[#This Row],[PID]],Table3[[#All],[PID]],0)))</f>
        <v>Zach</v>
      </c>
      <c r="F874" s="52" t="str">
        <f>IF($C874="B",INDEX(Batters[[#All],[Last]],MATCH(A874,Batters[[#All],[PID]],0)),INDEX(Table3[[#All],[Last]],MATCH(A874,Table3[[#All],[PID]],0)))</f>
        <v>Parks</v>
      </c>
      <c r="G874" s="58">
        <f>IF($C874="B",INDEX(Batters[[#All],[Age]],MATCH(Table5[[#This Row],[PID]],Batters[[#All],[PID]],0)),INDEX(Table3[[#All],[Age]],MATCH(Table5[[#This Row],[PID]],Table3[[#All],[PID]],0)))</f>
        <v>18</v>
      </c>
      <c r="H874" s="54" t="str">
        <f>IF($C874="B",INDEX(Batters[[#All],[B]],MATCH(Table5[[#This Row],[PID]],Batters[[#All],[PID]],0)),INDEX(Table3[[#All],[B]],MATCH(Table5[[#This Row],[PID]],Table3[[#All],[PID]],0)))</f>
        <v>R</v>
      </c>
      <c r="I874" s="54" t="str">
        <f>IF($C874="B",INDEX(Batters[[#All],[T]],MATCH(Table5[[#This Row],[PID]],Batters[[#All],[PID]],0)),INDEX(Table3[[#All],[T]],MATCH(Table5[[#This Row],[PID]],Table3[[#All],[PID]],0)))</f>
        <v>R</v>
      </c>
      <c r="J874" s="54" t="str">
        <f>IF($C874="B",INDEX(Batters[[#All],[WE]],MATCH(Table5[[#This Row],[PID]],Batters[[#All],[PID]],0)),INDEX(Table3[[#All],[WE]],MATCH(Table5[[#This Row],[PID]],Table3[[#All],[PID]],0)))</f>
        <v>Low</v>
      </c>
      <c r="K874" s="54" t="str">
        <f>IF($C874="B",INDEX(Batters[[#All],[INT]],MATCH(Table5[[#This Row],[PID]],Batters[[#All],[PID]],0)),INDEX(Table3[[#All],[INT]],MATCH(Table5[[#This Row],[PID]],Table3[[#All],[PID]],0)))</f>
        <v>Normal</v>
      </c>
      <c r="L874" s="62">
        <f>IF($C874="B",INDEX(Batters[[#All],[CON P]],MATCH(Table5[[#This Row],[PID]],Batters[[#All],[PID]],0)),INDEX(Table3[[#All],[STU P]],MATCH(Table5[[#This Row],[PID]],Table3[[#All],[PID]],0)))</f>
        <v>4</v>
      </c>
      <c r="M874" s="58">
        <f>IF($C874="B",INDEX(Batters[[#All],[GAP P]],MATCH(Table5[[#This Row],[PID]],Batters[[#All],[PID]],0)),INDEX(Table3[[#All],[MOV P]],MATCH(Table5[[#This Row],[PID]],Table3[[#All],[PID]],0)))</f>
        <v>1</v>
      </c>
      <c r="N874" s="58">
        <f>IF($C874="B",INDEX(Batters[[#All],[POW P]],MATCH(Table5[[#This Row],[PID]],Batters[[#All],[PID]],0)),INDEX(Table3[[#All],[CON P]],MATCH(Table5[[#This Row],[PID]],Table3[[#All],[PID]],0)))</f>
        <v>2</v>
      </c>
      <c r="O874" s="58" t="str">
        <f>IF($C874="B",INDEX(Batters[[#All],[EYE P]],MATCH(Table5[[#This Row],[PID]],Batters[[#All],[PID]],0)),INDEX(Table3[[#All],[VELO]],MATCH(Table5[[#This Row],[PID]],Table3[[#All],[PID]],0)))</f>
        <v>89-91 Mph</v>
      </c>
      <c r="P874" s="58">
        <f>IF($C874="B",INDEX(Batters[[#All],[K P]],MATCH(Table5[[#This Row],[PID]],Batters[[#All],[PID]],0)),INDEX(Table3[[#All],[STM]],MATCH(Table5[[#This Row],[PID]],Table3[[#All],[PID]],0)))</f>
        <v>4</v>
      </c>
      <c r="Q874" s="63">
        <f>IF($C874="B",INDEX(Batters[[#All],[Tot]],MATCH(Table5[[#This Row],[PID]],Batters[[#All],[PID]],0)),INDEX(Table3[[#All],[Tot]],MATCH(Table5[[#This Row],[PID]],Table3[[#All],[PID]],0)))</f>
        <v>24.636913989457138</v>
      </c>
      <c r="R874" s="54">
        <f>IF($C874="B",INDEX(Batters[[#All],[zScore]],MATCH(Table5[[#This Row],[PID]],Batters[[#All],[PID]],0)),INDEX(Table3[[#All],[zScore]],MATCH(Table5[[#This Row],[PID]],Table3[[#All],[PID]],0)))</f>
        <v>-0.74145994794025771</v>
      </c>
      <c r="S874" s="60" t="str">
        <f>IF($C874="B",INDEX(Batters[[#All],[DEM]],MATCH(Table5[[#This Row],[PID]],Batters[[#All],[PID]],0)),INDEX(Table3[[#All],[DEM]],MATCH(Table5[[#This Row],[PID]],Table3[[#All],[PID]],0)))</f>
        <v>$75k</v>
      </c>
      <c r="T874" s="64">
        <f>IF($C874="B",VLOOKUP($A874,Bat!$A$4:$AU$1417,46,FALSE),VLOOKUP($A874,Pit!$A$4:$BD$570,55,FALSE))</f>
        <v>0</v>
      </c>
      <c r="U874" s="52">
        <f>IF($C874="B",VLOOKUP($A874,Bat!$A$4:$BA$1417,47,FALSE),VLOOKUP($A874,Pit!$A$4:$BF$570,56,FALSE))</f>
        <v>0</v>
      </c>
      <c r="V874" s="52">
        <f>IF($C874="B",VLOOKUP($A874,Bat!$A$4:$BA$1417,48,FALSE),VLOOKUP($A874,Pit!$A$4:$BF$570,57,FALSE))</f>
        <v>0</v>
      </c>
      <c r="W874" s="52">
        <f>Table5[[#This Row],[posRnk]]+Table5[[#This Row],[zRnk]]+IF($W$3&lt;&gt;Table5[[#This Row],[Type]],50,0)</f>
        <v>920</v>
      </c>
      <c r="X874" s="53">
        <f>RANK(Table5[[#This Row],[zScore]],Table5[[#All],[zScore]])</f>
        <v>870</v>
      </c>
      <c r="Y874" s="52" t="str">
        <f>IFERROR(INDEX(DraftResults[[#All],[OVR]],MATCH(Table5[[#This Row],[PID]],DraftResults[[#All],[Player ID]],0)),"")</f>
        <v/>
      </c>
      <c r="Z8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4" s="52" t="str">
        <f>IFERROR(INDEX(DraftResults[[#All],[Pick in Round]],MATCH(Table5[[#This Row],[PID]],DraftResults[[#All],[Player ID]],0)),"")</f>
        <v/>
      </c>
      <c r="AB874" s="52" t="str">
        <f>IFERROR(INDEX(DraftResults[[#All],[Team Name]],MATCH(Table5[[#This Row],[PID]],DraftResults[[#All],[Player ID]],0)),"")</f>
        <v/>
      </c>
      <c r="AC874" s="52" t="str">
        <f>IF(Table5[[#This Row],[Ovr]]="","",IF(Table5[[#This Row],[cmbList]]="","",Table5[[#This Row],[cmbList]]-Table5[[#This Row],[Ovr]]))</f>
        <v/>
      </c>
      <c r="AD874" s="56" t="str">
        <f>IF(ISERROR(VLOOKUP($AB874&amp;"-"&amp;$E874&amp;" "&amp;F874,Bonuses!$B$1:$G$1006,4,FALSE)),"",INT(VLOOKUP($AB874&amp;"-"&amp;$E874&amp;" "&amp;$F874,Bonuses!$B$1:$G$1006,4,FALSE)))</f>
        <v/>
      </c>
      <c r="AE8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5" spans="1:31" s="52" customFormat="1" x14ac:dyDescent="0.25">
      <c r="A875" s="52">
        <v>17925</v>
      </c>
      <c r="B875" s="52">
        <f>COUNTIF(Table5[PID],A875)</f>
        <v>1</v>
      </c>
      <c r="C875" s="52" t="str">
        <f>IF(COUNTIF(Table3[[#All],[PID]],A875)&gt;0,"P","B")</f>
        <v>P</v>
      </c>
      <c r="D875" s="61" t="str">
        <f>IF($C875="B",INDEX(Batters[[#All],[POS]],MATCH(Table5[[#This Row],[PID]],Batters[[#All],[PID]],0)),INDEX(Table3[[#All],[POS]],MATCH(Table5[[#This Row],[PID]],Table3[[#All],[PID]],0)))</f>
        <v>RP</v>
      </c>
      <c r="E875" s="54" t="str">
        <f>IF($C875="B",INDEX(Batters[[#All],[First]],MATCH(Table5[[#This Row],[PID]],Batters[[#All],[PID]],0)),INDEX(Table3[[#All],[First]],MATCH(Table5[[#This Row],[PID]],Table3[[#All],[PID]],0)))</f>
        <v>Gart</v>
      </c>
      <c r="F875" s="52" t="str">
        <f>IF($C875="B",INDEX(Batters[[#All],[Last]],MATCH(A875,Batters[[#All],[PID]],0)),INDEX(Table3[[#All],[Last]],MATCH(A875,Table3[[#All],[PID]],0)))</f>
        <v>Melis</v>
      </c>
      <c r="G875" s="58">
        <f>IF($C875="B",INDEX(Batters[[#All],[Age]],MATCH(Table5[[#This Row],[PID]],Batters[[#All],[PID]],0)),INDEX(Table3[[#All],[Age]],MATCH(Table5[[#This Row],[PID]],Table3[[#All],[PID]],0)))</f>
        <v>18</v>
      </c>
      <c r="H875" s="54" t="str">
        <f>IF($C875="B",INDEX(Batters[[#All],[B]],MATCH(Table5[[#This Row],[PID]],Batters[[#All],[PID]],0)),INDEX(Table3[[#All],[B]],MATCH(Table5[[#This Row],[PID]],Table3[[#All],[PID]],0)))</f>
        <v>R</v>
      </c>
      <c r="I875" s="54" t="str">
        <f>IF($C875="B",INDEX(Batters[[#All],[T]],MATCH(Table5[[#This Row],[PID]],Batters[[#All],[PID]],0)),INDEX(Table3[[#All],[T]],MATCH(Table5[[#This Row],[PID]],Table3[[#All],[PID]],0)))</f>
        <v>L</v>
      </c>
      <c r="J875" s="54" t="str">
        <f>IF($C875="B",INDEX(Batters[[#All],[WE]],MATCH(Table5[[#This Row],[PID]],Batters[[#All],[PID]],0)),INDEX(Table3[[#All],[WE]],MATCH(Table5[[#This Row],[PID]],Table3[[#All],[PID]],0)))</f>
        <v>Low</v>
      </c>
      <c r="K875" s="54" t="str">
        <f>IF($C875="B",INDEX(Batters[[#All],[INT]],MATCH(Table5[[#This Row],[PID]],Batters[[#All],[PID]],0)),INDEX(Table3[[#All],[INT]],MATCH(Table5[[#This Row],[PID]],Table3[[#All],[PID]],0)))</f>
        <v>Normal</v>
      </c>
      <c r="L875" s="62">
        <f>IF($C875="B",INDEX(Batters[[#All],[CON P]],MATCH(Table5[[#This Row],[PID]],Batters[[#All],[PID]],0)),INDEX(Table3[[#All],[STU P]],MATCH(Table5[[#This Row],[PID]],Table3[[#All],[PID]],0)))</f>
        <v>4</v>
      </c>
      <c r="M875" s="58">
        <f>IF($C875="B",INDEX(Batters[[#All],[GAP P]],MATCH(Table5[[#This Row],[PID]],Batters[[#All],[PID]],0)),INDEX(Table3[[#All],[MOV P]],MATCH(Table5[[#This Row],[PID]],Table3[[#All],[PID]],0)))</f>
        <v>1</v>
      </c>
      <c r="N875" s="58">
        <f>IF($C875="B",INDEX(Batters[[#All],[POW P]],MATCH(Table5[[#This Row],[PID]],Batters[[#All],[PID]],0)),INDEX(Table3[[#All],[CON P]],MATCH(Table5[[#This Row],[PID]],Table3[[#All],[PID]],0)))</f>
        <v>2</v>
      </c>
      <c r="O875" s="58" t="str">
        <f>IF($C875="B",INDEX(Batters[[#All],[EYE P]],MATCH(Table5[[#This Row],[PID]],Batters[[#All],[PID]],0)),INDEX(Table3[[#All],[VELO]],MATCH(Table5[[#This Row],[PID]],Table3[[#All],[PID]],0)))</f>
        <v>88-90 Mph</v>
      </c>
      <c r="P875" s="58">
        <f>IF($C875="B",INDEX(Batters[[#All],[K P]],MATCH(Table5[[#This Row],[PID]],Batters[[#All],[PID]],0)),INDEX(Table3[[#All],[STM]],MATCH(Table5[[#This Row],[PID]],Table3[[#All],[PID]],0)))</f>
        <v>7</v>
      </c>
      <c r="Q875" s="63">
        <f>IF($C875="B",INDEX(Batters[[#All],[Tot]],MATCH(Table5[[#This Row],[PID]],Batters[[#All],[PID]],0)),INDEX(Table3[[#All],[Tot]],MATCH(Table5[[#This Row],[PID]],Table3[[#All],[PID]],0)))</f>
        <v>24.606742464330399</v>
      </c>
      <c r="R875" s="54">
        <f>IF($C875="B",INDEX(Batters[[#All],[zScore]],MATCH(Table5[[#This Row],[PID]],Batters[[#All],[PID]],0)),INDEX(Table3[[#All],[zScore]],MATCH(Table5[[#This Row],[PID]],Table3[[#All],[PID]],0)))</f>
        <v>-0.7442268057501884</v>
      </c>
      <c r="S875" s="60" t="str">
        <f>IF($C875="B",INDEX(Batters[[#All],[DEM]],MATCH(Table5[[#This Row],[PID]],Batters[[#All],[PID]],0)),INDEX(Table3[[#All],[DEM]],MATCH(Table5[[#This Row],[PID]],Table3[[#All],[PID]],0)))</f>
        <v>$80k</v>
      </c>
      <c r="T875" s="64">
        <f>IF($C875="B",VLOOKUP($A875,Bat!$A$4:$AU$1417,46,FALSE),VLOOKUP($A875,Pit!$A$4:$BD$570,55,FALSE))</f>
        <v>0</v>
      </c>
      <c r="U875" s="52">
        <f>IF($C875="B",VLOOKUP($A875,Bat!$A$4:$BA$1417,47,FALSE),VLOOKUP($A875,Pit!$A$4:$BF$570,56,FALSE))</f>
        <v>0</v>
      </c>
      <c r="V875" s="52">
        <f>IF($C875="B",VLOOKUP($A875,Bat!$A$4:$BA$1417,48,FALSE),VLOOKUP($A875,Pit!$A$4:$BF$570,57,FALSE))</f>
        <v>0</v>
      </c>
      <c r="W875" s="52">
        <f>Table5[[#This Row],[posRnk]]+Table5[[#This Row],[zRnk]]+IF($W$3&lt;&gt;Table5[[#This Row],[Type]],50,0)</f>
        <v>921</v>
      </c>
      <c r="X875" s="53">
        <f>RANK(Table5[[#This Row],[zScore]],Table5[[#All],[zScore]])</f>
        <v>871</v>
      </c>
      <c r="Y875" s="52" t="str">
        <f>IFERROR(INDEX(DraftResults[[#All],[OVR]],MATCH(Table5[[#This Row],[PID]],DraftResults[[#All],[Player ID]],0)),"")</f>
        <v/>
      </c>
      <c r="Z8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5" s="52" t="str">
        <f>IFERROR(INDEX(DraftResults[[#All],[Pick in Round]],MATCH(Table5[[#This Row],[PID]],DraftResults[[#All],[Player ID]],0)),"")</f>
        <v/>
      </c>
      <c r="AB875" s="52" t="str">
        <f>IFERROR(INDEX(DraftResults[[#All],[Team Name]],MATCH(Table5[[#This Row],[PID]],DraftResults[[#All],[Player ID]],0)),"")</f>
        <v/>
      </c>
      <c r="AC875" s="52" t="str">
        <f>IF(Table5[[#This Row],[Ovr]]="","",IF(Table5[[#This Row],[cmbList]]="","",Table5[[#This Row],[cmbList]]-Table5[[#This Row],[Ovr]]))</f>
        <v/>
      </c>
      <c r="AD875" s="56" t="str">
        <f>IF(ISERROR(VLOOKUP($AB875&amp;"-"&amp;$E875&amp;" "&amp;F875,Bonuses!$B$1:$G$1006,4,FALSE)),"",INT(VLOOKUP($AB875&amp;"-"&amp;$E875&amp;" "&amp;$F875,Bonuses!$B$1:$G$1006,4,FALSE)))</f>
        <v/>
      </c>
      <c r="AE8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6" spans="1:31" s="52" customFormat="1" x14ac:dyDescent="0.25">
      <c r="A876" s="52">
        <v>17931</v>
      </c>
      <c r="B876" s="52">
        <f>COUNTIF(Table5[PID],A876)</f>
        <v>1</v>
      </c>
      <c r="C876" s="52" t="str">
        <f>IF(COUNTIF(Table3[[#All],[PID]],A876)&gt;0,"P","B")</f>
        <v>P</v>
      </c>
      <c r="D876" s="61" t="str">
        <f>IF($C876="B",INDEX(Batters[[#All],[POS]],MATCH(Table5[[#This Row],[PID]],Batters[[#All],[PID]],0)),INDEX(Table3[[#All],[POS]],MATCH(Table5[[#This Row],[PID]],Table3[[#All],[PID]],0)))</f>
        <v>RP</v>
      </c>
      <c r="E876" s="54" t="str">
        <f>IF($C876="B",INDEX(Batters[[#All],[First]],MATCH(Table5[[#This Row],[PID]],Batters[[#All],[PID]],0)),INDEX(Table3[[#All],[First]],MATCH(Table5[[#This Row],[PID]],Table3[[#All],[PID]],0)))</f>
        <v>Gary</v>
      </c>
      <c r="F876" s="52" t="str">
        <f>IF($C876="B",INDEX(Batters[[#All],[Last]],MATCH(A876,Batters[[#All],[PID]],0)),INDEX(Table3[[#All],[Last]],MATCH(A876,Table3[[#All],[PID]],0)))</f>
        <v>Willcott</v>
      </c>
      <c r="G876" s="58">
        <f>IF($C876="B",INDEX(Batters[[#All],[Age]],MATCH(Table5[[#This Row],[PID]],Batters[[#All],[PID]],0)),INDEX(Table3[[#All],[Age]],MATCH(Table5[[#This Row],[PID]],Table3[[#All],[PID]],0)))</f>
        <v>18</v>
      </c>
      <c r="H876" s="54" t="str">
        <f>IF($C876="B",INDEX(Batters[[#All],[B]],MATCH(Table5[[#This Row],[PID]],Batters[[#All],[PID]],0)),INDEX(Table3[[#All],[B]],MATCH(Table5[[#This Row],[PID]],Table3[[#All],[PID]],0)))</f>
        <v>R</v>
      </c>
      <c r="I876" s="54" t="str">
        <f>IF($C876="B",INDEX(Batters[[#All],[T]],MATCH(Table5[[#This Row],[PID]],Batters[[#All],[PID]],0)),INDEX(Table3[[#All],[T]],MATCH(Table5[[#This Row],[PID]],Table3[[#All],[PID]],0)))</f>
        <v>R</v>
      </c>
      <c r="J876" s="54" t="str">
        <f>IF($C876="B",INDEX(Batters[[#All],[WE]],MATCH(Table5[[#This Row],[PID]],Batters[[#All],[PID]],0)),INDEX(Table3[[#All],[WE]],MATCH(Table5[[#This Row],[PID]],Table3[[#All],[PID]],0)))</f>
        <v>Low</v>
      </c>
      <c r="K876" s="54" t="str">
        <f>IF($C876="B",INDEX(Batters[[#All],[INT]],MATCH(Table5[[#This Row],[PID]],Batters[[#All],[PID]],0)),INDEX(Table3[[#All],[INT]],MATCH(Table5[[#This Row],[PID]],Table3[[#All],[PID]],0)))</f>
        <v>Normal</v>
      </c>
      <c r="L876" s="62">
        <f>IF($C876="B",INDEX(Batters[[#All],[CON P]],MATCH(Table5[[#This Row],[PID]],Batters[[#All],[PID]],0)),INDEX(Table3[[#All],[STU P]],MATCH(Table5[[#This Row],[PID]],Table3[[#All],[PID]],0)))</f>
        <v>4</v>
      </c>
      <c r="M876" s="58">
        <f>IF($C876="B",INDEX(Batters[[#All],[GAP P]],MATCH(Table5[[#This Row],[PID]],Batters[[#All],[PID]],0)),INDEX(Table3[[#All],[MOV P]],MATCH(Table5[[#This Row],[PID]],Table3[[#All],[PID]],0)))</f>
        <v>1</v>
      </c>
      <c r="N876" s="58">
        <f>IF($C876="B",INDEX(Batters[[#All],[POW P]],MATCH(Table5[[#This Row],[PID]],Batters[[#All],[PID]],0)),INDEX(Table3[[#All],[CON P]],MATCH(Table5[[#This Row],[PID]],Table3[[#All],[PID]],0)))</f>
        <v>2</v>
      </c>
      <c r="O876" s="58" t="str">
        <f>IF($C876="B",INDEX(Batters[[#All],[EYE P]],MATCH(Table5[[#This Row],[PID]],Batters[[#All],[PID]],0)),INDEX(Table3[[#All],[VELO]],MATCH(Table5[[#This Row],[PID]],Table3[[#All],[PID]],0)))</f>
        <v>87-89 Mph</v>
      </c>
      <c r="P876" s="58">
        <f>IF($C876="B",INDEX(Batters[[#All],[K P]],MATCH(Table5[[#This Row],[PID]],Batters[[#All],[PID]],0)),INDEX(Table3[[#All],[STM]],MATCH(Table5[[#This Row],[PID]],Table3[[#All],[PID]],0)))</f>
        <v>9</v>
      </c>
      <c r="Q876" s="63">
        <f>IF($C876="B",INDEX(Batters[[#All],[Tot]],MATCH(Table5[[#This Row],[PID]],Batters[[#All],[PID]],0)),INDEX(Table3[[#All],[Tot]],MATCH(Table5[[#This Row],[PID]],Table3[[#All],[PID]],0)))</f>
        <v>24.606742464330399</v>
      </c>
      <c r="R876" s="54">
        <f>IF($C876="B",INDEX(Batters[[#All],[zScore]],MATCH(Table5[[#This Row],[PID]],Batters[[#All],[PID]],0)),INDEX(Table3[[#All],[zScore]],MATCH(Table5[[#This Row],[PID]],Table3[[#All],[PID]],0)))</f>
        <v>-0.7442268057501884</v>
      </c>
      <c r="S876" s="60" t="str">
        <f>IF($C876="B",INDEX(Batters[[#All],[DEM]],MATCH(Table5[[#This Row],[PID]],Batters[[#All],[PID]],0)),INDEX(Table3[[#All],[DEM]],MATCH(Table5[[#This Row],[PID]],Table3[[#All],[PID]],0)))</f>
        <v>$130k</v>
      </c>
      <c r="T876" s="64">
        <f>IF($C876="B",VLOOKUP($A876,Bat!$A$4:$AU$1417,46,FALSE),VLOOKUP($A876,Pit!$A$4:$BD$570,55,FALSE))</f>
        <v>0</v>
      </c>
      <c r="U876" s="52">
        <f>IF($C876="B",VLOOKUP($A876,Bat!$A$4:$BA$1417,47,FALSE),VLOOKUP($A876,Pit!$A$4:$BF$570,56,FALSE))</f>
        <v>0</v>
      </c>
      <c r="V876" s="52">
        <f>IF($C876="B",VLOOKUP($A876,Bat!$A$4:$BA$1417,48,FALSE),VLOOKUP($A876,Pit!$A$4:$BF$570,57,FALSE))</f>
        <v>0</v>
      </c>
      <c r="W876" s="52">
        <f>Table5[[#This Row],[posRnk]]+Table5[[#This Row],[zRnk]]+IF($W$3&lt;&gt;Table5[[#This Row],[Type]],50,0)</f>
        <v>921</v>
      </c>
      <c r="X876" s="53">
        <f>RANK(Table5[[#This Row],[zScore]],Table5[[#All],[zScore]])</f>
        <v>871</v>
      </c>
      <c r="Y876" s="52" t="str">
        <f>IFERROR(INDEX(DraftResults[[#All],[OVR]],MATCH(Table5[[#This Row],[PID]],DraftResults[[#All],[Player ID]],0)),"")</f>
        <v/>
      </c>
      <c r="Z8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6" s="52" t="str">
        <f>IFERROR(INDEX(DraftResults[[#All],[Pick in Round]],MATCH(Table5[[#This Row],[PID]],DraftResults[[#All],[Player ID]],0)),"")</f>
        <v/>
      </c>
      <c r="AB876" s="52" t="str">
        <f>IFERROR(INDEX(DraftResults[[#All],[Team Name]],MATCH(Table5[[#This Row],[PID]],DraftResults[[#All],[Player ID]],0)),"")</f>
        <v/>
      </c>
      <c r="AC876" s="52" t="str">
        <f>IF(Table5[[#This Row],[Ovr]]="","",IF(Table5[[#This Row],[cmbList]]="","",Table5[[#This Row],[cmbList]]-Table5[[#This Row],[Ovr]]))</f>
        <v/>
      </c>
      <c r="AD876" s="56" t="str">
        <f>IF(ISERROR(VLOOKUP($AB876&amp;"-"&amp;$E876&amp;" "&amp;F876,Bonuses!$B$1:$G$1006,4,FALSE)),"",INT(VLOOKUP($AB876&amp;"-"&amp;$E876&amp;" "&amp;$F876,Bonuses!$B$1:$G$1006,4,FALSE)))</f>
        <v/>
      </c>
      <c r="AE8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7" spans="1:31" s="52" customFormat="1" x14ac:dyDescent="0.25">
      <c r="A877" s="52">
        <v>4730</v>
      </c>
      <c r="B877" s="52">
        <f>COUNTIF(Table5[PID],A877)</f>
        <v>1</v>
      </c>
      <c r="C877" s="52" t="str">
        <f>IF(COUNTIF(Table3[[#All],[PID]],A877)&gt;0,"P","B")</f>
        <v>P</v>
      </c>
      <c r="D877" s="61" t="str">
        <f>IF($C877="B",INDEX(Batters[[#All],[POS]],MATCH(Table5[[#This Row],[PID]],Batters[[#All],[PID]],0)),INDEX(Table3[[#All],[POS]],MATCH(Table5[[#This Row],[PID]],Table3[[#All],[PID]],0)))</f>
        <v>RP</v>
      </c>
      <c r="E877" s="54" t="str">
        <f>IF($C877="B",INDEX(Batters[[#All],[First]],MATCH(Table5[[#This Row],[PID]],Batters[[#All],[PID]],0)),INDEX(Table3[[#All],[First]],MATCH(Table5[[#This Row],[PID]],Table3[[#All],[PID]],0)))</f>
        <v>Alfredo</v>
      </c>
      <c r="F877" s="52" t="str">
        <f>IF($C877="B",INDEX(Batters[[#All],[Last]],MATCH(A877,Batters[[#All],[PID]],0)),INDEX(Table3[[#All],[Last]],MATCH(A877,Table3[[#All],[PID]],0)))</f>
        <v>González</v>
      </c>
      <c r="G877" s="58">
        <f>IF($C877="B",INDEX(Batters[[#All],[Age]],MATCH(Table5[[#This Row],[PID]],Batters[[#All],[PID]],0)),INDEX(Table3[[#All],[Age]],MATCH(Table5[[#This Row],[PID]],Table3[[#All],[PID]],0)))</f>
        <v>21</v>
      </c>
      <c r="H877" s="54" t="str">
        <f>IF($C877="B",INDEX(Batters[[#All],[B]],MATCH(Table5[[#This Row],[PID]],Batters[[#All],[PID]],0)),INDEX(Table3[[#All],[B]],MATCH(Table5[[#This Row],[PID]],Table3[[#All],[PID]],0)))</f>
        <v>R</v>
      </c>
      <c r="I877" s="54" t="str">
        <f>IF($C877="B",INDEX(Batters[[#All],[T]],MATCH(Table5[[#This Row],[PID]],Batters[[#All],[PID]],0)),INDEX(Table3[[#All],[T]],MATCH(Table5[[#This Row],[PID]],Table3[[#All],[PID]],0)))</f>
        <v>R</v>
      </c>
      <c r="J877" s="54" t="str">
        <f>IF($C877="B",INDEX(Batters[[#All],[WE]],MATCH(Table5[[#This Row],[PID]],Batters[[#All],[PID]],0)),INDEX(Table3[[#All],[WE]],MATCH(Table5[[#This Row],[PID]],Table3[[#All],[PID]],0)))</f>
        <v>Low</v>
      </c>
      <c r="K877" s="54" t="str">
        <f>IF($C877="B",INDEX(Batters[[#All],[INT]],MATCH(Table5[[#This Row],[PID]],Batters[[#All],[PID]],0)),INDEX(Table3[[#All],[INT]],MATCH(Table5[[#This Row],[PID]],Table3[[#All],[PID]],0)))</f>
        <v>Normal</v>
      </c>
      <c r="L877" s="62">
        <f>IF($C877="B",INDEX(Batters[[#All],[CON P]],MATCH(Table5[[#This Row],[PID]],Batters[[#All],[PID]],0)),INDEX(Table3[[#All],[STU P]],MATCH(Table5[[#This Row],[PID]],Table3[[#All],[PID]],0)))</f>
        <v>5</v>
      </c>
      <c r="M877" s="58">
        <f>IF($C877="B",INDEX(Batters[[#All],[GAP P]],MATCH(Table5[[#This Row],[PID]],Batters[[#All],[PID]],0)),INDEX(Table3[[#All],[MOV P]],MATCH(Table5[[#This Row],[PID]],Table3[[#All],[PID]],0)))</f>
        <v>2</v>
      </c>
      <c r="N877" s="58">
        <f>IF($C877="B",INDEX(Batters[[#All],[POW P]],MATCH(Table5[[#This Row],[PID]],Batters[[#All],[PID]],0)),INDEX(Table3[[#All],[CON P]],MATCH(Table5[[#This Row],[PID]],Table3[[#All],[PID]],0)))</f>
        <v>1</v>
      </c>
      <c r="O877" s="58" t="str">
        <f>IF($C877="B",INDEX(Batters[[#All],[EYE P]],MATCH(Table5[[#This Row],[PID]],Batters[[#All],[PID]],0)),INDEX(Table3[[#All],[VELO]],MATCH(Table5[[#This Row],[PID]],Table3[[#All],[PID]],0)))</f>
        <v>91-93 Mph</v>
      </c>
      <c r="P877" s="58">
        <f>IF($C877="B",INDEX(Batters[[#All],[K P]],MATCH(Table5[[#This Row],[PID]],Batters[[#All],[PID]],0)),INDEX(Table3[[#All],[STM]],MATCH(Table5[[#This Row],[PID]],Table3[[#All],[PID]],0)))</f>
        <v>9</v>
      </c>
      <c r="Q877" s="63">
        <f>IF($C877="B",INDEX(Batters[[#All],[Tot]],MATCH(Table5[[#This Row],[PID]],Batters[[#All],[PID]],0)),INDEX(Table3[[#All],[Tot]],MATCH(Table5[[#This Row],[PID]],Table3[[#All],[PID]],0)))</f>
        <v>24.601878305318785</v>
      </c>
      <c r="R877" s="54">
        <f>IF($C877="B",INDEX(Batters[[#All],[zScore]],MATCH(Table5[[#This Row],[PID]],Batters[[#All],[PID]],0)),INDEX(Table3[[#All],[zScore]],MATCH(Table5[[#This Row],[PID]],Table3[[#All],[PID]],0)))</f>
        <v>-0.74467286992140602</v>
      </c>
      <c r="S877" s="60" t="str">
        <f>IF($C877="B",INDEX(Batters[[#All],[DEM]],MATCH(Table5[[#This Row],[PID]],Batters[[#All],[PID]],0)),INDEX(Table3[[#All],[DEM]],MATCH(Table5[[#This Row],[PID]],Table3[[#All],[PID]],0)))</f>
        <v>-</v>
      </c>
      <c r="T877" s="64">
        <f>IF($C877="B",VLOOKUP($A877,Bat!$A$4:$AU$1417,46,FALSE),VLOOKUP($A877,Pit!$A$4:$BD$570,55,FALSE))</f>
        <v>0</v>
      </c>
      <c r="U877" s="52">
        <f>IF($C877="B",VLOOKUP($A877,Bat!$A$4:$BA$1417,47,FALSE),VLOOKUP($A877,Pit!$A$4:$BF$570,56,FALSE))</f>
        <v>0</v>
      </c>
      <c r="V877" s="52">
        <f>IF($C877="B",VLOOKUP($A877,Bat!$A$4:$BA$1417,48,FALSE),VLOOKUP($A877,Pit!$A$4:$BF$570,57,FALSE))</f>
        <v>0</v>
      </c>
      <c r="W877" s="52">
        <f>Table5[[#This Row],[posRnk]]+Table5[[#This Row],[zRnk]]+IF($W$3&lt;&gt;Table5[[#This Row],[Type]],50,0)</f>
        <v>923</v>
      </c>
      <c r="X877" s="53">
        <f>RANK(Table5[[#This Row],[zScore]],Table5[[#All],[zScore]])</f>
        <v>873</v>
      </c>
      <c r="Y877" s="52" t="str">
        <f>IFERROR(INDEX(DraftResults[[#All],[OVR]],MATCH(Table5[[#This Row],[PID]],DraftResults[[#All],[Player ID]],0)),"")</f>
        <v/>
      </c>
      <c r="Z8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7" s="52" t="str">
        <f>IFERROR(INDEX(DraftResults[[#All],[Pick in Round]],MATCH(Table5[[#This Row],[PID]],DraftResults[[#All],[Player ID]],0)),"")</f>
        <v/>
      </c>
      <c r="AB877" s="52" t="str">
        <f>IFERROR(INDEX(DraftResults[[#All],[Team Name]],MATCH(Table5[[#This Row],[PID]],DraftResults[[#All],[Player ID]],0)),"")</f>
        <v/>
      </c>
      <c r="AC877" s="52" t="str">
        <f>IF(Table5[[#This Row],[Ovr]]="","",IF(Table5[[#This Row],[cmbList]]="","",Table5[[#This Row],[cmbList]]-Table5[[#This Row],[Ovr]]))</f>
        <v/>
      </c>
      <c r="AD877" s="56" t="str">
        <f>IF(ISERROR(VLOOKUP($AB877&amp;"-"&amp;$E877&amp;" "&amp;F877,Bonuses!$B$1:$G$1006,4,FALSE)),"",INT(VLOOKUP($AB877&amp;"-"&amp;$E877&amp;" "&amp;$F877,Bonuses!$B$1:$G$1006,4,FALSE)))</f>
        <v/>
      </c>
      <c r="AE8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8" spans="1:31" s="52" customFormat="1" x14ac:dyDescent="0.25">
      <c r="A878" s="52">
        <v>5347</v>
      </c>
      <c r="B878" s="52">
        <f>COUNTIF(Table5[PID],A878)</f>
        <v>1</v>
      </c>
      <c r="C878" s="52" t="str">
        <f>IF(COUNTIF(Table3[[#All],[PID]],A878)&gt;0,"P","B")</f>
        <v>P</v>
      </c>
      <c r="D878" s="61" t="str">
        <f>IF($C878="B",INDEX(Batters[[#All],[POS]],MATCH(Table5[[#This Row],[PID]],Batters[[#All],[PID]],0)),INDEX(Table3[[#All],[POS]],MATCH(Table5[[#This Row],[PID]],Table3[[#All],[PID]],0)))</f>
        <v>SP</v>
      </c>
      <c r="E878" s="54" t="str">
        <f>IF($C878="B",INDEX(Batters[[#All],[First]],MATCH(Table5[[#This Row],[PID]],Batters[[#All],[PID]],0)),INDEX(Table3[[#All],[First]],MATCH(Table5[[#This Row],[PID]],Table3[[#All],[PID]],0)))</f>
        <v>Howard</v>
      </c>
      <c r="F878" s="52" t="str">
        <f>IF($C878="B",INDEX(Batters[[#All],[Last]],MATCH(A878,Batters[[#All],[PID]],0)),INDEX(Table3[[#All],[Last]],MATCH(A878,Table3[[#All],[PID]],0)))</f>
        <v>Scott</v>
      </c>
      <c r="G878" s="58">
        <f>IF($C878="B",INDEX(Batters[[#All],[Age]],MATCH(Table5[[#This Row],[PID]],Batters[[#All],[PID]],0)),INDEX(Table3[[#All],[Age]],MATCH(Table5[[#This Row],[PID]],Table3[[#All],[PID]],0)))</f>
        <v>22</v>
      </c>
      <c r="H878" s="54" t="str">
        <f>IF($C878="B",INDEX(Batters[[#All],[B]],MATCH(Table5[[#This Row],[PID]],Batters[[#All],[PID]],0)),INDEX(Table3[[#All],[B]],MATCH(Table5[[#This Row],[PID]],Table3[[#All],[PID]],0)))</f>
        <v>S</v>
      </c>
      <c r="I878" s="54" t="str">
        <f>IF($C878="B",INDEX(Batters[[#All],[T]],MATCH(Table5[[#This Row],[PID]],Batters[[#All],[PID]],0)),INDEX(Table3[[#All],[T]],MATCH(Table5[[#This Row],[PID]],Table3[[#All],[PID]],0)))</f>
        <v>L</v>
      </c>
      <c r="J878" s="54" t="str">
        <f>IF($C878="B",INDEX(Batters[[#All],[WE]],MATCH(Table5[[#This Row],[PID]],Batters[[#All],[PID]],0)),INDEX(Table3[[#All],[WE]],MATCH(Table5[[#This Row],[PID]],Table3[[#All],[PID]],0)))</f>
        <v>High</v>
      </c>
      <c r="K878" s="54" t="str">
        <f>IF($C878="B",INDEX(Batters[[#All],[INT]],MATCH(Table5[[#This Row],[PID]],Batters[[#All],[PID]],0)),INDEX(Table3[[#All],[INT]],MATCH(Table5[[#This Row],[PID]],Table3[[#All],[PID]],0)))</f>
        <v>Normal</v>
      </c>
      <c r="L878" s="62">
        <f>IF($C878="B",INDEX(Batters[[#All],[CON P]],MATCH(Table5[[#This Row],[PID]],Batters[[#All],[PID]],0)),INDEX(Table3[[#All],[STU P]],MATCH(Table5[[#This Row],[PID]],Table3[[#All],[PID]],0)))</f>
        <v>4</v>
      </c>
      <c r="M878" s="58">
        <f>IF($C878="B",INDEX(Batters[[#All],[GAP P]],MATCH(Table5[[#This Row],[PID]],Batters[[#All],[PID]],0)),INDEX(Table3[[#All],[MOV P]],MATCH(Table5[[#This Row],[PID]],Table3[[#All],[PID]],0)))</f>
        <v>2</v>
      </c>
      <c r="N878" s="58">
        <f>IF($C878="B",INDEX(Batters[[#All],[POW P]],MATCH(Table5[[#This Row],[PID]],Batters[[#All],[PID]],0)),INDEX(Table3[[#All],[CON P]],MATCH(Table5[[#This Row],[PID]],Table3[[#All],[PID]],0)))</f>
        <v>2</v>
      </c>
      <c r="O878" s="58" t="str">
        <f>IF($C878="B",INDEX(Batters[[#All],[EYE P]],MATCH(Table5[[#This Row],[PID]],Batters[[#All],[PID]],0)),INDEX(Table3[[#All],[VELO]],MATCH(Table5[[#This Row],[PID]],Table3[[#All],[PID]],0)))</f>
        <v>90-92 Mph</v>
      </c>
      <c r="P878" s="58">
        <f>IF($C878="B",INDEX(Batters[[#All],[K P]],MATCH(Table5[[#This Row],[PID]],Batters[[#All],[PID]],0)),INDEX(Table3[[#All],[STM]],MATCH(Table5[[#This Row],[PID]],Table3[[#All],[PID]],0)))</f>
        <v>6</v>
      </c>
      <c r="Q878" s="63">
        <f>IF($C878="B",INDEX(Batters[[#All],[Tot]],MATCH(Table5[[#This Row],[PID]],Batters[[#All],[PID]],0)),INDEX(Table3[[#All],[Tot]],MATCH(Table5[[#This Row],[PID]],Table3[[#All],[PID]],0)))</f>
        <v>24.592244883488782</v>
      </c>
      <c r="R878" s="54">
        <f>IF($C878="B",INDEX(Batters[[#All],[zScore]],MATCH(Table5[[#This Row],[PID]],Batters[[#All],[PID]],0)),INDEX(Table3[[#All],[zScore]],MATCH(Table5[[#This Row],[PID]],Table3[[#All],[PID]],0)))</f>
        <v>-0.74555629587732752</v>
      </c>
      <c r="S878" s="60" t="str">
        <f>IF($C878="B",INDEX(Batters[[#All],[DEM]],MATCH(Table5[[#This Row],[PID]],Batters[[#All],[PID]],0)),INDEX(Table3[[#All],[DEM]],MATCH(Table5[[#This Row],[PID]],Table3[[#All],[PID]],0)))</f>
        <v>-</v>
      </c>
      <c r="T878" s="64">
        <f>IF($C878="B",VLOOKUP($A878,Bat!$A$4:$AU$1417,46,FALSE),VLOOKUP($A878,Pit!$A$4:$BD$570,55,FALSE))</f>
        <v>0</v>
      </c>
      <c r="U878" s="52">
        <f>IF($C878="B",VLOOKUP($A878,Bat!$A$4:$BA$1417,47,FALSE),VLOOKUP($A878,Pit!$A$4:$BF$570,56,FALSE))</f>
        <v>0</v>
      </c>
      <c r="V878" s="52">
        <f>IF($C878="B",VLOOKUP($A878,Bat!$A$4:$BA$1417,48,FALSE),VLOOKUP($A878,Pit!$A$4:$BF$570,57,FALSE))</f>
        <v>0</v>
      </c>
      <c r="W878" s="52">
        <f>Table5[[#This Row],[posRnk]]+Table5[[#This Row],[zRnk]]+IF($W$3&lt;&gt;Table5[[#This Row],[Type]],50,0)</f>
        <v>924</v>
      </c>
      <c r="X878" s="53">
        <f>RANK(Table5[[#This Row],[zScore]],Table5[[#All],[zScore]])</f>
        <v>874</v>
      </c>
      <c r="Y878" s="52" t="str">
        <f>IFERROR(INDEX(DraftResults[[#All],[OVR]],MATCH(Table5[[#This Row],[PID]],DraftResults[[#All],[Player ID]],0)),"")</f>
        <v/>
      </c>
      <c r="Z8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8" s="52" t="str">
        <f>IFERROR(INDEX(DraftResults[[#All],[Pick in Round]],MATCH(Table5[[#This Row],[PID]],DraftResults[[#All],[Player ID]],0)),"")</f>
        <v/>
      </c>
      <c r="AB878" s="52" t="str">
        <f>IFERROR(INDEX(DraftResults[[#All],[Team Name]],MATCH(Table5[[#This Row],[PID]],DraftResults[[#All],[Player ID]],0)),"")</f>
        <v/>
      </c>
      <c r="AC878" s="52" t="str">
        <f>IF(Table5[[#This Row],[Ovr]]="","",IF(Table5[[#This Row],[cmbList]]="","",Table5[[#This Row],[cmbList]]-Table5[[#This Row],[Ovr]]))</f>
        <v/>
      </c>
      <c r="AD878" s="56" t="str">
        <f>IF(ISERROR(VLOOKUP($AB878&amp;"-"&amp;$E878&amp;" "&amp;F878,Bonuses!$B$1:$G$1006,4,FALSE)),"",INT(VLOOKUP($AB878&amp;"-"&amp;$E878&amp;" "&amp;$F878,Bonuses!$B$1:$G$1006,4,FALSE)))</f>
        <v/>
      </c>
      <c r="AE8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9" spans="1:31" s="52" customFormat="1" x14ac:dyDescent="0.25">
      <c r="A879" s="52">
        <v>5977</v>
      </c>
      <c r="B879" s="52">
        <f>COUNTIF(Table5[PID],A879)</f>
        <v>1</v>
      </c>
      <c r="C879" s="52" t="str">
        <f>IF(COUNTIF(Table3[[#All],[PID]],A879)&gt;0,"P","B")</f>
        <v>P</v>
      </c>
      <c r="D879" s="61" t="str">
        <f>IF($C879="B",INDEX(Batters[[#All],[POS]],MATCH(Table5[[#This Row],[PID]],Batters[[#All],[PID]],0)),INDEX(Table3[[#All],[POS]],MATCH(Table5[[#This Row],[PID]],Table3[[#All],[PID]],0)))</f>
        <v>SP</v>
      </c>
      <c r="E879" s="54" t="str">
        <f>IF($C879="B",INDEX(Batters[[#All],[First]],MATCH(Table5[[#This Row],[PID]],Batters[[#All],[PID]],0)),INDEX(Table3[[#All],[First]],MATCH(Table5[[#This Row],[PID]],Table3[[#All],[PID]],0)))</f>
        <v>Robbie</v>
      </c>
      <c r="F879" s="52" t="str">
        <f>IF($C879="B",INDEX(Batters[[#All],[Last]],MATCH(A879,Batters[[#All],[PID]],0)),INDEX(Table3[[#All],[Last]],MATCH(A879,Table3[[#All],[PID]],0)))</f>
        <v>Marshall</v>
      </c>
      <c r="G879" s="58">
        <f>IF($C879="B",INDEX(Batters[[#All],[Age]],MATCH(Table5[[#This Row],[PID]],Batters[[#All],[PID]],0)),INDEX(Table3[[#All],[Age]],MATCH(Table5[[#This Row],[PID]],Table3[[#All],[PID]],0)))</f>
        <v>18</v>
      </c>
      <c r="H879" s="54" t="str">
        <f>IF($C879="B",INDEX(Batters[[#All],[B]],MATCH(Table5[[#This Row],[PID]],Batters[[#All],[PID]],0)),INDEX(Table3[[#All],[B]],MATCH(Table5[[#This Row],[PID]],Table3[[#All],[PID]],0)))</f>
        <v>R</v>
      </c>
      <c r="I879" s="54" t="str">
        <f>IF($C879="B",INDEX(Batters[[#All],[T]],MATCH(Table5[[#This Row],[PID]],Batters[[#All],[PID]],0)),INDEX(Table3[[#All],[T]],MATCH(Table5[[#This Row],[PID]],Table3[[#All],[PID]],0)))</f>
        <v>R</v>
      </c>
      <c r="J879" s="54" t="str">
        <f>IF($C879="B",INDEX(Batters[[#All],[WE]],MATCH(Table5[[#This Row],[PID]],Batters[[#All],[PID]],0)),INDEX(Table3[[#All],[WE]],MATCH(Table5[[#This Row],[PID]],Table3[[#All],[PID]],0)))</f>
        <v>Low</v>
      </c>
      <c r="K879" s="54" t="str">
        <f>IF($C879="B",INDEX(Batters[[#All],[INT]],MATCH(Table5[[#This Row],[PID]],Batters[[#All],[PID]],0)),INDEX(Table3[[#All],[INT]],MATCH(Table5[[#This Row],[PID]],Table3[[#All],[PID]],0)))</f>
        <v>Low</v>
      </c>
      <c r="L879" s="62">
        <f>IF($C879="B",INDEX(Batters[[#All],[CON P]],MATCH(Table5[[#This Row],[PID]],Batters[[#All],[PID]],0)),INDEX(Table3[[#All],[STU P]],MATCH(Table5[[#This Row],[PID]],Table3[[#All],[PID]],0)))</f>
        <v>3</v>
      </c>
      <c r="M879" s="58">
        <f>IF($C879="B",INDEX(Batters[[#All],[GAP P]],MATCH(Table5[[#This Row],[PID]],Batters[[#All],[PID]],0)),INDEX(Table3[[#All],[MOV P]],MATCH(Table5[[#This Row],[PID]],Table3[[#All],[PID]],0)))</f>
        <v>1</v>
      </c>
      <c r="N879" s="58">
        <f>IF($C879="B",INDEX(Batters[[#All],[POW P]],MATCH(Table5[[#This Row],[PID]],Batters[[#All],[PID]],0)),INDEX(Table3[[#All],[CON P]],MATCH(Table5[[#This Row],[PID]],Table3[[#All],[PID]],0)))</f>
        <v>2</v>
      </c>
      <c r="O879" s="58" t="str">
        <f>IF($C879="B",INDEX(Batters[[#All],[EYE P]],MATCH(Table5[[#This Row],[PID]],Batters[[#All],[PID]],0)),INDEX(Table3[[#All],[VELO]],MATCH(Table5[[#This Row],[PID]],Table3[[#All],[PID]],0)))</f>
        <v>91-93 Mph</v>
      </c>
      <c r="P879" s="58">
        <f>IF($C879="B",INDEX(Batters[[#All],[K P]],MATCH(Table5[[#This Row],[PID]],Batters[[#All],[PID]],0)),INDEX(Table3[[#All],[STM]],MATCH(Table5[[#This Row],[PID]],Table3[[#All],[PID]],0)))</f>
        <v>6</v>
      </c>
      <c r="Q879" s="63">
        <f>IF($C879="B",INDEX(Batters[[#All],[Tot]],MATCH(Table5[[#This Row],[PID]],Batters[[#All],[PID]],0)),INDEX(Table3[[#All],[Tot]],MATCH(Table5[[#This Row],[PID]],Table3[[#All],[PID]],0)))</f>
        <v>21.880878266513971</v>
      </c>
      <c r="R879" s="54">
        <f>IF($C879="B",INDEX(Batters[[#All],[zScore]],MATCH(Table5[[#This Row],[PID]],Batters[[#All],[PID]],0)),INDEX(Table3[[#All],[zScore]],MATCH(Table5[[#This Row],[PID]],Table3[[#All],[PID]],0)))</f>
        <v>-0.74622123221305481</v>
      </c>
      <c r="S879" s="60" t="str">
        <f>IF($C879="B",INDEX(Batters[[#All],[DEM]],MATCH(Table5[[#This Row],[PID]],Batters[[#All],[PID]],0)),INDEX(Table3[[#All],[DEM]],MATCH(Table5[[#This Row],[PID]],Table3[[#All],[PID]],0)))</f>
        <v>-</v>
      </c>
      <c r="T879" s="64" t="e">
        <f>IF($C879="B",VLOOKUP($A879,Bat!$A$4:$AU$1417,46,FALSE),VLOOKUP($A879,Pit!$A$4:$BD$570,55,FALSE))</f>
        <v>#N/A</v>
      </c>
      <c r="U879" s="52" t="e">
        <f>IF($C879="B",VLOOKUP($A879,Bat!$A$4:$BA$1417,47,FALSE),VLOOKUP($A879,Pit!$A$4:$BF$570,56,FALSE))</f>
        <v>#N/A</v>
      </c>
      <c r="V879" s="52" t="e">
        <f>IF($C879="B",VLOOKUP($A879,Bat!$A$4:$BA$1417,48,FALSE),VLOOKUP($A879,Pit!$A$4:$BF$570,57,FALSE))</f>
        <v>#N/A</v>
      </c>
      <c r="W879" s="52" t="e">
        <f>Table5[[#This Row],[posRnk]]+Table5[[#This Row],[zRnk]]+IF($W$3&lt;&gt;Table5[[#This Row],[Type]],50,0)</f>
        <v>#N/A</v>
      </c>
      <c r="X879" s="53">
        <f>RANK(Table5[[#This Row],[zScore]],Table5[[#All],[zScore]])</f>
        <v>875</v>
      </c>
      <c r="Y879" s="52" t="str">
        <f>IFERROR(INDEX(DraftResults[[#All],[OVR]],MATCH(Table5[[#This Row],[PID]],DraftResults[[#All],[Player ID]],0)),"")</f>
        <v/>
      </c>
      <c r="Z8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9" s="52" t="str">
        <f>IFERROR(INDEX(DraftResults[[#All],[Pick in Round]],MATCH(Table5[[#This Row],[PID]],DraftResults[[#All],[Player ID]],0)),"")</f>
        <v/>
      </c>
      <c r="AB879" s="52" t="str">
        <f>IFERROR(INDEX(DraftResults[[#All],[Team Name]],MATCH(Table5[[#This Row],[PID]],DraftResults[[#All],[Player ID]],0)),"")</f>
        <v/>
      </c>
      <c r="AC879" s="52" t="str">
        <f>IF(Table5[[#This Row],[Ovr]]="","",IF(Table5[[#This Row],[cmbList]]="","",Table5[[#This Row],[cmbList]]-Table5[[#This Row],[Ovr]]))</f>
        <v/>
      </c>
      <c r="AD879" s="56" t="str">
        <f>IF(ISERROR(VLOOKUP($AB879&amp;"-"&amp;$E879&amp;" "&amp;F879,Bonuses!$B$1:$G$1006,4,FALSE)),"",INT(VLOOKUP($AB879&amp;"-"&amp;$E879&amp;" "&amp;$F879,Bonuses!$B$1:$G$1006,4,FALSE)))</f>
        <v/>
      </c>
      <c r="AE8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0" spans="1:31" s="52" customFormat="1" x14ac:dyDescent="0.25">
      <c r="A880" s="52">
        <v>15579</v>
      </c>
      <c r="B880" s="52">
        <f>COUNTIF(Table5[PID],A880)</f>
        <v>1</v>
      </c>
      <c r="C880" s="52" t="str">
        <f>IF(COUNTIF(Table3[[#All],[PID]],A880)&gt;0,"P","B")</f>
        <v>P</v>
      </c>
      <c r="D880" s="61" t="str">
        <f>IF($C880="B",INDEX(Batters[[#All],[POS]],MATCH(Table5[[#This Row],[PID]],Batters[[#All],[PID]],0)),INDEX(Table3[[#All],[POS]],MATCH(Table5[[#This Row],[PID]],Table3[[#All],[PID]],0)))</f>
        <v>RP</v>
      </c>
      <c r="E880" s="54" t="str">
        <f>IF($C880="B",INDEX(Batters[[#All],[First]],MATCH(Table5[[#This Row],[PID]],Batters[[#All],[PID]],0)),INDEX(Table3[[#All],[First]],MATCH(Table5[[#This Row],[PID]],Table3[[#All],[PID]],0)))</f>
        <v>Lex</v>
      </c>
      <c r="F880" s="52" t="str">
        <f>IF($C880="B",INDEX(Batters[[#All],[Last]],MATCH(A880,Batters[[#All],[PID]],0)),INDEX(Table3[[#All],[Last]],MATCH(A880,Table3[[#All],[PID]],0)))</f>
        <v>Ploeg</v>
      </c>
      <c r="G880" s="58">
        <f>IF($C880="B",INDEX(Batters[[#All],[Age]],MATCH(Table5[[#This Row],[PID]],Batters[[#All],[PID]],0)),INDEX(Table3[[#All],[Age]],MATCH(Table5[[#This Row],[PID]],Table3[[#All],[PID]],0)))</f>
        <v>21</v>
      </c>
      <c r="H880" s="54" t="str">
        <f>IF($C880="B",INDEX(Batters[[#All],[B]],MATCH(Table5[[#This Row],[PID]],Batters[[#All],[PID]],0)),INDEX(Table3[[#All],[B]],MATCH(Table5[[#This Row],[PID]],Table3[[#All],[PID]],0)))</f>
        <v>R</v>
      </c>
      <c r="I880" s="54" t="str">
        <f>IF($C880="B",INDEX(Batters[[#All],[T]],MATCH(Table5[[#This Row],[PID]],Batters[[#All],[PID]],0)),INDEX(Table3[[#All],[T]],MATCH(Table5[[#This Row],[PID]],Table3[[#All],[PID]],0)))</f>
        <v>R</v>
      </c>
      <c r="J880" s="54" t="str">
        <f>IF($C880="B",INDEX(Batters[[#All],[WE]],MATCH(Table5[[#This Row],[PID]],Batters[[#All],[PID]],0)),INDEX(Table3[[#All],[WE]],MATCH(Table5[[#This Row],[PID]],Table3[[#All],[PID]],0)))</f>
        <v>Low</v>
      </c>
      <c r="K880" s="54" t="str">
        <f>IF($C880="B",INDEX(Batters[[#All],[INT]],MATCH(Table5[[#This Row],[PID]],Batters[[#All],[PID]],0)),INDEX(Table3[[#All],[INT]],MATCH(Table5[[#This Row],[PID]],Table3[[#All],[PID]],0)))</f>
        <v>High</v>
      </c>
      <c r="L880" s="62">
        <f>IF($C880="B",INDEX(Batters[[#All],[CON P]],MATCH(Table5[[#This Row],[PID]],Batters[[#All],[PID]],0)),INDEX(Table3[[#All],[STU P]],MATCH(Table5[[#This Row],[PID]],Table3[[#All],[PID]],0)))</f>
        <v>4</v>
      </c>
      <c r="M880" s="58">
        <f>IF($C880="B",INDEX(Batters[[#All],[GAP P]],MATCH(Table5[[#This Row],[PID]],Batters[[#All],[PID]],0)),INDEX(Table3[[#All],[MOV P]],MATCH(Table5[[#This Row],[PID]],Table3[[#All],[PID]],0)))</f>
        <v>2</v>
      </c>
      <c r="N880" s="58">
        <f>IF($C880="B",INDEX(Batters[[#All],[POW P]],MATCH(Table5[[#This Row],[PID]],Batters[[#All],[PID]],0)),INDEX(Table3[[#All],[CON P]],MATCH(Table5[[#This Row],[PID]],Table3[[#All],[PID]],0)))</f>
        <v>2</v>
      </c>
      <c r="O880" s="58" t="str">
        <f>IF($C880="B",INDEX(Batters[[#All],[EYE P]],MATCH(Table5[[#This Row],[PID]],Batters[[#All],[PID]],0)),INDEX(Table3[[#All],[VELO]],MATCH(Table5[[#This Row],[PID]],Table3[[#All],[PID]],0)))</f>
        <v>87-89 Mph</v>
      </c>
      <c r="P880" s="58">
        <f>IF($C880="B",INDEX(Batters[[#All],[K P]],MATCH(Table5[[#This Row],[PID]],Batters[[#All],[PID]],0)),INDEX(Table3[[#All],[STM]],MATCH(Table5[[#This Row],[PID]],Table3[[#All],[PID]],0)))</f>
        <v>8</v>
      </c>
      <c r="Q880" s="63">
        <f>IF($C880="B",INDEX(Batters[[#All],[Tot]],MATCH(Table5[[#This Row],[PID]],Batters[[#All],[PID]],0)),INDEX(Table3[[#All],[Tot]],MATCH(Table5[[#This Row],[PID]],Table3[[#All],[PID]],0)))</f>
        <v>24.565524871315692</v>
      </c>
      <c r="R880" s="54">
        <f>IF($C880="B",INDEX(Batters[[#All],[zScore]],MATCH(Table5[[#This Row],[PID]],Batters[[#All],[PID]],0)),INDEX(Table3[[#All],[zScore]],MATCH(Table5[[#This Row],[PID]],Table3[[#All],[PID]],0)))</f>
        <v>-0.74800663519733213</v>
      </c>
      <c r="S880" s="60" t="str">
        <f>IF($C880="B",INDEX(Batters[[#All],[DEM]],MATCH(Table5[[#This Row],[PID]],Batters[[#All],[PID]],0)),INDEX(Table3[[#All],[DEM]],MATCH(Table5[[#This Row],[PID]],Table3[[#All],[PID]],0)))</f>
        <v>-</v>
      </c>
      <c r="T880" s="64">
        <f>IF($C880="B",VLOOKUP($A880,Bat!$A$4:$AU$1417,46,FALSE),VLOOKUP($A880,Pit!$A$4:$BD$570,55,FALSE))</f>
        <v>0</v>
      </c>
      <c r="U880" s="52">
        <f>IF($C880="B",VLOOKUP($A880,Bat!$A$4:$BA$1417,47,FALSE),VLOOKUP($A880,Pit!$A$4:$BF$570,56,FALSE))</f>
        <v>0</v>
      </c>
      <c r="V880" s="52">
        <f>IF($C880="B",VLOOKUP($A880,Bat!$A$4:$BA$1417,48,FALSE),VLOOKUP($A880,Pit!$A$4:$BF$570,57,FALSE))</f>
        <v>0</v>
      </c>
      <c r="W880" s="52">
        <f>Table5[[#This Row],[posRnk]]+Table5[[#This Row],[zRnk]]+IF($W$3&lt;&gt;Table5[[#This Row],[Type]],50,0)</f>
        <v>926</v>
      </c>
      <c r="X880" s="53">
        <f>RANK(Table5[[#This Row],[zScore]],Table5[[#All],[zScore]])</f>
        <v>876</v>
      </c>
      <c r="Y880" s="52" t="str">
        <f>IFERROR(INDEX(DraftResults[[#All],[OVR]],MATCH(Table5[[#This Row],[PID]],DraftResults[[#All],[Player ID]],0)),"")</f>
        <v/>
      </c>
      <c r="Z8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0" s="52" t="str">
        <f>IFERROR(INDEX(DraftResults[[#All],[Pick in Round]],MATCH(Table5[[#This Row],[PID]],DraftResults[[#All],[Player ID]],0)),"")</f>
        <v/>
      </c>
      <c r="AB880" s="52" t="str">
        <f>IFERROR(INDEX(DraftResults[[#All],[Team Name]],MATCH(Table5[[#This Row],[PID]],DraftResults[[#All],[Player ID]],0)),"")</f>
        <v/>
      </c>
      <c r="AC880" s="52" t="str">
        <f>IF(Table5[[#This Row],[Ovr]]="","",IF(Table5[[#This Row],[cmbList]]="","",Table5[[#This Row],[cmbList]]-Table5[[#This Row],[Ovr]]))</f>
        <v/>
      </c>
      <c r="AD880" s="56" t="str">
        <f>IF(ISERROR(VLOOKUP($AB880&amp;"-"&amp;$E880&amp;" "&amp;F880,Bonuses!$B$1:$G$1006,4,FALSE)),"",INT(VLOOKUP($AB880&amp;"-"&amp;$E880&amp;" "&amp;$F880,Bonuses!$B$1:$G$1006,4,FALSE)))</f>
        <v/>
      </c>
      <c r="AE8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1" spans="1:31" s="52" customFormat="1" x14ac:dyDescent="0.25">
      <c r="A881" s="52">
        <v>9321</v>
      </c>
      <c r="B881" s="52">
        <f>COUNTIF(Table5[PID],A881)</f>
        <v>1</v>
      </c>
      <c r="C881" s="52" t="str">
        <f>IF(COUNTIF(Table3[[#All],[PID]],A881)&gt;0,"P","B")</f>
        <v>P</v>
      </c>
      <c r="D881" s="61" t="str">
        <f>IF($C881="B",INDEX(Batters[[#All],[POS]],MATCH(Table5[[#This Row],[PID]],Batters[[#All],[PID]],0)),INDEX(Table3[[#All],[POS]],MATCH(Table5[[#This Row],[PID]],Table3[[#All],[PID]],0)))</f>
        <v>RP</v>
      </c>
      <c r="E881" s="54" t="str">
        <f>IF($C881="B",INDEX(Batters[[#All],[First]],MATCH(Table5[[#This Row],[PID]],Batters[[#All],[PID]],0)),INDEX(Table3[[#All],[First]],MATCH(Table5[[#This Row],[PID]],Table3[[#All],[PID]],0)))</f>
        <v>Joe</v>
      </c>
      <c r="F881" s="52" t="str">
        <f>IF($C881="B",INDEX(Batters[[#All],[Last]],MATCH(A881,Batters[[#All],[PID]],0)),INDEX(Table3[[#All],[Last]],MATCH(A881,Table3[[#All],[PID]],0)))</f>
        <v>Berry</v>
      </c>
      <c r="G881" s="58">
        <f>IF($C881="B",INDEX(Batters[[#All],[Age]],MATCH(Table5[[#This Row],[PID]],Batters[[#All],[PID]],0)),INDEX(Table3[[#All],[Age]],MATCH(Table5[[#This Row],[PID]],Table3[[#All],[PID]],0)))</f>
        <v>22</v>
      </c>
      <c r="H881" s="54" t="str">
        <f>IF($C881="B",INDEX(Batters[[#All],[B]],MATCH(Table5[[#This Row],[PID]],Batters[[#All],[PID]],0)),INDEX(Table3[[#All],[B]],MATCH(Table5[[#This Row],[PID]],Table3[[#All],[PID]],0)))</f>
        <v>L</v>
      </c>
      <c r="I881" s="54" t="str">
        <f>IF($C881="B",INDEX(Batters[[#All],[T]],MATCH(Table5[[#This Row],[PID]],Batters[[#All],[PID]],0)),INDEX(Table3[[#All],[T]],MATCH(Table5[[#This Row],[PID]],Table3[[#All],[PID]],0)))</f>
        <v>L</v>
      </c>
      <c r="J881" s="54" t="str">
        <f>IF($C881="B",INDEX(Batters[[#All],[WE]],MATCH(Table5[[#This Row],[PID]],Batters[[#All],[PID]],0)),INDEX(Table3[[#All],[WE]],MATCH(Table5[[#This Row],[PID]],Table3[[#All],[PID]],0)))</f>
        <v>Normal</v>
      </c>
      <c r="K881" s="54" t="str">
        <f>IF($C881="B",INDEX(Batters[[#All],[INT]],MATCH(Table5[[#This Row],[PID]],Batters[[#All],[PID]],0)),INDEX(Table3[[#All],[INT]],MATCH(Table5[[#This Row],[PID]],Table3[[#All],[PID]],0)))</f>
        <v>Normal</v>
      </c>
      <c r="L881" s="62">
        <f>IF($C881="B",INDEX(Batters[[#All],[CON P]],MATCH(Table5[[#This Row],[PID]],Batters[[#All],[PID]],0)),INDEX(Table3[[#All],[STU P]],MATCH(Table5[[#This Row],[PID]],Table3[[#All],[PID]],0)))</f>
        <v>5</v>
      </c>
      <c r="M881" s="58">
        <f>IF($C881="B",INDEX(Batters[[#All],[GAP P]],MATCH(Table5[[#This Row],[PID]],Batters[[#All],[PID]],0)),INDEX(Table3[[#All],[MOV P]],MATCH(Table5[[#This Row],[PID]],Table3[[#All],[PID]],0)))</f>
        <v>1</v>
      </c>
      <c r="N881" s="58">
        <f>IF($C881="B",INDEX(Batters[[#All],[POW P]],MATCH(Table5[[#This Row],[PID]],Batters[[#All],[PID]],0)),INDEX(Table3[[#All],[CON P]],MATCH(Table5[[#This Row],[PID]],Table3[[#All],[PID]],0)))</f>
        <v>2</v>
      </c>
      <c r="O881" s="58" t="str">
        <f>IF($C881="B",INDEX(Batters[[#All],[EYE P]],MATCH(Table5[[#This Row],[PID]],Batters[[#All],[PID]],0)),INDEX(Table3[[#All],[VELO]],MATCH(Table5[[#This Row],[PID]],Table3[[#All],[PID]],0)))</f>
        <v>92-94 Mph</v>
      </c>
      <c r="P881" s="58">
        <f>IF($C881="B",INDEX(Batters[[#All],[K P]],MATCH(Table5[[#This Row],[PID]],Batters[[#All],[PID]],0)),INDEX(Table3[[#All],[STM]],MATCH(Table5[[#This Row],[PID]],Table3[[#All],[PID]],0)))</f>
        <v>7</v>
      </c>
      <c r="Q881" s="63">
        <f>IF($C881="B",INDEX(Batters[[#All],[Tot]],MATCH(Table5[[#This Row],[PID]],Batters[[#All],[PID]],0)),INDEX(Table3[[#All],[Tot]],MATCH(Table5[[#This Row],[PID]],Table3[[#All],[PID]],0)))</f>
        <v>24.550568954513874</v>
      </c>
      <c r="R881" s="54">
        <f>IF($C881="B",INDEX(Batters[[#All],[zScore]],MATCH(Table5[[#This Row],[PID]],Batters[[#All],[PID]],0)),INDEX(Table3[[#All],[zScore]],MATCH(Table5[[#This Row],[PID]],Table3[[#All],[PID]],0)))</f>
        <v>-0.74937815669099062</v>
      </c>
      <c r="S881" s="60" t="str">
        <f>IF($C881="B",INDEX(Batters[[#All],[DEM]],MATCH(Table5[[#This Row],[PID]],Batters[[#All],[PID]],0)),INDEX(Table3[[#All],[DEM]],MATCH(Table5[[#This Row],[PID]],Table3[[#All],[PID]],0)))</f>
        <v>-</v>
      </c>
      <c r="T881" s="64">
        <f>IF($C881="B",VLOOKUP($A881,Bat!$A$4:$AU$1417,46,FALSE),VLOOKUP($A881,Pit!$A$4:$BD$570,55,FALSE))</f>
        <v>0</v>
      </c>
      <c r="U881" s="52">
        <f>IF($C881="B",VLOOKUP($A881,Bat!$A$4:$BA$1417,47,FALSE),VLOOKUP($A881,Pit!$A$4:$BF$570,56,FALSE))</f>
        <v>0</v>
      </c>
      <c r="V881" s="52">
        <f>IF($C881="B",VLOOKUP($A881,Bat!$A$4:$BA$1417,48,FALSE),VLOOKUP($A881,Pit!$A$4:$BF$570,57,FALSE))</f>
        <v>0</v>
      </c>
      <c r="W881" s="52">
        <f>Table5[[#This Row],[posRnk]]+Table5[[#This Row],[zRnk]]+IF($W$3&lt;&gt;Table5[[#This Row],[Type]],50,0)</f>
        <v>927</v>
      </c>
      <c r="X881" s="53">
        <f>RANK(Table5[[#This Row],[zScore]],Table5[[#All],[zScore]])</f>
        <v>877</v>
      </c>
      <c r="Y881" s="52" t="str">
        <f>IFERROR(INDEX(DraftResults[[#All],[OVR]],MATCH(Table5[[#This Row],[PID]],DraftResults[[#All],[Player ID]],0)),"")</f>
        <v/>
      </c>
      <c r="Z8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1" s="52" t="str">
        <f>IFERROR(INDEX(DraftResults[[#All],[Pick in Round]],MATCH(Table5[[#This Row],[PID]],DraftResults[[#All],[Player ID]],0)),"")</f>
        <v/>
      </c>
      <c r="AB881" s="52" t="str">
        <f>IFERROR(INDEX(DraftResults[[#All],[Team Name]],MATCH(Table5[[#This Row],[PID]],DraftResults[[#All],[Player ID]],0)),"")</f>
        <v/>
      </c>
      <c r="AC881" s="52" t="str">
        <f>IF(Table5[[#This Row],[Ovr]]="","",IF(Table5[[#This Row],[cmbList]]="","",Table5[[#This Row],[cmbList]]-Table5[[#This Row],[Ovr]]))</f>
        <v/>
      </c>
      <c r="AD881" s="56" t="str">
        <f>IF(ISERROR(VLOOKUP($AB881&amp;"-"&amp;$E881&amp;" "&amp;F881,Bonuses!$B$1:$G$1006,4,FALSE)),"",INT(VLOOKUP($AB881&amp;"-"&amp;$E881&amp;" "&amp;$F881,Bonuses!$B$1:$G$1006,4,FALSE)))</f>
        <v/>
      </c>
      <c r="AE8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2" spans="1:31" s="52" customFormat="1" x14ac:dyDescent="0.25">
      <c r="A882" s="52">
        <v>17944</v>
      </c>
      <c r="B882" s="52">
        <f>COUNTIF(Table5[PID],A882)</f>
        <v>1</v>
      </c>
      <c r="C882" s="52" t="str">
        <f>IF(COUNTIF(Table3[[#All],[PID]],A882)&gt;0,"P","B")</f>
        <v>P</v>
      </c>
      <c r="D882" s="61" t="str">
        <f>IF($C882="B",INDEX(Batters[[#All],[POS]],MATCH(Table5[[#This Row],[PID]],Batters[[#All],[PID]],0)),INDEX(Table3[[#All],[POS]],MATCH(Table5[[#This Row],[PID]],Table3[[#All],[PID]],0)))</f>
        <v>RP</v>
      </c>
      <c r="E882" s="54" t="str">
        <f>IF($C882="B",INDEX(Batters[[#All],[First]],MATCH(Table5[[#This Row],[PID]],Batters[[#All],[PID]],0)),INDEX(Table3[[#All],[First]],MATCH(Table5[[#This Row],[PID]],Table3[[#All],[PID]],0)))</f>
        <v>Masamune</v>
      </c>
      <c r="F882" s="52" t="str">
        <f>IF($C882="B",INDEX(Batters[[#All],[Last]],MATCH(A882,Batters[[#All],[PID]],0)),INDEX(Table3[[#All],[Last]],MATCH(A882,Table3[[#All],[PID]],0)))</f>
        <v>Taniguchi</v>
      </c>
      <c r="G882" s="58">
        <f>IF($C882="B",INDEX(Batters[[#All],[Age]],MATCH(Table5[[#This Row],[PID]],Batters[[#All],[PID]],0)),INDEX(Table3[[#All],[Age]],MATCH(Table5[[#This Row],[PID]],Table3[[#All],[PID]],0)))</f>
        <v>18</v>
      </c>
      <c r="H882" s="54" t="str">
        <f>IF($C882="B",INDEX(Batters[[#All],[B]],MATCH(Table5[[#This Row],[PID]],Batters[[#All],[PID]],0)),INDEX(Table3[[#All],[B]],MATCH(Table5[[#This Row],[PID]],Table3[[#All],[PID]],0)))</f>
        <v>R</v>
      </c>
      <c r="I882" s="54" t="str">
        <f>IF($C882="B",INDEX(Batters[[#All],[T]],MATCH(Table5[[#This Row],[PID]],Batters[[#All],[PID]],0)),INDEX(Table3[[#All],[T]],MATCH(Table5[[#This Row],[PID]],Table3[[#All],[PID]],0)))</f>
        <v>R</v>
      </c>
      <c r="J882" s="54" t="str">
        <f>IF($C882="B",INDEX(Batters[[#All],[WE]],MATCH(Table5[[#This Row],[PID]],Batters[[#All],[PID]],0)),INDEX(Table3[[#All],[WE]],MATCH(Table5[[#This Row],[PID]],Table3[[#All],[PID]],0)))</f>
        <v>Normal</v>
      </c>
      <c r="K882" s="54" t="str">
        <f>IF($C882="B",INDEX(Batters[[#All],[INT]],MATCH(Table5[[#This Row],[PID]],Batters[[#All],[PID]],0)),INDEX(Table3[[#All],[INT]],MATCH(Table5[[#This Row],[PID]],Table3[[#All],[PID]],0)))</f>
        <v>Normal</v>
      </c>
      <c r="L882" s="62">
        <f>IF($C882="B",INDEX(Batters[[#All],[CON P]],MATCH(Table5[[#This Row],[PID]],Batters[[#All],[PID]],0)),INDEX(Table3[[#All],[STU P]],MATCH(Table5[[#This Row],[PID]],Table3[[#All],[PID]],0)))</f>
        <v>2</v>
      </c>
      <c r="M882" s="58">
        <f>IF($C882="B",INDEX(Batters[[#All],[GAP P]],MATCH(Table5[[#This Row],[PID]],Batters[[#All],[PID]],0)),INDEX(Table3[[#All],[MOV P]],MATCH(Table5[[#This Row],[PID]],Table3[[#All],[PID]],0)))</f>
        <v>2</v>
      </c>
      <c r="N882" s="58">
        <f>IF($C882="B",INDEX(Batters[[#All],[POW P]],MATCH(Table5[[#This Row],[PID]],Batters[[#All],[PID]],0)),INDEX(Table3[[#All],[CON P]],MATCH(Table5[[#This Row],[PID]],Table3[[#All],[PID]],0)))</f>
        <v>2</v>
      </c>
      <c r="O882" s="58" t="str">
        <f>IF($C882="B",INDEX(Batters[[#All],[EYE P]],MATCH(Table5[[#This Row],[PID]],Batters[[#All],[PID]],0)),INDEX(Table3[[#All],[VELO]],MATCH(Table5[[#This Row],[PID]],Table3[[#All],[PID]],0)))</f>
        <v>85-87 Mph</v>
      </c>
      <c r="P882" s="58">
        <f>IF($C882="B",INDEX(Batters[[#All],[K P]],MATCH(Table5[[#This Row],[PID]],Batters[[#All],[PID]],0)),INDEX(Table3[[#All],[STM]],MATCH(Table5[[#This Row],[PID]],Table3[[#All],[PID]],0)))</f>
        <v>4</v>
      </c>
      <c r="Q882" s="63">
        <f>IF($C882="B",INDEX(Batters[[#All],[Tot]],MATCH(Table5[[#This Row],[PID]],Batters[[#All],[PID]],0)),INDEX(Table3[[#All],[Tot]],MATCH(Table5[[#This Row],[PID]],Table3[[#All],[PID]],0)))</f>
        <v>21.82140438158125</v>
      </c>
      <c r="R882" s="54">
        <f>IF($C882="B",INDEX(Batters[[#All],[zScore]],MATCH(Table5[[#This Row],[PID]],Batters[[#All],[PID]],0)),INDEX(Table3[[#All],[zScore]],MATCH(Table5[[#This Row],[PID]],Table3[[#All],[PID]],0)))</f>
        <v>-0.75143367822040041</v>
      </c>
      <c r="S882" s="60" t="str">
        <f>IF($C882="B",INDEX(Batters[[#All],[DEM]],MATCH(Table5[[#This Row],[PID]],Batters[[#All],[PID]],0)),INDEX(Table3[[#All],[DEM]],MATCH(Table5[[#This Row],[PID]],Table3[[#All],[PID]],0)))</f>
        <v>$38k</v>
      </c>
      <c r="T882" s="64">
        <f>IF($C882="B",VLOOKUP($A882,Bat!$A$4:$AU$1417,46,FALSE),VLOOKUP($A882,Pit!$A$4:$BD$570,55,FALSE))</f>
        <v>0</v>
      </c>
      <c r="U882" s="52">
        <f>IF($C882="B",VLOOKUP($A882,Bat!$A$4:$BA$1417,47,FALSE),VLOOKUP($A882,Pit!$A$4:$BF$570,56,FALSE))</f>
        <v>0</v>
      </c>
      <c r="V882" s="52">
        <f>IF($C882="B",VLOOKUP($A882,Bat!$A$4:$BA$1417,48,FALSE),VLOOKUP($A882,Pit!$A$4:$BF$570,57,FALSE))</f>
        <v>0</v>
      </c>
      <c r="W882" s="52">
        <f>Table5[[#This Row],[posRnk]]+Table5[[#This Row],[zRnk]]+IF($W$3&lt;&gt;Table5[[#This Row],[Type]],50,0)</f>
        <v>928</v>
      </c>
      <c r="X882" s="53">
        <f>RANK(Table5[[#This Row],[zScore]],Table5[[#All],[zScore]])</f>
        <v>878</v>
      </c>
      <c r="Y882" s="52" t="str">
        <f>IFERROR(INDEX(DraftResults[[#All],[OVR]],MATCH(Table5[[#This Row],[PID]],DraftResults[[#All],[Player ID]],0)),"")</f>
        <v/>
      </c>
      <c r="Z8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2" s="52" t="str">
        <f>IFERROR(INDEX(DraftResults[[#All],[Pick in Round]],MATCH(Table5[[#This Row],[PID]],DraftResults[[#All],[Player ID]],0)),"")</f>
        <v/>
      </c>
      <c r="AB882" s="52" t="str">
        <f>IFERROR(INDEX(DraftResults[[#All],[Team Name]],MATCH(Table5[[#This Row],[PID]],DraftResults[[#All],[Player ID]],0)),"")</f>
        <v/>
      </c>
      <c r="AC882" s="52" t="str">
        <f>IF(Table5[[#This Row],[Ovr]]="","",IF(Table5[[#This Row],[cmbList]]="","",Table5[[#This Row],[cmbList]]-Table5[[#This Row],[Ovr]]))</f>
        <v/>
      </c>
      <c r="AD882" s="56" t="str">
        <f>IF(ISERROR(VLOOKUP($AB882&amp;"-"&amp;$E882&amp;" "&amp;F882,Bonuses!$B$1:$G$1006,4,FALSE)),"",INT(VLOOKUP($AB882&amp;"-"&amp;$E882&amp;" "&amp;$F882,Bonuses!$B$1:$G$1006,4,FALSE)))</f>
        <v/>
      </c>
      <c r="AE8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3" spans="1:31" s="52" customFormat="1" x14ac:dyDescent="0.25">
      <c r="A883" s="52">
        <v>5148</v>
      </c>
      <c r="B883" s="52">
        <f>COUNTIF(Table5[PID],A883)</f>
        <v>1</v>
      </c>
      <c r="C883" s="52" t="str">
        <f>IF(COUNTIF(Table3[[#All],[PID]],A883)&gt;0,"P","B")</f>
        <v>P</v>
      </c>
      <c r="D883" s="61" t="str">
        <f>IF($C883="B",INDEX(Batters[[#All],[POS]],MATCH(Table5[[#This Row],[PID]],Batters[[#All],[PID]],0)),INDEX(Table3[[#All],[POS]],MATCH(Table5[[#This Row],[PID]],Table3[[#All],[PID]],0)))</f>
        <v>RP</v>
      </c>
      <c r="E883" s="54" t="str">
        <f>IF($C883="B",INDEX(Batters[[#All],[First]],MATCH(Table5[[#This Row],[PID]],Batters[[#All],[PID]],0)),INDEX(Table3[[#All],[First]],MATCH(Table5[[#This Row],[PID]],Table3[[#All],[PID]],0)))</f>
        <v>Chris</v>
      </c>
      <c r="F883" s="52" t="str">
        <f>IF($C883="B",INDEX(Batters[[#All],[Last]],MATCH(A883,Batters[[#All],[PID]],0)),INDEX(Table3[[#All],[Last]],MATCH(A883,Table3[[#All],[PID]],0)))</f>
        <v>Baldwin</v>
      </c>
      <c r="G883" s="58">
        <f>IF($C883="B",INDEX(Batters[[#All],[Age]],MATCH(Table5[[#This Row],[PID]],Batters[[#All],[PID]],0)),INDEX(Table3[[#All],[Age]],MATCH(Table5[[#This Row],[PID]],Table3[[#All],[PID]],0)))</f>
        <v>22</v>
      </c>
      <c r="H883" s="54" t="str">
        <f>IF($C883="B",INDEX(Batters[[#All],[B]],MATCH(Table5[[#This Row],[PID]],Batters[[#All],[PID]],0)),INDEX(Table3[[#All],[B]],MATCH(Table5[[#This Row],[PID]],Table3[[#All],[PID]],0)))</f>
        <v>S</v>
      </c>
      <c r="I883" s="54" t="str">
        <f>IF($C883="B",INDEX(Batters[[#All],[T]],MATCH(Table5[[#This Row],[PID]],Batters[[#All],[PID]],0)),INDEX(Table3[[#All],[T]],MATCH(Table5[[#This Row],[PID]],Table3[[#All],[PID]],0)))</f>
        <v>R</v>
      </c>
      <c r="J883" s="54" t="str">
        <f>IF($C883="B",INDEX(Batters[[#All],[WE]],MATCH(Table5[[#This Row],[PID]],Batters[[#All],[PID]],0)),INDEX(Table3[[#All],[WE]],MATCH(Table5[[#This Row],[PID]],Table3[[#All],[PID]],0)))</f>
        <v>Normal</v>
      </c>
      <c r="K883" s="54" t="str">
        <f>IF($C883="B",INDEX(Batters[[#All],[INT]],MATCH(Table5[[#This Row],[PID]],Batters[[#All],[PID]],0)),INDEX(Table3[[#All],[INT]],MATCH(Table5[[#This Row],[PID]],Table3[[#All],[PID]],0)))</f>
        <v>Normal</v>
      </c>
      <c r="L883" s="62">
        <f>IF($C883="B",INDEX(Batters[[#All],[CON P]],MATCH(Table5[[#This Row],[PID]],Batters[[#All],[PID]],0)),INDEX(Table3[[#All],[STU P]],MATCH(Table5[[#This Row],[PID]],Table3[[#All],[PID]],0)))</f>
        <v>4</v>
      </c>
      <c r="M883" s="58">
        <f>IF($C883="B",INDEX(Batters[[#All],[GAP P]],MATCH(Table5[[#This Row],[PID]],Batters[[#All],[PID]],0)),INDEX(Table3[[#All],[MOV P]],MATCH(Table5[[#This Row],[PID]],Table3[[#All],[PID]],0)))</f>
        <v>2</v>
      </c>
      <c r="N883" s="58">
        <f>IF($C883="B",INDEX(Batters[[#All],[POW P]],MATCH(Table5[[#This Row],[PID]],Batters[[#All],[PID]],0)),INDEX(Table3[[#All],[CON P]],MATCH(Table5[[#This Row],[PID]],Table3[[#All],[PID]],0)))</f>
        <v>2</v>
      </c>
      <c r="O883" s="58" t="str">
        <f>IF($C883="B",INDEX(Batters[[#All],[EYE P]],MATCH(Table5[[#This Row],[PID]],Batters[[#All],[PID]],0)),INDEX(Table3[[#All],[VELO]],MATCH(Table5[[#This Row],[PID]],Table3[[#All],[PID]],0)))</f>
        <v>93-95 Mph</v>
      </c>
      <c r="P883" s="58">
        <f>IF($C883="B",INDEX(Batters[[#All],[K P]],MATCH(Table5[[#This Row],[PID]],Batters[[#All],[PID]],0)),INDEX(Table3[[#All],[STM]],MATCH(Table5[[#This Row],[PID]],Table3[[#All],[PID]],0)))</f>
        <v>6</v>
      </c>
      <c r="Q883" s="63">
        <f>IF($C883="B",INDEX(Batters[[#All],[Tot]],MATCH(Table5[[#This Row],[PID]],Batters[[#All],[PID]],0)),INDEX(Table3[[#All],[Tot]],MATCH(Table5[[#This Row],[PID]],Table3[[#All],[PID]],0)))</f>
        <v>24.516746184062271</v>
      </c>
      <c r="R883" s="54">
        <f>IF($C883="B",INDEX(Batters[[#All],[zScore]],MATCH(Table5[[#This Row],[PID]],Batters[[#All],[PID]],0)),INDEX(Table3[[#All],[zScore]],MATCH(Table5[[#This Row],[PID]],Table3[[#All],[PID]],0)))</f>
        <v>-0.75247984930296186</v>
      </c>
      <c r="S883" s="60" t="str">
        <f>IF($C883="B",INDEX(Batters[[#All],[DEM]],MATCH(Table5[[#This Row],[PID]],Batters[[#All],[PID]],0)),INDEX(Table3[[#All],[DEM]],MATCH(Table5[[#This Row],[PID]],Table3[[#All],[PID]],0)))</f>
        <v>-</v>
      </c>
      <c r="T883" s="64">
        <f>IF($C883="B",VLOOKUP($A883,Bat!$A$4:$AU$1417,46,FALSE),VLOOKUP($A883,Pit!$A$4:$BD$570,55,FALSE))</f>
        <v>0</v>
      </c>
      <c r="U883" s="52">
        <f>IF($C883="B",VLOOKUP($A883,Bat!$A$4:$BA$1417,47,FALSE),VLOOKUP($A883,Pit!$A$4:$BF$570,56,FALSE))</f>
        <v>0</v>
      </c>
      <c r="V883" s="52">
        <f>IF($C883="B",VLOOKUP($A883,Bat!$A$4:$BA$1417,48,FALSE),VLOOKUP($A883,Pit!$A$4:$BF$570,57,FALSE))</f>
        <v>0</v>
      </c>
      <c r="W883" s="52">
        <f>Table5[[#This Row],[posRnk]]+Table5[[#This Row],[zRnk]]+IF($W$3&lt;&gt;Table5[[#This Row],[Type]],50,0)</f>
        <v>929</v>
      </c>
      <c r="X883" s="53">
        <f>RANK(Table5[[#This Row],[zScore]],Table5[[#All],[zScore]])</f>
        <v>879</v>
      </c>
      <c r="Y883" s="52" t="str">
        <f>IFERROR(INDEX(DraftResults[[#All],[OVR]],MATCH(Table5[[#This Row],[PID]],DraftResults[[#All],[Player ID]],0)),"")</f>
        <v/>
      </c>
      <c r="Z8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3" s="52" t="str">
        <f>IFERROR(INDEX(DraftResults[[#All],[Pick in Round]],MATCH(Table5[[#This Row],[PID]],DraftResults[[#All],[Player ID]],0)),"")</f>
        <v/>
      </c>
      <c r="AB883" s="52" t="str">
        <f>IFERROR(INDEX(DraftResults[[#All],[Team Name]],MATCH(Table5[[#This Row],[PID]],DraftResults[[#All],[Player ID]],0)),"")</f>
        <v/>
      </c>
      <c r="AC883" s="52" t="str">
        <f>IF(Table5[[#This Row],[Ovr]]="","",IF(Table5[[#This Row],[cmbList]]="","",Table5[[#This Row],[cmbList]]-Table5[[#This Row],[Ovr]]))</f>
        <v/>
      </c>
      <c r="AD883" s="56" t="str">
        <f>IF(ISERROR(VLOOKUP($AB883&amp;"-"&amp;$E883&amp;" "&amp;F883,Bonuses!$B$1:$G$1006,4,FALSE)),"",INT(VLOOKUP($AB883&amp;"-"&amp;$E883&amp;" "&amp;$F883,Bonuses!$B$1:$G$1006,4,FALSE)))</f>
        <v/>
      </c>
      <c r="AE8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4" spans="1:31" s="52" customFormat="1" x14ac:dyDescent="0.25">
      <c r="A884" s="52">
        <v>9422</v>
      </c>
      <c r="B884" s="52">
        <f>COUNTIF(Table5[PID],A884)</f>
        <v>1</v>
      </c>
      <c r="C884" s="52" t="str">
        <f>IF(COUNTIF(Table3[[#All],[PID]],A884)&gt;0,"P","B")</f>
        <v>B</v>
      </c>
      <c r="D884" s="61" t="str">
        <f>IF($C884="B",INDEX(Batters[[#All],[POS]],MATCH(Table5[[#This Row],[PID]],Batters[[#All],[PID]],0)),INDEX(Table3[[#All],[POS]],MATCH(Table5[[#This Row],[PID]],Table3[[#All],[PID]],0)))</f>
        <v>1B</v>
      </c>
      <c r="E884" s="54" t="str">
        <f>IF($C884="B",INDEX(Batters[[#All],[First]],MATCH(Table5[[#This Row],[PID]],Batters[[#All],[PID]],0)),INDEX(Table3[[#All],[First]],MATCH(Table5[[#This Row],[PID]],Table3[[#All],[PID]],0)))</f>
        <v>Mike</v>
      </c>
      <c r="F884" s="52" t="str">
        <f>IF($C884="B",INDEX(Batters[[#All],[Last]],MATCH(A884,Batters[[#All],[PID]],0)),INDEX(Table3[[#All],[Last]],MATCH(A884,Table3[[#All],[PID]],0)))</f>
        <v>Taylor</v>
      </c>
      <c r="G884" s="58">
        <f>IF($C884="B",INDEX(Batters[[#All],[Age]],MATCH(Table5[[#This Row],[PID]],Batters[[#All],[PID]],0)),INDEX(Table3[[#All],[Age]],MATCH(Table5[[#This Row],[PID]],Table3[[#All],[PID]],0)))</f>
        <v>21</v>
      </c>
      <c r="H884" s="54" t="str">
        <f>IF($C884="B",INDEX(Batters[[#All],[B]],MATCH(Table5[[#This Row],[PID]],Batters[[#All],[PID]],0)),INDEX(Table3[[#All],[B]],MATCH(Table5[[#This Row],[PID]],Table3[[#All],[PID]],0)))</f>
        <v>R</v>
      </c>
      <c r="I884" s="54" t="str">
        <f>IF($C884="B",INDEX(Batters[[#All],[T]],MATCH(Table5[[#This Row],[PID]],Batters[[#All],[PID]],0)),INDEX(Table3[[#All],[T]],MATCH(Table5[[#This Row],[PID]],Table3[[#All],[PID]],0)))</f>
        <v>R</v>
      </c>
      <c r="J884" s="54" t="str">
        <f>IF($C884="B",INDEX(Batters[[#All],[WE]],MATCH(Table5[[#This Row],[PID]],Batters[[#All],[PID]],0)),INDEX(Table3[[#All],[WE]],MATCH(Table5[[#This Row],[PID]],Table3[[#All],[PID]],0)))</f>
        <v>Normal</v>
      </c>
      <c r="K884" s="54" t="str">
        <f>IF($C884="B",INDEX(Batters[[#All],[INT]],MATCH(Table5[[#This Row],[PID]],Batters[[#All],[PID]],0)),INDEX(Table3[[#All],[INT]],MATCH(Table5[[#This Row],[PID]],Table3[[#All],[PID]],0)))</f>
        <v>Normal</v>
      </c>
      <c r="L884" s="62">
        <f>IF($C884="B",INDEX(Batters[[#All],[CON P]],MATCH(Table5[[#This Row],[PID]],Batters[[#All],[PID]],0)),INDEX(Table3[[#All],[STU P]],MATCH(Table5[[#This Row],[PID]],Table3[[#All],[PID]],0)))</f>
        <v>3</v>
      </c>
      <c r="M884" s="58">
        <f>IF($C884="B",INDEX(Batters[[#All],[GAP P]],MATCH(Table5[[#This Row],[PID]],Batters[[#All],[PID]],0)),INDEX(Table3[[#All],[MOV P]],MATCH(Table5[[#This Row],[PID]],Table3[[#All],[PID]],0)))</f>
        <v>3</v>
      </c>
      <c r="N884" s="58">
        <f>IF($C884="B",INDEX(Batters[[#All],[POW P]],MATCH(Table5[[#This Row],[PID]],Batters[[#All],[PID]],0)),INDEX(Table3[[#All],[CON P]],MATCH(Table5[[#This Row],[PID]],Table3[[#All],[PID]],0)))</f>
        <v>3</v>
      </c>
      <c r="O884" s="58">
        <f>IF($C884="B",INDEX(Batters[[#All],[EYE P]],MATCH(Table5[[#This Row],[PID]],Batters[[#All],[PID]],0)),INDEX(Table3[[#All],[VELO]],MATCH(Table5[[#This Row],[PID]],Table3[[#All],[PID]],0)))</f>
        <v>5</v>
      </c>
      <c r="P884" s="58">
        <f>IF($C884="B",INDEX(Batters[[#All],[K P]],MATCH(Table5[[#This Row],[PID]],Batters[[#All],[PID]],0)),INDEX(Table3[[#All],[STM]],MATCH(Table5[[#This Row],[PID]],Table3[[#All],[PID]],0)))</f>
        <v>3</v>
      </c>
      <c r="Q884" s="63">
        <f>IF($C884="B",INDEX(Batters[[#All],[Tot]],MATCH(Table5[[#This Row],[PID]],Batters[[#All],[PID]],0)),INDEX(Table3[[#All],[Tot]],MATCH(Table5[[#This Row],[PID]],Table3[[#All],[PID]],0)))</f>
        <v>36.069758690429424</v>
      </c>
      <c r="R884" s="54">
        <f>IF($C884="B",INDEX(Batters[[#All],[zScore]],MATCH(Table5[[#This Row],[PID]],Batters[[#All],[PID]],0)),INDEX(Table3[[#All],[zScore]],MATCH(Table5[[#This Row],[PID]],Table3[[#All],[PID]],0)))</f>
        <v>-0.75277164495435211</v>
      </c>
      <c r="S884" s="60" t="str">
        <f>IF($C884="B",INDEX(Batters[[#All],[DEM]],MATCH(Table5[[#This Row],[PID]],Batters[[#All],[PID]],0)),INDEX(Table3[[#All],[DEM]],MATCH(Table5[[#This Row],[PID]],Table3[[#All],[PID]],0)))</f>
        <v>$20k</v>
      </c>
      <c r="T884" s="64">
        <f>IF($C884="B",VLOOKUP($A884,Bat!$A$4:$AU$1417,46,FALSE),VLOOKUP($A884,Pit!$A$4:$BD$570,55,FALSE))</f>
        <v>0</v>
      </c>
      <c r="U884" s="52">
        <f>IF($C884="B",VLOOKUP($A884,Bat!$A$4:$BA$1417,47,FALSE),VLOOKUP($A884,Pit!$A$4:$BF$570,56,FALSE))</f>
        <v>0</v>
      </c>
      <c r="V884" s="52">
        <f>IF($C884="B",VLOOKUP($A884,Bat!$A$4:$BA$1417,48,FALSE),VLOOKUP($A884,Pit!$A$4:$BF$570,57,FALSE))</f>
        <v>0</v>
      </c>
      <c r="W884" s="52">
        <f>Table5[[#This Row],[posRnk]]+Table5[[#This Row],[zRnk]]+IF($W$3&lt;&gt;Table5[[#This Row],[Type]],50,0)</f>
        <v>930</v>
      </c>
      <c r="X884" s="53">
        <f>RANK(Table5[[#This Row],[zScore]],Table5[[#All],[zScore]])</f>
        <v>880</v>
      </c>
      <c r="Y884" s="52" t="str">
        <f>IFERROR(INDEX(DraftResults[[#All],[OVR]],MATCH(Table5[[#This Row],[PID]],DraftResults[[#All],[Player ID]],0)),"")</f>
        <v/>
      </c>
      <c r="Z8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4" s="52" t="str">
        <f>IFERROR(INDEX(DraftResults[[#All],[Pick in Round]],MATCH(Table5[[#This Row],[PID]],DraftResults[[#All],[Player ID]],0)),"")</f>
        <v/>
      </c>
      <c r="AB884" s="52" t="str">
        <f>IFERROR(INDEX(DraftResults[[#All],[Team Name]],MATCH(Table5[[#This Row],[PID]],DraftResults[[#All],[Player ID]],0)),"")</f>
        <v/>
      </c>
      <c r="AC884" s="52" t="str">
        <f>IF(Table5[[#This Row],[Ovr]]="","",IF(Table5[[#This Row],[cmbList]]="","",Table5[[#This Row],[cmbList]]-Table5[[#This Row],[Ovr]]))</f>
        <v/>
      </c>
      <c r="AD884" s="56" t="str">
        <f>IF(ISERROR(VLOOKUP($AB884&amp;"-"&amp;$E884&amp;" "&amp;F884,Bonuses!$B$1:$G$1006,4,FALSE)),"",INT(VLOOKUP($AB884&amp;"-"&amp;$E884&amp;" "&amp;$F884,Bonuses!$B$1:$G$1006,4,FALSE)))</f>
        <v/>
      </c>
      <c r="AE8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5" spans="1:31" s="52" customFormat="1" x14ac:dyDescent="0.25">
      <c r="A885" s="52">
        <v>9560</v>
      </c>
      <c r="B885" s="52">
        <f>COUNTIF(Table5[PID],A885)</f>
        <v>1</v>
      </c>
      <c r="C885" s="52" t="str">
        <f>IF(COUNTIF(Table3[[#All],[PID]],A885)&gt;0,"P","B")</f>
        <v>B</v>
      </c>
      <c r="D885" s="61" t="str">
        <f>IF($C885="B",INDEX(Batters[[#All],[POS]],MATCH(Table5[[#This Row],[PID]],Batters[[#All],[PID]],0)),INDEX(Table3[[#All],[POS]],MATCH(Table5[[#This Row],[PID]],Table3[[#All],[PID]],0)))</f>
        <v>C</v>
      </c>
      <c r="E885" s="54" t="str">
        <f>IF($C885="B",INDEX(Batters[[#All],[First]],MATCH(Table5[[#This Row],[PID]],Batters[[#All],[PID]],0)),INDEX(Table3[[#All],[First]],MATCH(Table5[[#This Row],[PID]],Table3[[#All],[PID]],0)))</f>
        <v>Jeffrey</v>
      </c>
      <c r="F885" s="52" t="str">
        <f>IF($C885="B",INDEX(Batters[[#All],[Last]],MATCH(A885,Batters[[#All],[PID]],0)),INDEX(Table3[[#All],[Last]],MATCH(A885,Table3[[#All],[PID]],0)))</f>
        <v>Sherman</v>
      </c>
      <c r="G885" s="58">
        <f>IF($C885="B",INDEX(Batters[[#All],[Age]],MATCH(Table5[[#This Row],[PID]],Batters[[#All],[PID]],0)),INDEX(Table3[[#All],[Age]],MATCH(Table5[[#This Row],[PID]],Table3[[#All],[PID]],0)))</f>
        <v>21</v>
      </c>
      <c r="H885" s="54" t="str">
        <f>IF($C885="B",INDEX(Batters[[#All],[B]],MATCH(Table5[[#This Row],[PID]],Batters[[#All],[PID]],0)),INDEX(Table3[[#All],[B]],MATCH(Table5[[#This Row],[PID]],Table3[[#All],[PID]],0)))</f>
        <v>R</v>
      </c>
      <c r="I885" s="54" t="str">
        <f>IF($C885="B",INDEX(Batters[[#All],[T]],MATCH(Table5[[#This Row],[PID]],Batters[[#All],[PID]],0)),INDEX(Table3[[#All],[T]],MATCH(Table5[[#This Row],[PID]],Table3[[#All],[PID]],0)))</f>
        <v>R</v>
      </c>
      <c r="J885" s="54" t="str">
        <f>IF($C885="B",INDEX(Batters[[#All],[WE]],MATCH(Table5[[#This Row],[PID]],Batters[[#All],[PID]],0)),INDEX(Table3[[#All],[WE]],MATCH(Table5[[#This Row],[PID]],Table3[[#All],[PID]],0)))</f>
        <v>Normal</v>
      </c>
      <c r="K885" s="54" t="str">
        <f>IF($C885="B",INDEX(Batters[[#All],[INT]],MATCH(Table5[[#This Row],[PID]],Batters[[#All],[PID]],0)),INDEX(Table3[[#All],[INT]],MATCH(Table5[[#This Row],[PID]],Table3[[#All],[PID]],0)))</f>
        <v>Normal</v>
      </c>
      <c r="L885" s="62">
        <f>IF($C885="B",INDEX(Batters[[#All],[CON P]],MATCH(Table5[[#This Row],[PID]],Batters[[#All],[PID]],0)),INDEX(Table3[[#All],[STU P]],MATCH(Table5[[#This Row],[PID]],Table3[[#All],[PID]],0)))</f>
        <v>3</v>
      </c>
      <c r="M885" s="58">
        <f>IF($C885="B",INDEX(Batters[[#All],[GAP P]],MATCH(Table5[[#This Row],[PID]],Batters[[#All],[PID]],0)),INDEX(Table3[[#All],[MOV P]],MATCH(Table5[[#This Row],[PID]],Table3[[#All],[PID]],0)))</f>
        <v>3</v>
      </c>
      <c r="N885" s="58">
        <f>IF($C885="B",INDEX(Batters[[#All],[POW P]],MATCH(Table5[[#This Row],[PID]],Batters[[#All],[PID]],0)),INDEX(Table3[[#All],[CON P]],MATCH(Table5[[#This Row],[PID]],Table3[[#All],[PID]],0)))</f>
        <v>3</v>
      </c>
      <c r="O885" s="58">
        <f>IF($C885="B",INDEX(Batters[[#All],[EYE P]],MATCH(Table5[[#This Row],[PID]],Batters[[#All],[PID]],0)),INDEX(Table3[[#All],[VELO]],MATCH(Table5[[#This Row],[PID]],Table3[[#All],[PID]],0)))</f>
        <v>5</v>
      </c>
      <c r="P885" s="58">
        <f>IF($C885="B",INDEX(Batters[[#All],[K P]],MATCH(Table5[[#This Row],[PID]],Batters[[#All],[PID]],0)),INDEX(Table3[[#All],[STM]],MATCH(Table5[[#This Row],[PID]],Table3[[#All],[PID]],0)))</f>
        <v>3</v>
      </c>
      <c r="Q885" s="63">
        <f>IF($C885="B",INDEX(Batters[[#All],[Tot]],MATCH(Table5[[#This Row],[PID]],Batters[[#All],[PID]],0)),INDEX(Table3[[#All],[Tot]],MATCH(Table5[[#This Row],[PID]],Table3[[#All],[PID]],0)))</f>
        <v>36.069758690429424</v>
      </c>
      <c r="R885" s="54">
        <f>IF($C885="B",INDEX(Batters[[#All],[zScore]],MATCH(Table5[[#This Row],[PID]],Batters[[#All],[PID]],0)),INDEX(Table3[[#All],[zScore]],MATCH(Table5[[#This Row],[PID]],Table3[[#All],[PID]],0)))</f>
        <v>-0.75277164495435211</v>
      </c>
      <c r="S885" s="60" t="str">
        <f>IF($C885="B",INDEX(Batters[[#All],[DEM]],MATCH(Table5[[#This Row],[PID]],Batters[[#All],[PID]],0)),INDEX(Table3[[#All],[DEM]],MATCH(Table5[[#This Row],[PID]],Table3[[#All],[PID]],0)))</f>
        <v>$20k</v>
      </c>
      <c r="T885" s="64">
        <f>IF($C885="B",VLOOKUP($A885,Bat!$A$4:$AU$1417,46,FALSE),VLOOKUP($A885,Pit!$A$4:$BD$570,55,FALSE))</f>
        <v>0</v>
      </c>
      <c r="U885" s="52">
        <f>IF($C885="B",VLOOKUP($A885,Bat!$A$4:$BA$1417,47,FALSE),VLOOKUP($A885,Pit!$A$4:$BF$570,56,FALSE))</f>
        <v>0</v>
      </c>
      <c r="V885" s="52">
        <f>IF($C885="B",VLOOKUP($A885,Bat!$A$4:$BA$1417,48,FALSE),VLOOKUP($A885,Pit!$A$4:$BF$570,57,FALSE))</f>
        <v>0</v>
      </c>
      <c r="W885" s="52">
        <f>Table5[[#This Row],[posRnk]]+Table5[[#This Row],[zRnk]]+IF($W$3&lt;&gt;Table5[[#This Row],[Type]],50,0)</f>
        <v>930</v>
      </c>
      <c r="X885" s="53">
        <f>RANK(Table5[[#This Row],[zScore]],Table5[[#All],[zScore]])</f>
        <v>880</v>
      </c>
      <c r="Y885" s="52" t="str">
        <f>IFERROR(INDEX(DraftResults[[#All],[OVR]],MATCH(Table5[[#This Row],[PID]],DraftResults[[#All],[Player ID]],0)),"")</f>
        <v/>
      </c>
      <c r="Z8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5" s="52" t="str">
        <f>IFERROR(INDEX(DraftResults[[#All],[Pick in Round]],MATCH(Table5[[#This Row],[PID]],DraftResults[[#All],[Player ID]],0)),"")</f>
        <v/>
      </c>
      <c r="AB885" s="52" t="str">
        <f>IFERROR(INDEX(DraftResults[[#All],[Team Name]],MATCH(Table5[[#This Row],[PID]],DraftResults[[#All],[Player ID]],0)),"")</f>
        <v/>
      </c>
      <c r="AC885" s="52" t="str">
        <f>IF(Table5[[#This Row],[Ovr]]="","",IF(Table5[[#This Row],[cmbList]]="","",Table5[[#This Row],[cmbList]]-Table5[[#This Row],[Ovr]]))</f>
        <v/>
      </c>
      <c r="AD885" s="56" t="str">
        <f>IF(ISERROR(VLOOKUP($AB885&amp;"-"&amp;$E885&amp;" "&amp;F885,Bonuses!$B$1:$G$1006,4,FALSE)),"",INT(VLOOKUP($AB885&amp;"-"&amp;$E885&amp;" "&amp;$F885,Bonuses!$B$1:$G$1006,4,FALSE)))</f>
        <v/>
      </c>
      <c r="AE8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6" spans="1:31" s="52" customFormat="1" x14ac:dyDescent="0.25">
      <c r="A886" s="52">
        <v>6047</v>
      </c>
      <c r="B886" s="52">
        <f>COUNTIF(Table5[PID],A886)</f>
        <v>1</v>
      </c>
      <c r="C886" s="52" t="str">
        <f>IF(COUNTIF(Table3[[#All],[PID]],A886)&gt;0,"P","B")</f>
        <v>P</v>
      </c>
      <c r="D886" s="61" t="str">
        <f>IF($C886="B",INDEX(Batters[[#All],[POS]],MATCH(Table5[[#This Row],[PID]],Batters[[#All],[PID]],0)),INDEX(Table3[[#All],[POS]],MATCH(Table5[[#This Row],[PID]],Table3[[#All],[PID]],0)))</f>
        <v>RP</v>
      </c>
      <c r="E886" s="54" t="str">
        <f>IF($C886="B",INDEX(Batters[[#All],[First]],MATCH(Table5[[#This Row],[PID]],Batters[[#All],[PID]],0)),INDEX(Table3[[#All],[First]],MATCH(Table5[[#This Row],[PID]],Table3[[#All],[PID]],0)))</f>
        <v>Bryant</v>
      </c>
      <c r="F886" s="52" t="str">
        <f>IF($C886="B",INDEX(Batters[[#All],[Last]],MATCH(A886,Batters[[#All],[PID]],0)),INDEX(Table3[[#All],[Last]],MATCH(A886,Table3[[#All],[PID]],0)))</f>
        <v>McConnell</v>
      </c>
      <c r="G886" s="58">
        <f>IF($C886="B",INDEX(Batters[[#All],[Age]],MATCH(Table5[[#This Row],[PID]],Batters[[#All],[PID]],0)),INDEX(Table3[[#All],[Age]],MATCH(Table5[[#This Row],[PID]],Table3[[#All],[PID]],0)))</f>
        <v>21</v>
      </c>
      <c r="H886" s="54" t="str">
        <f>IF($C886="B",INDEX(Batters[[#All],[B]],MATCH(Table5[[#This Row],[PID]],Batters[[#All],[PID]],0)),INDEX(Table3[[#All],[B]],MATCH(Table5[[#This Row],[PID]],Table3[[#All],[PID]],0)))</f>
        <v>R</v>
      </c>
      <c r="I886" s="54" t="str">
        <f>IF($C886="B",INDEX(Batters[[#All],[T]],MATCH(Table5[[#This Row],[PID]],Batters[[#All],[PID]],0)),INDEX(Table3[[#All],[T]],MATCH(Table5[[#This Row],[PID]],Table3[[#All],[PID]],0)))</f>
        <v>R</v>
      </c>
      <c r="J886" s="54" t="str">
        <f>IF($C886="B",INDEX(Batters[[#All],[WE]],MATCH(Table5[[#This Row],[PID]],Batters[[#All],[PID]],0)),INDEX(Table3[[#All],[WE]],MATCH(Table5[[#This Row],[PID]],Table3[[#All],[PID]],0)))</f>
        <v>Normal</v>
      </c>
      <c r="K886" s="54" t="str">
        <f>IF($C886="B",INDEX(Batters[[#All],[INT]],MATCH(Table5[[#This Row],[PID]],Batters[[#All],[PID]],0)),INDEX(Table3[[#All],[INT]],MATCH(Table5[[#This Row],[PID]],Table3[[#All],[PID]],0)))</f>
        <v>Normal</v>
      </c>
      <c r="L886" s="62">
        <f>IF($C886="B",INDEX(Batters[[#All],[CON P]],MATCH(Table5[[#This Row],[PID]],Batters[[#All],[PID]],0)),INDEX(Table3[[#All],[STU P]],MATCH(Table5[[#This Row],[PID]],Table3[[#All],[PID]],0)))</f>
        <v>4</v>
      </c>
      <c r="M886" s="58">
        <f>IF($C886="B",INDEX(Batters[[#All],[GAP P]],MATCH(Table5[[#This Row],[PID]],Batters[[#All],[PID]],0)),INDEX(Table3[[#All],[MOV P]],MATCH(Table5[[#This Row],[PID]],Table3[[#All],[PID]],0)))</f>
        <v>2</v>
      </c>
      <c r="N886" s="58">
        <f>IF($C886="B",INDEX(Batters[[#All],[POW P]],MATCH(Table5[[#This Row],[PID]],Batters[[#All],[PID]],0)),INDEX(Table3[[#All],[CON P]],MATCH(Table5[[#This Row],[PID]],Table3[[#All],[PID]],0)))</f>
        <v>2</v>
      </c>
      <c r="O886" s="58" t="str">
        <f>IF($C886="B",INDEX(Batters[[#All],[EYE P]],MATCH(Table5[[#This Row],[PID]],Batters[[#All],[PID]],0)),INDEX(Table3[[#All],[VELO]],MATCH(Table5[[#This Row],[PID]],Table3[[#All],[PID]],0)))</f>
        <v>86-88 Mph</v>
      </c>
      <c r="P886" s="58">
        <f>IF($C886="B",INDEX(Batters[[#All],[K P]],MATCH(Table5[[#This Row],[PID]],Batters[[#All],[PID]],0)),INDEX(Table3[[#All],[STM]],MATCH(Table5[[#This Row],[PID]],Table3[[#All],[PID]],0)))</f>
        <v>9</v>
      </c>
      <c r="Q886" s="63">
        <f>IF($C886="B",INDEX(Batters[[#All],[Tot]],MATCH(Table5[[#This Row],[PID]],Batters[[#All],[PID]],0)),INDEX(Table3[[#All],[Tot]],MATCH(Table5[[#This Row],[PID]],Table3[[#All],[PID]],0)))</f>
        <v>24.499748627749909</v>
      </c>
      <c r="R886" s="54">
        <f>IF($C886="B",INDEX(Batters[[#All],[zScore]],MATCH(Table5[[#This Row],[PID]],Batters[[#All],[PID]],0)),INDEX(Table3[[#All],[zScore]],MATCH(Table5[[#This Row],[PID]],Table3[[#All],[PID]],0)))</f>
        <v>-0.75403859786588801</v>
      </c>
      <c r="S886" s="60" t="str">
        <f>IF($C886="B",INDEX(Batters[[#All],[DEM]],MATCH(Table5[[#This Row],[PID]],Batters[[#All],[PID]],0)),INDEX(Table3[[#All],[DEM]],MATCH(Table5[[#This Row],[PID]],Table3[[#All],[PID]],0)))</f>
        <v>$20k</v>
      </c>
      <c r="T886" s="64">
        <f>IF($C886="B",VLOOKUP($A886,Bat!$A$4:$AU$1417,46,FALSE),VLOOKUP($A886,Pit!$A$4:$BD$570,55,FALSE))</f>
        <v>0</v>
      </c>
      <c r="U886" s="52">
        <f>IF($C886="B",VLOOKUP($A886,Bat!$A$4:$BA$1417,47,FALSE),VLOOKUP($A886,Pit!$A$4:$BF$570,56,FALSE))</f>
        <v>0</v>
      </c>
      <c r="V886" s="52">
        <f>IF($C886="B",VLOOKUP($A886,Bat!$A$4:$BA$1417,48,FALSE),VLOOKUP($A886,Pit!$A$4:$BF$570,57,FALSE))</f>
        <v>0</v>
      </c>
      <c r="W886" s="52">
        <f>Table5[[#This Row],[posRnk]]+Table5[[#This Row],[zRnk]]+IF($W$3&lt;&gt;Table5[[#This Row],[Type]],50,0)</f>
        <v>932</v>
      </c>
      <c r="X886" s="53">
        <f>RANK(Table5[[#This Row],[zScore]],Table5[[#All],[zScore]])</f>
        <v>882</v>
      </c>
      <c r="Y886" s="52" t="str">
        <f>IFERROR(INDEX(DraftResults[[#All],[OVR]],MATCH(Table5[[#This Row],[PID]],DraftResults[[#All],[Player ID]],0)),"")</f>
        <v/>
      </c>
      <c r="Z8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6" s="52" t="str">
        <f>IFERROR(INDEX(DraftResults[[#All],[Pick in Round]],MATCH(Table5[[#This Row],[PID]],DraftResults[[#All],[Player ID]],0)),"")</f>
        <v/>
      </c>
      <c r="AB886" s="52" t="str">
        <f>IFERROR(INDEX(DraftResults[[#All],[Team Name]],MATCH(Table5[[#This Row],[PID]],DraftResults[[#All],[Player ID]],0)),"")</f>
        <v/>
      </c>
      <c r="AC886" s="52" t="str">
        <f>IF(Table5[[#This Row],[Ovr]]="","",IF(Table5[[#This Row],[cmbList]]="","",Table5[[#This Row],[cmbList]]-Table5[[#This Row],[Ovr]]))</f>
        <v/>
      </c>
      <c r="AD886" s="56" t="str">
        <f>IF(ISERROR(VLOOKUP($AB886&amp;"-"&amp;$E886&amp;" "&amp;F886,Bonuses!$B$1:$G$1006,4,FALSE)),"",INT(VLOOKUP($AB886&amp;"-"&amp;$E886&amp;" "&amp;$F886,Bonuses!$B$1:$G$1006,4,FALSE)))</f>
        <v/>
      </c>
      <c r="AE8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7" spans="1:31" s="52" customFormat="1" x14ac:dyDescent="0.25">
      <c r="A887" s="52">
        <v>12189</v>
      </c>
      <c r="B887" s="52">
        <f>COUNTIF(Table5[PID],A887)</f>
        <v>1</v>
      </c>
      <c r="C887" s="52" t="str">
        <f>IF(COUNTIF(Table3[[#All],[PID]],A887)&gt;0,"P","B")</f>
        <v>P</v>
      </c>
      <c r="D887" s="61" t="str">
        <f>IF($C887="B",INDEX(Batters[[#All],[POS]],MATCH(Table5[[#This Row],[PID]],Batters[[#All],[PID]],0)),INDEX(Table3[[#All],[POS]],MATCH(Table5[[#This Row],[PID]],Table3[[#All],[PID]],0)))</f>
        <v>SP</v>
      </c>
      <c r="E887" s="54" t="str">
        <f>IF($C887="B",INDEX(Batters[[#All],[First]],MATCH(Table5[[#This Row],[PID]],Batters[[#All],[PID]],0)),INDEX(Table3[[#All],[First]],MATCH(Table5[[#This Row],[PID]],Table3[[#All],[PID]],0)))</f>
        <v>Fernando</v>
      </c>
      <c r="F887" s="52" t="str">
        <f>IF($C887="B",INDEX(Batters[[#All],[Last]],MATCH(A887,Batters[[#All],[PID]],0)),INDEX(Table3[[#All],[Last]],MATCH(A887,Table3[[#All],[PID]],0)))</f>
        <v>Madrid</v>
      </c>
      <c r="G887" s="58">
        <f>IF($C887="B",INDEX(Batters[[#All],[Age]],MATCH(Table5[[#This Row],[PID]],Batters[[#All],[PID]],0)),INDEX(Table3[[#All],[Age]],MATCH(Table5[[#This Row],[PID]],Table3[[#All],[PID]],0)))</f>
        <v>21</v>
      </c>
      <c r="H887" s="54" t="str">
        <f>IF($C887="B",INDEX(Batters[[#All],[B]],MATCH(Table5[[#This Row],[PID]],Batters[[#All],[PID]],0)),INDEX(Table3[[#All],[B]],MATCH(Table5[[#This Row],[PID]],Table3[[#All],[PID]],0)))</f>
        <v>L</v>
      </c>
      <c r="I887" s="54" t="str">
        <f>IF($C887="B",INDEX(Batters[[#All],[T]],MATCH(Table5[[#This Row],[PID]],Batters[[#All],[PID]],0)),INDEX(Table3[[#All],[T]],MATCH(Table5[[#This Row],[PID]],Table3[[#All],[PID]],0)))</f>
        <v>L</v>
      </c>
      <c r="J887" s="54" t="str">
        <f>IF($C887="B",INDEX(Batters[[#All],[WE]],MATCH(Table5[[#This Row],[PID]],Batters[[#All],[PID]],0)),INDEX(Table3[[#All],[WE]],MATCH(Table5[[#This Row],[PID]],Table3[[#All],[PID]],0)))</f>
        <v>Normal</v>
      </c>
      <c r="K887" s="54" t="str">
        <f>IF($C887="B",INDEX(Batters[[#All],[INT]],MATCH(Table5[[#This Row],[PID]],Batters[[#All],[PID]],0)),INDEX(Table3[[#All],[INT]],MATCH(Table5[[#This Row],[PID]],Table3[[#All],[PID]],0)))</f>
        <v>Low</v>
      </c>
      <c r="L887" s="62">
        <f>IF($C887="B",INDEX(Batters[[#All],[CON P]],MATCH(Table5[[#This Row],[PID]],Batters[[#All],[PID]],0)),INDEX(Table3[[#All],[STU P]],MATCH(Table5[[#This Row],[PID]],Table3[[#All],[PID]],0)))</f>
        <v>4</v>
      </c>
      <c r="M887" s="58">
        <f>IF($C887="B",INDEX(Batters[[#All],[GAP P]],MATCH(Table5[[#This Row],[PID]],Batters[[#All],[PID]],0)),INDEX(Table3[[#All],[MOV P]],MATCH(Table5[[#This Row],[PID]],Table3[[#All],[PID]],0)))</f>
        <v>2</v>
      </c>
      <c r="N887" s="58">
        <f>IF($C887="B",INDEX(Batters[[#All],[POW P]],MATCH(Table5[[#This Row],[PID]],Batters[[#All],[PID]],0)),INDEX(Table3[[#All],[CON P]],MATCH(Table5[[#This Row],[PID]],Table3[[#All],[PID]],0)))</f>
        <v>2</v>
      </c>
      <c r="O887" s="58" t="str">
        <f>IF($C887="B",INDEX(Batters[[#All],[EYE P]],MATCH(Table5[[#This Row],[PID]],Batters[[#All],[PID]],0)),INDEX(Table3[[#All],[VELO]],MATCH(Table5[[#This Row],[PID]],Table3[[#All],[PID]],0)))</f>
        <v>88-90 Mph</v>
      </c>
      <c r="P887" s="58">
        <f>IF($C887="B",INDEX(Batters[[#All],[K P]],MATCH(Table5[[#This Row],[PID]],Batters[[#All],[PID]],0)),INDEX(Table3[[#All],[STM]],MATCH(Table5[[#This Row],[PID]],Table3[[#All],[PID]],0)))</f>
        <v>9</v>
      </c>
      <c r="Q887" s="63">
        <f>IF($C887="B",INDEX(Batters[[#All],[Tot]],MATCH(Table5[[#This Row],[PID]],Batters[[#All],[PID]],0)),INDEX(Table3[[#All],[Tot]],MATCH(Table5[[#This Row],[PID]],Table3[[#All],[PID]],0)))</f>
        <v>24.490524871315689</v>
      </c>
      <c r="R887" s="54">
        <f>IF($C887="B",INDEX(Batters[[#All],[zScore]],MATCH(Table5[[#This Row],[PID]],Batters[[#All],[PID]],0)),INDEX(Table3[[#All],[zScore]],MATCH(Table5[[#This Row],[PID]],Table3[[#All],[PID]],0)))</f>
        <v>-0.75488445575406959</v>
      </c>
      <c r="S887" s="60" t="str">
        <f>IF($C887="B",INDEX(Batters[[#All],[DEM]],MATCH(Table5[[#This Row],[PID]],Batters[[#All],[PID]],0)),INDEX(Table3[[#All],[DEM]],MATCH(Table5[[#This Row],[PID]],Table3[[#All],[PID]],0)))</f>
        <v>-</v>
      </c>
      <c r="T887" s="64">
        <f>IF($C887="B",VLOOKUP($A887,Bat!$A$4:$AU$1417,46,FALSE),VLOOKUP($A887,Pit!$A$4:$BD$570,55,FALSE))</f>
        <v>0</v>
      </c>
      <c r="U887" s="52">
        <f>IF($C887="B",VLOOKUP($A887,Bat!$A$4:$BA$1417,47,FALSE),VLOOKUP($A887,Pit!$A$4:$BF$570,56,FALSE))</f>
        <v>0</v>
      </c>
      <c r="V887" s="52">
        <f>IF($C887="B",VLOOKUP($A887,Bat!$A$4:$BA$1417,48,FALSE),VLOOKUP($A887,Pit!$A$4:$BF$570,57,FALSE))</f>
        <v>0</v>
      </c>
      <c r="W887" s="52">
        <f>Table5[[#This Row],[posRnk]]+Table5[[#This Row],[zRnk]]+IF($W$3&lt;&gt;Table5[[#This Row],[Type]],50,0)</f>
        <v>933</v>
      </c>
      <c r="X887" s="53">
        <f>RANK(Table5[[#This Row],[zScore]],Table5[[#All],[zScore]])</f>
        <v>883</v>
      </c>
      <c r="Y887" s="52" t="str">
        <f>IFERROR(INDEX(DraftResults[[#All],[OVR]],MATCH(Table5[[#This Row],[PID]],DraftResults[[#All],[Player ID]],0)),"")</f>
        <v/>
      </c>
      <c r="Z8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7" s="52" t="str">
        <f>IFERROR(INDEX(DraftResults[[#All],[Pick in Round]],MATCH(Table5[[#This Row],[PID]],DraftResults[[#All],[Player ID]],0)),"")</f>
        <v/>
      </c>
      <c r="AB887" s="52" t="str">
        <f>IFERROR(INDEX(DraftResults[[#All],[Team Name]],MATCH(Table5[[#This Row],[PID]],DraftResults[[#All],[Player ID]],0)),"")</f>
        <v/>
      </c>
      <c r="AC887" s="52" t="str">
        <f>IF(Table5[[#This Row],[Ovr]]="","",IF(Table5[[#This Row],[cmbList]]="","",Table5[[#This Row],[cmbList]]-Table5[[#This Row],[Ovr]]))</f>
        <v/>
      </c>
      <c r="AD887" s="56" t="str">
        <f>IF(ISERROR(VLOOKUP($AB887&amp;"-"&amp;$E887&amp;" "&amp;F887,Bonuses!$B$1:$G$1006,4,FALSE)),"",INT(VLOOKUP($AB887&amp;"-"&amp;$E887&amp;" "&amp;$F887,Bonuses!$B$1:$G$1006,4,FALSE)))</f>
        <v/>
      </c>
      <c r="AE8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8" spans="1:31" s="52" customFormat="1" x14ac:dyDescent="0.25">
      <c r="A888" s="52">
        <v>6675</v>
      </c>
      <c r="B888" s="52">
        <f>COUNTIF(Table5[PID],A888)</f>
        <v>1</v>
      </c>
      <c r="C888" s="52" t="str">
        <f>IF(COUNTIF(Table3[[#All],[PID]],A888)&gt;0,"P","B")</f>
        <v>B</v>
      </c>
      <c r="D888" s="61" t="str">
        <f>IF($C888="B",INDEX(Batters[[#All],[POS]],MATCH(Table5[[#This Row],[PID]],Batters[[#All],[PID]],0)),INDEX(Table3[[#All],[POS]],MATCH(Table5[[#This Row],[PID]],Table3[[#All],[PID]],0)))</f>
        <v>C</v>
      </c>
      <c r="E888" s="54" t="str">
        <f>IF($C888="B",INDEX(Batters[[#All],[First]],MATCH(Table5[[#This Row],[PID]],Batters[[#All],[PID]],0)),INDEX(Table3[[#All],[First]],MATCH(Table5[[#This Row],[PID]],Table3[[#All],[PID]],0)))</f>
        <v>Reggie</v>
      </c>
      <c r="F888" s="52" t="str">
        <f>IF($C888="B",INDEX(Batters[[#All],[Last]],MATCH(A888,Batters[[#All],[PID]],0)),INDEX(Table3[[#All],[Last]],MATCH(A888,Table3[[#All],[PID]],0)))</f>
        <v>Berendsen</v>
      </c>
      <c r="G888" s="58">
        <f>IF($C888="B",INDEX(Batters[[#All],[Age]],MATCH(Table5[[#This Row],[PID]],Batters[[#All],[PID]],0)),INDEX(Table3[[#All],[Age]],MATCH(Table5[[#This Row],[PID]],Table3[[#All],[PID]],0)))</f>
        <v>18</v>
      </c>
      <c r="H888" s="54" t="str">
        <f>IF($C888="B",INDEX(Batters[[#All],[B]],MATCH(Table5[[#This Row],[PID]],Batters[[#All],[PID]],0)),INDEX(Table3[[#All],[B]],MATCH(Table5[[#This Row],[PID]],Table3[[#All],[PID]],0)))</f>
        <v>R</v>
      </c>
      <c r="I888" s="54" t="str">
        <f>IF($C888="B",INDEX(Batters[[#All],[T]],MATCH(Table5[[#This Row],[PID]],Batters[[#All],[PID]],0)),INDEX(Table3[[#All],[T]],MATCH(Table5[[#This Row],[PID]],Table3[[#All],[PID]],0)))</f>
        <v>R</v>
      </c>
      <c r="J888" s="54" t="str">
        <f>IF($C888="B",INDEX(Batters[[#All],[WE]],MATCH(Table5[[#This Row],[PID]],Batters[[#All],[PID]],0)),INDEX(Table3[[#All],[WE]],MATCH(Table5[[#This Row],[PID]],Table3[[#All],[PID]],0)))</f>
        <v>Normal</v>
      </c>
      <c r="K888" s="54" t="str">
        <f>IF($C888="B",INDEX(Batters[[#All],[INT]],MATCH(Table5[[#This Row],[PID]],Batters[[#All],[PID]],0)),INDEX(Table3[[#All],[INT]],MATCH(Table5[[#This Row],[PID]],Table3[[#All],[PID]],0)))</f>
        <v>Normal</v>
      </c>
      <c r="L888" s="62">
        <f>IF($C888="B",INDEX(Batters[[#All],[CON P]],MATCH(Table5[[#This Row],[PID]],Batters[[#All],[PID]],0)),INDEX(Table3[[#All],[STU P]],MATCH(Table5[[#This Row],[PID]],Table3[[#All],[PID]],0)))</f>
        <v>2</v>
      </c>
      <c r="M888" s="58">
        <f>IF($C888="B",INDEX(Batters[[#All],[GAP P]],MATCH(Table5[[#This Row],[PID]],Batters[[#All],[PID]],0)),INDEX(Table3[[#All],[MOV P]],MATCH(Table5[[#This Row],[PID]],Table3[[#All],[PID]],0)))</f>
        <v>2</v>
      </c>
      <c r="N888" s="58">
        <f>IF($C888="B",INDEX(Batters[[#All],[POW P]],MATCH(Table5[[#This Row],[PID]],Batters[[#All],[PID]],0)),INDEX(Table3[[#All],[CON P]],MATCH(Table5[[#This Row],[PID]],Table3[[#All],[PID]],0)))</f>
        <v>3</v>
      </c>
      <c r="O888" s="58">
        <f>IF($C888="B",INDEX(Batters[[#All],[EYE P]],MATCH(Table5[[#This Row],[PID]],Batters[[#All],[PID]],0)),INDEX(Table3[[#All],[VELO]],MATCH(Table5[[#This Row],[PID]],Table3[[#All],[PID]],0)))</f>
        <v>5</v>
      </c>
      <c r="P888" s="58">
        <f>IF($C888="B",INDEX(Batters[[#All],[K P]],MATCH(Table5[[#This Row],[PID]],Batters[[#All],[PID]],0)),INDEX(Table3[[#All],[STM]],MATCH(Table5[[#This Row],[PID]],Table3[[#All],[PID]],0)))</f>
        <v>2</v>
      </c>
      <c r="Q888" s="63">
        <f>IF($C888="B",INDEX(Batters[[#All],[Tot]],MATCH(Table5[[#This Row],[PID]],Batters[[#All],[PID]],0)),INDEX(Table3[[#All],[Tot]],MATCH(Table5[[#This Row],[PID]],Table3[[#All],[PID]],0)))</f>
        <v>36.050870541183833</v>
      </c>
      <c r="R888" s="54">
        <f>IF($C888="B",INDEX(Batters[[#All],[zScore]],MATCH(Table5[[#This Row],[PID]],Batters[[#All],[PID]],0)),INDEX(Table3[[#All],[zScore]],MATCH(Table5[[#This Row],[PID]],Table3[[#All],[PID]],0)))</f>
        <v>-0.7560948892777436</v>
      </c>
      <c r="S888" s="60" t="str">
        <f>IF($C888="B",INDEX(Batters[[#All],[DEM]],MATCH(Table5[[#This Row],[PID]],Batters[[#All],[PID]],0)),INDEX(Table3[[#All],[DEM]],MATCH(Table5[[#This Row],[PID]],Table3[[#All],[PID]],0)))</f>
        <v>$85k</v>
      </c>
      <c r="T888" s="64">
        <f>IF($C888="B",VLOOKUP($A888,Bat!$A$4:$AU$1417,46,FALSE),VLOOKUP($A888,Pit!$A$4:$BD$570,55,FALSE))</f>
        <v>0</v>
      </c>
      <c r="U888" s="52">
        <f>IF($C888="B",VLOOKUP($A888,Bat!$A$4:$BA$1417,47,FALSE),VLOOKUP($A888,Pit!$A$4:$BF$570,56,FALSE))</f>
        <v>0</v>
      </c>
      <c r="V888" s="52">
        <f>IF($C888="B",VLOOKUP($A888,Bat!$A$4:$BA$1417,48,FALSE),VLOOKUP($A888,Pit!$A$4:$BF$570,57,FALSE))</f>
        <v>0</v>
      </c>
      <c r="W888" s="52">
        <f>Table5[[#This Row],[posRnk]]+Table5[[#This Row],[zRnk]]+IF($W$3&lt;&gt;Table5[[#This Row],[Type]],50,0)</f>
        <v>934</v>
      </c>
      <c r="X888" s="53">
        <f>RANK(Table5[[#This Row],[zScore]],Table5[[#All],[zScore]])</f>
        <v>884</v>
      </c>
      <c r="Y888" s="52" t="str">
        <f>IFERROR(INDEX(DraftResults[[#All],[OVR]],MATCH(Table5[[#This Row],[PID]],DraftResults[[#All],[Player ID]],0)),"")</f>
        <v/>
      </c>
      <c r="Z8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8" s="52" t="str">
        <f>IFERROR(INDEX(DraftResults[[#All],[Pick in Round]],MATCH(Table5[[#This Row],[PID]],DraftResults[[#All],[Player ID]],0)),"")</f>
        <v/>
      </c>
      <c r="AB888" s="52" t="str">
        <f>IFERROR(INDEX(DraftResults[[#All],[Team Name]],MATCH(Table5[[#This Row],[PID]],DraftResults[[#All],[Player ID]],0)),"")</f>
        <v/>
      </c>
      <c r="AC888" s="52" t="str">
        <f>IF(Table5[[#This Row],[Ovr]]="","",IF(Table5[[#This Row],[cmbList]]="","",Table5[[#This Row],[cmbList]]-Table5[[#This Row],[Ovr]]))</f>
        <v/>
      </c>
      <c r="AD888" s="56" t="str">
        <f>IF(ISERROR(VLOOKUP($AB888&amp;"-"&amp;$E888&amp;" "&amp;F888,Bonuses!$B$1:$G$1006,4,FALSE)),"",INT(VLOOKUP($AB888&amp;"-"&amp;$E888&amp;" "&amp;$F888,Bonuses!$B$1:$G$1006,4,FALSE)))</f>
        <v/>
      </c>
      <c r="AE8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9" spans="1:31" s="52" customFormat="1" x14ac:dyDescent="0.25">
      <c r="A889" s="52">
        <v>17605</v>
      </c>
      <c r="B889" s="52">
        <f>COUNTIF(Table5[PID],A889)</f>
        <v>1</v>
      </c>
      <c r="C889" s="52" t="str">
        <f>IF(COUNTIF(Table3[[#All],[PID]],A889)&gt;0,"P","B")</f>
        <v>P</v>
      </c>
      <c r="D889" s="61" t="str">
        <f>IF($C889="B",INDEX(Batters[[#All],[POS]],MATCH(Table5[[#This Row],[PID]],Batters[[#All],[PID]],0)),INDEX(Table3[[#All],[POS]],MATCH(Table5[[#This Row],[PID]],Table3[[#All],[PID]],0)))</f>
        <v>RP</v>
      </c>
      <c r="E889" s="54" t="str">
        <f>IF($C889="B",INDEX(Batters[[#All],[First]],MATCH(Table5[[#This Row],[PID]],Batters[[#All],[PID]],0)),INDEX(Table3[[#All],[First]],MATCH(Table5[[#This Row],[PID]],Table3[[#All],[PID]],0)))</f>
        <v>Ron</v>
      </c>
      <c r="F889" s="52" t="str">
        <f>IF($C889="B",INDEX(Batters[[#All],[Last]],MATCH(A889,Batters[[#All],[PID]],0)),INDEX(Table3[[#All],[Last]],MATCH(A889,Table3[[#All],[PID]],0)))</f>
        <v>Gibson</v>
      </c>
      <c r="G889" s="58">
        <f>IF($C889="B",INDEX(Batters[[#All],[Age]],MATCH(Table5[[#This Row],[PID]],Batters[[#All],[PID]],0)),INDEX(Table3[[#All],[Age]],MATCH(Table5[[#This Row],[PID]],Table3[[#All],[PID]],0)))</f>
        <v>18</v>
      </c>
      <c r="H889" s="54" t="str">
        <f>IF($C889="B",INDEX(Batters[[#All],[B]],MATCH(Table5[[#This Row],[PID]],Batters[[#All],[PID]],0)),INDEX(Table3[[#All],[B]],MATCH(Table5[[#This Row],[PID]],Table3[[#All],[PID]],0)))</f>
        <v>R</v>
      </c>
      <c r="I889" s="54" t="str">
        <f>IF($C889="B",INDEX(Batters[[#All],[T]],MATCH(Table5[[#This Row],[PID]],Batters[[#All],[PID]],0)),INDEX(Table3[[#All],[T]],MATCH(Table5[[#This Row],[PID]],Table3[[#All],[PID]],0)))</f>
        <v>R</v>
      </c>
      <c r="J889" s="54" t="str">
        <f>IF($C889="B",INDEX(Batters[[#All],[WE]],MATCH(Table5[[#This Row],[PID]],Batters[[#All],[PID]],0)),INDEX(Table3[[#All],[WE]],MATCH(Table5[[#This Row],[PID]],Table3[[#All],[PID]],0)))</f>
        <v>Normal</v>
      </c>
      <c r="K889" s="54" t="str">
        <f>IF($C889="B",INDEX(Batters[[#All],[INT]],MATCH(Table5[[#This Row],[PID]],Batters[[#All],[PID]],0)),INDEX(Table3[[#All],[INT]],MATCH(Table5[[#This Row],[PID]],Table3[[#All],[PID]],0)))</f>
        <v>Normal</v>
      </c>
      <c r="L889" s="62">
        <f>IF($C889="B",INDEX(Batters[[#All],[CON P]],MATCH(Table5[[#This Row],[PID]],Batters[[#All],[PID]],0)),INDEX(Table3[[#All],[STU P]],MATCH(Table5[[#This Row],[PID]],Table3[[#All],[PID]],0)))</f>
        <v>3</v>
      </c>
      <c r="M889" s="58">
        <f>IF($C889="B",INDEX(Batters[[#All],[GAP P]],MATCH(Table5[[#This Row],[PID]],Batters[[#All],[PID]],0)),INDEX(Table3[[#All],[MOV P]],MATCH(Table5[[#This Row],[PID]],Table3[[#All],[PID]],0)))</f>
        <v>1</v>
      </c>
      <c r="N889" s="58">
        <f>IF($C889="B",INDEX(Batters[[#All],[POW P]],MATCH(Table5[[#This Row],[PID]],Batters[[#All],[PID]],0)),INDEX(Table3[[#All],[CON P]],MATCH(Table5[[#This Row],[PID]],Table3[[#All],[PID]],0)))</f>
        <v>2</v>
      </c>
      <c r="O889" s="58" t="str">
        <f>IF($C889="B",INDEX(Batters[[#All],[EYE P]],MATCH(Table5[[#This Row],[PID]],Batters[[#All],[PID]],0)),INDEX(Table3[[#All],[VELO]],MATCH(Table5[[#This Row],[PID]],Table3[[#All],[PID]],0)))</f>
        <v>87-89 Mph</v>
      </c>
      <c r="P889" s="58">
        <f>IF($C889="B",INDEX(Batters[[#All],[K P]],MATCH(Table5[[#This Row],[PID]],Batters[[#All],[PID]],0)),INDEX(Table3[[#All],[STM]],MATCH(Table5[[#This Row],[PID]],Table3[[#All],[PID]],0)))</f>
        <v>6</v>
      </c>
      <c r="Q889" s="63">
        <f>IF($C889="B",INDEX(Batters[[#All],[Tot]],MATCH(Table5[[#This Row],[PID]],Batters[[#All],[PID]],0)),INDEX(Table3[[#All],[Tot]],MATCH(Table5[[#This Row],[PID]],Table3[[#All],[PID]],0)))</f>
        <v>21.74962826651397</v>
      </c>
      <c r="R889" s="54">
        <f>IF($C889="B",INDEX(Batters[[#All],[zScore]],MATCH(Table5[[#This Row],[PID]],Batters[[#All],[PID]],0)),INDEX(Table3[[#All],[zScore]],MATCH(Table5[[#This Row],[PID]],Table3[[#All],[PID]],0)))</f>
        <v>-0.75772432368316867</v>
      </c>
      <c r="S889" s="60" t="str">
        <f>IF($C889="B",INDEX(Batters[[#All],[DEM]],MATCH(Table5[[#This Row],[PID]],Batters[[#All],[PID]],0)),INDEX(Table3[[#All],[DEM]],MATCH(Table5[[#This Row],[PID]],Table3[[#All],[PID]],0)))</f>
        <v>$85k</v>
      </c>
      <c r="T889" s="64">
        <f>IF($C889="B",VLOOKUP($A889,Bat!$A$4:$AU$1417,46,FALSE),VLOOKUP($A889,Pit!$A$4:$BD$570,55,FALSE))</f>
        <v>0</v>
      </c>
      <c r="U889" s="52">
        <f>IF($C889="B",VLOOKUP($A889,Bat!$A$4:$BA$1417,47,FALSE),VLOOKUP($A889,Pit!$A$4:$BF$570,56,FALSE))</f>
        <v>0</v>
      </c>
      <c r="V889" s="52">
        <f>IF($C889="B",VLOOKUP($A889,Bat!$A$4:$BA$1417,48,FALSE),VLOOKUP($A889,Pit!$A$4:$BF$570,57,FALSE))</f>
        <v>0</v>
      </c>
      <c r="W889" s="52">
        <f>Table5[[#This Row],[posRnk]]+Table5[[#This Row],[zRnk]]+IF($W$3&lt;&gt;Table5[[#This Row],[Type]],50,0)</f>
        <v>935</v>
      </c>
      <c r="X889" s="53">
        <f>RANK(Table5[[#This Row],[zScore]],Table5[[#All],[zScore]])</f>
        <v>885</v>
      </c>
      <c r="Y889" s="52" t="str">
        <f>IFERROR(INDEX(DraftResults[[#All],[OVR]],MATCH(Table5[[#This Row],[PID]],DraftResults[[#All],[Player ID]],0)),"")</f>
        <v/>
      </c>
      <c r="Z8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9" s="52" t="str">
        <f>IFERROR(INDEX(DraftResults[[#All],[Pick in Round]],MATCH(Table5[[#This Row],[PID]],DraftResults[[#All],[Player ID]],0)),"")</f>
        <v/>
      </c>
      <c r="AB889" s="52" t="str">
        <f>IFERROR(INDEX(DraftResults[[#All],[Team Name]],MATCH(Table5[[#This Row],[PID]],DraftResults[[#All],[Player ID]],0)),"")</f>
        <v/>
      </c>
      <c r="AC889" s="52" t="str">
        <f>IF(Table5[[#This Row],[Ovr]]="","",IF(Table5[[#This Row],[cmbList]]="","",Table5[[#This Row],[cmbList]]-Table5[[#This Row],[Ovr]]))</f>
        <v/>
      </c>
      <c r="AD889" s="56" t="str">
        <f>IF(ISERROR(VLOOKUP($AB889&amp;"-"&amp;$E889&amp;" "&amp;F889,Bonuses!$B$1:$G$1006,4,FALSE)),"",INT(VLOOKUP($AB889&amp;"-"&amp;$E889&amp;" "&amp;$F889,Bonuses!$B$1:$G$1006,4,FALSE)))</f>
        <v/>
      </c>
      <c r="AE8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0" spans="1:31" s="52" customFormat="1" x14ac:dyDescent="0.25">
      <c r="A890" s="52">
        <v>8912</v>
      </c>
      <c r="B890" s="52">
        <f>COUNTIF(Table5[PID],A890)</f>
        <v>1</v>
      </c>
      <c r="C890" s="52" t="str">
        <f>IF(COUNTIF(Table3[[#All],[PID]],A890)&gt;0,"P","B")</f>
        <v>P</v>
      </c>
      <c r="D890" s="61" t="str">
        <f>IF($C890="B",INDEX(Batters[[#All],[POS]],MATCH(Table5[[#This Row],[PID]],Batters[[#All],[PID]],0)),INDEX(Table3[[#All],[POS]],MATCH(Table5[[#This Row],[PID]],Table3[[#All],[PID]],0)))</f>
        <v>RP</v>
      </c>
      <c r="E890" s="54" t="str">
        <f>IF($C890="B",INDEX(Batters[[#All],[First]],MATCH(Table5[[#This Row],[PID]],Batters[[#All],[PID]],0)),INDEX(Table3[[#All],[First]],MATCH(Table5[[#This Row],[PID]],Table3[[#All],[PID]],0)))</f>
        <v>Justin</v>
      </c>
      <c r="F890" s="52" t="str">
        <f>IF($C890="B",INDEX(Batters[[#All],[Last]],MATCH(A890,Batters[[#All],[PID]],0)),INDEX(Table3[[#All],[Last]],MATCH(A890,Table3[[#All],[PID]],0)))</f>
        <v>Roberts</v>
      </c>
      <c r="G890" s="58">
        <f>IF($C890="B",INDEX(Batters[[#All],[Age]],MATCH(Table5[[#This Row],[PID]],Batters[[#All],[PID]],0)),INDEX(Table3[[#All],[Age]],MATCH(Table5[[#This Row],[PID]],Table3[[#All],[PID]],0)))</f>
        <v>22</v>
      </c>
      <c r="H890" s="54" t="str">
        <f>IF($C890="B",INDEX(Batters[[#All],[B]],MATCH(Table5[[#This Row],[PID]],Batters[[#All],[PID]],0)),INDEX(Table3[[#All],[B]],MATCH(Table5[[#This Row],[PID]],Table3[[#All],[PID]],0)))</f>
        <v>R</v>
      </c>
      <c r="I890" s="54" t="str">
        <f>IF($C890="B",INDEX(Batters[[#All],[T]],MATCH(Table5[[#This Row],[PID]],Batters[[#All],[PID]],0)),INDEX(Table3[[#All],[T]],MATCH(Table5[[#This Row],[PID]],Table3[[#All],[PID]],0)))</f>
        <v>R</v>
      </c>
      <c r="J890" s="54" t="str">
        <f>IF($C890="B",INDEX(Batters[[#All],[WE]],MATCH(Table5[[#This Row],[PID]],Batters[[#All],[PID]],0)),INDEX(Table3[[#All],[WE]],MATCH(Table5[[#This Row],[PID]],Table3[[#All],[PID]],0)))</f>
        <v>High</v>
      </c>
      <c r="K890" s="54" t="str">
        <f>IF($C890="B",INDEX(Batters[[#All],[INT]],MATCH(Table5[[#This Row],[PID]],Batters[[#All],[PID]],0)),INDEX(Table3[[#All],[INT]],MATCH(Table5[[#This Row],[PID]],Table3[[#All],[PID]],0)))</f>
        <v>High</v>
      </c>
      <c r="L890" s="62">
        <f>IF($C890="B",INDEX(Batters[[#All],[CON P]],MATCH(Table5[[#This Row],[PID]],Batters[[#All],[PID]],0)),INDEX(Table3[[#All],[STU P]],MATCH(Table5[[#This Row],[PID]],Table3[[#All],[PID]],0)))</f>
        <v>3</v>
      </c>
      <c r="M890" s="58">
        <f>IF($C890="B",INDEX(Batters[[#All],[GAP P]],MATCH(Table5[[#This Row],[PID]],Batters[[#All],[PID]],0)),INDEX(Table3[[#All],[MOV P]],MATCH(Table5[[#This Row],[PID]],Table3[[#All],[PID]],0)))</f>
        <v>1</v>
      </c>
      <c r="N890" s="58">
        <f>IF($C890="B",INDEX(Batters[[#All],[POW P]],MATCH(Table5[[#This Row],[PID]],Batters[[#All],[PID]],0)),INDEX(Table3[[#All],[CON P]],MATCH(Table5[[#This Row],[PID]],Table3[[#All],[PID]],0)))</f>
        <v>3</v>
      </c>
      <c r="O890" s="58" t="str">
        <f>IF($C890="B",INDEX(Batters[[#All],[EYE P]],MATCH(Table5[[#This Row],[PID]],Batters[[#All],[PID]],0)),INDEX(Table3[[#All],[VELO]],MATCH(Table5[[#This Row],[PID]],Table3[[#All],[PID]],0)))</f>
        <v>89-91 Mph</v>
      </c>
      <c r="P890" s="58">
        <f>IF($C890="B",INDEX(Batters[[#All],[K P]],MATCH(Table5[[#This Row],[PID]],Batters[[#All],[PID]],0)),INDEX(Table3[[#All],[STM]],MATCH(Table5[[#This Row],[PID]],Table3[[#All],[PID]],0)))</f>
        <v>7</v>
      </c>
      <c r="Q890" s="63">
        <f>IF($C890="B",INDEX(Batters[[#All],[Tot]],MATCH(Table5[[#This Row],[PID]],Batters[[#All],[PID]],0)),INDEX(Table3[[#All],[Tot]],MATCH(Table5[[#This Row],[PID]],Table3[[#All],[PID]],0)))</f>
        <v>21.732791408439965</v>
      </c>
      <c r="R890" s="54">
        <f>IF($C890="B",INDEX(Batters[[#All],[zScore]],MATCH(Table5[[#This Row],[PID]],Batters[[#All],[PID]],0)),INDEX(Table3[[#All],[zScore]],MATCH(Table5[[#This Row],[PID]],Table3[[#All],[PID]],0)))</f>
        <v>-0.75919994972884175</v>
      </c>
      <c r="S890" s="60" t="str">
        <f>IF($C890="B",INDEX(Batters[[#All],[DEM]],MATCH(Table5[[#This Row],[PID]],Batters[[#All],[PID]],0)),INDEX(Table3[[#All],[DEM]],MATCH(Table5[[#This Row],[PID]],Table3[[#All],[PID]],0)))</f>
        <v>-</v>
      </c>
      <c r="T890" s="64">
        <f>IF($C890="B",VLOOKUP($A890,Bat!$A$4:$AU$1417,46,FALSE),VLOOKUP($A890,Pit!$A$4:$BD$570,55,FALSE))</f>
        <v>0</v>
      </c>
      <c r="U890" s="52">
        <f>IF($C890="B",VLOOKUP($A890,Bat!$A$4:$BA$1417,47,FALSE),VLOOKUP($A890,Pit!$A$4:$BF$570,56,FALSE))</f>
        <v>0</v>
      </c>
      <c r="V890" s="52">
        <f>IF($C890="B",VLOOKUP($A890,Bat!$A$4:$BA$1417,48,FALSE),VLOOKUP($A890,Pit!$A$4:$BF$570,57,FALSE))</f>
        <v>0</v>
      </c>
      <c r="W890" s="52">
        <f>Table5[[#This Row],[posRnk]]+Table5[[#This Row],[zRnk]]+IF($W$3&lt;&gt;Table5[[#This Row],[Type]],50,0)</f>
        <v>936</v>
      </c>
      <c r="X890" s="53">
        <f>RANK(Table5[[#This Row],[zScore]],Table5[[#All],[zScore]])</f>
        <v>886</v>
      </c>
      <c r="Y890" s="52" t="str">
        <f>IFERROR(INDEX(DraftResults[[#All],[OVR]],MATCH(Table5[[#This Row],[PID]],DraftResults[[#All],[Player ID]],0)),"")</f>
        <v/>
      </c>
      <c r="Z8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0" s="52" t="str">
        <f>IFERROR(INDEX(DraftResults[[#All],[Pick in Round]],MATCH(Table5[[#This Row],[PID]],DraftResults[[#All],[Player ID]],0)),"")</f>
        <v/>
      </c>
      <c r="AB890" s="52" t="str">
        <f>IFERROR(INDEX(DraftResults[[#All],[Team Name]],MATCH(Table5[[#This Row],[PID]],DraftResults[[#All],[Player ID]],0)),"")</f>
        <v/>
      </c>
      <c r="AC890" s="52" t="str">
        <f>IF(Table5[[#This Row],[Ovr]]="","",IF(Table5[[#This Row],[cmbList]]="","",Table5[[#This Row],[cmbList]]-Table5[[#This Row],[Ovr]]))</f>
        <v/>
      </c>
      <c r="AD890" s="56" t="str">
        <f>IF(ISERROR(VLOOKUP($AB890&amp;"-"&amp;$E890&amp;" "&amp;F890,Bonuses!$B$1:$G$1006,4,FALSE)),"",INT(VLOOKUP($AB890&amp;"-"&amp;$E890&amp;" "&amp;$F890,Bonuses!$B$1:$G$1006,4,FALSE)))</f>
        <v/>
      </c>
      <c r="AE8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1" spans="1:31" s="52" customFormat="1" x14ac:dyDescent="0.25">
      <c r="A891" s="52">
        <v>8266</v>
      </c>
      <c r="B891" s="52">
        <f>COUNTIF(Table5[PID],A891)</f>
        <v>1</v>
      </c>
      <c r="C891" s="52" t="str">
        <f>IF(COUNTIF(Table3[[#All],[PID]],A891)&gt;0,"P","B")</f>
        <v>B</v>
      </c>
      <c r="D891" s="61" t="str">
        <f>IF($C891="B",INDEX(Batters[[#All],[POS]],MATCH(Table5[[#This Row],[PID]],Batters[[#All],[PID]],0)),INDEX(Table3[[#All],[POS]],MATCH(Table5[[#This Row],[PID]],Table3[[#All],[PID]],0)))</f>
        <v>3B</v>
      </c>
      <c r="E891" s="54" t="str">
        <f>IF($C891="B",INDEX(Batters[[#All],[First]],MATCH(Table5[[#This Row],[PID]],Batters[[#All],[PID]],0)),INDEX(Table3[[#All],[First]],MATCH(Table5[[#This Row],[PID]],Table3[[#All],[PID]],0)))</f>
        <v>Júlio</v>
      </c>
      <c r="F891" s="52" t="str">
        <f>IF($C891="B",INDEX(Batters[[#All],[Last]],MATCH(A891,Batters[[#All],[PID]],0)),INDEX(Table3[[#All],[Last]],MATCH(A891,Table3[[#All],[PID]],0)))</f>
        <v>Pérez</v>
      </c>
      <c r="G891" s="58">
        <f>IF($C891="B",INDEX(Batters[[#All],[Age]],MATCH(Table5[[#This Row],[PID]],Batters[[#All],[PID]],0)),INDEX(Table3[[#All],[Age]],MATCH(Table5[[#This Row],[PID]],Table3[[#All],[PID]],0)))</f>
        <v>21</v>
      </c>
      <c r="H891" s="54" t="str">
        <f>IF($C891="B",INDEX(Batters[[#All],[B]],MATCH(Table5[[#This Row],[PID]],Batters[[#All],[PID]],0)),INDEX(Table3[[#All],[B]],MATCH(Table5[[#This Row],[PID]],Table3[[#All],[PID]],0)))</f>
        <v>R</v>
      </c>
      <c r="I891" s="54" t="str">
        <f>IF($C891="B",INDEX(Batters[[#All],[T]],MATCH(Table5[[#This Row],[PID]],Batters[[#All],[PID]],0)),INDEX(Table3[[#All],[T]],MATCH(Table5[[#This Row],[PID]],Table3[[#All],[PID]],0)))</f>
        <v>R</v>
      </c>
      <c r="J891" s="54" t="str">
        <f>IF($C891="B",INDEX(Batters[[#All],[WE]],MATCH(Table5[[#This Row],[PID]],Batters[[#All],[PID]],0)),INDEX(Table3[[#All],[WE]],MATCH(Table5[[#This Row],[PID]],Table3[[#All],[PID]],0)))</f>
        <v>Normal</v>
      </c>
      <c r="K891" s="54" t="str">
        <f>IF($C891="B",INDEX(Batters[[#All],[INT]],MATCH(Table5[[#This Row],[PID]],Batters[[#All],[PID]],0)),INDEX(Table3[[#All],[INT]],MATCH(Table5[[#This Row],[PID]],Table3[[#All],[PID]],0)))</f>
        <v>High</v>
      </c>
      <c r="L891" s="62">
        <f>IF($C891="B",INDEX(Batters[[#All],[CON P]],MATCH(Table5[[#This Row],[PID]],Batters[[#All],[PID]],0)),INDEX(Table3[[#All],[STU P]],MATCH(Table5[[#This Row],[PID]],Table3[[#All],[PID]],0)))</f>
        <v>3</v>
      </c>
      <c r="M891" s="58">
        <f>IF($C891="B",INDEX(Batters[[#All],[GAP P]],MATCH(Table5[[#This Row],[PID]],Batters[[#All],[PID]],0)),INDEX(Table3[[#All],[MOV P]],MATCH(Table5[[#This Row],[PID]],Table3[[#All],[PID]],0)))</f>
        <v>3</v>
      </c>
      <c r="N891" s="58">
        <f>IF($C891="B",INDEX(Batters[[#All],[POW P]],MATCH(Table5[[#This Row],[PID]],Batters[[#All],[PID]],0)),INDEX(Table3[[#All],[CON P]],MATCH(Table5[[#This Row],[PID]],Table3[[#All],[PID]],0)))</f>
        <v>3</v>
      </c>
      <c r="O891" s="58">
        <f>IF($C891="B",INDEX(Batters[[#All],[EYE P]],MATCH(Table5[[#This Row],[PID]],Batters[[#All],[PID]],0)),INDEX(Table3[[#All],[VELO]],MATCH(Table5[[#This Row],[PID]],Table3[[#All],[PID]],0)))</f>
        <v>4</v>
      </c>
      <c r="P891" s="58">
        <f>IF($C891="B",INDEX(Batters[[#All],[K P]],MATCH(Table5[[#This Row],[PID]],Batters[[#All],[PID]],0)),INDEX(Table3[[#All],[STM]],MATCH(Table5[[#This Row],[PID]],Table3[[#All],[PID]],0)))</f>
        <v>2</v>
      </c>
      <c r="Q891" s="63">
        <f>IF($C891="B",INDEX(Batters[[#All],[Tot]],MATCH(Table5[[#This Row],[PID]],Batters[[#All],[PID]],0)),INDEX(Table3[[#All],[Tot]],MATCH(Table5[[#This Row],[PID]],Table3[[#All],[PID]],0)))</f>
        <v>36.021821473888224</v>
      </c>
      <c r="R891" s="54">
        <f>IF($C891="B",INDEX(Batters[[#All],[zScore]],MATCH(Table5[[#This Row],[PID]],Batters[[#All],[PID]],0)),INDEX(Table3[[#All],[zScore]],MATCH(Table5[[#This Row],[PID]],Table3[[#All],[PID]],0)))</f>
        <v>-0.76120587959949204</v>
      </c>
      <c r="S891" s="60" t="str">
        <f>IF($C891="B",INDEX(Batters[[#All],[DEM]],MATCH(Table5[[#This Row],[PID]],Batters[[#All],[PID]],0)),INDEX(Table3[[#All],[DEM]],MATCH(Table5[[#This Row],[PID]],Table3[[#All],[PID]],0)))</f>
        <v>-</v>
      </c>
      <c r="T891" s="64">
        <f>IF($C891="B",VLOOKUP($A891,Bat!$A$4:$AU$1417,46,FALSE),VLOOKUP($A891,Pit!$A$4:$BD$570,55,FALSE))</f>
        <v>0</v>
      </c>
      <c r="U891" s="52">
        <f>IF($C891="B",VLOOKUP($A891,Bat!$A$4:$BA$1417,47,FALSE),VLOOKUP($A891,Pit!$A$4:$BF$570,56,FALSE))</f>
        <v>0</v>
      </c>
      <c r="V891" s="52">
        <f>IF($C891="B",VLOOKUP($A891,Bat!$A$4:$BA$1417,48,FALSE),VLOOKUP($A891,Pit!$A$4:$BF$570,57,FALSE))</f>
        <v>0</v>
      </c>
      <c r="W891" s="52">
        <f>Table5[[#This Row],[posRnk]]+Table5[[#This Row],[zRnk]]+IF($W$3&lt;&gt;Table5[[#This Row],[Type]],50,0)</f>
        <v>937</v>
      </c>
      <c r="X891" s="53">
        <f>RANK(Table5[[#This Row],[zScore]],Table5[[#All],[zScore]])</f>
        <v>887</v>
      </c>
      <c r="Y891" s="52" t="str">
        <f>IFERROR(INDEX(DraftResults[[#All],[OVR]],MATCH(Table5[[#This Row],[PID]],DraftResults[[#All],[Player ID]],0)),"")</f>
        <v/>
      </c>
      <c r="Z8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1" s="52" t="str">
        <f>IFERROR(INDEX(DraftResults[[#All],[Pick in Round]],MATCH(Table5[[#This Row],[PID]],DraftResults[[#All],[Player ID]],0)),"")</f>
        <v/>
      </c>
      <c r="AB891" s="52" t="str">
        <f>IFERROR(INDEX(DraftResults[[#All],[Team Name]],MATCH(Table5[[#This Row],[PID]],DraftResults[[#All],[Player ID]],0)),"")</f>
        <v/>
      </c>
      <c r="AC891" s="52" t="str">
        <f>IF(Table5[[#This Row],[Ovr]]="","",IF(Table5[[#This Row],[cmbList]]="","",Table5[[#This Row],[cmbList]]-Table5[[#This Row],[Ovr]]))</f>
        <v/>
      </c>
      <c r="AD891" s="56" t="str">
        <f>IF(ISERROR(VLOOKUP($AB891&amp;"-"&amp;$E891&amp;" "&amp;F891,Bonuses!$B$1:$G$1006,4,FALSE)),"",INT(VLOOKUP($AB891&amp;"-"&amp;$E891&amp;" "&amp;$F891,Bonuses!$B$1:$G$1006,4,FALSE)))</f>
        <v/>
      </c>
      <c r="AE8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2" spans="1:31" s="52" customFormat="1" x14ac:dyDescent="0.25">
      <c r="A892" s="52">
        <v>12259</v>
      </c>
      <c r="B892" s="52">
        <f>COUNTIF(Table5[PID],A892)</f>
        <v>1</v>
      </c>
      <c r="C892" s="52" t="str">
        <f>IF(COUNTIF(Table3[[#All],[PID]],A892)&gt;0,"P","B")</f>
        <v>P</v>
      </c>
      <c r="D892" s="61" t="str">
        <f>IF($C892="B",INDEX(Batters[[#All],[POS]],MATCH(Table5[[#This Row],[PID]],Batters[[#All],[PID]],0)),INDEX(Table3[[#All],[POS]],MATCH(Table5[[#This Row],[PID]],Table3[[#All],[PID]],0)))</f>
        <v>SP</v>
      </c>
      <c r="E892" s="54" t="str">
        <f>IF($C892="B",INDEX(Batters[[#All],[First]],MATCH(Table5[[#This Row],[PID]],Batters[[#All],[PID]],0)),INDEX(Table3[[#All],[First]],MATCH(Table5[[#This Row],[PID]],Table3[[#All],[PID]],0)))</f>
        <v>Kitahachi</v>
      </c>
      <c r="F892" s="52" t="str">
        <f>IF($C892="B",INDEX(Batters[[#All],[Last]],MATCH(A892,Batters[[#All],[PID]],0)),INDEX(Table3[[#All],[Last]],MATCH(A892,Table3[[#All],[PID]],0)))</f>
        <v>Kawakami</v>
      </c>
      <c r="G892" s="58">
        <f>IF($C892="B",INDEX(Batters[[#All],[Age]],MATCH(Table5[[#This Row],[PID]],Batters[[#All],[PID]],0)),INDEX(Table3[[#All],[Age]],MATCH(Table5[[#This Row],[PID]],Table3[[#All],[PID]],0)))</f>
        <v>21</v>
      </c>
      <c r="H892" s="54" t="str">
        <f>IF($C892="B",INDEX(Batters[[#All],[B]],MATCH(Table5[[#This Row],[PID]],Batters[[#All],[PID]],0)),INDEX(Table3[[#All],[B]],MATCH(Table5[[#This Row],[PID]],Table3[[#All],[PID]],0)))</f>
        <v>R</v>
      </c>
      <c r="I892" s="54" t="str">
        <f>IF($C892="B",INDEX(Batters[[#All],[T]],MATCH(Table5[[#This Row],[PID]],Batters[[#All],[PID]],0)),INDEX(Table3[[#All],[T]],MATCH(Table5[[#This Row],[PID]],Table3[[#All],[PID]],0)))</f>
        <v>R</v>
      </c>
      <c r="J892" s="54" t="str">
        <f>IF($C892="B",INDEX(Batters[[#All],[WE]],MATCH(Table5[[#This Row],[PID]],Batters[[#All],[PID]],0)),INDEX(Table3[[#All],[WE]],MATCH(Table5[[#This Row],[PID]],Table3[[#All],[PID]],0)))</f>
        <v>Low</v>
      </c>
      <c r="K892" s="54" t="str">
        <f>IF($C892="B",INDEX(Batters[[#All],[INT]],MATCH(Table5[[#This Row],[PID]],Batters[[#All],[PID]],0)),INDEX(Table3[[#All],[INT]],MATCH(Table5[[#This Row],[PID]],Table3[[#All],[PID]],0)))</f>
        <v>Normal</v>
      </c>
      <c r="L892" s="62">
        <f>IF($C892="B",INDEX(Batters[[#All],[CON P]],MATCH(Table5[[#This Row],[PID]],Batters[[#All],[PID]],0)),INDEX(Table3[[#All],[STU P]],MATCH(Table5[[#This Row],[PID]],Table3[[#All],[PID]],0)))</f>
        <v>4</v>
      </c>
      <c r="M892" s="58">
        <f>IF($C892="B",INDEX(Batters[[#All],[GAP P]],MATCH(Table5[[#This Row],[PID]],Batters[[#All],[PID]],0)),INDEX(Table3[[#All],[MOV P]],MATCH(Table5[[#This Row],[PID]],Table3[[#All],[PID]],0)))</f>
        <v>1</v>
      </c>
      <c r="N892" s="58">
        <f>IF($C892="B",INDEX(Batters[[#All],[POW P]],MATCH(Table5[[#This Row],[PID]],Batters[[#All],[PID]],0)),INDEX(Table3[[#All],[CON P]],MATCH(Table5[[#This Row],[PID]],Table3[[#All],[PID]],0)))</f>
        <v>3</v>
      </c>
      <c r="O892" s="58" t="str">
        <f>IF($C892="B",INDEX(Batters[[#All],[EYE P]],MATCH(Table5[[#This Row],[PID]],Batters[[#All],[PID]],0)),INDEX(Table3[[#All],[VELO]],MATCH(Table5[[#This Row],[PID]],Table3[[#All],[PID]],0)))</f>
        <v>90-92 Mph</v>
      </c>
      <c r="P892" s="58">
        <f>IF($C892="B",INDEX(Batters[[#All],[K P]],MATCH(Table5[[#This Row],[PID]],Batters[[#All],[PID]],0)),INDEX(Table3[[#All],[STM]],MATCH(Table5[[#This Row],[PID]],Table3[[#All],[PID]],0)))</f>
        <v>6</v>
      </c>
      <c r="Q892" s="63">
        <f>IF($C892="B",INDEX(Batters[[#All],[Tot]],MATCH(Table5[[#This Row],[PID]],Batters[[#All],[PID]],0)),INDEX(Table3[[#All],[Tot]],MATCH(Table5[[#This Row],[PID]],Table3[[#All],[PID]],0)))</f>
        <v>24.419077451157847</v>
      </c>
      <c r="R892" s="54">
        <f>IF($C892="B",INDEX(Batters[[#All],[zScore]],MATCH(Table5[[#This Row],[PID]],Batters[[#All],[PID]],0)),INDEX(Table3[[#All],[zScore]],MATCH(Table5[[#This Row],[PID]],Table3[[#All],[PID]],0)))</f>
        <v>-0.76143648955523546</v>
      </c>
      <c r="S892" s="60" t="str">
        <f>IF($C892="B",INDEX(Batters[[#All],[DEM]],MATCH(Table5[[#This Row],[PID]],Batters[[#All],[PID]],0)),INDEX(Table3[[#All],[DEM]],MATCH(Table5[[#This Row],[PID]],Table3[[#All],[PID]],0)))</f>
        <v>-</v>
      </c>
      <c r="T892" s="64">
        <f>IF($C892="B",VLOOKUP($A892,Bat!$A$4:$AU$1417,46,FALSE),VLOOKUP($A892,Pit!$A$4:$BD$570,55,FALSE))</f>
        <v>0</v>
      </c>
      <c r="U892" s="52">
        <f>IF($C892="B",VLOOKUP($A892,Bat!$A$4:$BA$1417,47,FALSE),VLOOKUP($A892,Pit!$A$4:$BF$570,56,FALSE))</f>
        <v>0</v>
      </c>
      <c r="V892" s="52">
        <f>IF($C892="B",VLOOKUP($A892,Bat!$A$4:$BA$1417,48,FALSE),VLOOKUP($A892,Pit!$A$4:$BF$570,57,FALSE))</f>
        <v>0</v>
      </c>
      <c r="W892" s="52">
        <f>Table5[[#This Row],[posRnk]]+Table5[[#This Row],[zRnk]]+IF($W$3&lt;&gt;Table5[[#This Row],[Type]],50,0)</f>
        <v>938</v>
      </c>
      <c r="X892" s="53">
        <f>RANK(Table5[[#This Row],[zScore]],Table5[[#All],[zScore]])</f>
        <v>888</v>
      </c>
      <c r="Y892" s="52" t="str">
        <f>IFERROR(INDEX(DraftResults[[#All],[OVR]],MATCH(Table5[[#This Row],[PID]],DraftResults[[#All],[Player ID]],0)),"")</f>
        <v/>
      </c>
      <c r="Z8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2" s="52" t="str">
        <f>IFERROR(INDEX(DraftResults[[#All],[Pick in Round]],MATCH(Table5[[#This Row],[PID]],DraftResults[[#All],[Player ID]],0)),"")</f>
        <v/>
      </c>
      <c r="AB892" s="52" t="str">
        <f>IFERROR(INDEX(DraftResults[[#All],[Team Name]],MATCH(Table5[[#This Row],[PID]],DraftResults[[#All],[Player ID]],0)),"")</f>
        <v/>
      </c>
      <c r="AC892" s="52" t="str">
        <f>IF(Table5[[#This Row],[Ovr]]="","",IF(Table5[[#This Row],[cmbList]]="","",Table5[[#This Row],[cmbList]]-Table5[[#This Row],[Ovr]]))</f>
        <v/>
      </c>
      <c r="AD892" s="56" t="str">
        <f>IF(ISERROR(VLOOKUP($AB892&amp;"-"&amp;$E892&amp;" "&amp;F892,Bonuses!$B$1:$G$1006,4,FALSE)),"",INT(VLOOKUP($AB892&amp;"-"&amp;$E892&amp;" "&amp;$F892,Bonuses!$B$1:$G$1006,4,FALSE)))</f>
        <v/>
      </c>
      <c r="AE8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3" spans="1:31" s="52" customFormat="1" x14ac:dyDescent="0.25">
      <c r="A893" s="52">
        <v>10501</v>
      </c>
      <c r="B893" s="52">
        <f>COUNTIF(Table5[PID],A893)</f>
        <v>1</v>
      </c>
      <c r="C893" s="52" t="str">
        <f>IF(COUNTIF(Table3[[#All],[PID]],A893)&gt;0,"P","B")</f>
        <v>P</v>
      </c>
      <c r="D893" s="61" t="str">
        <f>IF($C893="B",INDEX(Batters[[#All],[POS]],MATCH(Table5[[#This Row],[PID]],Batters[[#All],[PID]],0)),INDEX(Table3[[#All],[POS]],MATCH(Table5[[#This Row],[PID]],Table3[[#All],[PID]],0)))</f>
        <v>SP</v>
      </c>
      <c r="E893" s="54" t="str">
        <f>IF($C893="B",INDEX(Batters[[#All],[First]],MATCH(Table5[[#This Row],[PID]],Batters[[#All],[PID]],0)),INDEX(Table3[[#All],[First]],MATCH(Table5[[#This Row],[PID]],Table3[[#All],[PID]],0)))</f>
        <v>Kyle</v>
      </c>
      <c r="F893" s="52" t="str">
        <f>IF($C893="B",INDEX(Batters[[#All],[Last]],MATCH(A893,Batters[[#All],[PID]],0)),INDEX(Table3[[#All],[Last]],MATCH(A893,Table3[[#All],[PID]],0)))</f>
        <v>Dyer</v>
      </c>
      <c r="G893" s="58">
        <f>IF($C893="B",INDEX(Batters[[#All],[Age]],MATCH(Table5[[#This Row],[PID]],Batters[[#All],[PID]],0)),INDEX(Table3[[#All],[Age]],MATCH(Table5[[#This Row],[PID]],Table3[[#All],[PID]],0)))</f>
        <v>21</v>
      </c>
      <c r="H893" s="54" t="str">
        <f>IF($C893="B",INDEX(Batters[[#All],[B]],MATCH(Table5[[#This Row],[PID]],Batters[[#All],[PID]],0)),INDEX(Table3[[#All],[B]],MATCH(Table5[[#This Row],[PID]],Table3[[#All],[PID]],0)))</f>
        <v>L</v>
      </c>
      <c r="I893" s="54" t="str">
        <f>IF($C893="B",INDEX(Batters[[#All],[T]],MATCH(Table5[[#This Row],[PID]],Batters[[#All],[PID]],0)),INDEX(Table3[[#All],[T]],MATCH(Table5[[#This Row],[PID]],Table3[[#All],[PID]],0)))</f>
        <v>L</v>
      </c>
      <c r="J893" s="54" t="str">
        <f>IF($C893="B",INDEX(Batters[[#All],[WE]],MATCH(Table5[[#This Row],[PID]],Batters[[#All],[PID]],0)),INDEX(Table3[[#All],[WE]],MATCH(Table5[[#This Row],[PID]],Table3[[#All],[PID]],0)))</f>
        <v>Normal</v>
      </c>
      <c r="K893" s="54" t="str">
        <f>IF($C893="B",INDEX(Batters[[#All],[INT]],MATCH(Table5[[#This Row],[PID]],Batters[[#All],[PID]],0)),INDEX(Table3[[#All],[INT]],MATCH(Table5[[#This Row],[PID]],Table3[[#All],[PID]],0)))</f>
        <v>Normal</v>
      </c>
      <c r="L893" s="62">
        <f>IF($C893="B",INDEX(Batters[[#All],[CON P]],MATCH(Table5[[#This Row],[PID]],Batters[[#All],[PID]],0)),INDEX(Table3[[#All],[STU P]],MATCH(Table5[[#This Row],[PID]],Table3[[#All],[PID]],0)))</f>
        <v>4</v>
      </c>
      <c r="M893" s="58">
        <f>IF($C893="B",INDEX(Batters[[#All],[GAP P]],MATCH(Table5[[#This Row],[PID]],Batters[[#All],[PID]],0)),INDEX(Table3[[#All],[MOV P]],MATCH(Table5[[#This Row],[PID]],Table3[[#All],[PID]],0)))</f>
        <v>2</v>
      </c>
      <c r="N893" s="58">
        <f>IF($C893="B",INDEX(Batters[[#All],[POW P]],MATCH(Table5[[#This Row],[PID]],Batters[[#All],[PID]],0)),INDEX(Table3[[#All],[CON P]],MATCH(Table5[[#This Row],[PID]],Table3[[#All],[PID]],0)))</f>
        <v>2</v>
      </c>
      <c r="O893" s="58" t="str">
        <f>IF($C893="B",INDEX(Batters[[#All],[EYE P]],MATCH(Table5[[#This Row],[PID]],Batters[[#All],[PID]],0)),INDEX(Table3[[#All],[VELO]],MATCH(Table5[[#This Row],[PID]],Table3[[#All],[PID]],0)))</f>
        <v>92-94 Mph</v>
      </c>
      <c r="P893" s="58">
        <f>IF($C893="B",INDEX(Batters[[#All],[K P]],MATCH(Table5[[#This Row],[PID]],Batters[[#All],[PID]],0)),INDEX(Table3[[#All],[STM]],MATCH(Table5[[#This Row],[PID]],Table3[[#All],[PID]],0)))</f>
        <v>7</v>
      </c>
      <c r="Q893" s="63">
        <f>IF($C893="B",INDEX(Batters[[#All],[Tot]],MATCH(Table5[[#This Row],[PID]],Batters[[#All],[PID]],0)),INDEX(Table3[[#All],[Tot]],MATCH(Table5[[#This Row],[PID]],Table3[[#All],[PID]],0)))</f>
        <v>24.415376792931511</v>
      </c>
      <c r="R893" s="54">
        <f>IF($C893="B",INDEX(Batters[[#All],[zScore]],MATCH(Table5[[#This Row],[PID]],Batters[[#All],[PID]],0)),INDEX(Table3[[#All],[zScore]],MATCH(Table5[[#This Row],[PID]],Table3[[#All],[PID]],0)))</f>
        <v>-0.76177585573153617</v>
      </c>
      <c r="S893" s="60" t="str">
        <f>IF($C893="B",INDEX(Batters[[#All],[DEM]],MATCH(Table5[[#This Row],[PID]],Batters[[#All],[PID]],0)),INDEX(Table3[[#All],[DEM]],MATCH(Table5[[#This Row],[PID]],Table3[[#All],[PID]],0)))</f>
        <v>-</v>
      </c>
      <c r="T893" s="64">
        <f>IF($C893="B",VLOOKUP($A893,Bat!$A$4:$AU$1417,46,FALSE),VLOOKUP($A893,Pit!$A$4:$BD$570,55,FALSE))</f>
        <v>0</v>
      </c>
      <c r="U893" s="52">
        <f>IF($C893="B",VLOOKUP($A893,Bat!$A$4:$BA$1417,47,FALSE),VLOOKUP($A893,Pit!$A$4:$BF$570,56,FALSE))</f>
        <v>0</v>
      </c>
      <c r="V893" s="52">
        <f>IF($C893="B",VLOOKUP($A893,Bat!$A$4:$BA$1417,48,FALSE),VLOOKUP($A893,Pit!$A$4:$BF$570,57,FALSE))</f>
        <v>0</v>
      </c>
      <c r="W893" s="52">
        <f>Table5[[#This Row],[posRnk]]+Table5[[#This Row],[zRnk]]+IF($W$3&lt;&gt;Table5[[#This Row],[Type]],50,0)</f>
        <v>939</v>
      </c>
      <c r="X893" s="53">
        <f>RANK(Table5[[#This Row],[zScore]],Table5[[#All],[zScore]])</f>
        <v>889</v>
      </c>
      <c r="Y893" s="52" t="str">
        <f>IFERROR(INDEX(DraftResults[[#All],[OVR]],MATCH(Table5[[#This Row],[PID]],DraftResults[[#All],[Player ID]],0)),"")</f>
        <v/>
      </c>
      <c r="Z8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3" s="52" t="str">
        <f>IFERROR(INDEX(DraftResults[[#All],[Pick in Round]],MATCH(Table5[[#This Row],[PID]],DraftResults[[#All],[Player ID]],0)),"")</f>
        <v/>
      </c>
      <c r="AB893" s="52" t="str">
        <f>IFERROR(INDEX(DraftResults[[#All],[Team Name]],MATCH(Table5[[#This Row],[PID]],DraftResults[[#All],[Player ID]],0)),"")</f>
        <v/>
      </c>
      <c r="AC893" s="52" t="str">
        <f>IF(Table5[[#This Row],[Ovr]]="","",IF(Table5[[#This Row],[cmbList]]="","",Table5[[#This Row],[cmbList]]-Table5[[#This Row],[Ovr]]))</f>
        <v/>
      </c>
      <c r="AD893" s="56" t="str">
        <f>IF(ISERROR(VLOOKUP($AB893&amp;"-"&amp;$E893&amp;" "&amp;F893,Bonuses!$B$1:$G$1006,4,FALSE)),"",INT(VLOOKUP($AB893&amp;"-"&amp;$E893&amp;" "&amp;$F893,Bonuses!$B$1:$G$1006,4,FALSE)))</f>
        <v/>
      </c>
      <c r="AE8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4" spans="1:31" s="52" customFormat="1" x14ac:dyDescent="0.25">
      <c r="A894" s="52">
        <v>5855</v>
      </c>
      <c r="B894" s="52">
        <f>COUNTIF(Table5[PID],A894)</f>
        <v>1</v>
      </c>
      <c r="C894" s="52" t="str">
        <f>IF(COUNTIF(Table3[[#All],[PID]],A894)&gt;0,"P","B")</f>
        <v>P</v>
      </c>
      <c r="D894" s="61" t="str">
        <f>IF($C894="B",INDEX(Batters[[#All],[POS]],MATCH(Table5[[#This Row],[PID]],Batters[[#All],[PID]],0)),INDEX(Table3[[#All],[POS]],MATCH(Table5[[#This Row],[PID]],Table3[[#All],[PID]],0)))</f>
        <v>SP</v>
      </c>
      <c r="E894" s="54" t="str">
        <f>IF($C894="B",INDEX(Batters[[#All],[First]],MATCH(Table5[[#This Row],[PID]],Batters[[#All],[PID]],0)),INDEX(Table3[[#All],[First]],MATCH(Table5[[#This Row],[PID]],Table3[[#All],[PID]],0)))</f>
        <v>Nick</v>
      </c>
      <c r="F894" s="52" t="str">
        <f>IF($C894="B",INDEX(Batters[[#All],[Last]],MATCH(A894,Batters[[#All],[PID]],0)),INDEX(Table3[[#All],[Last]],MATCH(A894,Table3[[#All],[PID]],0)))</f>
        <v>Miller</v>
      </c>
      <c r="G894" s="58">
        <f>IF($C894="B",INDEX(Batters[[#All],[Age]],MATCH(Table5[[#This Row],[PID]],Batters[[#All],[PID]],0)),INDEX(Table3[[#All],[Age]],MATCH(Table5[[#This Row],[PID]],Table3[[#All],[PID]],0)))</f>
        <v>18</v>
      </c>
      <c r="H894" s="54" t="str">
        <f>IF($C894="B",INDEX(Batters[[#All],[B]],MATCH(Table5[[#This Row],[PID]],Batters[[#All],[PID]],0)),INDEX(Table3[[#All],[B]],MATCH(Table5[[#This Row],[PID]],Table3[[#All],[PID]],0)))</f>
        <v>S</v>
      </c>
      <c r="I894" s="54" t="str">
        <f>IF($C894="B",INDEX(Batters[[#All],[T]],MATCH(Table5[[#This Row],[PID]],Batters[[#All],[PID]],0)),INDEX(Table3[[#All],[T]],MATCH(Table5[[#This Row],[PID]],Table3[[#All],[PID]],0)))</f>
        <v>R</v>
      </c>
      <c r="J894" s="54" t="str">
        <f>IF($C894="B",INDEX(Batters[[#All],[WE]],MATCH(Table5[[#This Row],[PID]],Batters[[#All],[PID]],0)),INDEX(Table3[[#All],[WE]],MATCH(Table5[[#This Row],[PID]],Table3[[#All],[PID]],0)))</f>
        <v>Low</v>
      </c>
      <c r="K894" s="54" t="str">
        <f>IF($C894="B",INDEX(Batters[[#All],[INT]],MATCH(Table5[[#This Row],[PID]],Batters[[#All],[PID]],0)),INDEX(Table3[[#All],[INT]],MATCH(Table5[[#This Row],[PID]],Table3[[#All],[PID]],0)))</f>
        <v>Normal</v>
      </c>
      <c r="L894" s="62">
        <f>IF($C894="B",INDEX(Batters[[#All],[CON P]],MATCH(Table5[[#This Row],[PID]],Batters[[#All],[PID]],0)),INDEX(Table3[[#All],[STU P]],MATCH(Table5[[#This Row],[PID]],Table3[[#All],[PID]],0)))</f>
        <v>4</v>
      </c>
      <c r="M894" s="58">
        <f>IF($C894="B",INDEX(Batters[[#All],[GAP P]],MATCH(Table5[[#This Row],[PID]],Batters[[#All],[PID]],0)),INDEX(Table3[[#All],[MOV P]],MATCH(Table5[[#This Row],[PID]],Table3[[#All],[PID]],0)))</f>
        <v>2</v>
      </c>
      <c r="N894" s="58">
        <f>IF($C894="B",INDEX(Batters[[#All],[POW P]],MATCH(Table5[[#This Row],[PID]],Batters[[#All],[PID]],0)),INDEX(Table3[[#All],[CON P]],MATCH(Table5[[#This Row],[PID]],Table3[[#All],[PID]],0)))</f>
        <v>1</v>
      </c>
      <c r="O894" s="58" t="str">
        <f>IF($C894="B",INDEX(Batters[[#All],[EYE P]],MATCH(Table5[[#This Row],[PID]],Batters[[#All],[PID]],0)),INDEX(Table3[[#All],[VELO]],MATCH(Table5[[#This Row],[PID]],Table3[[#All],[PID]],0)))</f>
        <v>90-92 Mph</v>
      </c>
      <c r="P894" s="58">
        <f>IF($C894="B",INDEX(Batters[[#All],[K P]],MATCH(Table5[[#This Row],[PID]],Batters[[#All],[PID]],0)),INDEX(Table3[[#All],[STM]],MATCH(Table5[[#This Row],[PID]],Table3[[#All],[PID]],0)))</f>
        <v>5</v>
      </c>
      <c r="Q894" s="63">
        <f>IF($C894="B",INDEX(Batters[[#All],[Tot]],MATCH(Table5[[#This Row],[PID]],Batters[[#All],[PID]],0)),INDEX(Table3[[#All],[Tot]],MATCH(Table5[[#This Row],[PID]],Table3[[#All],[PID]],0)))</f>
        <v>24.407850519756938</v>
      </c>
      <c r="R894" s="54">
        <f>IF($C894="B",INDEX(Batters[[#All],[zScore]],MATCH(Table5[[#This Row],[PID]],Batters[[#All],[PID]],0)),INDEX(Table3[[#All],[zScore]],MATCH(Table5[[#This Row],[PID]],Table3[[#All],[PID]],0)))</f>
        <v>-0.76246604714961208</v>
      </c>
      <c r="S894" s="60" t="str">
        <f>IF($C894="B",INDEX(Batters[[#All],[DEM]],MATCH(Table5[[#This Row],[PID]],Batters[[#All],[PID]],0)),INDEX(Table3[[#All],[DEM]],MATCH(Table5[[#This Row],[PID]],Table3[[#All],[PID]],0)))</f>
        <v>$65k</v>
      </c>
      <c r="T894" s="64">
        <f>IF($C894="B",VLOOKUP($A894,Bat!$A$4:$AU$1417,46,FALSE),VLOOKUP($A894,Pit!$A$4:$BD$570,55,FALSE))</f>
        <v>0</v>
      </c>
      <c r="U894" s="52">
        <f>IF($C894="B",VLOOKUP($A894,Bat!$A$4:$BA$1417,47,FALSE),VLOOKUP($A894,Pit!$A$4:$BF$570,56,FALSE))</f>
        <v>0</v>
      </c>
      <c r="V894" s="52">
        <f>IF($C894="B",VLOOKUP($A894,Bat!$A$4:$BA$1417,48,FALSE),VLOOKUP($A894,Pit!$A$4:$BF$570,57,FALSE))</f>
        <v>0</v>
      </c>
      <c r="W894" s="52">
        <f>Table5[[#This Row],[posRnk]]+Table5[[#This Row],[zRnk]]+IF($W$3&lt;&gt;Table5[[#This Row],[Type]],50,0)</f>
        <v>940</v>
      </c>
      <c r="X894" s="53">
        <f>RANK(Table5[[#This Row],[zScore]],Table5[[#All],[zScore]])</f>
        <v>890</v>
      </c>
      <c r="Y894" s="52" t="str">
        <f>IFERROR(INDEX(DraftResults[[#All],[OVR]],MATCH(Table5[[#This Row],[PID]],DraftResults[[#All],[Player ID]],0)),"")</f>
        <v/>
      </c>
      <c r="Z8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4" s="52" t="str">
        <f>IFERROR(INDEX(DraftResults[[#All],[Pick in Round]],MATCH(Table5[[#This Row],[PID]],DraftResults[[#All],[Player ID]],0)),"")</f>
        <v/>
      </c>
      <c r="AB894" s="52" t="str">
        <f>IFERROR(INDEX(DraftResults[[#All],[Team Name]],MATCH(Table5[[#This Row],[PID]],DraftResults[[#All],[Player ID]],0)),"")</f>
        <v/>
      </c>
      <c r="AC894" s="52" t="str">
        <f>IF(Table5[[#This Row],[Ovr]]="","",IF(Table5[[#This Row],[cmbList]]="","",Table5[[#This Row],[cmbList]]-Table5[[#This Row],[Ovr]]))</f>
        <v/>
      </c>
      <c r="AD894" s="56" t="str">
        <f>IF(ISERROR(VLOOKUP($AB894&amp;"-"&amp;$E894&amp;" "&amp;F894,Bonuses!$B$1:$G$1006,4,FALSE)),"",INT(VLOOKUP($AB894&amp;"-"&amp;$E894&amp;" "&amp;$F894,Bonuses!$B$1:$G$1006,4,FALSE)))</f>
        <v/>
      </c>
      <c r="AE8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5" spans="1:31" s="52" customFormat="1" x14ac:dyDescent="0.25">
      <c r="A895" s="52">
        <v>7311</v>
      </c>
      <c r="B895" s="52">
        <f>COUNTIF(Table5[PID],A895)</f>
        <v>1</v>
      </c>
      <c r="C895" s="52" t="str">
        <f>IF(COUNTIF(Table3[[#All],[PID]],A895)&gt;0,"P","B")</f>
        <v>P</v>
      </c>
      <c r="D895" s="61" t="str">
        <f>IF($C895="B",INDEX(Batters[[#All],[POS]],MATCH(Table5[[#This Row],[PID]],Batters[[#All],[PID]],0)),INDEX(Table3[[#All],[POS]],MATCH(Table5[[#This Row],[PID]],Table3[[#All],[PID]],0)))</f>
        <v>RP</v>
      </c>
      <c r="E895" s="54" t="str">
        <f>IF($C895="B",INDEX(Batters[[#All],[First]],MATCH(Table5[[#This Row],[PID]],Batters[[#All],[PID]],0)),INDEX(Table3[[#All],[First]],MATCH(Table5[[#This Row],[PID]],Table3[[#All],[PID]],0)))</f>
        <v>Ryu</v>
      </c>
      <c r="F895" s="52" t="str">
        <f>IF($C895="B",INDEX(Batters[[#All],[Last]],MATCH(A895,Batters[[#All],[PID]],0)),INDEX(Table3[[#All],[Last]],MATCH(A895,Table3[[#All],[PID]],0)))</f>
        <v>Hashimoto</v>
      </c>
      <c r="G895" s="58">
        <f>IF($C895="B",INDEX(Batters[[#All],[Age]],MATCH(Table5[[#This Row],[PID]],Batters[[#All],[PID]],0)),INDEX(Table3[[#All],[Age]],MATCH(Table5[[#This Row],[PID]],Table3[[#All],[PID]],0)))</f>
        <v>21</v>
      </c>
      <c r="H895" s="54" t="str">
        <f>IF($C895="B",INDEX(Batters[[#All],[B]],MATCH(Table5[[#This Row],[PID]],Batters[[#All],[PID]],0)),INDEX(Table3[[#All],[B]],MATCH(Table5[[#This Row],[PID]],Table3[[#All],[PID]],0)))</f>
        <v>R</v>
      </c>
      <c r="I895" s="54" t="str">
        <f>IF($C895="B",INDEX(Batters[[#All],[T]],MATCH(Table5[[#This Row],[PID]],Batters[[#All],[PID]],0)),INDEX(Table3[[#All],[T]],MATCH(Table5[[#This Row],[PID]],Table3[[#All],[PID]],0)))</f>
        <v>R</v>
      </c>
      <c r="J895" s="54" t="str">
        <f>IF($C895="B",INDEX(Batters[[#All],[WE]],MATCH(Table5[[#This Row],[PID]],Batters[[#All],[PID]],0)),INDEX(Table3[[#All],[WE]],MATCH(Table5[[#This Row],[PID]],Table3[[#All],[PID]],0)))</f>
        <v>Normal</v>
      </c>
      <c r="K895" s="54" t="str">
        <f>IF($C895="B",INDEX(Batters[[#All],[INT]],MATCH(Table5[[#This Row],[PID]],Batters[[#All],[PID]],0)),INDEX(Table3[[#All],[INT]],MATCH(Table5[[#This Row],[PID]],Table3[[#All],[PID]],0)))</f>
        <v>Normal</v>
      </c>
      <c r="L895" s="62">
        <f>IF($C895="B",INDEX(Batters[[#All],[CON P]],MATCH(Table5[[#This Row],[PID]],Batters[[#All],[PID]],0)),INDEX(Table3[[#All],[STU P]],MATCH(Table5[[#This Row],[PID]],Table3[[#All],[PID]],0)))</f>
        <v>4</v>
      </c>
      <c r="M895" s="58">
        <f>IF($C895="B",INDEX(Batters[[#All],[GAP P]],MATCH(Table5[[#This Row],[PID]],Batters[[#All],[PID]],0)),INDEX(Table3[[#All],[MOV P]],MATCH(Table5[[#This Row],[PID]],Table3[[#All],[PID]],0)))</f>
        <v>1</v>
      </c>
      <c r="N895" s="58">
        <f>IF($C895="B",INDEX(Batters[[#All],[POW P]],MATCH(Table5[[#This Row],[PID]],Batters[[#All],[PID]],0)),INDEX(Table3[[#All],[CON P]],MATCH(Table5[[#This Row],[PID]],Table3[[#All],[PID]],0)))</f>
        <v>3</v>
      </c>
      <c r="O895" s="58" t="str">
        <f>IF($C895="B",INDEX(Batters[[#All],[EYE P]],MATCH(Table5[[#This Row],[PID]],Batters[[#All],[PID]],0)),INDEX(Table3[[#All],[VELO]],MATCH(Table5[[#This Row],[PID]],Table3[[#All],[PID]],0)))</f>
        <v>89-91 Mph</v>
      </c>
      <c r="P895" s="58">
        <f>IF($C895="B",INDEX(Batters[[#All],[K P]],MATCH(Table5[[#This Row],[PID]],Batters[[#All],[PID]],0)),INDEX(Table3[[#All],[STM]],MATCH(Table5[[#This Row],[PID]],Table3[[#All],[PID]],0)))</f>
        <v>8</v>
      </c>
      <c r="Q895" s="63">
        <f>IF($C895="B",INDEX(Batters[[#All],[Tot]],MATCH(Table5[[#This Row],[PID]],Batters[[#All],[PID]],0)),INDEX(Table3[[#All],[Tot]],MATCH(Table5[[#This Row],[PID]],Table3[[#All],[PID]],0)))</f>
        <v>24.389020276736087</v>
      </c>
      <c r="R895" s="54">
        <f>IF($C895="B",INDEX(Batters[[#All],[zScore]],MATCH(Table5[[#This Row],[PID]],Batters[[#All],[PID]],0)),INDEX(Table3[[#All],[zScore]],MATCH(Table5[[#This Row],[PID]],Table3[[#All],[PID]],0)))</f>
        <v>-0.7641928609167743</v>
      </c>
      <c r="S895" s="60" t="str">
        <f>IF($C895="B",INDEX(Batters[[#All],[DEM]],MATCH(Table5[[#This Row],[PID]],Batters[[#All],[PID]],0)),INDEX(Table3[[#All],[DEM]],MATCH(Table5[[#This Row],[PID]],Table3[[#All],[PID]],0)))</f>
        <v>$40k</v>
      </c>
      <c r="T895" s="64">
        <f>IF($C895="B",VLOOKUP($A895,Bat!$A$4:$AU$1417,46,FALSE),VLOOKUP($A895,Pit!$A$4:$BD$570,55,FALSE))</f>
        <v>0</v>
      </c>
      <c r="U895" s="52">
        <f>IF($C895="B",VLOOKUP($A895,Bat!$A$4:$BA$1417,47,FALSE),VLOOKUP($A895,Pit!$A$4:$BF$570,56,FALSE))</f>
        <v>0</v>
      </c>
      <c r="V895" s="52">
        <f>IF($C895="B",VLOOKUP($A895,Bat!$A$4:$BA$1417,48,FALSE),VLOOKUP($A895,Pit!$A$4:$BF$570,57,FALSE))</f>
        <v>0</v>
      </c>
      <c r="W895" s="52">
        <f>Table5[[#This Row],[posRnk]]+Table5[[#This Row],[zRnk]]+IF($W$3&lt;&gt;Table5[[#This Row],[Type]],50,0)</f>
        <v>941</v>
      </c>
      <c r="X895" s="53">
        <f>RANK(Table5[[#This Row],[zScore]],Table5[[#All],[zScore]])</f>
        <v>891</v>
      </c>
      <c r="Y895" s="52" t="str">
        <f>IFERROR(INDEX(DraftResults[[#All],[OVR]],MATCH(Table5[[#This Row],[PID]],DraftResults[[#All],[Player ID]],0)),"")</f>
        <v/>
      </c>
      <c r="Z8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5" s="52" t="str">
        <f>IFERROR(INDEX(DraftResults[[#All],[Pick in Round]],MATCH(Table5[[#This Row],[PID]],DraftResults[[#All],[Player ID]],0)),"")</f>
        <v/>
      </c>
      <c r="AB895" s="52" t="str">
        <f>IFERROR(INDEX(DraftResults[[#All],[Team Name]],MATCH(Table5[[#This Row],[PID]],DraftResults[[#All],[Player ID]],0)),"")</f>
        <v/>
      </c>
      <c r="AC895" s="52" t="str">
        <f>IF(Table5[[#This Row],[Ovr]]="","",IF(Table5[[#This Row],[cmbList]]="","",Table5[[#This Row],[cmbList]]-Table5[[#This Row],[Ovr]]))</f>
        <v/>
      </c>
      <c r="AD895" s="56" t="str">
        <f>IF(ISERROR(VLOOKUP($AB895&amp;"-"&amp;$E895&amp;" "&amp;F895,Bonuses!$B$1:$G$1006,4,FALSE)),"",INT(VLOOKUP($AB895&amp;"-"&amp;$E895&amp;" "&amp;$F895,Bonuses!$B$1:$G$1006,4,FALSE)))</f>
        <v/>
      </c>
      <c r="AE8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6" spans="1:31" s="52" customFormat="1" x14ac:dyDescent="0.25">
      <c r="A896" s="52">
        <v>11852</v>
      </c>
      <c r="B896" s="52">
        <f>COUNTIF(Table5[PID],A896)</f>
        <v>1</v>
      </c>
      <c r="C896" s="52" t="str">
        <f>IF(COUNTIF(Table3[[#All],[PID]],A896)&gt;0,"P","B")</f>
        <v>P</v>
      </c>
      <c r="D896" s="61" t="str">
        <f>IF($C896="B",INDEX(Batters[[#All],[POS]],MATCH(Table5[[#This Row],[PID]],Batters[[#All],[PID]],0)),INDEX(Table3[[#All],[POS]],MATCH(Table5[[#This Row],[PID]],Table3[[#All],[PID]],0)))</f>
        <v>RP</v>
      </c>
      <c r="E896" s="54" t="str">
        <f>IF($C896="B",INDEX(Batters[[#All],[First]],MATCH(Table5[[#This Row],[PID]],Batters[[#All],[PID]],0)),INDEX(Table3[[#All],[First]],MATCH(Table5[[#This Row],[PID]],Table3[[#All],[PID]],0)))</f>
        <v>Manolito</v>
      </c>
      <c r="F896" s="52" t="str">
        <f>IF($C896="B",INDEX(Batters[[#All],[Last]],MATCH(A896,Batters[[#All],[PID]],0)),INDEX(Table3[[#All],[Last]],MATCH(A896,Table3[[#All],[PID]],0)))</f>
        <v>Díaz</v>
      </c>
      <c r="G896" s="58">
        <f>IF($C896="B",INDEX(Batters[[#All],[Age]],MATCH(Table5[[#This Row],[PID]],Batters[[#All],[PID]],0)),INDEX(Table3[[#All],[Age]],MATCH(Table5[[#This Row],[PID]],Table3[[#All],[PID]],0)))</f>
        <v>21</v>
      </c>
      <c r="H896" s="54" t="str">
        <f>IF($C896="B",INDEX(Batters[[#All],[B]],MATCH(Table5[[#This Row],[PID]],Batters[[#All],[PID]],0)),INDEX(Table3[[#All],[B]],MATCH(Table5[[#This Row],[PID]],Table3[[#All],[PID]],0)))</f>
        <v>L</v>
      </c>
      <c r="I896" s="54" t="str">
        <f>IF($C896="B",INDEX(Batters[[#All],[T]],MATCH(Table5[[#This Row],[PID]],Batters[[#All],[PID]],0)),INDEX(Table3[[#All],[T]],MATCH(Table5[[#This Row],[PID]],Table3[[#All],[PID]],0)))</f>
        <v>R</v>
      </c>
      <c r="J896" s="54" t="str">
        <f>IF($C896="B",INDEX(Batters[[#All],[WE]],MATCH(Table5[[#This Row],[PID]],Batters[[#All],[PID]],0)),INDEX(Table3[[#All],[WE]],MATCH(Table5[[#This Row],[PID]],Table3[[#All],[PID]],0)))</f>
        <v>High</v>
      </c>
      <c r="K896" s="54" t="str">
        <f>IF($C896="B",INDEX(Batters[[#All],[INT]],MATCH(Table5[[#This Row],[PID]],Batters[[#All],[PID]],0)),INDEX(Table3[[#All],[INT]],MATCH(Table5[[#This Row],[PID]],Table3[[#All],[PID]],0)))</f>
        <v>Normal</v>
      </c>
      <c r="L896" s="62">
        <f>IF($C896="B",INDEX(Batters[[#All],[CON P]],MATCH(Table5[[#This Row],[PID]],Batters[[#All],[PID]],0)),INDEX(Table3[[#All],[STU P]],MATCH(Table5[[#This Row],[PID]],Table3[[#All],[PID]],0)))</f>
        <v>4</v>
      </c>
      <c r="M896" s="58">
        <f>IF($C896="B",INDEX(Batters[[#All],[GAP P]],MATCH(Table5[[#This Row],[PID]],Batters[[#All],[PID]],0)),INDEX(Table3[[#All],[MOV P]],MATCH(Table5[[#This Row],[PID]],Table3[[#All],[PID]],0)))</f>
        <v>2</v>
      </c>
      <c r="N896" s="58">
        <f>IF($C896="B",INDEX(Batters[[#All],[POW P]],MATCH(Table5[[#This Row],[PID]],Batters[[#All],[PID]],0)),INDEX(Table3[[#All],[CON P]],MATCH(Table5[[#This Row],[PID]],Table3[[#All],[PID]],0)))</f>
        <v>2</v>
      </c>
      <c r="O896" s="58" t="str">
        <f>IF($C896="B",INDEX(Batters[[#All],[EYE P]],MATCH(Table5[[#This Row],[PID]],Batters[[#All],[PID]],0)),INDEX(Table3[[#All],[VELO]],MATCH(Table5[[#This Row],[PID]],Table3[[#All],[PID]],0)))</f>
        <v>90-92 Mph</v>
      </c>
      <c r="P896" s="58">
        <f>IF($C896="B",INDEX(Batters[[#All],[K P]],MATCH(Table5[[#This Row],[PID]],Batters[[#All],[PID]],0)),INDEX(Table3[[#All],[STM]],MATCH(Table5[[#This Row],[PID]],Table3[[#All],[PID]],0)))</f>
        <v>7</v>
      </c>
      <c r="Q896" s="63">
        <f>IF($C896="B",INDEX(Batters[[#All],[Tot]],MATCH(Table5[[#This Row],[PID]],Batters[[#All],[PID]],0)),INDEX(Table3[[#All],[Tot]],MATCH(Table5[[#This Row],[PID]],Table3[[#All],[PID]],0)))</f>
        <v>24.388840906142335</v>
      </c>
      <c r="R896" s="54">
        <f>IF($C896="B",INDEX(Batters[[#All],[zScore]],MATCH(Table5[[#This Row],[PID]],Batters[[#All],[PID]],0)),INDEX(Table3[[#All],[zScore]],MATCH(Table5[[#This Row],[PID]],Table3[[#All],[PID]],0)))</f>
        <v>-0.76420930996686742</v>
      </c>
      <c r="S896" s="60" t="str">
        <f>IF($C896="B",INDEX(Batters[[#All],[DEM]],MATCH(Table5[[#This Row],[PID]],Batters[[#All],[PID]],0)),INDEX(Table3[[#All],[DEM]],MATCH(Table5[[#This Row],[PID]],Table3[[#All],[PID]],0)))</f>
        <v>-</v>
      </c>
      <c r="T896" s="64">
        <f>IF($C896="B",VLOOKUP($A896,Bat!$A$4:$AU$1417,46,FALSE),VLOOKUP($A896,Pit!$A$4:$BD$570,55,FALSE))</f>
        <v>0</v>
      </c>
      <c r="U896" s="52">
        <f>IF($C896="B",VLOOKUP($A896,Bat!$A$4:$BA$1417,47,FALSE),VLOOKUP($A896,Pit!$A$4:$BF$570,56,FALSE))</f>
        <v>0</v>
      </c>
      <c r="V896" s="52">
        <f>IF($C896="B",VLOOKUP($A896,Bat!$A$4:$BA$1417,48,FALSE),VLOOKUP($A896,Pit!$A$4:$BF$570,57,FALSE))</f>
        <v>0</v>
      </c>
      <c r="W896" s="52">
        <f>Table5[[#This Row],[posRnk]]+Table5[[#This Row],[zRnk]]+IF($W$3&lt;&gt;Table5[[#This Row],[Type]],50,0)</f>
        <v>942</v>
      </c>
      <c r="X896" s="53">
        <f>RANK(Table5[[#This Row],[zScore]],Table5[[#All],[zScore]])</f>
        <v>892</v>
      </c>
      <c r="Y896" s="52" t="str">
        <f>IFERROR(INDEX(DraftResults[[#All],[OVR]],MATCH(Table5[[#This Row],[PID]],DraftResults[[#All],[Player ID]],0)),"")</f>
        <v/>
      </c>
      <c r="Z8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6" s="52" t="str">
        <f>IFERROR(INDEX(DraftResults[[#All],[Pick in Round]],MATCH(Table5[[#This Row],[PID]],DraftResults[[#All],[Player ID]],0)),"")</f>
        <v/>
      </c>
      <c r="AB896" s="52" t="str">
        <f>IFERROR(INDEX(DraftResults[[#All],[Team Name]],MATCH(Table5[[#This Row],[PID]],DraftResults[[#All],[Player ID]],0)),"")</f>
        <v/>
      </c>
      <c r="AC896" s="52" t="str">
        <f>IF(Table5[[#This Row],[Ovr]]="","",IF(Table5[[#This Row],[cmbList]]="","",Table5[[#This Row],[cmbList]]-Table5[[#This Row],[Ovr]]))</f>
        <v/>
      </c>
      <c r="AD896" s="56" t="str">
        <f>IF(ISERROR(VLOOKUP($AB896&amp;"-"&amp;$E896&amp;" "&amp;F896,Bonuses!$B$1:$G$1006,4,FALSE)),"",INT(VLOOKUP($AB896&amp;"-"&amp;$E896&amp;" "&amp;$F896,Bonuses!$B$1:$G$1006,4,FALSE)))</f>
        <v/>
      </c>
      <c r="AE8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7" spans="1:31" s="52" customFormat="1" x14ac:dyDescent="0.25">
      <c r="A897" s="52">
        <v>5963</v>
      </c>
      <c r="B897" s="52">
        <f>COUNTIF(Table5[PID],A897)</f>
        <v>1</v>
      </c>
      <c r="C897" s="52" t="str">
        <f>IF(COUNTIF(Table3[[#All],[PID]],A897)&gt;0,"P","B")</f>
        <v>B</v>
      </c>
      <c r="D897" s="61" t="str">
        <f>IF($C897="B",INDEX(Batters[[#All],[POS]],MATCH(Table5[[#This Row],[PID]],Batters[[#All],[PID]],0)),INDEX(Table3[[#All],[POS]],MATCH(Table5[[#This Row],[PID]],Table3[[#All],[PID]],0)))</f>
        <v>2B</v>
      </c>
      <c r="E897" s="54" t="str">
        <f>IF($C897="B",INDEX(Batters[[#All],[First]],MATCH(Table5[[#This Row],[PID]],Batters[[#All],[PID]],0)),INDEX(Table3[[#All],[First]],MATCH(Table5[[#This Row],[PID]],Table3[[#All],[PID]],0)))</f>
        <v>Augusto</v>
      </c>
      <c r="F897" s="52" t="str">
        <f>IF($C897="B",INDEX(Batters[[#All],[Last]],MATCH(A897,Batters[[#All],[PID]],0)),INDEX(Table3[[#All],[Last]],MATCH(A897,Table3[[#All],[PID]],0)))</f>
        <v>Pacheco</v>
      </c>
      <c r="G897" s="58">
        <f>IF($C897="B",INDEX(Batters[[#All],[Age]],MATCH(Table5[[#This Row],[PID]],Batters[[#All],[PID]],0)),INDEX(Table3[[#All],[Age]],MATCH(Table5[[#This Row],[PID]],Table3[[#All],[PID]],0)))</f>
        <v>18</v>
      </c>
      <c r="H897" s="54" t="str">
        <f>IF($C897="B",INDEX(Batters[[#All],[B]],MATCH(Table5[[#This Row],[PID]],Batters[[#All],[PID]],0)),INDEX(Table3[[#All],[B]],MATCH(Table5[[#This Row],[PID]],Table3[[#All],[PID]],0)))</f>
        <v>R</v>
      </c>
      <c r="I897" s="54" t="str">
        <f>IF($C897="B",INDEX(Batters[[#All],[T]],MATCH(Table5[[#This Row],[PID]],Batters[[#All],[PID]],0)),INDEX(Table3[[#All],[T]],MATCH(Table5[[#This Row],[PID]],Table3[[#All],[PID]],0)))</f>
        <v>R</v>
      </c>
      <c r="J897" s="54" t="str">
        <f>IF($C897="B",INDEX(Batters[[#All],[WE]],MATCH(Table5[[#This Row],[PID]],Batters[[#All],[PID]],0)),INDEX(Table3[[#All],[WE]],MATCH(Table5[[#This Row],[PID]],Table3[[#All],[PID]],0)))</f>
        <v>Normal</v>
      </c>
      <c r="K897" s="54" t="str">
        <f>IF($C897="B",INDEX(Batters[[#All],[INT]],MATCH(Table5[[#This Row],[PID]],Batters[[#All],[PID]],0)),INDEX(Table3[[#All],[INT]],MATCH(Table5[[#This Row],[PID]],Table3[[#All],[PID]],0)))</f>
        <v>Low</v>
      </c>
      <c r="L897" s="62">
        <f>IF($C897="B",INDEX(Batters[[#All],[CON P]],MATCH(Table5[[#This Row],[PID]],Batters[[#All],[PID]],0)),INDEX(Table3[[#All],[STU P]],MATCH(Table5[[#This Row],[PID]],Table3[[#All],[PID]],0)))</f>
        <v>2</v>
      </c>
      <c r="M897" s="58">
        <f>IF($C897="B",INDEX(Batters[[#All],[GAP P]],MATCH(Table5[[#This Row],[PID]],Batters[[#All],[PID]],0)),INDEX(Table3[[#All],[MOV P]],MATCH(Table5[[#This Row],[PID]],Table3[[#All],[PID]],0)))</f>
        <v>3</v>
      </c>
      <c r="N897" s="58">
        <f>IF($C897="B",INDEX(Batters[[#All],[POW P]],MATCH(Table5[[#This Row],[PID]],Batters[[#All],[PID]],0)),INDEX(Table3[[#All],[CON P]],MATCH(Table5[[#This Row],[PID]],Table3[[#All],[PID]],0)))</f>
        <v>3</v>
      </c>
      <c r="O897" s="58">
        <f>IF($C897="B",INDEX(Batters[[#All],[EYE P]],MATCH(Table5[[#This Row],[PID]],Batters[[#All],[PID]],0)),INDEX(Table3[[#All],[VELO]],MATCH(Table5[[#This Row],[PID]],Table3[[#All],[PID]],0)))</f>
        <v>3</v>
      </c>
      <c r="P897" s="58">
        <f>IF($C897="B",INDEX(Batters[[#All],[K P]],MATCH(Table5[[#This Row],[PID]],Batters[[#All],[PID]],0)),INDEX(Table3[[#All],[STM]],MATCH(Table5[[#This Row],[PID]],Table3[[#All],[PID]],0)))</f>
        <v>4</v>
      </c>
      <c r="Q897" s="63">
        <f>IF($C897="B",INDEX(Batters[[#All],[Tot]],MATCH(Table5[[#This Row],[PID]],Batters[[#All],[PID]],0)),INDEX(Table3[[#All],[Tot]],MATCH(Table5[[#This Row],[PID]],Table3[[#All],[PID]],0)))</f>
        <v>36.004285385321666</v>
      </c>
      <c r="R897" s="54">
        <f>IF($C897="B",INDEX(Batters[[#All],[zScore]],MATCH(Table5[[#This Row],[PID]],Batters[[#All],[PID]],0)),INDEX(Table3[[#All],[zScore]],MATCH(Table5[[#This Row],[PID]],Table3[[#All],[PID]],0)))</f>
        <v>-0.76429123783261332</v>
      </c>
      <c r="S897" s="60" t="str">
        <f>IF($C897="B",INDEX(Batters[[#All],[DEM]],MATCH(Table5[[#This Row],[PID]],Batters[[#All],[PID]],0)),INDEX(Table3[[#All],[DEM]],MATCH(Table5[[#This Row],[PID]],Table3[[#All],[PID]],0)))</f>
        <v>$65k</v>
      </c>
      <c r="T897" s="64">
        <f>IF($C897="B",VLOOKUP($A897,Bat!$A$4:$AU$1417,46,FALSE),VLOOKUP($A897,Pit!$A$4:$BD$570,55,FALSE))</f>
        <v>0</v>
      </c>
      <c r="U897" s="52">
        <f>IF($C897="B",VLOOKUP($A897,Bat!$A$4:$BA$1417,47,FALSE),VLOOKUP($A897,Pit!$A$4:$BF$570,56,FALSE))</f>
        <v>0</v>
      </c>
      <c r="V897" s="52">
        <f>IF($C897="B",VLOOKUP($A897,Bat!$A$4:$BA$1417,48,FALSE),VLOOKUP($A897,Pit!$A$4:$BF$570,57,FALSE))</f>
        <v>0</v>
      </c>
      <c r="W897" s="52">
        <f>Table5[[#This Row],[posRnk]]+Table5[[#This Row],[zRnk]]+IF($W$3&lt;&gt;Table5[[#This Row],[Type]],50,0)</f>
        <v>943</v>
      </c>
      <c r="X897" s="53">
        <f>RANK(Table5[[#This Row],[zScore]],Table5[[#All],[zScore]])</f>
        <v>893</v>
      </c>
      <c r="Y897" s="52" t="str">
        <f>IFERROR(INDEX(DraftResults[[#All],[OVR]],MATCH(Table5[[#This Row],[PID]],DraftResults[[#All],[Player ID]],0)),"")</f>
        <v/>
      </c>
      <c r="Z8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7" s="52" t="str">
        <f>IFERROR(INDEX(DraftResults[[#All],[Pick in Round]],MATCH(Table5[[#This Row],[PID]],DraftResults[[#All],[Player ID]],0)),"")</f>
        <v/>
      </c>
      <c r="AB897" s="52" t="str">
        <f>IFERROR(INDEX(DraftResults[[#All],[Team Name]],MATCH(Table5[[#This Row],[PID]],DraftResults[[#All],[Player ID]],0)),"")</f>
        <v/>
      </c>
      <c r="AC897" s="52" t="str">
        <f>IF(Table5[[#This Row],[Ovr]]="","",IF(Table5[[#This Row],[cmbList]]="","",Table5[[#This Row],[cmbList]]-Table5[[#This Row],[Ovr]]))</f>
        <v/>
      </c>
      <c r="AD897" s="56" t="str">
        <f>IF(ISERROR(VLOOKUP($AB897&amp;"-"&amp;$E897&amp;" "&amp;F897,Bonuses!$B$1:$G$1006,4,FALSE)),"",INT(VLOOKUP($AB897&amp;"-"&amp;$E897&amp;" "&amp;$F897,Bonuses!$B$1:$G$1006,4,FALSE)))</f>
        <v/>
      </c>
      <c r="AE8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8" spans="1:31" s="52" customFormat="1" x14ac:dyDescent="0.25">
      <c r="A898" s="52">
        <v>4400</v>
      </c>
      <c r="B898" s="52">
        <f>COUNTIF(Table5[PID],A898)</f>
        <v>1</v>
      </c>
      <c r="C898" s="52" t="str">
        <f>IF(COUNTIF(Table3[[#All],[PID]],A898)&gt;0,"P","B")</f>
        <v>P</v>
      </c>
      <c r="D898" s="61" t="str">
        <f>IF($C898="B",INDEX(Batters[[#All],[POS]],MATCH(Table5[[#This Row],[PID]],Batters[[#All],[PID]],0)),INDEX(Table3[[#All],[POS]],MATCH(Table5[[#This Row],[PID]],Table3[[#All],[PID]],0)))</f>
        <v>SP</v>
      </c>
      <c r="E898" s="54" t="str">
        <f>IF($C898="B",INDEX(Batters[[#All],[First]],MATCH(Table5[[#This Row],[PID]],Batters[[#All],[PID]],0)),INDEX(Table3[[#All],[First]],MATCH(Table5[[#This Row],[PID]],Table3[[#All],[PID]],0)))</f>
        <v>Paul</v>
      </c>
      <c r="F898" s="52" t="str">
        <f>IF($C898="B",INDEX(Batters[[#All],[Last]],MATCH(A898,Batters[[#All],[PID]],0)),INDEX(Table3[[#All],[Last]],MATCH(A898,Table3[[#All],[PID]],0)))</f>
        <v>Chasco</v>
      </c>
      <c r="G898" s="58">
        <f>IF($C898="B",INDEX(Batters[[#All],[Age]],MATCH(Table5[[#This Row],[PID]],Batters[[#All],[PID]],0)),INDEX(Table3[[#All],[Age]],MATCH(Table5[[#This Row],[PID]],Table3[[#All],[PID]],0)))</f>
        <v>22</v>
      </c>
      <c r="H898" s="54" t="str">
        <f>IF($C898="B",INDEX(Batters[[#All],[B]],MATCH(Table5[[#This Row],[PID]],Batters[[#All],[PID]],0)),INDEX(Table3[[#All],[B]],MATCH(Table5[[#This Row],[PID]],Table3[[#All],[PID]],0)))</f>
        <v>R</v>
      </c>
      <c r="I898" s="54" t="str">
        <f>IF($C898="B",INDEX(Batters[[#All],[T]],MATCH(Table5[[#This Row],[PID]],Batters[[#All],[PID]],0)),INDEX(Table3[[#All],[T]],MATCH(Table5[[#This Row],[PID]],Table3[[#All],[PID]],0)))</f>
        <v>R</v>
      </c>
      <c r="J898" s="54" t="str">
        <f>IF($C898="B",INDEX(Batters[[#All],[WE]],MATCH(Table5[[#This Row],[PID]],Batters[[#All],[PID]],0)),INDEX(Table3[[#All],[WE]],MATCH(Table5[[#This Row],[PID]],Table3[[#All],[PID]],0)))</f>
        <v>Normal</v>
      </c>
      <c r="K898" s="54" t="str">
        <f>IF($C898="B",INDEX(Batters[[#All],[INT]],MATCH(Table5[[#This Row],[PID]],Batters[[#All],[PID]],0)),INDEX(Table3[[#All],[INT]],MATCH(Table5[[#This Row],[PID]],Table3[[#All],[PID]],0)))</f>
        <v>Low</v>
      </c>
      <c r="L898" s="62">
        <f>IF($C898="B",INDEX(Batters[[#All],[CON P]],MATCH(Table5[[#This Row],[PID]],Batters[[#All],[PID]],0)),INDEX(Table3[[#All],[STU P]],MATCH(Table5[[#This Row],[PID]],Table3[[#All],[PID]],0)))</f>
        <v>4</v>
      </c>
      <c r="M898" s="58">
        <f>IF($C898="B",INDEX(Batters[[#All],[GAP P]],MATCH(Table5[[#This Row],[PID]],Batters[[#All],[PID]],0)),INDEX(Table3[[#All],[MOV P]],MATCH(Table5[[#This Row],[PID]],Table3[[#All],[PID]],0)))</f>
        <v>2</v>
      </c>
      <c r="N898" s="58">
        <f>IF($C898="B",INDEX(Batters[[#All],[POW P]],MATCH(Table5[[#This Row],[PID]],Batters[[#All],[PID]],0)),INDEX(Table3[[#All],[CON P]],MATCH(Table5[[#This Row],[PID]],Table3[[#All],[PID]],0)))</f>
        <v>2</v>
      </c>
      <c r="O898" s="58" t="str">
        <f>IF($C898="B",INDEX(Batters[[#All],[EYE P]],MATCH(Table5[[#This Row],[PID]],Batters[[#All],[PID]],0)),INDEX(Table3[[#All],[VELO]],MATCH(Table5[[#This Row],[PID]],Table3[[#All],[PID]],0)))</f>
        <v>90-92 Mph</v>
      </c>
      <c r="P898" s="58">
        <f>IF($C898="B",INDEX(Batters[[#All],[K P]],MATCH(Table5[[#This Row],[PID]],Batters[[#All],[PID]],0)),INDEX(Table3[[#All],[STM]],MATCH(Table5[[#This Row],[PID]],Table3[[#All],[PID]],0)))</f>
        <v>7</v>
      </c>
      <c r="Q898" s="63">
        <f>IF($C898="B",INDEX(Batters[[#All],[Tot]],MATCH(Table5[[#This Row],[PID]],Batters[[#All],[PID]],0)),INDEX(Table3[[#All],[Tot]],MATCH(Table5[[#This Row],[PID]],Table3[[#All],[PID]],0)))</f>
        <v>24.352927249428348</v>
      </c>
      <c r="R898" s="54">
        <f>IF($C898="B",INDEX(Batters[[#All],[zScore]],MATCH(Table5[[#This Row],[PID]],Batters[[#All],[PID]],0)),INDEX(Table3[[#All],[zScore]],MATCH(Table5[[#This Row],[PID]],Table3[[#All],[PID]],0)))</f>
        <v>-0.76750274578573496</v>
      </c>
      <c r="S898" s="60" t="str">
        <f>IF($C898="B",INDEX(Batters[[#All],[DEM]],MATCH(Table5[[#This Row],[PID]],Batters[[#All],[PID]],0)),INDEX(Table3[[#All],[DEM]],MATCH(Table5[[#This Row],[PID]],Table3[[#All],[PID]],0)))</f>
        <v>-</v>
      </c>
      <c r="T898" s="64">
        <f>IF($C898="B",VLOOKUP($A898,Bat!$A$4:$AU$1417,46,FALSE),VLOOKUP($A898,Pit!$A$4:$BD$570,55,FALSE))</f>
        <v>0</v>
      </c>
      <c r="U898" s="52">
        <f>IF($C898="B",VLOOKUP($A898,Bat!$A$4:$BA$1417,47,FALSE),VLOOKUP($A898,Pit!$A$4:$BF$570,56,FALSE))</f>
        <v>0</v>
      </c>
      <c r="V898" s="52">
        <f>IF($C898="B",VLOOKUP($A898,Bat!$A$4:$BA$1417,48,FALSE),VLOOKUP($A898,Pit!$A$4:$BF$570,57,FALSE))</f>
        <v>0</v>
      </c>
      <c r="W898" s="52">
        <f>Table5[[#This Row],[posRnk]]+Table5[[#This Row],[zRnk]]+IF($W$3&lt;&gt;Table5[[#This Row],[Type]],50,0)</f>
        <v>944</v>
      </c>
      <c r="X898" s="53">
        <f>RANK(Table5[[#This Row],[zScore]],Table5[[#All],[zScore]])</f>
        <v>894</v>
      </c>
      <c r="Y898" s="52" t="str">
        <f>IFERROR(INDEX(DraftResults[[#All],[OVR]],MATCH(Table5[[#This Row],[PID]],DraftResults[[#All],[Player ID]],0)),"")</f>
        <v/>
      </c>
      <c r="Z8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8" s="52" t="str">
        <f>IFERROR(INDEX(DraftResults[[#All],[Pick in Round]],MATCH(Table5[[#This Row],[PID]],DraftResults[[#All],[Player ID]],0)),"")</f>
        <v/>
      </c>
      <c r="AB898" s="52" t="str">
        <f>IFERROR(INDEX(DraftResults[[#All],[Team Name]],MATCH(Table5[[#This Row],[PID]],DraftResults[[#All],[Player ID]],0)),"")</f>
        <v/>
      </c>
      <c r="AC898" s="52" t="str">
        <f>IF(Table5[[#This Row],[Ovr]]="","",IF(Table5[[#This Row],[cmbList]]="","",Table5[[#This Row],[cmbList]]-Table5[[#This Row],[Ovr]]))</f>
        <v/>
      </c>
      <c r="AD898" s="56" t="str">
        <f>IF(ISERROR(VLOOKUP($AB898&amp;"-"&amp;$E898&amp;" "&amp;F898,Bonuses!$B$1:$G$1006,4,FALSE)),"",INT(VLOOKUP($AB898&amp;"-"&amp;$E898&amp;" "&amp;$F898,Bonuses!$B$1:$G$1006,4,FALSE)))</f>
        <v/>
      </c>
      <c r="AE8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9" spans="1:31" s="52" customFormat="1" x14ac:dyDescent="0.25">
      <c r="A899" s="52">
        <v>8091</v>
      </c>
      <c r="B899" s="57">
        <f>COUNTIF(Table5[PID],A899)</f>
        <v>1</v>
      </c>
      <c r="C899" s="57" t="str">
        <f>IF(COUNTIF(Table3[[#All],[PID]],A899)&gt;0,"P","B")</f>
        <v>B</v>
      </c>
      <c r="D899" s="61" t="str">
        <f>IF($C899="B",INDEX(Batters[[#All],[POS]],MATCH(Table5[[#This Row],[PID]],Batters[[#All],[PID]],0)),INDEX(Table3[[#All],[POS]],MATCH(Table5[[#This Row],[PID]],Table3[[#All],[PID]],0)))</f>
        <v>RF</v>
      </c>
      <c r="E899" s="54" t="str">
        <f>IF($C899="B",INDEX(Batters[[#All],[First]],MATCH(Table5[[#This Row],[PID]],Batters[[#All],[PID]],0)),INDEX(Table3[[#All],[First]],MATCH(Table5[[#This Row],[PID]],Table3[[#All],[PID]],0)))</f>
        <v>Bernard</v>
      </c>
      <c r="F899" s="52" t="str">
        <f>IF($C899="B",INDEX(Batters[[#All],[Last]],MATCH(A899,Batters[[#All],[PID]],0)),INDEX(Table3[[#All],[Last]],MATCH(A899,Table3[[#All],[PID]],0)))</f>
        <v>Brown</v>
      </c>
      <c r="G899" s="58">
        <f>IF($C899="B",INDEX(Batters[[#All],[Age]],MATCH(Table5[[#This Row],[PID]],Batters[[#All],[PID]],0)),INDEX(Table3[[#All],[Age]],MATCH(Table5[[#This Row],[PID]],Table3[[#All],[PID]],0)))</f>
        <v>21</v>
      </c>
      <c r="H899" s="54" t="str">
        <f>IF($C899="B",INDEX(Batters[[#All],[B]],MATCH(Table5[[#This Row],[PID]],Batters[[#All],[PID]],0)),INDEX(Table3[[#All],[B]],MATCH(Table5[[#This Row],[PID]],Table3[[#All],[PID]],0)))</f>
        <v>L</v>
      </c>
      <c r="I899" s="54" t="str">
        <f>IF($C899="B",INDEX(Batters[[#All],[T]],MATCH(Table5[[#This Row],[PID]],Batters[[#All],[PID]],0)),INDEX(Table3[[#All],[T]],MATCH(Table5[[#This Row],[PID]],Table3[[#All],[PID]],0)))</f>
        <v>L</v>
      </c>
      <c r="J899" s="54" t="str">
        <f>IF($C899="B",INDEX(Batters[[#All],[WE]],MATCH(Table5[[#This Row],[PID]],Batters[[#All],[PID]],0)),INDEX(Table3[[#All],[WE]],MATCH(Table5[[#This Row],[PID]],Table3[[#All],[PID]],0)))</f>
        <v>Low</v>
      </c>
      <c r="K899" s="54" t="str">
        <f>IF($C899="B",INDEX(Batters[[#All],[INT]],MATCH(Table5[[#This Row],[PID]],Batters[[#All],[PID]],0)),INDEX(Table3[[#All],[INT]],MATCH(Table5[[#This Row],[PID]],Table3[[#All],[PID]],0)))</f>
        <v>Normal</v>
      </c>
      <c r="L899" s="62">
        <f>IF($C899="B",INDEX(Batters[[#All],[CON P]],MATCH(Table5[[#This Row],[PID]],Batters[[#All],[PID]],0)),INDEX(Table3[[#All],[STU P]],MATCH(Table5[[#This Row],[PID]],Table3[[#All],[PID]],0)))</f>
        <v>3</v>
      </c>
      <c r="M899" s="58">
        <f>IF($C899="B",INDEX(Batters[[#All],[GAP P]],MATCH(Table5[[#This Row],[PID]],Batters[[#All],[PID]],0)),INDEX(Table3[[#All],[MOV P]],MATCH(Table5[[#This Row],[PID]],Table3[[#All],[PID]],0)))</f>
        <v>3</v>
      </c>
      <c r="N899" s="58">
        <f>IF($C899="B",INDEX(Batters[[#All],[POW P]],MATCH(Table5[[#This Row],[PID]],Batters[[#All],[PID]],0)),INDEX(Table3[[#All],[CON P]],MATCH(Table5[[#This Row],[PID]],Table3[[#All],[PID]],0)))</f>
        <v>4</v>
      </c>
      <c r="O899" s="58">
        <f>IF($C899="B",INDEX(Batters[[#All],[EYE P]],MATCH(Table5[[#This Row],[PID]],Batters[[#All],[PID]],0)),INDEX(Table3[[#All],[VELO]],MATCH(Table5[[#This Row],[PID]],Table3[[#All],[PID]],0)))</f>
        <v>4</v>
      </c>
      <c r="P899" s="58">
        <f>IF($C899="B",INDEX(Batters[[#All],[K P]],MATCH(Table5[[#This Row],[PID]],Batters[[#All],[PID]],0)),INDEX(Table3[[#All],[STM]],MATCH(Table5[[#This Row],[PID]],Table3[[#All],[PID]],0)))</f>
        <v>4</v>
      </c>
      <c r="Q899" s="63">
        <f>IF($C899="B",INDEX(Batters[[#All],[Tot]],MATCH(Table5[[#This Row],[PID]],Batters[[#All],[PID]],0)),INDEX(Table3[[#All],[Tot]],MATCH(Table5[[#This Row],[PID]],Table3[[#All],[PID]],0)))</f>
        <v>35.978951557785052</v>
      </c>
      <c r="R899" s="54">
        <f>IF($C899="B",INDEX(Batters[[#All],[zScore]],MATCH(Table5[[#This Row],[PID]],Batters[[#All],[PID]],0)),INDEX(Table3[[#All],[zScore]],MATCH(Table5[[#This Row],[PID]],Table3[[#All],[PID]],0)))</f>
        <v>-0.76874855641137696</v>
      </c>
      <c r="S899" s="60" t="str">
        <f>IF($C899="B",INDEX(Batters[[#All],[DEM]],MATCH(Table5[[#This Row],[PID]],Batters[[#All],[PID]],0)),INDEX(Table3[[#All],[DEM]],MATCH(Table5[[#This Row],[PID]],Table3[[#All],[PID]],0)))</f>
        <v>-</v>
      </c>
      <c r="T899" s="64">
        <f>IF($C899="B",VLOOKUP($A899,Bat!$A$4:$AU$1417,46,FALSE),VLOOKUP($A899,Pit!$A$4:$BD$570,55,FALSE))</f>
        <v>0</v>
      </c>
      <c r="U899" s="52">
        <f>IF($C899="B",VLOOKUP($A899,Bat!$A$4:$BA$1417,47,FALSE),VLOOKUP($A899,Pit!$A$4:$BF$570,56,FALSE))</f>
        <v>0</v>
      </c>
      <c r="V899" s="52">
        <f>IF($C899="B",VLOOKUP($A899,Bat!$A$4:$BA$1417,48,FALSE),VLOOKUP($A899,Pit!$A$4:$BF$570,57,FALSE))</f>
        <v>0</v>
      </c>
      <c r="W899" s="52">
        <f>Table5[[#This Row],[posRnk]]+Table5[[#This Row],[zRnk]]+IF($W$3&lt;&gt;Table5[[#This Row],[Type]],50,0)</f>
        <v>945</v>
      </c>
      <c r="X899" s="53">
        <f>RANK(Table5[[#This Row],[zScore]],Table5[[#All],[zScore]])</f>
        <v>895</v>
      </c>
      <c r="Y899" s="52" t="str">
        <f>IFERROR(INDEX(DraftResults[[#All],[OVR]],MATCH(Table5[[#This Row],[PID]],DraftResults[[#All],[Player ID]],0)),"")</f>
        <v/>
      </c>
      <c r="Z8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9" s="52" t="str">
        <f>IFERROR(INDEX(DraftResults[[#All],[Pick in Round]],MATCH(Table5[[#This Row],[PID]],DraftResults[[#All],[Player ID]],0)),"")</f>
        <v/>
      </c>
      <c r="AB899" s="52" t="str">
        <f>IFERROR(INDEX(DraftResults[[#All],[Team Name]],MATCH(Table5[[#This Row],[PID]],DraftResults[[#All],[Player ID]],0)),"")</f>
        <v/>
      </c>
      <c r="AC899" s="52" t="str">
        <f>IF(Table5[[#This Row],[Ovr]]="","",IF(Table5[[#This Row],[cmbList]]="","",Table5[[#This Row],[cmbList]]-Table5[[#This Row],[Ovr]]))</f>
        <v/>
      </c>
      <c r="AD899" s="56" t="str">
        <f>IF(ISERROR(VLOOKUP($AB899&amp;"-"&amp;$E899&amp;" "&amp;F899,Bonuses!$B$1:$G$1006,4,FALSE)),"",INT(VLOOKUP($AB899&amp;"-"&amp;$E899&amp;" "&amp;$F899,Bonuses!$B$1:$G$1006,4,FALSE)))</f>
        <v/>
      </c>
      <c r="AE8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0" spans="1:31" s="52" customFormat="1" x14ac:dyDescent="0.25">
      <c r="A900" s="52">
        <v>9888</v>
      </c>
      <c r="B900" s="52">
        <f>COUNTIF(Table5[PID],A900)</f>
        <v>1</v>
      </c>
      <c r="C900" s="52" t="str">
        <f>IF(COUNTIF(Table3[[#All],[PID]],A900)&gt;0,"P","B")</f>
        <v>P</v>
      </c>
      <c r="D900" s="61" t="str">
        <f>IF($C900="B",INDEX(Batters[[#All],[POS]],MATCH(Table5[[#This Row],[PID]],Batters[[#All],[PID]],0)),INDEX(Table3[[#All],[POS]],MATCH(Table5[[#This Row],[PID]],Table3[[#All],[PID]],0)))</f>
        <v>SP</v>
      </c>
      <c r="E900" s="54" t="str">
        <f>IF($C900="B",INDEX(Batters[[#All],[First]],MATCH(Table5[[#This Row],[PID]],Batters[[#All],[PID]],0)),INDEX(Table3[[#All],[First]],MATCH(Table5[[#This Row],[PID]],Table3[[#All],[PID]],0)))</f>
        <v>Alex</v>
      </c>
      <c r="F900" s="52" t="str">
        <f>IF($C900="B",INDEX(Batters[[#All],[Last]],MATCH(A900,Batters[[#All],[PID]],0)),INDEX(Table3[[#All],[Last]],MATCH(A900,Table3[[#All],[PID]],0)))</f>
        <v>George</v>
      </c>
      <c r="G900" s="58">
        <f>IF($C900="B",INDEX(Batters[[#All],[Age]],MATCH(Table5[[#This Row],[PID]],Batters[[#All],[PID]],0)),INDEX(Table3[[#All],[Age]],MATCH(Table5[[#This Row],[PID]],Table3[[#All],[PID]],0)))</f>
        <v>20</v>
      </c>
      <c r="H900" s="54" t="str">
        <f>IF($C900="B",INDEX(Batters[[#All],[B]],MATCH(Table5[[#This Row],[PID]],Batters[[#All],[PID]],0)),INDEX(Table3[[#All],[B]],MATCH(Table5[[#This Row],[PID]],Table3[[#All],[PID]],0)))</f>
        <v>S</v>
      </c>
      <c r="I900" s="54" t="str">
        <f>IF($C900="B",INDEX(Batters[[#All],[T]],MATCH(Table5[[#This Row],[PID]],Batters[[#All],[PID]],0)),INDEX(Table3[[#All],[T]],MATCH(Table5[[#This Row],[PID]],Table3[[#All],[PID]],0)))</f>
        <v>R</v>
      </c>
      <c r="J900" s="54" t="str">
        <f>IF($C900="B",INDEX(Batters[[#All],[WE]],MATCH(Table5[[#This Row],[PID]],Batters[[#All],[PID]],0)),INDEX(Table3[[#All],[WE]],MATCH(Table5[[#This Row],[PID]],Table3[[#All],[PID]],0)))</f>
        <v>Low</v>
      </c>
      <c r="K900" s="54" t="str">
        <f>IF($C900="B",INDEX(Batters[[#All],[INT]],MATCH(Table5[[#This Row],[PID]],Batters[[#All],[PID]],0)),INDEX(Table3[[#All],[INT]],MATCH(Table5[[#This Row],[PID]],Table3[[#All],[PID]],0)))</f>
        <v>Low</v>
      </c>
      <c r="L900" s="62">
        <f>IF($C900="B",INDEX(Batters[[#All],[CON P]],MATCH(Table5[[#This Row],[PID]],Batters[[#All],[PID]],0)),INDEX(Table3[[#All],[STU P]],MATCH(Table5[[#This Row],[PID]],Table3[[#All],[PID]],0)))</f>
        <v>4</v>
      </c>
      <c r="M900" s="58">
        <f>IF($C900="B",INDEX(Batters[[#All],[GAP P]],MATCH(Table5[[#This Row],[PID]],Batters[[#All],[PID]],0)),INDEX(Table3[[#All],[MOV P]],MATCH(Table5[[#This Row],[PID]],Table3[[#All],[PID]],0)))</f>
        <v>3</v>
      </c>
      <c r="N900" s="58">
        <f>IF($C900="B",INDEX(Batters[[#All],[POW P]],MATCH(Table5[[#This Row],[PID]],Batters[[#All],[PID]],0)),INDEX(Table3[[#All],[CON P]],MATCH(Table5[[#This Row],[PID]],Table3[[#All],[PID]],0)))</f>
        <v>1</v>
      </c>
      <c r="O900" s="58" t="str">
        <f>IF($C900="B",INDEX(Batters[[#All],[EYE P]],MATCH(Table5[[#This Row],[PID]],Batters[[#All],[PID]],0)),INDEX(Table3[[#All],[VELO]],MATCH(Table5[[#This Row],[PID]],Table3[[#All],[PID]],0)))</f>
        <v>88-90 Mph</v>
      </c>
      <c r="P900" s="58">
        <f>IF($C900="B",INDEX(Batters[[#All],[K P]],MATCH(Table5[[#This Row],[PID]],Batters[[#All],[PID]],0)),INDEX(Table3[[#All],[STM]],MATCH(Table5[[#This Row],[PID]],Table3[[#All],[PID]],0)))</f>
        <v>7</v>
      </c>
      <c r="Q900" s="63">
        <f>IF($C900="B",INDEX(Batters[[#All],[Tot]],MATCH(Table5[[#This Row],[PID]],Batters[[#All],[PID]],0)),INDEX(Table3[[#All],[Tot]],MATCH(Table5[[#This Row],[PID]],Table3[[#All],[PID]],0)))</f>
        <v>24.316686143736426</v>
      </c>
      <c r="R900" s="54">
        <f>IF($C900="B",INDEX(Batters[[#All],[zScore]],MATCH(Table5[[#This Row],[PID]],Batters[[#All],[PID]],0)),INDEX(Table3[[#All],[zScore]],MATCH(Table5[[#This Row],[PID]],Table3[[#All],[PID]],0)))</f>
        <v>-0.7708262100754254</v>
      </c>
      <c r="S900" s="60" t="str">
        <f>IF($C900="B",INDEX(Batters[[#All],[DEM]],MATCH(Table5[[#This Row],[PID]],Batters[[#All],[PID]],0)),INDEX(Table3[[#All],[DEM]],MATCH(Table5[[#This Row],[PID]],Table3[[#All],[PID]],0)))</f>
        <v>-</v>
      </c>
      <c r="T900" s="64">
        <f>IF($C900="B",VLOOKUP($A900,Bat!$A$4:$AU$1417,46,FALSE),VLOOKUP($A900,Pit!$A$4:$BD$570,55,FALSE))</f>
        <v>0</v>
      </c>
      <c r="U900" s="52">
        <f>IF($C900="B",VLOOKUP($A900,Bat!$A$4:$BA$1417,47,FALSE),VLOOKUP($A900,Pit!$A$4:$BF$570,56,FALSE))</f>
        <v>0</v>
      </c>
      <c r="V900" s="52">
        <f>IF($C900="B",VLOOKUP($A900,Bat!$A$4:$BA$1417,48,FALSE),VLOOKUP($A900,Pit!$A$4:$BF$570,57,FALSE))</f>
        <v>0</v>
      </c>
      <c r="W900" s="52">
        <f>Table5[[#This Row],[posRnk]]+Table5[[#This Row],[zRnk]]+IF($W$3&lt;&gt;Table5[[#This Row],[Type]],50,0)</f>
        <v>946</v>
      </c>
      <c r="X900" s="53">
        <f>RANK(Table5[[#This Row],[zScore]],Table5[[#All],[zScore]])</f>
        <v>896</v>
      </c>
      <c r="Y900" s="52" t="str">
        <f>IFERROR(INDEX(DraftResults[[#All],[OVR]],MATCH(Table5[[#This Row],[PID]],DraftResults[[#All],[Player ID]],0)),"")</f>
        <v/>
      </c>
      <c r="Z9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0" s="52" t="str">
        <f>IFERROR(INDEX(DraftResults[[#All],[Pick in Round]],MATCH(Table5[[#This Row],[PID]],DraftResults[[#All],[Player ID]],0)),"")</f>
        <v/>
      </c>
      <c r="AB900" s="52" t="str">
        <f>IFERROR(INDEX(DraftResults[[#All],[Team Name]],MATCH(Table5[[#This Row],[PID]],DraftResults[[#All],[Player ID]],0)),"")</f>
        <v/>
      </c>
      <c r="AC900" s="52" t="str">
        <f>IF(Table5[[#This Row],[Ovr]]="","",IF(Table5[[#This Row],[cmbList]]="","",Table5[[#This Row],[cmbList]]-Table5[[#This Row],[Ovr]]))</f>
        <v/>
      </c>
      <c r="AD900" s="56" t="str">
        <f>IF(ISERROR(VLOOKUP($AB900&amp;"-"&amp;$E900&amp;" "&amp;F900,Bonuses!$B$1:$G$1006,4,FALSE)),"",INT(VLOOKUP($AB900&amp;"-"&amp;$E900&amp;" "&amp;$F900,Bonuses!$B$1:$G$1006,4,FALSE)))</f>
        <v/>
      </c>
      <c r="AE9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1" spans="1:31" s="52" customFormat="1" x14ac:dyDescent="0.25">
      <c r="A901" s="52">
        <v>10617</v>
      </c>
      <c r="B901" s="52">
        <f>COUNTIF(Table5[PID],A901)</f>
        <v>1</v>
      </c>
      <c r="C901" s="52" t="str">
        <f>IF(COUNTIF(Table3[[#All],[PID]],A901)&gt;0,"P","B")</f>
        <v>P</v>
      </c>
      <c r="D901" s="61" t="str">
        <f>IF($C901="B",INDEX(Batters[[#All],[POS]],MATCH(Table5[[#This Row],[PID]],Batters[[#All],[PID]],0)),INDEX(Table3[[#All],[POS]],MATCH(Table5[[#This Row],[PID]],Table3[[#All],[PID]],0)))</f>
        <v>RP</v>
      </c>
      <c r="E901" s="54" t="str">
        <f>IF($C901="B",INDEX(Batters[[#All],[First]],MATCH(Table5[[#This Row],[PID]],Batters[[#All],[PID]],0)),INDEX(Table3[[#All],[First]],MATCH(Table5[[#This Row],[PID]],Table3[[#All],[PID]],0)))</f>
        <v>Luis</v>
      </c>
      <c r="F901" s="52" t="str">
        <f>IF($C901="B",INDEX(Batters[[#All],[Last]],MATCH(A901,Batters[[#All],[PID]],0)),INDEX(Table3[[#All],[Last]],MATCH(A901,Table3[[#All],[PID]],0)))</f>
        <v>Camarillo</v>
      </c>
      <c r="G901" s="58">
        <f>IF($C901="B",INDEX(Batters[[#All],[Age]],MATCH(Table5[[#This Row],[PID]],Batters[[#All],[PID]],0)),INDEX(Table3[[#All],[Age]],MATCH(Table5[[#This Row],[PID]],Table3[[#All],[PID]],0)))</f>
        <v>22</v>
      </c>
      <c r="H901" s="54" t="str">
        <f>IF($C901="B",INDEX(Batters[[#All],[B]],MATCH(Table5[[#This Row],[PID]],Batters[[#All],[PID]],0)),INDEX(Table3[[#All],[B]],MATCH(Table5[[#This Row],[PID]],Table3[[#All],[PID]],0)))</f>
        <v>R</v>
      </c>
      <c r="I901" s="54" t="str">
        <f>IF($C901="B",INDEX(Batters[[#All],[T]],MATCH(Table5[[#This Row],[PID]],Batters[[#All],[PID]],0)),INDEX(Table3[[#All],[T]],MATCH(Table5[[#This Row],[PID]],Table3[[#All],[PID]],0)))</f>
        <v>L</v>
      </c>
      <c r="J901" s="54" t="str">
        <f>IF($C901="B",INDEX(Batters[[#All],[WE]],MATCH(Table5[[#This Row],[PID]],Batters[[#All],[PID]],0)),INDEX(Table3[[#All],[WE]],MATCH(Table5[[#This Row],[PID]],Table3[[#All],[PID]],0)))</f>
        <v>Low</v>
      </c>
      <c r="K901" s="54" t="str">
        <f>IF($C901="B",INDEX(Batters[[#All],[INT]],MATCH(Table5[[#This Row],[PID]],Batters[[#All],[PID]],0)),INDEX(Table3[[#All],[INT]],MATCH(Table5[[#This Row],[PID]],Table3[[#All],[PID]],0)))</f>
        <v>Normal</v>
      </c>
      <c r="L901" s="62">
        <f>IF($C901="B",INDEX(Batters[[#All],[CON P]],MATCH(Table5[[#This Row],[PID]],Batters[[#All],[PID]],0)),INDEX(Table3[[#All],[STU P]],MATCH(Table5[[#This Row],[PID]],Table3[[#All],[PID]],0)))</f>
        <v>4</v>
      </c>
      <c r="M901" s="58">
        <f>IF($C901="B",INDEX(Batters[[#All],[GAP P]],MATCH(Table5[[#This Row],[PID]],Batters[[#All],[PID]],0)),INDEX(Table3[[#All],[MOV P]],MATCH(Table5[[#This Row],[PID]],Table3[[#All],[PID]],0)))</f>
        <v>2</v>
      </c>
      <c r="N901" s="58">
        <f>IF($C901="B",INDEX(Batters[[#All],[POW P]],MATCH(Table5[[#This Row],[PID]],Batters[[#All],[PID]],0)),INDEX(Table3[[#All],[CON P]],MATCH(Table5[[#This Row],[PID]],Table3[[#All],[PID]],0)))</f>
        <v>2</v>
      </c>
      <c r="O901" s="58" t="str">
        <f>IF($C901="B",INDEX(Batters[[#All],[EYE P]],MATCH(Table5[[#This Row],[PID]],Batters[[#All],[PID]],0)),INDEX(Table3[[#All],[VELO]],MATCH(Table5[[#This Row],[PID]],Table3[[#All],[PID]],0)))</f>
        <v>92-94 Mph</v>
      </c>
      <c r="P901" s="58">
        <f>IF($C901="B",INDEX(Batters[[#All],[K P]],MATCH(Table5[[#This Row],[PID]],Batters[[#All],[PID]],0)),INDEX(Table3[[#All],[STM]],MATCH(Table5[[#This Row],[PID]],Table3[[#All],[PID]],0)))</f>
        <v>7</v>
      </c>
      <c r="Q901" s="63">
        <f>IF($C901="B",INDEX(Batters[[#All],[Tot]],MATCH(Table5[[#This Row],[PID]],Batters[[#All],[PID]],0)),INDEX(Table3[[#All],[Tot]],MATCH(Table5[[#This Row],[PID]],Table3[[#All],[PID]],0)))</f>
        <v>24.304463136217525</v>
      </c>
      <c r="R901" s="54">
        <f>IF($C901="B",INDEX(Batters[[#All],[zScore]],MATCH(Table5[[#This Row],[PID]],Batters[[#All],[PID]],0)),INDEX(Table3[[#All],[zScore]],MATCH(Table5[[#This Row],[PID]],Table3[[#All],[PID]],0)))</f>
        <v>-0.77194711210714073</v>
      </c>
      <c r="S901" s="60" t="str">
        <f>IF($C901="B",INDEX(Batters[[#All],[DEM]],MATCH(Table5[[#This Row],[PID]],Batters[[#All],[PID]],0)),INDEX(Table3[[#All],[DEM]],MATCH(Table5[[#This Row],[PID]],Table3[[#All],[PID]],0)))</f>
        <v>-</v>
      </c>
      <c r="T901" s="64">
        <f>IF($C901="B",VLOOKUP($A901,Bat!$A$4:$AU$1417,46,FALSE),VLOOKUP($A901,Pit!$A$4:$BD$570,55,FALSE))</f>
        <v>0</v>
      </c>
      <c r="U901" s="52">
        <f>IF($C901="B",VLOOKUP($A901,Bat!$A$4:$BA$1417,47,FALSE),VLOOKUP($A901,Pit!$A$4:$BF$570,56,FALSE))</f>
        <v>0</v>
      </c>
      <c r="V901" s="52">
        <f>IF($C901="B",VLOOKUP($A901,Bat!$A$4:$BA$1417,48,FALSE),VLOOKUP($A901,Pit!$A$4:$BF$570,57,FALSE))</f>
        <v>0</v>
      </c>
      <c r="W901" s="52">
        <f>Table5[[#This Row],[posRnk]]+Table5[[#This Row],[zRnk]]+IF($W$3&lt;&gt;Table5[[#This Row],[Type]],50,0)</f>
        <v>947</v>
      </c>
      <c r="X901" s="53">
        <f>RANK(Table5[[#This Row],[zScore]],Table5[[#All],[zScore]])</f>
        <v>897</v>
      </c>
      <c r="Y901" s="52" t="str">
        <f>IFERROR(INDEX(DraftResults[[#All],[OVR]],MATCH(Table5[[#This Row],[PID]],DraftResults[[#All],[Player ID]],0)),"")</f>
        <v/>
      </c>
      <c r="Z9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1" s="52" t="str">
        <f>IFERROR(INDEX(DraftResults[[#All],[Pick in Round]],MATCH(Table5[[#This Row],[PID]],DraftResults[[#All],[Player ID]],0)),"")</f>
        <v/>
      </c>
      <c r="AB901" s="52" t="str">
        <f>IFERROR(INDEX(DraftResults[[#All],[Team Name]],MATCH(Table5[[#This Row],[PID]],DraftResults[[#All],[Player ID]],0)),"")</f>
        <v/>
      </c>
      <c r="AC901" s="52" t="str">
        <f>IF(Table5[[#This Row],[Ovr]]="","",IF(Table5[[#This Row],[cmbList]]="","",Table5[[#This Row],[cmbList]]-Table5[[#This Row],[Ovr]]))</f>
        <v/>
      </c>
      <c r="AD901" s="56" t="str">
        <f>IF(ISERROR(VLOOKUP($AB901&amp;"-"&amp;$E901&amp;" "&amp;F901,Bonuses!$B$1:$G$1006,4,FALSE)),"",INT(VLOOKUP($AB901&amp;"-"&amp;$E901&amp;" "&amp;$F901,Bonuses!$B$1:$G$1006,4,FALSE)))</f>
        <v/>
      </c>
      <c r="AE9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2" spans="1:31" s="52" customFormat="1" x14ac:dyDescent="0.25">
      <c r="A902" s="52">
        <v>10339</v>
      </c>
      <c r="B902" s="52">
        <f>COUNTIF(Table5[PID],A902)</f>
        <v>1</v>
      </c>
      <c r="C902" s="52" t="str">
        <f>IF(COUNTIF(Table3[[#All],[PID]],A902)&gt;0,"P","B")</f>
        <v>B</v>
      </c>
      <c r="D902" s="61" t="str">
        <f>IF($C902="B",INDEX(Batters[[#All],[POS]],MATCH(Table5[[#This Row],[PID]],Batters[[#All],[PID]],0)),INDEX(Table3[[#All],[POS]],MATCH(Table5[[#This Row],[PID]],Table3[[#All],[PID]],0)))</f>
        <v>2B</v>
      </c>
      <c r="E902" s="54" t="str">
        <f>IF($C902="B",INDEX(Batters[[#All],[First]],MATCH(Table5[[#This Row],[PID]],Batters[[#All],[PID]],0)),INDEX(Table3[[#All],[First]],MATCH(Table5[[#This Row],[PID]],Table3[[#All],[PID]],0)))</f>
        <v>Katsuhiko</v>
      </c>
      <c r="F902" s="52" t="str">
        <f>IF($C902="B",INDEX(Batters[[#All],[Last]],MATCH(A902,Batters[[#All],[PID]],0)),INDEX(Table3[[#All],[Last]],MATCH(A902,Table3[[#All],[PID]],0)))</f>
        <v>Goto</v>
      </c>
      <c r="G902" s="58">
        <f>IF($C902="B",INDEX(Batters[[#All],[Age]],MATCH(Table5[[#This Row],[PID]],Batters[[#All],[PID]],0)),INDEX(Table3[[#All],[Age]],MATCH(Table5[[#This Row],[PID]],Table3[[#All],[PID]],0)))</f>
        <v>21</v>
      </c>
      <c r="H902" s="54" t="str">
        <f>IF($C902="B",INDEX(Batters[[#All],[B]],MATCH(Table5[[#This Row],[PID]],Batters[[#All],[PID]],0)),INDEX(Table3[[#All],[B]],MATCH(Table5[[#This Row],[PID]],Table3[[#All],[PID]],0)))</f>
        <v>R</v>
      </c>
      <c r="I902" s="54" t="str">
        <f>IF($C902="B",INDEX(Batters[[#All],[T]],MATCH(Table5[[#This Row],[PID]],Batters[[#All],[PID]],0)),INDEX(Table3[[#All],[T]],MATCH(Table5[[#This Row],[PID]],Table3[[#All],[PID]],0)))</f>
        <v>R</v>
      </c>
      <c r="J902" s="54" t="str">
        <f>IF($C902="B",INDEX(Batters[[#All],[WE]],MATCH(Table5[[#This Row],[PID]],Batters[[#All],[PID]],0)),INDEX(Table3[[#All],[WE]],MATCH(Table5[[#This Row],[PID]],Table3[[#All],[PID]],0)))</f>
        <v>Low</v>
      </c>
      <c r="K902" s="54" t="str">
        <f>IF($C902="B",INDEX(Batters[[#All],[INT]],MATCH(Table5[[#This Row],[PID]],Batters[[#All],[PID]],0)),INDEX(Table3[[#All],[INT]],MATCH(Table5[[#This Row],[PID]],Table3[[#All],[PID]],0)))</f>
        <v>High</v>
      </c>
      <c r="L902" s="62">
        <f>IF($C902="B",INDEX(Batters[[#All],[CON P]],MATCH(Table5[[#This Row],[PID]],Batters[[#All],[PID]],0)),INDEX(Table3[[#All],[STU P]],MATCH(Table5[[#This Row],[PID]],Table3[[#All],[PID]],0)))</f>
        <v>3</v>
      </c>
      <c r="M902" s="58">
        <f>IF($C902="B",INDEX(Batters[[#All],[GAP P]],MATCH(Table5[[#This Row],[PID]],Batters[[#All],[PID]],0)),INDEX(Table3[[#All],[MOV P]],MATCH(Table5[[#This Row],[PID]],Table3[[#All],[PID]],0)))</f>
        <v>3</v>
      </c>
      <c r="N902" s="58">
        <f>IF($C902="B",INDEX(Batters[[#All],[POW P]],MATCH(Table5[[#This Row],[PID]],Batters[[#All],[PID]],0)),INDEX(Table3[[#All],[CON P]],MATCH(Table5[[#This Row],[PID]],Table3[[#All],[PID]],0)))</f>
        <v>4</v>
      </c>
      <c r="O902" s="58">
        <f>IF($C902="B",INDEX(Batters[[#All],[EYE P]],MATCH(Table5[[#This Row],[PID]],Batters[[#All],[PID]],0)),INDEX(Table3[[#All],[VELO]],MATCH(Table5[[#This Row],[PID]],Table3[[#All],[PID]],0)))</f>
        <v>4</v>
      </c>
      <c r="P902" s="58">
        <f>IF($C902="B",INDEX(Batters[[#All],[K P]],MATCH(Table5[[#This Row],[PID]],Batters[[#All],[PID]],0)),INDEX(Table3[[#All],[STM]],MATCH(Table5[[#This Row],[PID]],Table3[[#All],[PID]],0)))</f>
        <v>3</v>
      </c>
      <c r="Q902" s="63">
        <f>IF($C902="B",INDEX(Batters[[#All],[Tot]],MATCH(Table5[[#This Row],[PID]],Batters[[#All],[PID]],0)),INDEX(Table3[[#All],[Tot]],MATCH(Table5[[#This Row],[PID]],Table3[[#All],[PID]],0)))</f>
        <v>35.957061629382437</v>
      </c>
      <c r="R902" s="54">
        <f>IF($C902="B",INDEX(Batters[[#All],[zScore]],MATCH(Table5[[#This Row],[PID]],Batters[[#All],[PID]],0)),INDEX(Table3[[#All],[zScore]],MATCH(Table5[[#This Row],[PID]],Table3[[#All],[PID]],0)))</f>
        <v>-0.77259994382671193</v>
      </c>
      <c r="S902" s="60" t="str">
        <f>IF($C902="B",INDEX(Batters[[#All],[DEM]],MATCH(Table5[[#This Row],[PID]],Batters[[#All],[PID]],0)),INDEX(Table3[[#All],[DEM]],MATCH(Table5[[#This Row],[PID]],Table3[[#All],[PID]],0)))</f>
        <v>-</v>
      </c>
      <c r="T902" s="64">
        <f>IF($C902="B",VLOOKUP($A902,Bat!$A$4:$AU$1417,46,FALSE),VLOOKUP($A902,Pit!$A$4:$BD$570,55,FALSE))</f>
        <v>0</v>
      </c>
      <c r="U902" s="52">
        <f>IF($C902="B",VLOOKUP($A902,Bat!$A$4:$BA$1417,47,FALSE),VLOOKUP($A902,Pit!$A$4:$BF$570,56,FALSE))</f>
        <v>0</v>
      </c>
      <c r="V902" s="52">
        <f>IF($C902="B",VLOOKUP($A902,Bat!$A$4:$BA$1417,48,FALSE),VLOOKUP($A902,Pit!$A$4:$BF$570,57,FALSE))</f>
        <v>0</v>
      </c>
      <c r="W902" s="52">
        <f>Table5[[#This Row],[posRnk]]+Table5[[#This Row],[zRnk]]+IF($W$3&lt;&gt;Table5[[#This Row],[Type]],50,0)</f>
        <v>948</v>
      </c>
      <c r="X902" s="53">
        <f>RANK(Table5[[#This Row],[zScore]],Table5[[#All],[zScore]])</f>
        <v>898</v>
      </c>
      <c r="Y902" s="52" t="str">
        <f>IFERROR(INDEX(DraftResults[[#All],[OVR]],MATCH(Table5[[#This Row],[PID]],DraftResults[[#All],[Player ID]],0)),"")</f>
        <v/>
      </c>
      <c r="Z9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2" s="52" t="str">
        <f>IFERROR(INDEX(DraftResults[[#All],[Pick in Round]],MATCH(Table5[[#This Row],[PID]],DraftResults[[#All],[Player ID]],0)),"")</f>
        <v/>
      </c>
      <c r="AB902" s="52" t="str">
        <f>IFERROR(INDEX(DraftResults[[#All],[Team Name]],MATCH(Table5[[#This Row],[PID]],DraftResults[[#All],[Player ID]],0)),"")</f>
        <v/>
      </c>
      <c r="AC902" s="52" t="str">
        <f>IF(Table5[[#This Row],[Ovr]]="","",IF(Table5[[#This Row],[cmbList]]="","",Table5[[#This Row],[cmbList]]-Table5[[#This Row],[Ovr]]))</f>
        <v/>
      </c>
      <c r="AD902" s="56" t="str">
        <f>IF(ISERROR(VLOOKUP($AB902&amp;"-"&amp;$E902&amp;" "&amp;F902,Bonuses!$B$1:$G$1006,4,FALSE)),"",INT(VLOOKUP($AB902&amp;"-"&amp;$E902&amp;" "&amp;$F902,Bonuses!$B$1:$G$1006,4,FALSE)))</f>
        <v/>
      </c>
      <c r="AE9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3" spans="1:31" s="52" customFormat="1" x14ac:dyDescent="0.25">
      <c r="A903" s="52">
        <v>7145</v>
      </c>
      <c r="B903" s="52">
        <f>COUNTIF(Table5[PID],A903)</f>
        <v>1</v>
      </c>
      <c r="C903" s="52" t="str">
        <f>IF(COUNTIF(Table3[[#All],[PID]],A903)&gt;0,"P","B")</f>
        <v>P</v>
      </c>
      <c r="D903" s="61" t="str">
        <f>IF($C903="B",INDEX(Batters[[#All],[POS]],MATCH(Table5[[#This Row],[PID]],Batters[[#All],[PID]],0)),INDEX(Table3[[#All],[POS]],MATCH(Table5[[#This Row],[PID]],Table3[[#All],[PID]],0)))</f>
        <v>SP</v>
      </c>
      <c r="E903" s="54" t="str">
        <f>IF($C903="B",INDEX(Batters[[#All],[First]],MATCH(Table5[[#This Row],[PID]],Batters[[#All],[PID]],0)),INDEX(Table3[[#All],[First]],MATCH(Table5[[#This Row],[PID]],Table3[[#All],[PID]],0)))</f>
        <v>Oliver</v>
      </c>
      <c r="F903" s="52" t="str">
        <f>IF($C903="B",INDEX(Batters[[#All],[Last]],MATCH(A903,Batters[[#All],[PID]],0)),INDEX(Table3[[#All],[Last]],MATCH(A903,Table3[[#All],[PID]],0)))</f>
        <v>Juárez</v>
      </c>
      <c r="G903" s="58">
        <f>IF($C903="B",INDEX(Batters[[#All],[Age]],MATCH(Table5[[#This Row],[PID]],Batters[[#All],[PID]],0)),INDEX(Table3[[#All],[Age]],MATCH(Table5[[#This Row],[PID]],Table3[[#All],[PID]],0)))</f>
        <v>22</v>
      </c>
      <c r="H903" s="54" t="str">
        <f>IF($C903="B",INDEX(Batters[[#All],[B]],MATCH(Table5[[#This Row],[PID]],Batters[[#All],[PID]],0)),INDEX(Table3[[#All],[B]],MATCH(Table5[[#This Row],[PID]],Table3[[#All],[PID]],0)))</f>
        <v>R</v>
      </c>
      <c r="I903" s="54" t="str">
        <f>IF($C903="B",INDEX(Batters[[#All],[T]],MATCH(Table5[[#This Row],[PID]],Batters[[#All],[PID]],0)),INDEX(Table3[[#All],[T]],MATCH(Table5[[#This Row],[PID]],Table3[[#All],[PID]],0)))</f>
        <v>R</v>
      </c>
      <c r="J903" s="54" t="str">
        <f>IF($C903="B",INDEX(Batters[[#All],[WE]],MATCH(Table5[[#This Row],[PID]],Batters[[#All],[PID]],0)),INDEX(Table3[[#All],[WE]],MATCH(Table5[[#This Row],[PID]],Table3[[#All],[PID]],0)))</f>
        <v>Low</v>
      </c>
      <c r="K903" s="54" t="str">
        <f>IF($C903="B",INDEX(Batters[[#All],[INT]],MATCH(Table5[[#This Row],[PID]],Batters[[#All],[PID]],0)),INDEX(Table3[[#All],[INT]],MATCH(Table5[[#This Row],[PID]],Table3[[#All],[PID]],0)))</f>
        <v>Normal</v>
      </c>
      <c r="L903" s="62">
        <f>IF($C903="B",INDEX(Batters[[#All],[CON P]],MATCH(Table5[[#This Row],[PID]],Batters[[#All],[PID]],0)),INDEX(Table3[[#All],[STU P]],MATCH(Table5[[#This Row],[PID]],Table3[[#All],[PID]],0)))</f>
        <v>4</v>
      </c>
      <c r="M903" s="58">
        <f>IF($C903="B",INDEX(Batters[[#All],[GAP P]],MATCH(Table5[[#This Row],[PID]],Batters[[#All],[PID]],0)),INDEX(Table3[[#All],[MOV P]],MATCH(Table5[[#This Row],[PID]],Table3[[#All],[PID]],0)))</f>
        <v>2</v>
      </c>
      <c r="N903" s="58">
        <f>IF($C903="B",INDEX(Batters[[#All],[POW P]],MATCH(Table5[[#This Row],[PID]],Batters[[#All],[PID]],0)),INDEX(Table3[[#All],[CON P]],MATCH(Table5[[#This Row],[PID]],Table3[[#All],[PID]],0)))</f>
        <v>2</v>
      </c>
      <c r="O903" s="58" t="str">
        <f>IF($C903="B",INDEX(Batters[[#All],[EYE P]],MATCH(Table5[[#This Row],[PID]],Batters[[#All],[PID]],0)),INDEX(Table3[[#All],[VELO]],MATCH(Table5[[#This Row],[PID]],Table3[[#All],[PID]],0)))</f>
        <v>93-95 Mph</v>
      </c>
      <c r="P903" s="58">
        <f>IF($C903="B",INDEX(Batters[[#All],[K P]],MATCH(Table5[[#This Row],[PID]],Batters[[#All],[PID]],0)),INDEX(Table3[[#All],[STM]],MATCH(Table5[[#This Row],[PID]],Table3[[#All],[PID]],0)))</f>
        <v>7</v>
      </c>
      <c r="Q903" s="63">
        <f>IF($C903="B",INDEX(Batters[[#All],[Tot]],MATCH(Table5[[#This Row],[PID]],Batters[[#All],[PID]],0)),INDEX(Table3[[#All],[Tot]],MATCH(Table5[[#This Row],[PID]],Table3[[#All],[PID]],0)))</f>
        <v>24.296986436147343</v>
      </c>
      <c r="R903" s="54">
        <f>IF($C903="B",INDEX(Batters[[#All],[zScore]],MATCH(Table5[[#This Row],[PID]],Batters[[#All],[PID]],0)),INDEX(Table3[[#All],[zScore]],MATCH(Table5[[#This Row],[PID]],Table3[[#All],[PID]],0)))</f>
        <v>-0.7726327574596642</v>
      </c>
      <c r="S903" s="60" t="str">
        <f>IF($C903="B",INDEX(Batters[[#All],[DEM]],MATCH(Table5[[#This Row],[PID]],Batters[[#All],[PID]],0)),INDEX(Table3[[#All],[DEM]],MATCH(Table5[[#This Row],[PID]],Table3[[#All],[PID]],0)))</f>
        <v>-</v>
      </c>
      <c r="T903" s="64">
        <f>IF($C903="B",VLOOKUP($A903,Bat!$A$4:$AU$1417,46,FALSE),VLOOKUP($A903,Pit!$A$4:$BD$570,55,FALSE))</f>
        <v>0</v>
      </c>
      <c r="U903" s="52">
        <f>IF($C903="B",VLOOKUP($A903,Bat!$A$4:$BA$1417,47,FALSE),VLOOKUP($A903,Pit!$A$4:$BF$570,56,FALSE))</f>
        <v>0</v>
      </c>
      <c r="V903" s="52">
        <f>IF($C903="B",VLOOKUP($A903,Bat!$A$4:$BA$1417,48,FALSE),VLOOKUP($A903,Pit!$A$4:$BF$570,57,FALSE))</f>
        <v>0</v>
      </c>
      <c r="W903" s="52">
        <f>Table5[[#This Row],[posRnk]]+Table5[[#This Row],[zRnk]]+IF($W$3&lt;&gt;Table5[[#This Row],[Type]],50,0)</f>
        <v>949</v>
      </c>
      <c r="X903" s="53">
        <f>RANK(Table5[[#This Row],[zScore]],Table5[[#All],[zScore]])</f>
        <v>899</v>
      </c>
      <c r="Y903" s="52" t="str">
        <f>IFERROR(INDEX(DraftResults[[#All],[OVR]],MATCH(Table5[[#This Row],[PID]],DraftResults[[#All],[Player ID]],0)),"")</f>
        <v/>
      </c>
      <c r="Z9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3" s="52" t="str">
        <f>IFERROR(INDEX(DraftResults[[#All],[Pick in Round]],MATCH(Table5[[#This Row],[PID]],DraftResults[[#All],[Player ID]],0)),"")</f>
        <v/>
      </c>
      <c r="AB903" s="52" t="str">
        <f>IFERROR(INDEX(DraftResults[[#All],[Team Name]],MATCH(Table5[[#This Row],[PID]],DraftResults[[#All],[Player ID]],0)),"")</f>
        <v/>
      </c>
      <c r="AC903" s="52" t="str">
        <f>IF(Table5[[#This Row],[Ovr]]="","",IF(Table5[[#This Row],[cmbList]]="","",Table5[[#This Row],[cmbList]]-Table5[[#This Row],[Ovr]]))</f>
        <v/>
      </c>
      <c r="AD903" s="56" t="str">
        <f>IF(ISERROR(VLOOKUP($AB903&amp;"-"&amp;$E903&amp;" "&amp;F903,Bonuses!$B$1:$G$1006,4,FALSE)),"",INT(VLOOKUP($AB903&amp;"-"&amp;$E903&amp;" "&amp;$F903,Bonuses!$B$1:$G$1006,4,FALSE)))</f>
        <v/>
      </c>
      <c r="AE9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4" spans="1:31" s="52" customFormat="1" x14ac:dyDescent="0.25">
      <c r="A904" s="52">
        <v>10046</v>
      </c>
      <c r="B904" s="52">
        <f>COUNTIF(Table5[PID],A904)</f>
        <v>1</v>
      </c>
      <c r="C904" s="52" t="str">
        <f>IF(COUNTIF(Table3[[#All],[PID]],A904)&gt;0,"P","B")</f>
        <v>B</v>
      </c>
      <c r="D904" s="61" t="str">
        <f>IF($C904="B",INDEX(Batters[[#All],[POS]],MATCH(Table5[[#This Row],[PID]],Batters[[#All],[PID]],0)),INDEX(Table3[[#All],[POS]],MATCH(Table5[[#This Row],[PID]],Table3[[#All],[PID]],0)))</f>
        <v>3B</v>
      </c>
      <c r="E904" s="54" t="str">
        <f>IF($C904="B",INDEX(Batters[[#All],[First]],MATCH(Table5[[#This Row],[PID]],Batters[[#All],[PID]],0)),INDEX(Table3[[#All],[First]],MATCH(Table5[[#This Row],[PID]],Table3[[#All],[PID]],0)))</f>
        <v>Pedro</v>
      </c>
      <c r="F904" s="52" t="str">
        <f>IF($C904="B",INDEX(Batters[[#All],[Last]],MATCH(A904,Batters[[#All],[PID]],0)),INDEX(Table3[[#All],[Last]],MATCH(A904,Table3[[#All],[PID]],0)))</f>
        <v>Marte</v>
      </c>
      <c r="G904" s="58">
        <f>IF($C904="B",INDEX(Batters[[#All],[Age]],MATCH(Table5[[#This Row],[PID]],Batters[[#All],[PID]],0)),INDEX(Table3[[#All],[Age]],MATCH(Table5[[#This Row],[PID]],Table3[[#All],[PID]],0)))</f>
        <v>20</v>
      </c>
      <c r="H904" s="54" t="str">
        <f>IF($C904="B",INDEX(Batters[[#All],[B]],MATCH(Table5[[#This Row],[PID]],Batters[[#All],[PID]],0)),INDEX(Table3[[#All],[B]],MATCH(Table5[[#This Row],[PID]],Table3[[#All],[PID]],0)))</f>
        <v>L</v>
      </c>
      <c r="I904" s="54" t="str">
        <f>IF($C904="B",INDEX(Batters[[#All],[T]],MATCH(Table5[[#This Row],[PID]],Batters[[#All],[PID]],0)),INDEX(Table3[[#All],[T]],MATCH(Table5[[#This Row],[PID]],Table3[[#All],[PID]],0)))</f>
        <v>R</v>
      </c>
      <c r="J904" s="54" t="str">
        <f>IF($C904="B",INDEX(Batters[[#All],[WE]],MATCH(Table5[[#This Row],[PID]],Batters[[#All],[PID]],0)),INDEX(Table3[[#All],[WE]],MATCH(Table5[[#This Row],[PID]],Table3[[#All],[PID]],0)))</f>
        <v>Low</v>
      </c>
      <c r="K904" s="54" t="str">
        <f>IF($C904="B",INDEX(Batters[[#All],[INT]],MATCH(Table5[[#This Row],[PID]],Batters[[#All],[PID]],0)),INDEX(Table3[[#All],[INT]],MATCH(Table5[[#This Row],[PID]],Table3[[#All],[PID]],0)))</f>
        <v>High</v>
      </c>
      <c r="L904" s="62">
        <f>IF($C904="B",INDEX(Batters[[#All],[CON P]],MATCH(Table5[[#This Row],[PID]],Batters[[#All],[PID]],0)),INDEX(Table3[[#All],[STU P]],MATCH(Table5[[#This Row],[PID]],Table3[[#All],[PID]],0)))</f>
        <v>3</v>
      </c>
      <c r="M904" s="58">
        <f>IF($C904="B",INDEX(Batters[[#All],[GAP P]],MATCH(Table5[[#This Row],[PID]],Batters[[#All],[PID]],0)),INDEX(Table3[[#All],[MOV P]],MATCH(Table5[[#This Row],[PID]],Table3[[#All],[PID]],0)))</f>
        <v>3</v>
      </c>
      <c r="N904" s="58">
        <f>IF($C904="B",INDEX(Batters[[#All],[POW P]],MATCH(Table5[[#This Row],[PID]],Batters[[#All],[PID]],0)),INDEX(Table3[[#All],[CON P]],MATCH(Table5[[#This Row],[PID]],Table3[[#All],[PID]],0)))</f>
        <v>3</v>
      </c>
      <c r="O904" s="58">
        <f>IF($C904="B",INDEX(Batters[[#All],[EYE P]],MATCH(Table5[[#This Row],[PID]],Batters[[#All],[PID]],0)),INDEX(Table3[[#All],[VELO]],MATCH(Table5[[#This Row],[PID]],Table3[[#All],[PID]],0)))</f>
        <v>4</v>
      </c>
      <c r="P904" s="58">
        <f>IF($C904="B",INDEX(Batters[[#All],[K P]],MATCH(Table5[[#This Row],[PID]],Batters[[#All],[PID]],0)),INDEX(Table3[[#All],[STM]],MATCH(Table5[[#This Row],[PID]],Table3[[#All],[PID]],0)))</f>
        <v>5</v>
      </c>
      <c r="Q904" s="63">
        <f>IF($C904="B",INDEX(Batters[[#All],[Tot]],MATCH(Table5[[#This Row],[PID]],Batters[[#All],[PID]],0)),INDEX(Table3[[#All],[Tot]],MATCH(Table5[[#This Row],[PID]],Table3[[#All],[PID]],0)))</f>
        <v>35.95377291286708</v>
      </c>
      <c r="R904" s="54">
        <f>IF($C904="B",INDEX(Batters[[#All],[zScore]],MATCH(Table5[[#This Row],[PID]],Batters[[#All],[PID]],0)),INDEX(Table3[[#All],[zScore]],MATCH(Table5[[#This Row],[PID]],Table3[[#All],[PID]],0)))</f>
        <v>-0.77317857163978132</v>
      </c>
      <c r="S904" s="60" t="str">
        <f>IF($C904="B",INDEX(Batters[[#All],[DEM]],MATCH(Table5[[#This Row],[PID]],Batters[[#All],[PID]],0)),INDEX(Table3[[#All],[DEM]],MATCH(Table5[[#This Row],[PID]],Table3[[#All],[PID]],0)))</f>
        <v>-</v>
      </c>
      <c r="T904" s="64">
        <f>IF($C904="B",VLOOKUP($A904,Bat!$A$4:$AU$1417,46,FALSE),VLOOKUP($A904,Pit!$A$4:$BD$570,55,FALSE))</f>
        <v>0</v>
      </c>
      <c r="U904" s="52">
        <f>IF($C904="B",VLOOKUP($A904,Bat!$A$4:$BA$1417,47,FALSE),VLOOKUP($A904,Pit!$A$4:$BF$570,56,FALSE))</f>
        <v>0</v>
      </c>
      <c r="V904" s="52">
        <f>IF($C904="B",VLOOKUP($A904,Bat!$A$4:$BA$1417,48,FALSE),VLOOKUP($A904,Pit!$A$4:$BF$570,57,FALSE))</f>
        <v>0</v>
      </c>
      <c r="W904" s="52">
        <f>Table5[[#This Row],[posRnk]]+Table5[[#This Row],[zRnk]]+IF($W$3&lt;&gt;Table5[[#This Row],[Type]],50,0)</f>
        <v>950</v>
      </c>
      <c r="X904" s="53">
        <f>RANK(Table5[[#This Row],[zScore]],Table5[[#All],[zScore]])</f>
        <v>900</v>
      </c>
      <c r="Y904" s="52" t="str">
        <f>IFERROR(INDEX(DraftResults[[#All],[OVR]],MATCH(Table5[[#This Row],[PID]],DraftResults[[#All],[Player ID]],0)),"")</f>
        <v/>
      </c>
      <c r="Z9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4" s="52" t="str">
        <f>IFERROR(INDEX(DraftResults[[#All],[Pick in Round]],MATCH(Table5[[#This Row],[PID]],DraftResults[[#All],[Player ID]],0)),"")</f>
        <v/>
      </c>
      <c r="AB904" s="52" t="str">
        <f>IFERROR(INDEX(DraftResults[[#All],[Team Name]],MATCH(Table5[[#This Row],[PID]],DraftResults[[#All],[Player ID]],0)),"")</f>
        <v/>
      </c>
      <c r="AC904" s="52" t="str">
        <f>IF(Table5[[#This Row],[Ovr]]="","",IF(Table5[[#This Row],[cmbList]]="","",Table5[[#This Row],[cmbList]]-Table5[[#This Row],[Ovr]]))</f>
        <v/>
      </c>
      <c r="AD904" s="56" t="str">
        <f>IF(ISERROR(VLOOKUP($AB904&amp;"-"&amp;$E904&amp;" "&amp;F904,Bonuses!$B$1:$G$1006,4,FALSE)),"",INT(VLOOKUP($AB904&amp;"-"&amp;$E904&amp;" "&amp;$F904,Bonuses!$B$1:$G$1006,4,FALSE)))</f>
        <v/>
      </c>
      <c r="AE9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5" spans="1:31" s="52" customFormat="1" x14ac:dyDescent="0.25">
      <c r="A905" s="52">
        <v>15252</v>
      </c>
      <c r="B905" s="52">
        <f>COUNTIF(Table5[PID],A905)</f>
        <v>1</v>
      </c>
      <c r="C905" s="52" t="str">
        <f>IF(COUNTIF(Table3[[#All],[PID]],A905)&gt;0,"P","B")</f>
        <v>P</v>
      </c>
      <c r="D905" s="61" t="str">
        <f>IF($C905="B",INDEX(Batters[[#All],[POS]],MATCH(Table5[[#This Row],[PID]],Batters[[#All],[PID]],0)),INDEX(Table3[[#All],[POS]],MATCH(Table5[[#This Row],[PID]],Table3[[#All],[PID]],0)))</f>
        <v>RP</v>
      </c>
      <c r="E905" s="54" t="str">
        <f>IF($C905="B",INDEX(Batters[[#All],[First]],MATCH(Table5[[#This Row],[PID]],Batters[[#All],[PID]],0)),INDEX(Table3[[#All],[First]],MATCH(Table5[[#This Row],[PID]],Table3[[#All],[PID]],0)))</f>
        <v>Itze</v>
      </c>
      <c r="F905" s="52" t="str">
        <f>IF($C905="B",INDEX(Batters[[#All],[Last]],MATCH(A905,Batters[[#All],[PID]],0)),INDEX(Table3[[#All],[Last]],MATCH(A905,Table3[[#All],[PID]],0)))</f>
        <v>van den Hombergh</v>
      </c>
      <c r="G905" s="58">
        <f>IF($C905="B",INDEX(Batters[[#All],[Age]],MATCH(Table5[[#This Row],[PID]],Batters[[#All],[PID]],0)),INDEX(Table3[[#All],[Age]],MATCH(Table5[[#This Row],[PID]],Table3[[#All],[PID]],0)))</f>
        <v>18</v>
      </c>
      <c r="H905" s="54" t="str">
        <f>IF($C905="B",INDEX(Batters[[#All],[B]],MATCH(Table5[[#This Row],[PID]],Batters[[#All],[PID]],0)),INDEX(Table3[[#All],[B]],MATCH(Table5[[#This Row],[PID]],Table3[[#All],[PID]],0)))</f>
        <v>R</v>
      </c>
      <c r="I905" s="54" t="str">
        <f>IF($C905="B",INDEX(Batters[[#All],[T]],MATCH(Table5[[#This Row],[PID]],Batters[[#All],[PID]],0)),INDEX(Table3[[#All],[T]],MATCH(Table5[[#This Row],[PID]],Table3[[#All],[PID]],0)))</f>
        <v>R</v>
      </c>
      <c r="J905" s="54" t="str">
        <f>IF($C905="B",INDEX(Batters[[#All],[WE]],MATCH(Table5[[#This Row],[PID]],Batters[[#All],[PID]],0)),INDEX(Table3[[#All],[WE]],MATCH(Table5[[#This Row],[PID]],Table3[[#All],[PID]],0)))</f>
        <v>High</v>
      </c>
      <c r="K905" s="54" t="str">
        <f>IF($C905="B",INDEX(Batters[[#All],[INT]],MATCH(Table5[[#This Row],[PID]],Batters[[#All],[PID]],0)),INDEX(Table3[[#All],[INT]],MATCH(Table5[[#This Row],[PID]],Table3[[#All],[PID]],0)))</f>
        <v>Normal</v>
      </c>
      <c r="L905" s="62">
        <f>IF($C905="B",INDEX(Batters[[#All],[CON P]],MATCH(Table5[[#This Row],[PID]],Batters[[#All],[PID]],0)),INDEX(Table3[[#All],[STU P]],MATCH(Table5[[#This Row],[PID]],Table3[[#All],[PID]],0)))</f>
        <v>2</v>
      </c>
      <c r="M905" s="58">
        <f>IF($C905="B",INDEX(Batters[[#All],[GAP P]],MATCH(Table5[[#This Row],[PID]],Batters[[#All],[PID]],0)),INDEX(Table3[[#All],[MOV P]],MATCH(Table5[[#This Row],[PID]],Table3[[#All],[PID]],0)))</f>
        <v>1</v>
      </c>
      <c r="N905" s="58">
        <f>IF($C905="B",INDEX(Batters[[#All],[POW P]],MATCH(Table5[[#This Row],[PID]],Batters[[#All],[PID]],0)),INDEX(Table3[[#All],[CON P]],MATCH(Table5[[#This Row],[PID]],Table3[[#All],[PID]],0)))</f>
        <v>2</v>
      </c>
      <c r="O905" s="58" t="str">
        <f>IF($C905="B",INDEX(Batters[[#All],[EYE P]],MATCH(Table5[[#This Row],[PID]],Batters[[#All],[PID]],0)),INDEX(Table3[[#All],[VELO]],MATCH(Table5[[#This Row],[PID]],Table3[[#All],[PID]],0)))</f>
        <v>83-85 Mph</v>
      </c>
      <c r="P905" s="58">
        <f>IF($C905="B",INDEX(Batters[[#All],[K P]],MATCH(Table5[[#This Row],[PID]],Batters[[#All],[PID]],0)),INDEX(Table3[[#All],[STM]],MATCH(Table5[[#This Row],[PID]],Table3[[#All],[PID]],0)))</f>
        <v>7</v>
      </c>
      <c r="Q905" s="63">
        <f>IF($C905="B",INDEX(Batters[[#All],[Tot]],MATCH(Table5[[#This Row],[PID]],Batters[[#All],[PID]],0)),INDEX(Table3[[#All],[Tot]],MATCH(Table5[[#This Row],[PID]],Table3[[#All],[PID]],0)))</f>
        <v>21.54713609715547</v>
      </c>
      <c r="R905" s="54">
        <f>IF($C905="B",INDEX(Batters[[#All],[zScore]],MATCH(Table5[[#This Row],[PID]],Batters[[#All],[PID]],0)),INDEX(Table3[[#All],[zScore]],MATCH(Table5[[#This Row],[PID]],Table3[[#All],[PID]],0)))</f>
        <v>-0.77547126422497881</v>
      </c>
      <c r="S905" s="60" t="str">
        <f>IF($C905="B",INDEX(Batters[[#All],[DEM]],MATCH(Table5[[#This Row],[PID]],Batters[[#All],[PID]],0)),INDEX(Table3[[#All],[DEM]],MATCH(Table5[[#This Row],[PID]],Table3[[#All],[PID]],0)))</f>
        <v>$90k</v>
      </c>
      <c r="T905" s="64">
        <f>IF($C905="B",VLOOKUP($A905,Bat!$A$4:$AU$1417,46,FALSE),VLOOKUP($A905,Pit!$A$4:$BD$570,55,FALSE))</f>
        <v>0</v>
      </c>
      <c r="U905" s="52">
        <f>IF($C905="B",VLOOKUP($A905,Bat!$A$4:$BA$1417,47,FALSE),VLOOKUP($A905,Pit!$A$4:$BF$570,56,FALSE))</f>
        <v>0</v>
      </c>
      <c r="V905" s="52">
        <f>IF($C905="B",VLOOKUP($A905,Bat!$A$4:$BA$1417,48,FALSE),VLOOKUP($A905,Pit!$A$4:$BF$570,57,FALSE))</f>
        <v>0</v>
      </c>
      <c r="W905" s="52">
        <f>Table5[[#This Row],[posRnk]]+Table5[[#This Row],[zRnk]]+IF($W$3&lt;&gt;Table5[[#This Row],[Type]],50,0)</f>
        <v>951</v>
      </c>
      <c r="X905" s="53">
        <f>RANK(Table5[[#This Row],[zScore]],Table5[[#All],[zScore]])</f>
        <v>901</v>
      </c>
      <c r="Y905" s="52" t="str">
        <f>IFERROR(INDEX(DraftResults[[#All],[OVR]],MATCH(Table5[[#This Row],[PID]],DraftResults[[#All],[Player ID]],0)),"")</f>
        <v/>
      </c>
      <c r="Z9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5" s="52" t="str">
        <f>IFERROR(INDEX(DraftResults[[#All],[Pick in Round]],MATCH(Table5[[#This Row],[PID]],DraftResults[[#All],[Player ID]],0)),"")</f>
        <v/>
      </c>
      <c r="AB905" s="52" t="str">
        <f>IFERROR(INDEX(DraftResults[[#All],[Team Name]],MATCH(Table5[[#This Row],[PID]],DraftResults[[#All],[Player ID]],0)),"")</f>
        <v/>
      </c>
      <c r="AC905" s="52" t="str">
        <f>IF(Table5[[#This Row],[Ovr]]="","",IF(Table5[[#This Row],[cmbList]]="","",Table5[[#This Row],[cmbList]]-Table5[[#This Row],[Ovr]]))</f>
        <v/>
      </c>
      <c r="AD905" s="56" t="str">
        <f>IF(ISERROR(VLOOKUP($AB905&amp;"-"&amp;$E905&amp;" "&amp;F905,Bonuses!$B$1:$G$1006,4,FALSE)),"",INT(VLOOKUP($AB905&amp;"-"&amp;$E905&amp;" "&amp;$F905,Bonuses!$B$1:$G$1006,4,FALSE)))</f>
        <v/>
      </c>
      <c r="AE9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6" spans="1:31" s="52" customFormat="1" x14ac:dyDescent="0.25">
      <c r="A906" s="52">
        <v>4882</v>
      </c>
      <c r="B906" s="52">
        <f>COUNTIF(Table5[PID],A906)</f>
        <v>1</v>
      </c>
      <c r="C906" s="52" t="str">
        <f>IF(COUNTIF(Table3[[#All],[PID]],A906)&gt;0,"P","B")</f>
        <v>B</v>
      </c>
      <c r="D906" s="61" t="str">
        <f>IF($C906="B",INDEX(Batters[[#All],[POS]],MATCH(Table5[[#This Row],[PID]],Batters[[#All],[PID]],0)),INDEX(Table3[[#All],[POS]],MATCH(Table5[[#This Row],[PID]],Table3[[#All],[PID]],0)))</f>
        <v>2B</v>
      </c>
      <c r="E906" s="54" t="str">
        <f>IF($C906="B",INDEX(Batters[[#All],[First]],MATCH(Table5[[#This Row],[PID]],Batters[[#All],[PID]],0)),INDEX(Table3[[#All],[First]],MATCH(Table5[[#This Row],[PID]],Table3[[#All],[PID]],0)))</f>
        <v>Júlio</v>
      </c>
      <c r="F906" s="52" t="str">
        <f>IF($C906="B",INDEX(Batters[[#All],[Last]],MATCH(A906,Batters[[#All],[PID]],0)),INDEX(Table3[[#All],[Last]],MATCH(A906,Table3[[#All],[PID]],0)))</f>
        <v>Ortíz</v>
      </c>
      <c r="G906" s="58">
        <f>IF($C906="B",INDEX(Batters[[#All],[Age]],MATCH(Table5[[#This Row],[PID]],Batters[[#All],[PID]],0)),INDEX(Table3[[#All],[Age]],MATCH(Table5[[#This Row],[PID]],Table3[[#All],[PID]],0)))</f>
        <v>22</v>
      </c>
      <c r="H906" s="54" t="str">
        <f>IF($C906="B",INDEX(Batters[[#All],[B]],MATCH(Table5[[#This Row],[PID]],Batters[[#All],[PID]],0)),INDEX(Table3[[#All],[B]],MATCH(Table5[[#This Row],[PID]],Table3[[#All],[PID]],0)))</f>
        <v>R</v>
      </c>
      <c r="I906" s="54" t="str">
        <f>IF($C906="B",INDEX(Batters[[#All],[T]],MATCH(Table5[[#This Row],[PID]],Batters[[#All],[PID]],0)),INDEX(Table3[[#All],[T]],MATCH(Table5[[#This Row],[PID]],Table3[[#All],[PID]],0)))</f>
        <v>R</v>
      </c>
      <c r="J906" s="54" t="str">
        <f>IF($C906="B",INDEX(Batters[[#All],[WE]],MATCH(Table5[[#This Row],[PID]],Batters[[#All],[PID]],0)),INDEX(Table3[[#All],[WE]],MATCH(Table5[[#This Row],[PID]],Table3[[#All],[PID]],0)))</f>
        <v>Normal</v>
      </c>
      <c r="K906" s="54" t="str">
        <f>IF($C906="B",INDEX(Batters[[#All],[INT]],MATCH(Table5[[#This Row],[PID]],Batters[[#All],[PID]],0)),INDEX(Table3[[#All],[INT]],MATCH(Table5[[#This Row],[PID]],Table3[[#All],[PID]],0)))</f>
        <v>High</v>
      </c>
      <c r="L906" s="62">
        <f>IF($C906="B",INDEX(Batters[[#All],[CON P]],MATCH(Table5[[#This Row],[PID]],Batters[[#All],[PID]],0)),INDEX(Table3[[#All],[STU P]],MATCH(Table5[[#This Row],[PID]],Table3[[#All],[PID]],0)))</f>
        <v>3</v>
      </c>
      <c r="M906" s="58">
        <f>IF($C906="B",INDEX(Batters[[#All],[GAP P]],MATCH(Table5[[#This Row],[PID]],Batters[[#All],[PID]],0)),INDEX(Table3[[#All],[MOV P]],MATCH(Table5[[#This Row],[PID]],Table3[[#All],[PID]],0)))</f>
        <v>3</v>
      </c>
      <c r="N906" s="58">
        <f>IF($C906="B",INDEX(Batters[[#All],[POW P]],MATCH(Table5[[#This Row],[PID]],Batters[[#All],[PID]],0)),INDEX(Table3[[#All],[CON P]],MATCH(Table5[[#This Row],[PID]],Table3[[#All],[PID]],0)))</f>
        <v>3</v>
      </c>
      <c r="O906" s="58">
        <f>IF($C906="B",INDEX(Batters[[#All],[EYE P]],MATCH(Table5[[#This Row],[PID]],Batters[[#All],[PID]],0)),INDEX(Table3[[#All],[VELO]],MATCH(Table5[[#This Row],[PID]],Table3[[#All],[PID]],0)))</f>
        <v>4</v>
      </c>
      <c r="P906" s="58">
        <f>IF($C906="B",INDEX(Batters[[#All],[K P]],MATCH(Table5[[#This Row],[PID]],Batters[[#All],[PID]],0)),INDEX(Table3[[#All],[STM]],MATCH(Table5[[#This Row],[PID]],Table3[[#All],[PID]],0)))</f>
        <v>4</v>
      </c>
      <c r="Q906" s="63">
        <f>IF($C906="B",INDEX(Batters[[#All],[Tot]],MATCH(Table5[[#This Row],[PID]],Batters[[#All],[PID]],0)),INDEX(Table3[[#All],[Tot]],MATCH(Table5[[#This Row],[PID]],Table3[[#All],[PID]],0)))</f>
        <v>35.935137513766875</v>
      </c>
      <c r="R906" s="54">
        <f>IF($C906="B",INDEX(Batters[[#All],[zScore]],MATCH(Table5[[#This Row],[PID]],Batters[[#All],[PID]],0)),INDEX(Table3[[#All],[zScore]],MATCH(Table5[[#This Row],[PID]],Table3[[#All],[PID]],0)))</f>
        <v>-0.77645734625494645</v>
      </c>
      <c r="S906" s="60" t="str">
        <f>IF($C906="B",INDEX(Batters[[#All],[DEM]],MATCH(Table5[[#This Row],[PID]],Batters[[#All],[PID]],0)),INDEX(Table3[[#All],[DEM]],MATCH(Table5[[#This Row],[PID]],Table3[[#All],[PID]],0)))</f>
        <v>-</v>
      </c>
      <c r="T906" s="64">
        <f>IF($C906="B",VLOOKUP($A906,Bat!$A$4:$AU$1417,46,FALSE),VLOOKUP($A906,Pit!$A$4:$BD$570,55,FALSE))</f>
        <v>0</v>
      </c>
      <c r="U906" s="52">
        <f>IF($C906="B",VLOOKUP($A906,Bat!$A$4:$BA$1417,47,FALSE),VLOOKUP($A906,Pit!$A$4:$BF$570,56,FALSE))</f>
        <v>0</v>
      </c>
      <c r="V906" s="52">
        <f>IF($C906="B",VLOOKUP($A906,Bat!$A$4:$BA$1417,48,FALSE),VLOOKUP($A906,Pit!$A$4:$BF$570,57,FALSE))</f>
        <v>0</v>
      </c>
      <c r="W906" s="52">
        <f>Table5[[#This Row],[posRnk]]+Table5[[#This Row],[zRnk]]+IF($W$3&lt;&gt;Table5[[#This Row],[Type]],50,0)</f>
        <v>952</v>
      </c>
      <c r="X906" s="53">
        <f>RANK(Table5[[#This Row],[zScore]],Table5[[#All],[zScore]])</f>
        <v>902</v>
      </c>
      <c r="Y906" s="52" t="str">
        <f>IFERROR(INDEX(DraftResults[[#All],[OVR]],MATCH(Table5[[#This Row],[PID]],DraftResults[[#All],[Player ID]],0)),"")</f>
        <v/>
      </c>
      <c r="Z9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6" s="52" t="str">
        <f>IFERROR(INDEX(DraftResults[[#All],[Pick in Round]],MATCH(Table5[[#This Row],[PID]],DraftResults[[#All],[Player ID]],0)),"")</f>
        <v/>
      </c>
      <c r="AB906" s="52" t="str">
        <f>IFERROR(INDEX(DraftResults[[#All],[Team Name]],MATCH(Table5[[#This Row],[PID]],DraftResults[[#All],[Player ID]],0)),"")</f>
        <v/>
      </c>
      <c r="AC906" s="52" t="str">
        <f>IF(Table5[[#This Row],[Ovr]]="","",IF(Table5[[#This Row],[cmbList]]="","",Table5[[#This Row],[cmbList]]-Table5[[#This Row],[Ovr]]))</f>
        <v/>
      </c>
      <c r="AD906" s="56" t="str">
        <f>IF(ISERROR(VLOOKUP($AB906&amp;"-"&amp;$E906&amp;" "&amp;F906,Bonuses!$B$1:$G$1006,4,FALSE)),"",INT(VLOOKUP($AB906&amp;"-"&amp;$E906&amp;" "&amp;$F906,Bonuses!$B$1:$G$1006,4,FALSE)))</f>
        <v/>
      </c>
      <c r="AE9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7" spans="1:31" s="52" customFormat="1" x14ac:dyDescent="0.25">
      <c r="A907" s="52">
        <v>8240</v>
      </c>
      <c r="B907" s="52">
        <f>COUNTIF(Table5[PID],A907)</f>
        <v>1</v>
      </c>
      <c r="C907" s="52" t="str">
        <f>IF(COUNTIF(Table3[[#All],[PID]],A907)&gt;0,"P","B")</f>
        <v>B</v>
      </c>
      <c r="D907" s="61" t="str">
        <f>IF($C907="B",INDEX(Batters[[#All],[POS]],MATCH(Table5[[#This Row],[PID]],Batters[[#All],[PID]],0)),INDEX(Table3[[#All],[POS]],MATCH(Table5[[#This Row],[PID]],Table3[[#All],[PID]],0)))</f>
        <v>2B</v>
      </c>
      <c r="E907" s="54" t="str">
        <f>IF($C907="B",INDEX(Batters[[#All],[First]],MATCH(Table5[[#This Row],[PID]],Batters[[#All],[PID]],0)),INDEX(Table3[[#All],[First]],MATCH(Table5[[#This Row],[PID]],Table3[[#All],[PID]],0)))</f>
        <v>Koryusai</v>
      </c>
      <c r="F907" s="52" t="str">
        <f>IF($C907="B",INDEX(Batters[[#All],[Last]],MATCH(A907,Batters[[#All],[PID]],0)),INDEX(Table3[[#All],[Last]],MATCH(A907,Table3[[#All],[PID]],0)))</f>
        <v>Matsuoka</v>
      </c>
      <c r="G907" s="58">
        <f>IF($C907="B",INDEX(Batters[[#All],[Age]],MATCH(Table5[[#This Row],[PID]],Batters[[#All],[PID]],0)),INDEX(Table3[[#All],[Age]],MATCH(Table5[[#This Row],[PID]],Table3[[#All],[PID]],0)))</f>
        <v>21</v>
      </c>
      <c r="H907" s="54" t="str">
        <f>IF($C907="B",INDEX(Batters[[#All],[B]],MATCH(Table5[[#This Row],[PID]],Batters[[#All],[PID]],0)),INDEX(Table3[[#All],[B]],MATCH(Table5[[#This Row],[PID]],Table3[[#All],[PID]],0)))</f>
        <v>R</v>
      </c>
      <c r="I907" s="54" t="str">
        <f>IF($C907="B",INDEX(Batters[[#All],[T]],MATCH(Table5[[#This Row],[PID]],Batters[[#All],[PID]],0)),INDEX(Table3[[#All],[T]],MATCH(Table5[[#This Row],[PID]],Table3[[#All],[PID]],0)))</f>
        <v>R</v>
      </c>
      <c r="J907" s="54" t="str">
        <f>IF($C907="B",INDEX(Batters[[#All],[WE]],MATCH(Table5[[#This Row],[PID]],Batters[[#All],[PID]],0)),INDEX(Table3[[#All],[WE]],MATCH(Table5[[#This Row],[PID]],Table3[[#All],[PID]],0)))</f>
        <v>Low</v>
      </c>
      <c r="K907" s="54" t="str">
        <f>IF($C907="B",INDEX(Batters[[#All],[INT]],MATCH(Table5[[#This Row],[PID]],Batters[[#All],[PID]],0)),INDEX(Table3[[#All],[INT]],MATCH(Table5[[#This Row],[PID]],Table3[[#All],[PID]],0)))</f>
        <v>Normal</v>
      </c>
      <c r="L907" s="62">
        <f>IF($C907="B",INDEX(Batters[[#All],[CON P]],MATCH(Table5[[#This Row],[PID]],Batters[[#All],[PID]],0)),INDEX(Table3[[#All],[STU P]],MATCH(Table5[[#This Row],[PID]],Table3[[#All],[PID]],0)))</f>
        <v>3</v>
      </c>
      <c r="M907" s="58">
        <f>IF($C907="B",INDEX(Batters[[#All],[GAP P]],MATCH(Table5[[#This Row],[PID]],Batters[[#All],[PID]],0)),INDEX(Table3[[#All],[MOV P]],MATCH(Table5[[#This Row],[PID]],Table3[[#All],[PID]],0)))</f>
        <v>3</v>
      </c>
      <c r="N907" s="58">
        <f>IF($C907="B",INDEX(Batters[[#All],[POW P]],MATCH(Table5[[#This Row],[PID]],Batters[[#All],[PID]],0)),INDEX(Table3[[#All],[CON P]],MATCH(Table5[[#This Row],[PID]],Table3[[#All],[PID]],0)))</f>
        <v>3</v>
      </c>
      <c r="O907" s="58">
        <f>IF($C907="B",INDEX(Batters[[#All],[EYE P]],MATCH(Table5[[#This Row],[PID]],Batters[[#All],[PID]],0)),INDEX(Table3[[#All],[VELO]],MATCH(Table5[[#This Row],[PID]],Table3[[#All],[PID]],0)))</f>
        <v>4</v>
      </c>
      <c r="P907" s="58">
        <f>IF($C907="B",INDEX(Batters[[#All],[K P]],MATCH(Table5[[#This Row],[PID]],Batters[[#All],[PID]],0)),INDEX(Table3[[#All],[STM]],MATCH(Table5[[#This Row],[PID]],Table3[[#All],[PID]],0)))</f>
        <v>3</v>
      </c>
      <c r="Q907" s="63">
        <f>IF($C907="B",INDEX(Batters[[#All],[Tot]],MATCH(Table5[[#This Row],[PID]],Batters[[#All],[PID]],0)),INDEX(Table3[[#All],[Tot]],MATCH(Table5[[#This Row],[PID]],Table3[[#All],[PID]],0)))</f>
        <v>35.918684218359893</v>
      </c>
      <c r="R907" s="54">
        <f>IF($C907="B",INDEX(Batters[[#All],[zScore]],MATCH(Table5[[#This Row],[PID]],Batters[[#All],[PID]],0)),INDEX(Table3[[#All],[zScore]],MATCH(Table5[[#This Row],[PID]],Table3[[#All],[PID]],0)))</f>
        <v>-0.77935219422821211</v>
      </c>
      <c r="S907" s="60" t="str">
        <f>IF($C907="B",INDEX(Batters[[#All],[DEM]],MATCH(Table5[[#This Row],[PID]],Batters[[#All],[PID]],0)),INDEX(Table3[[#All],[DEM]],MATCH(Table5[[#This Row],[PID]],Table3[[#All],[PID]],0)))</f>
        <v>-</v>
      </c>
      <c r="T907" s="64">
        <f>IF($C907="B",VLOOKUP($A907,Bat!$A$4:$AU$1417,46,FALSE),VLOOKUP($A907,Pit!$A$4:$BD$570,55,FALSE))</f>
        <v>0</v>
      </c>
      <c r="U907" s="52">
        <f>IF($C907="B",VLOOKUP($A907,Bat!$A$4:$BA$1417,47,FALSE),VLOOKUP($A907,Pit!$A$4:$BF$570,56,FALSE))</f>
        <v>0</v>
      </c>
      <c r="V907" s="52">
        <f>IF($C907="B",VLOOKUP($A907,Bat!$A$4:$BA$1417,48,FALSE),VLOOKUP($A907,Pit!$A$4:$BF$570,57,FALSE))</f>
        <v>0</v>
      </c>
      <c r="W907" s="52">
        <f>Table5[[#This Row],[posRnk]]+Table5[[#This Row],[zRnk]]+IF($W$3&lt;&gt;Table5[[#This Row],[Type]],50,0)</f>
        <v>953</v>
      </c>
      <c r="X907" s="53">
        <f>RANK(Table5[[#This Row],[zScore]],Table5[[#All],[zScore]])</f>
        <v>903</v>
      </c>
      <c r="Y907" s="52" t="str">
        <f>IFERROR(INDEX(DraftResults[[#All],[OVR]],MATCH(Table5[[#This Row],[PID]],DraftResults[[#All],[Player ID]],0)),"")</f>
        <v/>
      </c>
      <c r="Z9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7" s="52" t="str">
        <f>IFERROR(INDEX(DraftResults[[#All],[Pick in Round]],MATCH(Table5[[#This Row],[PID]],DraftResults[[#All],[Player ID]],0)),"")</f>
        <v/>
      </c>
      <c r="AB907" s="52" t="str">
        <f>IFERROR(INDEX(DraftResults[[#All],[Team Name]],MATCH(Table5[[#This Row],[PID]],DraftResults[[#All],[Player ID]],0)),"")</f>
        <v/>
      </c>
      <c r="AC907" s="52" t="str">
        <f>IF(Table5[[#This Row],[Ovr]]="","",IF(Table5[[#This Row],[cmbList]]="","",Table5[[#This Row],[cmbList]]-Table5[[#This Row],[Ovr]]))</f>
        <v/>
      </c>
      <c r="AD907" s="56" t="str">
        <f>IF(ISERROR(VLOOKUP($AB907&amp;"-"&amp;$E907&amp;" "&amp;F907,Bonuses!$B$1:$G$1006,4,FALSE)),"",INT(VLOOKUP($AB907&amp;"-"&amp;$E907&amp;" "&amp;$F907,Bonuses!$B$1:$G$1006,4,FALSE)))</f>
        <v/>
      </c>
      <c r="AE9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8" spans="1:31" s="52" customFormat="1" x14ac:dyDescent="0.25">
      <c r="A908" s="52">
        <v>6381</v>
      </c>
      <c r="B908" s="52">
        <f>COUNTIF(Table5[PID],A908)</f>
        <v>1</v>
      </c>
      <c r="C908" s="52" t="str">
        <f>IF(COUNTIF(Table3[[#All],[PID]],A908)&gt;0,"P","B")</f>
        <v>P</v>
      </c>
      <c r="D908" s="61" t="str">
        <f>IF($C908="B",INDEX(Batters[[#All],[POS]],MATCH(Table5[[#This Row],[PID]],Batters[[#All],[PID]],0)),INDEX(Table3[[#All],[POS]],MATCH(Table5[[#This Row],[PID]],Table3[[#All],[PID]],0)))</f>
        <v>RP</v>
      </c>
      <c r="E908" s="54" t="str">
        <f>IF($C908="B",INDEX(Batters[[#All],[First]],MATCH(Table5[[#This Row],[PID]],Batters[[#All],[PID]],0)),INDEX(Table3[[#All],[First]],MATCH(Table5[[#This Row],[PID]],Table3[[#All],[PID]],0)))</f>
        <v>Gael</v>
      </c>
      <c r="F908" s="52" t="str">
        <f>IF($C908="B",INDEX(Batters[[#All],[Last]],MATCH(A908,Batters[[#All],[PID]],0)),INDEX(Table3[[#All],[Last]],MATCH(A908,Table3[[#All],[PID]],0)))</f>
        <v>Hide</v>
      </c>
      <c r="G908" s="58">
        <f>IF($C908="B",INDEX(Batters[[#All],[Age]],MATCH(Table5[[#This Row],[PID]],Batters[[#All],[PID]],0)),INDEX(Table3[[#All],[Age]],MATCH(Table5[[#This Row],[PID]],Table3[[#All],[PID]],0)))</f>
        <v>22</v>
      </c>
      <c r="H908" s="54" t="str">
        <f>IF($C908="B",INDEX(Batters[[#All],[B]],MATCH(Table5[[#This Row],[PID]],Batters[[#All],[PID]],0)),INDEX(Table3[[#All],[B]],MATCH(Table5[[#This Row],[PID]],Table3[[#All],[PID]],0)))</f>
        <v>R</v>
      </c>
      <c r="I908" s="54" t="str">
        <f>IF($C908="B",INDEX(Batters[[#All],[T]],MATCH(Table5[[#This Row],[PID]],Batters[[#All],[PID]],0)),INDEX(Table3[[#All],[T]],MATCH(Table5[[#This Row],[PID]],Table3[[#All],[PID]],0)))</f>
        <v>R</v>
      </c>
      <c r="J908" s="54" t="str">
        <f>IF($C908="B",INDEX(Batters[[#All],[WE]],MATCH(Table5[[#This Row],[PID]],Batters[[#All],[PID]],0)),INDEX(Table3[[#All],[WE]],MATCH(Table5[[#This Row],[PID]],Table3[[#All],[PID]],0)))</f>
        <v>Low</v>
      </c>
      <c r="K908" s="54" t="str">
        <f>IF($C908="B",INDEX(Batters[[#All],[INT]],MATCH(Table5[[#This Row],[PID]],Batters[[#All],[PID]],0)),INDEX(Table3[[#All],[INT]],MATCH(Table5[[#This Row],[PID]],Table3[[#All],[PID]],0)))</f>
        <v>Normal</v>
      </c>
      <c r="L908" s="62">
        <f>IF($C908="B",INDEX(Batters[[#All],[CON P]],MATCH(Table5[[#This Row],[PID]],Batters[[#All],[PID]],0)),INDEX(Table3[[#All],[STU P]],MATCH(Table5[[#This Row],[PID]],Table3[[#All],[PID]],0)))</f>
        <v>4</v>
      </c>
      <c r="M908" s="58">
        <f>IF($C908="B",INDEX(Batters[[#All],[GAP P]],MATCH(Table5[[#This Row],[PID]],Batters[[#All],[PID]],0)),INDEX(Table3[[#All],[MOV P]],MATCH(Table5[[#This Row],[PID]],Table3[[#All],[PID]],0)))</f>
        <v>2</v>
      </c>
      <c r="N908" s="58">
        <f>IF($C908="B",INDEX(Batters[[#All],[POW P]],MATCH(Table5[[#This Row],[PID]],Batters[[#All],[PID]],0)),INDEX(Table3[[#All],[CON P]],MATCH(Table5[[#This Row],[PID]],Table3[[#All],[PID]],0)))</f>
        <v>2</v>
      </c>
      <c r="O908" s="58" t="str">
        <f>IF($C908="B",INDEX(Batters[[#All],[EYE P]],MATCH(Table5[[#This Row],[PID]],Batters[[#All],[PID]],0)),INDEX(Table3[[#All],[VELO]],MATCH(Table5[[#This Row],[PID]],Table3[[#All],[PID]],0)))</f>
        <v>89-91 Mph</v>
      </c>
      <c r="P908" s="58">
        <f>IF($C908="B",INDEX(Batters[[#All],[K P]],MATCH(Table5[[#This Row],[PID]],Batters[[#All],[PID]],0)),INDEX(Table3[[#All],[STM]],MATCH(Table5[[#This Row],[PID]],Table3[[#All],[PID]],0)))</f>
        <v>6</v>
      </c>
      <c r="Q908" s="63">
        <f>IF($C908="B",INDEX(Batters[[#All],[Tot]],MATCH(Table5[[#This Row],[PID]],Batters[[#All],[PID]],0)),INDEX(Table3[[#All],[Tot]],MATCH(Table5[[#This Row],[PID]],Table3[[#All],[PID]],0)))</f>
        <v>24.218318876471926</v>
      </c>
      <c r="R908" s="54">
        <f>IF($C908="B",INDEX(Batters[[#All],[zScore]],MATCH(Table5[[#This Row],[PID]],Batters[[#All],[PID]],0)),INDEX(Table3[[#All],[zScore]],MATCH(Table5[[#This Row],[PID]],Table3[[#All],[PID]],0)))</f>
        <v>-0.77984690891411645</v>
      </c>
      <c r="S908" s="60" t="str">
        <f>IF($C908="B",INDEX(Batters[[#All],[DEM]],MATCH(Table5[[#This Row],[PID]],Batters[[#All],[PID]],0)),INDEX(Table3[[#All],[DEM]],MATCH(Table5[[#This Row],[PID]],Table3[[#All],[PID]],0)))</f>
        <v>-</v>
      </c>
      <c r="T908" s="64">
        <f>IF($C908="B",VLOOKUP($A908,Bat!$A$4:$AU$1417,46,FALSE),VLOOKUP($A908,Pit!$A$4:$BD$570,55,FALSE))</f>
        <v>0</v>
      </c>
      <c r="U908" s="52">
        <f>IF($C908="B",VLOOKUP($A908,Bat!$A$4:$BA$1417,47,FALSE),VLOOKUP($A908,Pit!$A$4:$BF$570,56,FALSE))</f>
        <v>0</v>
      </c>
      <c r="V908" s="52">
        <f>IF($C908="B",VLOOKUP($A908,Bat!$A$4:$BA$1417,48,FALSE),VLOOKUP($A908,Pit!$A$4:$BF$570,57,FALSE))</f>
        <v>0</v>
      </c>
      <c r="W908" s="52">
        <f>Table5[[#This Row],[posRnk]]+Table5[[#This Row],[zRnk]]+IF($W$3&lt;&gt;Table5[[#This Row],[Type]],50,0)</f>
        <v>954</v>
      </c>
      <c r="X908" s="53">
        <f>RANK(Table5[[#This Row],[zScore]],Table5[[#All],[zScore]])</f>
        <v>904</v>
      </c>
      <c r="Y908" s="52" t="str">
        <f>IFERROR(INDEX(DraftResults[[#All],[OVR]],MATCH(Table5[[#This Row],[PID]],DraftResults[[#All],[Player ID]],0)),"")</f>
        <v/>
      </c>
      <c r="Z9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8" s="52" t="str">
        <f>IFERROR(INDEX(DraftResults[[#All],[Pick in Round]],MATCH(Table5[[#This Row],[PID]],DraftResults[[#All],[Player ID]],0)),"")</f>
        <v/>
      </c>
      <c r="AB908" s="52" t="str">
        <f>IFERROR(INDEX(DraftResults[[#All],[Team Name]],MATCH(Table5[[#This Row],[PID]],DraftResults[[#All],[Player ID]],0)),"")</f>
        <v/>
      </c>
      <c r="AC908" s="52" t="str">
        <f>IF(Table5[[#This Row],[Ovr]]="","",IF(Table5[[#This Row],[cmbList]]="","",Table5[[#This Row],[cmbList]]-Table5[[#This Row],[Ovr]]))</f>
        <v/>
      </c>
      <c r="AD908" s="56" t="str">
        <f>IF(ISERROR(VLOOKUP($AB908&amp;"-"&amp;$E908&amp;" "&amp;F908,Bonuses!$B$1:$G$1006,4,FALSE)),"",INT(VLOOKUP($AB908&amp;"-"&amp;$E908&amp;" "&amp;$F908,Bonuses!$B$1:$G$1006,4,FALSE)))</f>
        <v/>
      </c>
      <c r="AE9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9" spans="1:31" s="52" customFormat="1" x14ac:dyDescent="0.25">
      <c r="A909" s="52">
        <v>17591</v>
      </c>
      <c r="B909" s="52">
        <f>COUNTIF(Table5[PID],A909)</f>
        <v>1</v>
      </c>
      <c r="C909" s="52" t="str">
        <f>IF(COUNTIF(Table3[[#All],[PID]],A909)&gt;0,"P","B")</f>
        <v>P</v>
      </c>
      <c r="D909" s="61" t="str">
        <f>IF($C909="B",INDEX(Batters[[#All],[POS]],MATCH(Table5[[#This Row],[PID]],Batters[[#All],[PID]],0)),INDEX(Table3[[#All],[POS]],MATCH(Table5[[#This Row],[PID]],Table3[[#All],[PID]],0)))</f>
        <v>RP</v>
      </c>
      <c r="E909" s="54" t="str">
        <f>IF($C909="B",INDEX(Batters[[#All],[First]],MATCH(Table5[[#This Row],[PID]],Batters[[#All],[PID]],0)),INDEX(Table3[[#All],[First]],MATCH(Table5[[#This Row],[PID]],Table3[[#All],[PID]],0)))</f>
        <v>Daryl</v>
      </c>
      <c r="F909" s="52" t="str">
        <f>IF($C909="B",INDEX(Batters[[#All],[Last]],MATCH(A909,Batters[[#All],[PID]],0)),INDEX(Table3[[#All],[Last]],MATCH(A909,Table3[[#All],[PID]],0)))</f>
        <v>Stanley</v>
      </c>
      <c r="G909" s="58">
        <f>IF($C909="B",INDEX(Batters[[#All],[Age]],MATCH(Table5[[#This Row],[PID]],Batters[[#All],[PID]],0)),INDEX(Table3[[#All],[Age]],MATCH(Table5[[#This Row],[PID]],Table3[[#All],[PID]],0)))</f>
        <v>18</v>
      </c>
      <c r="H909" s="54" t="str">
        <f>IF($C909="B",INDEX(Batters[[#All],[B]],MATCH(Table5[[#This Row],[PID]],Batters[[#All],[PID]],0)),INDEX(Table3[[#All],[B]],MATCH(Table5[[#This Row],[PID]],Table3[[#All],[PID]],0)))</f>
        <v>L</v>
      </c>
      <c r="I909" s="54" t="str">
        <f>IF($C909="B",INDEX(Batters[[#All],[T]],MATCH(Table5[[#This Row],[PID]],Batters[[#All],[PID]],0)),INDEX(Table3[[#All],[T]],MATCH(Table5[[#This Row],[PID]],Table3[[#All],[PID]],0)))</f>
        <v>L</v>
      </c>
      <c r="J909" s="54" t="str">
        <f>IF($C909="B",INDEX(Batters[[#All],[WE]],MATCH(Table5[[#This Row],[PID]],Batters[[#All],[PID]],0)),INDEX(Table3[[#All],[WE]],MATCH(Table5[[#This Row],[PID]],Table3[[#All],[PID]],0)))</f>
        <v>Low</v>
      </c>
      <c r="K909" s="54" t="str">
        <f>IF($C909="B",INDEX(Batters[[#All],[INT]],MATCH(Table5[[#This Row],[PID]],Batters[[#All],[PID]],0)),INDEX(Table3[[#All],[INT]],MATCH(Table5[[#This Row],[PID]],Table3[[#All],[PID]],0)))</f>
        <v>Normal</v>
      </c>
      <c r="L909" s="62">
        <f>IF($C909="B",INDEX(Batters[[#All],[CON P]],MATCH(Table5[[#This Row],[PID]],Batters[[#All],[PID]],0)),INDEX(Table3[[#All],[STU P]],MATCH(Table5[[#This Row],[PID]],Table3[[#All],[PID]],0)))</f>
        <v>3</v>
      </c>
      <c r="M909" s="58">
        <f>IF($C909="B",INDEX(Batters[[#All],[GAP P]],MATCH(Table5[[#This Row],[PID]],Batters[[#All],[PID]],0)),INDEX(Table3[[#All],[MOV P]],MATCH(Table5[[#This Row],[PID]],Table3[[#All],[PID]],0)))</f>
        <v>1</v>
      </c>
      <c r="N909" s="58">
        <f>IF($C909="B",INDEX(Batters[[#All],[POW P]],MATCH(Table5[[#This Row],[PID]],Batters[[#All],[PID]],0)),INDEX(Table3[[#All],[CON P]],MATCH(Table5[[#This Row],[PID]],Table3[[#All],[PID]],0)))</f>
        <v>2</v>
      </c>
      <c r="O909" s="58" t="str">
        <f>IF($C909="B",INDEX(Batters[[#All],[EYE P]],MATCH(Table5[[#This Row],[PID]],Batters[[#All],[PID]],0)),INDEX(Table3[[#All],[VELO]],MATCH(Table5[[#This Row],[PID]],Table3[[#All],[PID]],0)))</f>
        <v>87-89 Mph</v>
      </c>
      <c r="P909" s="58">
        <f>IF($C909="B",INDEX(Batters[[#All],[K P]],MATCH(Table5[[#This Row],[PID]],Batters[[#All],[PID]],0)),INDEX(Table3[[#All],[STM]],MATCH(Table5[[#This Row],[PID]],Table3[[#All],[PID]],0)))</f>
        <v>5</v>
      </c>
      <c r="Q909" s="63">
        <f>IF($C909="B",INDEX(Batters[[#All],[Tot]],MATCH(Table5[[#This Row],[PID]],Batters[[#All],[PID]],0)),INDEX(Table3[[#All],[Tot]],MATCH(Table5[[#This Row],[PID]],Table3[[#All],[PID]],0)))</f>
        <v>21.487593074793256</v>
      </c>
      <c r="R909" s="54">
        <f>IF($C909="B",INDEX(Batters[[#All],[zScore]],MATCH(Table5[[#This Row],[PID]],Batters[[#All],[PID]],0)),INDEX(Table3[[#All],[zScore]],MATCH(Table5[[#This Row],[PID]],Table3[[#All],[PID]],0)))</f>
        <v>-0.78068976961651826</v>
      </c>
      <c r="S909" s="60" t="str">
        <f>IF($C909="B",INDEX(Batters[[#All],[DEM]],MATCH(Table5[[#This Row],[PID]],Batters[[#All],[PID]],0)),INDEX(Table3[[#All],[DEM]],MATCH(Table5[[#This Row],[PID]],Table3[[#All],[PID]],0)))</f>
        <v>$65k</v>
      </c>
      <c r="T909" s="64">
        <f>IF($C909="B",VLOOKUP($A909,Bat!$A$4:$AU$1417,46,FALSE),VLOOKUP($A909,Pit!$A$4:$BD$570,55,FALSE))</f>
        <v>0</v>
      </c>
      <c r="U909" s="52">
        <f>IF($C909="B",VLOOKUP($A909,Bat!$A$4:$BA$1417,47,FALSE),VLOOKUP($A909,Pit!$A$4:$BF$570,56,FALSE))</f>
        <v>0</v>
      </c>
      <c r="V909" s="52">
        <f>IF($C909="B",VLOOKUP($A909,Bat!$A$4:$BA$1417,48,FALSE),VLOOKUP($A909,Pit!$A$4:$BF$570,57,FALSE))</f>
        <v>0</v>
      </c>
      <c r="W909" s="52">
        <f>Table5[[#This Row],[posRnk]]+Table5[[#This Row],[zRnk]]+IF($W$3&lt;&gt;Table5[[#This Row],[Type]],50,0)</f>
        <v>955</v>
      </c>
      <c r="X909" s="53">
        <f>RANK(Table5[[#This Row],[zScore]],Table5[[#All],[zScore]])</f>
        <v>905</v>
      </c>
      <c r="Y909" s="52" t="str">
        <f>IFERROR(INDEX(DraftResults[[#All],[OVR]],MATCH(Table5[[#This Row],[PID]],DraftResults[[#All],[Player ID]],0)),"")</f>
        <v/>
      </c>
      <c r="Z9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9" s="52" t="str">
        <f>IFERROR(INDEX(DraftResults[[#All],[Pick in Round]],MATCH(Table5[[#This Row],[PID]],DraftResults[[#All],[Player ID]],0)),"")</f>
        <v/>
      </c>
      <c r="AB909" s="52" t="str">
        <f>IFERROR(INDEX(DraftResults[[#All],[Team Name]],MATCH(Table5[[#This Row],[PID]],DraftResults[[#All],[Player ID]],0)),"")</f>
        <v/>
      </c>
      <c r="AC909" s="52" t="str">
        <f>IF(Table5[[#This Row],[Ovr]]="","",IF(Table5[[#This Row],[cmbList]]="","",Table5[[#This Row],[cmbList]]-Table5[[#This Row],[Ovr]]))</f>
        <v/>
      </c>
      <c r="AD909" s="56" t="str">
        <f>IF(ISERROR(VLOOKUP($AB909&amp;"-"&amp;$E909&amp;" "&amp;F909,Bonuses!$B$1:$G$1006,4,FALSE)),"",INT(VLOOKUP($AB909&amp;"-"&amp;$E909&amp;" "&amp;$F909,Bonuses!$B$1:$G$1006,4,FALSE)))</f>
        <v/>
      </c>
      <c r="AE9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0" spans="1:31" s="52" customFormat="1" x14ac:dyDescent="0.25">
      <c r="A910" s="52">
        <v>2589</v>
      </c>
      <c r="B910" s="52">
        <f>COUNTIF(Table5[PID],A910)</f>
        <v>1</v>
      </c>
      <c r="C910" s="52" t="str">
        <f>IF(COUNTIF(Table3[[#All],[PID]],A910)&gt;0,"P","B")</f>
        <v>P</v>
      </c>
      <c r="D910" s="61" t="str">
        <f>IF($C910="B",INDEX(Batters[[#All],[POS]],MATCH(Table5[[#This Row],[PID]],Batters[[#All],[PID]],0)),INDEX(Table3[[#All],[POS]],MATCH(Table5[[#This Row],[PID]],Table3[[#All],[PID]],0)))</f>
        <v>RP</v>
      </c>
      <c r="E910" s="54" t="str">
        <f>IF($C910="B",INDEX(Batters[[#All],[First]],MATCH(Table5[[#This Row],[PID]],Batters[[#All],[PID]],0)),INDEX(Table3[[#All],[First]],MATCH(Table5[[#This Row],[PID]],Table3[[#All],[PID]],0)))</f>
        <v>Jay</v>
      </c>
      <c r="F910" s="52" t="str">
        <f>IF($C910="B",INDEX(Batters[[#All],[Last]],MATCH(A910,Batters[[#All],[PID]],0)),INDEX(Table3[[#All],[Last]],MATCH(A910,Table3[[#All],[PID]],0)))</f>
        <v>Lloyd</v>
      </c>
      <c r="G910" s="58">
        <f>IF($C910="B",INDEX(Batters[[#All],[Age]],MATCH(Table5[[#This Row],[PID]],Batters[[#All],[PID]],0)),INDEX(Table3[[#All],[Age]],MATCH(Table5[[#This Row],[PID]],Table3[[#All],[PID]],0)))</f>
        <v>21</v>
      </c>
      <c r="H910" s="54" t="str">
        <f>IF($C910="B",INDEX(Batters[[#All],[B]],MATCH(Table5[[#This Row],[PID]],Batters[[#All],[PID]],0)),INDEX(Table3[[#All],[B]],MATCH(Table5[[#This Row],[PID]],Table3[[#All],[PID]],0)))</f>
        <v>L</v>
      </c>
      <c r="I910" s="54" t="str">
        <f>IF($C910="B",INDEX(Batters[[#All],[T]],MATCH(Table5[[#This Row],[PID]],Batters[[#All],[PID]],0)),INDEX(Table3[[#All],[T]],MATCH(Table5[[#This Row],[PID]],Table3[[#All],[PID]],0)))</f>
        <v>R</v>
      </c>
      <c r="J910" s="54" t="str">
        <f>IF($C910="B",INDEX(Batters[[#All],[WE]],MATCH(Table5[[#This Row],[PID]],Batters[[#All],[PID]],0)),INDEX(Table3[[#All],[WE]],MATCH(Table5[[#This Row],[PID]],Table3[[#All],[PID]],0)))</f>
        <v>Low</v>
      </c>
      <c r="K910" s="54" t="str">
        <f>IF($C910="B",INDEX(Batters[[#All],[INT]],MATCH(Table5[[#This Row],[PID]],Batters[[#All],[PID]],0)),INDEX(Table3[[#All],[INT]],MATCH(Table5[[#This Row],[PID]],Table3[[#All],[PID]],0)))</f>
        <v>Normal</v>
      </c>
      <c r="L910" s="62">
        <f>IF($C910="B",INDEX(Batters[[#All],[CON P]],MATCH(Table5[[#This Row],[PID]],Batters[[#All],[PID]],0)),INDEX(Table3[[#All],[STU P]],MATCH(Table5[[#This Row],[PID]],Table3[[#All],[PID]],0)))</f>
        <v>4</v>
      </c>
      <c r="M910" s="58">
        <f>IF($C910="B",INDEX(Batters[[#All],[GAP P]],MATCH(Table5[[#This Row],[PID]],Batters[[#All],[PID]],0)),INDEX(Table3[[#All],[MOV P]],MATCH(Table5[[#This Row],[PID]],Table3[[#All],[PID]],0)))</f>
        <v>2</v>
      </c>
      <c r="N910" s="58">
        <f>IF($C910="B",INDEX(Batters[[#All],[POW P]],MATCH(Table5[[#This Row],[PID]],Batters[[#All],[PID]],0)),INDEX(Table3[[#All],[CON P]],MATCH(Table5[[#This Row],[PID]],Table3[[#All],[PID]],0)))</f>
        <v>2</v>
      </c>
      <c r="O910" s="58" t="str">
        <f>IF($C910="B",INDEX(Batters[[#All],[EYE P]],MATCH(Table5[[#This Row],[PID]],Batters[[#All],[PID]],0)),INDEX(Table3[[#All],[VELO]],MATCH(Table5[[#This Row],[PID]],Table3[[#All],[PID]],0)))</f>
        <v>86-88 Mph</v>
      </c>
      <c r="P910" s="58">
        <f>IF($C910="B",INDEX(Batters[[#All],[K P]],MATCH(Table5[[#This Row],[PID]],Batters[[#All],[PID]],0)),INDEX(Table3[[#All],[STM]],MATCH(Table5[[#This Row],[PID]],Table3[[#All],[PID]],0)))</f>
        <v>7</v>
      </c>
      <c r="Q910" s="63">
        <f>IF($C910="B",INDEX(Batters[[#All],[Tot]],MATCH(Table5[[#This Row],[PID]],Batters[[#All],[PID]],0)),INDEX(Table3[[#All],[Tot]],MATCH(Table5[[#This Row],[PID]],Table3[[#All],[PID]],0)))</f>
        <v>24.199748627749909</v>
      </c>
      <c r="R910" s="54">
        <f>IF($C910="B",INDEX(Batters[[#All],[zScore]],MATCH(Table5[[#This Row],[PID]],Batters[[#All],[PID]],0)),INDEX(Table3[[#All],[zScore]],MATCH(Table5[[#This Row],[PID]],Table3[[#All],[PID]],0)))</f>
        <v>-0.78154988009283666</v>
      </c>
      <c r="S910" s="60" t="str">
        <f>IF($C910="B",INDEX(Batters[[#All],[DEM]],MATCH(Table5[[#This Row],[PID]],Batters[[#All],[PID]],0)),INDEX(Table3[[#All],[DEM]],MATCH(Table5[[#This Row],[PID]],Table3[[#All],[PID]],0)))</f>
        <v>$20k</v>
      </c>
      <c r="T910" s="64">
        <f>IF($C910="B",VLOOKUP($A910,Bat!$A$4:$AU$1417,46,FALSE),VLOOKUP($A910,Pit!$A$4:$BD$570,55,FALSE))</f>
        <v>0</v>
      </c>
      <c r="U910" s="52">
        <f>IF($C910="B",VLOOKUP($A910,Bat!$A$4:$BA$1417,47,FALSE),VLOOKUP($A910,Pit!$A$4:$BF$570,56,FALSE))</f>
        <v>0</v>
      </c>
      <c r="V910" s="52">
        <f>IF($C910="B",VLOOKUP($A910,Bat!$A$4:$BA$1417,48,FALSE),VLOOKUP($A910,Pit!$A$4:$BF$570,57,FALSE))</f>
        <v>0</v>
      </c>
      <c r="W910" s="52">
        <f>Table5[[#This Row],[posRnk]]+Table5[[#This Row],[zRnk]]+IF($W$3&lt;&gt;Table5[[#This Row],[Type]],50,0)</f>
        <v>956</v>
      </c>
      <c r="X910" s="53">
        <f>RANK(Table5[[#This Row],[zScore]],Table5[[#All],[zScore]])</f>
        <v>906</v>
      </c>
      <c r="Y910" s="52" t="str">
        <f>IFERROR(INDEX(DraftResults[[#All],[OVR]],MATCH(Table5[[#This Row],[PID]],DraftResults[[#All],[Player ID]],0)),"")</f>
        <v/>
      </c>
      <c r="Z9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0" s="52" t="str">
        <f>IFERROR(INDEX(DraftResults[[#All],[Pick in Round]],MATCH(Table5[[#This Row],[PID]],DraftResults[[#All],[Player ID]],0)),"")</f>
        <v/>
      </c>
      <c r="AB910" s="52" t="str">
        <f>IFERROR(INDEX(DraftResults[[#All],[Team Name]],MATCH(Table5[[#This Row],[PID]],DraftResults[[#All],[Player ID]],0)),"")</f>
        <v/>
      </c>
      <c r="AC910" s="52" t="str">
        <f>IF(Table5[[#This Row],[Ovr]]="","",IF(Table5[[#This Row],[cmbList]]="","",Table5[[#This Row],[cmbList]]-Table5[[#This Row],[Ovr]]))</f>
        <v/>
      </c>
      <c r="AD910" s="56" t="str">
        <f>IF(ISERROR(VLOOKUP($AB910&amp;"-"&amp;$E910&amp;" "&amp;F910,Bonuses!$B$1:$G$1006,4,FALSE)),"",INT(VLOOKUP($AB910&amp;"-"&amp;$E910&amp;" "&amp;$F910,Bonuses!$B$1:$G$1006,4,FALSE)))</f>
        <v/>
      </c>
      <c r="AE9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1" spans="1:31" s="52" customFormat="1" x14ac:dyDescent="0.25">
      <c r="A911" s="52">
        <v>12608</v>
      </c>
      <c r="B911" s="52">
        <f>COUNTIF(Table5[PID],A911)</f>
        <v>1</v>
      </c>
      <c r="C911" s="52" t="str">
        <f>IF(COUNTIF(Table3[[#All],[PID]],A911)&gt;0,"P","B")</f>
        <v>B</v>
      </c>
      <c r="D911" s="61" t="str">
        <f>IF($C911="B",INDEX(Batters[[#All],[POS]],MATCH(Table5[[#This Row],[PID]],Batters[[#All],[PID]],0)),INDEX(Table3[[#All],[POS]],MATCH(Table5[[#This Row],[PID]],Table3[[#All],[PID]],0)))</f>
        <v>1B</v>
      </c>
      <c r="E911" s="54" t="str">
        <f>IF($C911="B",INDEX(Batters[[#All],[First]],MATCH(Table5[[#This Row],[PID]],Batters[[#All],[PID]],0)),INDEX(Table3[[#All],[First]],MATCH(Table5[[#This Row],[PID]],Table3[[#All],[PID]],0)))</f>
        <v>Mike</v>
      </c>
      <c r="F911" s="52" t="str">
        <f>IF($C911="B",INDEX(Batters[[#All],[Last]],MATCH(A911,Batters[[#All],[PID]],0)),INDEX(Table3[[#All],[Last]],MATCH(A911,Table3[[#All],[PID]],0)))</f>
        <v>Douglas</v>
      </c>
      <c r="G911" s="58">
        <f>IF($C911="B",INDEX(Batters[[#All],[Age]],MATCH(Table5[[#This Row],[PID]],Batters[[#All],[PID]],0)),INDEX(Table3[[#All],[Age]],MATCH(Table5[[#This Row],[PID]],Table3[[#All],[PID]],0)))</f>
        <v>18</v>
      </c>
      <c r="H911" s="54" t="str">
        <f>IF($C911="B",INDEX(Batters[[#All],[B]],MATCH(Table5[[#This Row],[PID]],Batters[[#All],[PID]],0)),INDEX(Table3[[#All],[B]],MATCH(Table5[[#This Row],[PID]],Table3[[#All],[PID]],0)))</f>
        <v>R</v>
      </c>
      <c r="I911" s="54" t="str">
        <f>IF($C911="B",INDEX(Batters[[#All],[T]],MATCH(Table5[[#This Row],[PID]],Batters[[#All],[PID]],0)),INDEX(Table3[[#All],[T]],MATCH(Table5[[#This Row],[PID]],Table3[[#All],[PID]],0)))</f>
        <v>R</v>
      </c>
      <c r="J911" s="54" t="str">
        <f>IF($C911="B",INDEX(Batters[[#All],[WE]],MATCH(Table5[[#This Row],[PID]],Batters[[#All],[PID]],0)),INDEX(Table3[[#All],[WE]],MATCH(Table5[[#This Row],[PID]],Table3[[#All],[PID]],0)))</f>
        <v>Low</v>
      </c>
      <c r="K911" s="54" t="str">
        <f>IF($C911="B",INDEX(Batters[[#All],[INT]],MATCH(Table5[[#This Row],[PID]],Batters[[#All],[PID]],0)),INDEX(Table3[[#All],[INT]],MATCH(Table5[[#This Row],[PID]],Table3[[#All],[PID]],0)))</f>
        <v>Normal</v>
      </c>
      <c r="L911" s="62">
        <f>IF($C911="B",INDEX(Batters[[#All],[CON P]],MATCH(Table5[[#This Row],[PID]],Batters[[#All],[PID]],0)),INDEX(Table3[[#All],[STU P]],MATCH(Table5[[#This Row],[PID]],Table3[[#All],[PID]],0)))</f>
        <v>3</v>
      </c>
      <c r="M911" s="58">
        <f>IF($C911="B",INDEX(Batters[[#All],[GAP P]],MATCH(Table5[[#This Row],[PID]],Batters[[#All],[PID]],0)),INDEX(Table3[[#All],[MOV P]],MATCH(Table5[[#This Row],[PID]],Table3[[#All],[PID]],0)))</f>
        <v>3</v>
      </c>
      <c r="N911" s="58">
        <f>IF($C911="B",INDEX(Batters[[#All],[POW P]],MATCH(Table5[[#This Row],[PID]],Batters[[#All],[PID]],0)),INDEX(Table3[[#All],[CON P]],MATCH(Table5[[#This Row],[PID]],Table3[[#All],[PID]],0)))</f>
        <v>2</v>
      </c>
      <c r="O911" s="58">
        <f>IF($C911="B",INDEX(Batters[[#All],[EYE P]],MATCH(Table5[[#This Row],[PID]],Batters[[#All],[PID]],0)),INDEX(Table3[[#All],[VELO]],MATCH(Table5[[#This Row],[PID]],Table3[[#All],[PID]],0)))</f>
        <v>1</v>
      </c>
      <c r="P911" s="58">
        <f>IF($C911="B",INDEX(Batters[[#All],[K P]],MATCH(Table5[[#This Row],[PID]],Batters[[#All],[PID]],0)),INDEX(Table3[[#All],[STM]],MATCH(Table5[[#This Row],[PID]],Table3[[#All],[PID]],0)))</f>
        <v>4</v>
      </c>
      <c r="Q911" s="63">
        <f>IF($C911="B",INDEX(Batters[[#All],[Tot]],MATCH(Table5[[#This Row],[PID]],Batters[[#All],[PID]],0)),INDEX(Table3[[#All],[Tot]],MATCH(Table5[[#This Row],[PID]],Table3[[#All],[PID]],0)))</f>
        <v>35.896960945865537</v>
      </c>
      <c r="R911" s="54">
        <f>IF($C911="B",INDEX(Batters[[#All],[zScore]],MATCH(Table5[[#This Row],[PID]],Batters[[#All],[PID]],0)),INDEX(Table3[[#All],[zScore]],MATCH(Table5[[#This Row],[PID]],Table3[[#All],[PID]],0)))</f>
        <v>-0.78317425964413467</v>
      </c>
      <c r="S911" s="60" t="str">
        <f>IF($C911="B",INDEX(Batters[[#All],[DEM]],MATCH(Table5[[#This Row],[PID]],Batters[[#All],[PID]],0)),INDEX(Table3[[#All],[DEM]],MATCH(Table5[[#This Row],[PID]],Table3[[#All],[PID]],0)))</f>
        <v>$65k</v>
      </c>
      <c r="T911" s="64">
        <f>IF($C911="B",VLOOKUP($A911,Bat!$A$4:$AU$1417,46,FALSE),VLOOKUP($A911,Pit!$A$4:$BD$570,55,FALSE))</f>
        <v>0</v>
      </c>
      <c r="U911" s="52">
        <f>IF($C911="B",VLOOKUP($A911,Bat!$A$4:$BA$1417,47,FALSE),VLOOKUP($A911,Pit!$A$4:$BF$570,56,FALSE))</f>
        <v>0</v>
      </c>
      <c r="V911" s="52">
        <f>IF($C911="B",VLOOKUP($A911,Bat!$A$4:$BA$1417,48,FALSE),VLOOKUP($A911,Pit!$A$4:$BF$570,57,FALSE))</f>
        <v>0</v>
      </c>
      <c r="W911" s="52">
        <f>Table5[[#This Row],[posRnk]]+Table5[[#This Row],[zRnk]]+IF($W$3&lt;&gt;Table5[[#This Row],[Type]],50,0)</f>
        <v>957</v>
      </c>
      <c r="X911" s="53">
        <f>RANK(Table5[[#This Row],[zScore]],Table5[[#All],[zScore]])</f>
        <v>907</v>
      </c>
      <c r="Y911" s="52" t="str">
        <f>IFERROR(INDEX(DraftResults[[#All],[OVR]],MATCH(Table5[[#This Row],[PID]],DraftResults[[#All],[Player ID]],0)),"")</f>
        <v/>
      </c>
      <c r="Z9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1" s="52" t="str">
        <f>IFERROR(INDEX(DraftResults[[#All],[Pick in Round]],MATCH(Table5[[#This Row],[PID]],DraftResults[[#All],[Player ID]],0)),"")</f>
        <v/>
      </c>
      <c r="AB911" s="52" t="str">
        <f>IFERROR(INDEX(DraftResults[[#All],[Team Name]],MATCH(Table5[[#This Row],[PID]],DraftResults[[#All],[Player ID]],0)),"")</f>
        <v/>
      </c>
      <c r="AC911" s="52" t="str">
        <f>IF(Table5[[#This Row],[Ovr]]="","",IF(Table5[[#This Row],[cmbList]]="","",Table5[[#This Row],[cmbList]]-Table5[[#This Row],[Ovr]]))</f>
        <v/>
      </c>
      <c r="AD911" s="56" t="str">
        <f>IF(ISERROR(VLOOKUP($AB911&amp;"-"&amp;$E911&amp;" "&amp;F911,Bonuses!$B$1:$G$1006,4,FALSE)),"",INT(VLOOKUP($AB911&amp;"-"&amp;$E911&amp;" "&amp;$F911,Bonuses!$B$1:$G$1006,4,FALSE)))</f>
        <v/>
      </c>
      <c r="AE9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2" spans="1:31" s="52" customFormat="1" x14ac:dyDescent="0.25">
      <c r="A912" s="52">
        <v>8515</v>
      </c>
      <c r="B912" s="52">
        <f>COUNTIF(Table5[PID],A912)</f>
        <v>1</v>
      </c>
      <c r="C912" s="52" t="str">
        <f>IF(COUNTIF(Table3[[#All],[PID]],A912)&gt;0,"P","B")</f>
        <v>B</v>
      </c>
      <c r="D912" s="61" t="str">
        <f>IF($C912="B",INDEX(Batters[[#All],[POS]],MATCH(Table5[[#This Row],[PID]],Batters[[#All],[PID]],0)),INDEX(Table3[[#All],[POS]],MATCH(Table5[[#This Row],[PID]],Table3[[#All],[PID]],0)))</f>
        <v>3B</v>
      </c>
      <c r="E912" s="54" t="str">
        <f>IF($C912="B",INDEX(Batters[[#All],[First]],MATCH(Table5[[#This Row],[PID]],Batters[[#All],[PID]],0)),INDEX(Table3[[#All],[First]],MATCH(Table5[[#This Row],[PID]],Table3[[#All],[PID]],0)))</f>
        <v>Ralph</v>
      </c>
      <c r="F912" s="52" t="str">
        <f>IF($C912="B",INDEX(Batters[[#All],[Last]],MATCH(A912,Batters[[#All],[PID]],0)),INDEX(Table3[[#All],[Last]],MATCH(A912,Table3[[#All],[PID]],0)))</f>
        <v>May</v>
      </c>
      <c r="G912" s="58">
        <f>IF($C912="B",INDEX(Batters[[#All],[Age]],MATCH(Table5[[#This Row],[PID]],Batters[[#All],[PID]],0)),INDEX(Table3[[#All],[Age]],MATCH(Table5[[#This Row],[PID]],Table3[[#All],[PID]],0)))</f>
        <v>22</v>
      </c>
      <c r="H912" s="54" t="str">
        <f>IF($C912="B",INDEX(Batters[[#All],[B]],MATCH(Table5[[#This Row],[PID]],Batters[[#All],[PID]],0)),INDEX(Table3[[#All],[B]],MATCH(Table5[[#This Row],[PID]],Table3[[#All],[PID]],0)))</f>
        <v>R</v>
      </c>
      <c r="I912" s="54" t="str">
        <f>IF($C912="B",INDEX(Batters[[#All],[T]],MATCH(Table5[[#This Row],[PID]],Batters[[#All],[PID]],0)),INDEX(Table3[[#All],[T]],MATCH(Table5[[#This Row],[PID]],Table3[[#All],[PID]],0)))</f>
        <v>R</v>
      </c>
      <c r="J912" s="54" t="str">
        <f>IF($C912="B",INDEX(Batters[[#All],[WE]],MATCH(Table5[[#This Row],[PID]],Batters[[#All],[PID]],0)),INDEX(Table3[[#All],[WE]],MATCH(Table5[[#This Row],[PID]],Table3[[#All],[PID]],0)))</f>
        <v>Low</v>
      </c>
      <c r="K912" s="54" t="str">
        <f>IF($C912="B",INDEX(Batters[[#All],[INT]],MATCH(Table5[[#This Row],[PID]],Batters[[#All],[PID]],0)),INDEX(Table3[[#All],[INT]],MATCH(Table5[[#This Row],[PID]],Table3[[#All],[PID]],0)))</f>
        <v>Normal</v>
      </c>
      <c r="L912" s="62">
        <f>IF($C912="B",INDEX(Batters[[#All],[CON P]],MATCH(Table5[[#This Row],[PID]],Batters[[#All],[PID]],0)),INDEX(Table3[[#All],[STU P]],MATCH(Table5[[#This Row],[PID]],Table3[[#All],[PID]],0)))</f>
        <v>3</v>
      </c>
      <c r="M912" s="58">
        <f>IF($C912="B",INDEX(Batters[[#All],[GAP P]],MATCH(Table5[[#This Row],[PID]],Batters[[#All],[PID]],0)),INDEX(Table3[[#All],[MOV P]],MATCH(Table5[[#This Row],[PID]],Table3[[#All],[PID]],0)))</f>
        <v>4</v>
      </c>
      <c r="N912" s="58">
        <f>IF($C912="B",INDEX(Batters[[#All],[POW P]],MATCH(Table5[[#This Row],[PID]],Batters[[#All],[PID]],0)),INDEX(Table3[[#All],[CON P]],MATCH(Table5[[#This Row],[PID]],Table3[[#All],[PID]],0)))</f>
        <v>2</v>
      </c>
      <c r="O912" s="58">
        <f>IF($C912="B",INDEX(Batters[[#All],[EYE P]],MATCH(Table5[[#This Row],[PID]],Batters[[#All],[PID]],0)),INDEX(Table3[[#All],[VELO]],MATCH(Table5[[#This Row],[PID]],Table3[[#All],[PID]],0)))</f>
        <v>5</v>
      </c>
      <c r="P912" s="58">
        <f>IF($C912="B",INDEX(Batters[[#All],[K P]],MATCH(Table5[[#This Row],[PID]],Batters[[#All],[PID]],0)),INDEX(Table3[[#All],[STM]],MATCH(Table5[[#This Row],[PID]],Table3[[#All],[PID]],0)))</f>
        <v>3</v>
      </c>
      <c r="Q912" s="63">
        <f>IF($C912="B",INDEX(Batters[[#All],[Tot]],MATCH(Table5[[#This Row],[PID]],Batters[[#All],[PID]],0)),INDEX(Table3[[#All],[Tot]],MATCH(Table5[[#This Row],[PID]],Table3[[#All],[PID]],0)))</f>
        <v>35.895951293490796</v>
      </c>
      <c r="R912" s="54">
        <f>IF($C912="B",INDEX(Batters[[#All],[zScore]],MATCH(Table5[[#This Row],[PID]],Batters[[#All],[PID]],0)),INDEX(Table3[[#All],[zScore]],MATCH(Table5[[#This Row],[PID]],Table3[[#All],[PID]],0)))</f>
        <v>-0.78335190126901433</v>
      </c>
      <c r="S912" s="60" t="str">
        <f>IF($C912="B",INDEX(Batters[[#All],[DEM]],MATCH(Table5[[#This Row],[PID]],Batters[[#All],[PID]],0)),INDEX(Table3[[#All],[DEM]],MATCH(Table5[[#This Row],[PID]],Table3[[#All],[PID]],0)))</f>
        <v>-</v>
      </c>
      <c r="T912" s="64">
        <f>IF($C912="B",VLOOKUP($A912,Bat!$A$4:$AU$1417,46,FALSE),VLOOKUP($A912,Pit!$A$4:$BD$570,55,FALSE))</f>
        <v>0</v>
      </c>
      <c r="U912" s="52">
        <f>IF($C912="B",VLOOKUP($A912,Bat!$A$4:$BA$1417,47,FALSE),VLOOKUP($A912,Pit!$A$4:$BF$570,56,FALSE))</f>
        <v>0</v>
      </c>
      <c r="V912" s="52">
        <f>IF($C912="B",VLOOKUP($A912,Bat!$A$4:$BA$1417,48,FALSE),VLOOKUP($A912,Pit!$A$4:$BF$570,57,FALSE))</f>
        <v>0</v>
      </c>
      <c r="W912" s="52">
        <f>Table5[[#This Row],[posRnk]]+Table5[[#This Row],[zRnk]]+IF($W$3&lt;&gt;Table5[[#This Row],[Type]],50,0)</f>
        <v>958</v>
      </c>
      <c r="X912" s="53">
        <f>RANK(Table5[[#This Row],[zScore]],Table5[[#All],[zScore]])</f>
        <v>908</v>
      </c>
      <c r="Y912" s="52" t="str">
        <f>IFERROR(INDEX(DraftResults[[#All],[OVR]],MATCH(Table5[[#This Row],[PID]],DraftResults[[#All],[Player ID]],0)),"")</f>
        <v/>
      </c>
      <c r="Z9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2" s="52" t="str">
        <f>IFERROR(INDEX(DraftResults[[#All],[Pick in Round]],MATCH(Table5[[#This Row],[PID]],DraftResults[[#All],[Player ID]],0)),"")</f>
        <v/>
      </c>
      <c r="AB912" s="52" t="str">
        <f>IFERROR(INDEX(DraftResults[[#All],[Team Name]],MATCH(Table5[[#This Row],[PID]],DraftResults[[#All],[Player ID]],0)),"")</f>
        <v/>
      </c>
      <c r="AC912" s="52" t="str">
        <f>IF(Table5[[#This Row],[Ovr]]="","",IF(Table5[[#This Row],[cmbList]]="","",Table5[[#This Row],[cmbList]]-Table5[[#This Row],[Ovr]]))</f>
        <v/>
      </c>
      <c r="AD912" s="56" t="str">
        <f>IF(ISERROR(VLOOKUP($AB912&amp;"-"&amp;$E912&amp;" "&amp;F912,Bonuses!$B$1:$G$1006,4,FALSE)),"",INT(VLOOKUP($AB912&amp;"-"&amp;$E912&amp;" "&amp;$F912,Bonuses!$B$1:$G$1006,4,FALSE)))</f>
        <v/>
      </c>
      <c r="AE9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3" spans="1:31" s="52" customFormat="1" x14ac:dyDescent="0.25">
      <c r="A913" s="52">
        <v>5291</v>
      </c>
      <c r="B913" s="52">
        <f>COUNTIF(Table5[PID],A913)</f>
        <v>1</v>
      </c>
      <c r="C913" s="52" t="str">
        <f>IF(COUNTIF(Table3[[#All],[PID]],A913)&gt;0,"P","B")</f>
        <v>B</v>
      </c>
      <c r="D913" s="61" t="str">
        <f>IF($C913="B",INDEX(Batters[[#All],[POS]],MATCH(Table5[[#This Row],[PID]],Batters[[#All],[PID]],0)),INDEX(Table3[[#All],[POS]],MATCH(Table5[[#This Row],[PID]],Table3[[#All],[PID]],0)))</f>
        <v>1B</v>
      </c>
      <c r="E913" s="54" t="str">
        <f>IF($C913="B",INDEX(Batters[[#All],[First]],MATCH(Table5[[#This Row],[PID]],Batters[[#All],[PID]],0)),INDEX(Table3[[#All],[First]],MATCH(Table5[[#This Row],[PID]],Table3[[#All],[PID]],0)))</f>
        <v>Anthony</v>
      </c>
      <c r="F913" s="52" t="str">
        <f>IF($C913="B",INDEX(Batters[[#All],[Last]],MATCH(A913,Batters[[#All],[PID]],0)),INDEX(Table3[[#All],[Last]],MATCH(A913,Table3[[#All],[PID]],0)))</f>
        <v>Espinoza</v>
      </c>
      <c r="G913" s="58">
        <f>IF($C913="B",INDEX(Batters[[#All],[Age]],MATCH(Table5[[#This Row],[PID]],Batters[[#All],[PID]],0)),INDEX(Table3[[#All],[Age]],MATCH(Table5[[#This Row],[PID]],Table3[[#All],[PID]],0)))</f>
        <v>18</v>
      </c>
      <c r="H913" s="54" t="str">
        <f>IF($C913="B",INDEX(Batters[[#All],[B]],MATCH(Table5[[#This Row],[PID]],Batters[[#All],[PID]],0)),INDEX(Table3[[#All],[B]],MATCH(Table5[[#This Row],[PID]],Table3[[#All],[PID]],0)))</f>
        <v>R</v>
      </c>
      <c r="I913" s="54" t="str">
        <f>IF($C913="B",INDEX(Batters[[#All],[T]],MATCH(Table5[[#This Row],[PID]],Batters[[#All],[PID]],0)),INDEX(Table3[[#All],[T]],MATCH(Table5[[#This Row],[PID]],Table3[[#All],[PID]],0)))</f>
        <v>L</v>
      </c>
      <c r="J913" s="54" t="str">
        <f>IF($C913="B",INDEX(Batters[[#All],[WE]],MATCH(Table5[[#This Row],[PID]],Batters[[#All],[PID]],0)),INDEX(Table3[[#All],[WE]],MATCH(Table5[[#This Row],[PID]],Table3[[#All],[PID]],0)))</f>
        <v>Low</v>
      </c>
      <c r="K913" s="54" t="str">
        <f>IF($C913="B",INDEX(Batters[[#All],[INT]],MATCH(Table5[[#This Row],[PID]],Batters[[#All],[PID]],0)),INDEX(Table3[[#All],[INT]],MATCH(Table5[[#This Row],[PID]],Table3[[#All],[PID]],0)))</f>
        <v>Normal</v>
      </c>
      <c r="L913" s="62">
        <f>IF($C913="B",INDEX(Batters[[#All],[CON P]],MATCH(Table5[[#This Row],[PID]],Batters[[#All],[PID]],0)),INDEX(Table3[[#All],[STU P]],MATCH(Table5[[#This Row],[PID]],Table3[[#All],[PID]],0)))</f>
        <v>3</v>
      </c>
      <c r="M913" s="58">
        <f>IF($C913="B",INDEX(Batters[[#All],[GAP P]],MATCH(Table5[[#This Row],[PID]],Batters[[#All],[PID]],0)),INDEX(Table3[[#All],[MOV P]],MATCH(Table5[[#This Row],[PID]],Table3[[#All],[PID]],0)))</f>
        <v>2</v>
      </c>
      <c r="N913" s="58">
        <f>IF($C913="B",INDEX(Batters[[#All],[POW P]],MATCH(Table5[[#This Row],[PID]],Batters[[#All],[PID]],0)),INDEX(Table3[[#All],[CON P]],MATCH(Table5[[#This Row],[PID]],Table3[[#All],[PID]],0)))</f>
        <v>2</v>
      </c>
      <c r="O913" s="58">
        <f>IF($C913="B",INDEX(Batters[[#All],[EYE P]],MATCH(Table5[[#This Row],[PID]],Batters[[#All],[PID]],0)),INDEX(Table3[[#All],[VELO]],MATCH(Table5[[#This Row],[PID]],Table3[[#All],[PID]],0)))</f>
        <v>2</v>
      </c>
      <c r="P913" s="58">
        <f>IF($C913="B",INDEX(Batters[[#All],[K P]],MATCH(Table5[[#This Row],[PID]],Batters[[#All],[PID]],0)),INDEX(Table3[[#All],[STM]],MATCH(Table5[[#This Row],[PID]],Table3[[#All],[PID]],0)))</f>
        <v>3</v>
      </c>
      <c r="Q913" s="63">
        <f>IF($C913="B",INDEX(Batters[[#All],[Tot]],MATCH(Table5[[#This Row],[PID]],Batters[[#All],[PID]],0)),INDEX(Table3[[#All],[Tot]],MATCH(Table5[[#This Row],[PID]],Table3[[#All],[PID]],0)))</f>
        <v>35.875454924789196</v>
      </c>
      <c r="R913" s="54">
        <f>IF($C913="B",INDEX(Batters[[#All],[zScore]],MATCH(Table5[[#This Row],[PID]],Batters[[#All],[PID]],0)),INDEX(Table3[[#All],[zScore]],MATCH(Table5[[#This Row],[PID]],Table3[[#All],[PID]],0)))</f>
        <v>-0.78695810111697639</v>
      </c>
      <c r="S913" s="60" t="str">
        <f>IF($C913="B",INDEX(Batters[[#All],[DEM]],MATCH(Table5[[#This Row],[PID]],Batters[[#All],[PID]],0)),INDEX(Table3[[#All],[DEM]],MATCH(Table5[[#This Row],[PID]],Table3[[#All],[PID]],0)))</f>
        <v>$65k</v>
      </c>
      <c r="T913" s="64">
        <f>IF($C913="B",VLOOKUP($A913,Bat!$A$4:$AU$1417,46,FALSE),VLOOKUP($A913,Pit!$A$4:$BD$570,55,FALSE))</f>
        <v>0</v>
      </c>
      <c r="U913" s="52">
        <f>IF($C913="B",VLOOKUP($A913,Bat!$A$4:$BA$1417,47,FALSE),VLOOKUP($A913,Pit!$A$4:$BF$570,56,FALSE))</f>
        <v>0</v>
      </c>
      <c r="V913" s="52">
        <f>IF($C913="B",VLOOKUP($A913,Bat!$A$4:$BA$1417,48,FALSE),VLOOKUP($A913,Pit!$A$4:$BF$570,57,FALSE))</f>
        <v>0</v>
      </c>
      <c r="W913" s="52">
        <f>Table5[[#This Row],[posRnk]]+Table5[[#This Row],[zRnk]]+IF($W$3&lt;&gt;Table5[[#This Row],[Type]],50,0)</f>
        <v>959</v>
      </c>
      <c r="X913" s="53">
        <f>RANK(Table5[[#This Row],[zScore]],Table5[[#All],[zScore]])</f>
        <v>909</v>
      </c>
      <c r="Y913" s="52" t="str">
        <f>IFERROR(INDEX(DraftResults[[#All],[OVR]],MATCH(Table5[[#This Row],[PID]],DraftResults[[#All],[Player ID]],0)),"")</f>
        <v/>
      </c>
      <c r="Z9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3" s="52" t="str">
        <f>IFERROR(INDEX(DraftResults[[#All],[Pick in Round]],MATCH(Table5[[#This Row],[PID]],DraftResults[[#All],[Player ID]],0)),"")</f>
        <v/>
      </c>
      <c r="AB913" s="52" t="str">
        <f>IFERROR(INDEX(DraftResults[[#All],[Team Name]],MATCH(Table5[[#This Row],[PID]],DraftResults[[#All],[Player ID]],0)),"")</f>
        <v/>
      </c>
      <c r="AC913" s="52" t="str">
        <f>IF(Table5[[#This Row],[Ovr]]="","",IF(Table5[[#This Row],[cmbList]]="","",Table5[[#This Row],[cmbList]]-Table5[[#This Row],[Ovr]]))</f>
        <v/>
      </c>
      <c r="AD913" s="56" t="str">
        <f>IF(ISERROR(VLOOKUP($AB913&amp;"-"&amp;$E913&amp;" "&amp;F913,Bonuses!$B$1:$G$1006,4,FALSE)),"",INT(VLOOKUP($AB913&amp;"-"&amp;$E913&amp;" "&amp;$F913,Bonuses!$B$1:$G$1006,4,FALSE)))</f>
        <v/>
      </c>
      <c r="AE9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4" spans="1:31" s="52" customFormat="1" x14ac:dyDescent="0.25">
      <c r="A914" s="52">
        <v>17571</v>
      </c>
      <c r="B914" s="52">
        <f>COUNTIF(Table5[PID],A914)</f>
        <v>1</v>
      </c>
      <c r="C914" s="52" t="str">
        <f>IF(COUNTIF(Table3[[#All],[PID]],A914)&gt;0,"P","B")</f>
        <v>B</v>
      </c>
      <c r="D914" s="61" t="str">
        <f>IF($C914="B",INDEX(Batters[[#All],[POS]],MATCH(Table5[[#This Row],[PID]],Batters[[#All],[PID]],0)),INDEX(Table3[[#All],[POS]],MATCH(Table5[[#This Row],[PID]],Table3[[#All],[PID]],0)))</f>
        <v>C</v>
      </c>
      <c r="E914" s="54" t="str">
        <f>IF($C914="B",INDEX(Batters[[#All],[First]],MATCH(Table5[[#This Row],[PID]],Batters[[#All],[PID]],0)),INDEX(Table3[[#All],[First]],MATCH(Table5[[#This Row],[PID]],Table3[[#All],[PID]],0)))</f>
        <v>Shawn</v>
      </c>
      <c r="F914" s="52" t="str">
        <f>IF($C914="B",INDEX(Batters[[#All],[Last]],MATCH(A914,Batters[[#All],[PID]],0)),INDEX(Table3[[#All],[Last]],MATCH(A914,Table3[[#All],[PID]],0)))</f>
        <v>Armand</v>
      </c>
      <c r="G914" s="58">
        <f>IF($C914="B",INDEX(Batters[[#All],[Age]],MATCH(Table5[[#This Row],[PID]],Batters[[#All],[PID]],0)),INDEX(Table3[[#All],[Age]],MATCH(Table5[[#This Row],[PID]],Table3[[#All],[PID]],0)))</f>
        <v>18</v>
      </c>
      <c r="H914" s="54" t="str">
        <f>IF($C914="B",INDEX(Batters[[#All],[B]],MATCH(Table5[[#This Row],[PID]],Batters[[#All],[PID]],0)),INDEX(Table3[[#All],[B]],MATCH(Table5[[#This Row],[PID]],Table3[[#All],[PID]],0)))</f>
        <v>R</v>
      </c>
      <c r="I914" s="54" t="str">
        <f>IF($C914="B",INDEX(Batters[[#All],[T]],MATCH(Table5[[#This Row],[PID]],Batters[[#All],[PID]],0)),INDEX(Table3[[#All],[T]],MATCH(Table5[[#This Row],[PID]],Table3[[#All],[PID]],0)))</f>
        <v>R</v>
      </c>
      <c r="J914" s="54" t="str">
        <f>IF($C914="B",INDEX(Batters[[#All],[WE]],MATCH(Table5[[#This Row],[PID]],Batters[[#All],[PID]],0)),INDEX(Table3[[#All],[WE]],MATCH(Table5[[#This Row],[PID]],Table3[[#All],[PID]],0)))</f>
        <v>Normal</v>
      </c>
      <c r="K914" s="54" t="str">
        <f>IF($C914="B",INDEX(Batters[[#All],[INT]],MATCH(Table5[[#This Row],[PID]],Batters[[#All],[PID]],0)),INDEX(Table3[[#All],[INT]],MATCH(Table5[[#This Row],[PID]],Table3[[#All],[PID]],0)))</f>
        <v>Low</v>
      </c>
      <c r="L914" s="62">
        <f>IF($C914="B",INDEX(Batters[[#All],[CON P]],MATCH(Table5[[#This Row],[PID]],Batters[[#All],[PID]],0)),INDEX(Table3[[#All],[STU P]],MATCH(Table5[[#This Row],[PID]],Table3[[#All],[PID]],0)))</f>
        <v>2</v>
      </c>
      <c r="M914" s="58">
        <f>IF($C914="B",INDEX(Batters[[#All],[GAP P]],MATCH(Table5[[#This Row],[PID]],Batters[[#All],[PID]],0)),INDEX(Table3[[#All],[MOV P]],MATCH(Table5[[#This Row],[PID]],Table3[[#All],[PID]],0)))</f>
        <v>3</v>
      </c>
      <c r="N914" s="58">
        <f>IF($C914="B",INDEX(Batters[[#All],[POW P]],MATCH(Table5[[#This Row],[PID]],Batters[[#All],[PID]],0)),INDEX(Table3[[#All],[CON P]],MATCH(Table5[[#This Row],[PID]],Table3[[#All],[PID]],0)))</f>
        <v>2</v>
      </c>
      <c r="O914" s="58">
        <f>IF($C914="B",INDEX(Batters[[#All],[EYE P]],MATCH(Table5[[#This Row],[PID]],Batters[[#All],[PID]],0)),INDEX(Table3[[#All],[VELO]],MATCH(Table5[[#This Row],[PID]],Table3[[#All],[PID]],0)))</f>
        <v>4</v>
      </c>
      <c r="P914" s="58">
        <f>IF($C914="B",INDEX(Batters[[#All],[K P]],MATCH(Table5[[#This Row],[PID]],Batters[[#All],[PID]],0)),INDEX(Table3[[#All],[STM]],MATCH(Table5[[#This Row],[PID]],Table3[[#All],[PID]],0)))</f>
        <v>3</v>
      </c>
      <c r="Q914" s="63">
        <f>IF($C914="B",INDEX(Batters[[#All],[Tot]],MATCH(Table5[[#This Row],[PID]],Batters[[#All],[PID]],0)),INDEX(Table3[[#All],[Tot]],MATCH(Table5[[#This Row],[PID]],Table3[[#All],[PID]],0)))</f>
        <v>35.870532646011483</v>
      </c>
      <c r="R914" s="54">
        <f>IF($C914="B",INDEX(Batters[[#All],[zScore]],MATCH(Table5[[#This Row],[PID]],Batters[[#All],[PID]],0)),INDEX(Table3[[#All],[zScore]],MATCH(Table5[[#This Row],[PID]],Table3[[#All],[PID]],0)))</f>
        <v>-0.78782414335295692</v>
      </c>
      <c r="S914" s="60" t="str">
        <f>IF($C914="B",INDEX(Batters[[#All],[DEM]],MATCH(Table5[[#This Row],[PID]],Batters[[#All],[PID]],0)),INDEX(Table3[[#All],[DEM]],MATCH(Table5[[#This Row],[PID]],Table3[[#All],[PID]],0)))</f>
        <v>$65k</v>
      </c>
      <c r="T914" s="64">
        <f>IF($C914="B",VLOOKUP($A914,Bat!$A$4:$AU$1417,46,FALSE),VLOOKUP($A914,Pit!$A$4:$BD$570,55,FALSE))</f>
        <v>0</v>
      </c>
      <c r="U914" s="52">
        <f>IF($C914="B",VLOOKUP($A914,Bat!$A$4:$BA$1417,47,FALSE),VLOOKUP($A914,Pit!$A$4:$BF$570,56,FALSE))</f>
        <v>0</v>
      </c>
      <c r="V914" s="52">
        <f>IF($C914="B",VLOOKUP($A914,Bat!$A$4:$BA$1417,48,FALSE),VLOOKUP($A914,Pit!$A$4:$BF$570,57,FALSE))</f>
        <v>0</v>
      </c>
      <c r="W914" s="52">
        <f>Table5[[#This Row],[posRnk]]+Table5[[#This Row],[zRnk]]+IF($W$3&lt;&gt;Table5[[#This Row],[Type]],50,0)</f>
        <v>960</v>
      </c>
      <c r="X914" s="53">
        <f>RANK(Table5[[#This Row],[zScore]],Table5[[#All],[zScore]])</f>
        <v>910</v>
      </c>
      <c r="Y914" s="52" t="str">
        <f>IFERROR(INDEX(DraftResults[[#All],[OVR]],MATCH(Table5[[#This Row],[PID]],DraftResults[[#All],[Player ID]],0)),"")</f>
        <v/>
      </c>
      <c r="Z9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4" s="52" t="str">
        <f>IFERROR(INDEX(DraftResults[[#All],[Pick in Round]],MATCH(Table5[[#This Row],[PID]],DraftResults[[#All],[Player ID]],0)),"")</f>
        <v/>
      </c>
      <c r="AB914" s="52" t="str">
        <f>IFERROR(INDEX(DraftResults[[#All],[Team Name]],MATCH(Table5[[#This Row],[PID]],DraftResults[[#All],[Player ID]],0)),"")</f>
        <v/>
      </c>
      <c r="AC914" s="52" t="str">
        <f>IF(Table5[[#This Row],[Ovr]]="","",IF(Table5[[#This Row],[cmbList]]="","",Table5[[#This Row],[cmbList]]-Table5[[#This Row],[Ovr]]))</f>
        <v/>
      </c>
      <c r="AD914" s="56" t="str">
        <f>IF(ISERROR(VLOOKUP($AB914&amp;"-"&amp;$E914&amp;" "&amp;F914,Bonuses!$B$1:$G$1006,4,FALSE)),"",INT(VLOOKUP($AB914&amp;"-"&amp;$E914&amp;" "&amp;$F914,Bonuses!$B$1:$G$1006,4,FALSE)))</f>
        <v/>
      </c>
      <c r="AE9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5" spans="1:31" s="52" customFormat="1" x14ac:dyDescent="0.25">
      <c r="A915" s="52">
        <v>17923</v>
      </c>
      <c r="B915" s="52">
        <f>COUNTIF(Table5[PID],A915)</f>
        <v>1</v>
      </c>
      <c r="C915" s="52" t="str">
        <f>IF(COUNTIF(Table3[[#All],[PID]],A915)&gt;0,"P","B")</f>
        <v>P</v>
      </c>
      <c r="D915" s="61" t="str">
        <f>IF($C915="B",INDEX(Batters[[#All],[POS]],MATCH(Table5[[#This Row],[PID]],Batters[[#All],[PID]],0)),INDEX(Table3[[#All],[POS]],MATCH(Table5[[#This Row],[PID]],Table3[[#All],[PID]],0)))</f>
        <v>RP</v>
      </c>
      <c r="E915" s="54" t="str">
        <f>IF($C915="B",INDEX(Batters[[#All],[First]],MATCH(Table5[[#This Row],[PID]],Batters[[#All],[PID]],0)),INDEX(Table3[[#All],[First]],MATCH(Table5[[#This Row],[PID]],Table3[[#All],[PID]],0)))</f>
        <v>Moronobu</v>
      </c>
      <c r="F915" s="52" t="str">
        <f>IF($C915="B",INDEX(Batters[[#All],[Last]],MATCH(A915,Batters[[#All],[PID]],0)),INDEX(Table3[[#All],[Last]],MATCH(A915,Table3[[#All],[PID]],0)))</f>
        <v>Ishii</v>
      </c>
      <c r="G915" s="58">
        <f>IF($C915="B",INDEX(Batters[[#All],[Age]],MATCH(Table5[[#This Row],[PID]],Batters[[#All],[PID]],0)),INDEX(Table3[[#All],[Age]],MATCH(Table5[[#This Row],[PID]],Table3[[#All],[PID]],0)))</f>
        <v>18</v>
      </c>
      <c r="H915" s="54" t="str">
        <f>IF($C915="B",INDEX(Batters[[#All],[B]],MATCH(Table5[[#This Row],[PID]],Batters[[#All],[PID]],0)),INDEX(Table3[[#All],[B]],MATCH(Table5[[#This Row],[PID]],Table3[[#All],[PID]],0)))</f>
        <v>R</v>
      </c>
      <c r="I915" s="54" t="str">
        <f>IF($C915="B",INDEX(Batters[[#All],[T]],MATCH(Table5[[#This Row],[PID]],Batters[[#All],[PID]],0)),INDEX(Table3[[#All],[T]],MATCH(Table5[[#This Row],[PID]],Table3[[#All],[PID]],0)))</f>
        <v>R</v>
      </c>
      <c r="J915" s="54" t="str">
        <f>IF($C915="B",INDEX(Batters[[#All],[WE]],MATCH(Table5[[#This Row],[PID]],Batters[[#All],[PID]],0)),INDEX(Table3[[#All],[WE]],MATCH(Table5[[#This Row],[PID]],Table3[[#All],[PID]],0)))</f>
        <v>Low</v>
      </c>
      <c r="K915" s="54" t="str">
        <f>IF($C915="B",INDEX(Batters[[#All],[INT]],MATCH(Table5[[#This Row],[PID]],Batters[[#All],[PID]],0)),INDEX(Table3[[#All],[INT]],MATCH(Table5[[#This Row],[PID]],Table3[[#All],[PID]],0)))</f>
        <v>High</v>
      </c>
      <c r="L915" s="62">
        <f>IF($C915="B",INDEX(Batters[[#All],[CON P]],MATCH(Table5[[#This Row],[PID]],Batters[[#All],[PID]],0)),INDEX(Table3[[#All],[STU P]],MATCH(Table5[[#This Row],[PID]],Table3[[#All],[PID]],0)))</f>
        <v>4</v>
      </c>
      <c r="M915" s="58">
        <f>IF($C915="B",INDEX(Batters[[#All],[GAP P]],MATCH(Table5[[#This Row],[PID]],Batters[[#All],[PID]],0)),INDEX(Table3[[#All],[MOV P]],MATCH(Table5[[#This Row],[PID]],Table3[[#All],[PID]],0)))</f>
        <v>1</v>
      </c>
      <c r="N915" s="58">
        <f>IF($C915="B",INDEX(Batters[[#All],[POW P]],MATCH(Table5[[#This Row],[PID]],Batters[[#All],[PID]],0)),INDEX(Table3[[#All],[CON P]],MATCH(Table5[[#This Row],[PID]],Table3[[#All],[PID]],0)))</f>
        <v>2</v>
      </c>
      <c r="O915" s="58" t="str">
        <f>IF($C915="B",INDEX(Batters[[#All],[EYE P]],MATCH(Table5[[#This Row],[PID]],Batters[[#All],[PID]],0)),INDEX(Table3[[#All],[VELO]],MATCH(Table5[[#This Row],[PID]],Table3[[#All],[PID]],0)))</f>
        <v>87-89 Mph</v>
      </c>
      <c r="P915" s="58">
        <f>IF($C915="B",INDEX(Batters[[#All],[K P]],MATCH(Table5[[#This Row],[PID]],Batters[[#All],[PID]],0)),INDEX(Table3[[#All],[STM]],MATCH(Table5[[#This Row],[PID]],Table3[[#All],[PID]],0)))</f>
        <v>4</v>
      </c>
      <c r="Q915" s="63">
        <f>IF($C915="B",INDEX(Batters[[#All],[Tot]],MATCH(Table5[[#This Row],[PID]],Batters[[#All],[PID]],0)),INDEX(Table3[[#All],[Tot]],MATCH(Table5[[#This Row],[PID]],Table3[[#All],[PID]],0)))</f>
        <v>24.11140534111388</v>
      </c>
      <c r="R915" s="54">
        <f>IF($C915="B",INDEX(Batters[[#All],[zScore]],MATCH(Table5[[#This Row],[PID]],Batters[[#All],[PID]],0)),INDEX(Table3[[#All],[zScore]],MATCH(Table5[[#This Row],[PID]],Table3[[#All],[PID]],0)))</f>
        <v>-0.78965133706450341</v>
      </c>
      <c r="S915" s="60" t="str">
        <f>IF($C915="B",INDEX(Batters[[#All],[DEM]],MATCH(Table5[[#This Row],[PID]],Batters[[#All],[PID]],0)),INDEX(Table3[[#All],[DEM]],MATCH(Table5[[#This Row],[PID]],Table3[[#All],[PID]],0)))</f>
        <v>$130k</v>
      </c>
      <c r="T915" s="64">
        <f>IF($C915="B",VLOOKUP($A915,Bat!$A$4:$AU$1417,46,FALSE),VLOOKUP($A915,Pit!$A$4:$BD$570,55,FALSE))</f>
        <v>0</v>
      </c>
      <c r="U915" s="52">
        <f>IF($C915="B",VLOOKUP($A915,Bat!$A$4:$BA$1417,47,FALSE),VLOOKUP($A915,Pit!$A$4:$BF$570,56,FALSE))</f>
        <v>0</v>
      </c>
      <c r="V915" s="52">
        <f>IF($C915="B",VLOOKUP($A915,Bat!$A$4:$BA$1417,48,FALSE),VLOOKUP($A915,Pit!$A$4:$BF$570,57,FALSE))</f>
        <v>0</v>
      </c>
      <c r="W915" s="52">
        <f>Table5[[#This Row],[posRnk]]+Table5[[#This Row],[zRnk]]+IF($W$3&lt;&gt;Table5[[#This Row],[Type]],50,0)</f>
        <v>961</v>
      </c>
      <c r="X915" s="53">
        <f>RANK(Table5[[#This Row],[zScore]],Table5[[#All],[zScore]])</f>
        <v>911</v>
      </c>
      <c r="Y915" s="52" t="str">
        <f>IFERROR(INDEX(DraftResults[[#All],[OVR]],MATCH(Table5[[#This Row],[PID]],DraftResults[[#All],[Player ID]],0)),"")</f>
        <v/>
      </c>
      <c r="Z9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5" s="52" t="str">
        <f>IFERROR(INDEX(DraftResults[[#All],[Pick in Round]],MATCH(Table5[[#This Row],[PID]],DraftResults[[#All],[Player ID]],0)),"")</f>
        <v/>
      </c>
      <c r="AB915" s="52" t="str">
        <f>IFERROR(INDEX(DraftResults[[#All],[Team Name]],MATCH(Table5[[#This Row],[PID]],DraftResults[[#All],[Player ID]],0)),"")</f>
        <v/>
      </c>
      <c r="AC915" s="52" t="str">
        <f>IF(Table5[[#This Row],[Ovr]]="","",IF(Table5[[#This Row],[cmbList]]="","",Table5[[#This Row],[cmbList]]-Table5[[#This Row],[Ovr]]))</f>
        <v/>
      </c>
      <c r="AD915" s="56" t="str">
        <f>IF(ISERROR(VLOOKUP($AB915&amp;"-"&amp;$E915&amp;" "&amp;F915,Bonuses!$B$1:$G$1006,4,FALSE)),"",INT(VLOOKUP($AB915&amp;"-"&amp;$E915&amp;" "&amp;$F915,Bonuses!$B$1:$G$1006,4,FALSE)))</f>
        <v/>
      </c>
      <c r="AE9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6" spans="1:31" s="52" customFormat="1" x14ac:dyDescent="0.25">
      <c r="A916" s="52">
        <v>7050</v>
      </c>
      <c r="B916" s="52">
        <f>COUNTIF(Table5[PID],A916)</f>
        <v>1</v>
      </c>
      <c r="C916" s="52" t="str">
        <f>IF(COUNTIF(Table3[[#All],[PID]],A916)&gt;0,"P","B")</f>
        <v>B</v>
      </c>
      <c r="D916" s="61" t="str">
        <f>IF($C916="B",INDEX(Batters[[#All],[POS]],MATCH(Table5[[#This Row],[PID]],Batters[[#All],[PID]],0)),INDEX(Table3[[#All],[POS]],MATCH(Table5[[#This Row],[PID]],Table3[[#All],[PID]],0)))</f>
        <v>1B</v>
      </c>
      <c r="E916" s="54" t="str">
        <f>IF($C916="B",INDEX(Batters[[#All],[First]],MATCH(Table5[[#This Row],[PID]],Batters[[#All],[PID]],0)),INDEX(Table3[[#All],[First]],MATCH(Table5[[#This Row],[PID]],Table3[[#All],[PID]],0)))</f>
        <v>Orlando</v>
      </c>
      <c r="F916" s="52" t="str">
        <f>IF($C916="B",INDEX(Batters[[#All],[Last]],MATCH(A916,Batters[[#All],[PID]],0)),INDEX(Table3[[#All],[Last]],MATCH(A916,Table3[[#All],[PID]],0)))</f>
        <v>Bermúdez</v>
      </c>
      <c r="G916" s="58">
        <f>IF($C916="B",INDEX(Batters[[#All],[Age]],MATCH(Table5[[#This Row],[PID]],Batters[[#All],[PID]],0)),INDEX(Table3[[#All],[Age]],MATCH(Table5[[#This Row],[PID]],Table3[[#All],[PID]],0)))</f>
        <v>21</v>
      </c>
      <c r="H916" s="54" t="str">
        <f>IF($C916="B",INDEX(Batters[[#All],[B]],MATCH(Table5[[#This Row],[PID]],Batters[[#All],[PID]],0)),INDEX(Table3[[#All],[B]],MATCH(Table5[[#This Row],[PID]],Table3[[#All],[PID]],0)))</f>
        <v>R</v>
      </c>
      <c r="I916" s="54" t="str">
        <f>IF($C916="B",INDEX(Batters[[#All],[T]],MATCH(Table5[[#This Row],[PID]],Batters[[#All],[PID]],0)),INDEX(Table3[[#All],[T]],MATCH(Table5[[#This Row],[PID]],Table3[[#All],[PID]],0)))</f>
        <v>R</v>
      </c>
      <c r="J916" s="54" t="str">
        <f>IF($C916="B",INDEX(Batters[[#All],[WE]],MATCH(Table5[[#This Row],[PID]],Batters[[#All],[PID]],0)),INDEX(Table3[[#All],[WE]],MATCH(Table5[[#This Row],[PID]],Table3[[#All],[PID]],0)))</f>
        <v>Normal</v>
      </c>
      <c r="K916" s="54" t="str">
        <f>IF($C916="B",INDEX(Batters[[#All],[INT]],MATCH(Table5[[#This Row],[PID]],Batters[[#All],[PID]],0)),INDEX(Table3[[#All],[INT]],MATCH(Table5[[#This Row],[PID]],Table3[[#All],[PID]],0)))</f>
        <v>Normal</v>
      </c>
      <c r="L916" s="62">
        <f>IF($C916="B",INDEX(Batters[[#All],[CON P]],MATCH(Table5[[#This Row],[PID]],Batters[[#All],[PID]],0)),INDEX(Table3[[#All],[STU P]],MATCH(Table5[[#This Row],[PID]],Table3[[#All],[PID]],0)))</f>
        <v>4</v>
      </c>
      <c r="M916" s="58">
        <f>IF($C916="B",INDEX(Batters[[#All],[GAP P]],MATCH(Table5[[#This Row],[PID]],Batters[[#All],[PID]],0)),INDEX(Table3[[#All],[MOV P]],MATCH(Table5[[#This Row],[PID]],Table3[[#All],[PID]],0)))</f>
        <v>3</v>
      </c>
      <c r="N916" s="58">
        <f>IF($C916="B",INDEX(Batters[[#All],[POW P]],MATCH(Table5[[#This Row],[PID]],Batters[[#All],[PID]],0)),INDEX(Table3[[#All],[CON P]],MATCH(Table5[[#This Row],[PID]],Table3[[#All],[PID]],0)))</f>
        <v>2</v>
      </c>
      <c r="O916" s="58">
        <f>IF($C916="B",INDEX(Batters[[#All],[EYE P]],MATCH(Table5[[#This Row],[PID]],Batters[[#All],[PID]],0)),INDEX(Table3[[#All],[VELO]],MATCH(Table5[[#This Row],[PID]],Table3[[#All],[PID]],0)))</f>
        <v>1</v>
      </c>
      <c r="P916" s="58">
        <f>IF($C916="B",INDEX(Batters[[#All],[K P]],MATCH(Table5[[#This Row],[PID]],Batters[[#All],[PID]],0)),INDEX(Table3[[#All],[STM]],MATCH(Table5[[#This Row],[PID]],Table3[[#All],[PID]],0)))</f>
        <v>5</v>
      </c>
      <c r="Q916" s="63">
        <f>IF($C916="B",INDEX(Batters[[#All],[Tot]],MATCH(Table5[[#This Row],[PID]],Batters[[#All],[PID]],0)),INDEX(Table3[[#All],[Tot]],MATCH(Table5[[#This Row],[PID]],Table3[[#All],[PID]],0)))</f>
        <v>35.854449115250162</v>
      </c>
      <c r="R916" s="54">
        <f>IF($C916="B",INDEX(Batters[[#All],[zScore]],MATCH(Table5[[#This Row],[PID]],Batters[[#All],[PID]],0)),INDEX(Table3[[#All],[zScore]],MATCH(Table5[[#This Row],[PID]],Table3[[#All],[PID]],0)))</f>
        <v>-0.79065393369438652</v>
      </c>
      <c r="S916" s="60" t="str">
        <f>IF($C916="B",INDEX(Batters[[#All],[DEM]],MATCH(Table5[[#This Row],[PID]],Batters[[#All],[PID]],0)),INDEX(Table3[[#All],[DEM]],MATCH(Table5[[#This Row],[PID]],Table3[[#All],[PID]],0)))</f>
        <v>-</v>
      </c>
      <c r="T916" s="64">
        <f>IF($C916="B",VLOOKUP($A916,Bat!$A$4:$AU$1417,46,FALSE),VLOOKUP($A916,Pit!$A$4:$BD$570,55,FALSE))</f>
        <v>0</v>
      </c>
      <c r="U916" s="52">
        <f>IF($C916="B",VLOOKUP($A916,Bat!$A$4:$BA$1417,47,FALSE),VLOOKUP($A916,Pit!$A$4:$BF$570,56,FALSE))</f>
        <v>0</v>
      </c>
      <c r="V916" s="52">
        <f>IF($C916="B",VLOOKUP($A916,Bat!$A$4:$BA$1417,48,FALSE),VLOOKUP($A916,Pit!$A$4:$BF$570,57,FALSE))</f>
        <v>0</v>
      </c>
      <c r="W916" s="52">
        <f>Table5[[#This Row],[posRnk]]+Table5[[#This Row],[zRnk]]+IF($W$3&lt;&gt;Table5[[#This Row],[Type]],50,0)</f>
        <v>962</v>
      </c>
      <c r="X916" s="53">
        <f>RANK(Table5[[#This Row],[zScore]],Table5[[#All],[zScore]])</f>
        <v>912</v>
      </c>
      <c r="Y916" s="52" t="str">
        <f>IFERROR(INDEX(DraftResults[[#All],[OVR]],MATCH(Table5[[#This Row],[PID]],DraftResults[[#All],[Player ID]],0)),"")</f>
        <v/>
      </c>
      <c r="Z9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6" s="52" t="str">
        <f>IFERROR(INDEX(DraftResults[[#All],[Pick in Round]],MATCH(Table5[[#This Row],[PID]],DraftResults[[#All],[Player ID]],0)),"")</f>
        <v/>
      </c>
      <c r="AB916" s="52" t="str">
        <f>IFERROR(INDEX(DraftResults[[#All],[Team Name]],MATCH(Table5[[#This Row],[PID]],DraftResults[[#All],[Player ID]],0)),"")</f>
        <v/>
      </c>
      <c r="AC916" s="52" t="str">
        <f>IF(Table5[[#This Row],[Ovr]]="","",IF(Table5[[#This Row],[cmbList]]="","",Table5[[#This Row],[cmbList]]-Table5[[#This Row],[Ovr]]))</f>
        <v/>
      </c>
      <c r="AD916" s="56" t="str">
        <f>IF(ISERROR(VLOOKUP($AB916&amp;"-"&amp;$E916&amp;" "&amp;F916,Bonuses!$B$1:$G$1006,4,FALSE)),"",INT(VLOOKUP($AB916&amp;"-"&amp;$E916&amp;" "&amp;$F916,Bonuses!$B$1:$G$1006,4,FALSE)))</f>
        <v/>
      </c>
      <c r="AE9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7" spans="1:31" s="52" customFormat="1" x14ac:dyDescent="0.25">
      <c r="A917" s="52">
        <v>12934</v>
      </c>
      <c r="B917" s="52">
        <f>COUNTIF(Table5[PID],A917)</f>
        <v>1</v>
      </c>
      <c r="C917" s="52" t="str">
        <f>IF(COUNTIF(Table3[[#All],[PID]],A917)&gt;0,"P","B")</f>
        <v>P</v>
      </c>
      <c r="D917" s="61" t="str">
        <f>IF($C917="B",INDEX(Batters[[#All],[POS]],MATCH(Table5[[#This Row],[PID]],Batters[[#All],[PID]],0)),INDEX(Table3[[#All],[POS]],MATCH(Table5[[#This Row],[PID]],Table3[[#All],[PID]],0)))</f>
        <v>SP</v>
      </c>
      <c r="E917" s="54" t="str">
        <f>IF($C917="B",INDEX(Batters[[#All],[First]],MATCH(Table5[[#This Row],[PID]],Batters[[#All],[PID]],0)),INDEX(Table3[[#All],[First]],MATCH(Table5[[#This Row],[PID]],Table3[[#All],[PID]],0)))</f>
        <v>Kuniyuki</v>
      </c>
      <c r="F917" s="52" t="str">
        <f>IF($C917="B",INDEX(Batters[[#All],[Last]],MATCH(A917,Batters[[#All],[PID]],0)),INDEX(Table3[[#All],[Last]],MATCH(A917,Table3[[#All],[PID]],0)))</f>
        <v>Murata</v>
      </c>
      <c r="G917" s="58">
        <f>IF($C917="B",INDEX(Batters[[#All],[Age]],MATCH(Table5[[#This Row],[PID]],Batters[[#All],[PID]],0)),INDEX(Table3[[#All],[Age]],MATCH(Table5[[#This Row],[PID]],Table3[[#All],[PID]],0)))</f>
        <v>21</v>
      </c>
      <c r="H917" s="54" t="str">
        <f>IF($C917="B",INDEX(Batters[[#All],[B]],MATCH(Table5[[#This Row],[PID]],Batters[[#All],[PID]],0)),INDEX(Table3[[#All],[B]],MATCH(Table5[[#This Row],[PID]],Table3[[#All],[PID]],0)))</f>
        <v>L</v>
      </c>
      <c r="I917" s="54" t="str">
        <f>IF($C917="B",INDEX(Batters[[#All],[T]],MATCH(Table5[[#This Row],[PID]],Batters[[#All],[PID]],0)),INDEX(Table3[[#All],[T]],MATCH(Table5[[#This Row],[PID]],Table3[[#All],[PID]],0)))</f>
        <v>L</v>
      </c>
      <c r="J917" s="54" t="str">
        <f>IF($C917="B",INDEX(Batters[[#All],[WE]],MATCH(Table5[[#This Row],[PID]],Batters[[#All],[PID]],0)),INDEX(Table3[[#All],[WE]],MATCH(Table5[[#This Row],[PID]],Table3[[#All],[PID]],0)))</f>
        <v>Low</v>
      </c>
      <c r="K917" s="54" t="str">
        <f>IF($C917="B",INDEX(Batters[[#All],[INT]],MATCH(Table5[[#This Row],[PID]],Batters[[#All],[PID]],0)),INDEX(Table3[[#All],[INT]],MATCH(Table5[[#This Row],[PID]],Table3[[#All],[PID]],0)))</f>
        <v>Normal</v>
      </c>
      <c r="L917" s="62">
        <f>IF($C917="B",INDEX(Batters[[#All],[CON P]],MATCH(Table5[[#This Row],[PID]],Batters[[#All],[PID]],0)),INDEX(Table3[[#All],[STU P]],MATCH(Table5[[#This Row],[PID]],Table3[[#All],[PID]],0)))</f>
        <v>5</v>
      </c>
      <c r="M917" s="58">
        <f>IF($C917="B",INDEX(Batters[[#All],[GAP P]],MATCH(Table5[[#This Row],[PID]],Batters[[#All],[PID]],0)),INDEX(Table3[[#All],[MOV P]],MATCH(Table5[[#This Row],[PID]],Table3[[#All],[PID]],0)))</f>
        <v>1</v>
      </c>
      <c r="N917" s="58">
        <f>IF($C917="B",INDEX(Batters[[#All],[POW P]],MATCH(Table5[[#This Row],[PID]],Batters[[#All],[PID]],0)),INDEX(Table3[[#All],[CON P]],MATCH(Table5[[#This Row],[PID]],Table3[[#All],[PID]],0)))</f>
        <v>2</v>
      </c>
      <c r="O917" s="58" t="str">
        <f>IF($C917="B",INDEX(Batters[[#All],[EYE P]],MATCH(Table5[[#This Row],[PID]],Batters[[#All],[PID]],0)),INDEX(Table3[[#All],[VELO]],MATCH(Table5[[#This Row],[PID]],Table3[[#All],[PID]],0)))</f>
        <v>95-97 Mph</v>
      </c>
      <c r="P917" s="58">
        <f>IF($C917="B",INDEX(Batters[[#All],[K P]],MATCH(Table5[[#This Row],[PID]],Batters[[#All],[PID]],0)),INDEX(Table3[[#All],[STM]],MATCH(Table5[[#This Row],[PID]],Table3[[#All],[PID]],0)))</f>
        <v>3</v>
      </c>
      <c r="Q917" s="63">
        <f>IF($C917="B",INDEX(Batters[[#All],[Tot]],MATCH(Table5[[#This Row],[PID]],Batters[[#All],[PID]],0)),INDEX(Table3[[#All],[Tot]],MATCH(Table5[[#This Row],[PID]],Table3[[#All],[PID]],0)))</f>
        <v>24.091158451367171</v>
      </c>
      <c r="R917" s="54">
        <f>IF($C917="B",INDEX(Batters[[#All],[zScore]],MATCH(Table5[[#This Row],[PID]],Batters[[#All],[PID]],0)),INDEX(Table3[[#All],[zScore]],MATCH(Table5[[#This Row],[PID]],Table3[[#All],[PID]],0)))</f>
        <v>-0.79150806339130209</v>
      </c>
      <c r="S917" s="60" t="str">
        <f>IF($C917="B",INDEX(Batters[[#All],[DEM]],MATCH(Table5[[#This Row],[PID]],Batters[[#All],[PID]],0)),INDEX(Table3[[#All],[DEM]],MATCH(Table5[[#This Row],[PID]],Table3[[#All],[PID]],0)))</f>
        <v>-</v>
      </c>
      <c r="T917" s="64">
        <f>IF($C917="B",VLOOKUP($A917,Bat!$A$4:$AU$1417,46,FALSE),VLOOKUP($A917,Pit!$A$4:$BD$570,55,FALSE))</f>
        <v>0</v>
      </c>
      <c r="U917" s="52">
        <f>IF($C917="B",VLOOKUP($A917,Bat!$A$4:$BA$1417,47,FALSE),VLOOKUP($A917,Pit!$A$4:$BF$570,56,FALSE))</f>
        <v>0</v>
      </c>
      <c r="V917" s="52">
        <f>IF($C917="B",VLOOKUP($A917,Bat!$A$4:$BA$1417,48,FALSE),VLOOKUP($A917,Pit!$A$4:$BF$570,57,FALSE))</f>
        <v>0</v>
      </c>
      <c r="W917" s="52">
        <f>Table5[[#This Row],[posRnk]]+Table5[[#This Row],[zRnk]]+IF($W$3&lt;&gt;Table5[[#This Row],[Type]],50,0)</f>
        <v>963</v>
      </c>
      <c r="X917" s="53">
        <f>RANK(Table5[[#This Row],[zScore]],Table5[[#All],[zScore]])</f>
        <v>913</v>
      </c>
      <c r="Y917" s="52" t="str">
        <f>IFERROR(INDEX(DraftResults[[#All],[OVR]],MATCH(Table5[[#This Row],[PID]],DraftResults[[#All],[Player ID]],0)),"")</f>
        <v/>
      </c>
      <c r="Z9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7" s="52" t="str">
        <f>IFERROR(INDEX(DraftResults[[#All],[Pick in Round]],MATCH(Table5[[#This Row],[PID]],DraftResults[[#All],[Player ID]],0)),"")</f>
        <v/>
      </c>
      <c r="AB917" s="52" t="str">
        <f>IFERROR(INDEX(DraftResults[[#All],[Team Name]],MATCH(Table5[[#This Row],[PID]],DraftResults[[#All],[Player ID]],0)),"")</f>
        <v/>
      </c>
      <c r="AC917" s="52" t="str">
        <f>IF(Table5[[#This Row],[Ovr]]="","",IF(Table5[[#This Row],[cmbList]]="","",Table5[[#This Row],[cmbList]]-Table5[[#This Row],[Ovr]]))</f>
        <v/>
      </c>
      <c r="AD917" s="56" t="str">
        <f>IF(ISERROR(VLOOKUP($AB917&amp;"-"&amp;$E917&amp;" "&amp;F917,Bonuses!$B$1:$G$1006,4,FALSE)),"",INT(VLOOKUP($AB917&amp;"-"&amp;$E917&amp;" "&amp;$F917,Bonuses!$B$1:$G$1006,4,FALSE)))</f>
        <v/>
      </c>
      <c r="AE9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8" spans="1:31" s="52" customFormat="1" x14ac:dyDescent="0.25">
      <c r="A918" s="52">
        <v>17899</v>
      </c>
      <c r="B918" s="52">
        <f>COUNTIF(Table5[PID],A918)</f>
        <v>1</v>
      </c>
      <c r="C918" s="52" t="str">
        <f>IF(COUNTIF(Table3[[#All],[PID]],A918)&gt;0,"P","B")</f>
        <v>P</v>
      </c>
      <c r="D918" s="61" t="str">
        <f>IF($C918="B",INDEX(Batters[[#All],[POS]],MATCH(Table5[[#This Row],[PID]],Batters[[#All],[PID]],0)),INDEX(Table3[[#All],[POS]],MATCH(Table5[[#This Row],[PID]],Table3[[#All],[PID]],0)))</f>
        <v>RP</v>
      </c>
      <c r="E918" s="54" t="str">
        <f>IF($C918="B",INDEX(Batters[[#All],[First]],MATCH(Table5[[#This Row],[PID]],Batters[[#All],[PID]],0)),INDEX(Table3[[#All],[First]],MATCH(Table5[[#This Row],[PID]],Table3[[#All],[PID]],0)))</f>
        <v>Hidetoshi</v>
      </c>
      <c r="F918" s="52" t="str">
        <f>IF($C918="B",INDEX(Batters[[#All],[Last]],MATCH(A918,Batters[[#All],[PID]],0)),INDEX(Table3[[#All],[Last]],MATCH(A918,Table3[[#All],[PID]],0)))</f>
        <v>Tamura</v>
      </c>
      <c r="G918" s="58">
        <f>IF($C918="B",INDEX(Batters[[#All],[Age]],MATCH(Table5[[#This Row],[PID]],Batters[[#All],[PID]],0)),INDEX(Table3[[#All],[Age]],MATCH(Table5[[#This Row],[PID]],Table3[[#All],[PID]],0)))</f>
        <v>18</v>
      </c>
      <c r="H918" s="54" t="str">
        <f>IF($C918="B",INDEX(Batters[[#All],[B]],MATCH(Table5[[#This Row],[PID]],Batters[[#All],[PID]],0)),INDEX(Table3[[#All],[B]],MATCH(Table5[[#This Row],[PID]],Table3[[#All],[PID]],0)))</f>
        <v>S</v>
      </c>
      <c r="I918" s="54" t="str">
        <f>IF($C918="B",INDEX(Batters[[#All],[T]],MATCH(Table5[[#This Row],[PID]],Batters[[#All],[PID]],0)),INDEX(Table3[[#All],[T]],MATCH(Table5[[#This Row],[PID]],Table3[[#All],[PID]],0)))</f>
        <v>R</v>
      </c>
      <c r="J918" s="54" t="str">
        <f>IF($C918="B",INDEX(Batters[[#All],[WE]],MATCH(Table5[[#This Row],[PID]],Batters[[#All],[PID]],0)),INDEX(Table3[[#All],[WE]],MATCH(Table5[[#This Row],[PID]],Table3[[#All],[PID]],0)))</f>
        <v>Low</v>
      </c>
      <c r="K918" s="54" t="str">
        <f>IF($C918="B",INDEX(Batters[[#All],[INT]],MATCH(Table5[[#This Row],[PID]],Batters[[#All],[PID]],0)),INDEX(Table3[[#All],[INT]],MATCH(Table5[[#This Row],[PID]],Table3[[#All],[PID]],0)))</f>
        <v>Normal</v>
      </c>
      <c r="L918" s="62">
        <f>IF($C918="B",INDEX(Batters[[#All],[CON P]],MATCH(Table5[[#This Row],[PID]],Batters[[#All],[PID]],0)),INDEX(Table3[[#All],[STU P]],MATCH(Table5[[#This Row],[PID]],Table3[[#All],[PID]],0)))</f>
        <v>4</v>
      </c>
      <c r="M918" s="58">
        <f>IF($C918="B",INDEX(Batters[[#All],[GAP P]],MATCH(Table5[[#This Row],[PID]],Batters[[#All],[PID]],0)),INDEX(Table3[[#All],[MOV P]],MATCH(Table5[[#This Row],[PID]],Table3[[#All],[PID]],0)))</f>
        <v>1</v>
      </c>
      <c r="N918" s="58">
        <f>IF($C918="B",INDEX(Batters[[#All],[POW P]],MATCH(Table5[[#This Row],[PID]],Batters[[#All],[PID]],0)),INDEX(Table3[[#All],[CON P]],MATCH(Table5[[#This Row],[PID]],Table3[[#All],[PID]],0)))</f>
        <v>2</v>
      </c>
      <c r="O918" s="58" t="str">
        <f>IF($C918="B",INDEX(Batters[[#All],[EYE P]],MATCH(Table5[[#This Row],[PID]],Batters[[#All],[PID]],0)),INDEX(Table3[[#All],[VELO]],MATCH(Table5[[#This Row],[PID]],Table3[[#All],[PID]],0)))</f>
        <v>87-89 Mph</v>
      </c>
      <c r="P918" s="58">
        <f>IF($C918="B",INDEX(Batters[[#All],[K P]],MATCH(Table5[[#This Row],[PID]],Batters[[#All],[PID]],0)),INDEX(Table3[[#All],[STM]],MATCH(Table5[[#This Row],[PID]],Table3[[#All],[PID]],0)))</f>
        <v>8</v>
      </c>
      <c r="Q918" s="63">
        <f>IF($C918="B",INDEX(Batters[[#All],[Tot]],MATCH(Table5[[#This Row],[PID]],Batters[[#All],[PID]],0)),INDEX(Table3[[#All],[Tot]],MATCH(Table5[[#This Row],[PID]],Table3[[#All],[PID]],0)))</f>
        <v>24.067804199428565</v>
      </c>
      <c r="R918" s="54">
        <f>IF($C918="B",INDEX(Batters[[#All],[zScore]],MATCH(Table5[[#This Row],[PID]],Batters[[#All],[PID]],0)),INDEX(Table3[[#All],[zScore]],MATCH(Table5[[#This Row],[PID]],Table3[[#All],[PID]],0)))</f>
        <v>-0.79364974811224298</v>
      </c>
      <c r="S918" s="60" t="str">
        <f>IF($C918="B",INDEX(Batters[[#All],[DEM]],MATCH(Table5[[#This Row],[PID]],Batters[[#All],[PID]],0)),INDEX(Table3[[#All],[DEM]],MATCH(Table5[[#This Row],[PID]],Table3[[#All],[PID]],0)))</f>
        <v>$70k</v>
      </c>
      <c r="T918" s="64">
        <f>IF($C918="B",VLOOKUP($A918,Bat!$A$4:$AU$1417,46,FALSE),VLOOKUP($A918,Pit!$A$4:$BD$570,55,FALSE))</f>
        <v>0</v>
      </c>
      <c r="U918" s="52">
        <f>IF($C918="B",VLOOKUP($A918,Bat!$A$4:$BA$1417,47,FALSE),VLOOKUP($A918,Pit!$A$4:$BF$570,56,FALSE))</f>
        <v>0</v>
      </c>
      <c r="V918" s="52">
        <f>IF($C918="B",VLOOKUP($A918,Bat!$A$4:$BA$1417,48,FALSE),VLOOKUP($A918,Pit!$A$4:$BF$570,57,FALSE))</f>
        <v>0</v>
      </c>
      <c r="W918" s="52">
        <f>Table5[[#This Row],[posRnk]]+Table5[[#This Row],[zRnk]]+IF($W$3&lt;&gt;Table5[[#This Row],[Type]],50,0)</f>
        <v>964</v>
      </c>
      <c r="X918" s="53">
        <f>RANK(Table5[[#This Row],[zScore]],Table5[[#All],[zScore]])</f>
        <v>914</v>
      </c>
      <c r="Y918" s="52" t="str">
        <f>IFERROR(INDEX(DraftResults[[#All],[OVR]],MATCH(Table5[[#This Row],[PID]],DraftResults[[#All],[Player ID]],0)),"")</f>
        <v/>
      </c>
      <c r="Z9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8" s="52" t="str">
        <f>IFERROR(INDEX(DraftResults[[#All],[Pick in Round]],MATCH(Table5[[#This Row],[PID]],DraftResults[[#All],[Player ID]],0)),"")</f>
        <v/>
      </c>
      <c r="AB918" s="52" t="str">
        <f>IFERROR(INDEX(DraftResults[[#All],[Team Name]],MATCH(Table5[[#This Row],[PID]],DraftResults[[#All],[Player ID]],0)),"")</f>
        <v/>
      </c>
      <c r="AC918" s="52" t="str">
        <f>IF(Table5[[#This Row],[Ovr]]="","",IF(Table5[[#This Row],[cmbList]]="","",Table5[[#This Row],[cmbList]]-Table5[[#This Row],[Ovr]]))</f>
        <v/>
      </c>
      <c r="AD918" s="56" t="str">
        <f>IF(ISERROR(VLOOKUP($AB918&amp;"-"&amp;$E918&amp;" "&amp;F918,Bonuses!$B$1:$G$1006,4,FALSE)),"",INT(VLOOKUP($AB918&amp;"-"&amp;$E918&amp;" "&amp;$F918,Bonuses!$B$1:$G$1006,4,FALSE)))</f>
        <v/>
      </c>
      <c r="AE9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9" spans="1:31" s="52" customFormat="1" x14ac:dyDescent="0.25">
      <c r="A919" s="52">
        <v>12083</v>
      </c>
      <c r="B919" s="52">
        <f>COUNTIF(Table5[PID],A919)</f>
        <v>1</v>
      </c>
      <c r="C919" s="52" t="str">
        <f>IF(COUNTIF(Table3[[#All],[PID]],A919)&gt;0,"P","B")</f>
        <v>P</v>
      </c>
      <c r="D919" s="61" t="str">
        <f>IF($C919="B",INDEX(Batters[[#All],[POS]],MATCH(Table5[[#This Row],[PID]],Batters[[#All],[PID]],0)),INDEX(Table3[[#All],[POS]],MATCH(Table5[[#This Row],[PID]],Table3[[#All],[PID]],0)))</f>
        <v>RP</v>
      </c>
      <c r="E919" s="54" t="str">
        <f>IF($C919="B",INDEX(Batters[[#All],[First]],MATCH(Table5[[#This Row],[PID]],Batters[[#All],[PID]],0)),INDEX(Table3[[#All],[First]],MATCH(Table5[[#This Row],[PID]],Table3[[#All],[PID]],0)))</f>
        <v>Carl</v>
      </c>
      <c r="F919" s="52" t="str">
        <f>IF($C919="B",INDEX(Batters[[#All],[Last]],MATCH(A919,Batters[[#All],[PID]],0)),INDEX(Table3[[#All],[Last]],MATCH(A919,Table3[[#All],[PID]],0)))</f>
        <v>Beard</v>
      </c>
      <c r="G919" s="58">
        <f>IF($C919="B",INDEX(Batters[[#All],[Age]],MATCH(Table5[[#This Row],[PID]],Batters[[#All],[PID]],0)),INDEX(Table3[[#All],[Age]],MATCH(Table5[[#This Row],[PID]],Table3[[#All],[PID]],0)))</f>
        <v>21</v>
      </c>
      <c r="H919" s="54" t="str">
        <f>IF($C919="B",INDEX(Batters[[#All],[B]],MATCH(Table5[[#This Row],[PID]],Batters[[#All],[PID]],0)),INDEX(Table3[[#All],[B]],MATCH(Table5[[#This Row],[PID]],Table3[[#All],[PID]],0)))</f>
        <v>R</v>
      </c>
      <c r="I919" s="54" t="str">
        <f>IF($C919="B",INDEX(Batters[[#All],[T]],MATCH(Table5[[#This Row],[PID]],Batters[[#All],[PID]],0)),INDEX(Table3[[#All],[T]],MATCH(Table5[[#This Row],[PID]],Table3[[#All],[PID]],0)))</f>
        <v>R</v>
      </c>
      <c r="J919" s="54" t="str">
        <f>IF($C919="B",INDEX(Batters[[#All],[WE]],MATCH(Table5[[#This Row],[PID]],Batters[[#All],[PID]],0)),INDEX(Table3[[#All],[WE]],MATCH(Table5[[#This Row],[PID]],Table3[[#All],[PID]],0)))</f>
        <v>Normal</v>
      </c>
      <c r="K919" s="54" t="str">
        <f>IF($C919="B",INDEX(Batters[[#All],[INT]],MATCH(Table5[[#This Row],[PID]],Batters[[#All],[PID]],0)),INDEX(Table3[[#All],[INT]],MATCH(Table5[[#This Row],[PID]],Table3[[#All],[PID]],0)))</f>
        <v>Normal</v>
      </c>
      <c r="L919" s="62">
        <f>IF($C919="B",INDEX(Batters[[#All],[CON P]],MATCH(Table5[[#This Row],[PID]],Batters[[#All],[PID]],0)),INDEX(Table3[[#All],[STU P]],MATCH(Table5[[#This Row],[PID]],Table3[[#All],[PID]],0)))</f>
        <v>5</v>
      </c>
      <c r="M919" s="58">
        <f>IF($C919="B",INDEX(Batters[[#All],[GAP P]],MATCH(Table5[[#This Row],[PID]],Batters[[#All],[PID]],0)),INDEX(Table3[[#All],[MOV P]],MATCH(Table5[[#This Row],[PID]],Table3[[#All],[PID]],0)))</f>
        <v>1</v>
      </c>
      <c r="N919" s="58">
        <f>IF($C919="B",INDEX(Batters[[#All],[POW P]],MATCH(Table5[[#This Row],[PID]],Batters[[#All],[PID]],0)),INDEX(Table3[[#All],[CON P]],MATCH(Table5[[#This Row],[PID]],Table3[[#All],[PID]],0)))</f>
        <v>2</v>
      </c>
      <c r="O919" s="58" t="str">
        <f>IF($C919="B",INDEX(Batters[[#All],[EYE P]],MATCH(Table5[[#This Row],[PID]],Batters[[#All],[PID]],0)),INDEX(Table3[[#All],[VELO]],MATCH(Table5[[#This Row],[PID]],Table3[[#All],[PID]],0)))</f>
        <v>93-95 Mph</v>
      </c>
      <c r="P919" s="58">
        <f>IF($C919="B",INDEX(Batters[[#All],[K P]],MATCH(Table5[[#This Row],[PID]],Batters[[#All],[PID]],0)),INDEX(Table3[[#All],[STM]],MATCH(Table5[[#This Row],[PID]],Table3[[#All],[PID]],0)))</f>
        <v>8</v>
      </c>
      <c r="Q919" s="63">
        <f>IF($C919="B",INDEX(Batters[[#All],[Tot]],MATCH(Table5[[#This Row],[PID]],Batters[[#All],[PID]],0)),INDEX(Table3[[#All],[Tot]],MATCH(Table5[[#This Row],[PID]],Table3[[#All],[PID]],0)))</f>
        <v>24.029244899901105</v>
      </c>
      <c r="R919" s="54">
        <f>IF($C919="B",INDEX(Batters[[#All],[zScore]],MATCH(Table5[[#This Row],[PID]],Batters[[#All],[PID]],0)),INDEX(Table3[[#All],[zScore]],MATCH(Table5[[#This Row],[PID]],Table3[[#All],[PID]],0)))</f>
        <v>-0.79718580068482092</v>
      </c>
      <c r="S919" s="60" t="str">
        <f>IF($C919="B",INDEX(Batters[[#All],[DEM]],MATCH(Table5[[#This Row],[PID]],Batters[[#All],[PID]],0)),INDEX(Table3[[#All],[DEM]],MATCH(Table5[[#This Row],[PID]],Table3[[#All],[PID]],0)))</f>
        <v>$20k</v>
      </c>
      <c r="T919" s="64">
        <f>IF($C919="B",VLOOKUP($A919,Bat!$A$4:$AU$1417,46,FALSE),VLOOKUP($A919,Pit!$A$4:$BD$570,55,FALSE))</f>
        <v>0</v>
      </c>
      <c r="U919" s="52">
        <f>IF($C919="B",VLOOKUP($A919,Bat!$A$4:$BA$1417,47,FALSE),VLOOKUP($A919,Pit!$A$4:$BF$570,56,FALSE))</f>
        <v>0</v>
      </c>
      <c r="V919" s="52">
        <f>IF($C919="B",VLOOKUP($A919,Bat!$A$4:$BA$1417,48,FALSE),VLOOKUP($A919,Pit!$A$4:$BF$570,57,FALSE))</f>
        <v>0</v>
      </c>
      <c r="W919" s="52">
        <f>Table5[[#This Row],[posRnk]]+Table5[[#This Row],[zRnk]]+IF($W$3&lt;&gt;Table5[[#This Row],[Type]],50,0)</f>
        <v>965</v>
      </c>
      <c r="X919" s="53">
        <f>RANK(Table5[[#This Row],[zScore]],Table5[[#All],[zScore]])</f>
        <v>915</v>
      </c>
      <c r="Y919" s="52" t="str">
        <f>IFERROR(INDEX(DraftResults[[#All],[OVR]],MATCH(Table5[[#This Row],[PID]],DraftResults[[#All],[Player ID]],0)),"")</f>
        <v/>
      </c>
      <c r="Z9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9" s="52" t="str">
        <f>IFERROR(INDEX(DraftResults[[#All],[Pick in Round]],MATCH(Table5[[#This Row],[PID]],DraftResults[[#All],[Player ID]],0)),"")</f>
        <v/>
      </c>
      <c r="AB919" s="52" t="str">
        <f>IFERROR(INDEX(DraftResults[[#All],[Team Name]],MATCH(Table5[[#This Row],[PID]],DraftResults[[#All],[Player ID]],0)),"")</f>
        <v/>
      </c>
      <c r="AC919" s="52" t="str">
        <f>IF(Table5[[#This Row],[Ovr]]="","",IF(Table5[[#This Row],[cmbList]]="","",Table5[[#This Row],[cmbList]]-Table5[[#This Row],[Ovr]]))</f>
        <v/>
      </c>
      <c r="AD919" s="56" t="str">
        <f>IF(ISERROR(VLOOKUP($AB919&amp;"-"&amp;$E919&amp;" "&amp;F919,Bonuses!$B$1:$G$1006,4,FALSE)),"",INT(VLOOKUP($AB919&amp;"-"&amp;$E919&amp;" "&amp;$F919,Bonuses!$B$1:$G$1006,4,FALSE)))</f>
        <v/>
      </c>
      <c r="AE9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0" spans="1:31" s="52" customFormat="1" x14ac:dyDescent="0.25">
      <c r="A920" s="52">
        <v>5507</v>
      </c>
      <c r="B920" s="52">
        <f>COUNTIF(Table5[PID],A920)</f>
        <v>1</v>
      </c>
      <c r="C920" s="52" t="str">
        <f>IF(COUNTIF(Table3[[#All],[PID]],A920)&gt;0,"P","B")</f>
        <v>P</v>
      </c>
      <c r="D920" s="61" t="str">
        <f>IF($C920="B",INDEX(Batters[[#All],[POS]],MATCH(Table5[[#This Row],[PID]],Batters[[#All],[PID]],0)),INDEX(Table3[[#All],[POS]],MATCH(Table5[[#This Row],[PID]],Table3[[#All],[PID]],0)))</f>
        <v>RP</v>
      </c>
      <c r="E920" s="54" t="str">
        <f>IF($C920="B",INDEX(Batters[[#All],[First]],MATCH(Table5[[#This Row],[PID]],Batters[[#All],[PID]],0)),INDEX(Table3[[#All],[First]],MATCH(Table5[[#This Row],[PID]],Table3[[#All],[PID]],0)))</f>
        <v>Randy</v>
      </c>
      <c r="F920" s="52" t="str">
        <f>IF($C920="B",INDEX(Batters[[#All],[Last]],MATCH(A920,Batters[[#All],[PID]],0)),INDEX(Table3[[#All],[Last]],MATCH(A920,Table3[[#All],[PID]],0)))</f>
        <v>Ray</v>
      </c>
      <c r="G920" s="58">
        <f>IF($C920="B",INDEX(Batters[[#All],[Age]],MATCH(Table5[[#This Row],[PID]],Batters[[#All],[PID]],0)),INDEX(Table3[[#All],[Age]],MATCH(Table5[[#This Row],[PID]],Table3[[#All],[PID]],0)))</f>
        <v>18</v>
      </c>
      <c r="H920" s="54" t="str">
        <f>IF($C920="B",INDEX(Batters[[#All],[B]],MATCH(Table5[[#This Row],[PID]],Batters[[#All],[PID]],0)),INDEX(Table3[[#All],[B]],MATCH(Table5[[#This Row],[PID]],Table3[[#All],[PID]],0)))</f>
        <v>R</v>
      </c>
      <c r="I920" s="54" t="str">
        <f>IF($C920="B",INDEX(Batters[[#All],[T]],MATCH(Table5[[#This Row],[PID]],Batters[[#All],[PID]],0)),INDEX(Table3[[#All],[T]],MATCH(Table5[[#This Row],[PID]],Table3[[#All],[PID]],0)))</f>
        <v>R</v>
      </c>
      <c r="J920" s="54" t="str">
        <f>IF($C920="B",INDEX(Batters[[#All],[WE]],MATCH(Table5[[#This Row],[PID]],Batters[[#All],[PID]],0)),INDEX(Table3[[#All],[WE]],MATCH(Table5[[#This Row],[PID]],Table3[[#All],[PID]],0)))</f>
        <v>Normal</v>
      </c>
      <c r="K920" s="54" t="str">
        <f>IF($C920="B",INDEX(Batters[[#All],[INT]],MATCH(Table5[[#This Row],[PID]],Batters[[#All],[PID]],0)),INDEX(Table3[[#All],[INT]],MATCH(Table5[[#This Row],[PID]],Table3[[#All],[PID]],0)))</f>
        <v>Normal</v>
      </c>
      <c r="L920" s="62">
        <f>IF($C920="B",INDEX(Batters[[#All],[CON P]],MATCH(Table5[[#This Row],[PID]],Batters[[#All],[PID]],0)),INDEX(Table3[[#All],[STU P]],MATCH(Table5[[#This Row],[PID]],Table3[[#All],[PID]],0)))</f>
        <v>3</v>
      </c>
      <c r="M920" s="58">
        <f>IF($C920="B",INDEX(Batters[[#All],[GAP P]],MATCH(Table5[[#This Row],[PID]],Batters[[#All],[PID]],0)),INDEX(Table3[[#All],[MOV P]],MATCH(Table5[[#This Row],[PID]],Table3[[#All],[PID]],0)))</f>
        <v>1</v>
      </c>
      <c r="N920" s="58">
        <f>IF($C920="B",INDEX(Batters[[#All],[POW P]],MATCH(Table5[[#This Row],[PID]],Batters[[#All],[PID]],0)),INDEX(Table3[[#All],[CON P]],MATCH(Table5[[#This Row],[PID]],Table3[[#All],[PID]],0)))</f>
        <v>2</v>
      </c>
      <c r="O920" s="58" t="str">
        <f>IF($C920="B",INDEX(Batters[[#All],[EYE P]],MATCH(Table5[[#This Row],[PID]],Batters[[#All],[PID]],0)),INDEX(Table3[[#All],[VELO]],MATCH(Table5[[#This Row],[PID]],Table3[[#All],[PID]],0)))</f>
        <v>87-89 Mph</v>
      </c>
      <c r="P920" s="58">
        <f>IF($C920="B",INDEX(Batters[[#All],[K P]],MATCH(Table5[[#This Row],[PID]],Batters[[#All],[PID]],0)),INDEX(Table3[[#All],[STM]],MATCH(Table5[[#This Row],[PID]],Table3[[#All],[PID]],0)))</f>
        <v>6</v>
      </c>
      <c r="Q920" s="63">
        <f>IF($C920="B",INDEX(Batters[[#All],[Tot]],MATCH(Table5[[#This Row],[PID]],Batters[[#All],[PID]],0)),INDEX(Table3[[#All],[Tot]],MATCH(Table5[[#This Row],[PID]],Table3[[#All],[PID]],0)))</f>
        <v>21.262128266513972</v>
      </c>
      <c r="R920" s="54">
        <f>IF($C920="B",INDEX(Batters[[#All],[zScore]],MATCH(Table5[[#This Row],[PID]],Batters[[#All],[PID]],0)),INDEX(Table3[[#All],[zScore]],MATCH(Table5[[#This Row],[PID]],Table3[[#All],[PID]],0)))</f>
        <v>-0.80045009200073347</v>
      </c>
      <c r="S920" s="60" t="str">
        <f>IF($C920="B",INDEX(Batters[[#All],[DEM]],MATCH(Table5[[#This Row],[PID]],Batters[[#All],[PID]],0)),INDEX(Table3[[#All],[DEM]],MATCH(Table5[[#This Row],[PID]],Table3[[#All],[PID]],0)))</f>
        <v>$75k</v>
      </c>
      <c r="T920" s="64">
        <f>IF($C920="B",VLOOKUP($A920,Bat!$A$4:$AU$1417,46,FALSE),VLOOKUP($A920,Pit!$A$4:$BD$570,55,FALSE))</f>
        <v>0</v>
      </c>
      <c r="U920" s="52">
        <f>IF($C920="B",VLOOKUP($A920,Bat!$A$4:$BA$1417,47,FALSE),VLOOKUP($A920,Pit!$A$4:$BF$570,56,FALSE))</f>
        <v>0</v>
      </c>
      <c r="V920" s="52">
        <f>IF($C920="B",VLOOKUP($A920,Bat!$A$4:$BA$1417,48,FALSE),VLOOKUP($A920,Pit!$A$4:$BF$570,57,FALSE))</f>
        <v>0</v>
      </c>
      <c r="W920" s="52">
        <f>Table5[[#This Row],[posRnk]]+Table5[[#This Row],[zRnk]]+IF($W$3&lt;&gt;Table5[[#This Row],[Type]],50,0)</f>
        <v>966</v>
      </c>
      <c r="X920" s="53">
        <f>RANK(Table5[[#This Row],[zScore]],Table5[[#All],[zScore]])</f>
        <v>916</v>
      </c>
      <c r="Y920" s="52" t="str">
        <f>IFERROR(INDEX(DraftResults[[#All],[OVR]],MATCH(Table5[[#This Row],[PID]],DraftResults[[#All],[Player ID]],0)),"")</f>
        <v/>
      </c>
      <c r="Z9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0" s="52" t="str">
        <f>IFERROR(INDEX(DraftResults[[#All],[Pick in Round]],MATCH(Table5[[#This Row],[PID]],DraftResults[[#All],[Player ID]],0)),"")</f>
        <v/>
      </c>
      <c r="AB920" s="52" t="str">
        <f>IFERROR(INDEX(DraftResults[[#All],[Team Name]],MATCH(Table5[[#This Row],[PID]],DraftResults[[#All],[Player ID]],0)),"")</f>
        <v/>
      </c>
      <c r="AC920" s="52" t="str">
        <f>IF(Table5[[#This Row],[Ovr]]="","",IF(Table5[[#This Row],[cmbList]]="","",Table5[[#This Row],[cmbList]]-Table5[[#This Row],[Ovr]]))</f>
        <v/>
      </c>
      <c r="AD920" s="56" t="str">
        <f>IF(ISERROR(VLOOKUP($AB920&amp;"-"&amp;$E920&amp;" "&amp;F920,Bonuses!$B$1:$G$1006,4,FALSE)),"",INT(VLOOKUP($AB920&amp;"-"&amp;$E920&amp;" "&amp;$F920,Bonuses!$B$1:$G$1006,4,FALSE)))</f>
        <v/>
      </c>
      <c r="AE9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1" spans="1:31" s="52" customFormat="1" x14ac:dyDescent="0.25">
      <c r="A921" s="52">
        <v>13268</v>
      </c>
      <c r="B921" s="52">
        <f>COUNTIF(Table5[PID],A921)</f>
        <v>1</v>
      </c>
      <c r="C921" s="52" t="str">
        <f>IF(COUNTIF(Table3[[#All],[PID]],A921)&gt;0,"P","B")</f>
        <v>P</v>
      </c>
      <c r="D921" s="61" t="str">
        <f>IF($C921="B",INDEX(Batters[[#All],[POS]],MATCH(Table5[[#This Row],[PID]],Batters[[#All],[PID]],0)),INDEX(Table3[[#All],[POS]],MATCH(Table5[[#This Row],[PID]],Table3[[#All],[PID]],0)))</f>
        <v>RP</v>
      </c>
      <c r="E921" s="54" t="str">
        <f>IF($C921="B",INDEX(Batters[[#All],[First]],MATCH(Table5[[#This Row],[PID]],Batters[[#All],[PID]],0)),INDEX(Table3[[#All],[First]],MATCH(Table5[[#This Row],[PID]],Table3[[#All],[PID]],0)))</f>
        <v>Shigetoki</v>
      </c>
      <c r="F921" s="52" t="str">
        <f>IF($C921="B",INDEX(Batters[[#All],[Last]],MATCH(A921,Batters[[#All],[PID]],0)),INDEX(Table3[[#All],[Last]],MATCH(A921,Table3[[#All],[PID]],0)))</f>
        <v>Ota</v>
      </c>
      <c r="G921" s="58">
        <f>IF($C921="B",INDEX(Batters[[#All],[Age]],MATCH(Table5[[#This Row],[PID]],Batters[[#All],[PID]],0)),INDEX(Table3[[#All],[Age]],MATCH(Table5[[#This Row],[PID]],Table3[[#All],[PID]],0)))</f>
        <v>22</v>
      </c>
      <c r="H921" s="54" t="str">
        <f>IF($C921="B",INDEX(Batters[[#All],[B]],MATCH(Table5[[#This Row],[PID]],Batters[[#All],[PID]],0)),INDEX(Table3[[#All],[B]],MATCH(Table5[[#This Row],[PID]],Table3[[#All],[PID]],0)))</f>
        <v>R</v>
      </c>
      <c r="I921" s="54" t="str">
        <f>IF($C921="B",INDEX(Batters[[#All],[T]],MATCH(Table5[[#This Row],[PID]],Batters[[#All],[PID]],0)),INDEX(Table3[[#All],[T]],MATCH(Table5[[#This Row],[PID]],Table3[[#All],[PID]],0)))</f>
        <v>R</v>
      </c>
      <c r="J921" s="54" t="str">
        <f>IF($C921="B",INDEX(Batters[[#All],[WE]],MATCH(Table5[[#This Row],[PID]],Batters[[#All],[PID]],0)),INDEX(Table3[[#All],[WE]],MATCH(Table5[[#This Row],[PID]],Table3[[#All],[PID]],0)))</f>
        <v>High</v>
      </c>
      <c r="K921" s="54" t="str">
        <f>IF($C921="B",INDEX(Batters[[#All],[INT]],MATCH(Table5[[#This Row],[PID]],Batters[[#All],[PID]],0)),INDEX(Table3[[#All],[INT]],MATCH(Table5[[#This Row],[PID]],Table3[[#All],[PID]],0)))</f>
        <v>Low</v>
      </c>
      <c r="L921" s="62">
        <f>IF($C921="B",INDEX(Batters[[#All],[CON P]],MATCH(Table5[[#This Row],[PID]],Batters[[#All],[PID]],0)),INDEX(Table3[[#All],[STU P]],MATCH(Table5[[#This Row],[PID]],Table3[[#All],[PID]],0)))</f>
        <v>4</v>
      </c>
      <c r="M921" s="58">
        <f>IF($C921="B",INDEX(Batters[[#All],[GAP P]],MATCH(Table5[[#This Row],[PID]],Batters[[#All],[PID]],0)),INDEX(Table3[[#All],[MOV P]],MATCH(Table5[[#This Row],[PID]],Table3[[#All],[PID]],0)))</f>
        <v>2</v>
      </c>
      <c r="N921" s="58">
        <f>IF($C921="B",INDEX(Batters[[#All],[POW P]],MATCH(Table5[[#This Row],[PID]],Batters[[#All],[PID]],0)),INDEX(Table3[[#All],[CON P]],MATCH(Table5[[#This Row],[PID]],Table3[[#All],[PID]],0)))</f>
        <v>2</v>
      </c>
      <c r="O921" s="58" t="str">
        <f>IF($C921="B",INDEX(Batters[[#All],[EYE P]],MATCH(Table5[[#This Row],[PID]],Batters[[#All],[PID]],0)),INDEX(Table3[[#All],[VELO]],MATCH(Table5[[#This Row],[PID]],Table3[[#All],[PID]],0)))</f>
        <v>93-95 Mph</v>
      </c>
      <c r="P921" s="58">
        <f>IF($C921="B",INDEX(Batters[[#All],[K P]],MATCH(Table5[[#This Row],[PID]],Batters[[#All],[PID]],0)),INDEX(Table3[[#All],[STM]],MATCH(Table5[[#This Row],[PID]],Table3[[#All],[PID]],0)))</f>
        <v>7</v>
      </c>
      <c r="Q921" s="63">
        <f>IF($C921="B",INDEX(Batters[[#All],[Tot]],MATCH(Table5[[#This Row],[PID]],Batters[[#All],[PID]],0)),INDEX(Table3[[#All],[Tot]],MATCH(Table5[[#This Row],[PID]],Table3[[#All],[PID]],0)))</f>
        <v>23.984162152188439</v>
      </c>
      <c r="R921" s="54">
        <f>IF($C921="B",INDEX(Batters[[#All],[zScore]],MATCH(Table5[[#This Row],[PID]],Batters[[#All],[PID]],0)),INDEX(Table3[[#All],[zScore]],MATCH(Table5[[#This Row],[PID]],Table3[[#All],[PID]],0)))</f>
        <v>-0.80132008133778587</v>
      </c>
      <c r="S921" s="60" t="str">
        <f>IF($C921="B",INDEX(Batters[[#All],[DEM]],MATCH(Table5[[#This Row],[PID]],Batters[[#All],[PID]],0)),INDEX(Table3[[#All],[DEM]],MATCH(Table5[[#This Row],[PID]],Table3[[#All],[PID]],0)))</f>
        <v>-</v>
      </c>
      <c r="T921" s="64">
        <f>IF($C921="B",VLOOKUP($A921,Bat!$A$4:$AU$1417,46,FALSE),VLOOKUP($A921,Pit!$A$4:$BD$570,55,FALSE))</f>
        <v>0</v>
      </c>
      <c r="U921" s="52">
        <f>IF($C921="B",VLOOKUP($A921,Bat!$A$4:$BA$1417,47,FALSE),VLOOKUP($A921,Pit!$A$4:$BF$570,56,FALSE))</f>
        <v>0</v>
      </c>
      <c r="V921" s="52">
        <f>IF($C921="B",VLOOKUP($A921,Bat!$A$4:$BA$1417,48,FALSE),VLOOKUP($A921,Pit!$A$4:$BF$570,57,FALSE))</f>
        <v>0</v>
      </c>
      <c r="W921" s="52">
        <f>Table5[[#This Row],[posRnk]]+Table5[[#This Row],[zRnk]]+IF($W$3&lt;&gt;Table5[[#This Row],[Type]],50,0)</f>
        <v>967</v>
      </c>
      <c r="X921" s="53">
        <f>RANK(Table5[[#This Row],[zScore]],Table5[[#All],[zScore]])</f>
        <v>917</v>
      </c>
      <c r="Y921" s="52" t="str">
        <f>IFERROR(INDEX(DraftResults[[#All],[OVR]],MATCH(Table5[[#This Row],[PID]],DraftResults[[#All],[Player ID]],0)),"")</f>
        <v/>
      </c>
      <c r="Z9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1" s="52" t="str">
        <f>IFERROR(INDEX(DraftResults[[#All],[Pick in Round]],MATCH(Table5[[#This Row],[PID]],DraftResults[[#All],[Player ID]],0)),"")</f>
        <v/>
      </c>
      <c r="AB921" s="52" t="str">
        <f>IFERROR(INDEX(DraftResults[[#All],[Team Name]],MATCH(Table5[[#This Row],[PID]],DraftResults[[#All],[Player ID]],0)),"")</f>
        <v/>
      </c>
      <c r="AC921" s="52" t="str">
        <f>IF(Table5[[#This Row],[Ovr]]="","",IF(Table5[[#This Row],[cmbList]]="","",Table5[[#This Row],[cmbList]]-Table5[[#This Row],[Ovr]]))</f>
        <v/>
      </c>
      <c r="AD921" s="56" t="str">
        <f>IF(ISERROR(VLOOKUP($AB921&amp;"-"&amp;$E921&amp;" "&amp;F921,Bonuses!$B$1:$G$1006,4,FALSE)),"",INT(VLOOKUP($AB921&amp;"-"&amp;$E921&amp;" "&amp;$F921,Bonuses!$B$1:$G$1006,4,FALSE)))</f>
        <v/>
      </c>
      <c r="AE9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2" spans="1:31" s="52" customFormat="1" x14ac:dyDescent="0.25">
      <c r="A922" s="52">
        <v>7590</v>
      </c>
      <c r="B922" s="52">
        <f>COUNTIF(Table5[PID],A922)</f>
        <v>1</v>
      </c>
      <c r="C922" s="52" t="str">
        <f>IF(COUNTIF(Table3[[#All],[PID]],A922)&gt;0,"P","B")</f>
        <v>P</v>
      </c>
      <c r="D922" s="61" t="str">
        <f>IF($C922="B",INDEX(Batters[[#All],[POS]],MATCH(Table5[[#This Row],[PID]],Batters[[#All],[PID]],0)),INDEX(Table3[[#All],[POS]],MATCH(Table5[[#This Row],[PID]],Table3[[#All],[PID]],0)))</f>
        <v>RP</v>
      </c>
      <c r="E922" s="54" t="str">
        <f>IF($C922="B",INDEX(Batters[[#All],[First]],MATCH(Table5[[#This Row],[PID]],Batters[[#All],[PID]],0)),INDEX(Table3[[#All],[First]],MATCH(Table5[[#This Row],[PID]],Table3[[#All],[PID]],0)))</f>
        <v>Salvador</v>
      </c>
      <c r="F922" s="52" t="str">
        <f>IF($C922="B",INDEX(Batters[[#All],[Last]],MATCH(A922,Batters[[#All],[PID]],0)),INDEX(Table3[[#All],[Last]],MATCH(A922,Table3[[#All],[PID]],0)))</f>
        <v>Martínez</v>
      </c>
      <c r="G922" s="58">
        <f>IF($C922="B",INDEX(Batters[[#All],[Age]],MATCH(Table5[[#This Row],[PID]],Batters[[#All],[PID]],0)),INDEX(Table3[[#All],[Age]],MATCH(Table5[[#This Row],[PID]],Table3[[#All],[PID]],0)))</f>
        <v>18</v>
      </c>
      <c r="H922" s="54" t="str">
        <f>IF($C922="B",INDEX(Batters[[#All],[B]],MATCH(Table5[[#This Row],[PID]],Batters[[#All],[PID]],0)),INDEX(Table3[[#All],[B]],MATCH(Table5[[#This Row],[PID]],Table3[[#All],[PID]],0)))</f>
        <v>R</v>
      </c>
      <c r="I922" s="54" t="str">
        <f>IF($C922="B",INDEX(Batters[[#All],[T]],MATCH(Table5[[#This Row],[PID]],Batters[[#All],[PID]],0)),INDEX(Table3[[#All],[T]],MATCH(Table5[[#This Row],[PID]],Table3[[#All],[PID]],0)))</f>
        <v>R</v>
      </c>
      <c r="J922" s="54" t="str">
        <f>IF($C922="B",INDEX(Batters[[#All],[WE]],MATCH(Table5[[#This Row],[PID]],Batters[[#All],[PID]],0)),INDEX(Table3[[#All],[WE]],MATCH(Table5[[#This Row],[PID]],Table3[[#All],[PID]],0)))</f>
        <v>Normal</v>
      </c>
      <c r="K922" s="54" t="str">
        <f>IF($C922="B",INDEX(Batters[[#All],[INT]],MATCH(Table5[[#This Row],[PID]],Batters[[#All],[PID]],0)),INDEX(Table3[[#All],[INT]],MATCH(Table5[[#This Row],[PID]],Table3[[#All],[PID]],0)))</f>
        <v>Normal</v>
      </c>
      <c r="L922" s="62">
        <f>IF($C922="B",INDEX(Batters[[#All],[CON P]],MATCH(Table5[[#This Row],[PID]],Batters[[#All],[PID]],0)),INDEX(Table3[[#All],[STU P]],MATCH(Table5[[#This Row],[PID]],Table3[[#All],[PID]],0)))</f>
        <v>2</v>
      </c>
      <c r="M922" s="58">
        <f>IF($C922="B",INDEX(Batters[[#All],[GAP P]],MATCH(Table5[[#This Row],[PID]],Batters[[#All],[PID]],0)),INDEX(Table3[[#All],[MOV P]],MATCH(Table5[[#This Row],[PID]],Table3[[#All],[PID]],0)))</f>
        <v>1</v>
      </c>
      <c r="N922" s="58">
        <f>IF($C922="B",INDEX(Batters[[#All],[POW P]],MATCH(Table5[[#This Row],[PID]],Batters[[#All],[PID]],0)),INDEX(Table3[[#All],[CON P]],MATCH(Table5[[#This Row],[PID]],Table3[[#All],[PID]],0)))</f>
        <v>2</v>
      </c>
      <c r="O922" s="58" t="str">
        <f>IF($C922="B",INDEX(Batters[[#All],[EYE P]],MATCH(Table5[[#This Row],[PID]],Batters[[#All],[PID]],0)),INDEX(Table3[[#All],[VELO]],MATCH(Table5[[#This Row],[PID]],Table3[[#All],[PID]],0)))</f>
        <v>84-86 Mph</v>
      </c>
      <c r="P922" s="58">
        <f>IF($C922="B",INDEX(Batters[[#All],[K P]],MATCH(Table5[[#This Row],[PID]],Batters[[#All],[PID]],0)),INDEX(Table3[[#All],[STM]],MATCH(Table5[[#This Row],[PID]],Table3[[#All],[PID]],0)))</f>
        <v>8</v>
      </c>
      <c r="Q922" s="63">
        <f>IF($C922="B",INDEX(Batters[[#All],[Tot]],MATCH(Table5[[#This Row],[PID]],Batters[[#All],[PID]],0)),INDEX(Table3[[#All],[Tot]],MATCH(Table5[[#This Row],[PID]],Table3[[#All],[PID]],0)))</f>
        <v>21.247136097155469</v>
      </c>
      <c r="R922" s="54">
        <f>IF($C922="B",INDEX(Batters[[#All],[zScore]],MATCH(Table5[[#This Row],[PID]],Batters[[#All],[PID]],0)),INDEX(Table3[[#All],[zScore]],MATCH(Table5[[#This Row],[PID]],Table3[[#All],[PID]],0)))</f>
        <v>-0.80176404472809581</v>
      </c>
      <c r="S922" s="60" t="str">
        <f>IF($C922="B",INDEX(Batters[[#All],[DEM]],MATCH(Table5[[#This Row],[PID]],Batters[[#All],[PID]],0)),INDEX(Table3[[#All],[DEM]],MATCH(Table5[[#This Row],[PID]],Table3[[#All],[PID]],0)))</f>
        <v>$70k</v>
      </c>
      <c r="T922" s="64">
        <f>IF($C922="B",VLOOKUP($A922,Bat!$A$4:$AU$1417,46,FALSE),VLOOKUP($A922,Pit!$A$4:$BD$570,55,FALSE))</f>
        <v>0</v>
      </c>
      <c r="U922" s="52">
        <f>IF($C922="B",VLOOKUP($A922,Bat!$A$4:$BA$1417,47,FALSE),VLOOKUP($A922,Pit!$A$4:$BF$570,56,FALSE))</f>
        <v>0</v>
      </c>
      <c r="V922" s="52">
        <f>IF($C922="B",VLOOKUP($A922,Bat!$A$4:$BA$1417,48,FALSE),VLOOKUP($A922,Pit!$A$4:$BF$570,57,FALSE))</f>
        <v>0</v>
      </c>
      <c r="W922" s="52">
        <f>Table5[[#This Row],[posRnk]]+Table5[[#This Row],[zRnk]]+IF($W$3&lt;&gt;Table5[[#This Row],[Type]],50,0)</f>
        <v>968</v>
      </c>
      <c r="X922" s="53">
        <f>RANK(Table5[[#This Row],[zScore]],Table5[[#All],[zScore]])</f>
        <v>918</v>
      </c>
      <c r="Y922" s="52" t="str">
        <f>IFERROR(INDEX(DraftResults[[#All],[OVR]],MATCH(Table5[[#This Row],[PID]],DraftResults[[#All],[Player ID]],0)),"")</f>
        <v/>
      </c>
      <c r="Z9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2" s="52" t="str">
        <f>IFERROR(INDEX(DraftResults[[#All],[Pick in Round]],MATCH(Table5[[#This Row],[PID]],DraftResults[[#All],[Player ID]],0)),"")</f>
        <v/>
      </c>
      <c r="AB922" s="52" t="str">
        <f>IFERROR(INDEX(DraftResults[[#All],[Team Name]],MATCH(Table5[[#This Row],[PID]],DraftResults[[#All],[Player ID]],0)),"")</f>
        <v/>
      </c>
      <c r="AC922" s="52" t="str">
        <f>IF(Table5[[#This Row],[Ovr]]="","",IF(Table5[[#This Row],[cmbList]]="","",Table5[[#This Row],[cmbList]]-Table5[[#This Row],[Ovr]]))</f>
        <v/>
      </c>
      <c r="AD922" s="56" t="str">
        <f>IF(ISERROR(VLOOKUP($AB922&amp;"-"&amp;$E922&amp;" "&amp;F922,Bonuses!$B$1:$G$1006,4,FALSE)),"",INT(VLOOKUP($AB922&amp;"-"&amp;$E922&amp;" "&amp;$F922,Bonuses!$B$1:$G$1006,4,FALSE)))</f>
        <v/>
      </c>
      <c r="AE9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3" spans="1:31" s="52" customFormat="1" x14ac:dyDescent="0.25">
      <c r="A923" s="52">
        <v>9843</v>
      </c>
      <c r="B923" s="52">
        <f>COUNTIF(Table5[PID],A923)</f>
        <v>1</v>
      </c>
      <c r="C923" s="52" t="str">
        <f>IF(COUNTIF(Table3[[#All],[PID]],A923)&gt;0,"P","B")</f>
        <v>B</v>
      </c>
      <c r="D923" s="61" t="str">
        <f>IF($C923="B",INDEX(Batters[[#All],[POS]],MATCH(Table5[[#This Row],[PID]],Batters[[#All],[PID]],0)),INDEX(Table3[[#All],[POS]],MATCH(Table5[[#This Row],[PID]],Table3[[#All],[PID]],0)))</f>
        <v>3B</v>
      </c>
      <c r="E923" s="54" t="str">
        <f>IF($C923="B",INDEX(Batters[[#All],[First]],MATCH(Table5[[#This Row],[PID]],Batters[[#All],[PID]],0)),INDEX(Table3[[#All],[First]],MATCH(Table5[[#This Row],[PID]],Table3[[#All],[PID]],0)))</f>
        <v>Lúcio</v>
      </c>
      <c r="F923" s="52" t="str">
        <f>IF($C923="B",INDEX(Batters[[#All],[Last]],MATCH(A923,Batters[[#All],[PID]],0)),INDEX(Table3[[#All],[Last]],MATCH(A923,Table3[[#All],[PID]],0)))</f>
        <v>Aguilera</v>
      </c>
      <c r="G923" s="58">
        <f>IF($C923="B",INDEX(Batters[[#All],[Age]],MATCH(Table5[[#This Row],[PID]],Batters[[#All],[PID]],0)),INDEX(Table3[[#All],[Age]],MATCH(Table5[[#This Row],[PID]],Table3[[#All],[PID]],0)))</f>
        <v>21</v>
      </c>
      <c r="H923" s="54" t="str">
        <f>IF($C923="B",INDEX(Batters[[#All],[B]],MATCH(Table5[[#This Row],[PID]],Batters[[#All],[PID]],0)),INDEX(Table3[[#All],[B]],MATCH(Table5[[#This Row],[PID]],Table3[[#All],[PID]],0)))</f>
        <v>S</v>
      </c>
      <c r="I923" s="54" t="str">
        <f>IF($C923="B",INDEX(Batters[[#All],[T]],MATCH(Table5[[#This Row],[PID]],Batters[[#All],[PID]],0)),INDEX(Table3[[#All],[T]],MATCH(Table5[[#This Row],[PID]],Table3[[#All],[PID]],0)))</f>
        <v>R</v>
      </c>
      <c r="J923" s="54" t="str">
        <f>IF($C923="B",INDEX(Batters[[#All],[WE]],MATCH(Table5[[#This Row],[PID]],Batters[[#All],[PID]],0)),INDEX(Table3[[#All],[WE]],MATCH(Table5[[#This Row],[PID]],Table3[[#All],[PID]],0)))</f>
        <v>Normal</v>
      </c>
      <c r="K923" s="54" t="str">
        <f>IF($C923="B",INDEX(Batters[[#All],[INT]],MATCH(Table5[[#This Row],[PID]],Batters[[#All],[PID]],0)),INDEX(Table3[[#All],[INT]],MATCH(Table5[[#This Row],[PID]],Table3[[#All],[PID]],0)))</f>
        <v>Normal</v>
      </c>
      <c r="L923" s="62">
        <f>IF($C923="B",INDEX(Batters[[#All],[CON P]],MATCH(Table5[[#This Row],[PID]],Batters[[#All],[PID]],0)),INDEX(Table3[[#All],[STU P]],MATCH(Table5[[#This Row],[PID]],Table3[[#All],[PID]],0)))</f>
        <v>3</v>
      </c>
      <c r="M923" s="58">
        <f>IF($C923="B",INDEX(Batters[[#All],[GAP P]],MATCH(Table5[[#This Row],[PID]],Batters[[#All],[PID]],0)),INDEX(Table3[[#All],[MOV P]],MATCH(Table5[[#This Row],[PID]],Table3[[#All],[PID]],0)))</f>
        <v>3</v>
      </c>
      <c r="N923" s="58">
        <f>IF($C923="B",INDEX(Batters[[#All],[POW P]],MATCH(Table5[[#This Row],[PID]],Batters[[#All],[PID]],0)),INDEX(Table3[[#All],[CON P]],MATCH(Table5[[#This Row],[PID]],Table3[[#All],[PID]],0)))</f>
        <v>2</v>
      </c>
      <c r="O923" s="58">
        <f>IF($C923="B",INDEX(Batters[[#All],[EYE P]],MATCH(Table5[[#This Row],[PID]],Batters[[#All],[PID]],0)),INDEX(Table3[[#All],[VELO]],MATCH(Table5[[#This Row],[PID]],Table3[[#All],[PID]],0)))</f>
        <v>5</v>
      </c>
      <c r="P923" s="58">
        <f>IF($C923="B",INDEX(Batters[[#All],[K P]],MATCH(Table5[[#This Row],[PID]],Batters[[#All],[PID]],0)),INDEX(Table3[[#All],[STM]],MATCH(Table5[[#This Row],[PID]],Table3[[#All],[PID]],0)))</f>
        <v>3</v>
      </c>
      <c r="Q923" s="63">
        <f>IF($C923="B",INDEX(Batters[[#All],[Tot]],MATCH(Table5[[#This Row],[PID]],Batters[[#All],[PID]],0)),INDEX(Table3[[#All],[Tot]],MATCH(Table5[[#This Row],[PID]],Table3[[#All],[PID]],0)))</f>
        <v>35.781794223521388</v>
      </c>
      <c r="R923" s="54">
        <f>IF($C923="B",INDEX(Batters[[#All],[zScore]],MATCH(Table5[[#This Row],[PID]],Batters[[#All],[PID]],0)),INDEX(Table3[[#All],[zScore]],MATCH(Table5[[#This Row],[PID]],Table3[[#All],[PID]],0)))</f>
        <v>-0.80343707900761208</v>
      </c>
      <c r="S923" s="60" t="str">
        <f>IF($C923="B",INDEX(Batters[[#All],[DEM]],MATCH(Table5[[#This Row],[PID]],Batters[[#All],[PID]],0)),INDEX(Table3[[#All],[DEM]],MATCH(Table5[[#This Row],[PID]],Table3[[#All],[PID]],0)))</f>
        <v>-</v>
      </c>
      <c r="T923" s="64">
        <f>IF($C923="B",VLOOKUP($A923,Bat!$A$4:$AU$1417,46,FALSE),VLOOKUP($A923,Pit!$A$4:$BD$570,55,FALSE))</f>
        <v>0</v>
      </c>
      <c r="U923" s="52">
        <f>IF($C923="B",VLOOKUP($A923,Bat!$A$4:$BA$1417,47,FALSE),VLOOKUP($A923,Pit!$A$4:$BF$570,56,FALSE))</f>
        <v>0</v>
      </c>
      <c r="V923" s="52">
        <f>IF($C923="B",VLOOKUP($A923,Bat!$A$4:$BA$1417,48,FALSE),VLOOKUP($A923,Pit!$A$4:$BF$570,57,FALSE))</f>
        <v>0</v>
      </c>
      <c r="W923" s="52">
        <f>Table5[[#This Row],[posRnk]]+Table5[[#This Row],[zRnk]]+IF($W$3&lt;&gt;Table5[[#This Row],[Type]],50,0)</f>
        <v>969</v>
      </c>
      <c r="X923" s="53">
        <f>RANK(Table5[[#This Row],[zScore]],Table5[[#All],[zScore]])</f>
        <v>919</v>
      </c>
      <c r="Y923" s="52" t="str">
        <f>IFERROR(INDEX(DraftResults[[#All],[OVR]],MATCH(Table5[[#This Row],[PID]],DraftResults[[#All],[Player ID]],0)),"")</f>
        <v/>
      </c>
      <c r="Z9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3" s="52" t="str">
        <f>IFERROR(INDEX(DraftResults[[#All],[Pick in Round]],MATCH(Table5[[#This Row],[PID]],DraftResults[[#All],[Player ID]],0)),"")</f>
        <v/>
      </c>
      <c r="AB923" s="52" t="str">
        <f>IFERROR(INDEX(DraftResults[[#All],[Team Name]],MATCH(Table5[[#This Row],[PID]],DraftResults[[#All],[Player ID]],0)),"")</f>
        <v/>
      </c>
      <c r="AC923" s="52" t="str">
        <f>IF(Table5[[#This Row],[Ovr]]="","",IF(Table5[[#This Row],[cmbList]]="","",Table5[[#This Row],[cmbList]]-Table5[[#This Row],[Ovr]]))</f>
        <v/>
      </c>
      <c r="AD923" s="56" t="str">
        <f>IF(ISERROR(VLOOKUP($AB923&amp;"-"&amp;$E923&amp;" "&amp;F923,Bonuses!$B$1:$G$1006,4,FALSE)),"",INT(VLOOKUP($AB923&amp;"-"&amp;$E923&amp;" "&amp;$F923,Bonuses!$B$1:$G$1006,4,FALSE)))</f>
        <v/>
      </c>
      <c r="AE9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4" spans="1:31" s="52" customFormat="1" x14ac:dyDescent="0.25">
      <c r="A924" s="52">
        <v>9346</v>
      </c>
      <c r="B924" s="52">
        <f>COUNTIF(Table5[PID],A924)</f>
        <v>1</v>
      </c>
      <c r="C924" s="52" t="str">
        <f>IF(COUNTIF(Table3[[#All],[PID]],A924)&gt;0,"P","B")</f>
        <v>B</v>
      </c>
      <c r="D924" s="61" t="str">
        <f>IF($C924="B",INDEX(Batters[[#All],[POS]],MATCH(Table5[[#This Row],[PID]],Batters[[#All],[PID]],0)),INDEX(Table3[[#All],[POS]],MATCH(Table5[[#This Row],[PID]],Table3[[#All],[PID]],0)))</f>
        <v>1B</v>
      </c>
      <c r="E924" s="54" t="str">
        <f>IF($C924="B",INDEX(Batters[[#All],[First]],MATCH(Table5[[#This Row],[PID]],Batters[[#All],[PID]],0)),INDEX(Table3[[#All],[First]],MATCH(Table5[[#This Row],[PID]],Table3[[#All],[PID]],0)))</f>
        <v>Paul</v>
      </c>
      <c r="F924" s="52" t="str">
        <f>IF($C924="B",INDEX(Batters[[#All],[Last]],MATCH(A924,Batters[[#All],[PID]],0)),INDEX(Table3[[#All],[Last]],MATCH(A924,Table3[[#All],[PID]],0)))</f>
        <v>Pittman</v>
      </c>
      <c r="G924" s="58">
        <f>IF($C924="B",INDEX(Batters[[#All],[Age]],MATCH(Table5[[#This Row],[PID]],Batters[[#All],[PID]],0)),INDEX(Table3[[#All],[Age]],MATCH(Table5[[#This Row],[PID]],Table3[[#All],[PID]],0)))</f>
        <v>21</v>
      </c>
      <c r="H924" s="54" t="str">
        <f>IF($C924="B",INDEX(Batters[[#All],[B]],MATCH(Table5[[#This Row],[PID]],Batters[[#All],[PID]],0)),INDEX(Table3[[#All],[B]],MATCH(Table5[[#This Row],[PID]],Table3[[#All],[PID]],0)))</f>
        <v>L</v>
      </c>
      <c r="I924" s="54" t="str">
        <f>IF($C924="B",INDEX(Batters[[#All],[T]],MATCH(Table5[[#This Row],[PID]],Batters[[#All],[PID]],0)),INDEX(Table3[[#All],[T]],MATCH(Table5[[#This Row],[PID]],Table3[[#All],[PID]],0)))</f>
        <v>L</v>
      </c>
      <c r="J924" s="54" t="str">
        <f>IF($C924="B",INDEX(Batters[[#All],[WE]],MATCH(Table5[[#This Row],[PID]],Batters[[#All],[PID]],0)),INDEX(Table3[[#All],[WE]],MATCH(Table5[[#This Row],[PID]],Table3[[#All],[PID]],0)))</f>
        <v>Low</v>
      </c>
      <c r="K924" s="54" t="str">
        <f>IF($C924="B",INDEX(Batters[[#All],[INT]],MATCH(Table5[[#This Row],[PID]],Batters[[#All],[PID]],0)),INDEX(Table3[[#All],[INT]],MATCH(Table5[[#This Row],[PID]],Table3[[#All],[PID]],0)))</f>
        <v>Normal</v>
      </c>
      <c r="L924" s="62">
        <f>IF($C924="B",INDEX(Batters[[#All],[CON P]],MATCH(Table5[[#This Row],[PID]],Batters[[#All],[PID]],0)),INDEX(Table3[[#All],[STU P]],MATCH(Table5[[#This Row],[PID]],Table3[[#All],[PID]],0)))</f>
        <v>4</v>
      </c>
      <c r="M924" s="58">
        <f>IF($C924="B",INDEX(Batters[[#All],[GAP P]],MATCH(Table5[[#This Row],[PID]],Batters[[#All],[PID]],0)),INDEX(Table3[[#All],[MOV P]],MATCH(Table5[[#This Row],[PID]],Table3[[#All],[PID]],0)))</f>
        <v>2</v>
      </c>
      <c r="N924" s="58">
        <f>IF($C924="B",INDEX(Batters[[#All],[POW P]],MATCH(Table5[[#This Row],[PID]],Batters[[#All],[PID]],0)),INDEX(Table3[[#All],[CON P]],MATCH(Table5[[#This Row],[PID]],Table3[[#All],[PID]],0)))</f>
        <v>2</v>
      </c>
      <c r="O924" s="58">
        <f>IF($C924="B",INDEX(Batters[[#All],[EYE P]],MATCH(Table5[[#This Row],[PID]],Batters[[#All],[PID]],0)),INDEX(Table3[[#All],[VELO]],MATCH(Table5[[#This Row],[PID]],Table3[[#All],[PID]],0)))</f>
        <v>2</v>
      </c>
      <c r="P924" s="58">
        <f>IF($C924="B",INDEX(Batters[[#All],[K P]],MATCH(Table5[[#This Row],[PID]],Batters[[#All],[PID]],0)),INDEX(Table3[[#All],[STM]],MATCH(Table5[[#This Row],[PID]],Table3[[#All],[PID]],0)))</f>
        <v>5</v>
      </c>
      <c r="Q924" s="63">
        <f>IF($C924="B",INDEX(Batters[[#All],[Tot]],MATCH(Table5[[#This Row],[PID]],Batters[[#All],[PID]],0)),INDEX(Table3[[#All],[Tot]],MATCH(Table5[[#This Row],[PID]],Table3[[#All],[PID]],0)))</f>
        <v>35.78013590401541</v>
      </c>
      <c r="R924" s="54">
        <f>IF($C924="B",INDEX(Batters[[#All],[zScore]],MATCH(Table5[[#This Row],[PID]],Batters[[#All],[PID]],0)),INDEX(Table3[[#All],[zScore]],MATCH(Table5[[#This Row],[PID]],Table3[[#All],[PID]],0)))</f>
        <v>-0.80372884930299437</v>
      </c>
      <c r="S924" s="60" t="str">
        <f>IF($C924="B",INDEX(Batters[[#All],[DEM]],MATCH(Table5[[#This Row],[PID]],Batters[[#All],[PID]],0)),INDEX(Table3[[#All],[DEM]],MATCH(Table5[[#This Row],[PID]],Table3[[#All],[PID]],0)))</f>
        <v>$20k</v>
      </c>
      <c r="T924" s="64">
        <f>IF($C924="B",VLOOKUP($A924,Bat!$A$4:$AU$1417,46,FALSE),VLOOKUP($A924,Pit!$A$4:$BD$570,55,FALSE))</f>
        <v>0</v>
      </c>
      <c r="U924" s="52">
        <f>IF($C924="B",VLOOKUP($A924,Bat!$A$4:$BA$1417,47,FALSE),VLOOKUP($A924,Pit!$A$4:$BF$570,56,FALSE))</f>
        <v>0</v>
      </c>
      <c r="V924" s="52">
        <f>IF($C924="B",VLOOKUP($A924,Bat!$A$4:$BA$1417,48,FALSE),VLOOKUP($A924,Pit!$A$4:$BF$570,57,FALSE))</f>
        <v>0</v>
      </c>
      <c r="W924" s="52">
        <f>Table5[[#This Row],[posRnk]]+Table5[[#This Row],[zRnk]]+IF($W$3&lt;&gt;Table5[[#This Row],[Type]],50,0)</f>
        <v>970</v>
      </c>
      <c r="X924" s="53">
        <f>RANK(Table5[[#This Row],[zScore]],Table5[[#All],[zScore]])</f>
        <v>920</v>
      </c>
      <c r="Y924" s="52" t="str">
        <f>IFERROR(INDEX(DraftResults[[#All],[OVR]],MATCH(Table5[[#This Row],[PID]],DraftResults[[#All],[Player ID]],0)),"")</f>
        <v/>
      </c>
      <c r="Z9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4" s="52" t="str">
        <f>IFERROR(INDEX(DraftResults[[#All],[Pick in Round]],MATCH(Table5[[#This Row],[PID]],DraftResults[[#All],[Player ID]],0)),"")</f>
        <v/>
      </c>
      <c r="AB924" s="52" t="str">
        <f>IFERROR(INDEX(DraftResults[[#All],[Team Name]],MATCH(Table5[[#This Row],[PID]],DraftResults[[#All],[Player ID]],0)),"")</f>
        <v/>
      </c>
      <c r="AC924" s="52" t="str">
        <f>IF(Table5[[#This Row],[Ovr]]="","",IF(Table5[[#This Row],[cmbList]]="","",Table5[[#This Row],[cmbList]]-Table5[[#This Row],[Ovr]]))</f>
        <v/>
      </c>
      <c r="AD924" s="56" t="str">
        <f>IF(ISERROR(VLOOKUP($AB924&amp;"-"&amp;$E924&amp;" "&amp;F924,Bonuses!$B$1:$G$1006,4,FALSE)),"",INT(VLOOKUP($AB924&amp;"-"&amp;$E924&amp;" "&amp;$F924,Bonuses!$B$1:$G$1006,4,FALSE)))</f>
        <v/>
      </c>
      <c r="AE9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5" spans="1:31" s="52" customFormat="1" x14ac:dyDescent="0.25">
      <c r="A925" s="52">
        <v>7449</v>
      </c>
      <c r="B925" s="52">
        <f>COUNTIF(Table5[PID],A925)</f>
        <v>1</v>
      </c>
      <c r="C925" s="52" t="str">
        <f>IF(COUNTIF(Table3[[#All],[PID]],A925)&gt;0,"P","B")</f>
        <v>B</v>
      </c>
      <c r="D925" s="61" t="str">
        <f>IF($C925="B",INDEX(Batters[[#All],[POS]],MATCH(Table5[[#This Row],[PID]],Batters[[#All],[PID]],0)),INDEX(Table3[[#All],[POS]],MATCH(Table5[[#This Row],[PID]],Table3[[#All],[PID]],0)))</f>
        <v>LF</v>
      </c>
      <c r="E925" s="54" t="str">
        <f>IF($C925="B",INDEX(Batters[[#All],[First]],MATCH(Table5[[#This Row],[PID]],Batters[[#All],[PID]],0)),INDEX(Table3[[#All],[First]],MATCH(Table5[[#This Row],[PID]],Table3[[#All],[PID]],0)))</f>
        <v>Lorne</v>
      </c>
      <c r="F925" s="52" t="str">
        <f>IF($C925="B",INDEX(Batters[[#All],[Last]],MATCH(A925,Batters[[#All],[PID]],0)),INDEX(Table3[[#All],[Last]],MATCH(A925,Table3[[#All],[PID]],0)))</f>
        <v>Hess</v>
      </c>
      <c r="G925" s="58">
        <f>IF($C925="B",INDEX(Batters[[#All],[Age]],MATCH(Table5[[#This Row],[PID]],Batters[[#All],[PID]],0)),INDEX(Table3[[#All],[Age]],MATCH(Table5[[#This Row],[PID]],Table3[[#All],[PID]],0)))</f>
        <v>18</v>
      </c>
      <c r="H925" s="54" t="str">
        <f>IF($C925="B",INDEX(Batters[[#All],[B]],MATCH(Table5[[#This Row],[PID]],Batters[[#All],[PID]],0)),INDEX(Table3[[#All],[B]],MATCH(Table5[[#This Row],[PID]],Table3[[#All],[PID]],0)))</f>
        <v>S</v>
      </c>
      <c r="I925" s="54" t="str">
        <f>IF($C925="B",INDEX(Batters[[#All],[T]],MATCH(Table5[[#This Row],[PID]],Batters[[#All],[PID]],0)),INDEX(Table3[[#All],[T]],MATCH(Table5[[#This Row],[PID]],Table3[[#All],[PID]],0)))</f>
        <v>R</v>
      </c>
      <c r="J925" s="54" t="str">
        <f>IF($C925="B",INDEX(Batters[[#All],[WE]],MATCH(Table5[[#This Row],[PID]],Batters[[#All],[PID]],0)),INDEX(Table3[[#All],[WE]],MATCH(Table5[[#This Row],[PID]],Table3[[#All],[PID]],0)))</f>
        <v>Low</v>
      </c>
      <c r="K925" s="54" t="str">
        <f>IF($C925="B",INDEX(Batters[[#All],[INT]],MATCH(Table5[[#This Row],[PID]],Batters[[#All],[PID]],0)),INDEX(Table3[[#All],[INT]],MATCH(Table5[[#This Row],[PID]],Table3[[#All],[PID]],0)))</f>
        <v>Normal</v>
      </c>
      <c r="L925" s="62">
        <f>IF($C925="B",INDEX(Batters[[#All],[CON P]],MATCH(Table5[[#This Row],[PID]],Batters[[#All],[PID]],0)),INDEX(Table3[[#All],[STU P]],MATCH(Table5[[#This Row],[PID]],Table3[[#All],[PID]],0)))</f>
        <v>2</v>
      </c>
      <c r="M925" s="58">
        <f>IF($C925="B",INDEX(Batters[[#All],[GAP P]],MATCH(Table5[[#This Row],[PID]],Batters[[#All],[PID]],0)),INDEX(Table3[[#All],[MOV P]],MATCH(Table5[[#This Row],[PID]],Table3[[#All],[PID]],0)))</f>
        <v>3</v>
      </c>
      <c r="N925" s="58">
        <f>IF($C925="B",INDEX(Batters[[#All],[POW P]],MATCH(Table5[[#This Row],[PID]],Batters[[#All],[PID]],0)),INDEX(Table3[[#All],[CON P]],MATCH(Table5[[#This Row],[PID]],Table3[[#All],[PID]],0)))</f>
        <v>3</v>
      </c>
      <c r="O925" s="58">
        <f>IF($C925="B",INDEX(Batters[[#All],[EYE P]],MATCH(Table5[[#This Row],[PID]],Batters[[#All],[PID]],0)),INDEX(Table3[[#All],[VELO]],MATCH(Table5[[#This Row],[PID]],Table3[[#All],[PID]],0)))</f>
        <v>4</v>
      </c>
      <c r="P925" s="58">
        <f>IF($C925="B",INDEX(Batters[[#All],[K P]],MATCH(Table5[[#This Row],[PID]],Batters[[#All],[PID]],0)),INDEX(Table3[[#All],[STM]],MATCH(Table5[[#This Row],[PID]],Table3[[#All],[PID]],0)))</f>
        <v>3</v>
      </c>
      <c r="Q925" s="63">
        <f>IF($C925="B",INDEX(Batters[[#All],[Tot]],MATCH(Table5[[#This Row],[PID]],Batters[[#All],[PID]],0)),INDEX(Table3[[#All],[Tot]],MATCH(Table5[[#This Row],[PID]],Table3[[#All],[PID]],0)))</f>
        <v>35.767270574298308</v>
      </c>
      <c r="R925" s="54">
        <f>IF($C925="B",INDEX(Batters[[#All],[zScore]],MATCH(Table5[[#This Row],[PID]],Batters[[#All],[PID]],0)),INDEX(Table3[[#All],[zScore]],MATCH(Table5[[#This Row],[PID]],Table3[[#All],[PID]],0)))</f>
        <v>-0.80599241855983395</v>
      </c>
      <c r="S925" s="60" t="str">
        <f>IF($C925="B",INDEX(Batters[[#All],[DEM]],MATCH(Table5[[#This Row],[PID]],Batters[[#All],[PID]],0)),INDEX(Table3[[#All],[DEM]],MATCH(Table5[[#This Row],[PID]],Table3[[#All],[PID]],0)))</f>
        <v>$65k</v>
      </c>
      <c r="T925" s="64">
        <f>IF($C925="B",VLOOKUP($A925,Bat!$A$4:$AU$1417,46,FALSE),VLOOKUP($A925,Pit!$A$4:$BD$570,55,FALSE))</f>
        <v>0</v>
      </c>
      <c r="U925" s="52">
        <f>IF($C925="B",VLOOKUP($A925,Bat!$A$4:$BA$1417,47,FALSE),VLOOKUP($A925,Pit!$A$4:$BF$570,56,FALSE))</f>
        <v>0</v>
      </c>
      <c r="V925" s="52">
        <f>IF($C925="B",VLOOKUP($A925,Bat!$A$4:$BA$1417,48,FALSE),VLOOKUP($A925,Pit!$A$4:$BF$570,57,FALSE))</f>
        <v>0</v>
      </c>
      <c r="W925" s="52">
        <f>Table5[[#This Row],[posRnk]]+Table5[[#This Row],[zRnk]]+IF($W$3&lt;&gt;Table5[[#This Row],[Type]],50,0)</f>
        <v>971</v>
      </c>
      <c r="X925" s="53">
        <f>RANK(Table5[[#This Row],[zScore]],Table5[[#All],[zScore]])</f>
        <v>921</v>
      </c>
      <c r="Y925" s="52" t="str">
        <f>IFERROR(INDEX(DraftResults[[#All],[OVR]],MATCH(Table5[[#This Row],[PID]],DraftResults[[#All],[Player ID]],0)),"")</f>
        <v/>
      </c>
      <c r="Z9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5" s="52" t="str">
        <f>IFERROR(INDEX(DraftResults[[#All],[Pick in Round]],MATCH(Table5[[#This Row],[PID]],DraftResults[[#All],[Player ID]],0)),"")</f>
        <v/>
      </c>
      <c r="AB925" s="52" t="str">
        <f>IFERROR(INDEX(DraftResults[[#All],[Team Name]],MATCH(Table5[[#This Row],[PID]],DraftResults[[#All],[Player ID]],0)),"")</f>
        <v/>
      </c>
      <c r="AC925" s="52" t="str">
        <f>IF(Table5[[#This Row],[Ovr]]="","",IF(Table5[[#This Row],[cmbList]]="","",Table5[[#This Row],[cmbList]]-Table5[[#This Row],[Ovr]]))</f>
        <v/>
      </c>
      <c r="AD925" s="56" t="str">
        <f>IF(ISERROR(VLOOKUP($AB925&amp;"-"&amp;$E925&amp;" "&amp;F925,Bonuses!$B$1:$G$1006,4,FALSE)),"",INT(VLOOKUP($AB925&amp;"-"&amp;$E925&amp;" "&amp;$F925,Bonuses!$B$1:$G$1006,4,FALSE)))</f>
        <v/>
      </c>
      <c r="AE9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6" spans="1:31" s="52" customFormat="1" x14ac:dyDescent="0.25">
      <c r="A926" s="52">
        <v>13617</v>
      </c>
      <c r="B926" s="52">
        <f>COUNTIF(Table5[PID],A926)</f>
        <v>1</v>
      </c>
      <c r="C926" s="52" t="str">
        <f>IF(COUNTIF(Table3[[#All],[PID]],A926)&gt;0,"P","B")</f>
        <v>B</v>
      </c>
      <c r="D926" s="61" t="str">
        <f>IF($C926="B",INDEX(Batters[[#All],[POS]],MATCH(Table5[[#This Row],[PID]],Batters[[#All],[PID]],0)),INDEX(Table3[[#All],[POS]],MATCH(Table5[[#This Row],[PID]],Table3[[#All],[PID]],0)))</f>
        <v>2B</v>
      </c>
      <c r="E926" s="54" t="str">
        <f>IF($C926="B",INDEX(Batters[[#All],[First]],MATCH(Table5[[#This Row],[PID]],Batters[[#All],[PID]],0)),INDEX(Table3[[#All],[First]],MATCH(Table5[[#This Row],[PID]],Table3[[#All],[PID]],0)))</f>
        <v>Ryan</v>
      </c>
      <c r="F926" s="52" t="str">
        <f>IF($C926="B",INDEX(Batters[[#All],[Last]],MATCH(A926,Batters[[#All],[PID]],0)),INDEX(Table3[[#All],[Last]],MATCH(A926,Table3[[#All],[PID]],0)))</f>
        <v>Morris</v>
      </c>
      <c r="G926" s="58">
        <f>IF($C926="B",INDEX(Batters[[#All],[Age]],MATCH(Table5[[#This Row],[PID]],Batters[[#All],[PID]],0)),INDEX(Table3[[#All],[Age]],MATCH(Table5[[#This Row],[PID]],Table3[[#All],[PID]],0)))</f>
        <v>18</v>
      </c>
      <c r="H926" s="54" t="str">
        <f>IF($C926="B",INDEX(Batters[[#All],[B]],MATCH(Table5[[#This Row],[PID]],Batters[[#All],[PID]],0)),INDEX(Table3[[#All],[B]],MATCH(Table5[[#This Row],[PID]],Table3[[#All],[PID]],0)))</f>
        <v>S</v>
      </c>
      <c r="I926" s="54" t="str">
        <f>IF($C926="B",INDEX(Batters[[#All],[T]],MATCH(Table5[[#This Row],[PID]],Batters[[#All],[PID]],0)),INDEX(Table3[[#All],[T]],MATCH(Table5[[#This Row],[PID]],Table3[[#All],[PID]],0)))</f>
        <v>R</v>
      </c>
      <c r="J926" s="54" t="str">
        <f>IF($C926="B",INDEX(Batters[[#All],[WE]],MATCH(Table5[[#This Row],[PID]],Batters[[#All],[PID]],0)),INDEX(Table3[[#All],[WE]],MATCH(Table5[[#This Row],[PID]],Table3[[#All],[PID]],0)))</f>
        <v>Normal</v>
      </c>
      <c r="K926" s="54" t="str">
        <f>IF($C926="B",INDEX(Batters[[#All],[INT]],MATCH(Table5[[#This Row],[PID]],Batters[[#All],[PID]],0)),INDEX(Table3[[#All],[INT]],MATCH(Table5[[#This Row],[PID]],Table3[[#All],[PID]],0)))</f>
        <v>High</v>
      </c>
      <c r="L926" s="62">
        <f>IF($C926="B",INDEX(Batters[[#All],[CON P]],MATCH(Table5[[#This Row],[PID]],Batters[[#All],[PID]],0)),INDEX(Table3[[#All],[STU P]],MATCH(Table5[[#This Row],[PID]],Table3[[#All],[PID]],0)))</f>
        <v>2</v>
      </c>
      <c r="M926" s="58">
        <f>IF($C926="B",INDEX(Batters[[#All],[GAP P]],MATCH(Table5[[#This Row],[PID]],Batters[[#All],[PID]],0)),INDEX(Table3[[#All],[MOV P]],MATCH(Table5[[#This Row],[PID]],Table3[[#All],[PID]],0)))</f>
        <v>2</v>
      </c>
      <c r="N926" s="58">
        <f>IF($C926="B",INDEX(Batters[[#All],[POW P]],MATCH(Table5[[#This Row],[PID]],Batters[[#All],[PID]],0)),INDEX(Table3[[#All],[CON P]],MATCH(Table5[[#This Row],[PID]],Table3[[#All],[PID]],0)))</f>
        <v>3</v>
      </c>
      <c r="O926" s="58">
        <f>IF($C926="B",INDEX(Batters[[#All],[EYE P]],MATCH(Table5[[#This Row],[PID]],Batters[[#All],[PID]],0)),INDEX(Table3[[#All],[VELO]],MATCH(Table5[[#This Row],[PID]],Table3[[#All],[PID]],0)))</f>
        <v>4</v>
      </c>
      <c r="P926" s="58">
        <f>IF($C926="B",INDEX(Batters[[#All],[K P]],MATCH(Table5[[#This Row],[PID]],Batters[[#All],[PID]],0)),INDEX(Table3[[#All],[STM]],MATCH(Table5[[#This Row],[PID]],Table3[[#All],[PID]],0)))</f>
        <v>3</v>
      </c>
      <c r="Q926" s="63">
        <f>IF($C926="B",INDEX(Batters[[#All],[Tot]],MATCH(Table5[[#This Row],[PID]],Batters[[#All],[PID]],0)),INDEX(Table3[[#All],[Tot]],MATCH(Table5[[#This Row],[PID]],Table3[[#All],[PID]],0)))</f>
        <v>35.754552018873866</v>
      </c>
      <c r="R926" s="54">
        <f>IF($C926="B",INDEX(Batters[[#All],[zScore]],MATCH(Table5[[#This Row],[PID]],Batters[[#All],[PID]],0)),INDEX(Table3[[#All],[zScore]],MATCH(Table5[[#This Row],[PID]],Table3[[#All],[PID]],0)))</f>
        <v>-0.80823016385538671</v>
      </c>
      <c r="S926" s="60" t="str">
        <f>IF($C926="B",INDEX(Batters[[#All],[DEM]],MATCH(Table5[[#This Row],[PID]],Batters[[#All],[PID]],0)),INDEX(Table3[[#All],[DEM]],MATCH(Table5[[#This Row],[PID]],Table3[[#All],[PID]],0)))</f>
        <v>$65k</v>
      </c>
      <c r="T926" s="64">
        <f>IF($C926="B",VLOOKUP($A926,Bat!$A$4:$AU$1417,46,FALSE),VLOOKUP($A926,Pit!$A$4:$BD$570,55,FALSE))</f>
        <v>0</v>
      </c>
      <c r="U926" s="52">
        <f>IF($C926="B",VLOOKUP($A926,Bat!$A$4:$BA$1417,47,FALSE),VLOOKUP($A926,Pit!$A$4:$BF$570,56,FALSE))</f>
        <v>0</v>
      </c>
      <c r="V926" s="52">
        <f>IF($C926="B",VLOOKUP($A926,Bat!$A$4:$BA$1417,48,FALSE),VLOOKUP($A926,Pit!$A$4:$BF$570,57,FALSE))</f>
        <v>0</v>
      </c>
      <c r="W926" s="52">
        <f>Table5[[#This Row],[posRnk]]+Table5[[#This Row],[zRnk]]+IF($W$3&lt;&gt;Table5[[#This Row],[Type]],50,0)</f>
        <v>972</v>
      </c>
      <c r="X926" s="53">
        <f>RANK(Table5[[#This Row],[zScore]],Table5[[#All],[zScore]])</f>
        <v>922</v>
      </c>
      <c r="Y926" s="52" t="str">
        <f>IFERROR(INDEX(DraftResults[[#All],[OVR]],MATCH(Table5[[#This Row],[PID]],DraftResults[[#All],[Player ID]],0)),"")</f>
        <v/>
      </c>
      <c r="Z9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6" s="52" t="str">
        <f>IFERROR(INDEX(DraftResults[[#All],[Pick in Round]],MATCH(Table5[[#This Row],[PID]],DraftResults[[#All],[Player ID]],0)),"")</f>
        <v/>
      </c>
      <c r="AB926" s="52" t="str">
        <f>IFERROR(INDEX(DraftResults[[#All],[Team Name]],MATCH(Table5[[#This Row],[PID]],DraftResults[[#All],[Player ID]],0)),"")</f>
        <v/>
      </c>
      <c r="AC926" s="52" t="str">
        <f>IF(Table5[[#This Row],[Ovr]]="","",IF(Table5[[#This Row],[cmbList]]="","",Table5[[#This Row],[cmbList]]-Table5[[#This Row],[Ovr]]))</f>
        <v/>
      </c>
      <c r="AD926" s="56" t="str">
        <f>IF(ISERROR(VLOOKUP($AB926&amp;"-"&amp;$E926&amp;" "&amp;F926,Bonuses!$B$1:$G$1006,4,FALSE)),"",INT(VLOOKUP($AB926&amp;"-"&amp;$E926&amp;" "&amp;$F926,Bonuses!$B$1:$G$1006,4,FALSE)))</f>
        <v/>
      </c>
      <c r="AE9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7" spans="1:31" s="52" customFormat="1" x14ac:dyDescent="0.25">
      <c r="A927" s="52">
        <v>18042</v>
      </c>
      <c r="B927" s="52">
        <f>COUNTIF(Table5[PID],A927)</f>
        <v>1</v>
      </c>
      <c r="C927" s="52" t="str">
        <f>IF(COUNTIF(Table3[[#All],[PID]],A927)&gt;0,"P","B")</f>
        <v>P</v>
      </c>
      <c r="D927" s="61" t="str">
        <f>IF($C927="B",INDEX(Batters[[#All],[POS]],MATCH(Table5[[#This Row],[PID]],Batters[[#All],[PID]],0)),INDEX(Table3[[#All],[POS]],MATCH(Table5[[#This Row],[PID]],Table3[[#All],[PID]],0)))</f>
        <v>SP</v>
      </c>
      <c r="E927" s="54" t="str">
        <f>IF($C927="B",INDEX(Batters[[#All],[First]],MATCH(Table5[[#This Row],[PID]],Batters[[#All],[PID]],0)),INDEX(Table3[[#All],[First]],MATCH(Table5[[#This Row],[PID]],Table3[[#All],[PID]],0)))</f>
        <v>Stanley</v>
      </c>
      <c r="F927" s="52" t="str">
        <f>IF($C927="B",INDEX(Batters[[#All],[Last]],MATCH(A927,Batters[[#All],[PID]],0)),INDEX(Table3[[#All],[Last]],MATCH(A927,Table3[[#All],[PID]],0)))</f>
        <v>Randolph</v>
      </c>
      <c r="G927" s="58">
        <f>IF($C927="B",INDEX(Batters[[#All],[Age]],MATCH(Table5[[#This Row],[PID]],Batters[[#All],[PID]],0)),INDEX(Table3[[#All],[Age]],MATCH(Table5[[#This Row],[PID]],Table3[[#All],[PID]],0)))</f>
        <v>21</v>
      </c>
      <c r="H927" s="54" t="str">
        <f>IF($C927="B",INDEX(Batters[[#All],[B]],MATCH(Table5[[#This Row],[PID]],Batters[[#All],[PID]],0)),INDEX(Table3[[#All],[B]],MATCH(Table5[[#This Row],[PID]],Table3[[#All],[PID]],0)))</f>
        <v>L</v>
      </c>
      <c r="I927" s="54" t="str">
        <f>IF($C927="B",INDEX(Batters[[#All],[T]],MATCH(Table5[[#This Row],[PID]],Batters[[#All],[PID]],0)),INDEX(Table3[[#All],[T]],MATCH(Table5[[#This Row],[PID]],Table3[[#All],[PID]],0)))</f>
        <v>L</v>
      </c>
      <c r="J927" s="54" t="str">
        <f>IF($C927="B",INDEX(Batters[[#All],[WE]],MATCH(Table5[[#This Row],[PID]],Batters[[#All],[PID]],0)),INDEX(Table3[[#All],[WE]],MATCH(Table5[[#This Row],[PID]],Table3[[#All],[PID]],0)))</f>
        <v>Normal</v>
      </c>
      <c r="K927" s="54" t="str">
        <f>IF($C927="B",INDEX(Batters[[#All],[INT]],MATCH(Table5[[#This Row],[PID]],Batters[[#All],[PID]],0)),INDEX(Table3[[#All],[INT]],MATCH(Table5[[#This Row],[PID]],Table3[[#All],[PID]],0)))</f>
        <v>Normal</v>
      </c>
      <c r="L927" s="62">
        <f>IF($C927="B",INDEX(Batters[[#All],[CON P]],MATCH(Table5[[#This Row],[PID]],Batters[[#All],[PID]],0)),INDEX(Table3[[#All],[STU P]],MATCH(Table5[[#This Row],[PID]],Table3[[#All],[PID]],0)))</f>
        <v>4</v>
      </c>
      <c r="M927" s="58">
        <f>IF($C927="B",INDEX(Batters[[#All],[GAP P]],MATCH(Table5[[#This Row],[PID]],Batters[[#All],[PID]],0)),INDEX(Table3[[#All],[MOV P]],MATCH(Table5[[#This Row],[PID]],Table3[[#All],[PID]],0)))</f>
        <v>2</v>
      </c>
      <c r="N927" s="58">
        <f>IF($C927="B",INDEX(Batters[[#All],[POW P]],MATCH(Table5[[#This Row],[PID]],Batters[[#All],[PID]],0)),INDEX(Table3[[#All],[CON P]],MATCH(Table5[[#This Row],[PID]],Table3[[#All],[PID]],0)))</f>
        <v>3</v>
      </c>
      <c r="O927" s="58" t="str">
        <f>IF($C927="B",INDEX(Batters[[#All],[EYE P]],MATCH(Table5[[#This Row],[PID]],Batters[[#All],[PID]],0)),INDEX(Table3[[#All],[VELO]],MATCH(Table5[[#This Row],[PID]],Table3[[#All],[PID]],0)))</f>
        <v>91-93 Mph</v>
      </c>
      <c r="P927" s="58">
        <f>IF($C927="B",INDEX(Batters[[#All],[K P]],MATCH(Table5[[#This Row],[PID]],Batters[[#All],[PID]],0)),INDEX(Table3[[#All],[STM]],MATCH(Table5[[#This Row],[PID]],Table3[[#All],[PID]],0)))</f>
        <v>3</v>
      </c>
      <c r="Q927" s="63">
        <f>IF($C927="B",INDEX(Batters[[#All],[Tot]],MATCH(Table5[[#This Row],[PID]],Batters[[#All],[PID]],0)),INDEX(Table3[[#All],[Tot]],MATCH(Table5[[#This Row],[PID]],Table3[[#All],[PID]],0)))</f>
        <v>23.890830734434743</v>
      </c>
      <c r="R927" s="54">
        <f>IF($C927="B",INDEX(Batters[[#All],[zScore]],MATCH(Table5[[#This Row],[PID]],Batters[[#All],[PID]],0)),INDEX(Table3[[#All],[zScore]],MATCH(Table5[[#This Row],[PID]],Table3[[#All],[PID]],0)))</f>
        <v>-0.80987897125266317</v>
      </c>
      <c r="S927" s="60" t="str">
        <f>IF($C927="B",INDEX(Batters[[#All],[DEM]],MATCH(Table5[[#This Row],[PID]],Batters[[#All],[PID]],0)),INDEX(Table3[[#All],[DEM]],MATCH(Table5[[#This Row],[PID]],Table3[[#All],[PID]],0)))</f>
        <v>$20k</v>
      </c>
      <c r="T927" s="64">
        <f>IF($C927="B",VLOOKUP($A927,Bat!$A$4:$AU$1417,46,FALSE),VLOOKUP($A927,Pit!$A$4:$BD$570,55,FALSE))</f>
        <v>0</v>
      </c>
      <c r="U927" s="52">
        <f>IF($C927="B",VLOOKUP($A927,Bat!$A$4:$BA$1417,47,FALSE),VLOOKUP($A927,Pit!$A$4:$BF$570,56,FALSE))</f>
        <v>0</v>
      </c>
      <c r="V927" s="52">
        <f>IF($C927="B",VLOOKUP($A927,Bat!$A$4:$BA$1417,48,FALSE),VLOOKUP($A927,Pit!$A$4:$BF$570,57,FALSE))</f>
        <v>0</v>
      </c>
      <c r="W927" s="52">
        <f>Table5[[#This Row],[posRnk]]+Table5[[#This Row],[zRnk]]+IF($W$3&lt;&gt;Table5[[#This Row],[Type]],50,0)</f>
        <v>973</v>
      </c>
      <c r="X927" s="53">
        <f>RANK(Table5[[#This Row],[zScore]],Table5[[#All],[zScore]])</f>
        <v>923</v>
      </c>
      <c r="Y927" s="52" t="str">
        <f>IFERROR(INDEX(DraftResults[[#All],[OVR]],MATCH(Table5[[#This Row],[PID]],DraftResults[[#All],[Player ID]],0)),"")</f>
        <v/>
      </c>
      <c r="Z9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7" s="52" t="str">
        <f>IFERROR(INDEX(DraftResults[[#All],[Pick in Round]],MATCH(Table5[[#This Row],[PID]],DraftResults[[#All],[Player ID]],0)),"")</f>
        <v/>
      </c>
      <c r="AB927" s="52" t="str">
        <f>IFERROR(INDEX(DraftResults[[#All],[Team Name]],MATCH(Table5[[#This Row],[PID]],DraftResults[[#All],[Player ID]],0)),"")</f>
        <v/>
      </c>
      <c r="AC927" s="52" t="str">
        <f>IF(Table5[[#This Row],[Ovr]]="","",IF(Table5[[#This Row],[cmbList]]="","",Table5[[#This Row],[cmbList]]-Table5[[#This Row],[Ovr]]))</f>
        <v/>
      </c>
      <c r="AD927" s="56" t="str">
        <f>IF(ISERROR(VLOOKUP($AB927&amp;"-"&amp;$E927&amp;" "&amp;F927,Bonuses!$B$1:$G$1006,4,FALSE)),"",INT(VLOOKUP($AB927&amp;"-"&amp;$E927&amp;" "&amp;$F927,Bonuses!$B$1:$G$1006,4,FALSE)))</f>
        <v/>
      </c>
      <c r="AE9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8" spans="1:31" s="52" customFormat="1" x14ac:dyDescent="0.25">
      <c r="A928" s="52">
        <v>13135</v>
      </c>
      <c r="B928" s="52">
        <f>COUNTIF(Table5[PID],A928)</f>
        <v>1</v>
      </c>
      <c r="C928" s="52" t="str">
        <f>IF(COUNTIF(Table3[[#All],[PID]],A928)&gt;0,"P","B")</f>
        <v>P</v>
      </c>
      <c r="D928" s="61" t="str">
        <f>IF($C928="B",INDEX(Batters[[#All],[POS]],MATCH(Table5[[#This Row],[PID]],Batters[[#All],[PID]],0)),INDEX(Table3[[#All],[POS]],MATCH(Table5[[#This Row],[PID]],Table3[[#All],[PID]],0)))</f>
        <v>RP</v>
      </c>
      <c r="E928" s="54" t="str">
        <f>IF($C928="B",INDEX(Batters[[#All],[First]],MATCH(Table5[[#This Row],[PID]],Batters[[#All],[PID]],0)),INDEX(Table3[[#All],[First]],MATCH(Table5[[#This Row],[PID]],Table3[[#All],[PID]],0)))</f>
        <v>Nathan</v>
      </c>
      <c r="F928" s="52" t="str">
        <f>IF($C928="B",INDEX(Batters[[#All],[Last]],MATCH(A928,Batters[[#All],[PID]],0)),INDEX(Table3[[#All],[Last]],MATCH(A928,Table3[[#All],[PID]],0)))</f>
        <v>MacDerment</v>
      </c>
      <c r="G928" s="58">
        <f>IF($C928="B",INDEX(Batters[[#All],[Age]],MATCH(Table5[[#This Row],[PID]],Batters[[#All],[PID]],0)),INDEX(Table3[[#All],[Age]],MATCH(Table5[[#This Row],[PID]],Table3[[#All],[PID]],0)))</f>
        <v>22</v>
      </c>
      <c r="H928" s="54" t="str">
        <f>IF($C928="B",INDEX(Batters[[#All],[B]],MATCH(Table5[[#This Row],[PID]],Batters[[#All],[PID]],0)),INDEX(Table3[[#All],[B]],MATCH(Table5[[#This Row],[PID]],Table3[[#All],[PID]],0)))</f>
        <v>R</v>
      </c>
      <c r="I928" s="54" t="str">
        <f>IF($C928="B",INDEX(Batters[[#All],[T]],MATCH(Table5[[#This Row],[PID]],Batters[[#All],[PID]],0)),INDEX(Table3[[#All],[T]],MATCH(Table5[[#This Row],[PID]],Table3[[#All],[PID]],0)))</f>
        <v>R</v>
      </c>
      <c r="J928" s="54" t="str">
        <f>IF($C928="B",INDEX(Batters[[#All],[WE]],MATCH(Table5[[#This Row],[PID]],Batters[[#All],[PID]],0)),INDEX(Table3[[#All],[WE]],MATCH(Table5[[#This Row],[PID]],Table3[[#All],[PID]],0)))</f>
        <v>Low</v>
      </c>
      <c r="K928" s="54" t="str">
        <f>IF($C928="B",INDEX(Batters[[#All],[INT]],MATCH(Table5[[#This Row],[PID]],Batters[[#All],[PID]],0)),INDEX(Table3[[#All],[INT]],MATCH(Table5[[#This Row],[PID]],Table3[[#All],[PID]],0)))</f>
        <v>Normal</v>
      </c>
      <c r="L928" s="62">
        <f>IF($C928="B",INDEX(Batters[[#All],[CON P]],MATCH(Table5[[#This Row],[PID]],Batters[[#All],[PID]],0)),INDEX(Table3[[#All],[STU P]],MATCH(Table5[[#This Row],[PID]],Table3[[#All],[PID]],0)))</f>
        <v>5</v>
      </c>
      <c r="M928" s="58">
        <f>IF($C928="B",INDEX(Batters[[#All],[GAP P]],MATCH(Table5[[#This Row],[PID]],Batters[[#All],[PID]],0)),INDEX(Table3[[#All],[MOV P]],MATCH(Table5[[#This Row],[PID]],Table3[[#All],[PID]],0)))</f>
        <v>1</v>
      </c>
      <c r="N928" s="58">
        <f>IF($C928="B",INDEX(Batters[[#All],[POW P]],MATCH(Table5[[#This Row],[PID]],Batters[[#All],[PID]],0)),INDEX(Table3[[#All],[CON P]],MATCH(Table5[[#This Row],[PID]],Table3[[#All],[PID]],0)))</f>
        <v>3</v>
      </c>
      <c r="O928" s="58" t="str">
        <f>IF($C928="B",INDEX(Batters[[#All],[EYE P]],MATCH(Table5[[#This Row],[PID]],Batters[[#All],[PID]],0)),INDEX(Table3[[#All],[VELO]],MATCH(Table5[[#This Row],[PID]],Table3[[#All],[PID]],0)))</f>
        <v>90-92 Mph</v>
      </c>
      <c r="P928" s="58">
        <f>IF($C928="B",INDEX(Batters[[#All],[K P]],MATCH(Table5[[#This Row],[PID]],Batters[[#All],[PID]],0)),INDEX(Table3[[#All],[STM]],MATCH(Table5[[#This Row],[PID]],Table3[[#All],[PID]],0)))</f>
        <v>1</v>
      </c>
      <c r="Q928" s="63">
        <f>IF($C928="B",INDEX(Batters[[#All],[Tot]],MATCH(Table5[[#This Row],[PID]],Batters[[#All],[PID]],0)),INDEX(Table3[[#All],[Tot]],MATCH(Table5[[#This Row],[PID]],Table3[[#All],[PID]],0)))</f>
        <v>23.855695780230327</v>
      </c>
      <c r="R928" s="54">
        <f>IF($C928="B",INDEX(Batters[[#All],[zScore]],MATCH(Table5[[#This Row],[PID]],Batters[[#All],[PID]],0)),INDEX(Table3[[#All],[zScore]],MATCH(Table5[[#This Row],[PID]],Table3[[#All],[PID]],0)))</f>
        <v>-0.8131009967231585</v>
      </c>
      <c r="S928" s="60" t="str">
        <f>IF($C928="B",INDEX(Batters[[#All],[DEM]],MATCH(Table5[[#This Row],[PID]],Batters[[#All],[PID]],0)),INDEX(Table3[[#All],[DEM]],MATCH(Table5[[#This Row],[PID]],Table3[[#All],[PID]],0)))</f>
        <v>-</v>
      </c>
      <c r="T928" s="64">
        <f>IF($C928="B",VLOOKUP($A928,Bat!$A$4:$AU$1417,46,FALSE),VLOOKUP($A928,Pit!$A$4:$BD$570,55,FALSE))</f>
        <v>0</v>
      </c>
      <c r="U928" s="52">
        <f>IF($C928="B",VLOOKUP($A928,Bat!$A$4:$BA$1417,47,FALSE),VLOOKUP($A928,Pit!$A$4:$BF$570,56,FALSE))</f>
        <v>0</v>
      </c>
      <c r="V928" s="52">
        <f>IF($C928="B",VLOOKUP($A928,Bat!$A$4:$BA$1417,48,FALSE),VLOOKUP($A928,Pit!$A$4:$BF$570,57,FALSE))</f>
        <v>0</v>
      </c>
      <c r="W928" s="52">
        <f>Table5[[#This Row],[posRnk]]+Table5[[#This Row],[zRnk]]+IF($W$3&lt;&gt;Table5[[#This Row],[Type]],50,0)</f>
        <v>974</v>
      </c>
      <c r="X928" s="53">
        <f>RANK(Table5[[#This Row],[zScore]],Table5[[#All],[zScore]])</f>
        <v>924</v>
      </c>
      <c r="Y928" s="52" t="str">
        <f>IFERROR(INDEX(DraftResults[[#All],[OVR]],MATCH(Table5[[#This Row],[PID]],DraftResults[[#All],[Player ID]],0)),"")</f>
        <v/>
      </c>
      <c r="Z9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8" s="52" t="str">
        <f>IFERROR(INDEX(DraftResults[[#All],[Pick in Round]],MATCH(Table5[[#This Row],[PID]],DraftResults[[#All],[Player ID]],0)),"")</f>
        <v/>
      </c>
      <c r="AB928" s="52" t="str">
        <f>IFERROR(INDEX(DraftResults[[#All],[Team Name]],MATCH(Table5[[#This Row],[PID]],DraftResults[[#All],[Player ID]],0)),"")</f>
        <v/>
      </c>
      <c r="AC928" s="52" t="str">
        <f>IF(Table5[[#This Row],[Ovr]]="","",IF(Table5[[#This Row],[cmbList]]="","",Table5[[#This Row],[cmbList]]-Table5[[#This Row],[Ovr]]))</f>
        <v/>
      </c>
      <c r="AD928" s="56" t="str">
        <f>IF(ISERROR(VLOOKUP($AB928&amp;"-"&amp;$E928&amp;" "&amp;F928,Bonuses!$B$1:$G$1006,4,FALSE)),"",INT(VLOOKUP($AB928&amp;"-"&amp;$E928&amp;" "&amp;$F928,Bonuses!$B$1:$G$1006,4,FALSE)))</f>
        <v/>
      </c>
      <c r="AE9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9" spans="1:31" s="52" customFormat="1" x14ac:dyDescent="0.25">
      <c r="A929" s="52">
        <v>11665</v>
      </c>
      <c r="B929" s="52">
        <f>COUNTIF(Table5[PID],A929)</f>
        <v>1</v>
      </c>
      <c r="C929" s="52" t="str">
        <f>IF(COUNTIF(Table3[[#All],[PID]],A929)&gt;0,"P","B")</f>
        <v>P</v>
      </c>
      <c r="D929" s="61" t="str">
        <f>IF($C929="B",INDEX(Batters[[#All],[POS]],MATCH(Table5[[#This Row],[PID]],Batters[[#All],[PID]],0)),INDEX(Table3[[#All],[POS]],MATCH(Table5[[#This Row],[PID]],Table3[[#All],[PID]],0)))</f>
        <v>RP</v>
      </c>
      <c r="E929" s="54" t="str">
        <f>IF($C929="B",INDEX(Batters[[#All],[First]],MATCH(Table5[[#This Row],[PID]],Batters[[#All],[PID]],0)),INDEX(Table3[[#All],[First]],MATCH(Table5[[#This Row],[PID]],Table3[[#All],[PID]],0)))</f>
        <v>Brian</v>
      </c>
      <c r="F929" s="52" t="str">
        <f>IF($C929="B",INDEX(Batters[[#All],[Last]],MATCH(A929,Batters[[#All],[PID]],0)),INDEX(Table3[[#All],[Last]],MATCH(A929,Table3[[#All],[PID]],0)))</f>
        <v>Bell</v>
      </c>
      <c r="G929" s="58">
        <f>IF($C929="B",INDEX(Batters[[#All],[Age]],MATCH(Table5[[#This Row],[PID]],Batters[[#All],[PID]],0)),INDEX(Table3[[#All],[Age]],MATCH(Table5[[#This Row],[PID]],Table3[[#All],[PID]],0)))</f>
        <v>22</v>
      </c>
      <c r="H929" s="54" t="str">
        <f>IF($C929="B",INDEX(Batters[[#All],[B]],MATCH(Table5[[#This Row],[PID]],Batters[[#All],[PID]],0)),INDEX(Table3[[#All],[B]],MATCH(Table5[[#This Row],[PID]],Table3[[#All],[PID]],0)))</f>
        <v>S</v>
      </c>
      <c r="I929" s="54" t="str">
        <f>IF($C929="B",INDEX(Batters[[#All],[T]],MATCH(Table5[[#This Row],[PID]],Batters[[#All],[PID]],0)),INDEX(Table3[[#All],[T]],MATCH(Table5[[#This Row],[PID]],Table3[[#All],[PID]],0)))</f>
        <v>R</v>
      </c>
      <c r="J929" s="54" t="str">
        <f>IF($C929="B",INDEX(Batters[[#All],[WE]],MATCH(Table5[[#This Row],[PID]],Batters[[#All],[PID]],0)),INDEX(Table3[[#All],[WE]],MATCH(Table5[[#This Row],[PID]],Table3[[#All],[PID]],0)))</f>
        <v>Normal</v>
      </c>
      <c r="K929" s="54" t="str">
        <f>IF($C929="B",INDEX(Batters[[#All],[INT]],MATCH(Table5[[#This Row],[PID]],Batters[[#All],[PID]],0)),INDEX(Table3[[#All],[INT]],MATCH(Table5[[#This Row],[PID]],Table3[[#All],[PID]],0)))</f>
        <v>Normal</v>
      </c>
      <c r="L929" s="62">
        <f>IF($C929="B",INDEX(Batters[[#All],[CON P]],MATCH(Table5[[#This Row],[PID]],Batters[[#All],[PID]],0)),INDEX(Table3[[#All],[STU P]],MATCH(Table5[[#This Row],[PID]],Table3[[#All],[PID]],0)))</f>
        <v>4</v>
      </c>
      <c r="M929" s="58">
        <f>IF($C929="B",INDEX(Batters[[#All],[GAP P]],MATCH(Table5[[#This Row],[PID]],Batters[[#All],[PID]],0)),INDEX(Table3[[#All],[MOV P]],MATCH(Table5[[#This Row],[PID]],Table3[[#All],[PID]],0)))</f>
        <v>2</v>
      </c>
      <c r="N929" s="58">
        <f>IF($C929="B",INDEX(Batters[[#All],[POW P]],MATCH(Table5[[#This Row],[PID]],Batters[[#All],[PID]],0)),INDEX(Table3[[#All],[CON P]],MATCH(Table5[[#This Row],[PID]],Table3[[#All],[PID]],0)))</f>
        <v>2</v>
      </c>
      <c r="O929" s="58" t="str">
        <f>IF($C929="B",INDEX(Batters[[#All],[EYE P]],MATCH(Table5[[#This Row],[PID]],Batters[[#All],[PID]],0)),INDEX(Table3[[#All],[VELO]],MATCH(Table5[[#This Row],[PID]],Table3[[#All],[PID]],0)))</f>
        <v>91-93 Mph</v>
      </c>
      <c r="P929" s="58">
        <f>IF($C929="B",INDEX(Batters[[#All],[K P]],MATCH(Table5[[#This Row],[PID]],Batters[[#All],[PID]],0)),INDEX(Table3[[#All],[STM]],MATCH(Table5[[#This Row],[PID]],Table3[[#All],[PID]],0)))</f>
        <v>7</v>
      </c>
      <c r="Q929" s="63">
        <f>IF($C929="B",INDEX(Batters[[#All],[Tot]],MATCH(Table5[[#This Row],[PID]],Batters[[#All],[PID]],0)),INDEX(Table3[[#All],[Tot]],MATCH(Table5[[#This Row],[PID]],Table3[[#All],[PID]],0)))</f>
        <v>23.85431505783335</v>
      </c>
      <c r="R929" s="54">
        <f>IF($C929="B",INDEX(Batters[[#All],[zScore]],MATCH(Table5[[#This Row],[PID]],Batters[[#All],[PID]],0)),INDEX(Table3[[#All],[zScore]],MATCH(Table5[[#This Row],[PID]],Table3[[#All],[PID]],0)))</f>
        <v>-0.81322761486829287</v>
      </c>
      <c r="S929" s="60" t="str">
        <f>IF($C929="B",INDEX(Batters[[#All],[DEM]],MATCH(Table5[[#This Row],[PID]],Batters[[#All],[PID]],0)),INDEX(Table3[[#All],[DEM]],MATCH(Table5[[#This Row],[PID]],Table3[[#All],[PID]],0)))</f>
        <v>-</v>
      </c>
      <c r="T929" s="64">
        <f>IF($C929="B",VLOOKUP($A929,Bat!$A$4:$AU$1417,46,FALSE),VLOOKUP($A929,Pit!$A$4:$BD$570,55,FALSE))</f>
        <v>0</v>
      </c>
      <c r="U929" s="52">
        <f>IF($C929="B",VLOOKUP($A929,Bat!$A$4:$BA$1417,47,FALSE),VLOOKUP($A929,Pit!$A$4:$BF$570,56,FALSE))</f>
        <v>0</v>
      </c>
      <c r="V929" s="52">
        <f>IF($C929="B",VLOOKUP($A929,Bat!$A$4:$BA$1417,48,FALSE),VLOOKUP($A929,Pit!$A$4:$BF$570,57,FALSE))</f>
        <v>0</v>
      </c>
      <c r="W929" s="52">
        <f>Table5[[#This Row],[posRnk]]+Table5[[#This Row],[zRnk]]+IF($W$3&lt;&gt;Table5[[#This Row],[Type]],50,0)</f>
        <v>975</v>
      </c>
      <c r="X929" s="53">
        <f>RANK(Table5[[#This Row],[zScore]],Table5[[#All],[zScore]])</f>
        <v>925</v>
      </c>
      <c r="Y929" s="52" t="str">
        <f>IFERROR(INDEX(DraftResults[[#All],[OVR]],MATCH(Table5[[#This Row],[PID]],DraftResults[[#All],[Player ID]],0)),"")</f>
        <v/>
      </c>
      <c r="Z9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9" s="52" t="str">
        <f>IFERROR(INDEX(DraftResults[[#All],[Pick in Round]],MATCH(Table5[[#This Row],[PID]],DraftResults[[#All],[Player ID]],0)),"")</f>
        <v/>
      </c>
      <c r="AB929" s="52" t="str">
        <f>IFERROR(INDEX(DraftResults[[#All],[Team Name]],MATCH(Table5[[#This Row],[PID]],DraftResults[[#All],[Player ID]],0)),"")</f>
        <v/>
      </c>
      <c r="AC929" s="52" t="str">
        <f>IF(Table5[[#This Row],[Ovr]]="","",IF(Table5[[#This Row],[cmbList]]="","",Table5[[#This Row],[cmbList]]-Table5[[#This Row],[Ovr]]))</f>
        <v/>
      </c>
      <c r="AD929" s="56" t="str">
        <f>IF(ISERROR(VLOOKUP($AB929&amp;"-"&amp;$E929&amp;" "&amp;F929,Bonuses!$B$1:$G$1006,4,FALSE)),"",INT(VLOOKUP($AB929&amp;"-"&amp;$E929&amp;" "&amp;$F929,Bonuses!$B$1:$G$1006,4,FALSE)))</f>
        <v/>
      </c>
      <c r="AE9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0" spans="1:31" s="52" customFormat="1" x14ac:dyDescent="0.25">
      <c r="A930" s="52">
        <v>9684</v>
      </c>
      <c r="B930" s="52">
        <f>COUNTIF(Table5[PID],A930)</f>
        <v>1</v>
      </c>
      <c r="C930" s="52" t="str">
        <f>IF(COUNTIF(Table3[[#All],[PID]],A930)&gt;0,"P","B")</f>
        <v>B</v>
      </c>
      <c r="D930" s="61" t="str">
        <f>IF($C930="B",INDEX(Batters[[#All],[POS]],MATCH(Table5[[#This Row],[PID]],Batters[[#All],[PID]],0)),INDEX(Table3[[#All],[POS]],MATCH(Table5[[#This Row],[PID]],Table3[[#All],[PID]],0)))</f>
        <v>C</v>
      </c>
      <c r="E930" s="54" t="str">
        <f>IF($C930="B",INDEX(Batters[[#All],[First]],MATCH(Table5[[#This Row],[PID]],Batters[[#All],[PID]],0)),INDEX(Table3[[#All],[First]],MATCH(Table5[[#This Row],[PID]],Table3[[#All],[PID]],0)))</f>
        <v>Ralph</v>
      </c>
      <c r="F930" s="52" t="str">
        <f>IF($C930="B",INDEX(Batters[[#All],[Last]],MATCH(A930,Batters[[#All],[PID]],0)),INDEX(Table3[[#All],[Last]],MATCH(A930,Table3[[#All],[PID]],0)))</f>
        <v>Strong</v>
      </c>
      <c r="G930" s="58">
        <f>IF($C930="B",INDEX(Batters[[#All],[Age]],MATCH(Table5[[#This Row],[PID]],Batters[[#All],[PID]],0)),INDEX(Table3[[#All],[Age]],MATCH(Table5[[#This Row],[PID]],Table3[[#All],[PID]],0)))</f>
        <v>21</v>
      </c>
      <c r="H930" s="54" t="str">
        <f>IF($C930="B",INDEX(Batters[[#All],[B]],MATCH(Table5[[#This Row],[PID]],Batters[[#All],[PID]],0)),INDEX(Table3[[#All],[B]],MATCH(Table5[[#This Row],[PID]],Table3[[#All],[PID]],0)))</f>
        <v>S</v>
      </c>
      <c r="I930" s="54" t="str">
        <f>IF($C930="B",INDEX(Batters[[#All],[T]],MATCH(Table5[[#This Row],[PID]],Batters[[#All],[PID]],0)),INDEX(Table3[[#All],[T]],MATCH(Table5[[#This Row],[PID]],Table3[[#All],[PID]],0)))</f>
        <v>R</v>
      </c>
      <c r="J930" s="54" t="str">
        <f>IF($C930="B",INDEX(Batters[[#All],[WE]],MATCH(Table5[[#This Row],[PID]],Batters[[#All],[PID]],0)),INDEX(Table3[[#All],[WE]],MATCH(Table5[[#This Row],[PID]],Table3[[#All],[PID]],0)))</f>
        <v>Normal</v>
      </c>
      <c r="K930" s="54" t="str">
        <f>IF($C930="B",INDEX(Batters[[#All],[INT]],MATCH(Table5[[#This Row],[PID]],Batters[[#All],[PID]],0)),INDEX(Table3[[#All],[INT]],MATCH(Table5[[#This Row],[PID]],Table3[[#All],[PID]],0)))</f>
        <v>Normal</v>
      </c>
      <c r="L930" s="62">
        <f>IF($C930="B",INDEX(Batters[[#All],[CON P]],MATCH(Table5[[#This Row],[PID]],Batters[[#All],[PID]],0)),INDEX(Table3[[#All],[STU P]],MATCH(Table5[[#This Row],[PID]],Table3[[#All],[PID]],0)))</f>
        <v>3</v>
      </c>
      <c r="M930" s="58">
        <f>IF($C930="B",INDEX(Batters[[#All],[GAP P]],MATCH(Table5[[#This Row],[PID]],Batters[[#All],[PID]],0)),INDEX(Table3[[#All],[MOV P]],MATCH(Table5[[#This Row],[PID]],Table3[[#All],[PID]],0)))</f>
        <v>3</v>
      </c>
      <c r="N930" s="58">
        <f>IF($C930="B",INDEX(Batters[[#All],[POW P]],MATCH(Table5[[#This Row],[PID]],Batters[[#All],[PID]],0)),INDEX(Table3[[#All],[CON P]],MATCH(Table5[[#This Row],[PID]],Table3[[#All],[PID]],0)))</f>
        <v>3</v>
      </c>
      <c r="O930" s="58">
        <f>IF($C930="B",INDEX(Batters[[#All],[EYE P]],MATCH(Table5[[#This Row],[PID]],Batters[[#All],[PID]],0)),INDEX(Table3[[#All],[VELO]],MATCH(Table5[[#This Row],[PID]],Table3[[#All],[PID]],0)))</f>
        <v>4</v>
      </c>
      <c r="P930" s="58">
        <f>IF($C930="B",INDEX(Batters[[#All],[K P]],MATCH(Table5[[#This Row],[PID]],Batters[[#All],[PID]],0)),INDEX(Table3[[#All],[STM]],MATCH(Table5[[#This Row],[PID]],Table3[[#All],[PID]],0)))</f>
        <v>4</v>
      </c>
      <c r="Q930" s="63">
        <f>IF($C930="B",INDEX(Batters[[#All],[Tot]],MATCH(Table5[[#This Row],[PID]],Batters[[#All],[PID]],0)),INDEX(Table3[[#All],[Tot]],MATCH(Table5[[#This Row],[PID]],Table3[[#All],[PID]],0)))</f>
        <v>35.701776996502595</v>
      </c>
      <c r="R930" s="54">
        <f>IF($C930="B",INDEX(Batters[[#All],[zScore]],MATCH(Table5[[#This Row],[PID]],Batters[[#All],[PID]],0)),INDEX(Table3[[#All],[zScore]],MATCH(Table5[[#This Row],[PID]],Table3[[#All],[PID]],0)))</f>
        <v>-0.81751557828280252</v>
      </c>
      <c r="S930" s="60" t="str">
        <f>IF($C930="B",INDEX(Batters[[#All],[DEM]],MATCH(Table5[[#This Row],[PID]],Batters[[#All],[PID]],0)),INDEX(Table3[[#All],[DEM]],MATCH(Table5[[#This Row],[PID]],Table3[[#All],[PID]],0)))</f>
        <v>-</v>
      </c>
      <c r="T930" s="64">
        <f>IF($C930="B",VLOOKUP($A930,Bat!$A$4:$AU$1417,46,FALSE),VLOOKUP($A930,Pit!$A$4:$BD$570,55,FALSE))</f>
        <v>0</v>
      </c>
      <c r="U930" s="52">
        <f>IF($C930="B",VLOOKUP($A930,Bat!$A$4:$BA$1417,47,FALSE),VLOOKUP($A930,Pit!$A$4:$BF$570,56,FALSE))</f>
        <v>0</v>
      </c>
      <c r="V930" s="52">
        <f>IF($C930="B",VLOOKUP($A930,Bat!$A$4:$BA$1417,48,FALSE),VLOOKUP($A930,Pit!$A$4:$BF$570,57,FALSE))</f>
        <v>0</v>
      </c>
      <c r="W930" s="52">
        <f>Table5[[#This Row],[posRnk]]+Table5[[#This Row],[zRnk]]+IF($W$3&lt;&gt;Table5[[#This Row],[Type]],50,0)</f>
        <v>976</v>
      </c>
      <c r="X930" s="53">
        <f>RANK(Table5[[#This Row],[zScore]],Table5[[#All],[zScore]])</f>
        <v>926</v>
      </c>
      <c r="Y930" s="52" t="str">
        <f>IFERROR(INDEX(DraftResults[[#All],[OVR]],MATCH(Table5[[#This Row],[PID]],DraftResults[[#All],[Player ID]],0)),"")</f>
        <v/>
      </c>
      <c r="Z9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0" s="52" t="str">
        <f>IFERROR(INDEX(DraftResults[[#All],[Pick in Round]],MATCH(Table5[[#This Row],[PID]],DraftResults[[#All],[Player ID]],0)),"")</f>
        <v/>
      </c>
      <c r="AB930" s="52" t="str">
        <f>IFERROR(INDEX(DraftResults[[#All],[Team Name]],MATCH(Table5[[#This Row],[PID]],DraftResults[[#All],[Player ID]],0)),"")</f>
        <v/>
      </c>
      <c r="AC930" s="52" t="str">
        <f>IF(Table5[[#This Row],[Ovr]]="","",IF(Table5[[#This Row],[cmbList]]="","",Table5[[#This Row],[cmbList]]-Table5[[#This Row],[Ovr]]))</f>
        <v/>
      </c>
      <c r="AD930" s="56" t="str">
        <f>IF(ISERROR(VLOOKUP($AB930&amp;"-"&amp;$E930&amp;" "&amp;F930,Bonuses!$B$1:$G$1006,4,FALSE)),"",INT(VLOOKUP($AB930&amp;"-"&amp;$E930&amp;" "&amp;$F930,Bonuses!$B$1:$G$1006,4,FALSE)))</f>
        <v/>
      </c>
      <c r="AE9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1" spans="1:31" s="52" customFormat="1" x14ac:dyDescent="0.25">
      <c r="A931" s="52">
        <v>7737</v>
      </c>
      <c r="B931" s="52">
        <f>COUNTIF(Table5[PID],A931)</f>
        <v>1</v>
      </c>
      <c r="C931" s="52" t="str">
        <f>IF(COUNTIF(Table3[[#All],[PID]],A931)&gt;0,"P","B")</f>
        <v>P</v>
      </c>
      <c r="D931" s="61" t="str">
        <f>IF($C931="B",INDEX(Batters[[#All],[POS]],MATCH(Table5[[#This Row],[PID]],Batters[[#All],[PID]],0)),INDEX(Table3[[#All],[POS]],MATCH(Table5[[#This Row],[PID]],Table3[[#All],[PID]],0)))</f>
        <v>RP</v>
      </c>
      <c r="E931" s="54" t="str">
        <f>IF($C931="B",INDEX(Batters[[#All],[First]],MATCH(Table5[[#This Row],[PID]],Batters[[#All],[PID]],0)),INDEX(Table3[[#All],[First]],MATCH(Table5[[#This Row],[PID]],Table3[[#All],[PID]],0)))</f>
        <v>Eric</v>
      </c>
      <c r="F931" s="52" t="str">
        <f>IF($C931="B",INDEX(Batters[[#All],[Last]],MATCH(A931,Batters[[#All],[PID]],0)),INDEX(Table3[[#All],[Last]],MATCH(A931,Table3[[#All],[PID]],0)))</f>
        <v>Hughes</v>
      </c>
      <c r="G931" s="58">
        <f>IF($C931="B",INDEX(Batters[[#All],[Age]],MATCH(Table5[[#This Row],[PID]],Batters[[#All],[PID]],0)),INDEX(Table3[[#All],[Age]],MATCH(Table5[[#This Row],[PID]],Table3[[#All],[PID]],0)))</f>
        <v>18</v>
      </c>
      <c r="H931" s="54" t="str">
        <f>IF($C931="B",INDEX(Batters[[#All],[B]],MATCH(Table5[[#This Row],[PID]],Batters[[#All],[PID]],0)),INDEX(Table3[[#All],[B]],MATCH(Table5[[#This Row],[PID]],Table3[[#All],[PID]],0)))</f>
        <v>R</v>
      </c>
      <c r="I931" s="54" t="str">
        <f>IF($C931="B",INDEX(Batters[[#All],[T]],MATCH(Table5[[#This Row],[PID]],Batters[[#All],[PID]],0)),INDEX(Table3[[#All],[T]],MATCH(Table5[[#This Row],[PID]],Table3[[#All],[PID]],0)))</f>
        <v>R</v>
      </c>
      <c r="J931" s="54" t="str">
        <f>IF($C931="B",INDEX(Batters[[#All],[WE]],MATCH(Table5[[#This Row],[PID]],Batters[[#All],[PID]],0)),INDEX(Table3[[#All],[WE]],MATCH(Table5[[#This Row],[PID]],Table3[[#All],[PID]],0)))</f>
        <v>Low</v>
      </c>
      <c r="K931" s="54" t="str">
        <f>IF($C931="B",INDEX(Batters[[#All],[INT]],MATCH(Table5[[#This Row],[PID]],Batters[[#All],[PID]],0)),INDEX(Table3[[#All],[INT]],MATCH(Table5[[#This Row],[PID]],Table3[[#All],[PID]],0)))</f>
        <v>Normal</v>
      </c>
      <c r="L931" s="62">
        <f>IF($C931="B",INDEX(Batters[[#All],[CON P]],MATCH(Table5[[#This Row],[PID]],Batters[[#All],[PID]],0)),INDEX(Table3[[#All],[STU P]],MATCH(Table5[[#This Row],[PID]],Table3[[#All],[PID]],0)))</f>
        <v>2</v>
      </c>
      <c r="M931" s="58">
        <f>IF($C931="B",INDEX(Batters[[#All],[GAP P]],MATCH(Table5[[#This Row],[PID]],Batters[[#All],[PID]],0)),INDEX(Table3[[#All],[MOV P]],MATCH(Table5[[#This Row],[PID]],Table3[[#All],[PID]],0)))</f>
        <v>1</v>
      </c>
      <c r="N931" s="58">
        <f>IF($C931="B",INDEX(Batters[[#All],[POW P]],MATCH(Table5[[#This Row],[PID]],Batters[[#All],[PID]],0)),INDEX(Table3[[#All],[CON P]],MATCH(Table5[[#This Row],[PID]],Table3[[#All],[PID]],0)))</f>
        <v>2</v>
      </c>
      <c r="O931" s="58" t="str">
        <f>IF($C931="B",INDEX(Batters[[#All],[EYE P]],MATCH(Table5[[#This Row],[PID]],Batters[[#All],[PID]],0)),INDEX(Table3[[#All],[VELO]],MATCH(Table5[[#This Row],[PID]],Table3[[#All],[PID]],0)))</f>
        <v>84-86 Mph</v>
      </c>
      <c r="P931" s="58">
        <f>IF($C931="B",INDEX(Batters[[#All],[K P]],MATCH(Table5[[#This Row],[PID]],Batters[[#All],[PID]],0)),INDEX(Table3[[#All],[STM]],MATCH(Table5[[#This Row],[PID]],Table3[[#All],[PID]],0)))</f>
        <v>7</v>
      </c>
      <c r="Q931" s="63">
        <f>IF($C931="B",INDEX(Batters[[#All],[Tot]],MATCH(Table5[[#This Row],[PID]],Batters[[#All],[PID]],0)),INDEX(Table3[[#All],[Tot]],MATCH(Table5[[#This Row],[PID]],Table3[[#All],[PID]],0)))</f>
        <v>21.022136097155467</v>
      </c>
      <c r="R931" s="54">
        <f>IF($C931="B",INDEX(Batters[[#All],[zScore]],MATCH(Table5[[#This Row],[PID]],Batters[[#All],[PID]],0)),INDEX(Table3[[#All],[zScore]],MATCH(Table5[[#This Row],[PID]],Table3[[#All],[PID]],0)))</f>
        <v>-0.82148363010543368</v>
      </c>
      <c r="S931" s="60" t="str">
        <f>IF($C931="B",INDEX(Batters[[#All],[DEM]],MATCH(Table5[[#This Row],[PID]],Batters[[#All],[PID]],0)),INDEX(Table3[[#All],[DEM]],MATCH(Table5[[#This Row],[PID]],Table3[[#All],[PID]],0)))</f>
        <v>$100k</v>
      </c>
      <c r="T931" s="64" t="e">
        <f>IF($C931="B",VLOOKUP($A931,Bat!$A$4:$AU$1417,46,FALSE),VLOOKUP($A931,Pit!$A$4:$BD$570,55,FALSE))</f>
        <v>#N/A</v>
      </c>
      <c r="U931" s="52" t="e">
        <f>IF($C931="B",VLOOKUP($A931,Bat!$A$4:$BA$1417,47,FALSE),VLOOKUP($A931,Pit!$A$4:$BF$570,56,FALSE))</f>
        <v>#N/A</v>
      </c>
      <c r="V931" s="52" t="e">
        <f>IF($C931="B",VLOOKUP($A931,Bat!$A$4:$BA$1417,48,FALSE),VLOOKUP($A931,Pit!$A$4:$BF$570,57,FALSE))</f>
        <v>#N/A</v>
      </c>
      <c r="W931" s="52" t="e">
        <f>Table5[[#This Row],[posRnk]]+Table5[[#This Row],[zRnk]]+IF($W$3&lt;&gt;Table5[[#This Row],[Type]],50,0)</f>
        <v>#N/A</v>
      </c>
      <c r="X931" s="53">
        <f>RANK(Table5[[#This Row],[zScore]],Table5[[#All],[zScore]])</f>
        <v>927</v>
      </c>
      <c r="Y931" s="52" t="str">
        <f>IFERROR(INDEX(DraftResults[[#All],[OVR]],MATCH(Table5[[#This Row],[PID]],DraftResults[[#All],[Player ID]],0)),"")</f>
        <v/>
      </c>
      <c r="Z9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1" s="52" t="str">
        <f>IFERROR(INDEX(DraftResults[[#All],[Pick in Round]],MATCH(Table5[[#This Row],[PID]],DraftResults[[#All],[Player ID]],0)),"")</f>
        <v/>
      </c>
      <c r="AB931" s="52" t="str">
        <f>IFERROR(INDEX(DraftResults[[#All],[Team Name]],MATCH(Table5[[#This Row],[PID]],DraftResults[[#All],[Player ID]],0)),"")</f>
        <v/>
      </c>
      <c r="AC931" s="52" t="str">
        <f>IF(Table5[[#This Row],[Ovr]]="","",IF(Table5[[#This Row],[cmbList]]="","",Table5[[#This Row],[cmbList]]-Table5[[#This Row],[Ovr]]))</f>
        <v/>
      </c>
      <c r="AD931" s="56" t="str">
        <f>IF(ISERROR(VLOOKUP($AB931&amp;"-"&amp;$E931&amp;" "&amp;F931,Bonuses!$B$1:$G$1006,4,FALSE)),"",INT(VLOOKUP($AB931&amp;"-"&amp;$E931&amp;" "&amp;$F931,Bonuses!$B$1:$G$1006,4,FALSE)))</f>
        <v/>
      </c>
      <c r="AE9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2" spans="1:31" s="52" customFormat="1" x14ac:dyDescent="0.25">
      <c r="A932" s="52">
        <v>11968</v>
      </c>
      <c r="B932" s="52">
        <f>COUNTIF(Table5[PID],A932)</f>
        <v>1</v>
      </c>
      <c r="C932" s="52" t="str">
        <f>IF(COUNTIF(Table3[[#All],[PID]],A932)&gt;0,"P","B")</f>
        <v>P</v>
      </c>
      <c r="D932" s="61" t="str">
        <f>IF($C932="B",INDEX(Batters[[#All],[POS]],MATCH(Table5[[#This Row],[PID]],Batters[[#All],[PID]],0)),INDEX(Table3[[#All],[POS]],MATCH(Table5[[#This Row],[PID]],Table3[[#All],[PID]],0)))</f>
        <v>RP</v>
      </c>
      <c r="E932" s="54" t="str">
        <f>IF($C932="B",INDEX(Batters[[#All],[First]],MATCH(Table5[[#This Row],[PID]],Batters[[#All],[PID]],0)),INDEX(Table3[[#All],[First]],MATCH(Table5[[#This Row],[PID]],Table3[[#All],[PID]],0)))</f>
        <v>Cristo</v>
      </c>
      <c r="F932" s="52" t="str">
        <f>IF($C932="B",INDEX(Batters[[#All],[Last]],MATCH(A932,Batters[[#All],[PID]],0)),INDEX(Table3[[#All],[Last]],MATCH(A932,Table3[[#All],[PID]],0)))</f>
        <v>Vázquez</v>
      </c>
      <c r="G932" s="58">
        <f>IF($C932="B",INDEX(Batters[[#All],[Age]],MATCH(Table5[[#This Row],[PID]],Batters[[#All],[PID]],0)),INDEX(Table3[[#All],[Age]],MATCH(Table5[[#This Row],[PID]],Table3[[#All],[PID]],0)))</f>
        <v>21</v>
      </c>
      <c r="H932" s="54" t="str">
        <f>IF($C932="B",INDEX(Batters[[#All],[B]],MATCH(Table5[[#This Row],[PID]],Batters[[#All],[PID]],0)),INDEX(Table3[[#All],[B]],MATCH(Table5[[#This Row],[PID]],Table3[[#All],[PID]],0)))</f>
        <v>R</v>
      </c>
      <c r="I932" s="54" t="str">
        <f>IF($C932="B",INDEX(Batters[[#All],[T]],MATCH(Table5[[#This Row],[PID]],Batters[[#All],[PID]],0)),INDEX(Table3[[#All],[T]],MATCH(Table5[[#This Row],[PID]],Table3[[#All],[PID]],0)))</f>
        <v>R</v>
      </c>
      <c r="J932" s="54" t="str">
        <f>IF($C932="B",INDEX(Batters[[#All],[WE]],MATCH(Table5[[#This Row],[PID]],Batters[[#All],[PID]],0)),INDEX(Table3[[#All],[WE]],MATCH(Table5[[#This Row],[PID]],Table3[[#All],[PID]],0)))</f>
        <v>Normal</v>
      </c>
      <c r="K932" s="54" t="str">
        <f>IF($C932="B",INDEX(Batters[[#All],[INT]],MATCH(Table5[[#This Row],[PID]],Batters[[#All],[PID]],0)),INDEX(Table3[[#All],[INT]],MATCH(Table5[[#This Row],[PID]],Table3[[#All],[PID]],0)))</f>
        <v>Normal</v>
      </c>
      <c r="L932" s="62">
        <f>IF($C932="B",INDEX(Batters[[#All],[CON P]],MATCH(Table5[[#This Row],[PID]],Batters[[#All],[PID]],0)),INDEX(Table3[[#All],[STU P]],MATCH(Table5[[#This Row],[PID]],Table3[[#All],[PID]],0)))</f>
        <v>4</v>
      </c>
      <c r="M932" s="58">
        <f>IF($C932="B",INDEX(Batters[[#All],[GAP P]],MATCH(Table5[[#This Row],[PID]],Batters[[#All],[PID]],0)),INDEX(Table3[[#All],[MOV P]],MATCH(Table5[[#This Row],[PID]],Table3[[#All],[PID]],0)))</f>
        <v>2</v>
      </c>
      <c r="N932" s="58">
        <f>IF($C932="B",INDEX(Batters[[#All],[POW P]],MATCH(Table5[[#This Row],[PID]],Batters[[#All],[PID]],0)),INDEX(Table3[[#All],[CON P]],MATCH(Table5[[#This Row],[PID]],Table3[[#All],[PID]],0)))</f>
        <v>2</v>
      </c>
      <c r="O932" s="58" t="str">
        <f>IF($C932="B",INDEX(Batters[[#All],[EYE P]],MATCH(Table5[[#This Row],[PID]],Batters[[#All],[PID]],0)),INDEX(Table3[[#All],[VELO]],MATCH(Table5[[#This Row],[PID]],Table3[[#All],[PID]],0)))</f>
        <v>91-93 Mph</v>
      </c>
      <c r="P932" s="58">
        <f>IF($C932="B",INDEX(Batters[[#All],[K P]],MATCH(Table5[[#This Row],[PID]],Batters[[#All],[PID]],0)),INDEX(Table3[[#All],[STM]],MATCH(Table5[[#This Row],[PID]],Table3[[#All],[PID]],0)))</f>
        <v>3</v>
      </c>
      <c r="Q932" s="63">
        <f>IF($C932="B",INDEX(Batters[[#All],[Tot]],MATCH(Table5[[#This Row],[PID]],Batters[[#All],[PID]],0)),INDEX(Table3[[#All],[Tot]],MATCH(Table5[[#This Row],[PID]],Table3[[#All],[PID]],0)))</f>
        <v>23.761231331063392</v>
      </c>
      <c r="R932" s="54">
        <f>IF($C932="B",INDEX(Batters[[#All],[zScore]],MATCH(Table5[[#This Row],[PID]],Batters[[#All],[PID]],0)),INDEX(Table3[[#All],[zScore]],MATCH(Table5[[#This Row],[PID]],Table3[[#All],[PID]],0)))</f>
        <v>-0.82176379046130776</v>
      </c>
      <c r="S932" s="60" t="str">
        <f>IF($C932="B",INDEX(Batters[[#All],[DEM]],MATCH(Table5[[#This Row],[PID]],Batters[[#All],[PID]],0)),INDEX(Table3[[#All],[DEM]],MATCH(Table5[[#This Row],[PID]],Table3[[#All],[PID]],0)))</f>
        <v>-</v>
      </c>
      <c r="T932" s="64">
        <f>IF($C932="B",VLOOKUP($A932,Bat!$A$4:$AU$1417,46,FALSE),VLOOKUP($A932,Pit!$A$4:$BD$570,55,FALSE))</f>
        <v>0</v>
      </c>
      <c r="U932" s="52">
        <f>IF($C932="B",VLOOKUP($A932,Bat!$A$4:$BA$1417,47,FALSE),VLOOKUP($A932,Pit!$A$4:$BF$570,56,FALSE))</f>
        <v>0</v>
      </c>
      <c r="V932" s="52">
        <f>IF($C932="B",VLOOKUP($A932,Bat!$A$4:$BA$1417,48,FALSE),VLOOKUP($A932,Pit!$A$4:$BF$570,57,FALSE))</f>
        <v>0</v>
      </c>
      <c r="W932" s="52">
        <f>Table5[[#This Row],[posRnk]]+Table5[[#This Row],[zRnk]]+IF($W$3&lt;&gt;Table5[[#This Row],[Type]],50,0)</f>
        <v>978</v>
      </c>
      <c r="X932" s="53">
        <f>RANK(Table5[[#This Row],[zScore]],Table5[[#All],[zScore]])</f>
        <v>928</v>
      </c>
      <c r="Y932" s="52" t="str">
        <f>IFERROR(INDEX(DraftResults[[#All],[OVR]],MATCH(Table5[[#This Row],[PID]],DraftResults[[#All],[Player ID]],0)),"")</f>
        <v/>
      </c>
      <c r="Z9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2" s="52" t="str">
        <f>IFERROR(INDEX(DraftResults[[#All],[Pick in Round]],MATCH(Table5[[#This Row],[PID]],DraftResults[[#All],[Player ID]],0)),"")</f>
        <v/>
      </c>
      <c r="AB932" s="52" t="str">
        <f>IFERROR(INDEX(DraftResults[[#All],[Team Name]],MATCH(Table5[[#This Row],[PID]],DraftResults[[#All],[Player ID]],0)),"")</f>
        <v/>
      </c>
      <c r="AC932" s="52" t="str">
        <f>IF(Table5[[#This Row],[Ovr]]="","",IF(Table5[[#This Row],[cmbList]]="","",Table5[[#This Row],[cmbList]]-Table5[[#This Row],[Ovr]]))</f>
        <v/>
      </c>
      <c r="AD932" s="56" t="str">
        <f>IF(ISERROR(VLOOKUP($AB932&amp;"-"&amp;$E932&amp;" "&amp;F932,Bonuses!$B$1:$G$1006,4,FALSE)),"",INT(VLOOKUP($AB932&amp;"-"&amp;$E932&amp;" "&amp;$F932,Bonuses!$B$1:$G$1006,4,FALSE)))</f>
        <v/>
      </c>
      <c r="AE9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3" spans="1:31" s="52" customFormat="1" x14ac:dyDescent="0.25">
      <c r="A933" s="52">
        <v>18052</v>
      </c>
      <c r="B933" s="57">
        <f>COUNTIF(Table5[PID],A933)</f>
        <v>1</v>
      </c>
      <c r="C933" s="57" t="str">
        <f>IF(COUNTIF(Table3[[#All],[PID]],A933)&gt;0,"P","B")</f>
        <v>B</v>
      </c>
      <c r="D933" s="61" t="str">
        <f>IF($C933="B",INDEX(Batters[[#All],[POS]],MATCH(Table5[[#This Row],[PID]],Batters[[#All],[PID]],0)),INDEX(Table3[[#All],[POS]],MATCH(Table5[[#This Row],[PID]],Table3[[#All],[PID]],0)))</f>
        <v>RF</v>
      </c>
      <c r="E933" s="54" t="str">
        <f>IF($C933="B",INDEX(Batters[[#All],[First]],MATCH(Table5[[#This Row],[PID]],Batters[[#All],[PID]],0)),INDEX(Table3[[#All],[First]],MATCH(Table5[[#This Row],[PID]],Table3[[#All],[PID]],0)))</f>
        <v>Steve</v>
      </c>
      <c r="F933" s="52" t="str">
        <f>IF($C933="B",INDEX(Batters[[#All],[Last]],MATCH(A933,Batters[[#All],[PID]],0)),INDEX(Table3[[#All],[Last]],MATCH(A933,Table3[[#All],[PID]],0)))</f>
        <v>Díaz</v>
      </c>
      <c r="G933" s="58">
        <f>IF($C933="B",INDEX(Batters[[#All],[Age]],MATCH(Table5[[#This Row],[PID]],Batters[[#All],[PID]],0)),INDEX(Table3[[#All],[Age]],MATCH(Table5[[#This Row],[PID]],Table3[[#All],[PID]],0)))</f>
        <v>21</v>
      </c>
      <c r="H933" s="54" t="str">
        <f>IF($C933="B",INDEX(Batters[[#All],[B]],MATCH(Table5[[#This Row],[PID]],Batters[[#All],[PID]],0)),INDEX(Table3[[#All],[B]],MATCH(Table5[[#This Row],[PID]],Table3[[#All],[PID]],0)))</f>
        <v>S</v>
      </c>
      <c r="I933" s="54" t="str">
        <f>IF($C933="B",INDEX(Batters[[#All],[T]],MATCH(Table5[[#This Row],[PID]],Batters[[#All],[PID]],0)),INDEX(Table3[[#All],[T]],MATCH(Table5[[#This Row],[PID]],Table3[[#All],[PID]],0)))</f>
        <v>R</v>
      </c>
      <c r="J933" s="54" t="str">
        <f>IF($C933="B",INDEX(Batters[[#All],[WE]],MATCH(Table5[[#This Row],[PID]],Batters[[#All],[PID]],0)),INDEX(Table3[[#All],[WE]],MATCH(Table5[[#This Row],[PID]],Table3[[#All],[PID]],0)))</f>
        <v>Low</v>
      </c>
      <c r="K933" s="54" t="str">
        <f>IF($C933="B",INDEX(Batters[[#All],[INT]],MATCH(Table5[[#This Row],[PID]],Batters[[#All],[PID]],0)),INDEX(Table3[[#All],[INT]],MATCH(Table5[[#This Row],[PID]],Table3[[#All],[PID]],0)))</f>
        <v>Normal</v>
      </c>
      <c r="L933" s="62">
        <f>IF($C933="B",INDEX(Batters[[#All],[CON P]],MATCH(Table5[[#This Row],[PID]],Batters[[#All],[PID]],0)),INDEX(Table3[[#All],[STU P]],MATCH(Table5[[#This Row],[PID]],Table3[[#All],[PID]],0)))</f>
        <v>3</v>
      </c>
      <c r="M933" s="58">
        <f>IF($C933="B",INDEX(Batters[[#All],[GAP P]],MATCH(Table5[[#This Row],[PID]],Batters[[#All],[PID]],0)),INDEX(Table3[[#All],[MOV P]],MATCH(Table5[[#This Row],[PID]],Table3[[#All],[PID]],0)))</f>
        <v>3</v>
      </c>
      <c r="N933" s="58">
        <f>IF($C933="B",INDEX(Batters[[#All],[POW P]],MATCH(Table5[[#This Row],[PID]],Batters[[#All],[PID]],0)),INDEX(Table3[[#All],[CON P]],MATCH(Table5[[#This Row],[PID]],Table3[[#All],[PID]],0)))</f>
        <v>3</v>
      </c>
      <c r="O933" s="58">
        <f>IF($C933="B",INDEX(Batters[[#All],[EYE P]],MATCH(Table5[[#This Row],[PID]],Batters[[#All],[PID]],0)),INDEX(Table3[[#All],[VELO]],MATCH(Table5[[#This Row],[PID]],Table3[[#All],[PID]],0)))</f>
        <v>4</v>
      </c>
      <c r="P933" s="58">
        <f>IF($C933="B",INDEX(Batters[[#All],[K P]],MATCH(Table5[[#This Row],[PID]],Batters[[#All],[PID]],0)),INDEX(Table3[[#All],[STM]],MATCH(Table5[[#This Row],[PID]],Table3[[#All],[PID]],0)))</f>
        <v>3</v>
      </c>
      <c r="Q933" s="63">
        <f>IF($C933="B",INDEX(Batters[[#All],[Tot]],MATCH(Table5[[#This Row],[PID]],Batters[[#All],[PID]],0)),INDEX(Table3[[#All],[Tot]],MATCH(Table5[[#This Row],[PID]],Table3[[#All],[PID]],0)))</f>
        <v>35.671608102628539</v>
      </c>
      <c r="R933" s="54">
        <f>IF($C933="B",INDEX(Batters[[#All],[zScore]],MATCH(Table5[[#This Row],[PID]],Batters[[#All],[PID]],0)),INDEX(Table3[[#All],[zScore]],MATCH(Table5[[#This Row],[PID]],Table3[[#All],[PID]],0)))</f>
        <v>-0.82282359464832122</v>
      </c>
      <c r="S933" s="60" t="str">
        <f>IF($C933="B",INDEX(Batters[[#All],[DEM]],MATCH(Table5[[#This Row],[PID]],Batters[[#All],[PID]],0)),INDEX(Table3[[#All],[DEM]],MATCH(Table5[[#This Row],[PID]],Table3[[#All],[PID]],0)))</f>
        <v>-</v>
      </c>
      <c r="T933" s="64">
        <f>IF($C933="B",VLOOKUP($A933,Bat!$A$4:$AU$1417,46,FALSE),VLOOKUP($A933,Pit!$A$4:$BD$570,55,FALSE))</f>
        <v>0</v>
      </c>
      <c r="U933" s="52">
        <f>IF($C933="B",VLOOKUP($A933,Bat!$A$4:$BA$1417,47,FALSE),VLOOKUP($A933,Pit!$A$4:$BF$570,56,FALSE))</f>
        <v>0</v>
      </c>
      <c r="V933" s="52">
        <f>IF($C933="B",VLOOKUP($A933,Bat!$A$4:$BA$1417,48,FALSE),VLOOKUP($A933,Pit!$A$4:$BF$570,57,FALSE))</f>
        <v>0</v>
      </c>
      <c r="W933" s="52">
        <f>Table5[[#This Row],[posRnk]]+Table5[[#This Row],[zRnk]]+IF($W$3&lt;&gt;Table5[[#This Row],[Type]],50,0)</f>
        <v>979</v>
      </c>
      <c r="X933" s="53">
        <f>RANK(Table5[[#This Row],[zScore]],Table5[[#All],[zScore]])</f>
        <v>929</v>
      </c>
      <c r="Y933" s="52" t="str">
        <f>IFERROR(INDEX(DraftResults[[#All],[OVR]],MATCH(Table5[[#This Row],[PID]],DraftResults[[#All],[Player ID]],0)),"")</f>
        <v/>
      </c>
      <c r="Z9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3" s="52" t="str">
        <f>IFERROR(INDEX(DraftResults[[#All],[Pick in Round]],MATCH(Table5[[#This Row],[PID]],DraftResults[[#All],[Player ID]],0)),"")</f>
        <v/>
      </c>
      <c r="AB933" s="52" t="str">
        <f>IFERROR(INDEX(DraftResults[[#All],[Team Name]],MATCH(Table5[[#This Row],[PID]],DraftResults[[#All],[Player ID]],0)),"")</f>
        <v/>
      </c>
      <c r="AC933" s="52" t="str">
        <f>IF(Table5[[#This Row],[Ovr]]="","",IF(Table5[[#This Row],[cmbList]]="","",Table5[[#This Row],[cmbList]]-Table5[[#This Row],[Ovr]]))</f>
        <v/>
      </c>
      <c r="AD933" s="56" t="str">
        <f>IF(ISERROR(VLOOKUP($AB933&amp;"-"&amp;$E933&amp;" "&amp;F933,Bonuses!$B$1:$G$1006,4,FALSE)),"",INT(VLOOKUP($AB933&amp;"-"&amp;$E933&amp;" "&amp;$F933,Bonuses!$B$1:$G$1006,4,FALSE)))</f>
        <v/>
      </c>
      <c r="AE9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4" spans="1:31" s="52" customFormat="1" x14ac:dyDescent="0.25">
      <c r="A934" s="52">
        <v>12868</v>
      </c>
      <c r="B934" s="52">
        <f>COUNTIF(Table5[PID],A934)</f>
        <v>1</v>
      </c>
      <c r="C934" s="52" t="str">
        <f>IF(COUNTIF(Table3[[#All],[PID]],A934)&gt;0,"P","B")</f>
        <v>P</v>
      </c>
      <c r="D934" s="61" t="str">
        <f>IF($C934="B",INDEX(Batters[[#All],[POS]],MATCH(Table5[[#This Row],[PID]],Batters[[#All],[PID]],0)),INDEX(Table3[[#All],[POS]],MATCH(Table5[[#This Row],[PID]],Table3[[#All],[PID]],0)))</f>
        <v>RP</v>
      </c>
      <c r="E934" s="54" t="str">
        <f>IF($C934="B",INDEX(Batters[[#All],[First]],MATCH(Table5[[#This Row],[PID]],Batters[[#All],[PID]],0)),INDEX(Table3[[#All],[First]],MATCH(Table5[[#This Row],[PID]],Table3[[#All],[PID]],0)))</f>
        <v>Toshiki</v>
      </c>
      <c r="F934" s="52" t="str">
        <f>IF($C934="B",INDEX(Batters[[#All],[Last]],MATCH(A934,Batters[[#All],[PID]],0)),INDEX(Table3[[#All],[Last]],MATCH(A934,Table3[[#All],[PID]],0)))</f>
        <v>Motsuzuki</v>
      </c>
      <c r="G934" s="58">
        <f>IF($C934="B",INDEX(Batters[[#All],[Age]],MATCH(Table5[[#This Row],[PID]],Batters[[#All],[PID]],0)),INDEX(Table3[[#All],[Age]],MATCH(Table5[[#This Row],[PID]],Table3[[#All],[PID]],0)))</f>
        <v>21</v>
      </c>
      <c r="H934" s="54" t="str">
        <f>IF($C934="B",INDEX(Batters[[#All],[B]],MATCH(Table5[[#This Row],[PID]],Batters[[#All],[PID]],0)),INDEX(Table3[[#All],[B]],MATCH(Table5[[#This Row],[PID]],Table3[[#All],[PID]],0)))</f>
        <v>R</v>
      </c>
      <c r="I934" s="54" t="str">
        <f>IF($C934="B",INDEX(Batters[[#All],[T]],MATCH(Table5[[#This Row],[PID]],Batters[[#All],[PID]],0)),INDEX(Table3[[#All],[T]],MATCH(Table5[[#This Row],[PID]],Table3[[#All],[PID]],0)))</f>
        <v>R</v>
      </c>
      <c r="J934" s="54" t="str">
        <f>IF($C934="B",INDEX(Batters[[#All],[WE]],MATCH(Table5[[#This Row],[PID]],Batters[[#All],[PID]],0)),INDEX(Table3[[#All],[WE]],MATCH(Table5[[#This Row],[PID]],Table3[[#All],[PID]],0)))</f>
        <v>Low</v>
      </c>
      <c r="K934" s="54" t="str">
        <f>IF($C934="B",INDEX(Batters[[#All],[INT]],MATCH(Table5[[#This Row],[PID]],Batters[[#All],[PID]],0)),INDEX(Table3[[#All],[INT]],MATCH(Table5[[#This Row],[PID]],Table3[[#All],[PID]],0)))</f>
        <v>Low</v>
      </c>
      <c r="L934" s="62">
        <f>IF($C934="B",INDEX(Batters[[#All],[CON P]],MATCH(Table5[[#This Row],[PID]],Batters[[#All],[PID]],0)),INDEX(Table3[[#All],[STU P]],MATCH(Table5[[#This Row],[PID]],Table3[[#All],[PID]],0)))</f>
        <v>4</v>
      </c>
      <c r="M934" s="58">
        <f>IF($C934="B",INDEX(Batters[[#All],[GAP P]],MATCH(Table5[[#This Row],[PID]],Batters[[#All],[PID]],0)),INDEX(Table3[[#All],[MOV P]],MATCH(Table5[[#This Row],[PID]],Table3[[#All],[PID]],0)))</f>
        <v>2</v>
      </c>
      <c r="N934" s="58">
        <f>IF($C934="B",INDEX(Batters[[#All],[POW P]],MATCH(Table5[[#This Row],[PID]],Batters[[#All],[PID]],0)),INDEX(Table3[[#All],[CON P]],MATCH(Table5[[#This Row],[PID]],Table3[[#All],[PID]],0)))</f>
        <v>2</v>
      </c>
      <c r="O934" s="58" t="str">
        <f>IF($C934="B",INDEX(Batters[[#All],[EYE P]],MATCH(Table5[[#This Row],[PID]],Batters[[#All],[PID]],0)),INDEX(Table3[[#All],[VELO]],MATCH(Table5[[#This Row],[PID]],Table3[[#All],[PID]],0)))</f>
        <v>87-89 Mph</v>
      </c>
      <c r="P934" s="58">
        <f>IF($C934="B",INDEX(Batters[[#All],[K P]],MATCH(Table5[[#This Row],[PID]],Batters[[#All],[PID]],0)),INDEX(Table3[[#All],[STM]],MATCH(Table5[[#This Row],[PID]],Table3[[#All],[PID]],0)))</f>
        <v>6</v>
      </c>
      <c r="Q934" s="63">
        <f>IF($C934="B",INDEX(Batters[[#All],[Tot]],MATCH(Table5[[#This Row],[PID]],Batters[[#All],[PID]],0)),INDEX(Table3[[#All],[Tot]],MATCH(Table5[[#This Row],[PID]],Table3[[#All],[PID]],0)))</f>
        <v>23.730354068192639</v>
      </c>
      <c r="R934" s="54">
        <f>IF($C934="B",INDEX(Batters[[#All],[zScore]],MATCH(Table5[[#This Row],[PID]],Batters[[#All],[PID]],0)),INDEX(Table3[[#All],[zScore]],MATCH(Table5[[#This Row],[PID]],Table3[[#All],[PID]],0)))</f>
        <v>-0.82459536743875106</v>
      </c>
      <c r="S934" s="60" t="str">
        <f>IF($C934="B",INDEX(Batters[[#All],[DEM]],MATCH(Table5[[#This Row],[PID]],Batters[[#All],[PID]],0)),INDEX(Table3[[#All],[DEM]],MATCH(Table5[[#This Row],[PID]],Table3[[#All],[PID]],0)))</f>
        <v>-</v>
      </c>
      <c r="T934" s="64">
        <f>IF($C934="B",VLOOKUP($A934,Bat!$A$4:$AU$1417,46,FALSE),VLOOKUP($A934,Pit!$A$4:$BD$570,55,FALSE))</f>
        <v>0</v>
      </c>
      <c r="U934" s="52">
        <f>IF($C934="B",VLOOKUP($A934,Bat!$A$4:$BA$1417,47,FALSE),VLOOKUP($A934,Pit!$A$4:$BF$570,56,FALSE))</f>
        <v>0</v>
      </c>
      <c r="V934" s="52">
        <f>IF($C934="B",VLOOKUP($A934,Bat!$A$4:$BA$1417,48,FALSE),VLOOKUP($A934,Pit!$A$4:$BF$570,57,FALSE))</f>
        <v>0</v>
      </c>
      <c r="W934" s="52">
        <f>Table5[[#This Row],[posRnk]]+Table5[[#This Row],[zRnk]]+IF($W$3&lt;&gt;Table5[[#This Row],[Type]],50,0)</f>
        <v>980</v>
      </c>
      <c r="X934" s="53">
        <f>RANK(Table5[[#This Row],[zScore]],Table5[[#All],[zScore]])</f>
        <v>930</v>
      </c>
      <c r="Y934" s="52" t="str">
        <f>IFERROR(INDEX(DraftResults[[#All],[OVR]],MATCH(Table5[[#This Row],[PID]],DraftResults[[#All],[Player ID]],0)),"")</f>
        <v/>
      </c>
      <c r="Z9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4" s="52" t="str">
        <f>IFERROR(INDEX(DraftResults[[#All],[Pick in Round]],MATCH(Table5[[#This Row],[PID]],DraftResults[[#All],[Player ID]],0)),"")</f>
        <v/>
      </c>
      <c r="AB934" s="52" t="str">
        <f>IFERROR(INDEX(DraftResults[[#All],[Team Name]],MATCH(Table5[[#This Row],[PID]],DraftResults[[#All],[Player ID]],0)),"")</f>
        <v/>
      </c>
      <c r="AC934" s="52" t="str">
        <f>IF(Table5[[#This Row],[Ovr]]="","",IF(Table5[[#This Row],[cmbList]]="","",Table5[[#This Row],[cmbList]]-Table5[[#This Row],[Ovr]]))</f>
        <v/>
      </c>
      <c r="AD934" s="56" t="str">
        <f>IF(ISERROR(VLOOKUP($AB934&amp;"-"&amp;$E934&amp;" "&amp;F934,Bonuses!$B$1:$G$1006,4,FALSE)),"",INT(VLOOKUP($AB934&amp;"-"&amp;$E934&amp;" "&amp;$F934,Bonuses!$B$1:$G$1006,4,FALSE)))</f>
        <v/>
      </c>
      <c r="AE9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5" spans="1:31" s="52" customFormat="1" x14ac:dyDescent="0.25">
      <c r="A935" s="52">
        <v>15034</v>
      </c>
      <c r="B935" s="57">
        <f>COUNTIF(Table5[PID],A935)</f>
        <v>1</v>
      </c>
      <c r="C935" s="57" t="str">
        <f>IF(COUNTIF(Table3[[#All],[PID]],A935)&gt;0,"P","B")</f>
        <v>B</v>
      </c>
      <c r="D935" s="61" t="str">
        <f>IF($C935="B",INDEX(Batters[[#All],[POS]],MATCH(Table5[[#This Row],[PID]],Batters[[#All],[PID]],0)),INDEX(Table3[[#All],[POS]],MATCH(Table5[[#This Row],[PID]],Table3[[#All],[PID]],0)))</f>
        <v>SS</v>
      </c>
      <c r="E935" s="54" t="str">
        <f>IF($C935="B",INDEX(Batters[[#All],[First]],MATCH(Table5[[#This Row],[PID]],Batters[[#All],[PID]],0)),INDEX(Table3[[#All],[First]],MATCH(Table5[[#This Row],[PID]],Table3[[#All],[PID]],0)))</f>
        <v>Héctor</v>
      </c>
      <c r="F935" s="52" t="str">
        <f>IF($C935="B",INDEX(Batters[[#All],[Last]],MATCH(A935,Batters[[#All],[PID]],0)),INDEX(Table3[[#All],[Last]],MATCH(A935,Table3[[#All],[PID]],0)))</f>
        <v>Hernández</v>
      </c>
      <c r="G935" s="58">
        <f>IF($C935="B",INDEX(Batters[[#All],[Age]],MATCH(Table5[[#This Row],[PID]],Batters[[#All],[PID]],0)),INDEX(Table3[[#All],[Age]],MATCH(Table5[[#This Row],[PID]],Table3[[#All],[PID]],0)))</f>
        <v>18</v>
      </c>
      <c r="H935" s="54" t="str">
        <f>IF($C935="B",INDEX(Batters[[#All],[B]],MATCH(Table5[[#This Row],[PID]],Batters[[#All],[PID]],0)),INDEX(Table3[[#All],[B]],MATCH(Table5[[#This Row],[PID]],Table3[[#All],[PID]],0)))</f>
        <v>S</v>
      </c>
      <c r="I935" s="54" t="str">
        <f>IF($C935="B",INDEX(Batters[[#All],[T]],MATCH(Table5[[#This Row],[PID]],Batters[[#All],[PID]],0)),INDEX(Table3[[#All],[T]],MATCH(Table5[[#This Row],[PID]],Table3[[#All],[PID]],0)))</f>
        <v>R</v>
      </c>
      <c r="J935" s="54" t="str">
        <f>IF($C935="B",INDEX(Batters[[#All],[WE]],MATCH(Table5[[#This Row],[PID]],Batters[[#All],[PID]],0)),INDEX(Table3[[#All],[WE]],MATCH(Table5[[#This Row],[PID]],Table3[[#All],[PID]],0)))</f>
        <v>Low</v>
      </c>
      <c r="K935" s="54" t="str">
        <f>IF($C935="B",INDEX(Batters[[#All],[INT]],MATCH(Table5[[#This Row],[PID]],Batters[[#All],[PID]],0)),INDEX(Table3[[#All],[INT]],MATCH(Table5[[#This Row],[PID]],Table3[[#All],[PID]],0)))</f>
        <v>Low</v>
      </c>
      <c r="L935" s="62">
        <f>IF($C935="B",INDEX(Batters[[#All],[CON P]],MATCH(Table5[[#This Row],[PID]],Batters[[#All],[PID]],0)),INDEX(Table3[[#All],[STU P]],MATCH(Table5[[#This Row],[PID]],Table3[[#All],[PID]],0)))</f>
        <v>2</v>
      </c>
      <c r="M935" s="58">
        <f>IF($C935="B",INDEX(Batters[[#All],[GAP P]],MATCH(Table5[[#This Row],[PID]],Batters[[#All],[PID]],0)),INDEX(Table3[[#All],[MOV P]],MATCH(Table5[[#This Row],[PID]],Table3[[#All],[PID]],0)))</f>
        <v>3</v>
      </c>
      <c r="N935" s="58">
        <f>IF($C935="B",INDEX(Batters[[#All],[POW P]],MATCH(Table5[[#This Row],[PID]],Batters[[#All],[PID]],0)),INDEX(Table3[[#All],[CON P]],MATCH(Table5[[#This Row],[PID]],Table3[[#All],[PID]],0)))</f>
        <v>3</v>
      </c>
      <c r="O935" s="58">
        <f>IF($C935="B",INDEX(Batters[[#All],[EYE P]],MATCH(Table5[[#This Row],[PID]],Batters[[#All],[PID]],0)),INDEX(Table3[[#All],[VELO]],MATCH(Table5[[#This Row],[PID]],Table3[[#All],[PID]],0)))</f>
        <v>4</v>
      </c>
      <c r="P935" s="58">
        <f>IF($C935="B",INDEX(Batters[[#All],[K P]],MATCH(Table5[[#This Row],[PID]],Batters[[#All],[PID]],0)),INDEX(Table3[[#All],[STM]],MATCH(Table5[[#This Row],[PID]],Table3[[#All],[PID]],0)))</f>
        <v>3</v>
      </c>
      <c r="Q935" s="63">
        <f>IF($C935="B",INDEX(Batters[[#All],[Tot]],MATCH(Table5[[#This Row],[PID]],Batters[[#All],[PID]],0)),INDEX(Table3[[#All],[Tot]],MATCH(Table5[[#This Row],[PID]],Table3[[#All],[PID]],0)))</f>
        <v>35.648014183927799</v>
      </c>
      <c r="R935" s="54">
        <f>IF($C935="B",INDEX(Batters[[#All],[zScore]],MATCH(Table5[[#This Row],[PID]],Batters[[#All],[PID]],0)),INDEX(Table3[[#All],[zScore]],MATCH(Table5[[#This Row],[PID]],Table3[[#All],[PID]],0)))</f>
        <v>-0.82697478783137501</v>
      </c>
      <c r="S935" s="60" t="str">
        <f>IF($C935="B",INDEX(Batters[[#All],[DEM]],MATCH(Table5[[#This Row],[PID]],Batters[[#All],[PID]],0)),INDEX(Table3[[#All],[DEM]],MATCH(Table5[[#This Row],[PID]],Table3[[#All],[PID]],0)))</f>
        <v>$200k</v>
      </c>
      <c r="T935" s="64">
        <f>IF($C935="B",VLOOKUP($A935,Bat!$A$4:$AU$1417,46,FALSE),VLOOKUP($A935,Pit!$A$4:$BD$570,55,FALSE))</f>
        <v>0</v>
      </c>
      <c r="U935" s="52">
        <f>IF($C935="B",VLOOKUP($A935,Bat!$A$4:$BA$1417,47,FALSE),VLOOKUP($A935,Pit!$A$4:$BF$570,56,FALSE))</f>
        <v>0</v>
      </c>
      <c r="V935" s="52">
        <f>IF($C935="B",VLOOKUP($A935,Bat!$A$4:$BA$1417,48,FALSE),VLOOKUP($A935,Pit!$A$4:$BF$570,57,FALSE))</f>
        <v>0</v>
      </c>
      <c r="W935" s="52">
        <f>Table5[[#This Row],[posRnk]]+Table5[[#This Row],[zRnk]]+IF($W$3&lt;&gt;Table5[[#This Row],[Type]],50,0)</f>
        <v>981</v>
      </c>
      <c r="X935" s="53">
        <f>RANK(Table5[[#This Row],[zScore]],Table5[[#All],[zScore]])</f>
        <v>931</v>
      </c>
      <c r="Y935" s="52" t="str">
        <f>IFERROR(INDEX(DraftResults[[#All],[OVR]],MATCH(Table5[[#This Row],[PID]],DraftResults[[#All],[Player ID]],0)),"")</f>
        <v/>
      </c>
      <c r="Z9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5" s="52" t="str">
        <f>IFERROR(INDEX(DraftResults[[#All],[Pick in Round]],MATCH(Table5[[#This Row],[PID]],DraftResults[[#All],[Player ID]],0)),"")</f>
        <v/>
      </c>
      <c r="AB935" s="52" t="str">
        <f>IFERROR(INDEX(DraftResults[[#All],[Team Name]],MATCH(Table5[[#This Row],[PID]],DraftResults[[#All],[Player ID]],0)),"")</f>
        <v/>
      </c>
      <c r="AC935" s="52" t="str">
        <f>IF(Table5[[#This Row],[Ovr]]="","",IF(Table5[[#This Row],[cmbList]]="","",Table5[[#This Row],[cmbList]]-Table5[[#This Row],[Ovr]]))</f>
        <v/>
      </c>
      <c r="AD935" s="56" t="str">
        <f>IF(ISERROR(VLOOKUP($AB935&amp;"-"&amp;$E935&amp;" "&amp;F935,Bonuses!$B$1:$G$1006,4,FALSE)),"",INT(VLOOKUP($AB935&amp;"-"&amp;$E935&amp;" "&amp;$F935,Bonuses!$B$1:$G$1006,4,FALSE)))</f>
        <v/>
      </c>
      <c r="AE9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6" spans="1:31" s="52" customFormat="1" x14ac:dyDescent="0.25">
      <c r="A936" s="52">
        <v>10101</v>
      </c>
      <c r="B936" s="52">
        <f>COUNTIF(Table5[PID],A936)</f>
        <v>1</v>
      </c>
      <c r="C936" s="52" t="str">
        <f>IF(COUNTIF(Table3[[#All],[PID]],A936)&gt;0,"P","B")</f>
        <v>P</v>
      </c>
      <c r="D936" s="61" t="str">
        <f>IF($C936="B",INDEX(Batters[[#All],[POS]],MATCH(Table5[[#This Row],[PID]],Batters[[#All],[PID]],0)),INDEX(Table3[[#All],[POS]],MATCH(Table5[[#This Row],[PID]],Table3[[#All],[PID]],0)))</f>
        <v>RP</v>
      </c>
      <c r="E936" s="54" t="str">
        <f>IF($C936="B",INDEX(Batters[[#All],[First]],MATCH(Table5[[#This Row],[PID]],Batters[[#All],[PID]],0)),INDEX(Table3[[#All],[First]],MATCH(Table5[[#This Row],[PID]],Table3[[#All],[PID]],0)))</f>
        <v>Roberto</v>
      </c>
      <c r="F936" s="52" t="str">
        <f>IF($C936="B",INDEX(Batters[[#All],[Last]],MATCH(A936,Batters[[#All],[PID]],0)),INDEX(Table3[[#All],[Last]],MATCH(A936,Table3[[#All],[PID]],0)))</f>
        <v>Núñez</v>
      </c>
      <c r="G936" s="58">
        <f>IF($C936="B",INDEX(Batters[[#All],[Age]],MATCH(Table5[[#This Row],[PID]],Batters[[#All],[PID]],0)),INDEX(Table3[[#All],[Age]],MATCH(Table5[[#This Row],[PID]],Table3[[#All],[PID]],0)))</f>
        <v>21</v>
      </c>
      <c r="H936" s="54" t="str">
        <f>IF($C936="B",INDEX(Batters[[#All],[B]],MATCH(Table5[[#This Row],[PID]],Batters[[#All],[PID]],0)),INDEX(Table3[[#All],[B]],MATCH(Table5[[#This Row],[PID]],Table3[[#All],[PID]],0)))</f>
        <v>R</v>
      </c>
      <c r="I936" s="54" t="str">
        <f>IF($C936="B",INDEX(Batters[[#All],[T]],MATCH(Table5[[#This Row],[PID]],Batters[[#All],[PID]],0)),INDEX(Table3[[#All],[T]],MATCH(Table5[[#This Row],[PID]],Table3[[#All],[PID]],0)))</f>
        <v>R</v>
      </c>
      <c r="J936" s="54" t="str">
        <f>IF($C936="B",INDEX(Batters[[#All],[WE]],MATCH(Table5[[#This Row],[PID]],Batters[[#All],[PID]],0)),INDEX(Table3[[#All],[WE]],MATCH(Table5[[#This Row],[PID]],Table3[[#All],[PID]],0)))</f>
        <v>Low</v>
      </c>
      <c r="K936" s="54" t="str">
        <f>IF($C936="B",INDEX(Batters[[#All],[INT]],MATCH(Table5[[#This Row],[PID]],Batters[[#All],[PID]],0)),INDEX(Table3[[#All],[INT]],MATCH(Table5[[#This Row],[PID]],Table3[[#All],[PID]],0)))</f>
        <v>Normal</v>
      </c>
      <c r="L936" s="62">
        <f>IF($C936="B",INDEX(Batters[[#All],[CON P]],MATCH(Table5[[#This Row],[PID]],Batters[[#All],[PID]],0)),INDEX(Table3[[#All],[STU P]],MATCH(Table5[[#This Row],[PID]],Table3[[#All],[PID]],0)))</f>
        <v>4</v>
      </c>
      <c r="M936" s="58">
        <f>IF($C936="B",INDEX(Batters[[#All],[GAP P]],MATCH(Table5[[#This Row],[PID]],Batters[[#All],[PID]],0)),INDEX(Table3[[#All],[MOV P]],MATCH(Table5[[#This Row],[PID]],Table3[[#All],[PID]],0)))</f>
        <v>2</v>
      </c>
      <c r="N936" s="58">
        <f>IF($C936="B",INDEX(Batters[[#All],[POW P]],MATCH(Table5[[#This Row],[PID]],Batters[[#All],[PID]],0)),INDEX(Table3[[#All],[CON P]],MATCH(Table5[[#This Row],[PID]],Table3[[#All],[PID]],0)))</f>
        <v>2</v>
      </c>
      <c r="O936" s="58" t="str">
        <f>IF($C936="B",INDEX(Batters[[#All],[EYE P]],MATCH(Table5[[#This Row],[PID]],Batters[[#All],[PID]],0)),INDEX(Table3[[#All],[VELO]],MATCH(Table5[[#This Row],[PID]],Table3[[#All],[PID]],0)))</f>
        <v>90-92 Mph</v>
      </c>
      <c r="P936" s="58">
        <f>IF($C936="B",INDEX(Batters[[#All],[K P]],MATCH(Table5[[#This Row],[PID]],Batters[[#All],[PID]],0)),INDEX(Table3[[#All],[STM]],MATCH(Table5[[#This Row],[PID]],Table3[[#All],[PID]],0)))</f>
        <v>6</v>
      </c>
      <c r="Q936" s="63">
        <f>IF($C936="B",INDEX(Batters[[#All],[Tot]],MATCH(Table5[[#This Row],[PID]],Batters[[#All],[PID]],0)),INDEX(Table3[[#All],[Tot]],MATCH(Table5[[#This Row],[PID]],Table3[[#All],[PID]],0)))</f>
        <v>23.692709691768069</v>
      </c>
      <c r="R936" s="54">
        <f>IF($C936="B",INDEX(Batters[[#All],[zScore]],MATCH(Table5[[#This Row],[PID]],Batters[[#All],[PID]],0)),INDEX(Table3[[#All],[zScore]],MATCH(Table5[[#This Row],[PID]],Table3[[#All],[PID]],0)))</f>
        <v>-0.82804751765233053</v>
      </c>
      <c r="S936" s="60" t="str">
        <f>IF($C936="B",INDEX(Batters[[#All],[DEM]],MATCH(Table5[[#This Row],[PID]],Batters[[#All],[PID]],0)),INDEX(Table3[[#All],[DEM]],MATCH(Table5[[#This Row],[PID]],Table3[[#All],[PID]],0)))</f>
        <v>-</v>
      </c>
      <c r="T936" s="64">
        <f>IF($C936="B",VLOOKUP($A936,Bat!$A$4:$AU$1417,46,FALSE),VLOOKUP($A936,Pit!$A$4:$BD$570,55,FALSE))</f>
        <v>0</v>
      </c>
      <c r="U936" s="52">
        <f>IF($C936="B",VLOOKUP($A936,Bat!$A$4:$BA$1417,47,FALSE),VLOOKUP($A936,Pit!$A$4:$BF$570,56,FALSE))</f>
        <v>0</v>
      </c>
      <c r="V936" s="52">
        <f>IF($C936="B",VLOOKUP($A936,Bat!$A$4:$BA$1417,48,FALSE),VLOOKUP($A936,Pit!$A$4:$BF$570,57,FALSE))</f>
        <v>0</v>
      </c>
      <c r="W936" s="52">
        <f>Table5[[#This Row],[posRnk]]+Table5[[#This Row],[zRnk]]+IF($W$3&lt;&gt;Table5[[#This Row],[Type]],50,0)</f>
        <v>982</v>
      </c>
      <c r="X936" s="53">
        <f>RANK(Table5[[#This Row],[zScore]],Table5[[#All],[zScore]])</f>
        <v>932</v>
      </c>
      <c r="Y936" s="52" t="str">
        <f>IFERROR(INDEX(DraftResults[[#All],[OVR]],MATCH(Table5[[#This Row],[PID]],DraftResults[[#All],[Player ID]],0)),"")</f>
        <v/>
      </c>
      <c r="Z9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6" s="52" t="str">
        <f>IFERROR(INDEX(DraftResults[[#All],[Pick in Round]],MATCH(Table5[[#This Row],[PID]],DraftResults[[#All],[Player ID]],0)),"")</f>
        <v/>
      </c>
      <c r="AB936" s="52" t="str">
        <f>IFERROR(INDEX(DraftResults[[#All],[Team Name]],MATCH(Table5[[#This Row],[PID]],DraftResults[[#All],[Player ID]],0)),"")</f>
        <v/>
      </c>
      <c r="AC936" s="52" t="str">
        <f>IF(Table5[[#This Row],[Ovr]]="","",IF(Table5[[#This Row],[cmbList]]="","",Table5[[#This Row],[cmbList]]-Table5[[#This Row],[Ovr]]))</f>
        <v/>
      </c>
      <c r="AD936" s="56" t="str">
        <f>IF(ISERROR(VLOOKUP($AB936&amp;"-"&amp;$E936&amp;" "&amp;F936,Bonuses!$B$1:$G$1006,4,FALSE)),"",INT(VLOOKUP($AB936&amp;"-"&amp;$E936&amp;" "&amp;$F936,Bonuses!$B$1:$G$1006,4,FALSE)))</f>
        <v/>
      </c>
      <c r="AE9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7" spans="1:31" s="52" customFormat="1" x14ac:dyDescent="0.25">
      <c r="A937" s="52">
        <v>18064</v>
      </c>
      <c r="B937" s="57">
        <f>COUNTIF(Table5[PID],A937)</f>
        <v>1</v>
      </c>
      <c r="C937" s="57" t="str">
        <f>IF(COUNTIF(Table3[[#All],[PID]],A937)&gt;0,"P","B")</f>
        <v>B</v>
      </c>
      <c r="D937" s="61" t="str">
        <f>IF($C937="B",INDEX(Batters[[#All],[POS]],MATCH(Table5[[#This Row],[PID]],Batters[[#All],[PID]],0)),INDEX(Table3[[#All],[POS]],MATCH(Table5[[#This Row],[PID]],Table3[[#All],[PID]],0)))</f>
        <v>RF</v>
      </c>
      <c r="E937" s="54" t="str">
        <f>IF($C937="B",INDEX(Batters[[#All],[First]],MATCH(Table5[[#This Row],[PID]],Batters[[#All],[PID]],0)),INDEX(Table3[[#All],[First]],MATCH(Table5[[#This Row],[PID]],Table3[[#All],[PID]],0)))</f>
        <v>Josh</v>
      </c>
      <c r="F937" s="52" t="str">
        <f>IF($C937="B",INDEX(Batters[[#All],[Last]],MATCH(A937,Batters[[#All],[PID]],0)),INDEX(Table3[[#All],[Last]],MATCH(A937,Table3[[#All],[PID]],0)))</f>
        <v>Norris</v>
      </c>
      <c r="G937" s="58">
        <f>IF($C937="B",INDEX(Batters[[#All],[Age]],MATCH(Table5[[#This Row],[PID]],Batters[[#All],[PID]],0)),INDEX(Table3[[#All],[Age]],MATCH(Table5[[#This Row],[PID]],Table3[[#All],[PID]],0)))</f>
        <v>21</v>
      </c>
      <c r="H937" s="54" t="str">
        <f>IF($C937="B",INDEX(Batters[[#All],[B]],MATCH(Table5[[#This Row],[PID]],Batters[[#All],[PID]],0)),INDEX(Table3[[#All],[B]],MATCH(Table5[[#This Row],[PID]],Table3[[#All],[PID]],0)))</f>
        <v>R</v>
      </c>
      <c r="I937" s="54" t="str">
        <f>IF($C937="B",INDEX(Batters[[#All],[T]],MATCH(Table5[[#This Row],[PID]],Batters[[#All],[PID]],0)),INDEX(Table3[[#All],[T]],MATCH(Table5[[#This Row],[PID]],Table3[[#All],[PID]],0)))</f>
        <v>L</v>
      </c>
      <c r="J937" s="54" t="str">
        <f>IF($C937="B",INDEX(Batters[[#All],[WE]],MATCH(Table5[[#This Row],[PID]],Batters[[#All],[PID]],0)),INDEX(Table3[[#All],[WE]],MATCH(Table5[[#This Row],[PID]],Table3[[#All],[PID]],0)))</f>
        <v>Low</v>
      </c>
      <c r="K937" s="54" t="str">
        <f>IF($C937="B",INDEX(Batters[[#All],[INT]],MATCH(Table5[[#This Row],[PID]],Batters[[#All],[PID]],0)),INDEX(Table3[[#All],[INT]],MATCH(Table5[[#This Row],[PID]],Table3[[#All],[PID]],0)))</f>
        <v>Normal</v>
      </c>
      <c r="L937" s="62">
        <f>IF($C937="B",INDEX(Batters[[#All],[CON P]],MATCH(Table5[[#This Row],[PID]],Batters[[#All],[PID]],0)),INDEX(Table3[[#All],[STU P]],MATCH(Table5[[#This Row],[PID]],Table3[[#All],[PID]],0)))</f>
        <v>3</v>
      </c>
      <c r="M937" s="58">
        <f>IF($C937="B",INDEX(Batters[[#All],[GAP P]],MATCH(Table5[[#This Row],[PID]],Batters[[#All],[PID]],0)),INDEX(Table3[[#All],[MOV P]],MATCH(Table5[[#This Row],[PID]],Table3[[#All],[PID]],0)))</f>
        <v>4</v>
      </c>
      <c r="N937" s="58">
        <f>IF($C937="B",INDEX(Batters[[#All],[POW P]],MATCH(Table5[[#This Row],[PID]],Batters[[#All],[PID]],0)),INDEX(Table3[[#All],[CON P]],MATCH(Table5[[#This Row],[PID]],Table3[[#All],[PID]],0)))</f>
        <v>4</v>
      </c>
      <c r="O937" s="58">
        <f>IF($C937="B",INDEX(Batters[[#All],[EYE P]],MATCH(Table5[[#This Row],[PID]],Batters[[#All],[PID]],0)),INDEX(Table3[[#All],[VELO]],MATCH(Table5[[#This Row],[PID]],Table3[[#All],[PID]],0)))</f>
        <v>4</v>
      </c>
      <c r="P937" s="58">
        <f>IF($C937="B",INDEX(Batters[[#All],[K P]],MATCH(Table5[[#This Row],[PID]],Batters[[#All],[PID]],0)),INDEX(Table3[[#All],[STM]],MATCH(Table5[[#This Row],[PID]],Table3[[#All],[PID]],0)))</f>
        <v>2</v>
      </c>
      <c r="Q937" s="63">
        <f>IF($C937="B",INDEX(Batters[[#All],[Tot]],MATCH(Table5[[#This Row],[PID]],Batters[[#All],[PID]],0)),INDEX(Table3[[#All],[Tot]],MATCH(Table5[[#This Row],[PID]],Table3[[#All],[PID]],0)))</f>
        <v>35.63958410700188</v>
      </c>
      <c r="R937" s="54">
        <f>IF($C937="B",INDEX(Batters[[#All],[zScore]],MATCH(Table5[[#This Row],[PID]],Batters[[#All],[PID]],0)),INDEX(Table3[[#All],[zScore]],MATCH(Table5[[#This Row],[PID]],Table3[[#All],[PID]],0)))</f>
        <v>-0.82845800383764168</v>
      </c>
      <c r="S937" s="60" t="str">
        <f>IF($C937="B",INDEX(Batters[[#All],[DEM]],MATCH(Table5[[#This Row],[PID]],Batters[[#All],[PID]],0)),INDEX(Table3[[#All],[DEM]],MATCH(Table5[[#This Row],[PID]],Table3[[#All],[PID]],0)))</f>
        <v>$110k</v>
      </c>
      <c r="T937" s="64">
        <f>IF($C937="B",VLOOKUP($A937,Bat!$A$4:$AU$1417,46,FALSE),VLOOKUP($A937,Pit!$A$4:$BD$570,55,FALSE))</f>
        <v>0</v>
      </c>
      <c r="U937" s="52">
        <f>IF($C937="B",VLOOKUP($A937,Bat!$A$4:$BA$1417,47,FALSE),VLOOKUP($A937,Pit!$A$4:$BF$570,56,FALSE))</f>
        <v>0</v>
      </c>
      <c r="V937" s="52">
        <f>IF($C937="B",VLOOKUP($A937,Bat!$A$4:$BA$1417,48,FALSE),VLOOKUP($A937,Pit!$A$4:$BF$570,57,FALSE))</f>
        <v>0</v>
      </c>
      <c r="W937" s="52">
        <f>Table5[[#This Row],[posRnk]]+Table5[[#This Row],[zRnk]]+IF($W$3&lt;&gt;Table5[[#This Row],[Type]],50,0)</f>
        <v>983</v>
      </c>
      <c r="X937" s="53">
        <f>RANK(Table5[[#This Row],[zScore]],Table5[[#All],[zScore]])</f>
        <v>933</v>
      </c>
      <c r="Y937" s="52" t="str">
        <f>IFERROR(INDEX(DraftResults[[#All],[OVR]],MATCH(Table5[[#This Row],[PID]],DraftResults[[#All],[Player ID]],0)),"")</f>
        <v/>
      </c>
      <c r="Z9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7" s="52" t="str">
        <f>IFERROR(INDEX(DraftResults[[#All],[Pick in Round]],MATCH(Table5[[#This Row],[PID]],DraftResults[[#All],[Player ID]],0)),"")</f>
        <v/>
      </c>
      <c r="AB937" s="52" t="str">
        <f>IFERROR(INDEX(DraftResults[[#All],[Team Name]],MATCH(Table5[[#This Row],[PID]],DraftResults[[#All],[Player ID]],0)),"")</f>
        <v/>
      </c>
      <c r="AC937" s="52" t="str">
        <f>IF(Table5[[#This Row],[Ovr]]="","",IF(Table5[[#This Row],[cmbList]]="","",Table5[[#This Row],[cmbList]]-Table5[[#This Row],[Ovr]]))</f>
        <v/>
      </c>
      <c r="AD937" s="56" t="str">
        <f>IF(ISERROR(VLOOKUP($AB937&amp;"-"&amp;$E937&amp;" "&amp;F937,Bonuses!$B$1:$G$1006,4,FALSE)),"",INT(VLOOKUP($AB937&amp;"-"&amp;$E937&amp;" "&amp;$F937,Bonuses!$B$1:$G$1006,4,FALSE)))</f>
        <v/>
      </c>
      <c r="AE9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8" spans="1:31" s="52" customFormat="1" x14ac:dyDescent="0.25">
      <c r="A938" s="52">
        <v>9682</v>
      </c>
      <c r="B938" s="52">
        <f>COUNTIF(Table5[PID],A938)</f>
        <v>1</v>
      </c>
      <c r="C938" s="52" t="str">
        <f>IF(COUNTIF(Table3[[#All],[PID]],A938)&gt;0,"P","B")</f>
        <v>B</v>
      </c>
      <c r="D938" s="61" t="str">
        <f>IF($C938="B",INDEX(Batters[[#All],[POS]],MATCH(Table5[[#This Row],[PID]],Batters[[#All],[PID]],0)),INDEX(Table3[[#All],[POS]],MATCH(Table5[[#This Row],[PID]],Table3[[#All],[PID]],0)))</f>
        <v>1B</v>
      </c>
      <c r="E938" s="54" t="str">
        <f>IF($C938="B",INDEX(Batters[[#All],[First]],MATCH(Table5[[#This Row],[PID]],Batters[[#All],[PID]],0)),INDEX(Table3[[#All],[First]],MATCH(Table5[[#This Row],[PID]],Table3[[#All],[PID]],0)))</f>
        <v>Bob</v>
      </c>
      <c r="F938" s="52" t="str">
        <f>IF($C938="B",INDEX(Batters[[#All],[Last]],MATCH(A938,Batters[[#All],[PID]],0)),INDEX(Table3[[#All],[Last]],MATCH(A938,Table3[[#All],[PID]],0)))</f>
        <v>Swift</v>
      </c>
      <c r="G938" s="58">
        <f>IF($C938="B",INDEX(Batters[[#All],[Age]],MATCH(Table5[[#This Row],[PID]],Batters[[#All],[PID]],0)),INDEX(Table3[[#All],[Age]],MATCH(Table5[[#This Row],[PID]],Table3[[#All],[PID]],0)))</f>
        <v>21</v>
      </c>
      <c r="H938" s="54" t="str">
        <f>IF($C938="B",INDEX(Batters[[#All],[B]],MATCH(Table5[[#This Row],[PID]],Batters[[#All],[PID]],0)),INDEX(Table3[[#All],[B]],MATCH(Table5[[#This Row],[PID]],Table3[[#All],[PID]],0)))</f>
        <v>R</v>
      </c>
      <c r="I938" s="54" t="str">
        <f>IF($C938="B",INDEX(Batters[[#All],[T]],MATCH(Table5[[#This Row],[PID]],Batters[[#All],[PID]],0)),INDEX(Table3[[#All],[T]],MATCH(Table5[[#This Row],[PID]],Table3[[#All],[PID]],0)))</f>
        <v>R</v>
      </c>
      <c r="J938" s="54" t="str">
        <f>IF($C938="B",INDEX(Batters[[#All],[WE]],MATCH(Table5[[#This Row],[PID]],Batters[[#All],[PID]],0)),INDEX(Table3[[#All],[WE]],MATCH(Table5[[#This Row],[PID]],Table3[[#All],[PID]],0)))</f>
        <v>Low</v>
      </c>
      <c r="K938" s="54" t="str">
        <f>IF($C938="B",INDEX(Batters[[#All],[INT]],MATCH(Table5[[#This Row],[PID]],Batters[[#All],[PID]],0)),INDEX(Table3[[#All],[INT]],MATCH(Table5[[#This Row],[PID]],Table3[[#All],[PID]],0)))</f>
        <v>Normal</v>
      </c>
      <c r="L938" s="62">
        <f>IF($C938="B",INDEX(Batters[[#All],[CON P]],MATCH(Table5[[#This Row],[PID]],Batters[[#All],[PID]],0)),INDEX(Table3[[#All],[STU P]],MATCH(Table5[[#This Row],[PID]],Table3[[#All],[PID]],0)))</f>
        <v>3</v>
      </c>
      <c r="M938" s="58">
        <f>IF($C938="B",INDEX(Batters[[#All],[GAP P]],MATCH(Table5[[#This Row],[PID]],Batters[[#All],[PID]],0)),INDEX(Table3[[#All],[MOV P]],MATCH(Table5[[#This Row],[PID]],Table3[[#All],[PID]],0)))</f>
        <v>3</v>
      </c>
      <c r="N938" s="58">
        <f>IF($C938="B",INDEX(Batters[[#All],[POW P]],MATCH(Table5[[#This Row],[PID]],Batters[[#All],[PID]],0)),INDEX(Table3[[#All],[CON P]],MATCH(Table5[[#This Row],[PID]],Table3[[#All],[PID]],0)))</f>
        <v>4</v>
      </c>
      <c r="O938" s="58">
        <f>IF($C938="B",INDEX(Batters[[#All],[EYE P]],MATCH(Table5[[#This Row],[PID]],Batters[[#All],[PID]],0)),INDEX(Table3[[#All],[VELO]],MATCH(Table5[[#This Row],[PID]],Table3[[#All],[PID]],0)))</f>
        <v>4</v>
      </c>
      <c r="P938" s="58">
        <f>IF($C938="B",INDEX(Batters[[#All],[K P]],MATCH(Table5[[#This Row],[PID]],Batters[[#All],[PID]],0)),INDEX(Table3[[#All],[STM]],MATCH(Table5[[#This Row],[PID]],Table3[[#All],[PID]],0)))</f>
        <v>3</v>
      </c>
      <c r="Q938" s="63">
        <f>IF($C938="B",INDEX(Batters[[#All],[Tot]],MATCH(Table5[[#This Row],[PID]],Batters[[#All],[PID]],0)),INDEX(Table3[[#All],[Tot]],MATCH(Table5[[#This Row],[PID]],Table3[[#All],[PID]],0)))</f>
        <v>35.634678537017223</v>
      </c>
      <c r="R938" s="54">
        <f>IF($C938="B",INDEX(Batters[[#All],[zScore]],MATCH(Table5[[#This Row],[PID]],Batters[[#All],[PID]],0)),INDEX(Table3[[#All],[zScore]],MATCH(Table5[[#This Row],[PID]],Table3[[#All],[PID]],0)))</f>
        <v>-0.82932110627253575</v>
      </c>
      <c r="S938" s="60" t="str">
        <f>IF($C938="B",INDEX(Batters[[#All],[DEM]],MATCH(Table5[[#This Row],[PID]],Batters[[#All],[PID]],0)),INDEX(Table3[[#All],[DEM]],MATCH(Table5[[#This Row],[PID]],Table3[[#All],[PID]],0)))</f>
        <v>$34k</v>
      </c>
      <c r="T938" s="64">
        <f>IF($C938="B",VLOOKUP($A938,Bat!$A$4:$AU$1417,46,FALSE),VLOOKUP($A938,Pit!$A$4:$BD$570,55,FALSE))</f>
        <v>0</v>
      </c>
      <c r="U938" s="52">
        <f>IF($C938="B",VLOOKUP($A938,Bat!$A$4:$BA$1417,47,FALSE),VLOOKUP($A938,Pit!$A$4:$BF$570,56,FALSE))</f>
        <v>0</v>
      </c>
      <c r="V938" s="52">
        <f>IF($C938="B",VLOOKUP($A938,Bat!$A$4:$BA$1417,48,FALSE),VLOOKUP($A938,Pit!$A$4:$BF$570,57,FALSE))</f>
        <v>0</v>
      </c>
      <c r="W938" s="52">
        <f>Table5[[#This Row],[posRnk]]+Table5[[#This Row],[zRnk]]+IF($W$3&lt;&gt;Table5[[#This Row],[Type]],50,0)</f>
        <v>984</v>
      </c>
      <c r="X938" s="53">
        <f>RANK(Table5[[#This Row],[zScore]],Table5[[#All],[zScore]])</f>
        <v>934</v>
      </c>
      <c r="Y938" s="52" t="str">
        <f>IFERROR(INDEX(DraftResults[[#All],[OVR]],MATCH(Table5[[#This Row],[PID]],DraftResults[[#All],[Player ID]],0)),"")</f>
        <v/>
      </c>
      <c r="Z9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8" s="52" t="str">
        <f>IFERROR(INDEX(DraftResults[[#All],[Pick in Round]],MATCH(Table5[[#This Row],[PID]],DraftResults[[#All],[Player ID]],0)),"")</f>
        <v/>
      </c>
      <c r="AB938" s="52" t="str">
        <f>IFERROR(INDEX(DraftResults[[#All],[Team Name]],MATCH(Table5[[#This Row],[PID]],DraftResults[[#All],[Player ID]],0)),"")</f>
        <v/>
      </c>
      <c r="AC938" s="52" t="str">
        <f>IF(Table5[[#This Row],[Ovr]]="","",IF(Table5[[#This Row],[cmbList]]="","",Table5[[#This Row],[cmbList]]-Table5[[#This Row],[Ovr]]))</f>
        <v/>
      </c>
      <c r="AD938" s="56" t="str">
        <f>IF(ISERROR(VLOOKUP($AB938&amp;"-"&amp;$E938&amp;" "&amp;F938,Bonuses!$B$1:$G$1006,4,FALSE)),"",INT(VLOOKUP($AB938&amp;"-"&amp;$E938&amp;" "&amp;$F938,Bonuses!$B$1:$G$1006,4,FALSE)))</f>
        <v/>
      </c>
      <c r="AE9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9" spans="1:31" s="52" customFormat="1" x14ac:dyDescent="0.25">
      <c r="A939" s="52">
        <v>11751</v>
      </c>
      <c r="B939" s="52">
        <f>COUNTIF(Table5[PID],A939)</f>
        <v>1</v>
      </c>
      <c r="C939" s="52" t="str">
        <f>IF(COUNTIF(Table3[[#All],[PID]],A939)&gt;0,"P","B")</f>
        <v>B</v>
      </c>
      <c r="D939" s="61" t="str">
        <f>IF($C939="B",INDEX(Batters[[#All],[POS]],MATCH(Table5[[#This Row],[PID]],Batters[[#All],[PID]],0)),INDEX(Table3[[#All],[POS]],MATCH(Table5[[#This Row],[PID]],Table3[[#All],[PID]],0)))</f>
        <v>CF</v>
      </c>
      <c r="E939" s="54" t="str">
        <f>IF($C939="B",INDEX(Batters[[#All],[First]],MATCH(Table5[[#This Row],[PID]],Batters[[#All],[PID]],0)),INDEX(Table3[[#All],[First]],MATCH(Table5[[#This Row],[PID]],Table3[[#All],[PID]],0)))</f>
        <v>Dan</v>
      </c>
      <c r="F939" s="52" t="str">
        <f>IF($C939="B",INDEX(Batters[[#All],[Last]],MATCH(A939,Batters[[#All],[PID]],0)),INDEX(Table3[[#All],[Last]],MATCH(A939,Table3[[#All],[PID]],0)))</f>
        <v>Stroud</v>
      </c>
      <c r="G939" s="58">
        <f>IF($C939="B",INDEX(Batters[[#All],[Age]],MATCH(Table5[[#This Row],[PID]],Batters[[#All],[PID]],0)),INDEX(Table3[[#All],[Age]],MATCH(Table5[[#This Row],[PID]],Table3[[#All],[PID]],0)))</f>
        <v>21</v>
      </c>
      <c r="H939" s="54" t="str">
        <f>IF($C939="B",INDEX(Batters[[#All],[B]],MATCH(Table5[[#This Row],[PID]],Batters[[#All],[PID]],0)),INDEX(Table3[[#All],[B]],MATCH(Table5[[#This Row],[PID]],Table3[[#All],[PID]],0)))</f>
        <v>R</v>
      </c>
      <c r="I939" s="54" t="str">
        <f>IF($C939="B",INDEX(Batters[[#All],[T]],MATCH(Table5[[#This Row],[PID]],Batters[[#All],[PID]],0)),INDEX(Table3[[#All],[T]],MATCH(Table5[[#This Row],[PID]],Table3[[#All],[PID]],0)))</f>
        <v>R</v>
      </c>
      <c r="J939" s="54" t="str">
        <f>IF($C939="B",INDEX(Batters[[#All],[WE]],MATCH(Table5[[#This Row],[PID]],Batters[[#All],[PID]],0)),INDEX(Table3[[#All],[WE]],MATCH(Table5[[#This Row],[PID]],Table3[[#All],[PID]],0)))</f>
        <v>Normal</v>
      </c>
      <c r="K939" s="54" t="str">
        <f>IF($C939="B",INDEX(Batters[[#All],[INT]],MATCH(Table5[[#This Row],[PID]],Batters[[#All],[PID]],0)),INDEX(Table3[[#All],[INT]],MATCH(Table5[[#This Row],[PID]],Table3[[#All],[PID]],0)))</f>
        <v>Normal</v>
      </c>
      <c r="L939" s="62">
        <f>IF($C939="B",INDEX(Batters[[#All],[CON P]],MATCH(Table5[[#This Row],[PID]],Batters[[#All],[PID]],0)),INDEX(Table3[[#All],[STU P]],MATCH(Table5[[#This Row],[PID]],Table3[[#All],[PID]],0)))</f>
        <v>3</v>
      </c>
      <c r="M939" s="58">
        <f>IF($C939="B",INDEX(Batters[[#All],[GAP P]],MATCH(Table5[[#This Row],[PID]],Batters[[#All],[PID]],0)),INDEX(Table3[[#All],[MOV P]],MATCH(Table5[[#This Row],[PID]],Table3[[#All],[PID]],0)))</f>
        <v>2</v>
      </c>
      <c r="N939" s="58">
        <f>IF($C939="B",INDEX(Batters[[#All],[POW P]],MATCH(Table5[[#This Row],[PID]],Batters[[#All],[PID]],0)),INDEX(Table3[[#All],[CON P]],MATCH(Table5[[#This Row],[PID]],Table3[[#All],[PID]],0)))</f>
        <v>3</v>
      </c>
      <c r="O939" s="58">
        <f>IF($C939="B",INDEX(Batters[[#All],[EYE P]],MATCH(Table5[[#This Row],[PID]],Batters[[#All],[PID]],0)),INDEX(Table3[[#All],[VELO]],MATCH(Table5[[#This Row],[PID]],Table3[[#All],[PID]],0)))</f>
        <v>4</v>
      </c>
      <c r="P939" s="58">
        <f>IF($C939="B",INDEX(Batters[[#All],[K P]],MATCH(Table5[[#This Row],[PID]],Batters[[#All],[PID]],0)),INDEX(Table3[[#All],[STM]],MATCH(Table5[[#This Row],[PID]],Table3[[#All],[PID]],0)))</f>
        <v>3</v>
      </c>
      <c r="Q939" s="63">
        <f>IF($C939="B",INDEX(Batters[[#All],[Tot]],MATCH(Table5[[#This Row],[PID]],Batters[[#All],[PID]],0)),INDEX(Table3[[#All],[Tot]],MATCH(Table5[[#This Row],[PID]],Table3[[#All],[PID]],0)))</f>
        <v>35.633115258593847</v>
      </c>
      <c r="R939" s="54">
        <f>IF($C939="B",INDEX(Batters[[#All],[zScore]],MATCH(Table5[[#This Row],[PID]],Batters[[#All],[PID]],0)),INDEX(Table3[[#All],[zScore]],MATCH(Table5[[#This Row],[PID]],Table3[[#All],[PID]],0)))</f>
        <v>-0.82959615472110615</v>
      </c>
      <c r="S939" s="60" t="str">
        <f>IF($C939="B",INDEX(Batters[[#All],[DEM]],MATCH(Table5[[#This Row],[PID]],Batters[[#All],[PID]],0)),INDEX(Table3[[#All],[DEM]],MATCH(Table5[[#This Row],[PID]],Table3[[#All],[PID]],0)))</f>
        <v>-</v>
      </c>
      <c r="T939" s="64">
        <f>IF($C939="B",VLOOKUP($A939,Bat!$A$4:$AU$1417,46,FALSE),VLOOKUP($A939,Pit!$A$4:$BD$570,55,FALSE))</f>
        <v>0</v>
      </c>
      <c r="U939" s="52">
        <f>IF($C939="B",VLOOKUP($A939,Bat!$A$4:$BA$1417,47,FALSE),VLOOKUP($A939,Pit!$A$4:$BF$570,56,FALSE))</f>
        <v>0</v>
      </c>
      <c r="V939" s="52">
        <f>IF($C939="B",VLOOKUP($A939,Bat!$A$4:$BA$1417,48,FALSE),VLOOKUP($A939,Pit!$A$4:$BF$570,57,FALSE))</f>
        <v>0</v>
      </c>
      <c r="W939" s="52">
        <f>Table5[[#This Row],[posRnk]]+Table5[[#This Row],[zRnk]]+IF($W$3&lt;&gt;Table5[[#This Row],[Type]],50,0)</f>
        <v>985</v>
      </c>
      <c r="X939" s="53">
        <f>RANK(Table5[[#This Row],[zScore]],Table5[[#All],[zScore]])</f>
        <v>935</v>
      </c>
      <c r="Y939" s="52" t="str">
        <f>IFERROR(INDEX(DraftResults[[#All],[OVR]],MATCH(Table5[[#This Row],[PID]],DraftResults[[#All],[Player ID]],0)),"")</f>
        <v/>
      </c>
      <c r="Z9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9" s="52" t="str">
        <f>IFERROR(INDEX(DraftResults[[#All],[Pick in Round]],MATCH(Table5[[#This Row],[PID]],DraftResults[[#All],[Player ID]],0)),"")</f>
        <v/>
      </c>
      <c r="AB939" s="52" t="str">
        <f>IFERROR(INDEX(DraftResults[[#All],[Team Name]],MATCH(Table5[[#This Row],[PID]],DraftResults[[#All],[Player ID]],0)),"")</f>
        <v/>
      </c>
      <c r="AC939" s="52" t="str">
        <f>IF(Table5[[#This Row],[Ovr]]="","",IF(Table5[[#This Row],[cmbList]]="","",Table5[[#This Row],[cmbList]]-Table5[[#This Row],[Ovr]]))</f>
        <v/>
      </c>
      <c r="AD939" s="56" t="str">
        <f>IF(ISERROR(VLOOKUP($AB939&amp;"-"&amp;$E939&amp;" "&amp;F939,Bonuses!$B$1:$G$1006,4,FALSE)),"",INT(VLOOKUP($AB939&amp;"-"&amp;$E939&amp;" "&amp;$F939,Bonuses!$B$1:$G$1006,4,FALSE)))</f>
        <v/>
      </c>
      <c r="AE9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0" spans="1:31" s="52" customFormat="1" x14ac:dyDescent="0.25">
      <c r="A940" s="52">
        <v>7105</v>
      </c>
      <c r="B940" s="52">
        <f>COUNTIF(Table5[PID],A940)</f>
        <v>1</v>
      </c>
      <c r="C940" s="52" t="str">
        <f>IF(COUNTIF(Table3[[#All],[PID]],A940)&gt;0,"P","B")</f>
        <v>P</v>
      </c>
      <c r="D940" s="61" t="str">
        <f>IF($C940="B",INDEX(Batters[[#All],[POS]],MATCH(Table5[[#This Row],[PID]],Batters[[#All],[PID]],0)),INDEX(Table3[[#All],[POS]],MATCH(Table5[[#This Row],[PID]],Table3[[#All],[PID]],0)))</f>
        <v>RP</v>
      </c>
      <c r="E940" s="54" t="str">
        <f>IF($C940="B",INDEX(Batters[[#All],[First]],MATCH(Table5[[#This Row],[PID]],Batters[[#All],[PID]],0)),INDEX(Table3[[#All],[First]],MATCH(Table5[[#This Row],[PID]],Table3[[#All],[PID]],0)))</f>
        <v>Eddie</v>
      </c>
      <c r="F940" s="52" t="str">
        <f>IF($C940="B",INDEX(Batters[[#All],[Last]],MATCH(A940,Batters[[#All],[PID]],0)),INDEX(Table3[[#All],[Last]],MATCH(A940,Table3[[#All],[PID]],0)))</f>
        <v>Yeandle</v>
      </c>
      <c r="G940" s="58">
        <f>IF($C940="B",INDEX(Batters[[#All],[Age]],MATCH(Table5[[#This Row],[PID]],Batters[[#All],[PID]],0)),INDEX(Table3[[#All],[Age]],MATCH(Table5[[#This Row],[PID]],Table3[[#All],[PID]],0)))</f>
        <v>21</v>
      </c>
      <c r="H940" s="54" t="str">
        <f>IF($C940="B",INDEX(Batters[[#All],[B]],MATCH(Table5[[#This Row],[PID]],Batters[[#All],[PID]],0)),INDEX(Table3[[#All],[B]],MATCH(Table5[[#This Row],[PID]],Table3[[#All],[PID]],0)))</f>
        <v>R</v>
      </c>
      <c r="I940" s="54" t="str">
        <f>IF($C940="B",INDEX(Batters[[#All],[T]],MATCH(Table5[[#This Row],[PID]],Batters[[#All],[PID]],0)),INDEX(Table3[[#All],[T]],MATCH(Table5[[#This Row],[PID]],Table3[[#All],[PID]],0)))</f>
        <v>R</v>
      </c>
      <c r="J940" s="54" t="str">
        <f>IF($C940="B",INDEX(Batters[[#All],[WE]],MATCH(Table5[[#This Row],[PID]],Batters[[#All],[PID]],0)),INDEX(Table3[[#All],[WE]],MATCH(Table5[[#This Row],[PID]],Table3[[#All],[PID]],0)))</f>
        <v>Low</v>
      </c>
      <c r="K940" s="54" t="str">
        <f>IF($C940="B",INDEX(Batters[[#All],[INT]],MATCH(Table5[[#This Row],[PID]],Batters[[#All],[PID]],0)),INDEX(Table3[[#All],[INT]],MATCH(Table5[[#This Row],[PID]],Table3[[#All],[PID]],0)))</f>
        <v>Normal</v>
      </c>
      <c r="L940" s="62">
        <f>IF($C940="B",INDEX(Batters[[#All],[CON P]],MATCH(Table5[[#This Row],[PID]],Batters[[#All],[PID]],0)),INDEX(Table3[[#All],[STU P]],MATCH(Table5[[#This Row],[PID]],Table3[[#All],[PID]],0)))</f>
        <v>4</v>
      </c>
      <c r="M940" s="58">
        <f>IF($C940="B",INDEX(Batters[[#All],[GAP P]],MATCH(Table5[[#This Row],[PID]],Batters[[#All],[PID]],0)),INDEX(Table3[[#All],[MOV P]],MATCH(Table5[[#This Row],[PID]],Table3[[#All],[PID]],0)))</f>
        <v>2</v>
      </c>
      <c r="N940" s="58">
        <f>IF($C940="B",INDEX(Batters[[#All],[POW P]],MATCH(Table5[[#This Row],[PID]],Batters[[#All],[PID]],0)),INDEX(Table3[[#All],[CON P]],MATCH(Table5[[#This Row],[PID]],Table3[[#All],[PID]],0)))</f>
        <v>2</v>
      </c>
      <c r="O940" s="58" t="str">
        <f>IF($C940="B",INDEX(Batters[[#All],[EYE P]],MATCH(Table5[[#This Row],[PID]],Batters[[#All],[PID]],0)),INDEX(Table3[[#All],[VELO]],MATCH(Table5[[#This Row],[PID]],Table3[[#All],[PID]],0)))</f>
        <v>90-92 Mph</v>
      </c>
      <c r="P940" s="58">
        <f>IF($C940="B",INDEX(Batters[[#All],[K P]],MATCH(Table5[[#This Row],[PID]],Batters[[#All],[PID]],0)),INDEX(Table3[[#All],[STM]],MATCH(Table5[[#This Row],[PID]],Table3[[#All],[PID]],0)))</f>
        <v>8</v>
      </c>
      <c r="Q940" s="63">
        <f>IF($C940="B",INDEX(Batters[[#All],[Tot]],MATCH(Table5[[#This Row],[PID]],Batters[[#All],[PID]],0)),INDEX(Table3[[#All],[Tot]],MATCH(Table5[[#This Row],[PID]],Table3[[#All],[PID]],0)))</f>
        <v>23.593401401119358</v>
      </c>
      <c r="R940" s="54">
        <f>IF($C940="B",INDEX(Batters[[#All],[zScore]],MATCH(Table5[[#This Row],[PID]],Batters[[#All],[PID]],0)),INDEX(Table3[[#All],[zScore]],MATCH(Table5[[#This Row],[PID]],Table3[[#All],[PID]],0)))</f>
        <v>-0.83715451235737226</v>
      </c>
      <c r="S940" s="60" t="str">
        <f>IF($C940="B",INDEX(Batters[[#All],[DEM]],MATCH(Table5[[#This Row],[PID]],Batters[[#All],[PID]],0)),INDEX(Table3[[#All],[DEM]],MATCH(Table5[[#This Row],[PID]],Table3[[#All],[PID]],0)))</f>
        <v>-</v>
      </c>
      <c r="T940" s="64">
        <f>IF($C940="B",VLOOKUP($A940,Bat!$A$4:$AU$1417,46,FALSE),VLOOKUP($A940,Pit!$A$4:$BD$570,55,FALSE))</f>
        <v>0</v>
      </c>
      <c r="U940" s="52">
        <f>IF($C940="B",VLOOKUP($A940,Bat!$A$4:$BA$1417,47,FALSE),VLOOKUP($A940,Pit!$A$4:$BF$570,56,FALSE))</f>
        <v>0</v>
      </c>
      <c r="V940" s="52">
        <f>IF($C940="B",VLOOKUP($A940,Bat!$A$4:$BA$1417,48,FALSE),VLOOKUP($A940,Pit!$A$4:$BF$570,57,FALSE))</f>
        <v>0</v>
      </c>
      <c r="W940" s="52">
        <f>Table5[[#This Row],[posRnk]]+Table5[[#This Row],[zRnk]]+IF($W$3&lt;&gt;Table5[[#This Row],[Type]],50,0)</f>
        <v>986</v>
      </c>
      <c r="X940" s="53">
        <f>RANK(Table5[[#This Row],[zScore]],Table5[[#All],[zScore]])</f>
        <v>936</v>
      </c>
      <c r="Y940" s="52" t="str">
        <f>IFERROR(INDEX(DraftResults[[#All],[OVR]],MATCH(Table5[[#This Row],[PID]],DraftResults[[#All],[Player ID]],0)),"")</f>
        <v/>
      </c>
      <c r="Z9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0" s="52" t="str">
        <f>IFERROR(INDEX(DraftResults[[#All],[Pick in Round]],MATCH(Table5[[#This Row],[PID]],DraftResults[[#All],[Player ID]],0)),"")</f>
        <v/>
      </c>
      <c r="AB940" s="52" t="str">
        <f>IFERROR(INDEX(DraftResults[[#All],[Team Name]],MATCH(Table5[[#This Row],[PID]],DraftResults[[#All],[Player ID]],0)),"")</f>
        <v/>
      </c>
      <c r="AC940" s="52" t="str">
        <f>IF(Table5[[#This Row],[Ovr]]="","",IF(Table5[[#This Row],[cmbList]]="","",Table5[[#This Row],[cmbList]]-Table5[[#This Row],[Ovr]]))</f>
        <v/>
      </c>
      <c r="AD940" s="56" t="str">
        <f>IF(ISERROR(VLOOKUP($AB940&amp;"-"&amp;$E940&amp;" "&amp;F940,Bonuses!$B$1:$G$1006,4,FALSE)),"",INT(VLOOKUP($AB940&amp;"-"&amp;$E940&amp;" "&amp;$F940,Bonuses!$B$1:$G$1006,4,FALSE)))</f>
        <v/>
      </c>
      <c r="AE9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1" spans="1:31" s="52" customFormat="1" x14ac:dyDescent="0.25">
      <c r="A941" s="52">
        <v>12270</v>
      </c>
      <c r="B941" s="52">
        <f>COUNTIF(Table5[PID],A941)</f>
        <v>1</v>
      </c>
      <c r="C941" s="52" t="str">
        <f>IF(COUNTIF(Table3[[#All],[PID]],A941)&gt;0,"P","B")</f>
        <v>P</v>
      </c>
      <c r="D941" s="61" t="str">
        <f>IF($C941="B",INDEX(Batters[[#All],[POS]],MATCH(Table5[[#This Row],[PID]],Batters[[#All],[PID]],0)),INDEX(Table3[[#All],[POS]],MATCH(Table5[[#This Row],[PID]],Table3[[#All],[PID]],0)))</f>
        <v>CL</v>
      </c>
      <c r="E941" s="54" t="str">
        <f>IF($C941="B",INDEX(Batters[[#All],[First]],MATCH(Table5[[#This Row],[PID]],Batters[[#All],[PID]],0)),INDEX(Table3[[#All],[First]],MATCH(Table5[[#This Row],[PID]],Table3[[#All],[PID]],0)))</f>
        <v>Toshikazu</v>
      </c>
      <c r="F941" s="52" t="str">
        <f>IF($C941="B",INDEX(Batters[[#All],[Last]],MATCH(A941,Batters[[#All],[PID]],0)),INDEX(Table3[[#All],[Last]],MATCH(A941,Table3[[#All],[PID]],0)))</f>
        <v>Kichida</v>
      </c>
      <c r="G941" s="58">
        <f>IF($C941="B",INDEX(Batters[[#All],[Age]],MATCH(Table5[[#This Row],[PID]],Batters[[#All],[PID]],0)),INDEX(Table3[[#All],[Age]],MATCH(Table5[[#This Row],[PID]],Table3[[#All],[PID]],0)))</f>
        <v>22</v>
      </c>
      <c r="H941" s="54" t="str">
        <f>IF($C941="B",INDEX(Batters[[#All],[B]],MATCH(Table5[[#This Row],[PID]],Batters[[#All],[PID]],0)),INDEX(Table3[[#All],[B]],MATCH(Table5[[#This Row],[PID]],Table3[[#All],[PID]],0)))</f>
        <v>L</v>
      </c>
      <c r="I941" s="54" t="str">
        <f>IF($C941="B",INDEX(Batters[[#All],[T]],MATCH(Table5[[#This Row],[PID]],Batters[[#All],[PID]],0)),INDEX(Table3[[#All],[T]],MATCH(Table5[[#This Row],[PID]],Table3[[#All],[PID]],0)))</f>
        <v>L</v>
      </c>
      <c r="J941" s="54" t="str">
        <f>IF($C941="B",INDEX(Batters[[#All],[WE]],MATCH(Table5[[#This Row],[PID]],Batters[[#All],[PID]],0)),INDEX(Table3[[#All],[WE]],MATCH(Table5[[#This Row],[PID]],Table3[[#All],[PID]],0)))</f>
        <v>Low</v>
      </c>
      <c r="K941" s="54" t="str">
        <f>IF($C941="B",INDEX(Batters[[#All],[INT]],MATCH(Table5[[#This Row],[PID]],Batters[[#All],[PID]],0)),INDEX(Table3[[#All],[INT]],MATCH(Table5[[#This Row],[PID]],Table3[[#All],[PID]],0)))</f>
        <v>Normal</v>
      </c>
      <c r="L941" s="62">
        <f>IF($C941="B",INDEX(Batters[[#All],[CON P]],MATCH(Table5[[#This Row],[PID]],Batters[[#All],[PID]],0)),INDEX(Table3[[#All],[STU P]],MATCH(Table5[[#This Row],[PID]],Table3[[#All],[PID]],0)))</f>
        <v>4</v>
      </c>
      <c r="M941" s="58">
        <f>IF($C941="B",INDEX(Batters[[#All],[GAP P]],MATCH(Table5[[#This Row],[PID]],Batters[[#All],[PID]],0)),INDEX(Table3[[#All],[MOV P]],MATCH(Table5[[#This Row],[PID]],Table3[[#All],[PID]],0)))</f>
        <v>2</v>
      </c>
      <c r="N941" s="58">
        <f>IF($C941="B",INDEX(Batters[[#All],[POW P]],MATCH(Table5[[#This Row],[PID]],Batters[[#All],[PID]],0)),INDEX(Table3[[#All],[CON P]],MATCH(Table5[[#This Row],[PID]],Table3[[#All],[PID]],0)))</f>
        <v>2</v>
      </c>
      <c r="O941" s="58" t="str">
        <f>IF($C941="B",INDEX(Batters[[#All],[EYE P]],MATCH(Table5[[#This Row],[PID]],Batters[[#All],[PID]],0)),INDEX(Table3[[#All],[VELO]],MATCH(Table5[[#This Row],[PID]],Table3[[#All],[PID]],0)))</f>
        <v>91-93 Mph</v>
      </c>
      <c r="P941" s="58">
        <f>IF($C941="B",INDEX(Batters[[#All],[K P]],MATCH(Table5[[#This Row],[PID]],Batters[[#All],[PID]],0)),INDEX(Table3[[#All],[STM]],MATCH(Table5[[#This Row],[PID]],Table3[[#All],[PID]],0)))</f>
        <v>4</v>
      </c>
      <c r="Q941" s="63">
        <f>IF($C941="B",INDEX(Batters[[#All],[Tot]],MATCH(Table5[[#This Row],[PID]],Batters[[#All],[PID]],0)),INDEX(Table3[[#All],[Tot]],MATCH(Table5[[#This Row],[PID]],Table3[[#All],[PID]],0)))</f>
        <v>23.544263590270415</v>
      </c>
      <c r="R941" s="54">
        <f>IF($C941="B",INDEX(Batters[[#All],[zScore]],MATCH(Table5[[#This Row],[PID]],Batters[[#All],[PID]],0)),INDEX(Table3[[#All],[zScore]],MATCH(Table5[[#This Row],[PID]],Table3[[#All],[PID]],0)))</f>
        <v>-0.84166065963163794</v>
      </c>
      <c r="S941" s="60" t="str">
        <f>IF($C941="B",INDEX(Batters[[#All],[DEM]],MATCH(Table5[[#This Row],[PID]],Batters[[#All],[PID]],0)),INDEX(Table3[[#All],[DEM]],MATCH(Table5[[#This Row],[PID]],Table3[[#All],[PID]],0)))</f>
        <v>-</v>
      </c>
      <c r="T941" s="64">
        <f>IF($C941="B",VLOOKUP($A941,Bat!$A$4:$AU$1417,46,FALSE),VLOOKUP($A941,Pit!$A$4:$BD$570,55,FALSE))</f>
        <v>0</v>
      </c>
      <c r="U941" s="52">
        <f>IF($C941="B",VLOOKUP($A941,Bat!$A$4:$BA$1417,47,FALSE),VLOOKUP($A941,Pit!$A$4:$BF$570,56,FALSE))</f>
        <v>0</v>
      </c>
      <c r="V941" s="52">
        <f>IF($C941="B",VLOOKUP($A941,Bat!$A$4:$BA$1417,48,FALSE),VLOOKUP($A941,Pit!$A$4:$BF$570,57,FALSE))</f>
        <v>0</v>
      </c>
      <c r="W941" s="52">
        <f>Table5[[#This Row],[posRnk]]+Table5[[#This Row],[zRnk]]+IF($W$3&lt;&gt;Table5[[#This Row],[Type]],50,0)</f>
        <v>987</v>
      </c>
      <c r="X941" s="53">
        <f>RANK(Table5[[#This Row],[zScore]],Table5[[#All],[zScore]])</f>
        <v>937</v>
      </c>
      <c r="Y941" s="52" t="str">
        <f>IFERROR(INDEX(DraftResults[[#All],[OVR]],MATCH(Table5[[#This Row],[PID]],DraftResults[[#All],[Player ID]],0)),"")</f>
        <v/>
      </c>
      <c r="Z9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1" s="52" t="str">
        <f>IFERROR(INDEX(DraftResults[[#All],[Pick in Round]],MATCH(Table5[[#This Row],[PID]],DraftResults[[#All],[Player ID]],0)),"")</f>
        <v/>
      </c>
      <c r="AB941" s="52" t="str">
        <f>IFERROR(INDEX(DraftResults[[#All],[Team Name]],MATCH(Table5[[#This Row],[PID]],DraftResults[[#All],[Player ID]],0)),"")</f>
        <v/>
      </c>
      <c r="AC941" s="52" t="str">
        <f>IF(Table5[[#This Row],[Ovr]]="","",IF(Table5[[#This Row],[cmbList]]="","",Table5[[#This Row],[cmbList]]-Table5[[#This Row],[Ovr]]))</f>
        <v/>
      </c>
      <c r="AD941" s="56" t="str">
        <f>IF(ISERROR(VLOOKUP($AB941&amp;"-"&amp;$E941&amp;" "&amp;F941,Bonuses!$B$1:$G$1006,4,FALSE)),"",INT(VLOOKUP($AB941&amp;"-"&amp;$E941&amp;" "&amp;$F941,Bonuses!$B$1:$G$1006,4,FALSE)))</f>
        <v/>
      </c>
      <c r="AE9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2" spans="1:31" s="52" customFormat="1" x14ac:dyDescent="0.25">
      <c r="A942" s="52">
        <v>15751</v>
      </c>
      <c r="B942" s="52">
        <f>COUNTIF(Table5[PID],A942)</f>
        <v>1</v>
      </c>
      <c r="C942" s="52" t="str">
        <f>IF(COUNTIF(Table3[[#All],[PID]],A942)&gt;0,"P","B")</f>
        <v>P</v>
      </c>
      <c r="D942" s="61" t="str">
        <f>IF($C942="B",INDEX(Batters[[#All],[POS]],MATCH(Table5[[#This Row],[PID]],Batters[[#All],[PID]],0)),INDEX(Table3[[#All],[POS]],MATCH(Table5[[#This Row],[PID]],Table3[[#All],[PID]],0)))</f>
        <v>RP</v>
      </c>
      <c r="E942" s="54" t="str">
        <f>IF($C942="B",INDEX(Batters[[#All],[First]],MATCH(Table5[[#This Row],[PID]],Batters[[#All],[PID]],0)),INDEX(Table3[[#All],[First]],MATCH(Table5[[#This Row],[PID]],Table3[[#All],[PID]],0)))</f>
        <v>Konosuke</v>
      </c>
      <c r="F942" s="52" t="str">
        <f>IF($C942="B",INDEX(Batters[[#All],[Last]],MATCH(A942,Batters[[#All],[PID]],0)),INDEX(Table3[[#All],[Last]],MATCH(A942,Table3[[#All],[PID]],0)))</f>
        <v>Baba</v>
      </c>
      <c r="G942" s="58">
        <f>IF($C942="B",INDEX(Batters[[#All],[Age]],MATCH(Table5[[#This Row],[PID]],Batters[[#All],[PID]],0)),INDEX(Table3[[#All],[Age]],MATCH(Table5[[#This Row],[PID]],Table3[[#All],[PID]],0)))</f>
        <v>22</v>
      </c>
      <c r="H942" s="54" t="str">
        <f>IF($C942="B",INDEX(Batters[[#All],[B]],MATCH(Table5[[#This Row],[PID]],Batters[[#All],[PID]],0)),INDEX(Table3[[#All],[B]],MATCH(Table5[[#This Row],[PID]],Table3[[#All],[PID]],0)))</f>
        <v>L</v>
      </c>
      <c r="I942" s="54" t="str">
        <f>IF($C942="B",INDEX(Batters[[#All],[T]],MATCH(Table5[[#This Row],[PID]],Batters[[#All],[PID]],0)),INDEX(Table3[[#All],[T]],MATCH(Table5[[#This Row],[PID]],Table3[[#All],[PID]],0)))</f>
        <v>R</v>
      </c>
      <c r="J942" s="54" t="str">
        <f>IF($C942="B",INDEX(Batters[[#All],[WE]],MATCH(Table5[[#This Row],[PID]],Batters[[#All],[PID]],0)),INDEX(Table3[[#All],[WE]],MATCH(Table5[[#This Row],[PID]],Table3[[#All],[PID]],0)))</f>
        <v>Low</v>
      </c>
      <c r="K942" s="54" t="str">
        <f>IF($C942="B",INDEX(Batters[[#All],[INT]],MATCH(Table5[[#This Row],[PID]],Batters[[#All],[PID]],0)),INDEX(Table3[[#All],[INT]],MATCH(Table5[[#This Row],[PID]],Table3[[#All],[PID]],0)))</f>
        <v>Normal</v>
      </c>
      <c r="L942" s="62">
        <f>IF($C942="B",INDEX(Batters[[#All],[CON P]],MATCH(Table5[[#This Row],[PID]],Batters[[#All],[PID]],0)),INDEX(Table3[[#All],[STU P]],MATCH(Table5[[#This Row],[PID]],Table3[[#All],[PID]],0)))</f>
        <v>4</v>
      </c>
      <c r="M942" s="58">
        <f>IF($C942="B",INDEX(Batters[[#All],[GAP P]],MATCH(Table5[[#This Row],[PID]],Batters[[#All],[PID]],0)),INDEX(Table3[[#All],[MOV P]],MATCH(Table5[[#This Row],[PID]],Table3[[#All],[PID]],0)))</f>
        <v>2</v>
      </c>
      <c r="N942" s="58">
        <f>IF($C942="B",INDEX(Batters[[#All],[POW P]],MATCH(Table5[[#This Row],[PID]],Batters[[#All],[PID]],0)),INDEX(Table3[[#All],[CON P]],MATCH(Table5[[#This Row],[PID]],Table3[[#All],[PID]],0)))</f>
        <v>2</v>
      </c>
      <c r="O942" s="58" t="str">
        <f>IF($C942="B",INDEX(Batters[[#All],[EYE P]],MATCH(Table5[[#This Row],[PID]],Batters[[#All],[PID]],0)),INDEX(Table3[[#All],[VELO]],MATCH(Table5[[#This Row],[PID]],Table3[[#All],[PID]],0)))</f>
        <v>90-92 Mph</v>
      </c>
      <c r="P942" s="58">
        <f>IF($C942="B",INDEX(Batters[[#All],[K P]],MATCH(Table5[[#This Row],[PID]],Batters[[#All],[PID]],0)),INDEX(Table3[[#All],[STM]],MATCH(Table5[[#This Row],[PID]],Table3[[#All],[PID]],0)))</f>
        <v>6</v>
      </c>
      <c r="Q942" s="63">
        <f>IF($C942="B",INDEX(Batters[[#All],[Tot]],MATCH(Table5[[#This Row],[PID]],Batters[[#All],[PID]],0)),INDEX(Table3[[#All],[Tot]],MATCH(Table5[[#This Row],[PID]],Table3[[#All],[PID]],0)))</f>
        <v>23.542854068192639</v>
      </c>
      <c r="R942" s="54">
        <f>IF($C942="B",INDEX(Batters[[#All],[zScore]],MATCH(Table5[[#This Row],[PID]],Batters[[#All],[PID]],0)),INDEX(Table3[[#All],[zScore]],MATCH(Table5[[#This Row],[PID]],Table3[[#All],[PID]],0)))</f>
        <v>-0.84178991883059395</v>
      </c>
      <c r="S942" s="60" t="str">
        <f>IF($C942="B",INDEX(Batters[[#All],[DEM]],MATCH(Table5[[#This Row],[PID]],Batters[[#All],[PID]],0)),INDEX(Table3[[#All],[DEM]],MATCH(Table5[[#This Row],[PID]],Table3[[#All],[PID]],0)))</f>
        <v>-</v>
      </c>
      <c r="T942" s="64">
        <f>IF($C942="B",VLOOKUP($A942,Bat!$A$4:$AU$1417,46,FALSE),VLOOKUP($A942,Pit!$A$4:$BD$570,55,FALSE))</f>
        <v>0</v>
      </c>
      <c r="U942" s="52">
        <f>IF($C942="B",VLOOKUP($A942,Bat!$A$4:$BA$1417,47,FALSE),VLOOKUP($A942,Pit!$A$4:$BF$570,56,FALSE))</f>
        <v>0</v>
      </c>
      <c r="V942" s="52">
        <f>IF($C942="B",VLOOKUP($A942,Bat!$A$4:$BA$1417,48,FALSE),VLOOKUP($A942,Pit!$A$4:$BF$570,57,FALSE))</f>
        <v>0</v>
      </c>
      <c r="W942" s="52">
        <f>Table5[[#This Row],[posRnk]]+Table5[[#This Row],[zRnk]]+IF($W$3&lt;&gt;Table5[[#This Row],[Type]],50,0)</f>
        <v>988</v>
      </c>
      <c r="X942" s="53">
        <f>RANK(Table5[[#This Row],[zScore]],Table5[[#All],[zScore]])</f>
        <v>938</v>
      </c>
      <c r="Y942" s="52" t="str">
        <f>IFERROR(INDEX(DraftResults[[#All],[OVR]],MATCH(Table5[[#This Row],[PID]],DraftResults[[#All],[Player ID]],0)),"")</f>
        <v/>
      </c>
      <c r="Z9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2" s="52" t="str">
        <f>IFERROR(INDEX(DraftResults[[#All],[Pick in Round]],MATCH(Table5[[#This Row],[PID]],DraftResults[[#All],[Player ID]],0)),"")</f>
        <v/>
      </c>
      <c r="AB942" s="52" t="str">
        <f>IFERROR(INDEX(DraftResults[[#All],[Team Name]],MATCH(Table5[[#This Row],[PID]],DraftResults[[#All],[Player ID]],0)),"")</f>
        <v/>
      </c>
      <c r="AC942" s="52" t="str">
        <f>IF(Table5[[#This Row],[Ovr]]="","",IF(Table5[[#This Row],[cmbList]]="","",Table5[[#This Row],[cmbList]]-Table5[[#This Row],[Ovr]]))</f>
        <v/>
      </c>
      <c r="AD942" s="56" t="str">
        <f>IF(ISERROR(VLOOKUP($AB942&amp;"-"&amp;$E942&amp;" "&amp;F942,Bonuses!$B$1:$G$1006,4,FALSE)),"",INT(VLOOKUP($AB942&amp;"-"&amp;$E942&amp;" "&amp;$F942,Bonuses!$B$1:$G$1006,4,FALSE)))</f>
        <v/>
      </c>
      <c r="AE9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3" spans="1:31" s="52" customFormat="1" x14ac:dyDescent="0.25">
      <c r="A943" s="52">
        <v>11805</v>
      </c>
      <c r="B943" s="52">
        <f>COUNTIF(Table5[PID],A943)</f>
        <v>1</v>
      </c>
      <c r="C943" s="52" t="str">
        <f>IF(COUNTIF(Table3[[#All],[PID]],A943)&gt;0,"P","B")</f>
        <v>B</v>
      </c>
      <c r="D943" s="61" t="str">
        <f>IF($C943="B",INDEX(Batters[[#All],[POS]],MATCH(Table5[[#This Row],[PID]],Batters[[#All],[PID]],0)),INDEX(Table3[[#All],[POS]],MATCH(Table5[[#This Row],[PID]],Table3[[#All],[PID]],0)))</f>
        <v>2B</v>
      </c>
      <c r="E943" s="54" t="str">
        <f>IF($C943="B",INDEX(Batters[[#All],[First]],MATCH(Table5[[#This Row],[PID]],Batters[[#All],[PID]],0)),INDEX(Table3[[#All],[First]],MATCH(Table5[[#This Row],[PID]],Table3[[#All],[PID]],0)))</f>
        <v>Álex</v>
      </c>
      <c r="F943" s="52" t="str">
        <f>IF($C943="B",INDEX(Batters[[#All],[Last]],MATCH(A943,Batters[[#All],[PID]],0)),INDEX(Table3[[#All],[Last]],MATCH(A943,Table3[[#All],[PID]],0)))</f>
        <v>Guerrero</v>
      </c>
      <c r="G943" s="58">
        <f>IF($C943="B",INDEX(Batters[[#All],[Age]],MATCH(Table5[[#This Row],[PID]],Batters[[#All],[PID]],0)),INDEX(Table3[[#All],[Age]],MATCH(Table5[[#This Row],[PID]],Table3[[#All],[PID]],0)))</f>
        <v>21</v>
      </c>
      <c r="H943" s="54" t="str">
        <f>IF($C943="B",INDEX(Batters[[#All],[B]],MATCH(Table5[[#This Row],[PID]],Batters[[#All],[PID]],0)),INDEX(Table3[[#All],[B]],MATCH(Table5[[#This Row],[PID]],Table3[[#All],[PID]],0)))</f>
        <v>R</v>
      </c>
      <c r="I943" s="54" t="str">
        <f>IF($C943="B",INDEX(Batters[[#All],[T]],MATCH(Table5[[#This Row],[PID]],Batters[[#All],[PID]],0)),INDEX(Table3[[#All],[T]],MATCH(Table5[[#This Row],[PID]],Table3[[#All],[PID]],0)))</f>
        <v>R</v>
      </c>
      <c r="J943" s="54" t="str">
        <f>IF($C943="B",INDEX(Batters[[#All],[WE]],MATCH(Table5[[#This Row],[PID]],Batters[[#All],[PID]],0)),INDEX(Table3[[#All],[WE]],MATCH(Table5[[#This Row],[PID]],Table3[[#All],[PID]],0)))</f>
        <v>Low</v>
      </c>
      <c r="K943" s="54" t="str">
        <f>IF($C943="B",INDEX(Batters[[#All],[INT]],MATCH(Table5[[#This Row],[PID]],Batters[[#All],[PID]],0)),INDEX(Table3[[#All],[INT]],MATCH(Table5[[#This Row],[PID]],Table3[[#All],[PID]],0)))</f>
        <v>Normal</v>
      </c>
      <c r="L943" s="62">
        <f>IF($C943="B",INDEX(Batters[[#All],[CON P]],MATCH(Table5[[#This Row],[PID]],Batters[[#All],[PID]],0)),INDEX(Table3[[#All],[STU P]],MATCH(Table5[[#This Row],[PID]],Table3[[#All],[PID]],0)))</f>
        <v>3</v>
      </c>
      <c r="M943" s="58">
        <f>IF($C943="B",INDEX(Batters[[#All],[GAP P]],MATCH(Table5[[#This Row],[PID]],Batters[[#All],[PID]],0)),INDEX(Table3[[#All],[MOV P]],MATCH(Table5[[#This Row],[PID]],Table3[[#All],[PID]],0)))</f>
        <v>3</v>
      </c>
      <c r="N943" s="58">
        <f>IF($C943="B",INDEX(Batters[[#All],[POW P]],MATCH(Table5[[#This Row],[PID]],Batters[[#All],[PID]],0)),INDEX(Table3[[#All],[CON P]],MATCH(Table5[[#This Row],[PID]],Table3[[#All],[PID]],0)))</f>
        <v>2</v>
      </c>
      <c r="O943" s="58">
        <f>IF($C943="B",INDEX(Batters[[#All],[EYE P]],MATCH(Table5[[#This Row],[PID]],Batters[[#All],[PID]],0)),INDEX(Table3[[#All],[VELO]],MATCH(Table5[[#This Row],[PID]],Table3[[#All],[PID]],0)))</f>
        <v>5</v>
      </c>
      <c r="P943" s="58">
        <f>IF($C943="B",INDEX(Batters[[#All],[K P]],MATCH(Table5[[#This Row],[PID]],Batters[[#All],[PID]],0)),INDEX(Table3[[#All],[STM]],MATCH(Table5[[#This Row],[PID]],Table3[[#All],[PID]],0)))</f>
        <v>4</v>
      </c>
      <c r="Q943" s="63">
        <f>IF($C943="B",INDEX(Batters[[#All],[Tot]],MATCH(Table5[[#This Row],[PID]],Batters[[#All],[PID]],0)),INDEX(Table3[[#All],[Tot]],MATCH(Table5[[#This Row],[PID]],Table3[[#All],[PID]],0)))</f>
        <v>35.549325268641425</v>
      </c>
      <c r="R943" s="54">
        <f>IF($C943="B",INDEX(Batters[[#All],[zScore]],MATCH(Table5[[#This Row],[PID]],Batters[[#All],[PID]],0)),INDEX(Table3[[#All],[zScore]],MATCH(Table5[[#This Row],[PID]],Table3[[#All],[PID]],0)))</f>
        <v>-0.84433844655954149</v>
      </c>
      <c r="S943" s="60" t="str">
        <f>IF($C943="B",INDEX(Batters[[#All],[DEM]],MATCH(Table5[[#This Row],[PID]],Batters[[#All],[PID]],0)),INDEX(Table3[[#All],[DEM]],MATCH(Table5[[#This Row],[PID]],Table3[[#All],[PID]],0)))</f>
        <v>$20k</v>
      </c>
      <c r="T943" s="64">
        <f>IF($C943="B",VLOOKUP($A943,Bat!$A$4:$AU$1417,46,FALSE),VLOOKUP($A943,Pit!$A$4:$BD$570,55,FALSE))</f>
        <v>0</v>
      </c>
      <c r="U943" s="52">
        <f>IF($C943="B",VLOOKUP($A943,Bat!$A$4:$BA$1417,47,FALSE),VLOOKUP($A943,Pit!$A$4:$BF$570,56,FALSE))</f>
        <v>0</v>
      </c>
      <c r="V943" s="52">
        <f>IF($C943="B",VLOOKUP($A943,Bat!$A$4:$BA$1417,48,FALSE),VLOOKUP($A943,Pit!$A$4:$BF$570,57,FALSE))</f>
        <v>0</v>
      </c>
      <c r="W943" s="52">
        <f>Table5[[#This Row],[posRnk]]+Table5[[#This Row],[zRnk]]+IF($W$3&lt;&gt;Table5[[#This Row],[Type]],50,0)</f>
        <v>989</v>
      </c>
      <c r="X943" s="53">
        <f>RANK(Table5[[#This Row],[zScore]],Table5[[#All],[zScore]])</f>
        <v>939</v>
      </c>
      <c r="Y943" s="52" t="str">
        <f>IFERROR(INDEX(DraftResults[[#All],[OVR]],MATCH(Table5[[#This Row],[PID]],DraftResults[[#All],[Player ID]],0)),"")</f>
        <v/>
      </c>
      <c r="Z9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3" s="52" t="str">
        <f>IFERROR(INDEX(DraftResults[[#All],[Pick in Round]],MATCH(Table5[[#This Row],[PID]],DraftResults[[#All],[Player ID]],0)),"")</f>
        <v/>
      </c>
      <c r="AB943" s="52" t="str">
        <f>IFERROR(INDEX(DraftResults[[#All],[Team Name]],MATCH(Table5[[#This Row],[PID]],DraftResults[[#All],[Player ID]],0)),"")</f>
        <v/>
      </c>
      <c r="AC943" s="52" t="str">
        <f>IF(Table5[[#This Row],[Ovr]]="","",IF(Table5[[#This Row],[cmbList]]="","",Table5[[#This Row],[cmbList]]-Table5[[#This Row],[Ovr]]))</f>
        <v/>
      </c>
      <c r="AD943" s="56" t="str">
        <f>IF(ISERROR(VLOOKUP($AB943&amp;"-"&amp;$E943&amp;" "&amp;F943,Bonuses!$B$1:$G$1006,4,FALSE)),"",INT(VLOOKUP($AB943&amp;"-"&amp;$E943&amp;" "&amp;$F943,Bonuses!$B$1:$G$1006,4,FALSE)))</f>
        <v/>
      </c>
      <c r="AE9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4" spans="1:31" s="52" customFormat="1" x14ac:dyDescent="0.25">
      <c r="A944" s="52">
        <v>12613</v>
      </c>
      <c r="B944" s="52">
        <f>COUNTIF(Table5[PID],A944)</f>
        <v>1</v>
      </c>
      <c r="C944" s="52" t="str">
        <f>IF(COUNTIF(Table3[[#All],[PID]],A944)&gt;0,"P","B")</f>
        <v>P</v>
      </c>
      <c r="D944" s="61" t="str">
        <f>IF($C944="B",INDEX(Batters[[#All],[POS]],MATCH(Table5[[#This Row],[PID]],Batters[[#All],[PID]],0)),INDEX(Table3[[#All],[POS]],MATCH(Table5[[#This Row],[PID]],Table3[[#All],[PID]],0)))</f>
        <v>RP</v>
      </c>
      <c r="E944" s="54" t="str">
        <f>IF($C944="B",INDEX(Batters[[#All],[First]],MATCH(Table5[[#This Row],[PID]],Batters[[#All],[PID]],0)),INDEX(Table3[[#All],[First]],MATCH(Table5[[#This Row],[PID]],Table3[[#All],[PID]],0)))</f>
        <v>Kyoichi</v>
      </c>
      <c r="F944" s="52" t="str">
        <f>IF($C944="B",INDEX(Batters[[#All],[Last]],MATCH(A944,Batters[[#All],[PID]],0)),INDEX(Table3[[#All],[Last]],MATCH(A944,Table3[[#All],[PID]],0)))</f>
        <v>Noda</v>
      </c>
      <c r="G944" s="58">
        <f>IF($C944="B",INDEX(Batters[[#All],[Age]],MATCH(Table5[[#This Row],[PID]],Batters[[#All],[PID]],0)),INDEX(Table3[[#All],[Age]],MATCH(Table5[[#This Row],[PID]],Table3[[#All],[PID]],0)))</f>
        <v>21</v>
      </c>
      <c r="H944" s="54" t="str">
        <f>IF($C944="B",INDEX(Batters[[#All],[B]],MATCH(Table5[[#This Row],[PID]],Batters[[#All],[PID]],0)),INDEX(Table3[[#All],[B]],MATCH(Table5[[#This Row],[PID]],Table3[[#All],[PID]],0)))</f>
        <v>R</v>
      </c>
      <c r="I944" s="54" t="str">
        <f>IF($C944="B",INDEX(Batters[[#All],[T]],MATCH(Table5[[#This Row],[PID]],Batters[[#All],[PID]],0)),INDEX(Table3[[#All],[T]],MATCH(Table5[[#This Row],[PID]],Table3[[#All],[PID]],0)))</f>
        <v>R</v>
      </c>
      <c r="J944" s="54" t="str">
        <f>IF($C944="B",INDEX(Batters[[#All],[WE]],MATCH(Table5[[#This Row],[PID]],Batters[[#All],[PID]],0)),INDEX(Table3[[#All],[WE]],MATCH(Table5[[#This Row],[PID]],Table3[[#All],[PID]],0)))</f>
        <v>High</v>
      </c>
      <c r="K944" s="54" t="str">
        <f>IF($C944="B",INDEX(Batters[[#All],[INT]],MATCH(Table5[[#This Row],[PID]],Batters[[#All],[PID]],0)),INDEX(Table3[[#All],[INT]],MATCH(Table5[[#This Row],[PID]],Table3[[#All],[PID]],0)))</f>
        <v>Normal</v>
      </c>
      <c r="L944" s="62">
        <f>IF($C944="B",INDEX(Batters[[#All],[CON P]],MATCH(Table5[[#This Row],[PID]],Batters[[#All],[PID]],0)),INDEX(Table3[[#All],[STU P]],MATCH(Table5[[#This Row],[PID]],Table3[[#All],[PID]],0)))</f>
        <v>3</v>
      </c>
      <c r="M944" s="58">
        <f>IF($C944="B",INDEX(Batters[[#All],[GAP P]],MATCH(Table5[[#This Row],[PID]],Batters[[#All],[PID]],0)),INDEX(Table3[[#All],[MOV P]],MATCH(Table5[[#This Row],[PID]],Table3[[#All],[PID]],0)))</f>
        <v>2</v>
      </c>
      <c r="N944" s="58">
        <f>IF($C944="B",INDEX(Batters[[#All],[POW P]],MATCH(Table5[[#This Row],[PID]],Batters[[#All],[PID]],0)),INDEX(Table3[[#All],[CON P]],MATCH(Table5[[#This Row],[PID]],Table3[[#All],[PID]],0)))</f>
        <v>2</v>
      </c>
      <c r="O944" s="58" t="str">
        <f>IF($C944="B",INDEX(Batters[[#All],[EYE P]],MATCH(Table5[[#This Row],[PID]],Batters[[#All],[PID]],0)),INDEX(Table3[[#All],[VELO]],MATCH(Table5[[#This Row],[PID]],Table3[[#All],[PID]],0)))</f>
        <v>89-91 Mph</v>
      </c>
      <c r="P944" s="58">
        <f>IF($C944="B",INDEX(Batters[[#All],[K P]],MATCH(Table5[[#This Row],[PID]],Batters[[#All],[PID]],0)),INDEX(Table3[[#All],[STM]],MATCH(Table5[[#This Row],[PID]],Table3[[#All],[PID]],0)))</f>
        <v>7</v>
      </c>
      <c r="Q944" s="63">
        <f>IF($C944="B",INDEX(Batters[[#All],[Tot]],MATCH(Table5[[#This Row],[PID]],Batters[[#All],[PID]],0)),INDEX(Table3[[#All],[Tot]],MATCH(Table5[[#This Row],[PID]],Table3[[#All],[PID]],0)))</f>
        <v>20.760636646034058</v>
      </c>
      <c r="R944" s="54">
        <f>IF($C944="B",INDEX(Batters[[#All],[zScore]],MATCH(Table5[[#This Row],[PID]],Batters[[#All],[PID]],0)),INDEX(Table3[[#All],[zScore]],MATCH(Table5[[#This Row],[PID]],Table3[[#All],[PID]],0)))</f>
        <v>-0.84440212233883627</v>
      </c>
      <c r="S944" s="60" t="str">
        <f>IF($C944="B",INDEX(Batters[[#All],[DEM]],MATCH(Table5[[#This Row],[PID]],Batters[[#All],[PID]],0)),INDEX(Table3[[#All],[DEM]],MATCH(Table5[[#This Row],[PID]],Table3[[#All],[PID]],0)))</f>
        <v>-</v>
      </c>
      <c r="T944" s="64">
        <f>IF($C944="B",VLOOKUP($A944,Bat!$A$4:$AU$1417,46,FALSE),VLOOKUP($A944,Pit!$A$4:$BD$570,55,FALSE))</f>
        <v>0</v>
      </c>
      <c r="U944" s="52">
        <f>IF($C944="B",VLOOKUP($A944,Bat!$A$4:$BA$1417,47,FALSE),VLOOKUP($A944,Pit!$A$4:$BF$570,56,FALSE))</f>
        <v>0</v>
      </c>
      <c r="V944" s="52">
        <f>IF($C944="B",VLOOKUP($A944,Bat!$A$4:$BA$1417,48,FALSE),VLOOKUP($A944,Pit!$A$4:$BF$570,57,FALSE))</f>
        <v>0</v>
      </c>
      <c r="W944" s="52">
        <f>Table5[[#This Row],[posRnk]]+Table5[[#This Row],[zRnk]]+IF($W$3&lt;&gt;Table5[[#This Row],[Type]],50,0)</f>
        <v>990</v>
      </c>
      <c r="X944" s="53">
        <f>RANK(Table5[[#This Row],[zScore]],Table5[[#All],[zScore]])</f>
        <v>940</v>
      </c>
      <c r="Y944" s="52" t="str">
        <f>IFERROR(INDEX(DraftResults[[#All],[OVR]],MATCH(Table5[[#This Row],[PID]],DraftResults[[#All],[Player ID]],0)),"")</f>
        <v/>
      </c>
      <c r="Z9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4" s="52" t="str">
        <f>IFERROR(INDEX(DraftResults[[#All],[Pick in Round]],MATCH(Table5[[#This Row],[PID]],DraftResults[[#All],[Player ID]],0)),"")</f>
        <v/>
      </c>
      <c r="AB944" s="52" t="str">
        <f>IFERROR(INDEX(DraftResults[[#All],[Team Name]],MATCH(Table5[[#This Row],[PID]],DraftResults[[#All],[Player ID]],0)),"")</f>
        <v/>
      </c>
      <c r="AC944" s="52" t="str">
        <f>IF(Table5[[#This Row],[Ovr]]="","",IF(Table5[[#This Row],[cmbList]]="","",Table5[[#This Row],[cmbList]]-Table5[[#This Row],[Ovr]]))</f>
        <v/>
      </c>
      <c r="AD944" s="56" t="str">
        <f>IF(ISERROR(VLOOKUP($AB944&amp;"-"&amp;$E944&amp;" "&amp;F944,Bonuses!$B$1:$G$1006,4,FALSE)),"",INT(VLOOKUP($AB944&amp;"-"&amp;$E944&amp;" "&amp;$F944,Bonuses!$B$1:$G$1006,4,FALSE)))</f>
        <v/>
      </c>
      <c r="AE9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5" spans="1:31" s="52" customFormat="1" x14ac:dyDescent="0.25">
      <c r="A945" s="52">
        <v>11818</v>
      </c>
      <c r="B945" s="52">
        <f>COUNTIF(Table5[PID],A945)</f>
        <v>1</v>
      </c>
      <c r="C945" s="52" t="str">
        <f>IF(COUNTIF(Table3[[#All],[PID]],A945)&gt;0,"P","B")</f>
        <v>P</v>
      </c>
      <c r="D945" s="61" t="str">
        <f>IF($C945="B",INDEX(Batters[[#All],[POS]],MATCH(Table5[[#This Row],[PID]],Batters[[#All],[PID]],0)),INDEX(Table3[[#All],[POS]],MATCH(Table5[[#This Row],[PID]],Table3[[#All],[PID]],0)))</f>
        <v>RP</v>
      </c>
      <c r="E945" s="54" t="str">
        <f>IF($C945="B",INDEX(Batters[[#All],[First]],MATCH(Table5[[#This Row],[PID]],Batters[[#All],[PID]],0)),INDEX(Table3[[#All],[First]],MATCH(Table5[[#This Row],[PID]],Table3[[#All],[PID]],0)))</f>
        <v>Bonifacio</v>
      </c>
      <c r="F945" s="52" t="str">
        <f>IF($C945="B",INDEX(Batters[[#All],[Last]],MATCH(A945,Batters[[#All],[PID]],0)),INDEX(Table3[[#All],[Last]],MATCH(A945,Table3[[#All],[PID]],0)))</f>
        <v>Hernández</v>
      </c>
      <c r="G945" s="58">
        <f>IF($C945="B",INDEX(Batters[[#All],[Age]],MATCH(Table5[[#This Row],[PID]],Batters[[#All],[PID]],0)),INDEX(Table3[[#All],[Age]],MATCH(Table5[[#This Row],[PID]],Table3[[#All],[PID]],0)))</f>
        <v>21</v>
      </c>
      <c r="H945" s="54" t="str">
        <f>IF($C945="B",INDEX(Batters[[#All],[B]],MATCH(Table5[[#This Row],[PID]],Batters[[#All],[PID]],0)),INDEX(Table3[[#All],[B]],MATCH(Table5[[#This Row],[PID]],Table3[[#All],[PID]],0)))</f>
        <v>R</v>
      </c>
      <c r="I945" s="54" t="str">
        <f>IF($C945="B",INDEX(Batters[[#All],[T]],MATCH(Table5[[#This Row],[PID]],Batters[[#All],[PID]],0)),INDEX(Table3[[#All],[T]],MATCH(Table5[[#This Row],[PID]],Table3[[#All],[PID]],0)))</f>
        <v>R</v>
      </c>
      <c r="J945" s="54" t="str">
        <f>IF($C945="B",INDEX(Batters[[#All],[WE]],MATCH(Table5[[#This Row],[PID]],Batters[[#All],[PID]],0)),INDEX(Table3[[#All],[WE]],MATCH(Table5[[#This Row],[PID]],Table3[[#All],[PID]],0)))</f>
        <v>Low</v>
      </c>
      <c r="K945" s="54" t="str">
        <f>IF($C945="B",INDEX(Batters[[#All],[INT]],MATCH(Table5[[#This Row],[PID]],Batters[[#All],[PID]],0)),INDEX(Table3[[#All],[INT]],MATCH(Table5[[#This Row],[PID]],Table3[[#All],[PID]],0)))</f>
        <v>Normal</v>
      </c>
      <c r="L945" s="62">
        <f>IF($C945="B",INDEX(Batters[[#All],[CON P]],MATCH(Table5[[#This Row],[PID]],Batters[[#All],[PID]],0)),INDEX(Table3[[#All],[STU P]],MATCH(Table5[[#This Row],[PID]],Table3[[#All],[PID]],0)))</f>
        <v>5</v>
      </c>
      <c r="M945" s="58">
        <f>IF($C945="B",INDEX(Batters[[#All],[GAP P]],MATCH(Table5[[#This Row],[PID]],Batters[[#All],[PID]],0)),INDEX(Table3[[#All],[MOV P]],MATCH(Table5[[#This Row],[PID]],Table3[[#All],[PID]],0)))</f>
        <v>2</v>
      </c>
      <c r="N945" s="58">
        <f>IF($C945="B",INDEX(Batters[[#All],[POW P]],MATCH(Table5[[#This Row],[PID]],Batters[[#All],[PID]],0)),INDEX(Table3[[#All],[CON P]],MATCH(Table5[[#This Row],[PID]],Table3[[#All],[PID]],0)))</f>
        <v>2</v>
      </c>
      <c r="O945" s="58" t="str">
        <f>IF($C945="B",INDEX(Batters[[#All],[EYE P]],MATCH(Table5[[#This Row],[PID]],Batters[[#All],[PID]],0)),INDEX(Table3[[#All],[VELO]],MATCH(Table5[[#This Row],[PID]],Table3[[#All],[PID]],0)))</f>
        <v>94-96 Mph</v>
      </c>
      <c r="P945" s="58">
        <f>IF($C945="B",INDEX(Batters[[#All],[K P]],MATCH(Table5[[#This Row],[PID]],Batters[[#All],[PID]],0)),INDEX(Table3[[#All],[STM]],MATCH(Table5[[#This Row],[PID]],Table3[[#All],[PID]],0)))</f>
        <v>8</v>
      </c>
      <c r="Q945" s="63">
        <f>IF($C945="B",INDEX(Batters[[#All],[Tot]],MATCH(Table5[[#This Row],[PID]],Batters[[#All],[PID]],0)),INDEX(Table3[[#All],[Tot]],MATCH(Table5[[#This Row],[PID]],Table3[[#All],[PID]],0)))</f>
        <v>23.50434508671724</v>
      </c>
      <c r="R945" s="54">
        <f>IF($C945="B",INDEX(Batters[[#All],[zScore]],MATCH(Table5[[#This Row],[PID]],Batters[[#All],[PID]],0)),INDEX(Table3[[#All],[zScore]],MATCH(Table5[[#This Row],[PID]],Table3[[#All],[PID]],0)))</f>
        <v>-0.84532135702273403</v>
      </c>
      <c r="S945" s="60" t="str">
        <f>IF($C945="B",INDEX(Batters[[#All],[DEM]],MATCH(Table5[[#This Row],[PID]],Batters[[#All],[PID]],0)),INDEX(Table3[[#All],[DEM]],MATCH(Table5[[#This Row],[PID]],Table3[[#All],[PID]],0)))</f>
        <v>-</v>
      </c>
      <c r="T945" s="64">
        <f>IF($C945="B",VLOOKUP($A945,Bat!$A$4:$AU$1417,46,FALSE),VLOOKUP($A945,Pit!$A$4:$BD$570,55,FALSE))</f>
        <v>0</v>
      </c>
      <c r="U945" s="52">
        <f>IF($C945="B",VLOOKUP($A945,Bat!$A$4:$BA$1417,47,FALSE),VLOOKUP($A945,Pit!$A$4:$BF$570,56,FALSE))</f>
        <v>0</v>
      </c>
      <c r="V945" s="52">
        <f>IF($C945="B",VLOOKUP($A945,Bat!$A$4:$BA$1417,48,FALSE),VLOOKUP($A945,Pit!$A$4:$BF$570,57,FALSE))</f>
        <v>0</v>
      </c>
      <c r="W945" s="52">
        <f>Table5[[#This Row],[posRnk]]+Table5[[#This Row],[zRnk]]+IF($W$3&lt;&gt;Table5[[#This Row],[Type]],50,0)</f>
        <v>991</v>
      </c>
      <c r="X945" s="53">
        <f>RANK(Table5[[#This Row],[zScore]],Table5[[#All],[zScore]])</f>
        <v>941</v>
      </c>
      <c r="Y945" s="52" t="str">
        <f>IFERROR(INDEX(DraftResults[[#All],[OVR]],MATCH(Table5[[#This Row],[PID]],DraftResults[[#All],[Player ID]],0)),"")</f>
        <v/>
      </c>
      <c r="Z9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5" s="52" t="str">
        <f>IFERROR(INDEX(DraftResults[[#All],[Pick in Round]],MATCH(Table5[[#This Row],[PID]],DraftResults[[#All],[Player ID]],0)),"")</f>
        <v/>
      </c>
      <c r="AB945" s="52" t="str">
        <f>IFERROR(INDEX(DraftResults[[#All],[Team Name]],MATCH(Table5[[#This Row],[PID]],DraftResults[[#All],[Player ID]],0)),"")</f>
        <v/>
      </c>
      <c r="AC945" s="52" t="str">
        <f>IF(Table5[[#This Row],[Ovr]]="","",IF(Table5[[#This Row],[cmbList]]="","",Table5[[#This Row],[cmbList]]-Table5[[#This Row],[Ovr]]))</f>
        <v/>
      </c>
      <c r="AD945" s="56" t="str">
        <f>IF(ISERROR(VLOOKUP($AB945&amp;"-"&amp;$E945&amp;" "&amp;F945,Bonuses!$B$1:$G$1006,4,FALSE)),"",INT(VLOOKUP($AB945&amp;"-"&amp;$E945&amp;" "&amp;$F945,Bonuses!$B$1:$G$1006,4,FALSE)))</f>
        <v/>
      </c>
      <c r="AE9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6" spans="1:31" s="52" customFormat="1" x14ac:dyDescent="0.25">
      <c r="A946" s="52">
        <v>10186</v>
      </c>
      <c r="B946" s="52">
        <f>COUNTIF(Table5[PID],A946)</f>
        <v>1</v>
      </c>
      <c r="C946" s="52" t="str">
        <f>IF(COUNTIF(Table3[[#All],[PID]],A946)&gt;0,"P","B")</f>
        <v>P</v>
      </c>
      <c r="D946" s="61" t="str">
        <f>IF($C946="B",INDEX(Batters[[#All],[POS]],MATCH(Table5[[#This Row],[PID]],Batters[[#All],[PID]],0)),INDEX(Table3[[#All],[POS]],MATCH(Table5[[#This Row],[PID]],Table3[[#All],[PID]],0)))</f>
        <v>RP</v>
      </c>
      <c r="E946" s="54" t="str">
        <f>IF($C946="B",INDEX(Batters[[#All],[First]],MATCH(Table5[[#This Row],[PID]],Batters[[#All],[PID]],0)),INDEX(Table3[[#All],[First]],MATCH(Table5[[#This Row],[PID]],Table3[[#All],[PID]],0)))</f>
        <v>Mike</v>
      </c>
      <c r="F946" s="52" t="str">
        <f>IF($C946="B",INDEX(Batters[[#All],[Last]],MATCH(A946,Batters[[#All],[PID]],0)),INDEX(Table3[[#All],[Last]],MATCH(A946,Table3[[#All],[PID]],0)))</f>
        <v>Zimmerman</v>
      </c>
      <c r="G946" s="58">
        <f>IF($C946="B",INDEX(Batters[[#All],[Age]],MATCH(Table5[[#This Row],[PID]],Batters[[#All],[PID]],0)),INDEX(Table3[[#All],[Age]],MATCH(Table5[[#This Row],[PID]],Table3[[#All],[PID]],0)))</f>
        <v>21</v>
      </c>
      <c r="H946" s="54" t="str">
        <f>IF($C946="B",INDEX(Batters[[#All],[B]],MATCH(Table5[[#This Row],[PID]],Batters[[#All],[PID]],0)),INDEX(Table3[[#All],[B]],MATCH(Table5[[#This Row],[PID]],Table3[[#All],[PID]],0)))</f>
        <v>R</v>
      </c>
      <c r="I946" s="54" t="str">
        <f>IF($C946="B",INDEX(Batters[[#All],[T]],MATCH(Table5[[#This Row],[PID]],Batters[[#All],[PID]],0)),INDEX(Table3[[#All],[T]],MATCH(Table5[[#This Row],[PID]],Table3[[#All],[PID]],0)))</f>
        <v>R</v>
      </c>
      <c r="J946" s="54" t="str">
        <f>IF($C946="B",INDEX(Batters[[#All],[WE]],MATCH(Table5[[#This Row],[PID]],Batters[[#All],[PID]],0)),INDEX(Table3[[#All],[WE]],MATCH(Table5[[#This Row],[PID]],Table3[[#All],[PID]],0)))</f>
        <v>Normal</v>
      </c>
      <c r="K946" s="54" t="str">
        <f>IF($C946="B",INDEX(Batters[[#All],[INT]],MATCH(Table5[[#This Row],[PID]],Batters[[#All],[PID]],0)),INDEX(Table3[[#All],[INT]],MATCH(Table5[[#This Row],[PID]],Table3[[#All],[PID]],0)))</f>
        <v>Normal</v>
      </c>
      <c r="L946" s="62">
        <f>IF($C946="B",INDEX(Batters[[#All],[CON P]],MATCH(Table5[[#This Row],[PID]],Batters[[#All],[PID]],0)),INDEX(Table3[[#All],[STU P]],MATCH(Table5[[#This Row],[PID]],Table3[[#All],[PID]],0)))</f>
        <v>3</v>
      </c>
      <c r="M946" s="58">
        <f>IF($C946="B",INDEX(Batters[[#All],[GAP P]],MATCH(Table5[[#This Row],[PID]],Batters[[#All],[PID]],0)),INDEX(Table3[[#All],[MOV P]],MATCH(Table5[[#This Row],[PID]],Table3[[#All],[PID]],0)))</f>
        <v>1</v>
      </c>
      <c r="N946" s="58">
        <f>IF($C946="B",INDEX(Batters[[#All],[POW P]],MATCH(Table5[[#This Row],[PID]],Batters[[#All],[PID]],0)),INDEX(Table3[[#All],[CON P]],MATCH(Table5[[#This Row],[PID]],Table3[[#All],[PID]],0)))</f>
        <v>3</v>
      </c>
      <c r="O946" s="58" t="str">
        <f>IF($C946="B",INDEX(Batters[[#All],[EYE P]],MATCH(Table5[[#This Row],[PID]],Batters[[#All],[PID]],0)),INDEX(Table3[[#All],[VELO]],MATCH(Table5[[#This Row],[PID]],Table3[[#All],[PID]],0)))</f>
        <v>87-89 Mph</v>
      </c>
      <c r="P946" s="58">
        <f>IF($C946="B",INDEX(Batters[[#All],[K P]],MATCH(Table5[[#This Row],[PID]],Batters[[#All],[PID]],0)),INDEX(Table3[[#All],[STM]],MATCH(Table5[[#This Row],[PID]],Table3[[#All],[PID]],0)))</f>
        <v>9</v>
      </c>
      <c r="Q946" s="63">
        <f>IF($C946="B",INDEX(Batters[[#All],[Tot]],MATCH(Table5[[#This Row],[PID]],Batters[[#All],[PID]],0)),INDEX(Table3[[#All],[Tot]],MATCH(Table5[[#This Row],[PID]],Table3[[#All],[PID]],0)))</f>
        <v>20.709327295229144</v>
      </c>
      <c r="R946" s="54">
        <f>IF($C946="B",INDEX(Batters[[#All],[zScore]],MATCH(Table5[[#This Row],[PID]],Batters[[#All],[PID]],0)),INDEX(Table3[[#All],[zScore]],MATCH(Table5[[#This Row],[PID]],Table3[[#All],[PID]],0)))</f>
        <v>-0.8488990073337398</v>
      </c>
      <c r="S946" s="60" t="str">
        <f>IF($C946="B",INDEX(Batters[[#All],[DEM]],MATCH(Table5[[#This Row],[PID]],Batters[[#All],[PID]],0)),INDEX(Table3[[#All],[DEM]],MATCH(Table5[[#This Row],[PID]],Table3[[#All],[PID]],0)))</f>
        <v>-</v>
      </c>
      <c r="T946" s="64" t="e">
        <f>IF($C946="B",VLOOKUP($A946,Bat!$A$4:$AU$1417,46,FALSE),VLOOKUP($A946,Pit!$A$4:$BD$570,55,FALSE))</f>
        <v>#N/A</v>
      </c>
      <c r="U946" s="52" t="e">
        <f>IF($C946="B",VLOOKUP($A946,Bat!$A$4:$BA$1417,47,FALSE),VLOOKUP($A946,Pit!$A$4:$BF$570,56,FALSE))</f>
        <v>#N/A</v>
      </c>
      <c r="V946" s="52" t="e">
        <f>IF($C946="B",VLOOKUP($A946,Bat!$A$4:$BA$1417,48,FALSE),VLOOKUP($A946,Pit!$A$4:$BF$570,57,FALSE))</f>
        <v>#N/A</v>
      </c>
      <c r="W946" s="52" t="e">
        <f>Table5[[#This Row],[posRnk]]+Table5[[#This Row],[zRnk]]+IF($W$3&lt;&gt;Table5[[#This Row],[Type]],50,0)</f>
        <v>#N/A</v>
      </c>
      <c r="X946" s="53">
        <f>RANK(Table5[[#This Row],[zScore]],Table5[[#All],[zScore]])</f>
        <v>942</v>
      </c>
      <c r="Y946" s="52" t="str">
        <f>IFERROR(INDEX(DraftResults[[#All],[OVR]],MATCH(Table5[[#This Row],[PID]],DraftResults[[#All],[Player ID]],0)),"")</f>
        <v/>
      </c>
      <c r="Z9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6" s="52" t="str">
        <f>IFERROR(INDEX(DraftResults[[#All],[Pick in Round]],MATCH(Table5[[#This Row],[PID]],DraftResults[[#All],[Player ID]],0)),"")</f>
        <v/>
      </c>
      <c r="AB946" s="52" t="str">
        <f>IFERROR(INDEX(DraftResults[[#All],[Team Name]],MATCH(Table5[[#This Row],[PID]],DraftResults[[#All],[Player ID]],0)),"")</f>
        <v/>
      </c>
      <c r="AC946" s="52" t="str">
        <f>IF(Table5[[#This Row],[Ovr]]="","",IF(Table5[[#This Row],[cmbList]]="","",Table5[[#This Row],[cmbList]]-Table5[[#This Row],[Ovr]]))</f>
        <v/>
      </c>
      <c r="AD946" s="56" t="str">
        <f>IF(ISERROR(VLOOKUP($AB946&amp;"-"&amp;$E946&amp;" "&amp;F946,Bonuses!$B$1:$G$1006,4,FALSE)),"",INT(VLOOKUP($AB946&amp;"-"&amp;$E946&amp;" "&amp;$F946,Bonuses!$B$1:$G$1006,4,FALSE)))</f>
        <v/>
      </c>
      <c r="AE9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7" spans="1:31" s="52" customFormat="1" x14ac:dyDescent="0.25">
      <c r="A947" s="52">
        <v>9639</v>
      </c>
      <c r="B947" s="52">
        <f>COUNTIF(Table5[PID],A947)</f>
        <v>1</v>
      </c>
      <c r="C947" s="52" t="str">
        <f>IF(COUNTIF(Table3[[#All],[PID]],A947)&gt;0,"P","B")</f>
        <v>P</v>
      </c>
      <c r="D947" s="61" t="str">
        <f>IF($C947="B",INDEX(Batters[[#All],[POS]],MATCH(Table5[[#This Row],[PID]],Batters[[#All],[PID]],0)),INDEX(Table3[[#All],[POS]],MATCH(Table5[[#This Row],[PID]],Table3[[#All],[PID]],0)))</f>
        <v>RP</v>
      </c>
      <c r="E947" s="54" t="str">
        <f>IF($C947="B",INDEX(Batters[[#All],[First]],MATCH(Table5[[#This Row],[PID]],Batters[[#All],[PID]],0)),INDEX(Table3[[#All],[First]],MATCH(Table5[[#This Row],[PID]],Table3[[#All],[PID]],0)))</f>
        <v>Ángel</v>
      </c>
      <c r="F947" s="52" t="str">
        <f>IF($C947="B",INDEX(Batters[[#All],[Last]],MATCH(A947,Batters[[#All],[PID]],0)),INDEX(Table3[[#All],[Last]],MATCH(A947,Table3[[#All],[PID]],0)))</f>
        <v>Gómez</v>
      </c>
      <c r="G947" s="58">
        <f>IF($C947="B",INDEX(Batters[[#All],[Age]],MATCH(Table5[[#This Row],[PID]],Batters[[#All],[PID]],0)),INDEX(Table3[[#All],[Age]],MATCH(Table5[[#This Row],[PID]],Table3[[#All],[PID]],0)))</f>
        <v>21</v>
      </c>
      <c r="H947" s="54" t="str">
        <f>IF($C947="B",INDEX(Batters[[#All],[B]],MATCH(Table5[[#This Row],[PID]],Batters[[#All],[PID]],0)),INDEX(Table3[[#All],[B]],MATCH(Table5[[#This Row],[PID]],Table3[[#All],[PID]],0)))</f>
        <v>S</v>
      </c>
      <c r="I947" s="54" t="str">
        <f>IF($C947="B",INDEX(Batters[[#All],[T]],MATCH(Table5[[#This Row],[PID]],Batters[[#All],[PID]],0)),INDEX(Table3[[#All],[T]],MATCH(Table5[[#This Row],[PID]],Table3[[#All],[PID]],0)))</f>
        <v>L</v>
      </c>
      <c r="J947" s="54" t="str">
        <f>IF($C947="B",INDEX(Batters[[#All],[WE]],MATCH(Table5[[#This Row],[PID]],Batters[[#All],[PID]],0)),INDEX(Table3[[#All],[WE]],MATCH(Table5[[#This Row],[PID]],Table3[[#All],[PID]],0)))</f>
        <v>High</v>
      </c>
      <c r="K947" s="54" t="str">
        <f>IF($C947="B",INDEX(Batters[[#All],[INT]],MATCH(Table5[[#This Row],[PID]],Batters[[#All],[PID]],0)),INDEX(Table3[[#All],[INT]],MATCH(Table5[[#This Row],[PID]],Table3[[#All],[PID]],0)))</f>
        <v>Normal</v>
      </c>
      <c r="L947" s="62">
        <f>IF($C947="B",INDEX(Batters[[#All],[CON P]],MATCH(Table5[[#This Row],[PID]],Batters[[#All],[PID]],0)),INDEX(Table3[[#All],[STU P]],MATCH(Table5[[#This Row],[PID]],Table3[[#All],[PID]],0)))</f>
        <v>5</v>
      </c>
      <c r="M947" s="58">
        <f>IF($C947="B",INDEX(Batters[[#All],[GAP P]],MATCH(Table5[[#This Row],[PID]],Batters[[#All],[PID]],0)),INDEX(Table3[[#All],[MOV P]],MATCH(Table5[[#This Row],[PID]],Table3[[#All],[PID]],0)))</f>
        <v>2</v>
      </c>
      <c r="N947" s="58">
        <f>IF($C947="B",INDEX(Batters[[#All],[POW P]],MATCH(Table5[[#This Row],[PID]],Batters[[#All],[PID]],0)),INDEX(Table3[[#All],[CON P]],MATCH(Table5[[#This Row],[PID]],Table3[[#All],[PID]],0)))</f>
        <v>2</v>
      </c>
      <c r="O947" s="58" t="str">
        <f>IF($C947="B",INDEX(Batters[[#All],[EYE P]],MATCH(Table5[[#This Row],[PID]],Batters[[#All],[PID]],0)),INDEX(Table3[[#All],[VELO]],MATCH(Table5[[#This Row],[PID]],Table3[[#All],[PID]],0)))</f>
        <v>92-94 Mph</v>
      </c>
      <c r="P947" s="58">
        <f>IF($C947="B",INDEX(Batters[[#All],[K P]],MATCH(Table5[[#This Row],[PID]],Batters[[#All],[PID]],0)),INDEX(Table3[[#All],[STM]],MATCH(Table5[[#This Row],[PID]],Table3[[#All],[PID]],0)))</f>
        <v>4</v>
      </c>
      <c r="Q947" s="63">
        <f>IF($C947="B",INDEX(Batters[[#All],[Tot]],MATCH(Table5[[#This Row],[PID]],Batters[[#All],[PID]],0)),INDEX(Table3[[#All],[Tot]],MATCH(Table5[[#This Row],[PID]],Table3[[#All],[PID]],0)))</f>
        <v>23.435875145080946</v>
      </c>
      <c r="R947" s="54">
        <f>IF($C947="B",INDEX(Batters[[#All],[zScore]],MATCH(Table5[[#This Row],[PID]],Batters[[#All],[PID]],0)),INDEX(Table3[[#All],[zScore]],MATCH(Table5[[#This Row],[PID]],Table3[[#All],[PID]],0)))</f>
        <v>-0.85160034331746337</v>
      </c>
      <c r="S947" s="60" t="str">
        <f>IF($C947="B",INDEX(Batters[[#All],[DEM]],MATCH(Table5[[#This Row],[PID]],Batters[[#All],[PID]],0)),INDEX(Table3[[#All],[DEM]],MATCH(Table5[[#This Row],[PID]],Table3[[#All],[PID]],0)))</f>
        <v>-</v>
      </c>
      <c r="T947" s="64">
        <f>IF($C947="B",VLOOKUP($A947,Bat!$A$4:$AU$1417,46,FALSE),VLOOKUP($A947,Pit!$A$4:$BD$570,55,FALSE))</f>
        <v>0</v>
      </c>
      <c r="U947" s="52">
        <f>IF($C947="B",VLOOKUP($A947,Bat!$A$4:$BA$1417,47,FALSE),VLOOKUP($A947,Pit!$A$4:$BF$570,56,FALSE))</f>
        <v>0</v>
      </c>
      <c r="V947" s="52">
        <f>IF($C947="B",VLOOKUP($A947,Bat!$A$4:$BA$1417,48,FALSE),VLOOKUP($A947,Pit!$A$4:$BF$570,57,FALSE))</f>
        <v>0</v>
      </c>
      <c r="W947" s="52">
        <f>Table5[[#This Row],[posRnk]]+Table5[[#This Row],[zRnk]]+IF($W$3&lt;&gt;Table5[[#This Row],[Type]],50,0)</f>
        <v>993</v>
      </c>
      <c r="X947" s="53">
        <f>RANK(Table5[[#This Row],[zScore]],Table5[[#All],[zScore]])</f>
        <v>943</v>
      </c>
      <c r="Y947" s="52" t="str">
        <f>IFERROR(INDEX(DraftResults[[#All],[OVR]],MATCH(Table5[[#This Row],[PID]],DraftResults[[#All],[Player ID]],0)),"")</f>
        <v/>
      </c>
      <c r="Z9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7" s="52" t="str">
        <f>IFERROR(INDEX(DraftResults[[#All],[Pick in Round]],MATCH(Table5[[#This Row],[PID]],DraftResults[[#All],[Player ID]],0)),"")</f>
        <v/>
      </c>
      <c r="AB947" s="52" t="str">
        <f>IFERROR(INDEX(DraftResults[[#All],[Team Name]],MATCH(Table5[[#This Row],[PID]],DraftResults[[#All],[Player ID]],0)),"")</f>
        <v/>
      </c>
      <c r="AC947" s="52" t="str">
        <f>IF(Table5[[#This Row],[Ovr]]="","",IF(Table5[[#This Row],[cmbList]]="","",Table5[[#This Row],[cmbList]]-Table5[[#This Row],[Ovr]]))</f>
        <v/>
      </c>
      <c r="AD947" s="56" t="str">
        <f>IF(ISERROR(VLOOKUP($AB947&amp;"-"&amp;$E947&amp;" "&amp;F947,Bonuses!$B$1:$G$1006,4,FALSE)),"",INT(VLOOKUP($AB947&amp;"-"&amp;$E947&amp;" "&amp;$F947,Bonuses!$B$1:$G$1006,4,FALSE)))</f>
        <v/>
      </c>
      <c r="AE9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8" spans="1:31" s="52" customFormat="1" x14ac:dyDescent="0.25">
      <c r="A948" s="52">
        <v>12519</v>
      </c>
      <c r="B948" s="52">
        <f>COUNTIF(Table5[PID],A948)</f>
        <v>1</v>
      </c>
      <c r="C948" s="52" t="str">
        <f>IF(COUNTIF(Table3[[#All],[PID]],A948)&gt;0,"P","B")</f>
        <v>P</v>
      </c>
      <c r="D948" s="61" t="str">
        <f>IF($C948="B",INDEX(Batters[[#All],[POS]],MATCH(Table5[[#This Row],[PID]],Batters[[#All],[PID]],0)),INDEX(Table3[[#All],[POS]],MATCH(Table5[[#This Row],[PID]],Table3[[#All],[PID]],0)))</f>
        <v>RP</v>
      </c>
      <c r="E948" s="54" t="str">
        <f>IF($C948="B",INDEX(Batters[[#All],[First]],MATCH(Table5[[#This Row],[PID]],Batters[[#All],[PID]],0)),INDEX(Table3[[#All],[First]],MATCH(Table5[[#This Row],[PID]],Table3[[#All],[PID]],0)))</f>
        <v>Yukio</v>
      </c>
      <c r="F948" s="52" t="str">
        <f>IF($C948="B",INDEX(Batters[[#All],[Last]],MATCH(A948,Batters[[#All],[PID]],0)),INDEX(Table3[[#All],[Last]],MATCH(A948,Table3[[#All],[PID]],0)))</f>
        <v>Sato</v>
      </c>
      <c r="G948" s="58">
        <f>IF($C948="B",INDEX(Batters[[#All],[Age]],MATCH(Table5[[#This Row],[PID]],Batters[[#All],[PID]],0)),INDEX(Table3[[#All],[Age]],MATCH(Table5[[#This Row],[PID]],Table3[[#All],[PID]],0)))</f>
        <v>21</v>
      </c>
      <c r="H948" s="54" t="str">
        <f>IF($C948="B",INDEX(Batters[[#All],[B]],MATCH(Table5[[#This Row],[PID]],Batters[[#All],[PID]],0)),INDEX(Table3[[#All],[B]],MATCH(Table5[[#This Row],[PID]],Table3[[#All],[PID]],0)))</f>
        <v>L</v>
      </c>
      <c r="I948" s="54" t="str">
        <f>IF($C948="B",INDEX(Batters[[#All],[T]],MATCH(Table5[[#This Row],[PID]],Batters[[#All],[PID]],0)),INDEX(Table3[[#All],[T]],MATCH(Table5[[#This Row],[PID]],Table3[[#All],[PID]],0)))</f>
        <v>R</v>
      </c>
      <c r="J948" s="54" t="str">
        <f>IF($C948="B",INDEX(Batters[[#All],[WE]],MATCH(Table5[[#This Row],[PID]],Batters[[#All],[PID]],0)),INDEX(Table3[[#All],[WE]],MATCH(Table5[[#This Row],[PID]],Table3[[#All],[PID]],0)))</f>
        <v>Normal</v>
      </c>
      <c r="K948" s="54" t="str">
        <f>IF($C948="B",INDEX(Batters[[#All],[INT]],MATCH(Table5[[#This Row],[PID]],Batters[[#All],[PID]],0)),INDEX(Table3[[#All],[INT]],MATCH(Table5[[#This Row],[PID]],Table3[[#All],[PID]],0)))</f>
        <v>Normal</v>
      </c>
      <c r="L948" s="62">
        <f>IF($C948="B",INDEX(Batters[[#All],[CON P]],MATCH(Table5[[#This Row],[PID]],Batters[[#All],[PID]],0)),INDEX(Table3[[#All],[STU P]],MATCH(Table5[[#This Row],[PID]],Table3[[#All],[PID]],0)))</f>
        <v>3</v>
      </c>
      <c r="M948" s="58">
        <f>IF($C948="B",INDEX(Batters[[#All],[GAP P]],MATCH(Table5[[#This Row],[PID]],Batters[[#All],[PID]],0)),INDEX(Table3[[#All],[MOV P]],MATCH(Table5[[#This Row],[PID]],Table3[[#All],[PID]],0)))</f>
        <v>2</v>
      </c>
      <c r="N948" s="58">
        <f>IF($C948="B",INDEX(Batters[[#All],[POW P]],MATCH(Table5[[#This Row],[PID]],Batters[[#All],[PID]],0)),INDEX(Table3[[#All],[CON P]],MATCH(Table5[[#This Row],[PID]],Table3[[#All],[PID]],0)))</f>
        <v>2</v>
      </c>
      <c r="O948" s="58" t="str">
        <f>IF($C948="B",INDEX(Batters[[#All],[EYE P]],MATCH(Table5[[#This Row],[PID]],Batters[[#All],[PID]],0)),INDEX(Table3[[#All],[VELO]],MATCH(Table5[[#This Row],[PID]],Table3[[#All],[PID]],0)))</f>
        <v>89-91 Mph</v>
      </c>
      <c r="P948" s="58">
        <f>IF($C948="B",INDEX(Batters[[#All],[K P]],MATCH(Table5[[#This Row],[PID]],Batters[[#All],[PID]],0)),INDEX(Table3[[#All],[STM]],MATCH(Table5[[#This Row],[PID]],Table3[[#All],[PID]],0)))</f>
        <v>5</v>
      </c>
      <c r="Q948" s="63">
        <f>IF($C948="B",INDEX(Batters[[#All],[Tot]],MATCH(Table5[[#This Row],[PID]],Batters[[#All],[PID]],0)),INDEX(Table3[[#All],[Tot]],MATCH(Table5[[#This Row],[PID]],Table3[[#All],[PID]],0)))</f>
        <v>20.636620729883205</v>
      </c>
      <c r="R948" s="54">
        <f>IF($C948="B",INDEX(Batters[[#All],[zScore]],MATCH(Table5[[#This Row],[PID]],Batters[[#All],[PID]],0)),INDEX(Table3[[#All],[zScore]],MATCH(Table5[[#This Row],[PID]],Table3[[#All],[PID]],0)))</f>
        <v>-0.85527119987966083</v>
      </c>
      <c r="S948" s="60" t="str">
        <f>IF($C948="B",INDEX(Batters[[#All],[DEM]],MATCH(Table5[[#This Row],[PID]],Batters[[#All],[PID]],0)),INDEX(Table3[[#All],[DEM]],MATCH(Table5[[#This Row],[PID]],Table3[[#All],[PID]],0)))</f>
        <v>-</v>
      </c>
      <c r="T948" s="64" t="e">
        <f>IF($C948="B",VLOOKUP($A948,Bat!$A$4:$AU$1417,46,FALSE),VLOOKUP($A948,Pit!$A$4:$BD$570,55,FALSE))</f>
        <v>#N/A</v>
      </c>
      <c r="U948" s="52" t="e">
        <f>IF($C948="B",VLOOKUP($A948,Bat!$A$4:$BA$1417,47,FALSE),VLOOKUP($A948,Pit!$A$4:$BF$570,56,FALSE))</f>
        <v>#N/A</v>
      </c>
      <c r="V948" s="52" t="e">
        <f>IF($C948="B",VLOOKUP($A948,Bat!$A$4:$BA$1417,48,FALSE),VLOOKUP($A948,Pit!$A$4:$BF$570,57,FALSE))</f>
        <v>#N/A</v>
      </c>
      <c r="W948" s="52" t="e">
        <f>Table5[[#This Row],[posRnk]]+Table5[[#This Row],[zRnk]]+IF($W$3&lt;&gt;Table5[[#This Row],[Type]],50,0)</f>
        <v>#N/A</v>
      </c>
      <c r="X948" s="53">
        <f>RANK(Table5[[#This Row],[zScore]],Table5[[#All],[zScore]])</f>
        <v>944</v>
      </c>
      <c r="Y948" s="52" t="str">
        <f>IFERROR(INDEX(DraftResults[[#All],[OVR]],MATCH(Table5[[#This Row],[PID]],DraftResults[[#All],[Player ID]],0)),"")</f>
        <v/>
      </c>
      <c r="Z9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8" s="52" t="str">
        <f>IFERROR(INDEX(DraftResults[[#All],[Pick in Round]],MATCH(Table5[[#This Row],[PID]],DraftResults[[#All],[Player ID]],0)),"")</f>
        <v/>
      </c>
      <c r="AB948" s="52" t="str">
        <f>IFERROR(INDEX(DraftResults[[#All],[Team Name]],MATCH(Table5[[#This Row],[PID]],DraftResults[[#All],[Player ID]],0)),"")</f>
        <v/>
      </c>
      <c r="AC948" s="52" t="str">
        <f>IF(Table5[[#This Row],[Ovr]]="","",IF(Table5[[#This Row],[cmbList]]="","",Table5[[#This Row],[cmbList]]-Table5[[#This Row],[Ovr]]))</f>
        <v/>
      </c>
      <c r="AD948" s="56" t="str">
        <f>IF(ISERROR(VLOOKUP($AB948&amp;"-"&amp;$E948&amp;" "&amp;F948,Bonuses!$B$1:$G$1006,4,FALSE)),"",INT(VLOOKUP($AB948&amp;"-"&amp;$E948&amp;" "&amp;$F948,Bonuses!$B$1:$G$1006,4,FALSE)))</f>
        <v/>
      </c>
      <c r="AE9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9" spans="1:31" s="52" customFormat="1" x14ac:dyDescent="0.25">
      <c r="A949" s="52">
        <v>9722</v>
      </c>
      <c r="B949" s="52">
        <f>COUNTIF(Table5[PID],A949)</f>
        <v>1</v>
      </c>
      <c r="C949" s="52" t="str">
        <f>IF(COUNTIF(Table3[[#All],[PID]],A949)&gt;0,"P","B")</f>
        <v>B</v>
      </c>
      <c r="D949" s="61" t="str">
        <f>IF($C949="B",INDEX(Batters[[#All],[POS]],MATCH(Table5[[#This Row],[PID]],Batters[[#All],[PID]],0)),INDEX(Table3[[#All],[POS]],MATCH(Table5[[#This Row],[PID]],Table3[[#All],[PID]],0)))</f>
        <v>LF</v>
      </c>
      <c r="E949" s="54" t="str">
        <f>IF($C949="B",INDEX(Batters[[#All],[First]],MATCH(Table5[[#This Row],[PID]],Batters[[#All],[PID]],0)),INDEX(Table3[[#All],[First]],MATCH(Table5[[#This Row],[PID]],Table3[[#All],[PID]],0)))</f>
        <v>Jeff</v>
      </c>
      <c r="F949" s="52" t="str">
        <f>IF($C949="B",INDEX(Batters[[#All],[Last]],MATCH(A949,Batters[[#All],[PID]],0)),INDEX(Table3[[#All],[Last]],MATCH(A949,Table3[[#All],[PID]],0)))</f>
        <v>Mathews</v>
      </c>
      <c r="G949" s="58">
        <f>IF($C949="B",INDEX(Batters[[#All],[Age]],MATCH(Table5[[#This Row],[PID]],Batters[[#All],[PID]],0)),INDEX(Table3[[#All],[Age]],MATCH(Table5[[#This Row],[PID]],Table3[[#All],[PID]],0)))</f>
        <v>21</v>
      </c>
      <c r="H949" s="54" t="str">
        <f>IF($C949="B",INDEX(Batters[[#All],[B]],MATCH(Table5[[#This Row],[PID]],Batters[[#All],[PID]],0)),INDEX(Table3[[#All],[B]],MATCH(Table5[[#This Row],[PID]],Table3[[#All],[PID]],0)))</f>
        <v>L</v>
      </c>
      <c r="I949" s="54" t="str">
        <f>IF($C949="B",INDEX(Batters[[#All],[T]],MATCH(Table5[[#This Row],[PID]],Batters[[#All],[PID]],0)),INDEX(Table3[[#All],[T]],MATCH(Table5[[#This Row],[PID]],Table3[[#All],[PID]],0)))</f>
        <v>L</v>
      </c>
      <c r="J949" s="54" t="str">
        <f>IF($C949="B",INDEX(Batters[[#All],[WE]],MATCH(Table5[[#This Row],[PID]],Batters[[#All],[PID]],0)),INDEX(Table3[[#All],[WE]],MATCH(Table5[[#This Row],[PID]],Table3[[#All],[PID]],0)))</f>
        <v>Low</v>
      </c>
      <c r="K949" s="54" t="str">
        <f>IF($C949="B",INDEX(Batters[[#All],[INT]],MATCH(Table5[[#This Row],[PID]],Batters[[#All],[PID]],0)),INDEX(Table3[[#All],[INT]],MATCH(Table5[[#This Row],[PID]],Table3[[#All],[PID]],0)))</f>
        <v>Low</v>
      </c>
      <c r="L949" s="62">
        <f>IF($C949="B",INDEX(Batters[[#All],[CON P]],MATCH(Table5[[#This Row],[PID]],Batters[[#All],[PID]],0)),INDEX(Table3[[#All],[STU P]],MATCH(Table5[[#This Row],[PID]],Table3[[#All],[PID]],0)))</f>
        <v>3</v>
      </c>
      <c r="M949" s="58">
        <f>IF($C949="B",INDEX(Batters[[#All],[GAP P]],MATCH(Table5[[#This Row],[PID]],Batters[[#All],[PID]],0)),INDEX(Table3[[#All],[MOV P]],MATCH(Table5[[#This Row],[PID]],Table3[[#All],[PID]],0)))</f>
        <v>3</v>
      </c>
      <c r="N949" s="58">
        <f>IF($C949="B",INDEX(Batters[[#All],[POW P]],MATCH(Table5[[#This Row],[PID]],Batters[[#All],[PID]],0)),INDEX(Table3[[#All],[CON P]],MATCH(Table5[[#This Row],[PID]],Table3[[#All],[PID]],0)))</f>
        <v>3</v>
      </c>
      <c r="O949" s="58">
        <f>IF($C949="B",INDEX(Batters[[#All],[EYE P]],MATCH(Table5[[#This Row],[PID]],Batters[[#All],[PID]],0)),INDEX(Table3[[#All],[VELO]],MATCH(Table5[[#This Row],[PID]],Table3[[#All],[PID]],0)))</f>
        <v>5</v>
      </c>
      <c r="P949" s="58">
        <f>IF($C949="B",INDEX(Batters[[#All],[K P]],MATCH(Table5[[#This Row],[PID]],Batters[[#All],[PID]],0)),INDEX(Table3[[#All],[STM]],MATCH(Table5[[#This Row],[PID]],Table3[[#All],[PID]],0)))</f>
        <v>3</v>
      </c>
      <c r="Q949" s="63">
        <f>IF($C949="B",INDEX(Batters[[#All],[Tot]],MATCH(Table5[[#This Row],[PID]],Batters[[#All],[PID]],0)),INDEX(Table3[[#All],[Tot]],MATCH(Table5[[#This Row],[PID]],Table3[[#All],[PID]],0)))</f>
        <v>35.483170827793685</v>
      </c>
      <c r="R949" s="54">
        <f>IF($C949="B",INDEX(Batters[[#All],[zScore]],MATCH(Table5[[#This Row],[PID]],Batters[[#All],[PID]],0)),INDEX(Table3[[#All],[zScore]],MATCH(Table5[[#This Row],[PID]],Table3[[#All],[PID]],0)))</f>
        <v>-0.85597788074421766</v>
      </c>
      <c r="S949" s="60" t="str">
        <f>IF($C949="B",INDEX(Batters[[#All],[DEM]],MATCH(Table5[[#This Row],[PID]],Batters[[#All],[PID]],0)),INDEX(Table3[[#All],[DEM]],MATCH(Table5[[#This Row],[PID]],Table3[[#All],[PID]],0)))</f>
        <v>-</v>
      </c>
      <c r="T949" s="64">
        <f>IF($C949="B",VLOOKUP($A949,Bat!$A$4:$AU$1417,46,FALSE),VLOOKUP($A949,Pit!$A$4:$BD$570,55,FALSE))</f>
        <v>0</v>
      </c>
      <c r="U949" s="52">
        <f>IF($C949="B",VLOOKUP($A949,Bat!$A$4:$BA$1417,47,FALSE),VLOOKUP($A949,Pit!$A$4:$BF$570,56,FALSE))</f>
        <v>0</v>
      </c>
      <c r="V949" s="52">
        <f>IF($C949="B",VLOOKUP($A949,Bat!$A$4:$BA$1417,48,FALSE),VLOOKUP($A949,Pit!$A$4:$BF$570,57,FALSE))</f>
        <v>0</v>
      </c>
      <c r="W949" s="52">
        <f>Table5[[#This Row],[posRnk]]+Table5[[#This Row],[zRnk]]+IF($W$3&lt;&gt;Table5[[#This Row],[Type]],50,0)</f>
        <v>995</v>
      </c>
      <c r="X949" s="53">
        <f>RANK(Table5[[#This Row],[zScore]],Table5[[#All],[zScore]])</f>
        <v>945</v>
      </c>
      <c r="Y949" s="52" t="str">
        <f>IFERROR(INDEX(DraftResults[[#All],[OVR]],MATCH(Table5[[#This Row],[PID]],DraftResults[[#All],[Player ID]],0)),"")</f>
        <v/>
      </c>
      <c r="Z9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9" s="52" t="str">
        <f>IFERROR(INDEX(DraftResults[[#All],[Pick in Round]],MATCH(Table5[[#This Row],[PID]],DraftResults[[#All],[Player ID]],0)),"")</f>
        <v/>
      </c>
      <c r="AB949" s="52" t="str">
        <f>IFERROR(INDEX(DraftResults[[#All],[Team Name]],MATCH(Table5[[#This Row],[PID]],DraftResults[[#All],[Player ID]],0)),"")</f>
        <v/>
      </c>
      <c r="AC949" s="52" t="str">
        <f>IF(Table5[[#This Row],[Ovr]]="","",IF(Table5[[#This Row],[cmbList]]="","",Table5[[#This Row],[cmbList]]-Table5[[#This Row],[Ovr]]))</f>
        <v/>
      </c>
      <c r="AD949" s="56" t="str">
        <f>IF(ISERROR(VLOOKUP($AB949&amp;"-"&amp;$E949&amp;" "&amp;F949,Bonuses!$B$1:$G$1006,4,FALSE)),"",INT(VLOOKUP($AB949&amp;"-"&amp;$E949&amp;" "&amp;$F949,Bonuses!$B$1:$G$1006,4,FALSE)))</f>
        <v/>
      </c>
      <c r="AE9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0" spans="1:31" s="52" customFormat="1" x14ac:dyDescent="0.25">
      <c r="A950" s="52">
        <v>12883</v>
      </c>
      <c r="B950" s="52">
        <f>COUNTIF(Table5[PID],A950)</f>
        <v>1</v>
      </c>
      <c r="C950" s="52" t="str">
        <f>IF(COUNTIF(Table3[[#All],[PID]],A950)&gt;0,"P","B")</f>
        <v>P</v>
      </c>
      <c r="D950" s="61" t="str">
        <f>IF($C950="B",INDEX(Batters[[#All],[POS]],MATCH(Table5[[#This Row],[PID]],Batters[[#All],[PID]],0)),INDEX(Table3[[#All],[POS]],MATCH(Table5[[#This Row],[PID]],Table3[[#All],[PID]],0)))</f>
        <v>RP</v>
      </c>
      <c r="E950" s="54" t="str">
        <f>IF($C950="B",INDEX(Batters[[#All],[First]],MATCH(Table5[[#This Row],[PID]],Batters[[#All],[PID]],0)),INDEX(Table3[[#All],[First]],MATCH(Table5[[#This Row],[PID]],Table3[[#All],[PID]],0)))</f>
        <v>Cameron</v>
      </c>
      <c r="F950" s="52" t="str">
        <f>IF($C950="B",INDEX(Batters[[#All],[Last]],MATCH(A950,Batters[[#All],[PID]],0)),INDEX(Table3[[#All],[Last]],MATCH(A950,Table3[[#All],[PID]],0)))</f>
        <v>Bing</v>
      </c>
      <c r="G950" s="58">
        <f>IF($C950="B",INDEX(Batters[[#All],[Age]],MATCH(Table5[[#This Row],[PID]],Batters[[#All],[PID]],0)),INDEX(Table3[[#All],[Age]],MATCH(Table5[[#This Row],[PID]],Table3[[#All],[PID]],0)))</f>
        <v>21</v>
      </c>
      <c r="H950" s="54" t="str">
        <f>IF($C950="B",INDEX(Batters[[#All],[B]],MATCH(Table5[[#This Row],[PID]],Batters[[#All],[PID]],0)),INDEX(Table3[[#All],[B]],MATCH(Table5[[#This Row],[PID]],Table3[[#All],[PID]],0)))</f>
        <v>R</v>
      </c>
      <c r="I950" s="54" t="str">
        <f>IF($C950="B",INDEX(Batters[[#All],[T]],MATCH(Table5[[#This Row],[PID]],Batters[[#All],[PID]],0)),INDEX(Table3[[#All],[T]],MATCH(Table5[[#This Row],[PID]],Table3[[#All],[PID]],0)))</f>
        <v>R</v>
      </c>
      <c r="J950" s="54" t="str">
        <f>IF($C950="B",INDEX(Batters[[#All],[WE]],MATCH(Table5[[#This Row],[PID]],Batters[[#All],[PID]],0)),INDEX(Table3[[#All],[WE]],MATCH(Table5[[#This Row],[PID]],Table3[[#All],[PID]],0)))</f>
        <v>Normal</v>
      </c>
      <c r="K950" s="54" t="str">
        <f>IF($C950="B",INDEX(Batters[[#All],[INT]],MATCH(Table5[[#This Row],[PID]],Batters[[#All],[PID]],0)),INDEX(Table3[[#All],[INT]],MATCH(Table5[[#This Row],[PID]],Table3[[#All],[PID]],0)))</f>
        <v>Low</v>
      </c>
      <c r="L950" s="62">
        <f>IF($C950="B",INDEX(Batters[[#All],[CON P]],MATCH(Table5[[#This Row],[PID]],Batters[[#All],[PID]],0)),INDEX(Table3[[#All],[STU P]],MATCH(Table5[[#This Row],[PID]],Table3[[#All],[PID]],0)))</f>
        <v>4</v>
      </c>
      <c r="M950" s="58">
        <f>IF($C950="B",INDEX(Batters[[#All],[GAP P]],MATCH(Table5[[#This Row],[PID]],Batters[[#All],[PID]],0)),INDEX(Table3[[#All],[MOV P]],MATCH(Table5[[#This Row],[PID]],Table3[[#All],[PID]],0)))</f>
        <v>2</v>
      </c>
      <c r="N950" s="58">
        <f>IF($C950="B",INDEX(Batters[[#All],[POW P]],MATCH(Table5[[#This Row],[PID]],Batters[[#All],[PID]],0)),INDEX(Table3[[#All],[CON P]],MATCH(Table5[[#This Row],[PID]],Table3[[#All],[PID]],0)))</f>
        <v>2</v>
      </c>
      <c r="O950" s="58" t="str">
        <f>IF($C950="B",INDEX(Batters[[#All],[EYE P]],MATCH(Table5[[#This Row],[PID]],Batters[[#All],[PID]],0)),INDEX(Table3[[#All],[VELO]],MATCH(Table5[[#This Row],[PID]],Table3[[#All],[PID]],0)))</f>
        <v>94-96 Mph</v>
      </c>
      <c r="P950" s="58">
        <f>IF($C950="B",INDEX(Batters[[#All],[K P]],MATCH(Table5[[#This Row],[PID]],Batters[[#All],[PID]],0)),INDEX(Table3[[#All],[STM]],MATCH(Table5[[#This Row],[PID]],Table3[[#All],[PID]],0)))</f>
        <v>1</v>
      </c>
      <c r="Q950" s="63">
        <f>IF($C950="B",INDEX(Batters[[#All],[Tot]],MATCH(Table5[[#This Row],[PID]],Batters[[#All],[PID]],0)),INDEX(Table3[[#All],[Tot]],MATCH(Table5[[#This Row],[PID]],Table3[[#All],[PID]],0)))</f>
        <v>23.379076787565225</v>
      </c>
      <c r="R950" s="54">
        <f>IF($C950="B",INDEX(Batters[[#All],[zScore]],MATCH(Table5[[#This Row],[PID]],Batters[[#All],[PID]],0)),INDEX(Table3[[#All],[zScore]],MATCH(Table5[[#This Row],[PID]],Table3[[#All],[PID]],0)))</f>
        <v>-0.85680899546293721</v>
      </c>
      <c r="S950" s="60" t="str">
        <f>IF($C950="B",INDEX(Batters[[#All],[DEM]],MATCH(Table5[[#This Row],[PID]],Batters[[#All],[PID]],0)),INDEX(Table3[[#All],[DEM]],MATCH(Table5[[#This Row],[PID]],Table3[[#All],[PID]],0)))</f>
        <v>-</v>
      </c>
      <c r="T950" s="64">
        <f>IF($C950="B",VLOOKUP($A950,Bat!$A$4:$AU$1417,46,FALSE),VLOOKUP($A950,Pit!$A$4:$BD$570,55,FALSE))</f>
        <v>0</v>
      </c>
      <c r="U950" s="52">
        <f>IF($C950="B",VLOOKUP($A950,Bat!$A$4:$BA$1417,47,FALSE),VLOOKUP($A950,Pit!$A$4:$BF$570,56,FALSE))</f>
        <v>0</v>
      </c>
      <c r="V950" s="52">
        <f>IF($C950="B",VLOOKUP($A950,Bat!$A$4:$BA$1417,48,FALSE),VLOOKUP($A950,Pit!$A$4:$BF$570,57,FALSE))</f>
        <v>0</v>
      </c>
      <c r="W950" s="52">
        <f>Table5[[#This Row],[posRnk]]+Table5[[#This Row],[zRnk]]+IF($W$3&lt;&gt;Table5[[#This Row],[Type]],50,0)</f>
        <v>996</v>
      </c>
      <c r="X950" s="53">
        <f>RANK(Table5[[#This Row],[zScore]],Table5[[#All],[zScore]])</f>
        <v>946</v>
      </c>
      <c r="Y950" s="52" t="str">
        <f>IFERROR(INDEX(DraftResults[[#All],[OVR]],MATCH(Table5[[#This Row],[PID]],DraftResults[[#All],[Player ID]],0)),"")</f>
        <v/>
      </c>
      <c r="Z9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0" s="52" t="str">
        <f>IFERROR(INDEX(DraftResults[[#All],[Pick in Round]],MATCH(Table5[[#This Row],[PID]],DraftResults[[#All],[Player ID]],0)),"")</f>
        <v/>
      </c>
      <c r="AB950" s="52" t="str">
        <f>IFERROR(INDEX(DraftResults[[#All],[Team Name]],MATCH(Table5[[#This Row],[PID]],DraftResults[[#All],[Player ID]],0)),"")</f>
        <v/>
      </c>
      <c r="AC950" s="52" t="str">
        <f>IF(Table5[[#This Row],[Ovr]]="","",IF(Table5[[#This Row],[cmbList]]="","",Table5[[#This Row],[cmbList]]-Table5[[#This Row],[Ovr]]))</f>
        <v/>
      </c>
      <c r="AD950" s="56" t="str">
        <f>IF(ISERROR(VLOOKUP($AB950&amp;"-"&amp;$E950&amp;" "&amp;F950,Bonuses!$B$1:$G$1006,4,FALSE)),"",INT(VLOOKUP($AB950&amp;"-"&amp;$E950&amp;" "&amp;$F950,Bonuses!$B$1:$G$1006,4,FALSE)))</f>
        <v/>
      </c>
      <c r="AE9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1" spans="1:31" s="52" customFormat="1" x14ac:dyDescent="0.25">
      <c r="A951" s="52">
        <v>5404</v>
      </c>
      <c r="B951" s="52">
        <f>COUNTIF(Table5[PID],A951)</f>
        <v>1</v>
      </c>
      <c r="C951" s="52" t="str">
        <f>IF(COUNTIF(Table3[[#All],[PID]],A951)&gt;0,"P","B")</f>
        <v>P</v>
      </c>
      <c r="D951" s="61" t="str">
        <f>IF($C951="B",INDEX(Batters[[#All],[POS]],MATCH(Table5[[#This Row],[PID]],Batters[[#All],[PID]],0)),INDEX(Table3[[#All],[POS]],MATCH(Table5[[#This Row],[PID]],Table3[[#All],[PID]],0)))</f>
        <v>RP</v>
      </c>
      <c r="E951" s="54" t="str">
        <f>IF($C951="B",INDEX(Batters[[#All],[First]],MATCH(Table5[[#This Row],[PID]],Batters[[#All],[PID]],0)),INDEX(Table3[[#All],[First]],MATCH(Table5[[#This Row],[PID]],Table3[[#All],[PID]],0)))</f>
        <v>Danny</v>
      </c>
      <c r="F951" s="52" t="str">
        <f>IF($C951="B",INDEX(Batters[[#All],[Last]],MATCH(A951,Batters[[#All],[PID]],0)),INDEX(Table3[[#All],[Last]],MATCH(A951,Table3[[#All],[PID]],0)))</f>
        <v>Welch</v>
      </c>
      <c r="G951" s="58">
        <f>IF($C951="B",INDEX(Batters[[#All],[Age]],MATCH(Table5[[#This Row],[PID]],Batters[[#All],[PID]],0)),INDEX(Table3[[#All],[Age]],MATCH(Table5[[#This Row],[PID]],Table3[[#All],[PID]],0)))</f>
        <v>20</v>
      </c>
      <c r="H951" s="54" t="str">
        <f>IF($C951="B",INDEX(Batters[[#All],[B]],MATCH(Table5[[#This Row],[PID]],Batters[[#All],[PID]],0)),INDEX(Table3[[#All],[B]],MATCH(Table5[[#This Row],[PID]],Table3[[#All],[PID]],0)))</f>
        <v>R</v>
      </c>
      <c r="I951" s="54" t="str">
        <f>IF($C951="B",INDEX(Batters[[#All],[T]],MATCH(Table5[[#This Row],[PID]],Batters[[#All],[PID]],0)),INDEX(Table3[[#All],[T]],MATCH(Table5[[#This Row],[PID]],Table3[[#All],[PID]],0)))</f>
        <v>R</v>
      </c>
      <c r="J951" s="54" t="str">
        <f>IF($C951="B",INDEX(Batters[[#All],[WE]],MATCH(Table5[[#This Row],[PID]],Batters[[#All],[PID]],0)),INDEX(Table3[[#All],[WE]],MATCH(Table5[[#This Row],[PID]],Table3[[#All],[PID]],0)))</f>
        <v>Normal</v>
      </c>
      <c r="K951" s="54" t="str">
        <f>IF($C951="B",INDEX(Batters[[#All],[INT]],MATCH(Table5[[#This Row],[PID]],Batters[[#All],[PID]],0)),INDEX(Table3[[#All],[INT]],MATCH(Table5[[#This Row],[PID]],Table3[[#All],[PID]],0)))</f>
        <v>Normal</v>
      </c>
      <c r="L951" s="62">
        <f>IF($C951="B",INDEX(Batters[[#All],[CON P]],MATCH(Table5[[#This Row],[PID]],Batters[[#All],[PID]],0)),INDEX(Table3[[#All],[STU P]],MATCH(Table5[[#This Row],[PID]],Table3[[#All],[PID]],0)))</f>
        <v>4</v>
      </c>
      <c r="M951" s="58">
        <f>IF($C951="B",INDEX(Batters[[#All],[GAP P]],MATCH(Table5[[#This Row],[PID]],Batters[[#All],[PID]],0)),INDEX(Table3[[#All],[MOV P]],MATCH(Table5[[#This Row],[PID]],Table3[[#All],[PID]],0)))</f>
        <v>2</v>
      </c>
      <c r="N951" s="58">
        <f>IF($C951="B",INDEX(Batters[[#All],[POW P]],MATCH(Table5[[#This Row],[PID]],Batters[[#All],[PID]],0)),INDEX(Table3[[#All],[CON P]],MATCH(Table5[[#This Row],[PID]],Table3[[#All],[PID]],0)))</f>
        <v>2</v>
      </c>
      <c r="O951" s="58" t="str">
        <f>IF($C951="B",INDEX(Batters[[#All],[EYE P]],MATCH(Table5[[#This Row],[PID]],Batters[[#All],[PID]],0)),INDEX(Table3[[#All],[VELO]],MATCH(Table5[[#This Row],[PID]],Table3[[#All],[PID]],0)))</f>
        <v>88-90 Mph</v>
      </c>
      <c r="P951" s="58">
        <f>IF($C951="B",INDEX(Batters[[#All],[K P]],MATCH(Table5[[#This Row],[PID]],Batters[[#All],[PID]],0)),INDEX(Table3[[#All],[STM]],MATCH(Table5[[#This Row],[PID]],Table3[[#All],[PID]],0)))</f>
        <v>7</v>
      </c>
      <c r="Q951" s="63">
        <f>IF($C951="B",INDEX(Batters[[#All],[Tot]],MATCH(Table5[[#This Row],[PID]],Batters[[#All],[PID]],0)),INDEX(Table3[[#All],[Tot]],MATCH(Table5[[#This Row],[PID]],Table3[[#All],[PID]],0)))</f>
        <v>23.354463136217525</v>
      </c>
      <c r="R951" s="54">
        <f>IF($C951="B",INDEX(Batters[[#All],[zScore]],MATCH(Table5[[#This Row],[PID]],Batters[[#All],[PID]],0)),INDEX(Table3[[#All],[zScore]],MATCH(Table5[[#This Row],[PID]],Table3[[#All],[PID]],0)))</f>
        <v>-0.85906617249247808</v>
      </c>
      <c r="S951" s="60" t="str">
        <f>IF($C951="B",INDEX(Batters[[#All],[DEM]],MATCH(Table5[[#This Row],[PID]],Batters[[#All],[PID]],0)),INDEX(Table3[[#All],[DEM]],MATCH(Table5[[#This Row],[PID]],Table3[[#All],[PID]],0)))</f>
        <v>-</v>
      </c>
      <c r="T951" s="64">
        <f>IF($C951="B",VLOOKUP($A951,Bat!$A$4:$AU$1417,46,FALSE),VLOOKUP($A951,Pit!$A$4:$BD$570,55,FALSE))</f>
        <v>0</v>
      </c>
      <c r="U951" s="52">
        <f>IF($C951="B",VLOOKUP($A951,Bat!$A$4:$BA$1417,47,FALSE),VLOOKUP($A951,Pit!$A$4:$BF$570,56,FALSE))</f>
        <v>0</v>
      </c>
      <c r="V951" s="52">
        <f>IF($C951="B",VLOOKUP($A951,Bat!$A$4:$BA$1417,48,FALSE),VLOOKUP($A951,Pit!$A$4:$BF$570,57,FALSE))</f>
        <v>0</v>
      </c>
      <c r="W951" s="52">
        <f>Table5[[#This Row],[posRnk]]+Table5[[#This Row],[zRnk]]+IF($W$3&lt;&gt;Table5[[#This Row],[Type]],50,0)</f>
        <v>997</v>
      </c>
      <c r="X951" s="53">
        <f>RANK(Table5[[#This Row],[zScore]],Table5[[#All],[zScore]])</f>
        <v>947</v>
      </c>
      <c r="Y951" s="52" t="str">
        <f>IFERROR(INDEX(DraftResults[[#All],[OVR]],MATCH(Table5[[#This Row],[PID]],DraftResults[[#All],[Player ID]],0)),"")</f>
        <v/>
      </c>
      <c r="Z9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1" s="52" t="str">
        <f>IFERROR(INDEX(DraftResults[[#All],[Pick in Round]],MATCH(Table5[[#This Row],[PID]],DraftResults[[#All],[Player ID]],0)),"")</f>
        <v/>
      </c>
      <c r="AB951" s="52" t="str">
        <f>IFERROR(INDEX(DraftResults[[#All],[Team Name]],MATCH(Table5[[#This Row],[PID]],DraftResults[[#All],[Player ID]],0)),"")</f>
        <v/>
      </c>
      <c r="AC951" s="52" t="str">
        <f>IF(Table5[[#This Row],[Ovr]]="","",IF(Table5[[#This Row],[cmbList]]="","",Table5[[#This Row],[cmbList]]-Table5[[#This Row],[Ovr]]))</f>
        <v/>
      </c>
      <c r="AD951" s="56" t="str">
        <f>IF(ISERROR(VLOOKUP($AB951&amp;"-"&amp;$E951&amp;" "&amp;F951,Bonuses!$B$1:$G$1006,4,FALSE)),"",INT(VLOOKUP($AB951&amp;"-"&amp;$E951&amp;" "&amp;$F951,Bonuses!$B$1:$G$1006,4,FALSE)))</f>
        <v/>
      </c>
      <c r="AE9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2" spans="1:31" s="52" customFormat="1" x14ac:dyDescent="0.25">
      <c r="A952" s="52">
        <v>6227</v>
      </c>
      <c r="B952" s="52">
        <f>COUNTIF(Table5[PID],A952)</f>
        <v>1</v>
      </c>
      <c r="C952" s="52" t="str">
        <f>IF(COUNTIF(Table3[[#All],[PID]],A952)&gt;0,"P","B")</f>
        <v>P</v>
      </c>
      <c r="D952" s="61" t="str">
        <f>IF($C952="B",INDEX(Batters[[#All],[POS]],MATCH(Table5[[#This Row],[PID]],Batters[[#All],[PID]],0)),INDEX(Table3[[#All],[POS]],MATCH(Table5[[#This Row],[PID]],Table3[[#All],[PID]],0)))</f>
        <v>RP</v>
      </c>
      <c r="E952" s="54" t="str">
        <f>IF($C952="B",INDEX(Batters[[#All],[First]],MATCH(Table5[[#This Row],[PID]],Batters[[#All],[PID]],0)),INDEX(Table3[[#All],[First]],MATCH(Table5[[#This Row],[PID]],Table3[[#All],[PID]],0)))</f>
        <v>Louis</v>
      </c>
      <c r="F952" s="52" t="str">
        <f>IF($C952="B",INDEX(Batters[[#All],[Last]],MATCH(A952,Batters[[#All],[PID]],0)),INDEX(Table3[[#All],[Last]],MATCH(A952,Table3[[#All],[PID]],0)))</f>
        <v>Murray</v>
      </c>
      <c r="G952" s="58">
        <f>IF($C952="B",INDEX(Batters[[#All],[Age]],MATCH(Table5[[#This Row],[PID]],Batters[[#All],[PID]],0)),INDEX(Table3[[#All],[Age]],MATCH(Table5[[#This Row],[PID]],Table3[[#All],[PID]],0)))</f>
        <v>18</v>
      </c>
      <c r="H952" s="54" t="str">
        <f>IF($C952="B",INDEX(Batters[[#All],[B]],MATCH(Table5[[#This Row],[PID]],Batters[[#All],[PID]],0)),INDEX(Table3[[#All],[B]],MATCH(Table5[[#This Row],[PID]],Table3[[#All],[PID]],0)))</f>
        <v>R</v>
      </c>
      <c r="I952" s="54" t="str">
        <f>IF($C952="B",INDEX(Batters[[#All],[T]],MATCH(Table5[[#This Row],[PID]],Batters[[#All],[PID]],0)),INDEX(Table3[[#All],[T]],MATCH(Table5[[#This Row],[PID]],Table3[[#All],[PID]],0)))</f>
        <v>R</v>
      </c>
      <c r="J952" s="54" t="str">
        <f>IF($C952="B",INDEX(Batters[[#All],[WE]],MATCH(Table5[[#This Row],[PID]],Batters[[#All],[PID]],0)),INDEX(Table3[[#All],[WE]],MATCH(Table5[[#This Row],[PID]],Table3[[#All],[PID]],0)))</f>
        <v>Normal</v>
      </c>
      <c r="K952" s="54" t="str">
        <f>IF($C952="B",INDEX(Batters[[#All],[INT]],MATCH(Table5[[#This Row],[PID]],Batters[[#All],[PID]],0)),INDEX(Table3[[#All],[INT]],MATCH(Table5[[#This Row],[PID]],Table3[[#All],[PID]],0)))</f>
        <v>Low</v>
      </c>
      <c r="L952" s="62">
        <f>IF($C952="B",INDEX(Batters[[#All],[CON P]],MATCH(Table5[[#This Row],[PID]],Batters[[#All],[PID]],0)),INDEX(Table3[[#All],[STU P]],MATCH(Table5[[#This Row],[PID]],Table3[[#All],[PID]],0)))</f>
        <v>2</v>
      </c>
      <c r="M952" s="58">
        <f>IF($C952="B",INDEX(Batters[[#All],[GAP P]],MATCH(Table5[[#This Row],[PID]],Batters[[#All],[PID]],0)),INDEX(Table3[[#All],[MOV P]],MATCH(Table5[[#This Row],[PID]],Table3[[#All],[PID]],0)))</f>
        <v>1</v>
      </c>
      <c r="N952" s="58">
        <f>IF($C952="B",INDEX(Batters[[#All],[POW P]],MATCH(Table5[[#This Row],[PID]],Batters[[#All],[PID]],0)),INDEX(Table3[[#All],[CON P]],MATCH(Table5[[#This Row],[PID]],Table3[[#All],[PID]],0)))</f>
        <v>2</v>
      </c>
      <c r="O952" s="58" t="str">
        <f>IF($C952="B",INDEX(Batters[[#All],[EYE P]],MATCH(Table5[[#This Row],[PID]],Batters[[#All],[PID]],0)),INDEX(Table3[[#All],[VELO]],MATCH(Table5[[#This Row],[PID]],Table3[[#All],[PID]],0)))</f>
        <v>84-86 Mph</v>
      </c>
      <c r="P952" s="58">
        <f>IF($C952="B",INDEX(Batters[[#All],[K P]],MATCH(Table5[[#This Row],[PID]],Batters[[#All],[PID]],0)),INDEX(Table3[[#All],[STM]],MATCH(Table5[[#This Row],[PID]],Table3[[#All],[PID]],0)))</f>
        <v>9</v>
      </c>
      <c r="Q952" s="63">
        <f>IF($C952="B",INDEX(Batters[[#All],[Tot]],MATCH(Table5[[#This Row],[PID]],Batters[[#All],[PID]],0)),INDEX(Table3[[#All],[Tot]],MATCH(Table5[[#This Row],[PID]],Table3[[#All],[PID]],0)))</f>
        <v>20.572136097155468</v>
      </c>
      <c r="R952" s="54">
        <f>IF($C952="B",INDEX(Batters[[#All],[zScore]],MATCH(Table5[[#This Row],[PID]],Batters[[#All],[PID]],0)),INDEX(Table3[[#All],[zScore]],MATCH(Table5[[#This Row],[PID]],Table3[[#All],[PID]],0)))</f>
        <v>-0.86092280086010908</v>
      </c>
      <c r="S952" s="60" t="str">
        <f>IF($C952="B",INDEX(Batters[[#All],[DEM]],MATCH(Table5[[#This Row],[PID]],Batters[[#All],[PID]],0)),INDEX(Table3[[#All],[DEM]],MATCH(Table5[[#This Row],[PID]],Table3[[#All],[PID]],0)))</f>
        <v>$65k</v>
      </c>
      <c r="T952" s="64" t="e">
        <f>IF($C952="B",VLOOKUP($A952,Bat!$A$4:$AU$1417,46,FALSE),VLOOKUP($A952,Pit!$A$4:$BD$570,55,FALSE))</f>
        <v>#N/A</v>
      </c>
      <c r="U952" s="52" t="e">
        <f>IF($C952="B",VLOOKUP($A952,Bat!$A$4:$BA$1417,47,FALSE),VLOOKUP($A952,Pit!$A$4:$BF$570,56,FALSE))</f>
        <v>#N/A</v>
      </c>
      <c r="V952" s="52" t="e">
        <f>IF($C952="B",VLOOKUP($A952,Bat!$A$4:$BA$1417,48,FALSE),VLOOKUP($A952,Pit!$A$4:$BF$570,57,FALSE))</f>
        <v>#N/A</v>
      </c>
      <c r="W952" s="52" t="e">
        <f>Table5[[#This Row],[posRnk]]+Table5[[#This Row],[zRnk]]+IF($W$3&lt;&gt;Table5[[#This Row],[Type]],50,0)</f>
        <v>#N/A</v>
      </c>
      <c r="X952" s="53">
        <f>RANK(Table5[[#This Row],[zScore]],Table5[[#All],[zScore]])</f>
        <v>948</v>
      </c>
      <c r="Y952" s="52" t="str">
        <f>IFERROR(INDEX(DraftResults[[#All],[OVR]],MATCH(Table5[[#This Row],[PID]],DraftResults[[#All],[Player ID]],0)),"")</f>
        <v/>
      </c>
      <c r="Z9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2" s="52" t="str">
        <f>IFERROR(INDEX(DraftResults[[#All],[Pick in Round]],MATCH(Table5[[#This Row],[PID]],DraftResults[[#All],[Player ID]],0)),"")</f>
        <v/>
      </c>
      <c r="AB952" s="52" t="str">
        <f>IFERROR(INDEX(DraftResults[[#All],[Team Name]],MATCH(Table5[[#This Row],[PID]],DraftResults[[#All],[Player ID]],0)),"")</f>
        <v/>
      </c>
      <c r="AC952" s="52" t="str">
        <f>IF(Table5[[#This Row],[Ovr]]="","",IF(Table5[[#This Row],[cmbList]]="","",Table5[[#This Row],[cmbList]]-Table5[[#This Row],[Ovr]]))</f>
        <v/>
      </c>
      <c r="AD952" s="56" t="str">
        <f>IF(ISERROR(VLOOKUP($AB952&amp;"-"&amp;$E952&amp;" "&amp;F952,Bonuses!$B$1:$G$1006,4,FALSE)),"",INT(VLOOKUP($AB952&amp;"-"&amp;$E952&amp;" "&amp;$F952,Bonuses!$B$1:$G$1006,4,FALSE)))</f>
        <v/>
      </c>
      <c r="AE9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3" spans="1:31" s="52" customFormat="1" x14ac:dyDescent="0.25">
      <c r="A953" s="52">
        <v>7419</v>
      </c>
      <c r="B953" s="52">
        <f>COUNTIF(Table5[PID],A953)</f>
        <v>1</v>
      </c>
      <c r="C953" s="52" t="str">
        <f>IF(COUNTIF(Table3[[#All],[PID]],A953)&gt;0,"P","B")</f>
        <v>B</v>
      </c>
      <c r="D953" s="61" t="str">
        <f>IF($C953="B",INDEX(Batters[[#All],[POS]],MATCH(Table5[[#This Row],[PID]],Batters[[#All],[PID]],0)),INDEX(Table3[[#All],[POS]],MATCH(Table5[[#This Row],[PID]],Table3[[#All],[PID]],0)))</f>
        <v>C</v>
      </c>
      <c r="E953" s="54" t="str">
        <f>IF($C953="B",INDEX(Batters[[#All],[First]],MATCH(Table5[[#This Row],[PID]],Batters[[#All],[PID]],0)),INDEX(Table3[[#All],[First]],MATCH(Table5[[#This Row],[PID]],Table3[[#All],[PID]],0)))</f>
        <v>Ed</v>
      </c>
      <c r="F953" s="52" t="str">
        <f>IF($C953="B",INDEX(Batters[[#All],[Last]],MATCH(A953,Batters[[#All],[PID]],0)),INDEX(Table3[[#All],[Last]],MATCH(A953,Table3[[#All],[PID]],0)))</f>
        <v>Madison</v>
      </c>
      <c r="G953" s="58">
        <f>IF($C953="B",INDEX(Batters[[#All],[Age]],MATCH(Table5[[#This Row],[PID]],Batters[[#All],[PID]],0)),INDEX(Table3[[#All],[Age]],MATCH(Table5[[#This Row],[PID]],Table3[[#All],[PID]],0)))</f>
        <v>18</v>
      </c>
      <c r="H953" s="54" t="str">
        <f>IF($C953="B",INDEX(Batters[[#All],[B]],MATCH(Table5[[#This Row],[PID]],Batters[[#All],[PID]],0)),INDEX(Table3[[#All],[B]],MATCH(Table5[[#This Row],[PID]],Table3[[#All],[PID]],0)))</f>
        <v>R</v>
      </c>
      <c r="I953" s="54" t="str">
        <f>IF($C953="B",INDEX(Batters[[#All],[T]],MATCH(Table5[[#This Row],[PID]],Batters[[#All],[PID]],0)),INDEX(Table3[[#All],[T]],MATCH(Table5[[#This Row],[PID]],Table3[[#All],[PID]],0)))</f>
        <v>R</v>
      </c>
      <c r="J953" s="54" t="str">
        <f>IF($C953="B",INDEX(Batters[[#All],[WE]],MATCH(Table5[[#This Row],[PID]],Batters[[#All],[PID]],0)),INDEX(Table3[[#All],[WE]],MATCH(Table5[[#This Row],[PID]],Table3[[#All],[PID]],0)))</f>
        <v>Normal</v>
      </c>
      <c r="K953" s="54" t="str">
        <f>IF($C953="B",INDEX(Batters[[#All],[INT]],MATCH(Table5[[#This Row],[PID]],Batters[[#All],[PID]],0)),INDEX(Table3[[#All],[INT]],MATCH(Table5[[#This Row],[PID]],Table3[[#All],[PID]],0)))</f>
        <v>Normal</v>
      </c>
      <c r="L953" s="62">
        <f>IF($C953="B",INDEX(Batters[[#All],[CON P]],MATCH(Table5[[#This Row],[PID]],Batters[[#All],[PID]],0)),INDEX(Table3[[#All],[STU P]],MATCH(Table5[[#This Row],[PID]],Table3[[#All],[PID]],0)))</f>
        <v>2</v>
      </c>
      <c r="M953" s="58">
        <f>IF($C953="B",INDEX(Batters[[#All],[GAP P]],MATCH(Table5[[#This Row],[PID]],Batters[[#All],[PID]],0)),INDEX(Table3[[#All],[MOV P]],MATCH(Table5[[#This Row],[PID]],Table3[[#All],[PID]],0)))</f>
        <v>2</v>
      </c>
      <c r="N953" s="58">
        <f>IF($C953="B",INDEX(Batters[[#All],[POW P]],MATCH(Table5[[#This Row],[PID]],Batters[[#All],[PID]],0)),INDEX(Table3[[#All],[CON P]],MATCH(Table5[[#This Row],[PID]],Table3[[#All],[PID]],0)))</f>
        <v>3</v>
      </c>
      <c r="O953" s="58">
        <f>IF($C953="B",INDEX(Batters[[#All],[EYE P]],MATCH(Table5[[#This Row],[PID]],Batters[[#All],[PID]],0)),INDEX(Table3[[#All],[VELO]],MATCH(Table5[[#This Row],[PID]],Table3[[#All],[PID]],0)))</f>
        <v>4</v>
      </c>
      <c r="P953" s="58">
        <f>IF($C953="B",INDEX(Batters[[#All],[K P]],MATCH(Table5[[#This Row],[PID]],Batters[[#All],[PID]],0)),INDEX(Table3[[#All],[STM]],MATCH(Table5[[#This Row],[PID]],Table3[[#All],[PID]],0)))</f>
        <v>3</v>
      </c>
      <c r="Q953" s="63">
        <f>IF($C953="B",INDEX(Batters[[#All],[Tot]],MATCH(Table5[[#This Row],[PID]],Batters[[#All],[PID]],0)),INDEX(Table3[[#All],[Tot]],MATCH(Table5[[#This Row],[PID]],Table3[[#All],[PID]],0)))</f>
        <v>35.454552018873862</v>
      </c>
      <c r="R953" s="54">
        <f>IF($C953="B",INDEX(Batters[[#All],[zScore]],MATCH(Table5[[#This Row],[PID]],Batters[[#All],[PID]],0)),INDEX(Table3[[#All],[zScore]],MATCH(Table5[[#This Row],[PID]],Table3[[#All],[PID]],0)))</f>
        <v>-0.86101316996437416</v>
      </c>
      <c r="S953" s="60" t="str">
        <f>IF($C953="B",INDEX(Batters[[#All],[DEM]],MATCH(Table5[[#This Row],[PID]],Batters[[#All],[PID]],0)),INDEX(Table3[[#All],[DEM]],MATCH(Table5[[#This Row],[PID]],Table3[[#All],[PID]],0)))</f>
        <v>$2.2m</v>
      </c>
      <c r="T953" s="64">
        <f>IF($C953="B",VLOOKUP($A953,Bat!$A$4:$AU$1417,46,FALSE),VLOOKUP($A953,Pit!$A$4:$BD$570,55,FALSE))</f>
        <v>0</v>
      </c>
      <c r="U953" s="52">
        <f>IF($C953="B",VLOOKUP($A953,Bat!$A$4:$BA$1417,47,FALSE),VLOOKUP($A953,Pit!$A$4:$BF$570,56,FALSE))</f>
        <v>0</v>
      </c>
      <c r="V953" s="52">
        <f>IF($C953="B",VLOOKUP($A953,Bat!$A$4:$BA$1417,48,FALSE),VLOOKUP($A953,Pit!$A$4:$BF$570,57,FALSE))</f>
        <v>0</v>
      </c>
      <c r="W953" s="52">
        <f>Table5[[#This Row],[posRnk]]+Table5[[#This Row],[zRnk]]+IF($W$3&lt;&gt;Table5[[#This Row],[Type]],50,0)</f>
        <v>999</v>
      </c>
      <c r="X953" s="53">
        <f>RANK(Table5[[#This Row],[zScore]],Table5[[#All],[zScore]])</f>
        <v>949</v>
      </c>
      <c r="Y953" s="52" t="str">
        <f>IFERROR(INDEX(DraftResults[[#All],[OVR]],MATCH(Table5[[#This Row],[PID]],DraftResults[[#All],[Player ID]],0)),"")</f>
        <v/>
      </c>
      <c r="Z9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3" s="52" t="str">
        <f>IFERROR(INDEX(DraftResults[[#All],[Pick in Round]],MATCH(Table5[[#This Row],[PID]],DraftResults[[#All],[Player ID]],0)),"")</f>
        <v/>
      </c>
      <c r="AB953" s="52" t="str">
        <f>IFERROR(INDEX(DraftResults[[#All],[Team Name]],MATCH(Table5[[#This Row],[PID]],DraftResults[[#All],[Player ID]],0)),"")</f>
        <v/>
      </c>
      <c r="AC953" s="52" t="str">
        <f>IF(Table5[[#This Row],[Ovr]]="","",IF(Table5[[#This Row],[cmbList]]="","",Table5[[#This Row],[cmbList]]-Table5[[#This Row],[Ovr]]))</f>
        <v/>
      </c>
      <c r="AD953" s="56" t="str">
        <f>IF(ISERROR(VLOOKUP($AB953&amp;"-"&amp;$E953&amp;" "&amp;F953,Bonuses!$B$1:$G$1006,4,FALSE)),"",INT(VLOOKUP($AB953&amp;"-"&amp;$E953&amp;" "&amp;$F953,Bonuses!$B$1:$G$1006,4,FALSE)))</f>
        <v/>
      </c>
      <c r="AE9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4" spans="1:31" s="52" customFormat="1" x14ac:dyDescent="0.25">
      <c r="A954" s="52">
        <v>5716</v>
      </c>
      <c r="B954" s="52">
        <f>COUNTIF(Table5[PID],A954)</f>
        <v>1</v>
      </c>
      <c r="C954" s="52" t="str">
        <f>IF(COUNTIF(Table3[[#All],[PID]],A954)&gt;0,"P","B")</f>
        <v>P</v>
      </c>
      <c r="D954" s="61" t="str">
        <f>IF($C954="B",INDEX(Batters[[#All],[POS]],MATCH(Table5[[#This Row],[PID]],Batters[[#All],[PID]],0)),INDEX(Table3[[#All],[POS]],MATCH(Table5[[#This Row],[PID]],Table3[[#All],[PID]],0)))</f>
        <v>SP</v>
      </c>
      <c r="E954" s="54" t="str">
        <f>IF($C954="B",INDEX(Batters[[#All],[First]],MATCH(Table5[[#This Row],[PID]],Batters[[#All],[PID]],0)),INDEX(Table3[[#All],[First]],MATCH(Table5[[#This Row],[PID]],Table3[[#All],[PID]],0)))</f>
        <v>José</v>
      </c>
      <c r="F954" s="52" t="str">
        <f>IF($C954="B",INDEX(Batters[[#All],[Last]],MATCH(A954,Batters[[#All],[PID]],0)),INDEX(Table3[[#All],[Last]],MATCH(A954,Table3[[#All],[PID]],0)))</f>
        <v>Cerda</v>
      </c>
      <c r="G954" s="58">
        <f>IF($C954="B",INDEX(Batters[[#All],[Age]],MATCH(Table5[[#This Row],[PID]],Batters[[#All],[PID]],0)),INDEX(Table3[[#All],[Age]],MATCH(Table5[[#This Row],[PID]],Table3[[#All],[PID]],0)))</f>
        <v>22</v>
      </c>
      <c r="H954" s="54" t="str">
        <f>IF($C954="B",INDEX(Batters[[#All],[B]],MATCH(Table5[[#This Row],[PID]],Batters[[#All],[PID]],0)),INDEX(Table3[[#All],[B]],MATCH(Table5[[#This Row],[PID]],Table3[[#All],[PID]],0)))</f>
        <v>L</v>
      </c>
      <c r="I954" s="54" t="str">
        <f>IF($C954="B",INDEX(Batters[[#All],[T]],MATCH(Table5[[#This Row],[PID]],Batters[[#All],[PID]],0)),INDEX(Table3[[#All],[T]],MATCH(Table5[[#This Row],[PID]],Table3[[#All],[PID]],0)))</f>
        <v>L</v>
      </c>
      <c r="J954" s="54" t="str">
        <f>IF($C954="B",INDEX(Batters[[#All],[WE]],MATCH(Table5[[#This Row],[PID]],Batters[[#All],[PID]],0)),INDEX(Table3[[#All],[WE]],MATCH(Table5[[#This Row],[PID]],Table3[[#All],[PID]],0)))</f>
        <v>High</v>
      </c>
      <c r="K954" s="54" t="str">
        <f>IF($C954="B",INDEX(Batters[[#All],[INT]],MATCH(Table5[[#This Row],[PID]],Batters[[#All],[PID]],0)),INDEX(Table3[[#All],[INT]],MATCH(Table5[[#This Row],[PID]],Table3[[#All],[PID]],0)))</f>
        <v>Normal</v>
      </c>
      <c r="L954" s="62">
        <f>IF($C954="B",INDEX(Batters[[#All],[CON P]],MATCH(Table5[[#This Row],[PID]],Batters[[#All],[PID]],0)),INDEX(Table3[[#All],[STU P]],MATCH(Table5[[#This Row],[PID]],Table3[[#All],[PID]],0)))</f>
        <v>4</v>
      </c>
      <c r="M954" s="58">
        <f>IF($C954="B",INDEX(Batters[[#All],[GAP P]],MATCH(Table5[[#This Row],[PID]],Batters[[#All],[PID]],0)),INDEX(Table3[[#All],[MOV P]],MATCH(Table5[[#This Row],[PID]],Table3[[#All],[PID]],0)))</f>
        <v>1</v>
      </c>
      <c r="N954" s="58">
        <f>IF($C954="B",INDEX(Batters[[#All],[POW P]],MATCH(Table5[[#This Row],[PID]],Batters[[#All],[PID]],0)),INDEX(Table3[[#All],[CON P]],MATCH(Table5[[#This Row],[PID]],Table3[[#All],[PID]],0)))</f>
        <v>2</v>
      </c>
      <c r="O954" s="58" t="str">
        <f>IF($C954="B",INDEX(Batters[[#All],[EYE P]],MATCH(Table5[[#This Row],[PID]],Batters[[#All],[PID]],0)),INDEX(Table3[[#All],[VELO]],MATCH(Table5[[#This Row],[PID]],Table3[[#All],[PID]],0)))</f>
        <v>88-90 Mph</v>
      </c>
      <c r="P954" s="58">
        <f>IF($C954="B",INDEX(Batters[[#All],[K P]],MATCH(Table5[[#This Row],[PID]],Batters[[#All],[PID]],0)),INDEX(Table3[[#All],[STM]],MATCH(Table5[[#This Row],[PID]],Table3[[#All],[PID]],0)))</f>
        <v>5</v>
      </c>
      <c r="Q954" s="63">
        <f>IF($C954="B",INDEX(Batters[[#All],[Tot]],MATCH(Table5[[#This Row],[PID]],Batters[[#All],[PID]],0)),INDEX(Table3[[#All],[Tot]],MATCH(Table5[[#This Row],[PID]],Table3[[#All],[PID]],0)))</f>
        <v>23.32157390272214</v>
      </c>
      <c r="R954" s="54">
        <f>IF($C954="B",INDEX(Batters[[#All],[zScore]],MATCH(Table5[[#This Row],[PID]],Batters[[#All],[PID]],0)),INDEX(Table3[[#All],[zScore]],MATCH(Table5[[#This Row],[PID]],Table3[[#All],[PID]],0)))</f>
        <v>-0.86208225577554332</v>
      </c>
      <c r="S954" s="60" t="str">
        <f>IF($C954="B",INDEX(Batters[[#All],[DEM]],MATCH(Table5[[#This Row],[PID]],Batters[[#All],[PID]],0)),INDEX(Table3[[#All],[DEM]],MATCH(Table5[[#This Row],[PID]],Table3[[#All],[PID]],0)))</f>
        <v>-</v>
      </c>
      <c r="T954" s="64">
        <f>IF($C954="B",VLOOKUP($A954,Bat!$A$4:$AU$1417,46,FALSE),VLOOKUP($A954,Pit!$A$4:$BD$570,55,FALSE))</f>
        <v>0</v>
      </c>
      <c r="U954" s="52">
        <f>IF($C954="B",VLOOKUP($A954,Bat!$A$4:$BA$1417,47,FALSE),VLOOKUP($A954,Pit!$A$4:$BF$570,56,FALSE))</f>
        <v>0</v>
      </c>
      <c r="V954" s="52">
        <f>IF($C954="B",VLOOKUP($A954,Bat!$A$4:$BA$1417,48,FALSE),VLOOKUP($A954,Pit!$A$4:$BF$570,57,FALSE))</f>
        <v>0</v>
      </c>
      <c r="W954" s="52">
        <f>Table5[[#This Row],[posRnk]]+Table5[[#This Row],[zRnk]]+IF($W$3&lt;&gt;Table5[[#This Row],[Type]],50,0)</f>
        <v>1000</v>
      </c>
      <c r="X954" s="53">
        <f>RANK(Table5[[#This Row],[zScore]],Table5[[#All],[zScore]])</f>
        <v>950</v>
      </c>
      <c r="Y954" s="52" t="str">
        <f>IFERROR(INDEX(DraftResults[[#All],[OVR]],MATCH(Table5[[#This Row],[PID]],DraftResults[[#All],[Player ID]],0)),"")</f>
        <v/>
      </c>
      <c r="Z9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4" s="52" t="str">
        <f>IFERROR(INDEX(DraftResults[[#All],[Pick in Round]],MATCH(Table5[[#This Row],[PID]],DraftResults[[#All],[Player ID]],0)),"")</f>
        <v/>
      </c>
      <c r="AB954" s="52" t="str">
        <f>IFERROR(INDEX(DraftResults[[#All],[Team Name]],MATCH(Table5[[#This Row],[PID]],DraftResults[[#All],[Player ID]],0)),"")</f>
        <v/>
      </c>
      <c r="AC954" s="52" t="str">
        <f>IF(Table5[[#This Row],[Ovr]]="","",IF(Table5[[#This Row],[cmbList]]="","",Table5[[#This Row],[cmbList]]-Table5[[#This Row],[Ovr]]))</f>
        <v/>
      </c>
      <c r="AD954" s="56" t="str">
        <f>IF(ISERROR(VLOOKUP($AB954&amp;"-"&amp;$E954&amp;" "&amp;F954,Bonuses!$B$1:$G$1006,4,FALSE)),"",INT(VLOOKUP($AB954&amp;"-"&amp;$E954&amp;" "&amp;$F954,Bonuses!$B$1:$G$1006,4,FALSE)))</f>
        <v/>
      </c>
      <c r="AE9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5" spans="1:31" s="52" customFormat="1" x14ac:dyDescent="0.25">
      <c r="A955" s="52">
        <v>17597</v>
      </c>
      <c r="B955" s="52">
        <f>COUNTIF(Table5[PID],A955)</f>
        <v>1</v>
      </c>
      <c r="C955" s="52" t="str">
        <f>IF(COUNTIF(Table3[[#All],[PID]],A955)&gt;0,"P","B")</f>
        <v>P</v>
      </c>
      <c r="D955" s="61" t="str">
        <f>IF($C955="B",INDEX(Batters[[#All],[POS]],MATCH(Table5[[#This Row],[PID]],Batters[[#All],[PID]],0)),INDEX(Table3[[#All],[POS]],MATCH(Table5[[#This Row],[PID]],Table3[[#All],[PID]],0)))</f>
        <v>RP</v>
      </c>
      <c r="E955" s="54" t="str">
        <f>IF($C955="B",INDEX(Batters[[#All],[First]],MATCH(Table5[[#This Row],[PID]],Batters[[#All],[PID]],0)),INDEX(Table3[[#All],[First]],MATCH(Table5[[#This Row],[PID]],Table3[[#All],[PID]],0)))</f>
        <v>Reese</v>
      </c>
      <c r="F955" s="52" t="str">
        <f>IF($C955="B",INDEX(Batters[[#All],[Last]],MATCH(A955,Batters[[#All],[PID]],0)),INDEX(Table3[[#All],[Last]],MATCH(A955,Table3[[#All],[PID]],0)))</f>
        <v>Potts</v>
      </c>
      <c r="G955" s="58">
        <f>IF($C955="B",INDEX(Batters[[#All],[Age]],MATCH(Table5[[#This Row],[PID]],Batters[[#All],[PID]],0)),INDEX(Table3[[#All],[Age]],MATCH(Table5[[#This Row],[PID]],Table3[[#All],[PID]],0)))</f>
        <v>18</v>
      </c>
      <c r="H955" s="54" t="str">
        <f>IF($C955="B",INDEX(Batters[[#All],[B]],MATCH(Table5[[#This Row],[PID]],Batters[[#All],[PID]],0)),INDEX(Table3[[#All],[B]],MATCH(Table5[[#This Row],[PID]],Table3[[#All],[PID]],0)))</f>
        <v>R</v>
      </c>
      <c r="I955" s="54" t="str">
        <f>IF($C955="B",INDEX(Batters[[#All],[T]],MATCH(Table5[[#This Row],[PID]],Batters[[#All],[PID]],0)),INDEX(Table3[[#All],[T]],MATCH(Table5[[#This Row],[PID]],Table3[[#All],[PID]],0)))</f>
        <v>R</v>
      </c>
      <c r="J955" s="54" t="str">
        <f>IF($C955="B",INDEX(Batters[[#All],[WE]],MATCH(Table5[[#This Row],[PID]],Batters[[#All],[PID]],0)),INDEX(Table3[[#All],[WE]],MATCH(Table5[[#This Row],[PID]],Table3[[#All],[PID]],0)))</f>
        <v>Normal</v>
      </c>
      <c r="K955" s="54" t="str">
        <f>IF($C955="B",INDEX(Batters[[#All],[INT]],MATCH(Table5[[#This Row],[PID]],Batters[[#All],[PID]],0)),INDEX(Table3[[#All],[INT]],MATCH(Table5[[#This Row],[PID]],Table3[[#All],[PID]],0)))</f>
        <v>Normal</v>
      </c>
      <c r="L955" s="62">
        <f>IF($C955="B",INDEX(Batters[[#All],[CON P]],MATCH(Table5[[#This Row],[PID]],Batters[[#All],[PID]],0)),INDEX(Table3[[#All],[STU P]],MATCH(Table5[[#This Row],[PID]],Table3[[#All],[PID]],0)))</f>
        <v>4</v>
      </c>
      <c r="M955" s="58">
        <f>IF($C955="B",INDEX(Batters[[#All],[GAP P]],MATCH(Table5[[#This Row],[PID]],Batters[[#All],[PID]],0)),INDEX(Table3[[#All],[MOV P]],MATCH(Table5[[#This Row],[PID]],Table3[[#All],[PID]],0)))</f>
        <v>2</v>
      </c>
      <c r="N955" s="58">
        <f>IF($C955="B",INDEX(Batters[[#All],[POW P]],MATCH(Table5[[#This Row],[PID]],Batters[[#All],[PID]],0)),INDEX(Table3[[#All],[CON P]],MATCH(Table5[[#This Row],[PID]],Table3[[#All],[PID]],0)))</f>
        <v>1</v>
      </c>
      <c r="O955" s="58" t="str">
        <f>IF($C955="B",INDEX(Batters[[#All],[EYE P]],MATCH(Table5[[#This Row],[PID]],Batters[[#All],[PID]],0)),INDEX(Table3[[#All],[VELO]],MATCH(Table5[[#This Row],[PID]],Table3[[#All],[PID]],0)))</f>
        <v>89-91 Mph</v>
      </c>
      <c r="P955" s="58">
        <f>IF($C955="B",INDEX(Batters[[#All],[K P]],MATCH(Table5[[#This Row],[PID]],Batters[[#All],[PID]],0)),INDEX(Table3[[#All],[STM]],MATCH(Table5[[#This Row],[PID]],Table3[[#All],[PID]],0)))</f>
        <v>7</v>
      </c>
      <c r="Q955" s="63">
        <f>IF($C955="B",INDEX(Batters[[#All],[Tot]],MATCH(Table5[[#This Row],[PID]],Batters[[#All],[PID]],0)),INDEX(Table3[[#All],[Tot]],MATCH(Table5[[#This Row],[PID]],Table3[[#All],[PID]],0)))</f>
        <v>23.31896547184931</v>
      </c>
      <c r="R955" s="54">
        <f>IF($C955="B",INDEX(Batters[[#All],[zScore]],MATCH(Table5[[#This Row],[PID]],Batters[[#All],[PID]],0)),INDEX(Table3[[#All],[zScore]],MATCH(Table5[[#This Row],[PID]],Table3[[#All],[PID]],0)))</f>
        <v>-0.86232146003524968</v>
      </c>
      <c r="S955" s="60" t="str">
        <f>IF($C955="B",INDEX(Batters[[#All],[DEM]],MATCH(Table5[[#This Row],[PID]],Batters[[#All],[PID]],0)),INDEX(Table3[[#All],[DEM]],MATCH(Table5[[#This Row],[PID]],Table3[[#All],[PID]],0)))</f>
        <v>$65k</v>
      </c>
      <c r="T955" s="64">
        <f>IF($C955="B",VLOOKUP($A955,Bat!$A$4:$AU$1417,46,FALSE),VLOOKUP($A955,Pit!$A$4:$BD$570,55,FALSE))</f>
        <v>0</v>
      </c>
      <c r="U955" s="52">
        <f>IF($C955="B",VLOOKUP($A955,Bat!$A$4:$BA$1417,47,FALSE),VLOOKUP($A955,Pit!$A$4:$BF$570,56,FALSE))</f>
        <v>0</v>
      </c>
      <c r="V955" s="52">
        <f>IF($C955="B",VLOOKUP($A955,Bat!$A$4:$BA$1417,48,FALSE),VLOOKUP($A955,Pit!$A$4:$BF$570,57,FALSE))</f>
        <v>0</v>
      </c>
      <c r="W955" s="52">
        <f>Table5[[#This Row],[posRnk]]+Table5[[#This Row],[zRnk]]+IF($W$3&lt;&gt;Table5[[#This Row],[Type]],50,0)</f>
        <v>1001</v>
      </c>
      <c r="X955" s="53">
        <f>RANK(Table5[[#This Row],[zScore]],Table5[[#All],[zScore]])</f>
        <v>951</v>
      </c>
      <c r="Y955" s="52" t="str">
        <f>IFERROR(INDEX(DraftResults[[#All],[OVR]],MATCH(Table5[[#This Row],[PID]],DraftResults[[#All],[Player ID]],0)),"")</f>
        <v/>
      </c>
      <c r="Z9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5" s="52" t="str">
        <f>IFERROR(INDEX(DraftResults[[#All],[Pick in Round]],MATCH(Table5[[#This Row],[PID]],DraftResults[[#All],[Player ID]],0)),"")</f>
        <v/>
      </c>
      <c r="AB955" s="52" t="str">
        <f>IFERROR(INDEX(DraftResults[[#All],[Team Name]],MATCH(Table5[[#This Row],[PID]],DraftResults[[#All],[Player ID]],0)),"")</f>
        <v/>
      </c>
      <c r="AC955" s="52" t="str">
        <f>IF(Table5[[#This Row],[Ovr]]="","",IF(Table5[[#This Row],[cmbList]]="","",Table5[[#This Row],[cmbList]]-Table5[[#This Row],[Ovr]]))</f>
        <v/>
      </c>
      <c r="AD955" s="56" t="str">
        <f>IF(ISERROR(VLOOKUP($AB955&amp;"-"&amp;$E955&amp;" "&amp;F955,Bonuses!$B$1:$G$1006,4,FALSE)),"",INT(VLOOKUP($AB955&amp;"-"&amp;$E955&amp;" "&amp;$F955,Bonuses!$B$1:$G$1006,4,FALSE)))</f>
        <v/>
      </c>
      <c r="AE9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6" spans="1:31" s="52" customFormat="1" x14ac:dyDescent="0.25">
      <c r="A956" s="52">
        <v>11955</v>
      </c>
      <c r="B956" s="52">
        <f>COUNTIF(Table5[PID],A956)</f>
        <v>1</v>
      </c>
      <c r="C956" s="52" t="str">
        <f>IF(COUNTIF(Table3[[#All],[PID]],A956)&gt;0,"P","B")</f>
        <v>B</v>
      </c>
      <c r="D956" s="61" t="str">
        <f>IF($C956="B",INDEX(Batters[[#All],[POS]],MATCH(Table5[[#This Row],[PID]],Batters[[#All],[PID]],0)),INDEX(Table3[[#All],[POS]],MATCH(Table5[[#This Row],[PID]],Table3[[#All],[PID]],0)))</f>
        <v>3B</v>
      </c>
      <c r="E956" s="54" t="str">
        <f>IF($C956="B",INDEX(Batters[[#All],[First]],MATCH(Table5[[#This Row],[PID]],Batters[[#All],[PID]],0)),INDEX(Table3[[#All],[First]],MATCH(Table5[[#This Row],[PID]],Table3[[#All],[PID]],0)))</f>
        <v>Gary</v>
      </c>
      <c r="F956" s="52" t="str">
        <f>IF($C956="B",INDEX(Batters[[#All],[Last]],MATCH(A956,Batters[[#All],[PID]],0)),INDEX(Table3[[#All],[Last]],MATCH(A956,Table3[[#All],[PID]],0)))</f>
        <v>Flowers</v>
      </c>
      <c r="G956" s="58">
        <f>IF($C956="B",INDEX(Batters[[#All],[Age]],MATCH(Table5[[#This Row],[PID]],Batters[[#All],[PID]],0)),INDEX(Table3[[#All],[Age]],MATCH(Table5[[#This Row],[PID]],Table3[[#All],[PID]],0)))</f>
        <v>21</v>
      </c>
      <c r="H956" s="54" t="str">
        <f>IF($C956="B",INDEX(Batters[[#All],[B]],MATCH(Table5[[#This Row],[PID]],Batters[[#All],[PID]],0)),INDEX(Table3[[#All],[B]],MATCH(Table5[[#This Row],[PID]],Table3[[#All],[PID]],0)))</f>
        <v>R</v>
      </c>
      <c r="I956" s="54" t="str">
        <f>IF($C956="B",INDEX(Batters[[#All],[T]],MATCH(Table5[[#This Row],[PID]],Batters[[#All],[PID]],0)),INDEX(Table3[[#All],[T]],MATCH(Table5[[#This Row],[PID]],Table3[[#All],[PID]],0)))</f>
        <v>R</v>
      </c>
      <c r="J956" s="54" t="str">
        <f>IF($C956="B",INDEX(Batters[[#All],[WE]],MATCH(Table5[[#This Row],[PID]],Batters[[#All],[PID]],0)),INDEX(Table3[[#All],[WE]],MATCH(Table5[[#This Row],[PID]],Table3[[#All],[PID]],0)))</f>
        <v>Low</v>
      </c>
      <c r="K956" s="54" t="str">
        <f>IF($C956="B",INDEX(Batters[[#All],[INT]],MATCH(Table5[[#This Row],[PID]],Batters[[#All],[PID]],0)),INDEX(Table3[[#All],[INT]],MATCH(Table5[[#This Row],[PID]],Table3[[#All],[PID]],0)))</f>
        <v>Normal</v>
      </c>
      <c r="L956" s="62">
        <f>IF($C956="B",INDEX(Batters[[#All],[CON P]],MATCH(Table5[[#This Row],[PID]],Batters[[#All],[PID]],0)),INDEX(Table3[[#All],[STU P]],MATCH(Table5[[#This Row],[PID]],Table3[[#All],[PID]],0)))</f>
        <v>3</v>
      </c>
      <c r="M956" s="58">
        <f>IF($C956="B",INDEX(Batters[[#All],[GAP P]],MATCH(Table5[[#This Row],[PID]],Batters[[#All],[PID]],0)),INDEX(Table3[[#All],[MOV P]],MATCH(Table5[[#This Row],[PID]],Table3[[#All],[PID]],0)))</f>
        <v>3</v>
      </c>
      <c r="N956" s="58">
        <f>IF($C956="B",INDEX(Batters[[#All],[POW P]],MATCH(Table5[[#This Row],[PID]],Batters[[#All],[PID]],0)),INDEX(Table3[[#All],[CON P]],MATCH(Table5[[#This Row],[PID]],Table3[[#All],[PID]],0)))</f>
        <v>3</v>
      </c>
      <c r="O956" s="58">
        <f>IF($C956="B",INDEX(Batters[[#All],[EYE P]],MATCH(Table5[[#This Row],[PID]],Batters[[#All],[PID]],0)),INDEX(Table3[[#All],[VELO]],MATCH(Table5[[#This Row],[PID]],Table3[[#All],[PID]],0)))</f>
        <v>4</v>
      </c>
      <c r="P956" s="58">
        <f>IF($C956="B",INDEX(Batters[[#All],[K P]],MATCH(Table5[[#This Row],[PID]],Batters[[#All],[PID]],0)),INDEX(Table3[[#All],[STM]],MATCH(Table5[[#This Row],[PID]],Table3[[#All],[PID]],0)))</f>
        <v>3</v>
      </c>
      <c r="Q956" s="63">
        <f>IF($C956="B",INDEX(Batters[[#All],[Tot]],MATCH(Table5[[#This Row],[PID]],Batters[[#All],[PID]],0)),INDEX(Table3[[#All],[Tot]],MATCH(Table5[[#This Row],[PID]],Table3[[#All],[PID]],0)))</f>
        <v>35.438274769295205</v>
      </c>
      <c r="R956" s="54">
        <f>IF($C956="B",INDEX(Batters[[#All],[zScore]],MATCH(Table5[[#This Row],[PID]],Batters[[#All],[PID]],0)),INDEX(Table3[[#All],[zScore]],MATCH(Table5[[#This Row],[PID]],Table3[[#All],[PID]],0)))</f>
        <v>-0.86387704384420005</v>
      </c>
      <c r="S956" s="60" t="str">
        <f>IF($C956="B",INDEX(Batters[[#All],[DEM]],MATCH(Table5[[#This Row],[PID]],Batters[[#All],[PID]],0)),INDEX(Table3[[#All],[DEM]],MATCH(Table5[[#This Row],[PID]],Table3[[#All],[PID]],0)))</f>
        <v>-</v>
      </c>
      <c r="T956" s="64">
        <f>IF($C956="B",VLOOKUP($A956,Bat!$A$4:$AU$1417,46,FALSE),VLOOKUP($A956,Pit!$A$4:$BD$570,55,FALSE))</f>
        <v>0</v>
      </c>
      <c r="U956" s="52">
        <f>IF($C956="B",VLOOKUP($A956,Bat!$A$4:$BA$1417,47,FALSE),VLOOKUP($A956,Pit!$A$4:$BF$570,56,FALSE))</f>
        <v>0</v>
      </c>
      <c r="V956" s="52">
        <f>IF($C956="B",VLOOKUP($A956,Bat!$A$4:$BA$1417,48,FALSE),VLOOKUP($A956,Pit!$A$4:$BF$570,57,FALSE))</f>
        <v>0</v>
      </c>
      <c r="W956" s="52">
        <f>Table5[[#This Row],[posRnk]]+Table5[[#This Row],[zRnk]]+IF($W$3&lt;&gt;Table5[[#This Row],[Type]],50,0)</f>
        <v>1002</v>
      </c>
      <c r="X956" s="53">
        <f>RANK(Table5[[#This Row],[zScore]],Table5[[#All],[zScore]])</f>
        <v>952</v>
      </c>
      <c r="Y956" s="52" t="str">
        <f>IFERROR(INDEX(DraftResults[[#All],[OVR]],MATCH(Table5[[#This Row],[PID]],DraftResults[[#All],[Player ID]],0)),"")</f>
        <v/>
      </c>
      <c r="Z9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6" s="52" t="str">
        <f>IFERROR(INDEX(DraftResults[[#All],[Pick in Round]],MATCH(Table5[[#This Row],[PID]],DraftResults[[#All],[Player ID]],0)),"")</f>
        <v/>
      </c>
      <c r="AB956" s="52" t="str">
        <f>IFERROR(INDEX(DraftResults[[#All],[Team Name]],MATCH(Table5[[#This Row],[PID]],DraftResults[[#All],[Player ID]],0)),"")</f>
        <v/>
      </c>
      <c r="AC956" s="52" t="str">
        <f>IF(Table5[[#This Row],[Ovr]]="","",IF(Table5[[#This Row],[cmbList]]="","",Table5[[#This Row],[cmbList]]-Table5[[#This Row],[Ovr]]))</f>
        <v/>
      </c>
      <c r="AD956" s="56" t="str">
        <f>IF(ISERROR(VLOOKUP($AB956&amp;"-"&amp;$E956&amp;" "&amp;F956,Bonuses!$B$1:$G$1006,4,FALSE)),"",INT(VLOOKUP($AB956&amp;"-"&amp;$E956&amp;" "&amp;$F956,Bonuses!$B$1:$G$1006,4,FALSE)))</f>
        <v/>
      </c>
      <c r="AE9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7" spans="1:31" s="52" customFormat="1" x14ac:dyDescent="0.25">
      <c r="A957" s="52">
        <v>9065</v>
      </c>
      <c r="B957" s="52">
        <f>COUNTIF(Table5[PID],A957)</f>
        <v>1</v>
      </c>
      <c r="C957" s="52" t="str">
        <f>IF(COUNTIF(Table3[[#All],[PID]],A957)&gt;0,"P","B")</f>
        <v>P</v>
      </c>
      <c r="D957" s="61" t="str">
        <f>IF($C957="B",INDEX(Batters[[#All],[POS]],MATCH(Table5[[#This Row],[PID]],Batters[[#All],[PID]],0)),INDEX(Table3[[#All],[POS]],MATCH(Table5[[#This Row],[PID]],Table3[[#All],[PID]],0)))</f>
        <v>RP</v>
      </c>
      <c r="E957" s="54" t="str">
        <f>IF($C957="B",INDEX(Batters[[#All],[First]],MATCH(Table5[[#This Row],[PID]],Batters[[#All],[PID]],0)),INDEX(Table3[[#All],[First]],MATCH(Table5[[#This Row],[PID]],Table3[[#All],[PID]],0)))</f>
        <v>Takuro</v>
      </c>
      <c r="F957" s="52" t="str">
        <f>IF($C957="B",INDEX(Batters[[#All],[Last]],MATCH(A957,Batters[[#All],[PID]],0)),INDEX(Table3[[#All],[Last]],MATCH(A957,Table3[[#All],[PID]],0)))</f>
        <v>Seki</v>
      </c>
      <c r="G957" s="58">
        <f>IF($C957="B",INDEX(Batters[[#All],[Age]],MATCH(Table5[[#This Row],[PID]],Batters[[#All],[PID]],0)),INDEX(Table3[[#All],[Age]],MATCH(Table5[[#This Row],[PID]],Table3[[#All],[PID]],0)))</f>
        <v>21</v>
      </c>
      <c r="H957" s="54" t="str">
        <f>IF($C957="B",INDEX(Batters[[#All],[B]],MATCH(Table5[[#This Row],[PID]],Batters[[#All],[PID]],0)),INDEX(Table3[[#All],[B]],MATCH(Table5[[#This Row],[PID]],Table3[[#All],[PID]],0)))</f>
        <v>S</v>
      </c>
      <c r="I957" s="54" t="str">
        <f>IF($C957="B",INDEX(Batters[[#All],[T]],MATCH(Table5[[#This Row],[PID]],Batters[[#All],[PID]],0)),INDEX(Table3[[#All],[T]],MATCH(Table5[[#This Row],[PID]],Table3[[#All],[PID]],0)))</f>
        <v>R</v>
      </c>
      <c r="J957" s="54" t="str">
        <f>IF($C957="B",INDEX(Batters[[#All],[WE]],MATCH(Table5[[#This Row],[PID]],Batters[[#All],[PID]],0)),INDEX(Table3[[#All],[WE]],MATCH(Table5[[#This Row],[PID]],Table3[[#All],[PID]],0)))</f>
        <v>Low</v>
      </c>
      <c r="K957" s="54" t="str">
        <f>IF($C957="B",INDEX(Batters[[#All],[INT]],MATCH(Table5[[#This Row],[PID]],Batters[[#All],[PID]],0)),INDEX(Table3[[#All],[INT]],MATCH(Table5[[#This Row],[PID]],Table3[[#All],[PID]],0)))</f>
        <v>Normal</v>
      </c>
      <c r="L957" s="62">
        <f>IF($C957="B",INDEX(Batters[[#All],[CON P]],MATCH(Table5[[#This Row],[PID]],Batters[[#All],[PID]],0)),INDEX(Table3[[#All],[STU P]],MATCH(Table5[[#This Row],[PID]],Table3[[#All],[PID]],0)))</f>
        <v>3</v>
      </c>
      <c r="M957" s="58">
        <f>IF($C957="B",INDEX(Batters[[#All],[GAP P]],MATCH(Table5[[#This Row],[PID]],Batters[[#All],[PID]],0)),INDEX(Table3[[#All],[MOV P]],MATCH(Table5[[#This Row],[PID]],Table3[[#All],[PID]],0)))</f>
        <v>2</v>
      </c>
      <c r="N957" s="58">
        <f>IF($C957="B",INDEX(Batters[[#All],[POW P]],MATCH(Table5[[#This Row],[PID]],Batters[[#All],[PID]],0)),INDEX(Table3[[#All],[CON P]],MATCH(Table5[[#This Row],[PID]],Table3[[#All],[PID]],0)))</f>
        <v>2</v>
      </c>
      <c r="O957" s="58" t="str">
        <f>IF($C957="B",INDEX(Batters[[#All],[EYE P]],MATCH(Table5[[#This Row],[PID]],Batters[[#All],[PID]],0)),INDEX(Table3[[#All],[VELO]],MATCH(Table5[[#This Row],[PID]],Table3[[#All],[PID]],0)))</f>
        <v>85-87 Mph</v>
      </c>
      <c r="P957" s="58">
        <f>IF($C957="B",INDEX(Batters[[#All],[K P]],MATCH(Table5[[#This Row],[PID]],Batters[[#All],[PID]],0)),INDEX(Table3[[#All],[STM]],MATCH(Table5[[#This Row],[PID]],Table3[[#All],[PID]],0)))</f>
        <v>7</v>
      </c>
      <c r="Q957" s="63">
        <f>IF($C957="B",INDEX(Batters[[#All],[Tot]],MATCH(Table5[[#This Row],[PID]],Batters[[#All],[PID]],0)),INDEX(Table3[[#All],[Tot]],MATCH(Table5[[#This Row],[PID]],Table3[[#All],[PID]],0)))</f>
        <v>20.500613462075613</v>
      </c>
      <c r="R957" s="54">
        <f>IF($C957="B",INDEX(Batters[[#All],[zScore]],MATCH(Table5[[#This Row],[PID]],Batters[[#All],[PID]],0)),INDEX(Table3[[#All],[zScore]],MATCH(Table5[[#This Row],[PID]],Table3[[#All],[PID]],0)))</f>
        <v>-0.86719123067730641</v>
      </c>
      <c r="S957" s="60" t="str">
        <f>IF($C957="B",INDEX(Batters[[#All],[DEM]],MATCH(Table5[[#This Row],[PID]],Batters[[#All],[PID]],0)),INDEX(Table3[[#All],[DEM]],MATCH(Table5[[#This Row],[PID]],Table3[[#All],[PID]],0)))</f>
        <v>-</v>
      </c>
      <c r="T957" s="64" t="e">
        <f>IF($C957="B",VLOOKUP($A957,Bat!$A$4:$AU$1417,46,FALSE),VLOOKUP($A957,Pit!$A$4:$BD$570,55,FALSE))</f>
        <v>#N/A</v>
      </c>
      <c r="U957" s="52" t="e">
        <f>IF($C957="B",VLOOKUP($A957,Bat!$A$4:$BA$1417,47,FALSE),VLOOKUP($A957,Pit!$A$4:$BF$570,56,FALSE))</f>
        <v>#N/A</v>
      </c>
      <c r="V957" s="52" t="e">
        <f>IF($C957="B",VLOOKUP($A957,Bat!$A$4:$BA$1417,48,FALSE),VLOOKUP($A957,Pit!$A$4:$BF$570,57,FALSE))</f>
        <v>#N/A</v>
      </c>
      <c r="W957" s="52" t="e">
        <f>Table5[[#This Row],[posRnk]]+Table5[[#This Row],[zRnk]]+IF($W$3&lt;&gt;Table5[[#This Row],[Type]],50,0)</f>
        <v>#N/A</v>
      </c>
      <c r="X957" s="53">
        <f>RANK(Table5[[#This Row],[zScore]],Table5[[#All],[zScore]])</f>
        <v>953</v>
      </c>
      <c r="Y957" s="52" t="str">
        <f>IFERROR(INDEX(DraftResults[[#All],[OVR]],MATCH(Table5[[#This Row],[PID]],DraftResults[[#All],[Player ID]],0)),"")</f>
        <v/>
      </c>
      <c r="Z9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7" s="52" t="str">
        <f>IFERROR(INDEX(DraftResults[[#All],[Pick in Round]],MATCH(Table5[[#This Row],[PID]],DraftResults[[#All],[Player ID]],0)),"")</f>
        <v/>
      </c>
      <c r="AB957" s="52" t="str">
        <f>IFERROR(INDEX(DraftResults[[#All],[Team Name]],MATCH(Table5[[#This Row],[PID]],DraftResults[[#All],[Player ID]],0)),"")</f>
        <v/>
      </c>
      <c r="AC957" s="52" t="str">
        <f>IF(Table5[[#This Row],[Ovr]]="","",IF(Table5[[#This Row],[cmbList]]="","",Table5[[#This Row],[cmbList]]-Table5[[#This Row],[Ovr]]))</f>
        <v/>
      </c>
      <c r="AD957" s="56" t="str">
        <f>IF(ISERROR(VLOOKUP($AB957&amp;"-"&amp;$E957&amp;" "&amp;F957,Bonuses!$B$1:$G$1006,4,FALSE)),"",INT(VLOOKUP($AB957&amp;"-"&amp;$E957&amp;" "&amp;$F957,Bonuses!$B$1:$G$1006,4,FALSE)))</f>
        <v/>
      </c>
      <c r="AE9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8" spans="1:31" s="52" customFormat="1" x14ac:dyDescent="0.25">
      <c r="A958" s="52">
        <v>13142</v>
      </c>
      <c r="B958" s="52">
        <f>COUNTIF(Table5[PID],A958)</f>
        <v>1</v>
      </c>
      <c r="C958" s="52" t="str">
        <f>IF(COUNTIF(Table3[[#All],[PID]],A958)&gt;0,"P","B")</f>
        <v>P</v>
      </c>
      <c r="D958" s="61" t="str">
        <f>IF($C958="B",INDEX(Batters[[#All],[POS]],MATCH(Table5[[#This Row],[PID]],Batters[[#All],[PID]],0)),INDEX(Table3[[#All],[POS]],MATCH(Table5[[#This Row],[PID]],Table3[[#All],[PID]],0)))</f>
        <v>RP</v>
      </c>
      <c r="E958" s="54" t="str">
        <f>IF($C958="B",INDEX(Batters[[#All],[First]],MATCH(Table5[[#This Row],[PID]],Batters[[#All],[PID]],0)),INDEX(Table3[[#All],[First]],MATCH(Table5[[#This Row],[PID]],Table3[[#All],[PID]],0)))</f>
        <v>Tom</v>
      </c>
      <c r="F958" s="52" t="str">
        <f>IF($C958="B",INDEX(Batters[[#All],[Last]],MATCH(A958,Batters[[#All],[PID]],0)),INDEX(Table3[[#All],[Last]],MATCH(A958,Table3[[#All],[PID]],0)))</f>
        <v>Casey</v>
      </c>
      <c r="G958" s="58">
        <f>IF($C958="B",INDEX(Batters[[#All],[Age]],MATCH(Table5[[#This Row],[PID]],Batters[[#All],[PID]],0)),INDEX(Table3[[#All],[Age]],MATCH(Table5[[#This Row],[PID]],Table3[[#All],[PID]],0)))</f>
        <v>18</v>
      </c>
      <c r="H958" s="54" t="str">
        <f>IF($C958="B",INDEX(Batters[[#All],[B]],MATCH(Table5[[#This Row],[PID]],Batters[[#All],[PID]],0)),INDEX(Table3[[#All],[B]],MATCH(Table5[[#This Row],[PID]],Table3[[#All],[PID]],0)))</f>
        <v>L</v>
      </c>
      <c r="I958" s="54" t="str">
        <f>IF($C958="B",INDEX(Batters[[#All],[T]],MATCH(Table5[[#This Row],[PID]],Batters[[#All],[PID]],0)),INDEX(Table3[[#All],[T]],MATCH(Table5[[#This Row],[PID]],Table3[[#All],[PID]],0)))</f>
        <v>L</v>
      </c>
      <c r="J958" s="54" t="str">
        <f>IF($C958="B",INDEX(Batters[[#All],[WE]],MATCH(Table5[[#This Row],[PID]],Batters[[#All],[PID]],0)),INDEX(Table3[[#All],[WE]],MATCH(Table5[[#This Row],[PID]],Table3[[#All],[PID]],0)))</f>
        <v>High</v>
      </c>
      <c r="K958" s="54" t="str">
        <f>IF($C958="B",INDEX(Batters[[#All],[INT]],MATCH(Table5[[#This Row],[PID]],Batters[[#All],[PID]],0)),INDEX(Table3[[#All],[INT]],MATCH(Table5[[#This Row],[PID]],Table3[[#All],[PID]],0)))</f>
        <v>Normal</v>
      </c>
      <c r="L958" s="62">
        <f>IF($C958="B",INDEX(Batters[[#All],[CON P]],MATCH(Table5[[#This Row],[PID]],Batters[[#All],[PID]],0)),INDEX(Table3[[#All],[STU P]],MATCH(Table5[[#This Row],[PID]],Table3[[#All],[PID]],0)))</f>
        <v>4</v>
      </c>
      <c r="M958" s="58">
        <f>IF($C958="B",INDEX(Batters[[#All],[GAP P]],MATCH(Table5[[#This Row],[PID]],Batters[[#All],[PID]],0)),INDEX(Table3[[#All],[MOV P]],MATCH(Table5[[#This Row],[PID]],Table3[[#All],[PID]],0)))</f>
        <v>2</v>
      </c>
      <c r="N958" s="58">
        <f>IF($C958="B",INDEX(Batters[[#All],[POW P]],MATCH(Table5[[#This Row],[PID]],Batters[[#All],[PID]],0)),INDEX(Table3[[#All],[CON P]],MATCH(Table5[[#This Row],[PID]],Table3[[#All],[PID]],0)))</f>
        <v>1</v>
      </c>
      <c r="O958" s="58" t="str">
        <f>IF($C958="B",INDEX(Batters[[#All],[EYE P]],MATCH(Table5[[#This Row],[PID]],Batters[[#All],[PID]],0)),INDEX(Table3[[#All],[VELO]],MATCH(Table5[[#This Row],[PID]],Table3[[#All],[PID]],0)))</f>
        <v>88-90 Mph</v>
      </c>
      <c r="P958" s="58">
        <f>IF($C958="B",INDEX(Batters[[#All],[K P]],MATCH(Table5[[#This Row],[PID]],Batters[[#All],[PID]],0)),INDEX(Table3[[#All],[STM]],MATCH(Table5[[#This Row],[PID]],Table3[[#All],[PID]],0)))</f>
        <v>4</v>
      </c>
      <c r="Q958" s="63">
        <f>IF($C958="B",INDEX(Batters[[#All],[Tot]],MATCH(Table5[[#This Row],[PID]],Batters[[#All],[PID]],0)),INDEX(Table3[[#All],[Tot]],MATCH(Table5[[#This Row],[PID]],Table3[[#All],[PID]],0)))</f>
        <v>23.232649224378559</v>
      </c>
      <c r="R958" s="54">
        <f>IF($C958="B",INDEX(Batters[[#All],[zScore]],MATCH(Table5[[#This Row],[PID]],Batters[[#All],[PID]],0)),INDEX(Table3[[#All],[zScore]],MATCH(Table5[[#This Row],[PID]],Table3[[#All],[PID]],0)))</f>
        <v>-0.87023702885171295</v>
      </c>
      <c r="S958" s="60" t="str">
        <f>IF($C958="B",INDEX(Batters[[#All],[DEM]],MATCH(Table5[[#This Row],[PID]],Batters[[#All],[PID]],0)),INDEX(Table3[[#All],[DEM]],MATCH(Table5[[#This Row],[PID]],Table3[[#All],[PID]],0)))</f>
        <v>$65k</v>
      </c>
      <c r="T958" s="64">
        <f>IF($C958="B",VLOOKUP($A958,Bat!$A$4:$AU$1417,46,FALSE),VLOOKUP($A958,Pit!$A$4:$BD$570,55,FALSE))</f>
        <v>0</v>
      </c>
      <c r="U958" s="52">
        <f>IF($C958="B",VLOOKUP($A958,Bat!$A$4:$BA$1417,47,FALSE),VLOOKUP($A958,Pit!$A$4:$BF$570,56,FALSE))</f>
        <v>0</v>
      </c>
      <c r="V958" s="52">
        <f>IF($C958="B",VLOOKUP($A958,Bat!$A$4:$BA$1417,48,FALSE),VLOOKUP($A958,Pit!$A$4:$BF$570,57,FALSE))</f>
        <v>0</v>
      </c>
      <c r="W958" s="52">
        <f>Table5[[#This Row],[posRnk]]+Table5[[#This Row],[zRnk]]+IF($W$3&lt;&gt;Table5[[#This Row],[Type]],50,0)</f>
        <v>1004</v>
      </c>
      <c r="X958" s="53">
        <f>RANK(Table5[[#This Row],[zScore]],Table5[[#All],[zScore]])</f>
        <v>954</v>
      </c>
      <c r="Y958" s="52" t="str">
        <f>IFERROR(INDEX(DraftResults[[#All],[OVR]],MATCH(Table5[[#This Row],[PID]],DraftResults[[#All],[Player ID]],0)),"")</f>
        <v/>
      </c>
      <c r="Z9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8" s="52" t="str">
        <f>IFERROR(INDEX(DraftResults[[#All],[Pick in Round]],MATCH(Table5[[#This Row],[PID]],DraftResults[[#All],[Player ID]],0)),"")</f>
        <v/>
      </c>
      <c r="AB958" s="52" t="str">
        <f>IFERROR(INDEX(DraftResults[[#All],[Team Name]],MATCH(Table5[[#This Row],[PID]],DraftResults[[#All],[Player ID]],0)),"")</f>
        <v/>
      </c>
      <c r="AC958" s="52" t="str">
        <f>IF(Table5[[#This Row],[Ovr]]="","",IF(Table5[[#This Row],[cmbList]]="","",Table5[[#This Row],[cmbList]]-Table5[[#This Row],[Ovr]]))</f>
        <v/>
      </c>
      <c r="AD958" s="56" t="str">
        <f>IF(ISERROR(VLOOKUP($AB958&amp;"-"&amp;$E958&amp;" "&amp;F958,Bonuses!$B$1:$G$1006,4,FALSE)),"",INT(VLOOKUP($AB958&amp;"-"&amp;$E958&amp;" "&amp;$F958,Bonuses!$B$1:$G$1006,4,FALSE)))</f>
        <v/>
      </c>
      <c r="AE9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9" spans="1:31" s="52" customFormat="1" x14ac:dyDescent="0.25">
      <c r="A959" s="52">
        <v>5861</v>
      </c>
      <c r="B959" s="52">
        <f>COUNTIF(Table5[PID],A959)</f>
        <v>1</v>
      </c>
      <c r="C959" s="52" t="str">
        <f>IF(COUNTIF(Table3[[#All],[PID]],A959)&gt;0,"P","B")</f>
        <v>P</v>
      </c>
      <c r="D959" s="61" t="str">
        <f>IF($C959="B",INDEX(Batters[[#All],[POS]],MATCH(Table5[[#This Row],[PID]],Batters[[#All],[PID]],0)),INDEX(Table3[[#All],[POS]],MATCH(Table5[[#This Row],[PID]],Table3[[#All],[PID]],0)))</f>
        <v>RP</v>
      </c>
      <c r="E959" s="54" t="str">
        <f>IF($C959="B",INDEX(Batters[[#All],[First]],MATCH(Table5[[#This Row],[PID]],Batters[[#All],[PID]],0)),INDEX(Table3[[#All],[First]],MATCH(Table5[[#This Row],[PID]],Table3[[#All],[PID]],0)))</f>
        <v>Francisco</v>
      </c>
      <c r="F959" s="52" t="str">
        <f>IF($C959="B",INDEX(Batters[[#All],[Last]],MATCH(A959,Batters[[#All],[PID]],0)),INDEX(Table3[[#All],[Last]],MATCH(A959,Table3[[#All],[PID]],0)))</f>
        <v>Gutiérrez</v>
      </c>
      <c r="G959" s="58">
        <f>IF($C959="B",INDEX(Batters[[#All],[Age]],MATCH(Table5[[#This Row],[PID]],Batters[[#All],[PID]],0)),INDEX(Table3[[#All],[Age]],MATCH(Table5[[#This Row],[PID]],Table3[[#All],[PID]],0)))</f>
        <v>18</v>
      </c>
      <c r="H959" s="54" t="str">
        <f>IF($C959="B",INDEX(Batters[[#All],[B]],MATCH(Table5[[#This Row],[PID]],Batters[[#All],[PID]],0)),INDEX(Table3[[#All],[B]],MATCH(Table5[[#This Row],[PID]],Table3[[#All],[PID]],0)))</f>
        <v>R</v>
      </c>
      <c r="I959" s="54" t="str">
        <f>IF($C959="B",INDEX(Batters[[#All],[T]],MATCH(Table5[[#This Row],[PID]],Batters[[#All],[PID]],0)),INDEX(Table3[[#All],[T]],MATCH(Table5[[#This Row],[PID]],Table3[[#All],[PID]],0)))</f>
        <v>R</v>
      </c>
      <c r="J959" s="54" t="str">
        <f>IF($C959="B",INDEX(Batters[[#All],[WE]],MATCH(Table5[[#This Row],[PID]],Batters[[#All],[PID]],0)),INDEX(Table3[[#All],[WE]],MATCH(Table5[[#This Row],[PID]],Table3[[#All],[PID]],0)))</f>
        <v>Normal</v>
      </c>
      <c r="K959" s="54" t="str">
        <f>IF($C959="B",INDEX(Batters[[#All],[INT]],MATCH(Table5[[#This Row],[PID]],Batters[[#All],[PID]],0)),INDEX(Table3[[#All],[INT]],MATCH(Table5[[#This Row],[PID]],Table3[[#All],[PID]],0)))</f>
        <v>Normal</v>
      </c>
      <c r="L959" s="62">
        <f>IF($C959="B",INDEX(Batters[[#All],[CON P]],MATCH(Table5[[#This Row],[PID]],Batters[[#All],[PID]],0)),INDEX(Table3[[#All],[STU P]],MATCH(Table5[[#This Row],[PID]],Table3[[#All],[PID]],0)))</f>
        <v>4</v>
      </c>
      <c r="M959" s="58">
        <f>IF($C959="B",INDEX(Batters[[#All],[GAP P]],MATCH(Table5[[#This Row],[PID]],Batters[[#All],[PID]],0)),INDEX(Table3[[#All],[MOV P]],MATCH(Table5[[#This Row],[PID]],Table3[[#All],[PID]],0)))</f>
        <v>2</v>
      </c>
      <c r="N959" s="58">
        <f>IF($C959="B",INDEX(Batters[[#All],[POW P]],MATCH(Table5[[#This Row],[PID]],Batters[[#All],[PID]],0)),INDEX(Table3[[#All],[CON P]],MATCH(Table5[[#This Row],[PID]],Table3[[#All],[PID]],0)))</f>
        <v>2</v>
      </c>
      <c r="O959" s="58" t="str">
        <f>IF($C959="B",INDEX(Batters[[#All],[EYE P]],MATCH(Table5[[#This Row],[PID]],Batters[[#All],[PID]],0)),INDEX(Table3[[#All],[VELO]],MATCH(Table5[[#This Row],[PID]],Table3[[#All],[PID]],0)))</f>
        <v>87-89 Mph</v>
      </c>
      <c r="P959" s="58">
        <f>IF($C959="B",INDEX(Batters[[#All],[K P]],MATCH(Table5[[#This Row],[PID]],Batters[[#All],[PID]],0)),INDEX(Table3[[#All],[STM]],MATCH(Table5[[#This Row],[PID]],Table3[[#All],[PID]],0)))</f>
        <v>3</v>
      </c>
      <c r="Q959" s="63">
        <f>IF($C959="B",INDEX(Batters[[#All],[Tot]],MATCH(Table5[[#This Row],[PID]],Batters[[#All],[PID]],0)),INDEX(Table3[[#All],[Tot]],MATCH(Table5[[#This Row],[PID]],Table3[[#All],[PID]],0)))</f>
        <v>23.212248627749908</v>
      </c>
      <c r="R959" s="54">
        <f>IF($C959="B",INDEX(Batters[[#All],[zScore]],MATCH(Table5[[#This Row],[PID]],Batters[[#All],[PID]],0)),INDEX(Table3[[#All],[zScore]],MATCH(Table5[[#This Row],[PID]],Table3[[#All],[PID]],0)))</f>
        <v>-0.87210785075654274</v>
      </c>
      <c r="S959" s="60" t="str">
        <f>IF($C959="B",INDEX(Batters[[#All],[DEM]],MATCH(Table5[[#This Row],[PID]],Batters[[#All],[PID]],0)),INDEX(Table3[[#All],[DEM]],MATCH(Table5[[#This Row],[PID]],Table3[[#All],[PID]],0)))</f>
        <v>$65k</v>
      </c>
      <c r="T959" s="64">
        <f>IF($C959="B",VLOOKUP($A959,Bat!$A$4:$AU$1417,46,FALSE),VLOOKUP($A959,Pit!$A$4:$BD$570,55,FALSE))</f>
        <v>0</v>
      </c>
      <c r="U959" s="52">
        <f>IF($C959="B",VLOOKUP($A959,Bat!$A$4:$BA$1417,47,FALSE),VLOOKUP($A959,Pit!$A$4:$BF$570,56,FALSE))</f>
        <v>0</v>
      </c>
      <c r="V959" s="52">
        <f>IF($C959="B",VLOOKUP($A959,Bat!$A$4:$BA$1417,48,FALSE),VLOOKUP($A959,Pit!$A$4:$BF$570,57,FALSE))</f>
        <v>0</v>
      </c>
      <c r="W959" s="52">
        <f>Table5[[#This Row],[posRnk]]+Table5[[#This Row],[zRnk]]+IF($W$3&lt;&gt;Table5[[#This Row],[Type]],50,0)</f>
        <v>1005</v>
      </c>
      <c r="X959" s="53">
        <f>RANK(Table5[[#This Row],[zScore]],Table5[[#All],[zScore]])</f>
        <v>955</v>
      </c>
      <c r="Y959" s="52" t="str">
        <f>IFERROR(INDEX(DraftResults[[#All],[OVR]],MATCH(Table5[[#This Row],[PID]],DraftResults[[#All],[Player ID]],0)),"")</f>
        <v/>
      </c>
      <c r="Z9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9" s="52" t="str">
        <f>IFERROR(INDEX(DraftResults[[#All],[Pick in Round]],MATCH(Table5[[#This Row],[PID]],DraftResults[[#All],[Player ID]],0)),"")</f>
        <v/>
      </c>
      <c r="AB959" s="52" t="str">
        <f>IFERROR(INDEX(DraftResults[[#All],[Team Name]],MATCH(Table5[[#This Row],[PID]],DraftResults[[#All],[Player ID]],0)),"")</f>
        <v/>
      </c>
      <c r="AC959" s="52" t="str">
        <f>IF(Table5[[#This Row],[Ovr]]="","",IF(Table5[[#This Row],[cmbList]]="","",Table5[[#This Row],[cmbList]]-Table5[[#This Row],[Ovr]]))</f>
        <v/>
      </c>
      <c r="AD959" s="56" t="str">
        <f>IF(ISERROR(VLOOKUP($AB959&amp;"-"&amp;$E959&amp;" "&amp;F959,Bonuses!$B$1:$G$1006,4,FALSE)),"",INT(VLOOKUP($AB959&amp;"-"&amp;$E959&amp;" "&amp;$F959,Bonuses!$B$1:$G$1006,4,FALSE)))</f>
        <v/>
      </c>
      <c r="AE9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0" spans="1:31" s="52" customFormat="1" x14ac:dyDescent="0.25">
      <c r="A960" s="52">
        <v>9847</v>
      </c>
      <c r="B960" s="52">
        <f>COUNTIF(Table5[PID],A960)</f>
        <v>1</v>
      </c>
      <c r="C960" s="52" t="str">
        <f>IF(COUNTIF(Table3[[#All],[PID]],A960)&gt;0,"P","B")</f>
        <v>P</v>
      </c>
      <c r="D960" s="61" t="str">
        <f>IF($C960="B",INDEX(Batters[[#All],[POS]],MATCH(Table5[[#This Row],[PID]],Batters[[#All],[PID]],0)),INDEX(Table3[[#All],[POS]],MATCH(Table5[[#This Row],[PID]],Table3[[#All],[PID]],0)))</f>
        <v>SP</v>
      </c>
      <c r="E960" s="54" t="str">
        <f>IF($C960="B",INDEX(Batters[[#All],[First]],MATCH(Table5[[#This Row],[PID]],Batters[[#All],[PID]],0)),INDEX(Table3[[#All],[First]],MATCH(Table5[[#This Row],[PID]],Table3[[#All],[PID]],0)))</f>
        <v>Chris</v>
      </c>
      <c r="F960" s="52" t="str">
        <f>IF($C960="B",INDEX(Batters[[#All],[Last]],MATCH(A960,Batters[[#All],[PID]],0)),INDEX(Table3[[#All],[Last]],MATCH(A960,Table3[[#All],[PID]],0)))</f>
        <v>Trent</v>
      </c>
      <c r="G960" s="58">
        <f>IF($C960="B",INDEX(Batters[[#All],[Age]],MATCH(Table5[[#This Row],[PID]],Batters[[#All],[PID]],0)),INDEX(Table3[[#All],[Age]],MATCH(Table5[[#This Row],[PID]],Table3[[#All],[PID]],0)))</f>
        <v>21</v>
      </c>
      <c r="H960" s="54" t="str">
        <f>IF($C960="B",INDEX(Batters[[#All],[B]],MATCH(Table5[[#This Row],[PID]],Batters[[#All],[PID]],0)),INDEX(Table3[[#All],[B]],MATCH(Table5[[#This Row],[PID]],Table3[[#All],[PID]],0)))</f>
        <v>L</v>
      </c>
      <c r="I960" s="54" t="str">
        <f>IF($C960="B",INDEX(Batters[[#All],[T]],MATCH(Table5[[#This Row],[PID]],Batters[[#All],[PID]],0)),INDEX(Table3[[#All],[T]],MATCH(Table5[[#This Row],[PID]],Table3[[#All],[PID]],0)))</f>
        <v>R</v>
      </c>
      <c r="J960" s="54" t="str">
        <f>IF($C960="B",INDEX(Batters[[#All],[WE]],MATCH(Table5[[#This Row],[PID]],Batters[[#All],[PID]],0)),INDEX(Table3[[#All],[WE]],MATCH(Table5[[#This Row],[PID]],Table3[[#All],[PID]],0)))</f>
        <v>High</v>
      </c>
      <c r="K960" s="54" t="str">
        <f>IF($C960="B",INDEX(Batters[[#All],[INT]],MATCH(Table5[[#This Row],[PID]],Batters[[#All],[PID]],0)),INDEX(Table3[[#All],[INT]],MATCH(Table5[[#This Row],[PID]],Table3[[#All],[PID]],0)))</f>
        <v>Normal</v>
      </c>
      <c r="L960" s="62">
        <f>IF($C960="B",INDEX(Batters[[#All],[CON P]],MATCH(Table5[[#This Row],[PID]],Batters[[#All],[PID]],0)),INDEX(Table3[[#All],[STU P]],MATCH(Table5[[#This Row],[PID]],Table3[[#All],[PID]],0)))</f>
        <v>3</v>
      </c>
      <c r="M960" s="58">
        <f>IF($C960="B",INDEX(Batters[[#All],[GAP P]],MATCH(Table5[[#This Row],[PID]],Batters[[#All],[PID]],0)),INDEX(Table3[[#All],[MOV P]],MATCH(Table5[[#This Row],[PID]],Table3[[#All],[PID]],0)))</f>
        <v>2</v>
      </c>
      <c r="N960" s="58">
        <f>IF($C960="B",INDEX(Batters[[#All],[POW P]],MATCH(Table5[[#This Row],[PID]],Batters[[#All],[PID]],0)),INDEX(Table3[[#All],[CON P]],MATCH(Table5[[#This Row],[PID]],Table3[[#All],[PID]],0)))</f>
        <v>2</v>
      </c>
      <c r="O960" s="58" t="str">
        <f>IF($C960="B",INDEX(Batters[[#All],[EYE P]],MATCH(Table5[[#This Row],[PID]],Batters[[#All],[PID]],0)),INDEX(Table3[[#All],[VELO]],MATCH(Table5[[#This Row],[PID]],Table3[[#All],[PID]],0)))</f>
        <v>89-91 Mph</v>
      </c>
      <c r="P960" s="58">
        <f>IF($C960="B",INDEX(Batters[[#All],[K P]],MATCH(Table5[[#This Row],[PID]],Batters[[#All],[PID]],0)),INDEX(Table3[[#All],[STM]],MATCH(Table5[[#This Row],[PID]],Table3[[#All],[PID]],0)))</f>
        <v>6</v>
      </c>
      <c r="Q960" s="63">
        <f>IF($C960="B",INDEX(Batters[[#All],[Tot]],MATCH(Table5[[#This Row],[PID]],Batters[[#All],[PID]],0)),INDEX(Table3[[#All],[Tot]],MATCH(Table5[[#This Row],[PID]],Table3[[#All],[PID]],0)))</f>
        <v>20.411155921603921</v>
      </c>
      <c r="R960" s="54">
        <f>IF($C960="B",INDEX(Batters[[#All],[zScore]],MATCH(Table5[[#This Row],[PID]],Batters[[#All],[PID]],0)),INDEX(Table3[[#All],[zScore]],MATCH(Table5[[#This Row],[PID]],Table3[[#All],[PID]],0)))</f>
        <v>-0.87503152226387604</v>
      </c>
      <c r="S960" s="60" t="str">
        <f>IF($C960="B",INDEX(Batters[[#All],[DEM]],MATCH(Table5[[#This Row],[PID]],Batters[[#All],[PID]],0)),INDEX(Table3[[#All],[DEM]],MATCH(Table5[[#This Row],[PID]],Table3[[#All],[PID]],0)))</f>
        <v>-</v>
      </c>
      <c r="T960" s="64">
        <f>IF($C960="B",VLOOKUP($A960,Bat!$A$4:$AU$1417,46,FALSE),VLOOKUP($A960,Pit!$A$4:$BD$570,55,FALSE))</f>
        <v>0</v>
      </c>
      <c r="U960" s="52">
        <f>IF($C960="B",VLOOKUP($A960,Bat!$A$4:$BA$1417,47,FALSE),VLOOKUP($A960,Pit!$A$4:$BF$570,56,FALSE))</f>
        <v>0</v>
      </c>
      <c r="V960" s="52">
        <f>IF($C960="B",VLOOKUP($A960,Bat!$A$4:$BA$1417,48,FALSE),VLOOKUP($A960,Pit!$A$4:$BF$570,57,FALSE))</f>
        <v>0</v>
      </c>
      <c r="W960" s="52">
        <f>Table5[[#This Row],[posRnk]]+Table5[[#This Row],[zRnk]]+IF($W$3&lt;&gt;Table5[[#This Row],[Type]],50,0)</f>
        <v>1006</v>
      </c>
      <c r="X960" s="53">
        <f>RANK(Table5[[#This Row],[zScore]],Table5[[#All],[zScore]])</f>
        <v>956</v>
      </c>
      <c r="Y960" s="52" t="str">
        <f>IFERROR(INDEX(DraftResults[[#All],[OVR]],MATCH(Table5[[#This Row],[PID]],DraftResults[[#All],[Player ID]],0)),"")</f>
        <v/>
      </c>
      <c r="Z9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0" s="52" t="str">
        <f>IFERROR(INDEX(DraftResults[[#All],[Pick in Round]],MATCH(Table5[[#This Row],[PID]],DraftResults[[#All],[Player ID]],0)),"")</f>
        <v/>
      </c>
      <c r="AB960" s="52" t="str">
        <f>IFERROR(INDEX(DraftResults[[#All],[Team Name]],MATCH(Table5[[#This Row],[PID]],DraftResults[[#All],[Player ID]],0)),"")</f>
        <v/>
      </c>
      <c r="AC960" s="52" t="str">
        <f>IF(Table5[[#This Row],[Ovr]]="","",IF(Table5[[#This Row],[cmbList]]="","",Table5[[#This Row],[cmbList]]-Table5[[#This Row],[Ovr]]))</f>
        <v/>
      </c>
      <c r="AD960" s="56" t="str">
        <f>IF(ISERROR(VLOOKUP($AB960&amp;"-"&amp;$E960&amp;" "&amp;F960,Bonuses!$B$1:$G$1006,4,FALSE)),"",INT(VLOOKUP($AB960&amp;"-"&amp;$E960&amp;" "&amp;$F960,Bonuses!$B$1:$G$1006,4,FALSE)))</f>
        <v/>
      </c>
      <c r="AE9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1" spans="1:31" s="52" customFormat="1" x14ac:dyDescent="0.25">
      <c r="A961" s="52">
        <v>12221</v>
      </c>
      <c r="B961" s="52">
        <f>COUNTIF(Table5[PID],A961)</f>
        <v>1</v>
      </c>
      <c r="C961" s="52" t="str">
        <f>IF(COUNTIF(Table3[[#All],[PID]],A961)&gt;0,"P","B")</f>
        <v>P</v>
      </c>
      <c r="D961" s="61" t="str">
        <f>IF($C961="B",INDEX(Batters[[#All],[POS]],MATCH(Table5[[#This Row],[PID]],Batters[[#All],[PID]],0)),INDEX(Table3[[#All],[POS]],MATCH(Table5[[#This Row],[PID]],Table3[[#All],[PID]],0)))</f>
        <v>SP</v>
      </c>
      <c r="E961" s="54" t="str">
        <f>IF($C961="B",INDEX(Batters[[#All],[First]],MATCH(Table5[[#This Row],[PID]],Batters[[#All],[PID]],0)),INDEX(Table3[[#All],[First]],MATCH(Table5[[#This Row],[PID]],Table3[[#All],[PID]],0)))</f>
        <v>Zach</v>
      </c>
      <c r="F961" s="52" t="str">
        <f>IF($C961="B",INDEX(Batters[[#All],[Last]],MATCH(A961,Batters[[#All],[PID]],0)),INDEX(Table3[[#All],[Last]],MATCH(A961,Table3[[#All],[PID]],0)))</f>
        <v>Wilcox</v>
      </c>
      <c r="G961" s="58">
        <f>IF($C961="B",INDEX(Batters[[#All],[Age]],MATCH(Table5[[#This Row],[PID]],Batters[[#All],[PID]],0)),INDEX(Table3[[#All],[Age]],MATCH(Table5[[#This Row],[PID]],Table3[[#All],[PID]],0)))</f>
        <v>21</v>
      </c>
      <c r="H961" s="54" t="str">
        <f>IF($C961="B",INDEX(Batters[[#All],[B]],MATCH(Table5[[#This Row],[PID]],Batters[[#All],[PID]],0)),INDEX(Table3[[#All],[B]],MATCH(Table5[[#This Row],[PID]],Table3[[#All],[PID]],0)))</f>
        <v>L</v>
      </c>
      <c r="I961" s="54" t="str">
        <f>IF($C961="B",INDEX(Batters[[#All],[T]],MATCH(Table5[[#This Row],[PID]],Batters[[#All],[PID]],0)),INDEX(Table3[[#All],[T]],MATCH(Table5[[#This Row],[PID]],Table3[[#All],[PID]],0)))</f>
        <v>L</v>
      </c>
      <c r="J961" s="54" t="str">
        <f>IF($C961="B",INDEX(Batters[[#All],[WE]],MATCH(Table5[[#This Row],[PID]],Batters[[#All],[PID]],0)),INDEX(Table3[[#All],[WE]],MATCH(Table5[[#This Row],[PID]],Table3[[#All],[PID]],0)))</f>
        <v>Normal</v>
      </c>
      <c r="K961" s="54" t="str">
        <f>IF($C961="B",INDEX(Batters[[#All],[INT]],MATCH(Table5[[#This Row],[PID]],Batters[[#All],[PID]],0)),INDEX(Table3[[#All],[INT]],MATCH(Table5[[#This Row],[PID]],Table3[[#All],[PID]],0)))</f>
        <v>Normal</v>
      </c>
      <c r="L961" s="62">
        <f>IF($C961="B",INDEX(Batters[[#All],[CON P]],MATCH(Table5[[#This Row],[PID]],Batters[[#All],[PID]],0)),INDEX(Table3[[#All],[STU P]],MATCH(Table5[[#This Row],[PID]],Table3[[#All],[PID]],0)))</f>
        <v>3</v>
      </c>
      <c r="M961" s="58">
        <f>IF($C961="B",INDEX(Batters[[#All],[GAP P]],MATCH(Table5[[#This Row],[PID]],Batters[[#All],[PID]],0)),INDEX(Table3[[#All],[MOV P]],MATCH(Table5[[#This Row],[PID]],Table3[[#All],[PID]],0)))</f>
        <v>1</v>
      </c>
      <c r="N961" s="58">
        <f>IF($C961="B",INDEX(Batters[[#All],[POW P]],MATCH(Table5[[#This Row],[PID]],Batters[[#All],[PID]],0)),INDEX(Table3[[#All],[CON P]],MATCH(Table5[[#This Row],[PID]],Table3[[#All],[PID]],0)))</f>
        <v>3</v>
      </c>
      <c r="O961" s="58" t="str">
        <f>IF($C961="B",INDEX(Batters[[#All],[EYE P]],MATCH(Table5[[#This Row],[PID]],Batters[[#All],[PID]],0)),INDEX(Table3[[#All],[VELO]],MATCH(Table5[[#This Row],[PID]],Table3[[#All],[PID]],0)))</f>
        <v>89-91 Mph</v>
      </c>
      <c r="P961" s="58">
        <f>IF($C961="B",INDEX(Batters[[#All],[K P]],MATCH(Table5[[#This Row],[PID]],Batters[[#All],[PID]],0)),INDEX(Table3[[#All],[STM]],MATCH(Table5[[#This Row],[PID]],Table3[[#All],[PID]],0)))</f>
        <v>8</v>
      </c>
      <c r="Q961" s="63">
        <f>IF($C961="B",INDEX(Batters[[#All],[Tot]],MATCH(Table5[[#This Row],[PID]],Batters[[#All],[PID]],0)),INDEX(Table3[[#All],[Tot]],MATCH(Table5[[#This Row],[PID]],Table3[[#All],[PID]],0)))</f>
        <v>20.407791408439966</v>
      </c>
      <c r="R961" s="54">
        <f>IF($C961="B",INDEX(Batters[[#All],[zScore]],MATCH(Table5[[#This Row],[PID]],Batters[[#All],[PID]],0)),INDEX(Table3[[#All],[zScore]],MATCH(Table5[[#This Row],[PID]],Table3[[#All],[PID]],0)))</f>
        <v>-0.87532639695094172</v>
      </c>
      <c r="S961" s="60" t="str">
        <f>IF($C961="B",INDEX(Batters[[#All],[DEM]],MATCH(Table5[[#This Row],[PID]],Batters[[#All],[PID]],0)),INDEX(Table3[[#All],[DEM]],MATCH(Table5[[#This Row],[PID]],Table3[[#All],[PID]],0)))</f>
        <v>$20k</v>
      </c>
      <c r="T961" s="64" t="e">
        <f>IF($C961="B",VLOOKUP($A961,Bat!$A$4:$AU$1417,46,FALSE),VLOOKUP($A961,Pit!$A$4:$BD$570,55,FALSE))</f>
        <v>#N/A</v>
      </c>
      <c r="U961" s="52" t="e">
        <f>IF($C961="B",VLOOKUP($A961,Bat!$A$4:$BA$1417,47,FALSE),VLOOKUP($A961,Pit!$A$4:$BF$570,56,FALSE))</f>
        <v>#N/A</v>
      </c>
      <c r="V961" s="52" t="e">
        <f>IF($C961="B",VLOOKUP($A961,Bat!$A$4:$BA$1417,48,FALSE),VLOOKUP($A961,Pit!$A$4:$BF$570,57,FALSE))</f>
        <v>#N/A</v>
      </c>
      <c r="W961" s="52" t="e">
        <f>Table5[[#This Row],[posRnk]]+Table5[[#This Row],[zRnk]]+IF($W$3&lt;&gt;Table5[[#This Row],[Type]],50,0)</f>
        <v>#N/A</v>
      </c>
      <c r="X961" s="53">
        <f>RANK(Table5[[#This Row],[zScore]],Table5[[#All],[zScore]])</f>
        <v>957</v>
      </c>
      <c r="Y961" s="52" t="str">
        <f>IFERROR(INDEX(DraftResults[[#All],[OVR]],MATCH(Table5[[#This Row],[PID]],DraftResults[[#All],[Player ID]],0)),"")</f>
        <v/>
      </c>
      <c r="Z9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1" s="52" t="str">
        <f>IFERROR(INDEX(DraftResults[[#All],[Pick in Round]],MATCH(Table5[[#This Row],[PID]],DraftResults[[#All],[Player ID]],0)),"")</f>
        <v/>
      </c>
      <c r="AB961" s="52" t="str">
        <f>IFERROR(INDEX(DraftResults[[#All],[Team Name]],MATCH(Table5[[#This Row],[PID]],DraftResults[[#All],[Player ID]],0)),"")</f>
        <v/>
      </c>
      <c r="AC961" s="52" t="str">
        <f>IF(Table5[[#This Row],[Ovr]]="","",IF(Table5[[#This Row],[cmbList]]="","",Table5[[#This Row],[cmbList]]-Table5[[#This Row],[Ovr]]))</f>
        <v/>
      </c>
      <c r="AD961" s="56" t="str">
        <f>IF(ISERROR(VLOOKUP($AB961&amp;"-"&amp;$E961&amp;" "&amp;F961,Bonuses!$B$1:$G$1006,4,FALSE)),"",INT(VLOOKUP($AB961&amp;"-"&amp;$E961&amp;" "&amp;$F961,Bonuses!$B$1:$G$1006,4,FALSE)))</f>
        <v/>
      </c>
      <c r="AE9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2" spans="1:31" s="52" customFormat="1" x14ac:dyDescent="0.25">
      <c r="A962" s="52">
        <v>13917</v>
      </c>
      <c r="B962" s="52">
        <f>COUNTIF(Table5[PID],A962)</f>
        <v>1</v>
      </c>
      <c r="C962" s="52" t="str">
        <f>IF(COUNTIF(Table3[[#All],[PID]],A962)&gt;0,"P","B")</f>
        <v>P</v>
      </c>
      <c r="D962" s="61" t="str">
        <f>IF($C962="B",INDEX(Batters[[#All],[POS]],MATCH(Table5[[#This Row],[PID]],Batters[[#All],[PID]],0)),INDEX(Table3[[#All],[POS]],MATCH(Table5[[#This Row],[PID]],Table3[[#All],[PID]],0)))</f>
        <v>RP</v>
      </c>
      <c r="E962" s="54" t="str">
        <f>IF($C962="B",INDEX(Batters[[#All],[First]],MATCH(Table5[[#This Row],[PID]],Batters[[#All],[PID]],0)),INDEX(Table3[[#All],[First]],MATCH(Table5[[#This Row],[PID]],Table3[[#All],[PID]],0)))</f>
        <v>Luis</v>
      </c>
      <c r="F962" s="52" t="str">
        <f>IF($C962="B",INDEX(Batters[[#All],[Last]],MATCH(A962,Batters[[#All],[PID]],0)),INDEX(Table3[[#All],[Last]],MATCH(A962,Table3[[#All],[PID]],0)))</f>
        <v>Cervantes</v>
      </c>
      <c r="G962" s="58">
        <f>IF($C962="B",INDEX(Batters[[#All],[Age]],MATCH(Table5[[#This Row],[PID]],Batters[[#All],[PID]],0)),INDEX(Table3[[#All],[Age]],MATCH(Table5[[#This Row],[PID]],Table3[[#All],[PID]],0)))</f>
        <v>21</v>
      </c>
      <c r="H962" s="54" t="str">
        <f>IF($C962="B",INDEX(Batters[[#All],[B]],MATCH(Table5[[#This Row],[PID]],Batters[[#All],[PID]],0)),INDEX(Table3[[#All],[B]],MATCH(Table5[[#This Row],[PID]],Table3[[#All],[PID]],0)))</f>
        <v>S</v>
      </c>
      <c r="I962" s="54" t="str">
        <f>IF($C962="B",INDEX(Batters[[#All],[T]],MATCH(Table5[[#This Row],[PID]],Batters[[#All],[PID]],0)),INDEX(Table3[[#All],[T]],MATCH(Table5[[#This Row],[PID]],Table3[[#All],[PID]],0)))</f>
        <v>R</v>
      </c>
      <c r="J962" s="54" t="str">
        <f>IF($C962="B",INDEX(Batters[[#All],[WE]],MATCH(Table5[[#This Row],[PID]],Batters[[#All],[PID]],0)),INDEX(Table3[[#All],[WE]],MATCH(Table5[[#This Row],[PID]],Table3[[#All],[PID]],0)))</f>
        <v>Low</v>
      </c>
      <c r="K962" s="54" t="str">
        <f>IF($C962="B",INDEX(Batters[[#All],[INT]],MATCH(Table5[[#This Row],[PID]],Batters[[#All],[PID]],0)),INDEX(Table3[[#All],[INT]],MATCH(Table5[[#This Row],[PID]],Table3[[#All],[PID]],0)))</f>
        <v>Normal</v>
      </c>
      <c r="L962" s="62">
        <f>IF($C962="B",INDEX(Batters[[#All],[CON P]],MATCH(Table5[[#This Row],[PID]],Batters[[#All],[PID]],0)),INDEX(Table3[[#All],[STU P]],MATCH(Table5[[#This Row],[PID]],Table3[[#All],[PID]],0)))</f>
        <v>4</v>
      </c>
      <c r="M962" s="58">
        <f>IF($C962="B",INDEX(Batters[[#All],[GAP P]],MATCH(Table5[[#This Row],[PID]],Batters[[#All],[PID]],0)),INDEX(Table3[[#All],[MOV P]],MATCH(Table5[[#This Row],[PID]],Table3[[#All],[PID]],0)))</f>
        <v>2</v>
      </c>
      <c r="N962" s="58">
        <f>IF($C962="B",INDEX(Batters[[#All],[POW P]],MATCH(Table5[[#This Row],[PID]],Batters[[#All],[PID]],0)),INDEX(Table3[[#All],[CON P]],MATCH(Table5[[#This Row],[PID]],Table3[[#All],[PID]],0)))</f>
        <v>2</v>
      </c>
      <c r="O962" s="58" t="str">
        <f>IF($C962="B",INDEX(Batters[[#All],[EYE P]],MATCH(Table5[[#This Row],[PID]],Batters[[#All],[PID]],0)),INDEX(Table3[[#All],[VELO]],MATCH(Table5[[#This Row],[PID]],Table3[[#All],[PID]],0)))</f>
        <v>87-89 Mph</v>
      </c>
      <c r="P962" s="58">
        <f>IF($C962="B",INDEX(Batters[[#All],[K P]],MATCH(Table5[[#This Row],[PID]],Batters[[#All],[PID]],0)),INDEX(Table3[[#All],[STM]],MATCH(Table5[[#This Row],[PID]],Table3[[#All],[PID]],0)))</f>
        <v>7</v>
      </c>
      <c r="Q962" s="63">
        <f>IF($C962="B",INDEX(Batters[[#All],[Tot]],MATCH(Table5[[#This Row],[PID]],Batters[[#All],[PID]],0)),INDEX(Table3[[#All],[Tot]],MATCH(Table5[[#This Row],[PID]],Table3[[#All],[PID]],0)))</f>
        <v>23.054463136217525</v>
      </c>
      <c r="R962" s="54">
        <f>IF($C962="B",INDEX(Batters[[#All],[zScore]],MATCH(Table5[[#This Row],[PID]],Batters[[#All],[PID]],0)),INDEX(Table3[[#All],[zScore]],MATCH(Table5[[#This Row],[PID]],Table3[[#All],[PID]],0)))</f>
        <v>-0.88657745471942684</v>
      </c>
      <c r="S962" s="60" t="str">
        <f>IF($C962="B",INDEX(Batters[[#All],[DEM]],MATCH(Table5[[#This Row],[PID]],Batters[[#All],[PID]],0)),INDEX(Table3[[#All],[DEM]],MATCH(Table5[[#This Row],[PID]],Table3[[#All],[PID]],0)))</f>
        <v>-</v>
      </c>
      <c r="T962" s="64">
        <f>IF($C962="B",VLOOKUP($A962,Bat!$A$4:$AU$1417,46,FALSE),VLOOKUP($A962,Pit!$A$4:$BD$570,55,FALSE))</f>
        <v>0</v>
      </c>
      <c r="U962" s="52">
        <f>IF($C962="B",VLOOKUP($A962,Bat!$A$4:$BA$1417,47,FALSE),VLOOKUP($A962,Pit!$A$4:$BF$570,56,FALSE))</f>
        <v>0</v>
      </c>
      <c r="V962" s="52">
        <f>IF($C962="B",VLOOKUP($A962,Bat!$A$4:$BA$1417,48,FALSE),VLOOKUP($A962,Pit!$A$4:$BF$570,57,FALSE))</f>
        <v>0</v>
      </c>
      <c r="W962" s="52">
        <f>Table5[[#This Row],[posRnk]]+Table5[[#This Row],[zRnk]]+IF($W$3&lt;&gt;Table5[[#This Row],[Type]],50,0)</f>
        <v>1008</v>
      </c>
      <c r="X962" s="53">
        <f>RANK(Table5[[#This Row],[zScore]],Table5[[#All],[zScore]])</f>
        <v>958</v>
      </c>
      <c r="Y962" s="52" t="str">
        <f>IFERROR(INDEX(DraftResults[[#All],[OVR]],MATCH(Table5[[#This Row],[PID]],DraftResults[[#All],[Player ID]],0)),"")</f>
        <v/>
      </c>
      <c r="Z9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2" s="52" t="str">
        <f>IFERROR(INDEX(DraftResults[[#All],[Pick in Round]],MATCH(Table5[[#This Row],[PID]],DraftResults[[#All],[Player ID]],0)),"")</f>
        <v/>
      </c>
      <c r="AB962" s="52" t="str">
        <f>IFERROR(INDEX(DraftResults[[#All],[Team Name]],MATCH(Table5[[#This Row],[PID]],DraftResults[[#All],[Player ID]],0)),"")</f>
        <v/>
      </c>
      <c r="AC962" s="52" t="str">
        <f>IF(Table5[[#This Row],[Ovr]]="","",IF(Table5[[#This Row],[cmbList]]="","",Table5[[#This Row],[cmbList]]-Table5[[#This Row],[Ovr]]))</f>
        <v/>
      </c>
      <c r="AD962" s="56" t="str">
        <f>IF(ISERROR(VLOOKUP($AB962&amp;"-"&amp;$E962&amp;" "&amp;F962,Bonuses!$B$1:$G$1006,4,FALSE)),"",INT(VLOOKUP($AB962&amp;"-"&amp;$E962&amp;" "&amp;$F962,Bonuses!$B$1:$G$1006,4,FALSE)))</f>
        <v/>
      </c>
      <c r="AE9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3" spans="1:31" s="52" customFormat="1" x14ac:dyDescent="0.25">
      <c r="A963" s="52">
        <v>11812</v>
      </c>
      <c r="B963" s="52">
        <f>COUNTIF(Table5[PID],A963)</f>
        <v>1</v>
      </c>
      <c r="C963" s="52" t="str">
        <f>IF(COUNTIF(Table3[[#All],[PID]],A963)&gt;0,"P","B")</f>
        <v>B</v>
      </c>
      <c r="D963" s="61" t="str">
        <f>IF($C963="B",INDEX(Batters[[#All],[POS]],MATCH(Table5[[#This Row],[PID]],Batters[[#All],[PID]],0)),INDEX(Table3[[#All],[POS]],MATCH(Table5[[#This Row],[PID]],Table3[[#All],[PID]],0)))</f>
        <v>1B</v>
      </c>
      <c r="E963" s="54" t="str">
        <f>IF($C963="B",INDEX(Batters[[#All],[First]],MATCH(Table5[[#This Row],[PID]],Batters[[#All],[PID]],0)),INDEX(Table3[[#All],[First]],MATCH(Table5[[#This Row],[PID]],Table3[[#All],[PID]],0)))</f>
        <v>Vicente</v>
      </c>
      <c r="F963" s="52" t="str">
        <f>IF($C963="B",INDEX(Batters[[#All],[Last]],MATCH(A963,Batters[[#All],[PID]],0)),INDEX(Table3[[#All],[Last]],MATCH(A963,Table3[[#All],[PID]],0)))</f>
        <v>Romero</v>
      </c>
      <c r="G963" s="58">
        <f>IF($C963="B",INDEX(Batters[[#All],[Age]],MATCH(Table5[[#This Row],[PID]],Batters[[#All],[PID]],0)),INDEX(Table3[[#All],[Age]],MATCH(Table5[[#This Row],[PID]],Table3[[#All],[PID]],0)))</f>
        <v>18</v>
      </c>
      <c r="H963" s="54" t="str">
        <f>IF($C963="B",INDEX(Batters[[#All],[B]],MATCH(Table5[[#This Row],[PID]],Batters[[#All],[PID]],0)),INDEX(Table3[[#All],[B]],MATCH(Table5[[#This Row],[PID]],Table3[[#All],[PID]],0)))</f>
        <v>R</v>
      </c>
      <c r="I963" s="54" t="str">
        <f>IF($C963="B",INDEX(Batters[[#All],[T]],MATCH(Table5[[#This Row],[PID]],Batters[[#All],[PID]],0)),INDEX(Table3[[#All],[T]],MATCH(Table5[[#This Row],[PID]],Table3[[#All],[PID]],0)))</f>
        <v>R</v>
      </c>
      <c r="J963" s="54" t="str">
        <f>IF($C963="B",INDEX(Batters[[#All],[WE]],MATCH(Table5[[#This Row],[PID]],Batters[[#All],[PID]],0)),INDEX(Table3[[#All],[WE]],MATCH(Table5[[#This Row],[PID]],Table3[[#All],[PID]],0)))</f>
        <v>Low</v>
      </c>
      <c r="K963" s="54" t="str">
        <f>IF($C963="B",INDEX(Batters[[#All],[INT]],MATCH(Table5[[#This Row],[PID]],Batters[[#All],[PID]],0)),INDEX(Table3[[#All],[INT]],MATCH(Table5[[#This Row],[PID]],Table3[[#All],[PID]],0)))</f>
        <v>Normal</v>
      </c>
      <c r="L963" s="62">
        <f>IF($C963="B",INDEX(Batters[[#All],[CON P]],MATCH(Table5[[#This Row],[PID]],Batters[[#All],[PID]],0)),INDEX(Table3[[#All],[STU P]],MATCH(Table5[[#This Row],[PID]],Table3[[#All],[PID]],0)))</f>
        <v>3</v>
      </c>
      <c r="M963" s="58">
        <f>IF($C963="B",INDEX(Batters[[#All],[GAP P]],MATCH(Table5[[#This Row],[PID]],Batters[[#All],[PID]],0)),INDEX(Table3[[#All],[MOV P]],MATCH(Table5[[#This Row],[PID]],Table3[[#All],[PID]],0)))</f>
        <v>2</v>
      </c>
      <c r="N963" s="58">
        <f>IF($C963="B",INDEX(Batters[[#All],[POW P]],MATCH(Table5[[#This Row],[PID]],Batters[[#All],[PID]],0)),INDEX(Table3[[#All],[CON P]],MATCH(Table5[[#This Row],[PID]],Table3[[#All],[PID]],0)))</f>
        <v>2</v>
      </c>
      <c r="O963" s="58">
        <f>IF($C963="B",INDEX(Batters[[#All],[EYE P]],MATCH(Table5[[#This Row],[PID]],Batters[[#All],[PID]],0)),INDEX(Table3[[#All],[VELO]],MATCH(Table5[[#This Row],[PID]],Table3[[#All],[PID]],0)))</f>
        <v>1</v>
      </c>
      <c r="P963" s="58">
        <f>IF($C963="B",INDEX(Batters[[#All],[K P]],MATCH(Table5[[#This Row],[PID]],Batters[[#All],[PID]],0)),INDEX(Table3[[#All],[STM]],MATCH(Table5[[#This Row],[PID]],Table3[[#All],[PID]],0)))</f>
        <v>4</v>
      </c>
      <c r="Q963" s="63">
        <f>IF($C963="B",INDEX(Batters[[#All],[Tot]],MATCH(Table5[[#This Row],[PID]],Batters[[#All],[PID]],0)),INDEX(Table3[[#All],[Tot]],MATCH(Table5[[#This Row],[PID]],Table3[[#All],[PID]],0)))</f>
        <v>35.279136402479232</v>
      </c>
      <c r="R963" s="54">
        <f>IF($C963="B",INDEX(Batters[[#All],[zScore]],MATCH(Table5[[#This Row],[PID]],Batters[[#All],[PID]],0)),INDEX(Table3[[#All],[zScore]],MATCH(Table5[[#This Row],[PID]],Table3[[#All],[PID]],0)))</f>
        <v>-0.89187638180360573</v>
      </c>
      <c r="S963" s="60" t="str">
        <f>IF($C963="B",INDEX(Batters[[#All],[DEM]],MATCH(Table5[[#This Row],[PID]],Batters[[#All],[PID]],0)),INDEX(Table3[[#All],[DEM]],MATCH(Table5[[#This Row],[PID]],Table3[[#All],[PID]],0)))</f>
        <v>$90k</v>
      </c>
      <c r="T963" s="64">
        <f>IF($C963="B",VLOOKUP($A963,Bat!$A$4:$AU$1417,46,FALSE),VLOOKUP($A963,Pit!$A$4:$BD$570,55,FALSE))</f>
        <v>0</v>
      </c>
      <c r="U963" s="52">
        <f>IF($C963="B",VLOOKUP($A963,Bat!$A$4:$BA$1417,47,FALSE),VLOOKUP($A963,Pit!$A$4:$BF$570,56,FALSE))</f>
        <v>0</v>
      </c>
      <c r="V963" s="52">
        <f>IF($C963="B",VLOOKUP($A963,Bat!$A$4:$BA$1417,48,FALSE),VLOOKUP($A963,Pit!$A$4:$BF$570,57,FALSE))</f>
        <v>0</v>
      </c>
      <c r="W963" s="52">
        <f>Table5[[#This Row],[posRnk]]+Table5[[#This Row],[zRnk]]+IF($W$3&lt;&gt;Table5[[#This Row],[Type]],50,0)</f>
        <v>1009</v>
      </c>
      <c r="X963" s="53">
        <f>RANK(Table5[[#This Row],[zScore]],Table5[[#All],[zScore]])</f>
        <v>959</v>
      </c>
      <c r="Y963" s="52" t="str">
        <f>IFERROR(INDEX(DraftResults[[#All],[OVR]],MATCH(Table5[[#This Row],[PID]],DraftResults[[#All],[Player ID]],0)),"")</f>
        <v/>
      </c>
      <c r="Z9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3" s="52" t="str">
        <f>IFERROR(INDEX(DraftResults[[#All],[Pick in Round]],MATCH(Table5[[#This Row],[PID]],DraftResults[[#All],[Player ID]],0)),"")</f>
        <v/>
      </c>
      <c r="AB963" s="52" t="str">
        <f>IFERROR(INDEX(DraftResults[[#All],[Team Name]],MATCH(Table5[[#This Row],[PID]],DraftResults[[#All],[Player ID]],0)),"")</f>
        <v/>
      </c>
      <c r="AC963" s="52" t="str">
        <f>IF(Table5[[#This Row],[Ovr]]="","",IF(Table5[[#This Row],[cmbList]]="","",Table5[[#This Row],[cmbList]]-Table5[[#This Row],[Ovr]]))</f>
        <v/>
      </c>
      <c r="AD963" s="56" t="str">
        <f>IF(ISERROR(VLOOKUP($AB963&amp;"-"&amp;$E963&amp;" "&amp;F963,Bonuses!$B$1:$G$1006,4,FALSE)),"",INT(VLOOKUP($AB963&amp;"-"&amp;$E963&amp;" "&amp;$F963,Bonuses!$B$1:$G$1006,4,FALSE)))</f>
        <v/>
      </c>
      <c r="AE9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4" spans="1:31" s="52" customFormat="1" x14ac:dyDescent="0.25">
      <c r="A964" s="52">
        <v>14426</v>
      </c>
      <c r="B964" s="52">
        <f>COUNTIF(Table5[PID],A964)</f>
        <v>1</v>
      </c>
      <c r="C964" s="52" t="str">
        <f>IF(COUNTIF(Table3[[#All],[PID]],A964)&gt;0,"P","B")</f>
        <v>B</v>
      </c>
      <c r="D964" s="61" t="str">
        <f>IF($C964="B",INDEX(Batters[[#All],[POS]],MATCH(Table5[[#This Row],[PID]],Batters[[#All],[PID]],0)),INDEX(Table3[[#All],[POS]],MATCH(Table5[[#This Row],[PID]],Table3[[#All],[PID]],0)))</f>
        <v>1B</v>
      </c>
      <c r="E964" s="54" t="str">
        <f>IF($C964="B",INDEX(Batters[[#All],[First]],MATCH(Table5[[#This Row],[PID]],Batters[[#All],[PID]],0)),INDEX(Table3[[#All],[First]],MATCH(Table5[[#This Row],[PID]],Table3[[#All],[PID]],0)))</f>
        <v>Shigekazu</v>
      </c>
      <c r="F964" s="52" t="str">
        <f>IF($C964="B",INDEX(Batters[[#All],[Last]],MATCH(A964,Batters[[#All],[PID]],0)),INDEX(Table3[[#All],[Last]],MATCH(A964,Table3[[#All],[PID]],0)))</f>
        <v>Yamaguchi</v>
      </c>
      <c r="G964" s="58">
        <f>IF($C964="B",INDEX(Batters[[#All],[Age]],MATCH(Table5[[#This Row],[PID]],Batters[[#All],[PID]],0)),INDEX(Table3[[#All],[Age]],MATCH(Table5[[#This Row],[PID]],Table3[[#All],[PID]],0)))</f>
        <v>21</v>
      </c>
      <c r="H964" s="54" t="str">
        <f>IF($C964="B",INDEX(Batters[[#All],[B]],MATCH(Table5[[#This Row],[PID]],Batters[[#All],[PID]],0)),INDEX(Table3[[#All],[B]],MATCH(Table5[[#This Row],[PID]],Table3[[#All],[PID]],0)))</f>
        <v>L</v>
      </c>
      <c r="I964" s="54" t="str">
        <f>IF($C964="B",INDEX(Batters[[#All],[T]],MATCH(Table5[[#This Row],[PID]],Batters[[#All],[PID]],0)),INDEX(Table3[[#All],[T]],MATCH(Table5[[#This Row],[PID]],Table3[[#All],[PID]],0)))</f>
        <v>L</v>
      </c>
      <c r="J964" s="54" t="str">
        <f>IF($C964="B",INDEX(Batters[[#All],[WE]],MATCH(Table5[[#This Row],[PID]],Batters[[#All],[PID]],0)),INDEX(Table3[[#All],[WE]],MATCH(Table5[[#This Row],[PID]],Table3[[#All],[PID]],0)))</f>
        <v>Normal</v>
      </c>
      <c r="K964" s="54" t="str">
        <f>IF($C964="B",INDEX(Batters[[#All],[INT]],MATCH(Table5[[#This Row],[PID]],Batters[[#All],[PID]],0)),INDEX(Table3[[#All],[INT]],MATCH(Table5[[#This Row],[PID]],Table3[[#All],[PID]],0)))</f>
        <v>High</v>
      </c>
      <c r="L964" s="62">
        <f>IF($C964="B",INDEX(Batters[[#All],[CON P]],MATCH(Table5[[#This Row],[PID]],Batters[[#All],[PID]],0)),INDEX(Table3[[#All],[STU P]],MATCH(Table5[[#This Row],[PID]],Table3[[#All],[PID]],0)))</f>
        <v>4</v>
      </c>
      <c r="M964" s="58">
        <f>IF($C964="B",INDEX(Batters[[#All],[GAP P]],MATCH(Table5[[#This Row],[PID]],Batters[[#All],[PID]],0)),INDEX(Table3[[#All],[MOV P]],MATCH(Table5[[#This Row],[PID]],Table3[[#All],[PID]],0)))</f>
        <v>2</v>
      </c>
      <c r="N964" s="58">
        <f>IF($C964="B",INDEX(Batters[[#All],[POW P]],MATCH(Table5[[#This Row],[PID]],Batters[[#All],[PID]],0)),INDEX(Table3[[#All],[CON P]],MATCH(Table5[[#This Row],[PID]],Table3[[#All],[PID]],0)))</f>
        <v>2</v>
      </c>
      <c r="O964" s="58">
        <f>IF($C964="B",INDEX(Batters[[#All],[EYE P]],MATCH(Table5[[#This Row],[PID]],Batters[[#All],[PID]],0)),INDEX(Table3[[#All],[VELO]],MATCH(Table5[[#This Row],[PID]],Table3[[#All],[PID]],0)))</f>
        <v>1</v>
      </c>
      <c r="P964" s="58">
        <f>IF($C964="B",INDEX(Batters[[#All],[K P]],MATCH(Table5[[#This Row],[PID]],Batters[[#All],[PID]],0)),INDEX(Table3[[#All],[STM]],MATCH(Table5[[#This Row],[PID]],Table3[[#All],[PID]],0)))</f>
        <v>5</v>
      </c>
      <c r="Q964" s="63">
        <f>IF($C964="B",INDEX(Batters[[#All],[Tot]],MATCH(Table5[[#This Row],[PID]],Batters[[#All],[PID]],0)),INDEX(Table3[[#All],[Tot]],MATCH(Table5[[#This Row],[PID]],Table3[[#All],[PID]],0)))</f>
        <v>35.270261366300005</v>
      </c>
      <c r="R964" s="54">
        <f>IF($C964="B",INDEX(Batters[[#All],[zScore]],MATCH(Table5[[#This Row],[PID]],Batters[[#All],[PID]],0)),INDEX(Table3[[#All],[zScore]],MATCH(Table5[[#This Row],[PID]],Table3[[#All],[PID]],0)))</f>
        <v>-0.89343788543315761</v>
      </c>
      <c r="S964" s="60" t="str">
        <f>IF($C964="B",INDEX(Batters[[#All],[DEM]],MATCH(Table5[[#This Row],[PID]],Batters[[#All],[PID]],0)),INDEX(Table3[[#All],[DEM]],MATCH(Table5[[#This Row],[PID]],Table3[[#All],[PID]],0)))</f>
        <v>-</v>
      </c>
      <c r="T964" s="64">
        <f>IF($C964="B",VLOOKUP($A964,Bat!$A$4:$AU$1417,46,FALSE),VLOOKUP($A964,Pit!$A$4:$BD$570,55,FALSE))</f>
        <v>0</v>
      </c>
      <c r="U964" s="52">
        <f>IF($C964="B",VLOOKUP($A964,Bat!$A$4:$BA$1417,47,FALSE),VLOOKUP($A964,Pit!$A$4:$BF$570,56,FALSE))</f>
        <v>0</v>
      </c>
      <c r="V964" s="52">
        <f>IF($C964="B",VLOOKUP($A964,Bat!$A$4:$BA$1417,48,FALSE),VLOOKUP($A964,Pit!$A$4:$BF$570,57,FALSE))</f>
        <v>0</v>
      </c>
      <c r="W964" s="52">
        <f>Table5[[#This Row],[posRnk]]+Table5[[#This Row],[zRnk]]+IF($W$3&lt;&gt;Table5[[#This Row],[Type]],50,0)</f>
        <v>1010</v>
      </c>
      <c r="X964" s="53">
        <f>RANK(Table5[[#This Row],[zScore]],Table5[[#All],[zScore]])</f>
        <v>960</v>
      </c>
      <c r="Y964" s="52" t="str">
        <f>IFERROR(INDEX(DraftResults[[#All],[OVR]],MATCH(Table5[[#This Row],[PID]],DraftResults[[#All],[Player ID]],0)),"")</f>
        <v/>
      </c>
      <c r="Z9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4" s="52" t="str">
        <f>IFERROR(INDEX(DraftResults[[#All],[Pick in Round]],MATCH(Table5[[#This Row],[PID]],DraftResults[[#All],[Player ID]],0)),"")</f>
        <v/>
      </c>
      <c r="AB964" s="52" t="str">
        <f>IFERROR(INDEX(DraftResults[[#All],[Team Name]],MATCH(Table5[[#This Row],[PID]],DraftResults[[#All],[Player ID]],0)),"")</f>
        <v/>
      </c>
      <c r="AC964" s="52" t="str">
        <f>IF(Table5[[#This Row],[Ovr]]="","",IF(Table5[[#This Row],[cmbList]]="","",Table5[[#This Row],[cmbList]]-Table5[[#This Row],[Ovr]]))</f>
        <v/>
      </c>
      <c r="AD964" s="56" t="str">
        <f>IF(ISERROR(VLOOKUP($AB964&amp;"-"&amp;$E964&amp;" "&amp;F964,Bonuses!$B$1:$G$1006,4,FALSE)),"",INT(VLOOKUP($AB964&amp;"-"&amp;$E964&amp;" "&amp;$F964,Bonuses!$B$1:$G$1006,4,FALSE)))</f>
        <v/>
      </c>
      <c r="AE9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5" spans="1:31" s="52" customFormat="1" x14ac:dyDescent="0.25">
      <c r="A965" s="52">
        <v>13358</v>
      </c>
      <c r="B965" s="52">
        <f>COUNTIF(Table5[PID],A965)</f>
        <v>1</v>
      </c>
      <c r="C965" s="52" t="str">
        <f>IF(COUNTIF(Table3[[#All],[PID]],A965)&gt;0,"P","B")</f>
        <v>P</v>
      </c>
      <c r="D965" s="61" t="str">
        <f>IF($C965="B",INDEX(Batters[[#All],[POS]],MATCH(Table5[[#This Row],[PID]],Batters[[#All],[PID]],0)),INDEX(Table3[[#All],[POS]],MATCH(Table5[[#This Row],[PID]],Table3[[#All],[PID]],0)))</f>
        <v>RP</v>
      </c>
      <c r="E965" s="54" t="str">
        <f>IF($C965="B",INDEX(Batters[[#All],[First]],MATCH(Table5[[#This Row],[PID]],Batters[[#All],[PID]],0)),INDEX(Table3[[#All],[First]],MATCH(Table5[[#This Row],[PID]],Table3[[#All],[PID]],0)))</f>
        <v>Robinson</v>
      </c>
      <c r="F965" s="52" t="str">
        <f>IF($C965="B",INDEX(Batters[[#All],[Last]],MATCH(A965,Batters[[#All],[PID]],0)),INDEX(Table3[[#All],[Last]],MATCH(A965,Table3[[#All],[PID]],0)))</f>
        <v>Canales</v>
      </c>
      <c r="G965" s="58">
        <f>IF($C965="B",INDEX(Batters[[#All],[Age]],MATCH(Table5[[#This Row],[PID]],Batters[[#All],[PID]],0)),INDEX(Table3[[#All],[Age]],MATCH(Table5[[#This Row],[PID]],Table3[[#All],[PID]],0)))</f>
        <v>22</v>
      </c>
      <c r="H965" s="54" t="str">
        <f>IF($C965="B",INDEX(Batters[[#All],[B]],MATCH(Table5[[#This Row],[PID]],Batters[[#All],[PID]],0)),INDEX(Table3[[#All],[B]],MATCH(Table5[[#This Row],[PID]],Table3[[#All],[PID]],0)))</f>
        <v>R</v>
      </c>
      <c r="I965" s="54" t="str">
        <f>IF($C965="B",INDEX(Batters[[#All],[T]],MATCH(Table5[[#This Row],[PID]],Batters[[#All],[PID]],0)),INDEX(Table3[[#All],[T]],MATCH(Table5[[#This Row],[PID]],Table3[[#All],[PID]],0)))</f>
        <v>R</v>
      </c>
      <c r="J965" s="54" t="str">
        <f>IF($C965="B",INDEX(Batters[[#All],[WE]],MATCH(Table5[[#This Row],[PID]],Batters[[#All],[PID]],0)),INDEX(Table3[[#All],[WE]],MATCH(Table5[[#This Row],[PID]],Table3[[#All],[PID]],0)))</f>
        <v>Low</v>
      </c>
      <c r="K965" s="54" t="str">
        <f>IF($C965="B",INDEX(Batters[[#All],[INT]],MATCH(Table5[[#This Row],[PID]],Batters[[#All],[PID]],0)),INDEX(Table3[[#All],[INT]],MATCH(Table5[[#This Row],[PID]],Table3[[#All],[PID]],0)))</f>
        <v>Normal</v>
      </c>
      <c r="L965" s="62">
        <f>IF($C965="B",INDEX(Batters[[#All],[CON P]],MATCH(Table5[[#This Row],[PID]],Batters[[#All],[PID]],0)),INDEX(Table3[[#All],[STU P]],MATCH(Table5[[#This Row],[PID]],Table3[[#All],[PID]],0)))</f>
        <v>4</v>
      </c>
      <c r="M965" s="58">
        <f>IF($C965="B",INDEX(Batters[[#All],[GAP P]],MATCH(Table5[[#This Row],[PID]],Batters[[#All],[PID]],0)),INDEX(Table3[[#All],[MOV P]],MATCH(Table5[[#This Row],[PID]],Table3[[#All],[PID]],0)))</f>
        <v>2</v>
      </c>
      <c r="N965" s="58">
        <f>IF($C965="B",INDEX(Batters[[#All],[POW P]],MATCH(Table5[[#This Row],[PID]],Batters[[#All],[PID]],0)),INDEX(Table3[[#All],[CON P]],MATCH(Table5[[#This Row],[PID]],Table3[[#All],[PID]],0)))</f>
        <v>2</v>
      </c>
      <c r="O965" s="58" t="str">
        <f>IF($C965="B",INDEX(Batters[[#All],[EYE P]],MATCH(Table5[[#This Row],[PID]],Batters[[#All],[PID]],0)),INDEX(Table3[[#All],[VELO]],MATCH(Table5[[#This Row],[PID]],Table3[[#All],[PID]],0)))</f>
        <v>93-95 Mph</v>
      </c>
      <c r="P965" s="58">
        <f>IF($C965="B",INDEX(Batters[[#All],[K P]],MATCH(Table5[[#This Row],[PID]],Batters[[#All],[PID]],0)),INDEX(Table3[[#All],[STM]],MATCH(Table5[[#This Row],[PID]],Table3[[#All],[PID]],0)))</f>
        <v>4</v>
      </c>
      <c r="Q965" s="63">
        <f>IF($C965="B",INDEX(Batters[[#All],[Tot]],MATCH(Table5[[#This Row],[PID]],Batters[[#All],[PID]],0)),INDEX(Table3[[#All],[Tot]],MATCH(Table5[[#This Row],[PID]],Table3[[#All],[PID]],0)))</f>
        <v>22.977454044579016</v>
      </c>
      <c r="R965" s="54">
        <f>IF($C965="B",INDEX(Batters[[#All],[zScore]],MATCH(Table5[[#This Row],[PID]],Batters[[#All],[PID]],0)),INDEX(Table3[[#All],[zScore]],MATCH(Table5[[#This Row],[PID]],Table3[[#All],[PID]],0)))</f>
        <v>-0.89363951756645343</v>
      </c>
      <c r="S965" s="60" t="str">
        <f>IF($C965="B",INDEX(Batters[[#All],[DEM]],MATCH(Table5[[#This Row],[PID]],Batters[[#All],[PID]],0)),INDEX(Table3[[#All],[DEM]],MATCH(Table5[[#This Row],[PID]],Table3[[#All],[PID]],0)))</f>
        <v>-</v>
      </c>
      <c r="T965" s="64">
        <f>IF($C965="B",VLOOKUP($A965,Bat!$A$4:$AU$1417,46,FALSE),VLOOKUP($A965,Pit!$A$4:$BD$570,55,FALSE))</f>
        <v>0</v>
      </c>
      <c r="U965" s="52">
        <f>IF($C965="B",VLOOKUP($A965,Bat!$A$4:$BA$1417,47,FALSE),VLOOKUP($A965,Pit!$A$4:$BF$570,56,FALSE))</f>
        <v>0</v>
      </c>
      <c r="V965" s="52">
        <f>IF($C965="B",VLOOKUP($A965,Bat!$A$4:$BA$1417,48,FALSE),VLOOKUP($A965,Pit!$A$4:$BF$570,57,FALSE))</f>
        <v>0</v>
      </c>
      <c r="W965" s="52">
        <f>Table5[[#This Row],[posRnk]]+Table5[[#This Row],[zRnk]]+IF($W$3&lt;&gt;Table5[[#This Row],[Type]],50,0)</f>
        <v>1011</v>
      </c>
      <c r="X965" s="53">
        <f>RANK(Table5[[#This Row],[zScore]],Table5[[#All],[zScore]])</f>
        <v>961</v>
      </c>
      <c r="Y965" s="52" t="str">
        <f>IFERROR(INDEX(DraftResults[[#All],[OVR]],MATCH(Table5[[#This Row],[PID]],DraftResults[[#All],[Player ID]],0)),"")</f>
        <v/>
      </c>
      <c r="Z9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5" s="52" t="str">
        <f>IFERROR(INDEX(DraftResults[[#All],[Pick in Round]],MATCH(Table5[[#This Row],[PID]],DraftResults[[#All],[Player ID]],0)),"")</f>
        <v/>
      </c>
      <c r="AB965" s="52" t="str">
        <f>IFERROR(INDEX(DraftResults[[#All],[Team Name]],MATCH(Table5[[#This Row],[PID]],DraftResults[[#All],[Player ID]],0)),"")</f>
        <v/>
      </c>
      <c r="AC965" s="52" t="str">
        <f>IF(Table5[[#This Row],[Ovr]]="","",IF(Table5[[#This Row],[cmbList]]="","",Table5[[#This Row],[cmbList]]-Table5[[#This Row],[Ovr]]))</f>
        <v/>
      </c>
      <c r="AD965" s="56" t="str">
        <f>IF(ISERROR(VLOOKUP($AB965&amp;"-"&amp;$E965&amp;" "&amp;F965,Bonuses!$B$1:$G$1006,4,FALSE)),"",INT(VLOOKUP($AB965&amp;"-"&amp;$E965&amp;" "&amp;$F965,Bonuses!$B$1:$G$1006,4,FALSE)))</f>
        <v/>
      </c>
      <c r="AE9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6" spans="1:31" s="52" customFormat="1" x14ac:dyDescent="0.25">
      <c r="A966" s="52">
        <v>15707</v>
      </c>
      <c r="B966" s="52">
        <f>COUNTIF(Table5[PID],A966)</f>
        <v>1</v>
      </c>
      <c r="C966" s="52" t="str">
        <f>IF(COUNTIF(Table3[[#All],[PID]],A966)&gt;0,"P","B")</f>
        <v>P</v>
      </c>
      <c r="D966" s="61" t="str">
        <f>IF($C966="B",INDEX(Batters[[#All],[POS]],MATCH(Table5[[#This Row],[PID]],Batters[[#All],[PID]],0)),INDEX(Table3[[#All],[POS]],MATCH(Table5[[#This Row],[PID]],Table3[[#All],[PID]],0)))</f>
        <v>CL</v>
      </c>
      <c r="E966" s="54" t="str">
        <f>IF($C966="B",INDEX(Batters[[#All],[First]],MATCH(Table5[[#This Row],[PID]],Batters[[#All],[PID]],0)),INDEX(Table3[[#All],[First]],MATCH(Table5[[#This Row],[PID]],Table3[[#All],[PID]],0)))</f>
        <v>Dermot</v>
      </c>
      <c r="F966" s="52" t="str">
        <f>IF($C966="B",INDEX(Batters[[#All],[Last]],MATCH(A966,Batters[[#All],[PID]],0)),INDEX(Table3[[#All],[Last]],MATCH(A966,Table3[[#All],[PID]],0)))</f>
        <v>Watcham</v>
      </c>
      <c r="G966" s="58">
        <f>IF($C966="B",INDEX(Batters[[#All],[Age]],MATCH(Table5[[#This Row],[PID]],Batters[[#All],[PID]],0)),INDEX(Table3[[#All],[Age]],MATCH(Table5[[#This Row],[PID]],Table3[[#All],[PID]],0)))</f>
        <v>22</v>
      </c>
      <c r="H966" s="54" t="str">
        <f>IF($C966="B",INDEX(Batters[[#All],[B]],MATCH(Table5[[#This Row],[PID]],Batters[[#All],[PID]],0)),INDEX(Table3[[#All],[B]],MATCH(Table5[[#This Row],[PID]],Table3[[#All],[PID]],0)))</f>
        <v>L</v>
      </c>
      <c r="I966" s="54" t="str">
        <f>IF($C966="B",INDEX(Batters[[#All],[T]],MATCH(Table5[[#This Row],[PID]],Batters[[#All],[PID]],0)),INDEX(Table3[[#All],[T]],MATCH(Table5[[#This Row],[PID]],Table3[[#All],[PID]],0)))</f>
        <v>L</v>
      </c>
      <c r="J966" s="54" t="str">
        <f>IF($C966="B",INDEX(Batters[[#All],[WE]],MATCH(Table5[[#This Row],[PID]],Batters[[#All],[PID]],0)),INDEX(Table3[[#All],[WE]],MATCH(Table5[[#This Row],[PID]],Table3[[#All],[PID]],0)))</f>
        <v>Normal</v>
      </c>
      <c r="K966" s="54" t="str">
        <f>IF($C966="B",INDEX(Batters[[#All],[INT]],MATCH(Table5[[#This Row],[PID]],Batters[[#All],[PID]],0)),INDEX(Table3[[#All],[INT]],MATCH(Table5[[#This Row],[PID]],Table3[[#All],[PID]],0)))</f>
        <v>Normal</v>
      </c>
      <c r="L966" s="62">
        <f>IF($C966="B",INDEX(Batters[[#All],[CON P]],MATCH(Table5[[#This Row],[PID]],Batters[[#All],[PID]],0)),INDEX(Table3[[#All],[STU P]],MATCH(Table5[[#This Row],[PID]],Table3[[#All],[PID]],0)))</f>
        <v>4</v>
      </c>
      <c r="M966" s="58">
        <f>IF($C966="B",INDEX(Batters[[#All],[GAP P]],MATCH(Table5[[#This Row],[PID]],Batters[[#All],[PID]],0)),INDEX(Table3[[#All],[MOV P]],MATCH(Table5[[#This Row],[PID]],Table3[[#All],[PID]],0)))</f>
        <v>3</v>
      </c>
      <c r="N966" s="58">
        <f>IF($C966="B",INDEX(Batters[[#All],[POW P]],MATCH(Table5[[#This Row],[PID]],Batters[[#All],[PID]],0)),INDEX(Table3[[#All],[CON P]],MATCH(Table5[[#This Row],[PID]],Table3[[#All],[PID]],0)))</f>
        <v>1</v>
      </c>
      <c r="O966" s="58" t="str">
        <f>IF($C966="B",INDEX(Batters[[#All],[EYE P]],MATCH(Table5[[#This Row],[PID]],Batters[[#All],[PID]],0)),INDEX(Table3[[#All],[VELO]],MATCH(Table5[[#This Row],[PID]],Table3[[#All],[PID]],0)))</f>
        <v>90-92 Mph</v>
      </c>
      <c r="P966" s="58">
        <f>IF($C966="B",INDEX(Batters[[#All],[K P]],MATCH(Table5[[#This Row],[PID]],Batters[[#All],[PID]],0)),INDEX(Table3[[#All],[STM]],MATCH(Table5[[#This Row],[PID]],Table3[[#All],[PID]],0)))</f>
        <v>8</v>
      </c>
      <c r="Q966" s="63">
        <f>IF($C966="B",INDEX(Batters[[#All],[Tot]],MATCH(Table5[[#This Row],[PID]],Batters[[#All],[PID]],0)),INDEX(Table3[[#All],[Tot]],MATCH(Table5[[#This Row],[PID]],Table3[[#All],[PID]],0)))</f>
        <v>22.955624408638261</v>
      </c>
      <c r="R966" s="54">
        <f>IF($C966="B",INDEX(Batters[[#All],[zScore]],MATCH(Table5[[#This Row],[PID]],Batters[[#All],[PID]],0)),INDEX(Table3[[#All],[zScore]],MATCH(Table5[[#This Row],[PID]],Table3[[#All],[PID]],0)))</f>
        <v>-0.89564138848404551</v>
      </c>
      <c r="S966" s="60" t="str">
        <f>IF($C966="B",INDEX(Batters[[#All],[DEM]],MATCH(Table5[[#This Row],[PID]],Batters[[#All],[PID]],0)),INDEX(Table3[[#All],[DEM]],MATCH(Table5[[#This Row],[PID]],Table3[[#All],[PID]],0)))</f>
        <v>-</v>
      </c>
      <c r="T966" s="64">
        <f>IF($C966="B",VLOOKUP($A966,Bat!$A$4:$AU$1417,46,FALSE),VLOOKUP($A966,Pit!$A$4:$BD$570,55,FALSE))</f>
        <v>0</v>
      </c>
      <c r="U966" s="52">
        <f>IF($C966="B",VLOOKUP($A966,Bat!$A$4:$BA$1417,47,FALSE),VLOOKUP($A966,Pit!$A$4:$BF$570,56,FALSE))</f>
        <v>0</v>
      </c>
      <c r="V966" s="52">
        <f>IF($C966="B",VLOOKUP($A966,Bat!$A$4:$BA$1417,48,FALSE),VLOOKUP($A966,Pit!$A$4:$BF$570,57,FALSE))</f>
        <v>0</v>
      </c>
      <c r="W966" s="52">
        <f>Table5[[#This Row],[posRnk]]+Table5[[#This Row],[zRnk]]+IF($W$3&lt;&gt;Table5[[#This Row],[Type]],50,0)</f>
        <v>1012</v>
      </c>
      <c r="X966" s="53">
        <f>RANK(Table5[[#This Row],[zScore]],Table5[[#All],[zScore]])</f>
        <v>962</v>
      </c>
      <c r="Y966" s="52" t="str">
        <f>IFERROR(INDEX(DraftResults[[#All],[OVR]],MATCH(Table5[[#This Row],[PID]],DraftResults[[#All],[Player ID]],0)),"")</f>
        <v/>
      </c>
      <c r="Z9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6" s="52" t="str">
        <f>IFERROR(INDEX(DraftResults[[#All],[Pick in Round]],MATCH(Table5[[#This Row],[PID]],DraftResults[[#All],[Player ID]],0)),"")</f>
        <v/>
      </c>
      <c r="AB966" s="52" t="str">
        <f>IFERROR(INDEX(DraftResults[[#All],[Team Name]],MATCH(Table5[[#This Row],[PID]],DraftResults[[#All],[Player ID]],0)),"")</f>
        <v/>
      </c>
      <c r="AC966" s="52" t="str">
        <f>IF(Table5[[#This Row],[Ovr]]="","",IF(Table5[[#This Row],[cmbList]]="","",Table5[[#This Row],[cmbList]]-Table5[[#This Row],[Ovr]]))</f>
        <v/>
      </c>
      <c r="AD966" s="56" t="str">
        <f>IF(ISERROR(VLOOKUP($AB966&amp;"-"&amp;$E966&amp;" "&amp;F966,Bonuses!$B$1:$G$1006,4,FALSE)),"",INT(VLOOKUP($AB966&amp;"-"&amp;$E966&amp;" "&amp;$F966,Bonuses!$B$1:$G$1006,4,FALSE)))</f>
        <v/>
      </c>
      <c r="AE9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7" spans="1:31" s="52" customFormat="1" x14ac:dyDescent="0.25">
      <c r="A967" s="52">
        <v>17626</v>
      </c>
      <c r="B967" s="52">
        <f>COUNTIF(Table5[PID],A967)</f>
        <v>1</v>
      </c>
      <c r="C967" s="52" t="str">
        <f>IF(COUNTIF(Table3[[#All],[PID]],A967)&gt;0,"P","B")</f>
        <v>P</v>
      </c>
      <c r="D967" s="61" t="str">
        <f>IF($C967="B",INDEX(Batters[[#All],[POS]],MATCH(Table5[[#This Row],[PID]],Batters[[#All],[PID]],0)),INDEX(Table3[[#All],[POS]],MATCH(Table5[[#This Row],[PID]],Table3[[#All],[PID]],0)))</f>
        <v>RP</v>
      </c>
      <c r="E967" s="54" t="str">
        <f>IF($C967="B",INDEX(Batters[[#All],[First]],MATCH(Table5[[#This Row],[PID]],Batters[[#All],[PID]],0)),INDEX(Table3[[#All],[First]],MATCH(Table5[[#This Row],[PID]],Table3[[#All],[PID]],0)))</f>
        <v>Bruce</v>
      </c>
      <c r="F967" s="52" t="str">
        <f>IF($C967="B",INDEX(Batters[[#All],[Last]],MATCH(A967,Batters[[#All],[PID]],0)),INDEX(Table3[[#All],[Last]],MATCH(A967,Table3[[#All],[PID]],0)))</f>
        <v>Warr</v>
      </c>
      <c r="G967" s="58">
        <f>IF($C967="B",INDEX(Batters[[#All],[Age]],MATCH(Table5[[#This Row],[PID]],Batters[[#All],[PID]],0)),INDEX(Table3[[#All],[Age]],MATCH(Table5[[#This Row],[PID]],Table3[[#All],[PID]],0)))</f>
        <v>18</v>
      </c>
      <c r="H967" s="54" t="str">
        <f>IF($C967="B",INDEX(Batters[[#All],[B]],MATCH(Table5[[#This Row],[PID]],Batters[[#All],[PID]],0)),INDEX(Table3[[#All],[B]],MATCH(Table5[[#This Row],[PID]],Table3[[#All],[PID]],0)))</f>
        <v>R</v>
      </c>
      <c r="I967" s="54" t="str">
        <f>IF($C967="B",INDEX(Batters[[#All],[T]],MATCH(Table5[[#This Row],[PID]],Batters[[#All],[PID]],0)),INDEX(Table3[[#All],[T]],MATCH(Table5[[#This Row],[PID]],Table3[[#All],[PID]],0)))</f>
        <v>L</v>
      </c>
      <c r="J967" s="54" t="str">
        <f>IF($C967="B",INDEX(Batters[[#All],[WE]],MATCH(Table5[[#This Row],[PID]],Batters[[#All],[PID]],0)),INDEX(Table3[[#All],[WE]],MATCH(Table5[[#This Row],[PID]],Table3[[#All],[PID]],0)))</f>
        <v>Low</v>
      </c>
      <c r="K967" s="54" t="str">
        <f>IF($C967="B",INDEX(Batters[[#All],[INT]],MATCH(Table5[[#This Row],[PID]],Batters[[#All],[PID]],0)),INDEX(Table3[[#All],[INT]],MATCH(Table5[[#This Row],[PID]],Table3[[#All],[PID]],0)))</f>
        <v>Normal</v>
      </c>
      <c r="L967" s="62">
        <f>IF($C967="B",INDEX(Batters[[#All],[CON P]],MATCH(Table5[[#This Row],[PID]],Batters[[#All],[PID]],0)),INDEX(Table3[[#All],[STU P]],MATCH(Table5[[#This Row],[PID]],Table3[[#All],[PID]],0)))</f>
        <v>3</v>
      </c>
      <c r="M967" s="58">
        <f>IF($C967="B",INDEX(Batters[[#All],[GAP P]],MATCH(Table5[[#This Row],[PID]],Batters[[#All],[PID]],0)),INDEX(Table3[[#All],[MOV P]],MATCH(Table5[[#This Row],[PID]],Table3[[#All],[PID]],0)))</f>
        <v>1</v>
      </c>
      <c r="N967" s="58">
        <f>IF($C967="B",INDEX(Batters[[#All],[POW P]],MATCH(Table5[[#This Row],[PID]],Batters[[#All],[PID]],0)),INDEX(Table3[[#All],[CON P]],MATCH(Table5[[#This Row],[PID]],Table3[[#All],[PID]],0)))</f>
        <v>2</v>
      </c>
      <c r="O967" s="58" t="str">
        <f>IF($C967="B",INDEX(Batters[[#All],[EYE P]],MATCH(Table5[[#This Row],[PID]],Batters[[#All],[PID]],0)),INDEX(Table3[[#All],[VELO]],MATCH(Table5[[#This Row],[PID]],Table3[[#All],[PID]],0)))</f>
        <v>87-89 Mph</v>
      </c>
      <c r="P967" s="58">
        <f>IF($C967="B",INDEX(Batters[[#All],[K P]],MATCH(Table5[[#This Row],[PID]],Batters[[#All],[PID]],0)),INDEX(Table3[[#All],[STM]],MATCH(Table5[[#This Row],[PID]],Table3[[#All],[PID]],0)))</f>
        <v>8</v>
      </c>
      <c r="Q967" s="63">
        <f>IF($C967="B",INDEX(Batters[[#All],[Tot]],MATCH(Table5[[#This Row],[PID]],Batters[[#All],[PID]],0)),INDEX(Table3[[#All],[Tot]],MATCH(Table5[[#This Row],[PID]],Table3[[#All],[PID]],0)))</f>
        <v>20.173977709245097</v>
      </c>
      <c r="R967" s="54">
        <f>IF($C967="B",INDEX(Batters[[#All],[zScore]],MATCH(Table5[[#This Row],[PID]],Batters[[#All],[PID]],0)),INDEX(Table3[[#All],[zScore]],MATCH(Table5[[#This Row],[PID]],Table3[[#All],[PID]],0)))</f>
        <v>-0.89581843785611681</v>
      </c>
      <c r="S967" s="60" t="str">
        <f>IF($C967="B",INDEX(Batters[[#All],[DEM]],MATCH(Table5[[#This Row],[PID]],Batters[[#All],[PID]],0)),INDEX(Table3[[#All],[DEM]],MATCH(Table5[[#This Row],[PID]],Table3[[#All],[PID]],0)))</f>
        <v>$65k</v>
      </c>
      <c r="T967" s="64" t="e">
        <f>IF($C967="B",VLOOKUP($A967,Bat!$A$4:$AU$1417,46,FALSE),VLOOKUP($A967,Pit!$A$4:$BD$570,55,FALSE))</f>
        <v>#N/A</v>
      </c>
      <c r="U967" s="52" t="e">
        <f>IF($C967="B",VLOOKUP($A967,Bat!$A$4:$BA$1417,47,FALSE),VLOOKUP($A967,Pit!$A$4:$BF$570,56,FALSE))</f>
        <v>#N/A</v>
      </c>
      <c r="V967" s="52" t="e">
        <f>IF($C967="B",VLOOKUP($A967,Bat!$A$4:$BA$1417,48,FALSE),VLOOKUP($A967,Pit!$A$4:$BF$570,57,FALSE))</f>
        <v>#N/A</v>
      </c>
      <c r="W967" s="52" t="e">
        <f>Table5[[#This Row],[posRnk]]+Table5[[#This Row],[zRnk]]+IF($W$3&lt;&gt;Table5[[#This Row],[Type]],50,0)</f>
        <v>#N/A</v>
      </c>
      <c r="X967" s="53">
        <f>RANK(Table5[[#This Row],[zScore]],Table5[[#All],[zScore]])</f>
        <v>963</v>
      </c>
      <c r="Y967" s="52" t="str">
        <f>IFERROR(INDEX(DraftResults[[#All],[OVR]],MATCH(Table5[[#This Row],[PID]],DraftResults[[#All],[Player ID]],0)),"")</f>
        <v/>
      </c>
      <c r="Z9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7" s="52" t="str">
        <f>IFERROR(INDEX(DraftResults[[#All],[Pick in Round]],MATCH(Table5[[#This Row],[PID]],DraftResults[[#All],[Player ID]],0)),"")</f>
        <v/>
      </c>
      <c r="AB967" s="52" t="str">
        <f>IFERROR(INDEX(DraftResults[[#All],[Team Name]],MATCH(Table5[[#This Row],[PID]],DraftResults[[#All],[Player ID]],0)),"")</f>
        <v/>
      </c>
      <c r="AC967" s="52" t="str">
        <f>IF(Table5[[#This Row],[Ovr]]="","",IF(Table5[[#This Row],[cmbList]]="","",Table5[[#This Row],[cmbList]]-Table5[[#This Row],[Ovr]]))</f>
        <v/>
      </c>
      <c r="AD967" s="56" t="str">
        <f>IF(ISERROR(VLOOKUP($AB967&amp;"-"&amp;$E967&amp;" "&amp;F967,Bonuses!$B$1:$G$1006,4,FALSE)),"",INT(VLOOKUP($AB967&amp;"-"&amp;$E967&amp;" "&amp;$F967,Bonuses!$B$1:$G$1006,4,FALSE)))</f>
        <v/>
      </c>
      <c r="AE9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8" spans="1:31" s="52" customFormat="1" x14ac:dyDescent="0.25">
      <c r="A968" s="52">
        <v>8398</v>
      </c>
      <c r="B968" s="52">
        <f>COUNTIF(Table5[PID],A968)</f>
        <v>1</v>
      </c>
      <c r="C968" s="52" t="str">
        <f>IF(COUNTIF(Table3[[#All],[PID]],A968)&gt;0,"P","B")</f>
        <v>P</v>
      </c>
      <c r="D968" s="61" t="str">
        <f>IF($C968="B",INDEX(Batters[[#All],[POS]],MATCH(Table5[[#This Row],[PID]],Batters[[#All],[PID]],0)),INDEX(Table3[[#All],[POS]],MATCH(Table5[[#This Row],[PID]],Table3[[#All],[PID]],0)))</f>
        <v>RP</v>
      </c>
      <c r="E968" s="54" t="str">
        <f>IF($C968="B",INDEX(Batters[[#All],[First]],MATCH(Table5[[#This Row],[PID]],Batters[[#All],[PID]],0)),INDEX(Table3[[#All],[First]],MATCH(Table5[[#This Row],[PID]],Table3[[#All],[PID]],0)))</f>
        <v>Jerry</v>
      </c>
      <c r="F968" s="52" t="str">
        <f>IF($C968="B",INDEX(Batters[[#All],[Last]],MATCH(A968,Batters[[#All],[PID]],0)),INDEX(Table3[[#All],[Last]],MATCH(A968,Table3[[#All],[PID]],0)))</f>
        <v>Hill</v>
      </c>
      <c r="G968" s="58">
        <f>IF($C968="B",INDEX(Batters[[#All],[Age]],MATCH(Table5[[#This Row],[PID]],Batters[[#All],[PID]],0)),INDEX(Table3[[#All],[Age]],MATCH(Table5[[#This Row],[PID]],Table3[[#All],[PID]],0)))</f>
        <v>18</v>
      </c>
      <c r="H968" s="54" t="str">
        <f>IF($C968="B",INDEX(Batters[[#All],[B]],MATCH(Table5[[#This Row],[PID]],Batters[[#All],[PID]],0)),INDEX(Table3[[#All],[B]],MATCH(Table5[[#This Row],[PID]],Table3[[#All],[PID]],0)))</f>
        <v>R</v>
      </c>
      <c r="I968" s="54" t="str">
        <f>IF($C968="B",INDEX(Batters[[#All],[T]],MATCH(Table5[[#This Row],[PID]],Batters[[#All],[PID]],0)),INDEX(Table3[[#All],[T]],MATCH(Table5[[#This Row],[PID]],Table3[[#All],[PID]],0)))</f>
        <v>R</v>
      </c>
      <c r="J968" s="54" t="str">
        <f>IF($C968="B",INDEX(Batters[[#All],[WE]],MATCH(Table5[[#This Row],[PID]],Batters[[#All],[PID]],0)),INDEX(Table3[[#All],[WE]],MATCH(Table5[[#This Row],[PID]],Table3[[#All],[PID]],0)))</f>
        <v>Low</v>
      </c>
      <c r="K968" s="54" t="str">
        <f>IF($C968="B",INDEX(Batters[[#All],[INT]],MATCH(Table5[[#This Row],[PID]],Batters[[#All],[PID]],0)),INDEX(Table3[[#All],[INT]],MATCH(Table5[[#This Row],[PID]],Table3[[#All],[PID]],0)))</f>
        <v>Normal</v>
      </c>
      <c r="L968" s="62">
        <f>IF($C968="B",INDEX(Batters[[#All],[CON P]],MATCH(Table5[[#This Row],[PID]],Batters[[#All],[PID]],0)),INDEX(Table3[[#All],[STU P]],MATCH(Table5[[#This Row],[PID]],Table3[[#All],[PID]],0)))</f>
        <v>3</v>
      </c>
      <c r="M968" s="58">
        <f>IF($C968="B",INDEX(Batters[[#All],[GAP P]],MATCH(Table5[[#This Row],[PID]],Batters[[#All],[PID]],0)),INDEX(Table3[[#All],[MOV P]],MATCH(Table5[[#This Row],[PID]],Table3[[#All],[PID]],0)))</f>
        <v>1</v>
      </c>
      <c r="N968" s="58">
        <f>IF($C968="B",INDEX(Batters[[#All],[POW P]],MATCH(Table5[[#This Row],[PID]],Batters[[#All],[PID]],0)),INDEX(Table3[[#All],[CON P]],MATCH(Table5[[#This Row],[PID]],Table3[[#All],[PID]],0)))</f>
        <v>3</v>
      </c>
      <c r="O968" s="58" t="str">
        <f>IF($C968="B",INDEX(Batters[[#All],[EYE P]],MATCH(Table5[[#This Row],[PID]],Batters[[#All],[PID]],0)),INDEX(Table3[[#All],[VELO]],MATCH(Table5[[#This Row],[PID]],Table3[[#All],[PID]],0)))</f>
        <v>86-88 Mph</v>
      </c>
      <c r="P968" s="58">
        <f>IF($C968="B",INDEX(Batters[[#All],[K P]],MATCH(Table5[[#This Row],[PID]],Batters[[#All],[PID]],0)),INDEX(Table3[[#All],[STM]],MATCH(Table5[[#This Row],[PID]],Table3[[#All],[PID]],0)))</f>
        <v>3</v>
      </c>
      <c r="Q968" s="63">
        <f>IF($C968="B",INDEX(Batters[[#All],[Tot]],MATCH(Table5[[#This Row],[PID]],Batters[[#All],[PID]],0)),INDEX(Table3[[#All],[Tot]],MATCH(Table5[[#This Row],[PID]],Table3[[#All],[PID]],0)))</f>
        <v>20.1704010998704</v>
      </c>
      <c r="R968" s="54">
        <f>IF($C968="B",INDEX(Batters[[#All],[zScore]],MATCH(Table5[[#This Row],[PID]],Batters[[#All],[PID]],0)),INDEX(Table3[[#All],[zScore]],MATCH(Table5[[#This Row],[PID]],Table3[[#All],[PID]],0)))</f>
        <v>-0.89613190120689779</v>
      </c>
      <c r="S968" s="60" t="str">
        <f>IF($C968="B",INDEX(Batters[[#All],[DEM]],MATCH(Table5[[#This Row],[PID]],Batters[[#All],[PID]],0)),INDEX(Table3[[#All],[DEM]],MATCH(Table5[[#This Row],[PID]],Table3[[#All],[PID]],0)))</f>
        <v>$65k</v>
      </c>
      <c r="T968" s="64" t="e">
        <f>IF($C968="B",VLOOKUP($A968,Bat!$A$4:$AU$1417,46,FALSE),VLOOKUP($A968,Pit!$A$4:$BD$570,55,FALSE))</f>
        <v>#N/A</v>
      </c>
      <c r="U968" s="52" t="e">
        <f>IF($C968="B",VLOOKUP($A968,Bat!$A$4:$BA$1417,47,FALSE),VLOOKUP($A968,Pit!$A$4:$BF$570,56,FALSE))</f>
        <v>#N/A</v>
      </c>
      <c r="V968" s="52" t="e">
        <f>IF($C968="B",VLOOKUP($A968,Bat!$A$4:$BA$1417,48,FALSE),VLOOKUP($A968,Pit!$A$4:$BF$570,57,FALSE))</f>
        <v>#N/A</v>
      </c>
      <c r="W968" s="52" t="e">
        <f>Table5[[#This Row],[posRnk]]+Table5[[#This Row],[zRnk]]+IF($W$3&lt;&gt;Table5[[#This Row],[Type]],50,0)</f>
        <v>#N/A</v>
      </c>
      <c r="X968" s="53">
        <f>RANK(Table5[[#This Row],[zScore]],Table5[[#All],[zScore]])</f>
        <v>964</v>
      </c>
      <c r="Y968" s="52" t="str">
        <f>IFERROR(INDEX(DraftResults[[#All],[OVR]],MATCH(Table5[[#This Row],[PID]],DraftResults[[#All],[Player ID]],0)),"")</f>
        <v/>
      </c>
      <c r="Z9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8" s="52" t="str">
        <f>IFERROR(INDEX(DraftResults[[#All],[Pick in Round]],MATCH(Table5[[#This Row],[PID]],DraftResults[[#All],[Player ID]],0)),"")</f>
        <v/>
      </c>
      <c r="AB968" s="52" t="str">
        <f>IFERROR(INDEX(DraftResults[[#All],[Team Name]],MATCH(Table5[[#This Row],[PID]],DraftResults[[#All],[Player ID]],0)),"")</f>
        <v/>
      </c>
      <c r="AC968" s="52" t="str">
        <f>IF(Table5[[#This Row],[Ovr]]="","",IF(Table5[[#This Row],[cmbList]]="","",Table5[[#This Row],[cmbList]]-Table5[[#This Row],[Ovr]]))</f>
        <v/>
      </c>
      <c r="AD968" s="56" t="str">
        <f>IF(ISERROR(VLOOKUP($AB968&amp;"-"&amp;$E968&amp;" "&amp;F968,Bonuses!$B$1:$G$1006,4,FALSE)),"",INT(VLOOKUP($AB968&amp;"-"&amp;$E968&amp;" "&amp;$F968,Bonuses!$B$1:$G$1006,4,FALSE)))</f>
        <v/>
      </c>
      <c r="AE9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9" spans="1:31" s="52" customFormat="1" x14ac:dyDescent="0.25">
      <c r="A969" s="52">
        <v>11938</v>
      </c>
      <c r="B969" s="52">
        <f>COUNTIF(Table5[PID],A969)</f>
        <v>1</v>
      </c>
      <c r="C969" s="52" t="str">
        <f>IF(COUNTIF(Table3[[#All],[PID]],A969)&gt;0,"P","B")</f>
        <v>P</v>
      </c>
      <c r="D969" s="61" t="str">
        <f>IF($C969="B",INDEX(Batters[[#All],[POS]],MATCH(Table5[[#This Row],[PID]],Batters[[#All],[PID]],0)),INDEX(Table3[[#All],[POS]],MATCH(Table5[[#This Row],[PID]],Table3[[#All],[PID]],0)))</f>
        <v>RP</v>
      </c>
      <c r="E969" s="54" t="str">
        <f>IF($C969="B",INDEX(Batters[[#All],[First]],MATCH(Table5[[#This Row],[PID]],Batters[[#All],[PID]],0)),INDEX(Table3[[#All],[First]],MATCH(Table5[[#This Row],[PID]],Table3[[#All],[PID]],0)))</f>
        <v>Ricardo</v>
      </c>
      <c r="F969" s="52" t="str">
        <f>IF($C969="B",INDEX(Batters[[#All],[Last]],MATCH(A969,Batters[[#All],[PID]],0)),INDEX(Table3[[#All],[Last]],MATCH(A969,Table3[[#All],[PID]],0)))</f>
        <v>Rivera</v>
      </c>
      <c r="G969" s="58">
        <f>IF($C969="B",INDEX(Batters[[#All],[Age]],MATCH(Table5[[#This Row],[PID]],Batters[[#All],[PID]],0)),INDEX(Table3[[#All],[Age]],MATCH(Table5[[#This Row],[PID]],Table3[[#All],[PID]],0)))</f>
        <v>21</v>
      </c>
      <c r="H969" s="54" t="str">
        <f>IF($C969="B",INDEX(Batters[[#All],[B]],MATCH(Table5[[#This Row],[PID]],Batters[[#All],[PID]],0)),INDEX(Table3[[#All],[B]],MATCH(Table5[[#This Row],[PID]],Table3[[#All],[PID]],0)))</f>
        <v>R</v>
      </c>
      <c r="I969" s="54" t="str">
        <f>IF($C969="B",INDEX(Batters[[#All],[T]],MATCH(Table5[[#This Row],[PID]],Batters[[#All],[PID]],0)),INDEX(Table3[[#All],[T]],MATCH(Table5[[#This Row],[PID]],Table3[[#All],[PID]],0)))</f>
        <v>R</v>
      </c>
      <c r="J969" s="54" t="str">
        <f>IF($C969="B",INDEX(Batters[[#All],[WE]],MATCH(Table5[[#This Row],[PID]],Batters[[#All],[PID]],0)),INDEX(Table3[[#All],[WE]],MATCH(Table5[[#This Row],[PID]],Table3[[#All],[PID]],0)))</f>
        <v>Normal</v>
      </c>
      <c r="K969" s="54" t="str">
        <f>IF($C969="B",INDEX(Batters[[#All],[INT]],MATCH(Table5[[#This Row],[PID]],Batters[[#All],[PID]],0)),INDEX(Table3[[#All],[INT]],MATCH(Table5[[#This Row],[PID]],Table3[[#All],[PID]],0)))</f>
        <v>Normal</v>
      </c>
      <c r="L969" s="62">
        <f>IF($C969="B",INDEX(Batters[[#All],[CON P]],MATCH(Table5[[#This Row],[PID]],Batters[[#All],[PID]],0)),INDEX(Table3[[#All],[STU P]],MATCH(Table5[[#This Row],[PID]],Table3[[#All],[PID]],0)))</f>
        <v>3</v>
      </c>
      <c r="M969" s="58">
        <f>IF($C969="B",INDEX(Batters[[#All],[GAP P]],MATCH(Table5[[#This Row],[PID]],Batters[[#All],[PID]],0)),INDEX(Table3[[#All],[MOV P]],MATCH(Table5[[#This Row],[PID]],Table3[[#All],[PID]],0)))</f>
        <v>2</v>
      </c>
      <c r="N969" s="58">
        <f>IF($C969="B",INDEX(Batters[[#All],[POW P]],MATCH(Table5[[#This Row],[PID]],Batters[[#All],[PID]],0)),INDEX(Table3[[#All],[CON P]],MATCH(Table5[[#This Row],[PID]],Table3[[#All],[PID]],0)))</f>
        <v>2</v>
      </c>
      <c r="O969" s="58" t="str">
        <f>IF($C969="B",INDEX(Batters[[#All],[EYE P]],MATCH(Table5[[#This Row],[PID]],Batters[[#All],[PID]],0)),INDEX(Table3[[#All],[VELO]],MATCH(Table5[[#This Row],[PID]],Table3[[#All],[PID]],0)))</f>
        <v>89-91 Mph</v>
      </c>
      <c r="P969" s="58">
        <f>IF($C969="B",INDEX(Batters[[#All],[K P]],MATCH(Table5[[#This Row],[PID]],Batters[[#All],[PID]],0)),INDEX(Table3[[#All],[STM]],MATCH(Table5[[#This Row],[PID]],Table3[[#All],[PID]],0)))</f>
        <v>7</v>
      </c>
      <c r="Q969" s="63">
        <f>IF($C969="B",INDEX(Batters[[#All],[Tot]],MATCH(Table5[[#This Row],[PID]],Batters[[#All],[PID]],0)),INDEX(Table3[[#All],[Tot]],MATCH(Table5[[#This Row],[PID]],Table3[[#All],[PID]],0)))</f>
        <v>20.146550302748043</v>
      </c>
      <c r="R969" s="54">
        <f>IF($C969="B",INDEX(Batters[[#All],[zScore]],MATCH(Table5[[#This Row],[PID]],Batters[[#All],[PID]],0)),INDEX(Table3[[#All],[zScore]],MATCH(Table5[[#This Row],[PID]],Table3[[#All],[PID]],0)))</f>
        <v>-0.89822224711877285</v>
      </c>
      <c r="S969" s="60" t="str">
        <f>IF($C969="B",INDEX(Batters[[#All],[DEM]],MATCH(Table5[[#This Row],[PID]],Batters[[#All],[PID]],0)),INDEX(Table3[[#All],[DEM]],MATCH(Table5[[#This Row],[PID]],Table3[[#All],[PID]],0)))</f>
        <v>-</v>
      </c>
      <c r="T969" s="64" t="e">
        <f>IF($C969="B",VLOOKUP($A969,Bat!$A$4:$AU$1417,46,FALSE),VLOOKUP($A969,Pit!$A$4:$BD$570,55,FALSE))</f>
        <v>#N/A</v>
      </c>
      <c r="U969" s="52" t="e">
        <f>IF($C969="B",VLOOKUP($A969,Bat!$A$4:$BA$1417,47,FALSE),VLOOKUP($A969,Pit!$A$4:$BF$570,56,FALSE))</f>
        <v>#N/A</v>
      </c>
      <c r="V969" s="52" t="e">
        <f>IF($C969="B",VLOOKUP($A969,Bat!$A$4:$BA$1417,48,FALSE),VLOOKUP($A969,Pit!$A$4:$BF$570,57,FALSE))</f>
        <v>#N/A</v>
      </c>
      <c r="W969" s="52" t="e">
        <f>Table5[[#This Row],[posRnk]]+Table5[[#This Row],[zRnk]]+IF($W$3&lt;&gt;Table5[[#This Row],[Type]],50,0)</f>
        <v>#N/A</v>
      </c>
      <c r="X969" s="53">
        <f>RANK(Table5[[#This Row],[zScore]],Table5[[#All],[zScore]])</f>
        <v>965</v>
      </c>
      <c r="Y969" s="52" t="str">
        <f>IFERROR(INDEX(DraftResults[[#All],[OVR]],MATCH(Table5[[#This Row],[PID]],DraftResults[[#All],[Player ID]],0)),"")</f>
        <v/>
      </c>
      <c r="Z9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9" s="52" t="str">
        <f>IFERROR(INDEX(DraftResults[[#All],[Pick in Round]],MATCH(Table5[[#This Row],[PID]],DraftResults[[#All],[Player ID]],0)),"")</f>
        <v/>
      </c>
      <c r="AB969" s="52" t="str">
        <f>IFERROR(INDEX(DraftResults[[#All],[Team Name]],MATCH(Table5[[#This Row],[PID]],DraftResults[[#All],[Player ID]],0)),"")</f>
        <v/>
      </c>
      <c r="AC969" s="52" t="str">
        <f>IF(Table5[[#This Row],[Ovr]]="","",IF(Table5[[#This Row],[cmbList]]="","",Table5[[#This Row],[cmbList]]-Table5[[#This Row],[Ovr]]))</f>
        <v/>
      </c>
      <c r="AD969" s="56" t="str">
        <f>IF(ISERROR(VLOOKUP($AB969&amp;"-"&amp;$E969&amp;" "&amp;F969,Bonuses!$B$1:$G$1006,4,FALSE)),"",INT(VLOOKUP($AB969&amp;"-"&amp;$E969&amp;" "&amp;$F969,Bonuses!$B$1:$G$1006,4,FALSE)))</f>
        <v/>
      </c>
      <c r="AE9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0" spans="1:31" s="52" customFormat="1" x14ac:dyDescent="0.25">
      <c r="A970" s="52">
        <v>7144</v>
      </c>
      <c r="B970" s="52">
        <f>COUNTIF(Table5[PID],A970)</f>
        <v>1</v>
      </c>
      <c r="C970" s="52" t="str">
        <f>IF(COUNTIF(Table3[[#All],[PID]],A970)&gt;0,"P","B")</f>
        <v>B</v>
      </c>
      <c r="D970" s="61" t="str">
        <f>IF($C970="B",INDEX(Batters[[#All],[POS]],MATCH(Table5[[#This Row],[PID]],Batters[[#All],[PID]],0)),INDEX(Table3[[#All],[POS]],MATCH(Table5[[#This Row],[PID]],Table3[[#All],[PID]],0)))</f>
        <v>C</v>
      </c>
      <c r="E970" s="54" t="str">
        <f>IF($C970="B",INDEX(Batters[[#All],[First]],MATCH(Table5[[#This Row],[PID]],Batters[[#All],[PID]],0)),INDEX(Table3[[#All],[First]],MATCH(Table5[[#This Row],[PID]],Table3[[#All],[PID]],0)))</f>
        <v>Powell</v>
      </c>
      <c r="F970" s="52" t="str">
        <f>IF($C970="B",INDEX(Batters[[#All],[Last]],MATCH(A970,Batters[[#All],[PID]],0)),INDEX(Table3[[#All],[Last]],MATCH(A970,Table3[[#All],[PID]],0)))</f>
        <v>Mack</v>
      </c>
      <c r="G970" s="58">
        <f>IF($C970="B",INDEX(Batters[[#All],[Age]],MATCH(Table5[[#This Row],[PID]],Batters[[#All],[PID]],0)),INDEX(Table3[[#All],[Age]],MATCH(Table5[[#This Row],[PID]],Table3[[#All],[PID]],0)))</f>
        <v>22</v>
      </c>
      <c r="H970" s="54" t="str">
        <f>IF($C970="B",INDEX(Batters[[#All],[B]],MATCH(Table5[[#This Row],[PID]],Batters[[#All],[PID]],0)),INDEX(Table3[[#All],[B]],MATCH(Table5[[#This Row],[PID]],Table3[[#All],[PID]],0)))</f>
        <v>S</v>
      </c>
      <c r="I970" s="54" t="str">
        <f>IF($C970="B",INDEX(Batters[[#All],[T]],MATCH(Table5[[#This Row],[PID]],Batters[[#All],[PID]],0)),INDEX(Table3[[#All],[T]],MATCH(Table5[[#This Row],[PID]],Table3[[#All],[PID]],0)))</f>
        <v>R</v>
      </c>
      <c r="J970" s="54" t="str">
        <f>IF($C970="B",INDEX(Batters[[#All],[WE]],MATCH(Table5[[#This Row],[PID]],Batters[[#All],[PID]],0)),INDEX(Table3[[#All],[WE]],MATCH(Table5[[#This Row],[PID]],Table3[[#All],[PID]],0)))</f>
        <v>Low</v>
      </c>
      <c r="K970" s="54" t="str">
        <f>IF($C970="B",INDEX(Batters[[#All],[INT]],MATCH(Table5[[#This Row],[PID]],Batters[[#All],[PID]],0)),INDEX(Table3[[#All],[INT]],MATCH(Table5[[#This Row],[PID]],Table3[[#All],[PID]],0)))</f>
        <v>Normal</v>
      </c>
      <c r="L970" s="62">
        <f>IF($C970="B",INDEX(Batters[[#All],[CON P]],MATCH(Table5[[#This Row],[PID]],Batters[[#All],[PID]],0)),INDEX(Table3[[#All],[STU P]],MATCH(Table5[[#This Row],[PID]],Table3[[#All],[PID]],0)))</f>
        <v>3</v>
      </c>
      <c r="M970" s="58">
        <f>IF($C970="B",INDEX(Batters[[#All],[GAP P]],MATCH(Table5[[#This Row],[PID]],Batters[[#All],[PID]],0)),INDEX(Table3[[#All],[MOV P]],MATCH(Table5[[#This Row],[PID]],Table3[[#All],[PID]],0)))</f>
        <v>3</v>
      </c>
      <c r="N970" s="58">
        <f>IF($C970="B",INDEX(Batters[[#All],[POW P]],MATCH(Table5[[#This Row],[PID]],Batters[[#All],[PID]],0)),INDEX(Table3[[#All],[CON P]],MATCH(Table5[[#This Row],[PID]],Table3[[#All],[PID]],0)))</f>
        <v>4</v>
      </c>
      <c r="O970" s="58">
        <f>IF($C970="B",INDEX(Batters[[#All],[EYE P]],MATCH(Table5[[#This Row],[PID]],Batters[[#All],[PID]],0)),INDEX(Table3[[#All],[VELO]],MATCH(Table5[[#This Row],[PID]],Table3[[#All],[PID]],0)))</f>
        <v>4</v>
      </c>
      <c r="P970" s="58">
        <f>IF($C970="B",INDEX(Batters[[#All],[K P]],MATCH(Table5[[#This Row],[PID]],Batters[[#All],[PID]],0)),INDEX(Table3[[#All],[STM]],MATCH(Table5[[#This Row],[PID]],Table3[[#All],[PID]],0)))</f>
        <v>2</v>
      </c>
      <c r="Q970" s="63">
        <f>IF($C970="B",INDEX(Batters[[#All],[Tot]],MATCH(Table5[[#This Row],[PID]],Batters[[#All],[PID]],0)),INDEX(Table3[[#All],[Tot]],MATCH(Table5[[#This Row],[PID]],Table3[[#All],[PID]],0)))</f>
        <v>35.223198078160536</v>
      </c>
      <c r="R970" s="54">
        <f>IF($C970="B",INDEX(Batters[[#All],[zScore]],MATCH(Table5[[#This Row],[PID]],Batters[[#All],[PID]],0)),INDEX(Table3[[#All],[zScore]],MATCH(Table5[[#This Row],[PID]],Table3[[#All],[PID]],0)))</f>
        <v>-0.90171835818440638</v>
      </c>
      <c r="S970" s="60" t="str">
        <f>IF($C970="B",INDEX(Batters[[#All],[DEM]],MATCH(Table5[[#This Row],[PID]],Batters[[#All],[PID]],0)),INDEX(Table3[[#All],[DEM]],MATCH(Table5[[#This Row],[PID]],Table3[[#All],[PID]],0)))</f>
        <v>-</v>
      </c>
      <c r="T970" s="64">
        <f>IF($C970="B",VLOOKUP($A970,Bat!$A$4:$AU$1417,46,FALSE),VLOOKUP($A970,Pit!$A$4:$BD$570,55,FALSE))</f>
        <v>0</v>
      </c>
      <c r="U970" s="52">
        <f>IF($C970="B",VLOOKUP($A970,Bat!$A$4:$BA$1417,47,FALSE),VLOOKUP($A970,Pit!$A$4:$BF$570,56,FALSE))</f>
        <v>0</v>
      </c>
      <c r="V970" s="52">
        <f>IF($C970="B",VLOOKUP($A970,Bat!$A$4:$BA$1417,48,FALSE),VLOOKUP($A970,Pit!$A$4:$BF$570,57,FALSE))</f>
        <v>0</v>
      </c>
      <c r="W970" s="52">
        <f>Table5[[#This Row],[posRnk]]+Table5[[#This Row],[zRnk]]+IF($W$3&lt;&gt;Table5[[#This Row],[Type]],50,0)</f>
        <v>1016</v>
      </c>
      <c r="X970" s="53">
        <f>RANK(Table5[[#This Row],[zScore]],Table5[[#All],[zScore]])</f>
        <v>966</v>
      </c>
      <c r="Y970" s="52" t="str">
        <f>IFERROR(INDEX(DraftResults[[#All],[OVR]],MATCH(Table5[[#This Row],[PID]],DraftResults[[#All],[Player ID]],0)),"")</f>
        <v/>
      </c>
      <c r="Z9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0" s="52" t="str">
        <f>IFERROR(INDEX(DraftResults[[#All],[Pick in Round]],MATCH(Table5[[#This Row],[PID]],DraftResults[[#All],[Player ID]],0)),"")</f>
        <v/>
      </c>
      <c r="AB970" s="52" t="str">
        <f>IFERROR(INDEX(DraftResults[[#All],[Team Name]],MATCH(Table5[[#This Row],[PID]],DraftResults[[#All],[Player ID]],0)),"")</f>
        <v/>
      </c>
      <c r="AC970" s="52" t="str">
        <f>IF(Table5[[#This Row],[Ovr]]="","",IF(Table5[[#This Row],[cmbList]]="","",Table5[[#This Row],[cmbList]]-Table5[[#This Row],[Ovr]]))</f>
        <v/>
      </c>
      <c r="AD970" s="56" t="str">
        <f>IF(ISERROR(VLOOKUP($AB970&amp;"-"&amp;$E970&amp;" "&amp;F970,Bonuses!$B$1:$G$1006,4,FALSE)),"",INT(VLOOKUP($AB970&amp;"-"&amp;$E970&amp;" "&amp;$F970,Bonuses!$B$1:$G$1006,4,FALSE)))</f>
        <v/>
      </c>
      <c r="AE9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1" spans="1:31" s="52" customFormat="1" x14ac:dyDescent="0.25">
      <c r="A971" s="52">
        <v>12214</v>
      </c>
      <c r="B971" s="52">
        <f>COUNTIF(Table5[PID],A971)</f>
        <v>1</v>
      </c>
      <c r="C971" s="52" t="str">
        <f>IF(COUNTIF(Table3[[#All],[PID]],A971)&gt;0,"P","B")</f>
        <v>P</v>
      </c>
      <c r="D971" s="61" t="str">
        <f>IF($C971="B",INDEX(Batters[[#All],[POS]],MATCH(Table5[[#This Row],[PID]],Batters[[#All],[PID]],0)),INDEX(Table3[[#All],[POS]],MATCH(Table5[[#This Row],[PID]],Table3[[#All],[PID]],0)))</f>
        <v>RP</v>
      </c>
      <c r="E971" s="54" t="str">
        <f>IF($C971="B",INDEX(Batters[[#All],[First]],MATCH(Table5[[#This Row],[PID]],Batters[[#All],[PID]],0)),INDEX(Table3[[#All],[First]],MATCH(Table5[[#This Row],[PID]],Table3[[#All],[PID]],0)))</f>
        <v>Bert</v>
      </c>
      <c r="F971" s="52" t="str">
        <f>IF($C971="B",INDEX(Batters[[#All],[Last]],MATCH(A971,Batters[[#All],[PID]],0)),INDEX(Table3[[#All],[Last]],MATCH(A971,Table3[[#All],[PID]],0)))</f>
        <v>Wadsworth</v>
      </c>
      <c r="G971" s="58">
        <f>IF($C971="B",INDEX(Batters[[#All],[Age]],MATCH(Table5[[#This Row],[PID]],Batters[[#All],[PID]],0)),INDEX(Table3[[#All],[Age]],MATCH(Table5[[#This Row],[PID]],Table3[[#All],[PID]],0)))</f>
        <v>18</v>
      </c>
      <c r="H971" s="54" t="str">
        <f>IF($C971="B",INDEX(Batters[[#All],[B]],MATCH(Table5[[#This Row],[PID]],Batters[[#All],[PID]],0)),INDEX(Table3[[#All],[B]],MATCH(Table5[[#This Row],[PID]],Table3[[#All],[PID]],0)))</f>
        <v>L</v>
      </c>
      <c r="I971" s="54" t="str">
        <f>IF($C971="B",INDEX(Batters[[#All],[T]],MATCH(Table5[[#This Row],[PID]],Batters[[#All],[PID]],0)),INDEX(Table3[[#All],[T]],MATCH(Table5[[#This Row],[PID]],Table3[[#All],[PID]],0)))</f>
        <v>L</v>
      </c>
      <c r="J971" s="54" t="str">
        <f>IF($C971="B",INDEX(Batters[[#All],[WE]],MATCH(Table5[[#This Row],[PID]],Batters[[#All],[PID]],0)),INDEX(Table3[[#All],[WE]],MATCH(Table5[[#This Row],[PID]],Table3[[#All],[PID]],0)))</f>
        <v>Low</v>
      </c>
      <c r="K971" s="54" t="str">
        <f>IF($C971="B",INDEX(Batters[[#All],[INT]],MATCH(Table5[[#This Row],[PID]],Batters[[#All],[PID]],0)),INDEX(Table3[[#All],[INT]],MATCH(Table5[[#This Row],[PID]],Table3[[#All],[PID]],0)))</f>
        <v>Normal</v>
      </c>
      <c r="L971" s="62">
        <f>IF($C971="B",INDEX(Batters[[#All],[CON P]],MATCH(Table5[[#This Row],[PID]],Batters[[#All],[PID]],0)),INDEX(Table3[[#All],[STU P]],MATCH(Table5[[#This Row],[PID]],Table3[[#All],[PID]],0)))</f>
        <v>4</v>
      </c>
      <c r="M971" s="58">
        <f>IF($C971="B",INDEX(Batters[[#All],[GAP P]],MATCH(Table5[[#This Row],[PID]],Batters[[#All],[PID]],0)),INDEX(Table3[[#All],[MOV P]],MATCH(Table5[[#This Row],[PID]],Table3[[#All],[PID]],0)))</f>
        <v>2</v>
      </c>
      <c r="N971" s="58">
        <f>IF($C971="B",INDEX(Batters[[#All],[POW P]],MATCH(Table5[[#This Row],[PID]],Batters[[#All],[PID]],0)),INDEX(Table3[[#All],[CON P]],MATCH(Table5[[#This Row],[PID]],Table3[[#All],[PID]],0)))</f>
        <v>2</v>
      </c>
      <c r="O971" s="58" t="str">
        <f>IF($C971="B",INDEX(Batters[[#All],[EYE P]],MATCH(Table5[[#This Row],[PID]],Batters[[#All],[PID]],0)),INDEX(Table3[[#All],[VELO]],MATCH(Table5[[#This Row],[PID]],Table3[[#All],[PID]],0)))</f>
        <v>86-88 Mph</v>
      </c>
      <c r="P971" s="58">
        <f>IF($C971="B",INDEX(Batters[[#All],[K P]],MATCH(Table5[[#This Row],[PID]],Batters[[#All],[PID]],0)),INDEX(Table3[[#All],[STM]],MATCH(Table5[[#This Row],[PID]],Table3[[#All],[PID]],0)))</f>
        <v>4</v>
      </c>
      <c r="Q971" s="63">
        <f>IF($C971="B",INDEX(Batters[[#All],[Tot]],MATCH(Table5[[#This Row],[PID]],Batters[[#All],[PID]],0)),INDEX(Table3[[#All],[Tot]],MATCH(Table5[[#This Row],[PID]],Table3[[#All],[PID]],0)))</f>
        <v>22.873377555620692</v>
      </c>
      <c r="R971" s="54">
        <f>IF($C971="B",INDEX(Batters[[#All],[zScore]],MATCH(Table5[[#This Row],[PID]],Batters[[#All],[PID]],0)),INDEX(Table3[[#All],[zScore]],MATCH(Table5[[#This Row],[PID]],Table3[[#All],[PID]],0)))</f>
        <v>-0.90318377643619452</v>
      </c>
      <c r="S971" s="60" t="str">
        <f>IF($C971="B",INDEX(Batters[[#All],[DEM]],MATCH(Table5[[#This Row],[PID]],Batters[[#All],[PID]],0)),INDEX(Table3[[#All],[DEM]],MATCH(Table5[[#This Row],[PID]],Table3[[#All],[PID]],0)))</f>
        <v>$65k</v>
      </c>
      <c r="T971" s="64">
        <f>IF($C971="B",VLOOKUP($A971,Bat!$A$4:$AU$1417,46,FALSE),VLOOKUP($A971,Pit!$A$4:$BD$570,55,FALSE))</f>
        <v>0</v>
      </c>
      <c r="U971" s="52">
        <f>IF($C971="B",VLOOKUP($A971,Bat!$A$4:$BA$1417,47,FALSE),VLOOKUP($A971,Pit!$A$4:$BF$570,56,FALSE))</f>
        <v>0</v>
      </c>
      <c r="V971" s="52">
        <f>IF($C971="B",VLOOKUP($A971,Bat!$A$4:$BA$1417,48,FALSE),VLOOKUP($A971,Pit!$A$4:$BF$570,57,FALSE))</f>
        <v>0</v>
      </c>
      <c r="W971" s="52">
        <f>Table5[[#This Row],[posRnk]]+Table5[[#This Row],[zRnk]]+IF($W$3&lt;&gt;Table5[[#This Row],[Type]],50,0)</f>
        <v>1017</v>
      </c>
      <c r="X971" s="53">
        <f>RANK(Table5[[#This Row],[zScore]],Table5[[#All],[zScore]])</f>
        <v>967</v>
      </c>
      <c r="Y971" s="52" t="str">
        <f>IFERROR(INDEX(DraftResults[[#All],[OVR]],MATCH(Table5[[#This Row],[PID]],DraftResults[[#All],[Player ID]],0)),"")</f>
        <v/>
      </c>
      <c r="Z9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1" s="52" t="str">
        <f>IFERROR(INDEX(DraftResults[[#All],[Pick in Round]],MATCH(Table5[[#This Row],[PID]],DraftResults[[#All],[Player ID]],0)),"")</f>
        <v/>
      </c>
      <c r="AB971" s="52" t="str">
        <f>IFERROR(INDEX(DraftResults[[#All],[Team Name]],MATCH(Table5[[#This Row],[PID]],DraftResults[[#All],[Player ID]],0)),"")</f>
        <v/>
      </c>
      <c r="AC971" s="52" t="str">
        <f>IF(Table5[[#This Row],[Ovr]]="","",IF(Table5[[#This Row],[cmbList]]="","",Table5[[#This Row],[cmbList]]-Table5[[#This Row],[Ovr]]))</f>
        <v/>
      </c>
      <c r="AD971" s="56" t="str">
        <f>IF(ISERROR(VLOOKUP($AB971&amp;"-"&amp;$E971&amp;" "&amp;F971,Bonuses!$B$1:$G$1006,4,FALSE)),"",INT(VLOOKUP($AB971&amp;"-"&amp;$E971&amp;" "&amp;$F971,Bonuses!$B$1:$G$1006,4,FALSE)))</f>
        <v/>
      </c>
      <c r="AE9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2" spans="1:31" s="52" customFormat="1" x14ac:dyDescent="0.25">
      <c r="A972" s="52">
        <v>11065</v>
      </c>
      <c r="B972" s="52">
        <f>COUNTIF(Table5[PID],A972)</f>
        <v>1</v>
      </c>
      <c r="C972" s="52" t="str">
        <f>IF(COUNTIF(Table3[[#All],[PID]],A972)&gt;0,"P","B")</f>
        <v>B</v>
      </c>
      <c r="D972" s="61" t="str">
        <f>IF($C972="B",INDEX(Batters[[#All],[POS]],MATCH(Table5[[#This Row],[PID]],Batters[[#All],[PID]],0)),INDEX(Table3[[#All],[POS]],MATCH(Table5[[#This Row],[PID]],Table3[[#All],[PID]],0)))</f>
        <v>3B</v>
      </c>
      <c r="E972" s="54" t="str">
        <f>IF($C972="B",INDEX(Batters[[#All],[First]],MATCH(Table5[[#This Row],[PID]],Batters[[#All],[PID]],0)),INDEX(Table3[[#All],[First]],MATCH(Table5[[#This Row],[PID]],Table3[[#All],[PID]],0)))</f>
        <v>Masaaki</v>
      </c>
      <c r="F972" s="52" t="str">
        <f>IF($C972="B",INDEX(Batters[[#All],[Last]],MATCH(A972,Batters[[#All],[PID]],0)),INDEX(Table3[[#All],[Last]],MATCH(A972,Table3[[#All],[PID]],0)))</f>
        <v>Matsumoto</v>
      </c>
      <c r="G972" s="58">
        <f>IF($C972="B",INDEX(Batters[[#All],[Age]],MATCH(Table5[[#This Row],[PID]],Batters[[#All],[PID]],0)),INDEX(Table3[[#All],[Age]],MATCH(Table5[[#This Row],[PID]],Table3[[#All],[PID]],0)))</f>
        <v>18</v>
      </c>
      <c r="H972" s="54" t="str">
        <f>IF($C972="B",INDEX(Batters[[#All],[B]],MATCH(Table5[[#This Row],[PID]],Batters[[#All],[PID]],0)),INDEX(Table3[[#All],[B]],MATCH(Table5[[#This Row],[PID]],Table3[[#All],[PID]],0)))</f>
        <v>R</v>
      </c>
      <c r="I972" s="54" t="str">
        <f>IF($C972="B",INDEX(Batters[[#All],[T]],MATCH(Table5[[#This Row],[PID]],Batters[[#All],[PID]],0)),INDEX(Table3[[#All],[T]],MATCH(Table5[[#This Row],[PID]],Table3[[#All],[PID]],0)))</f>
        <v>R</v>
      </c>
      <c r="J972" s="54" t="str">
        <f>IF($C972="B",INDEX(Batters[[#All],[WE]],MATCH(Table5[[#This Row],[PID]],Batters[[#All],[PID]],0)),INDEX(Table3[[#All],[WE]],MATCH(Table5[[#This Row],[PID]],Table3[[#All],[PID]],0)))</f>
        <v>Low</v>
      </c>
      <c r="K972" s="54" t="str">
        <f>IF($C972="B",INDEX(Batters[[#All],[INT]],MATCH(Table5[[#This Row],[PID]],Batters[[#All],[PID]],0)),INDEX(Table3[[#All],[INT]],MATCH(Table5[[#This Row],[PID]],Table3[[#All],[PID]],0)))</f>
        <v>Normal</v>
      </c>
      <c r="L972" s="62">
        <f>IF($C972="B",INDEX(Batters[[#All],[CON P]],MATCH(Table5[[#This Row],[PID]],Batters[[#All],[PID]],0)),INDEX(Table3[[#All],[STU P]],MATCH(Table5[[#This Row],[PID]],Table3[[#All],[PID]],0)))</f>
        <v>2</v>
      </c>
      <c r="M972" s="58">
        <f>IF($C972="B",INDEX(Batters[[#All],[GAP P]],MATCH(Table5[[#This Row],[PID]],Batters[[#All],[PID]],0)),INDEX(Table3[[#All],[MOV P]],MATCH(Table5[[#This Row],[PID]],Table3[[#All],[PID]],0)))</f>
        <v>3</v>
      </c>
      <c r="N972" s="58">
        <f>IF($C972="B",INDEX(Batters[[#All],[POW P]],MATCH(Table5[[#This Row],[PID]],Batters[[#All],[PID]],0)),INDEX(Table3[[#All],[CON P]],MATCH(Table5[[#This Row],[PID]],Table3[[#All],[PID]],0)))</f>
        <v>4</v>
      </c>
      <c r="O972" s="58">
        <f>IF($C972="B",INDEX(Batters[[#All],[EYE P]],MATCH(Table5[[#This Row],[PID]],Batters[[#All],[PID]],0)),INDEX(Table3[[#All],[VELO]],MATCH(Table5[[#This Row],[PID]],Table3[[#All],[PID]],0)))</f>
        <v>3</v>
      </c>
      <c r="P972" s="58">
        <f>IF($C972="B",INDEX(Batters[[#All],[K P]],MATCH(Table5[[#This Row],[PID]],Batters[[#All],[PID]],0)),INDEX(Table3[[#All],[STM]],MATCH(Table5[[#This Row],[PID]],Table3[[#All],[PID]],0)))</f>
        <v>2</v>
      </c>
      <c r="Q972" s="63">
        <f>IF($C972="B",INDEX(Batters[[#All],[Tot]],MATCH(Table5[[#This Row],[PID]],Batters[[#All],[PID]],0)),INDEX(Table3[[#All],[Tot]],MATCH(Table5[[#This Row],[PID]],Table3[[#All],[PID]],0)))</f>
        <v>35.207297824665147</v>
      </c>
      <c r="R972" s="54">
        <f>IF($C972="B",INDEX(Batters[[#All],[zScore]],MATCH(Table5[[#This Row],[PID]],Batters[[#All],[PID]],0)),INDEX(Table3[[#All],[zScore]],MATCH(Table5[[#This Row],[PID]],Table3[[#All],[PID]],0)))</f>
        <v>-0.90451590210901145</v>
      </c>
      <c r="S972" s="60" t="str">
        <f>IF($C972="B",INDEX(Batters[[#All],[DEM]],MATCH(Table5[[#This Row],[PID]],Batters[[#All],[PID]],0)),INDEX(Table3[[#All],[DEM]],MATCH(Table5[[#This Row],[PID]],Table3[[#All],[PID]],0)))</f>
        <v>$65k</v>
      </c>
      <c r="T972" s="64">
        <f>IF($C972="B",VLOOKUP($A972,Bat!$A$4:$AU$1417,46,FALSE),VLOOKUP($A972,Pit!$A$4:$BD$570,55,FALSE))</f>
        <v>0</v>
      </c>
      <c r="U972" s="52">
        <f>IF($C972="B",VLOOKUP($A972,Bat!$A$4:$BA$1417,47,FALSE),VLOOKUP($A972,Pit!$A$4:$BF$570,56,FALSE))</f>
        <v>0</v>
      </c>
      <c r="V972" s="52">
        <f>IF($C972="B",VLOOKUP($A972,Bat!$A$4:$BA$1417,48,FALSE),VLOOKUP($A972,Pit!$A$4:$BF$570,57,FALSE))</f>
        <v>0</v>
      </c>
      <c r="W972" s="52">
        <f>Table5[[#This Row],[posRnk]]+Table5[[#This Row],[zRnk]]+IF($W$3&lt;&gt;Table5[[#This Row],[Type]],50,0)</f>
        <v>1018</v>
      </c>
      <c r="X972" s="53">
        <f>RANK(Table5[[#This Row],[zScore]],Table5[[#All],[zScore]])</f>
        <v>968</v>
      </c>
      <c r="Y972" s="52" t="str">
        <f>IFERROR(INDEX(DraftResults[[#All],[OVR]],MATCH(Table5[[#This Row],[PID]],DraftResults[[#All],[Player ID]],0)),"")</f>
        <v/>
      </c>
      <c r="Z9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2" s="52" t="str">
        <f>IFERROR(INDEX(DraftResults[[#All],[Pick in Round]],MATCH(Table5[[#This Row],[PID]],DraftResults[[#All],[Player ID]],0)),"")</f>
        <v/>
      </c>
      <c r="AB972" s="52" t="str">
        <f>IFERROR(INDEX(DraftResults[[#All],[Team Name]],MATCH(Table5[[#This Row],[PID]],DraftResults[[#All],[Player ID]],0)),"")</f>
        <v/>
      </c>
      <c r="AC972" s="52" t="str">
        <f>IF(Table5[[#This Row],[Ovr]]="","",IF(Table5[[#This Row],[cmbList]]="","",Table5[[#This Row],[cmbList]]-Table5[[#This Row],[Ovr]]))</f>
        <v/>
      </c>
      <c r="AD972" s="56" t="str">
        <f>IF(ISERROR(VLOOKUP($AB972&amp;"-"&amp;$E972&amp;" "&amp;F972,Bonuses!$B$1:$G$1006,4,FALSE)),"",INT(VLOOKUP($AB972&amp;"-"&amp;$E972&amp;" "&amp;$F972,Bonuses!$B$1:$G$1006,4,FALSE)))</f>
        <v/>
      </c>
      <c r="AE9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3" spans="1:31" s="52" customFormat="1" x14ac:dyDescent="0.25">
      <c r="A973" s="52">
        <v>9358</v>
      </c>
      <c r="B973" s="52">
        <f>COUNTIF(Table5[PID],A973)</f>
        <v>1</v>
      </c>
      <c r="C973" s="52" t="str">
        <f>IF(COUNTIF(Table3[[#All],[PID]],A973)&gt;0,"P","B")</f>
        <v>P</v>
      </c>
      <c r="D973" s="61" t="str">
        <f>IF($C973="B",INDEX(Batters[[#All],[POS]],MATCH(Table5[[#This Row],[PID]],Batters[[#All],[PID]],0)),INDEX(Table3[[#All],[POS]],MATCH(Table5[[#This Row],[PID]],Table3[[#All],[PID]],0)))</f>
        <v>SP</v>
      </c>
      <c r="E973" s="54" t="str">
        <f>IF($C973="B",INDEX(Batters[[#All],[First]],MATCH(Table5[[#This Row],[PID]],Batters[[#All],[PID]],0)),INDEX(Table3[[#All],[First]],MATCH(Table5[[#This Row],[PID]],Table3[[#All],[PID]],0)))</f>
        <v>Ralph</v>
      </c>
      <c r="F973" s="52" t="str">
        <f>IF($C973="B",INDEX(Batters[[#All],[Last]],MATCH(A973,Batters[[#All],[PID]],0)),INDEX(Table3[[#All],[Last]],MATCH(A973,Table3[[#All],[PID]],0)))</f>
        <v>Espinoza</v>
      </c>
      <c r="G973" s="58">
        <f>IF($C973="B",INDEX(Batters[[#All],[Age]],MATCH(Table5[[#This Row],[PID]],Batters[[#All],[PID]],0)),INDEX(Table3[[#All],[Age]],MATCH(Table5[[#This Row],[PID]],Table3[[#All],[PID]],0)))</f>
        <v>21</v>
      </c>
      <c r="H973" s="54" t="str">
        <f>IF($C973="B",INDEX(Batters[[#All],[B]],MATCH(Table5[[#This Row],[PID]],Batters[[#All],[PID]],0)),INDEX(Table3[[#All],[B]],MATCH(Table5[[#This Row],[PID]],Table3[[#All],[PID]],0)))</f>
        <v>L</v>
      </c>
      <c r="I973" s="54" t="str">
        <f>IF($C973="B",INDEX(Batters[[#All],[T]],MATCH(Table5[[#This Row],[PID]],Batters[[#All],[PID]],0)),INDEX(Table3[[#All],[T]],MATCH(Table5[[#This Row],[PID]],Table3[[#All],[PID]],0)))</f>
        <v>L</v>
      </c>
      <c r="J973" s="54" t="str">
        <f>IF($C973="B",INDEX(Batters[[#All],[WE]],MATCH(Table5[[#This Row],[PID]],Batters[[#All],[PID]],0)),INDEX(Table3[[#All],[WE]],MATCH(Table5[[#This Row],[PID]],Table3[[#All],[PID]],0)))</f>
        <v>High</v>
      </c>
      <c r="K973" s="54" t="str">
        <f>IF($C973="B",INDEX(Batters[[#All],[INT]],MATCH(Table5[[#This Row],[PID]],Batters[[#All],[PID]],0)),INDEX(Table3[[#All],[INT]],MATCH(Table5[[#This Row],[PID]],Table3[[#All],[PID]],0)))</f>
        <v>Normal</v>
      </c>
      <c r="L973" s="62">
        <f>IF($C973="B",INDEX(Batters[[#All],[CON P]],MATCH(Table5[[#This Row],[PID]],Batters[[#All],[PID]],0)),INDEX(Table3[[#All],[STU P]],MATCH(Table5[[#This Row],[PID]],Table3[[#All],[PID]],0)))</f>
        <v>4</v>
      </c>
      <c r="M973" s="58">
        <f>IF($C973="B",INDEX(Batters[[#All],[GAP P]],MATCH(Table5[[#This Row],[PID]],Batters[[#All],[PID]],0)),INDEX(Table3[[#All],[MOV P]],MATCH(Table5[[#This Row],[PID]],Table3[[#All],[PID]],0)))</f>
        <v>1</v>
      </c>
      <c r="N973" s="58">
        <f>IF($C973="B",INDEX(Batters[[#All],[POW P]],MATCH(Table5[[#This Row],[PID]],Batters[[#All],[PID]],0)),INDEX(Table3[[#All],[CON P]],MATCH(Table5[[#This Row],[PID]],Table3[[#All],[PID]],0)))</f>
        <v>2</v>
      </c>
      <c r="O973" s="58" t="str">
        <f>IF($C973="B",INDEX(Batters[[#All],[EYE P]],MATCH(Table5[[#This Row],[PID]],Batters[[#All],[PID]],0)),INDEX(Table3[[#All],[VELO]],MATCH(Table5[[#This Row],[PID]],Table3[[#All],[PID]],0)))</f>
        <v>90-92 Mph</v>
      </c>
      <c r="P973" s="58">
        <f>IF($C973="B",INDEX(Batters[[#All],[K P]],MATCH(Table5[[#This Row],[PID]],Batters[[#All],[PID]],0)),INDEX(Table3[[#All],[STM]],MATCH(Table5[[#This Row],[PID]],Table3[[#All],[PID]],0)))</f>
        <v>6</v>
      </c>
      <c r="Q973" s="63">
        <f>IF($C973="B",INDEX(Batters[[#All],[Tot]],MATCH(Table5[[#This Row],[PID]],Batters[[#All],[PID]],0)),INDEX(Table3[[#All],[Tot]],MATCH(Table5[[#This Row],[PID]],Table3[[#All],[PID]],0)))</f>
        <v>22.834073902722142</v>
      </c>
      <c r="R973" s="54">
        <f>IF($C973="B",INDEX(Batters[[#All],[zScore]],MATCH(Table5[[#This Row],[PID]],Batters[[#All],[PID]],0)),INDEX(Table3[[#All],[zScore]],MATCH(Table5[[#This Row],[PID]],Table3[[#All],[PID]],0)))</f>
        <v>-0.90678808939433464</v>
      </c>
      <c r="S973" s="60" t="str">
        <f>IF($C973="B",INDEX(Batters[[#All],[DEM]],MATCH(Table5[[#This Row],[PID]],Batters[[#All],[PID]],0)),INDEX(Table3[[#All],[DEM]],MATCH(Table5[[#This Row],[PID]],Table3[[#All],[PID]],0)))</f>
        <v>-</v>
      </c>
      <c r="T973" s="64">
        <f>IF($C973="B",VLOOKUP($A973,Bat!$A$4:$AU$1417,46,FALSE),VLOOKUP($A973,Pit!$A$4:$BD$570,55,FALSE))</f>
        <v>0</v>
      </c>
      <c r="U973" s="52">
        <f>IF($C973="B",VLOOKUP($A973,Bat!$A$4:$BA$1417,47,FALSE),VLOOKUP($A973,Pit!$A$4:$BF$570,56,FALSE))</f>
        <v>0</v>
      </c>
      <c r="V973" s="52">
        <f>IF($C973="B",VLOOKUP($A973,Bat!$A$4:$BA$1417,48,FALSE),VLOOKUP($A973,Pit!$A$4:$BF$570,57,FALSE))</f>
        <v>0</v>
      </c>
      <c r="W973" s="52">
        <f>Table5[[#This Row],[posRnk]]+Table5[[#This Row],[zRnk]]+IF($W$3&lt;&gt;Table5[[#This Row],[Type]],50,0)</f>
        <v>1019</v>
      </c>
      <c r="X973" s="53">
        <f>RANK(Table5[[#This Row],[zScore]],Table5[[#All],[zScore]])</f>
        <v>969</v>
      </c>
      <c r="Y973" s="52" t="str">
        <f>IFERROR(INDEX(DraftResults[[#All],[OVR]],MATCH(Table5[[#This Row],[PID]],DraftResults[[#All],[Player ID]],0)),"")</f>
        <v/>
      </c>
      <c r="Z9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3" s="52" t="str">
        <f>IFERROR(INDEX(DraftResults[[#All],[Pick in Round]],MATCH(Table5[[#This Row],[PID]],DraftResults[[#All],[Player ID]],0)),"")</f>
        <v/>
      </c>
      <c r="AB973" s="52" t="str">
        <f>IFERROR(INDEX(DraftResults[[#All],[Team Name]],MATCH(Table5[[#This Row],[PID]],DraftResults[[#All],[Player ID]],0)),"")</f>
        <v/>
      </c>
      <c r="AC973" s="52" t="str">
        <f>IF(Table5[[#This Row],[Ovr]]="","",IF(Table5[[#This Row],[cmbList]]="","",Table5[[#This Row],[cmbList]]-Table5[[#This Row],[Ovr]]))</f>
        <v/>
      </c>
      <c r="AD973" s="56" t="str">
        <f>IF(ISERROR(VLOOKUP($AB973&amp;"-"&amp;$E973&amp;" "&amp;F973,Bonuses!$B$1:$G$1006,4,FALSE)),"",INT(VLOOKUP($AB973&amp;"-"&amp;$E973&amp;" "&amp;$F973,Bonuses!$B$1:$G$1006,4,FALSE)))</f>
        <v/>
      </c>
      <c r="AE9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4" spans="1:31" s="52" customFormat="1" x14ac:dyDescent="0.25">
      <c r="A974" s="52">
        <v>7482</v>
      </c>
      <c r="B974" s="52">
        <f>COUNTIF(Table5[PID],A974)</f>
        <v>1</v>
      </c>
      <c r="C974" s="52" t="str">
        <f>IF(COUNTIF(Table3[[#All],[PID]],A974)&gt;0,"P","B")</f>
        <v>P</v>
      </c>
      <c r="D974" s="61" t="str">
        <f>IF($C974="B",INDEX(Batters[[#All],[POS]],MATCH(Table5[[#This Row],[PID]],Batters[[#All],[PID]],0)),INDEX(Table3[[#All],[POS]],MATCH(Table5[[#This Row],[PID]],Table3[[#All],[PID]],0)))</f>
        <v>RP</v>
      </c>
      <c r="E974" s="54" t="str">
        <f>IF($C974="B",INDEX(Batters[[#All],[First]],MATCH(Table5[[#This Row],[PID]],Batters[[#All],[PID]],0)),INDEX(Table3[[#All],[First]],MATCH(Table5[[#This Row],[PID]],Table3[[#All],[PID]],0)))</f>
        <v>Dave</v>
      </c>
      <c r="F974" s="52" t="str">
        <f>IF($C974="B",INDEX(Batters[[#All],[Last]],MATCH(A974,Batters[[#All],[PID]],0)),INDEX(Table3[[#All],[Last]],MATCH(A974,Table3[[#All],[PID]],0)))</f>
        <v>Ingram</v>
      </c>
      <c r="G974" s="58">
        <f>IF($C974="B",INDEX(Batters[[#All],[Age]],MATCH(Table5[[#This Row],[PID]],Batters[[#All],[PID]],0)),INDEX(Table3[[#All],[Age]],MATCH(Table5[[#This Row],[PID]],Table3[[#All],[PID]],0)))</f>
        <v>18</v>
      </c>
      <c r="H974" s="54" t="str">
        <f>IF($C974="B",INDEX(Batters[[#All],[B]],MATCH(Table5[[#This Row],[PID]],Batters[[#All],[PID]],0)),INDEX(Table3[[#All],[B]],MATCH(Table5[[#This Row],[PID]],Table3[[#All],[PID]],0)))</f>
        <v>L</v>
      </c>
      <c r="I974" s="54" t="str">
        <f>IF($C974="B",INDEX(Batters[[#All],[T]],MATCH(Table5[[#This Row],[PID]],Batters[[#All],[PID]],0)),INDEX(Table3[[#All],[T]],MATCH(Table5[[#This Row],[PID]],Table3[[#All],[PID]],0)))</f>
        <v>R</v>
      </c>
      <c r="J974" s="54" t="str">
        <f>IF($C974="B",INDEX(Batters[[#All],[WE]],MATCH(Table5[[#This Row],[PID]],Batters[[#All],[PID]],0)),INDEX(Table3[[#All],[WE]],MATCH(Table5[[#This Row],[PID]],Table3[[#All],[PID]],0)))</f>
        <v>Low</v>
      </c>
      <c r="K974" s="54" t="str">
        <f>IF($C974="B",INDEX(Batters[[#All],[INT]],MATCH(Table5[[#This Row],[PID]],Batters[[#All],[PID]],0)),INDEX(Table3[[#All],[INT]],MATCH(Table5[[#This Row],[PID]],Table3[[#All],[PID]],0)))</f>
        <v>Normal</v>
      </c>
      <c r="L974" s="62">
        <f>IF($C974="B",INDEX(Batters[[#All],[CON P]],MATCH(Table5[[#This Row],[PID]],Batters[[#All],[PID]],0)),INDEX(Table3[[#All],[STU P]],MATCH(Table5[[#This Row],[PID]],Table3[[#All],[PID]],0)))</f>
        <v>3</v>
      </c>
      <c r="M974" s="58">
        <f>IF($C974="B",INDEX(Batters[[#All],[GAP P]],MATCH(Table5[[#This Row],[PID]],Batters[[#All],[PID]],0)),INDEX(Table3[[#All],[MOV P]],MATCH(Table5[[#This Row],[PID]],Table3[[#All],[PID]],0)))</f>
        <v>2</v>
      </c>
      <c r="N974" s="58">
        <f>IF($C974="B",INDEX(Batters[[#All],[POW P]],MATCH(Table5[[#This Row],[PID]],Batters[[#All],[PID]],0)),INDEX(Table3[[#All],[CON P]],MATCH(Table5[[#This Row],[PID]],Table3[[#All],[PID]],0)))</f>
        <v>2</v>
      </c>
      <c r="O974" s="58" t="str">
        <f>IF($C974="B",INDEX(Batters[[#All],[EYE P]],MATCH(Table5[[#This Row],[PID]],Batters[[#All],[PID]],0)),INDEX(Table3[[#All],[VELO]],MATCH(Table5[[#This Row],[PID]],Table3[[#All],[PID]],0)))</f>
        <v>84-86 Mph</v>
      </c>
      <c r="P974" s="58">
        <f>IF($C974="B",INDEX(Batters[[#All],[K P]],MATCH(Table5[[#This Row],[PID]],Batters[[#All],[PID]],0)),INDEX(Table3[[#All],[STM]],MATCH(Table5[[#This Row],[PID]],Table3[[#All],[PID]],0)))</f>
        <v>6</v>
      </c>
      <c r="Q974" s="63">
        <f>IF($C974="B",INDEX(Batters[[#All],[Tot]],MATCH(Table5[[#This Row],[PID]],Batters[[#All],[PID]],0)),INDEX(Table3[[#All],[Tot]],MATCH(Table5[[#This Row],[PID]],Table3[[#All],[PID]],0)))</f>
        <v>20.026992063210052</v>
      </c>
      <c r="R974" s="54">
        <f>IF($C974="B",INDEX(Batters[[#All],[zScore]],MATCH(Table5[[#This Row],[PID]],Batters[[#All],[PID]],0)),INDEX(Table3[[#All],[zScore]],MATCH(Table5[[#This Row],[PID]],Table3[[#All],[PID]],0)))</f>
        <v>-0.90870064228381109</v>
      </c>
      <c r="S974" s="60" t="str">
        <f>IF($C974="B",INDEX(Batters[[#All],[DEM]],MATCH(Table5[[#This Row],[PID]],Batters[[#All],[PID]],0)),INDEX(Table3[[#All],[DEM]],MATCH(Table5[[#This Row],[PID]],Table3[[#All],[PID]],0)))</f>
        <v>$38k</v>
      </c>
      <c r="T974" s="64" t="e">
        <f>IF($C974="B",VLOOKUP($A974,Bat!$A$4:$AU$1417,46,FALSE),VLOOKUP($A974,Pit!$A$4:$BD$570,55,FALSE))</f>
        <v>#N/A</v>
      </c>
      <c r="U974" s="52" t="e">
        <f>IF($C974="B",VLOOKUP($A974,Bat!$A$4:$BA$1417,47,FALSE),VLOOKUP($A974,Pit!$A$4:$BF$570,56,FALSE))</f>
        <v>#N/A</v>
      </c>
      <c r="V974" s="52" t="e">
        <f>IF($C974="B",VLOOKUP($A974,Bat!$A$4:$BA$1417,48,FALSE),VLOOKUP($A974,Pit!$A$4:$BF$570,57,FALSE))</f>
        <v>#N/A</v>
      </c>
      <c r="W974" s="52" t="e">
        <f>Table5[[#This Row],[posRnk]]+Table5[[#This Row],[zRnk]]+IF($W$3&lt;&gt;Table5[[#This Row],[Type]],50,0)</f>
        <v>#N/A</v>
      </c>
      <c r="X974" s="53">
        <f>RANK(Table5[[#This Row],[zScore]],Table5[[#All],[zScore]])</f>
        <v>970</v>
      </c>
      <c r="Y974" s="52" t="str">
        <f>IFERROR(INDEX(DraftResults[[#All],[OVR]],MATCH(Table5[[#This Row],[PID]],DraftResults[[#All],[Player ID]],0)),"")</f>
        <v/>
      </c>
      <c r="Z9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4" s="52" t="str">
        <f>IFERROR(INDEX(DraftResults[[#All],[Pick in Round]],MATCH(Table5[[#This Row],[PID]],DraftResults[[#All],[Player ID]],0)),"")</f>
        <v/>
      </c>
      <c r="AB974" s="52" t="str">
        <f>IFERROR(INDEX(DraftResults[[#All],[Team Name]],MATCH(Table5[[#This Row],[PID]],DraftResults[[#All],[Player ID]],0)),"")</f>
        <v/>
      </c>
      <c r="AC974" s="52" t="str">
        <f>IF(Table5[[#This Row],[Ovr]]="","",IF(Table5[[#This Row],[cmbList]]="","",Table5[[#This Row],[cmbList]]-Table5[[#This Row],[Ovr]]))</f>
        <v/>
      </c>
      <c r="AD974" s="56" t="str">
        <f>IF(ISERROR(VLOOKUP($AB974&amp;"-"&amp;$E974&amp;" "&amp;F974,Bonuses!$B$1:$G$1006,4,FALSE)),"",INT(VLOOKUP($AB974&amp;"-"&amp;$E974&amp;" "&amp;$F974,Bonuses!$B$1:$G$1006,4,FALSE)))</f>
        <v/>
      </c>
      <c r="AE9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5" spans="1:31" s="52" customFormat="1" x14ac:dyDescent="0.25">
      <c r="A975" s="52">
        <v>15686</v>
      </c>
      <c r="B975" s="52">
        <f>COUNTIF(Table5[PID],A975)</f>
        <v>1</v>
      </c>
      <c r="C975" s="52" t="str">
        <f>IF(COUNTIF(Table3[[#All],[PID]],A975)&gt;0,"P","B")</f>
        <v>P</v>
      </c>
      <c r="D975" s="61" t="str">
        <f>IF($C975="B",INDEX(Batters[[#All],[POS]],MATCH(Table5[[#This Row],[PID]],Batters[[#All],[PID]],0)),INDEX(Table3[[#All],[POS]],MATCH(Table5[[#This Row],[PID]],Table3[[#All],[PID]],0)))</f>
        <v>RP</v>
      </c>
      <c r="E975" s="54" t="str">
        <f>IF($C975="B",INDEX(Batters[[#All],[First]],MATCH(Table5[[#This Row],[PID]],Batters[[#All],[PID]],0)),INDEX(Table3[[#All],[First]],MATCH(Table5[[#This Row],[PID]],Table3[[#All],[PID]],0)))</f>
        <v>Daniel</v>
      </c>
      <c r="F975" s="52" t="str">
        <f>IF($C975="B",INDEX(Batters[[#All],[Last]],MATCH(A975,Batters[[#All],[PID]],0)),INDEX(Table3[[#All],[Last]],MATCH(A975,Table3[[#All],[PID]],0)))</f>
        <v>Watt</v>
      </c>
      <c r="G975" s="58">
        <f>IF($C975="B",INDEX(Batters[[#All],[Age]],MATCH(Table5[[#This Row],[PID]],Batters[[#All],[PID]],0)),INDEX(Table3[[#All],[Age]],MATCH(Table5[[#This Row],[PID]],Table3[[#All],[PID]],0)))</f>
        <v>21</v>
      </c>
      <c r="H975" s="54" t="str">
        <f>IF($C975="B",INDEX(Batters[[#All],[B]],MATCH(Table5[[#This Row],[PID]],Batters[[#All],[PID]],0)),INDEX(Table3[[#All],[B]],MATCH(Table5[[#This Row],[PID]],Table3[[#All],[PID]],0)))</f>
        <v>R</v>
      </c>
      <c r="I975" s="54" t="str">
        <f>IF($C975="B",INDEX(Batters[[#All],[T]],MATCH(Table5[[#This Row],[PID]],Batters[[#All],[PID]],0)),INDEX(Table3[[#All],[T]],MATCH(Table5[[#This Row],[PID]],Table3[[#All],[PID]],0)))</f>
        <v>R</v>
      </c>
      <c r="J975" s="54" t="str">
        <f>IF($C975="B",INDEX(Batters[[#All],[WE]],MATCH(Table5[[#This Row],[PID]],Batters[[#All],[PID]],0)),INDEX(Table3[[#All],[WE]],MATCH(Table5[[#This Row],[PID]],Table3[[#All],[PID]],0)))</f>
        <v>Low</v>
      </c>
      <c r="K975" s="54" t="str">
        <f>IF($C975="B",INDEX(Batters[[#All],[INT]],MATCH(Table5[[#This Row],[PID]],Batters[[#All],[PID]],0)),INDEX(Table3[[#All],[INT]],MATCH(Table5[[#This Row],[PID]],Table3[[#All],[PID]],0)))</f>
        <v>Normal</v>
      </c>
      <c r="L975" s="62">
        <f>IF($C975="B",INDEX(Batters[[#All],[CON P]],MATCH(Table5[[#This Row],[PID]],Batters[[#All],[PID]],0)),INDEX(Table3[[#All],[STU P]],MATCH(Table5[[#This Row],[PID]],Table3[[#All],[PID]],0)))</f>
        <v>4</v>
      </c>
      <c r="M975" s="58">
        <f>IF($C975="B",INDEX(Batters[[#All],[GAP P]],MATCH(Table5[[#This Row],[PID]],Batters[[#All],[PID]],0)),INDEX(Table3[[#All],[MOV P]],MATCH(Table5[[#This Row],[PID]],Table3[[#All],[PID]],0)))</f>
        <v>1</v>
      </c>
      <c r="N975" s="58">
        <f>IF($C975="B",INDEX(Batters[[#All],[POW P]],MATCH(Table5[[#This Row],[PID]],Batters[[#All],[PID]],0)),INDEX(Table3[[#All],[CON P]],MATCH(Table5[[#This Row],[PID]],Table3[[#All],[PID]],0)))</f>
        <v>2</v>
      </c>
      <c r="O975" s="58" t="str">
        <f>IF($C975="B",INDEX(Batters[[#All],[EYE P]],MATCH(Table5[[#This Row],[PID]],Batters[[#All],[PID]],0)),INDEX(Table3[[#All],[VELO]],MATCH(Table5[[#This Row],[PID]],Table3[[#All],[PID]],0)))</f>
        <v>85-87 Mph</v>
      </c>
      <c r="P975" s="58">
        <f>IF($C975="B",INDEX(Batters[[#All],[K P]],MATCH(Table5[[#This Row],[PID]],Batters[[#All],[PID]],0)),INDEX(Table3[[#All],[STM]],MATCH(Table5[[#This Row],[PID]],Table3[[#All],[PID]],0)))</f>
        <v>6</v>
      </c>
      <c r="Q975" s="63">
        <f>IF($C975="B",INDEX(Batters[[#All],[Tot]],MATCH(Table5[[#This Row],[PID]],Batters[[#All],[PID]],0)),INDEX(Table3[[#All],[Tot]],MATCH(Table5[[#This Row],[PID]],Table3[[#All],[PID]],0)))</f>
        <v>22.80757259244756</v>
      </c>
      <c r="R975" s="54">
        <f>IF($C975="B",INDEX(Batters[[#All],[zScore]],MATCH(Table5[[#This Row],[PID]],Batters[[#All],[PID]],0)),INDEX(Table3[[#All],[zScore]],MATCH(Table5[[#This Row],[PID]],Table3[[#All],[PID]],0)))</f>
        <v>-0.90921837281549456</v>
      </c>
      <c r="S975" s="60" t="str">
        <f>IF($C975="B",INDEX(Batters[[#All],[DEM]],MATCH(Table5[[#This Row],[PID]],Batters[[#All],[PID]],0)),INDEX(Table3[[#All],[DEM]],MATCH(Table5[[#This Row],[PID]],Table3[[#All],[PID]],0)))</f>
        <v>$20k</v>
      </c>
      <c r="T975" s="64">
        <f>IF($C975="B",VLOOKUP($A975,Bat!$A$4:$AU$1417,46,FALSE),VLOOKUP($A975,Pit!$A$4:$BD$570,55,FALSE))</f>
        <v>0</v>
      </c>
      <c r="U975" s="52">
        <f>IF($C975="B",VLOOKUP($A975,Bat!$A$4:$BA$1417,47,FALSE),VLOOKUP($A975,Pit!$A$4:$BF$570,56,FALSE))</f>
        <v>0</v>
      </c>
      <c r="V975" s="52">
        <f>IF($C975="B",VLOOKUP($A975,Bat!$A$4:$BA$1417,48,FALSE),VLOOKUP($A975,Pit!$A$4:$BF$570,57,FALSE))</f>
        <v>0</v>
      </c>
      <c r="W975" s="52">
        <f>Table5[[#This Row],[posRnk]]+Table5[[#This Row],[zRnk]]+IF($W$3&lt;&gt;Table5[[#This Row],[Type]],50,0)</f>
        <v>1021</v>
      </c>
      <c r="X975" s="53">
        <f>RANK(Table5[[#This Row],[zScore]],Table5[[#All],[zScore]])</f>
        <v>971</v>
      </c>
      <c r="Y975" s="52" t="str">
        <f>IFERROR(INDEX(DraftResults[[#All],[OVR]],MATCH(Table5[[#This Row],[PID]],DraftResults[[#All],[Player ID]],0)),"")</f>
        <v/>
      </c>
      <c r="Z9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5" s="52" t="str">
        <f>IFERROR(INDEX(DraftResults[[#All],[Pick in Round]],MATCH(Table5[[#This Row],[PID]],DraftResults[[#All],[Player ID]],0)),"")</f>
        <v/>
      </c>
      <c r="AB975" s="52" t="str">
        <f>IFERROR(INDEX(DraftResults[[#All],[Team Name]],MATCH(Table5[[#This Row],[PID]],DraftResults[[#All],[Player ID]],0)),"")</f>
        <v/>
      </c>
      <c r="AC975" s="52" t="str">
        <f>IF(Table5[[#This Row],[Ovr]]="","",IF(Table5[[#This Row],[cmbList]]="","",Table5[[#This Row],[cmbList]]-Table5[[#This Row],[Ovr]]))</f>
        <v/>
      </c>
      <c r="AD975" s="56" t="str">
        <f>IF(ISERROR(VLOOKUP($AB975&amp;"-"&amp;$E975&amp;" "&amp;F975,Bonuses!$B$1:$G$1006,4,FALSE)),"",INT(VLOOKUP($AB975&amp;"-"&amp;$E975&amp;" "&amp;$F975,Bonuses!$B$1:$G$1006,4,FALSE)))</f>
        <v/>
      </c>
      <c r="AE9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6" spans="1:31" s="52" customFormat="1" x14ac:dyDescent="0.25">
      <c r="A976" s="52">
        <v>9620</v>
      </c>
      <c r="B976" s="52">
        <f>COUNTIF(Table5[PID],A976)</f>
        <v>1</v>
      </c>
      <c r="C976" s="52" t="str">
        <f>IF(COUNTIF(Table3[[#All],[PID]],A976)&gt;0,"P","B")</f>
        <v>B</v>
      </c>
      <c r="D976" s="61" t="str">
        <f>IF($C976="B",INDEX(Batters[[#All],[POS]],MATCH(Table5[[#This Row],[PID]],Batters[[#All],[PID]],0)),INDEX(Table3[[#All],[POS]],MATCH(Table5[[#This Row],[PID]],Table3[[#All],[PID]],0)))</f>
        <v>C</v>
      </c>
      <c r="E976" s="54" t="str">
        <f>IF($C976="B",INDEX(Batters[[#All],[First]],MATCH(Table5[[#This Row],[PID]],Batters[[#All],[PID]],0)),INDEX(Table3[[#All],[First]],MATCH(Table5[[#This Row],[PID]],Table3[[#All],[PID]],0)))</f>
        <v>Carl</v>
      </c>
      <c r="F976" s="52" t="str">
        <f>IF($C976="B",INDEX(Batters[[#All],[Last]],MATCH(A976,Batters[[#All],[PID]],0)),INDEX(Table3[[#All],[Last]],MATCH(A976,Table3[[#All],[PID]],0)))</f>
        <v>Jessup</v>
      </c>
      <c r="G976" s="58">
        <f>IF($C976="B",INDEX(Batters[[#All],[Age]],MATCH(Table5[[#This Row],[PID]],Batters[[#All],[PID]],0)),INDEX(Table3[[#All],[Age]],MATCH(Table5[[#This Row],[PID]],Table3[[#All],[PID]],0)))</f>
        <v>21</v>
      </c>
      <c r="H976" s="54" t="str">
        <f>IF($C976="B",INDEX(Batters[[#All],[B]],MATCH(Table5[[#This Row],[PID]],Batters[[#All],[PID]],0)),INDEX(Table3[[#All],[B]],MATCH(Table5[[#This Row],[PID]],Table3[[#All],[PID]],0)))</f>
        <v>R</v>
      </c>
      <c r="I976" s="54" t="str">
        <f>IF($C976="B",INDEX(Batters[[#All],[T]],MATCH(Table5[[#This Row],[PID]],Batters[[#All],[PID]],0)),INDEX(Table3[[#All],[T]],MATCH(Table5[[#This Row],[PID]],Table3[[#All],[PID]],0)))</f>
        <v>R</v>
      </c>
      <c r="J976" s="54" t="str">
        <f>IF($C976="B",INDEX(Batters[[#All],[WE]],MATCH(Table5[[#This Row],[PID]],Batters[[#All],[PID]],0)),INDEX(Table3[[#All],[WE]],MATCH(Table5[[#This Row],[PID]],Table3[[#All],[PID]],0)))</f>
        <v>Low</v>
      </c>
      <c r="K976" s="54" t="str">
        <f>IF($C976="B",INDEX(Batters[[#All],[INT]],MATCH(Table5[[#This Row],[PID]],Batters[[#All],[PID]],0)),INDEX(Table3[[#All],[INT]],MATCH(Table5[[#This Row],[PID]],Table3[[#All],[PID]],0)))</f>
        <v>Normal</v>
      </c>
      <c r="L976" s="62">
        <f>IF($C976="B",INDEX(Batters[[#All],[CON P]],MATCH(Table5[[#This Row],[PID]],Batters[[#All],[PID]],0)),INDEX(Table3[[#All],[STU P]],MATCH(Table5[[#This Row],[PID]],Table3[[#All],[PID]],0)))</f>
        <v>3</v>
      </c>
      <c r="M976" s="58">
        <f>IF($C976="B",INDEX(Batters[[#All],[GAP P]],MATCH(Table5[[#This Row],[PID]],Batters[[#All],[PID]],0)),INDEX(Table3[[#All],[MOV P]],MATCH(Table5[[#This Row],[PID]],Table3[[#All],[PID]],0)))</f>
        <v>3</v>
      </c>
      <c r="N976" s="58">
        <f>IF($C976="B",INDEX(Batters[[#All],[POW P]],MATCH(Table5[[#This Row],[PID]],Batters[[#All],[PID]],0)),INDEX(Table3[[#All],[CON P]],MATCH(Table5[[#This Row],[PID]],Table3[[#All],[PID]],0)))</f>
        <v>3</v>
      </c>
      <c r="O976" s="58">
        <f>IF($C976="B",INDEX(Batters[[#All],[EYE P]],MATCH(Table5[[#This Row],[PID]],Batters[[#All],[PID]],0)),INDEX(Table3[[#All],[VELO]],MATCH(Table5[[#This Row],[PID]],Table3[[#All],[PID]],0)))</f>
        <v>4</v>
      </c>
      <c r="P976" s="58">
        <f>IF($C976="B",INDEX(Batters[[#All],[K P]],MATCH(Table5[[#This Row],[PID]],Batters[[#All],[PID]],0)),INDEX(Table3[[#All],[STM]],MATCH(Table5[[#This Row],[PID]],Table3[[#All],[PID]],0)))</f>
        <v>4</v>
      </c>
      <c r="Q976" s="63">
        <f>IF($C976="B",INDEX(Batters[[#All],[Tot]],MATCH(Table5[[#This Row],[PID]],Batters[[#All],[PID]],0)),INDEX(Table3[[#All],[Tot]],MATCH(Table5[[#This Row],[PID]],Table3[[#All],[PID]],0)))</f>
        <v>35.164469213118501</v>
      </c>
      <c r="R976" s="54">
        <f>IF($C976="B",INDEX(Batters[[#All],[zScore]],MATCH(Table5[[#This Row],[PID]],Batters[[#All],[PID]],0)),INDEX(Table3[[#All],[zScore]],MATCH(Table5[[#This Row],[PID]],Table3[[#All],[PID]],0)))</f>
        <v>-0.91205131165869824</v>
      </c>
      <c r="S976" s="60" t="str">
        <f>IF($C976="B",INDEX(Batters[[#All],[DEM]],MATCH(Table5[[#This Row],[PID]],Batters[[#All],[PID]],0)),INDEX(Table3[[#All],[DEM]],MATCH(Table5[[#This Row],[PID]],Table3[[#All],[PID]],0)))</f>
        <v>-</v>
      </c>
      <c r="T976" s="64">
        <f>IF($C976="B",VLOOKUP($A976,Bat!$A$4:$AU$1417,46,FALSE),VLOOKUP($A976,Pit!$A$4:$BD$570,55,FALSE))</f>
        <v>0</v>
      </c>
      <c r="U976" s="52">
        <f>IF($C976="B",VLOOKUP($A976,Bat!$A$4:$BA$1417,47,FALSE),VLOOKUP($A976,Pit!$A$4:$BF$570,56,FALSE))</f>
        <v>0</v>
      </c>
      <c r="V976" s="52">
        <f>IF($C976="B",VLOOKUP($A976,Bat!$A$4:$BA$1417,48,FALSE),VLOOKUP($A976,Pit!$A$4:$BF$570,57,FALSE))</f>
        <v>0</v>
      </c>
      <c r="W976" s="52">
        <f>Table5[[#This Row],[posRnk]]+Table5[[#This Row],[zRnk]]+IF($W$3&lt;&gt;Table5[[#This Row],[Type]],50,0)</f>
        <v>1022</v>
      </c>
      <c r="X976" s="53">
        <f>RANK(Table5[[#This Row],[zScore]],Table5[[#All],[zScore]])</f>
        <v>972</v>
      </c>
      <c r="Y976" s="52" t="str">
        <f>IFERROR(INDEX(DraftResults[[#All],[OVR]],MATCH(Table5[[#This Row],[PID]],DraftResults[[#All],[Player ID]],0)),"")</f>
        <v/>
      </c>
      <c r="Z9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6" s="52" t="str">
        <f>IFERROR(INDEX(DraftResults[[#All],[Pick in Round]],MATCH(Table5[[#This Row],[PID]],DraftResults[[#All],[Player ID]],0)),"")</f>
        <v/>
      </c>
      <c r="AB976" s="52" t="str">
        <f>IFERROR(INDEX(DraftResults[[#All],[Team Name]],MATCH(Table5[[#This Row],[PID]],DraftResults[[#All],[Player ID]],0)),"")</f>
        <v/>
      </c>
      <c r="AC976" s="52" t="str">
        <f>IF(Table5[[#This Row],[Ovr]]="","",IF(Table5[[#This Row],[cmbList]]="","",Table5[[#This Row],[cmbList]]-Table5[[#This Row],[Ovr]]))</f>
        <v/>
      </c>
      <c r="AD976" s="56" t="str">
        <f>IF(ISERROR(VLOOKUP($AB976&amp;"-"&amp;$E976&amp;" "&amp;F976,Bonuses!$B$1:$G$1006,4,FALSE)),"",INT(VLOOKUP($AB976&amp;"-"&amp;$E976&amp;" "&amp;$F976,Bonuses!$B$1:$G$1006,4,FALSE)))</f>
        <v/>
      </c>
      <c r="AE9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7" spans="1:31" s="52" customFormat="1" x14ac:dyDescent="0.25">
      <c r="A977" s="52">
        <v>3413</v>
      </c>
      <c r="B977" s="52">
        <f>COUNTIF(Table5[PID],A977)</f>
        <v>1</v>
      </c>
      <c r="C977" s="52" t="str">
        <f>IF(COUNTIF(Table3[[#All],[PID]],A977)&gt;0,"P","B")</f>
        <v>B</v>
      </c>
      <c r="D977" s="61" t="str">
        <f>IF($C977="B",INDEX(Batters[[#All],[POS]],MATCH(Table5[[#This Row],[PID]],Batters[[#All],[PID]],0)),INDEX(Table3[[#All],[POS]],MATCH(Table5[[#This Row],[PID]],Table3[[#All],[PID]],0)))</f>
        <v>1B</v>
      </c>
      <c r="E977" s="54" t="str">
        <f>IF($C977="B",INDEX(Batters[[#All],[First]],MATCH(Table5[[#This Row],[PID]],Batters[[#All],[PID]],0)),INDEX(Table3[[#All],[First]],MATCH(Table5[[#This Row],[PID]],Table3[[#All],[PID]],0)))</f>
        <v>Eric</v>
      </c>
      <c r="F977" s="52" t="str">
        <f>IF($C977="B",INDEX(Batters[[#All],[Last]],MATCH(A977,Batters[[#All],[PID]],0)),INDEX(Table3[[#All],[Last]],MATCH(A977,Table3[[#All],[PID]],0)))</f>
        <v>Somers</v>
      </c>
      <c r="G977" s="58">
        <f>IF($C977="B",INDEX(Batters[[#All],[Age]],MATCH(Table5[[#This Row],[PID]],Batters[[#All],[PID]],0)),INDEX(Table3[[#All],[Age]],MATCH(Table5[[#This Row],[PID]],Table3[[#All],[PID]],0)))</f>
        <v>21</v>
      </c>
      <c r="H977" s="54" t="str">
        <f>IF($C977="B",INDEX(Batters[[#All],[B]],MATCH(Table5[[#This Row],[PID]],Batters[[#All],[PID]],0)),INDEX(Table3[[#All],[B]],MATCH(Table5[[#This Row],[PID]],Table3[[#All],[PID]],0)))</f>
        <v>R</v>
      </c>
      <c r="I977" s="54" t="str">
        <f>IF($C977="B",INDEX(Batters[[#All],[T]],MATCH(Table5[[#This Row],[PID]],Batters[[#All],[PID]],0)),INDEX(Table3[[#All],[T]],MATCH(Table5[[#This Row],[PID]],Table3[[#All],[PID]],0)))</f>
        <v>R</v>
      </c>
      <c r="J977" s="54" t="str">
        <f>IF($C977="B",INDEX(Batters[[#All],[WE]],MATCH(Table5[[#This Row],[PID]],Batters[[#All],[PID]],0)),INDEX(Table3[[#All],[WE]],MATCH(Table5[[#This Row],[PID]],Table3[[#All],[PID]],0)))</f>
        <v>Low</v>
      </c>
      <c r="K977" s="54" t="str">
        <f>IF($C977="B",INDEX(Batters[[#All],[INT]],MATCH(Table5[[#This Row],[PID]],Batters[[#All],[PID]],0)),INDEX(Table3[[#All],[INT]],MATCH(Table5[[#This Row],[PID]],Table3[[#All],[PID]],0)))</f>
        <v>Normal</v>
      </c>
      <c r="L977" s="62">
        <f>IF($C977="B",INDEX(Batters[[#All],[CON P]],MATCH(Table5[[#This Row],[PID]],Batters[[#All],[PID]],0)),INDEX(Table3[[#All],[STU P]],MATCH(Table5[[#This Row],[PID]],Table3[[#All],[PID]],0)))</f>
        <v>3</v>
      </c>
      <c r="M977" s="58">
        <f>IF($C977="B",INDEX(Batters[[#All],[GAP P]],MATCH(Table5[[#This Row],[PID]],Batters[[#All],[PID]],0)),INDEX(Table3[[#All],[MOV P]],MATCH(Table5[[#This Row],[PID]],Table3[[#All],[PID]],0)))</f>
        <v>3</v>
      </c>
      <c r="N977" s="58">
        <f>IF($C977="B",INDEX(Batters[[#All],[POW P]],MATCH(Table5[[#This Row],[PID]],Batters[[#All],[PID]],0)),INDEX(Table3[[#All],[CON P]],MATCH(Table5[[#This Row],[PID]],Table3[[#All],[PID]],0)))</f>
        <v>2</v>
      </c>
      <c r="O977" s="58">
        <f>IF($C977="B",INDEX(Batters[[#All],[EYE P]],MATCH(Table5[[#This Row],[PID]],Batters[[#All],[PID]],0)),INDEX(Table3[[#All],[VELO]],MATCH(Table5[[#This Row],[PID]],Table3[[#All],[PID]],0)))</f>
        <v>4</v>
      </c>
      <c r="P977" s="58">
        <f>IF($C977="B",INDEX(Batters[[#All],[K P]],MATCH(Table5[[#This Row],[PID]],Batters[[#All],[PID]],0)),INDEX(Table3[[#All],[STM]],MATCH(Table5[[#This Row],[PID]],Table3[[#All],[PID]],0)))</f>
        <v>5</v>
      </c>
      <c r="Q977" s="63">
        <f>IF($C977="B",INDEX(Batters[[#All],[Tot]],MATCH(Table5[[#This Row],[PID]],Batters[[#All],[PID]],0)),INDEX(Table3[[#All],[Tot]],MATCH(Table5[[#This Row],[PID]],Table3[[#All],[PID]],0)))</f>
        <v>35.159932264581812</v>
      </c>
      <c r="R977" s="54">
        <f>IF($C977="B",INDEX(Batters[[#All],[zScore]],MATCH(Table5[[#This Row],[PID]],Batters[[#All],[PID]],0)),INDEX(Table3[[#All],[zScore]],MATCH(Table5[[#This Row],[PID]],Table3[[#All],[PID]],0)))</f>
        <v>-0.91284955759979236</v>
      </c>
      <c r="S977" s="60" t="str">
        <f>IF($C977="B",INDEX(Batters[[#All],[DEM]],MATCH(Table5[[#This Row],[PID]],Batters[[#All],[PID]],0)),INDEX(Table3[[#All],[DEM]],MATCH(Table5[[#This Row],[PID]],Table3[[#All],[PID]],0)))</f>
        <v>-</v>
      </c>
      <c r="T977" s="64">
        <f>IF($C977="B",VLOOKUP($A977,Bat!$A$4:$AU$1417,46,FALSE),VLOOKUP($A977,Pit!$A$4:$BD$570,55,FALSE))</f>
        <v>0</v>
      </c>
      <c r="U977" s="52">
        <f>IF($C977="B",VLOOKUP($A977,Bat!$A$4:$BA$1417,47,FALSE),VLOOKUP($A977,Pit!$A$4:$BF$570,56,FALSE))</f>
        <v>0</v>
      </c>
      <c r="V977" s="52">
        <f>IF($C977="B",VLOOKUP($A977,Bat!$A$4:$BA$1417,48,FALSE),VLOOKUP($A977,Pit!$A$4:$BF$570,57,FALSE))</f>
        <v>0</v>
      </c>
      <c r="W977" s="52">
        <f>Table5[[#This Row],[posRnk]]+Table5[[#This Row],[zRnk]]+IF($W$3&lt;&gt;Table5[[#This Row],[Type]],50,0)</f>
        <v>1023</v>
      </c>
      <c r="X977" s="53">
        <f>RANK(Table5[[#This Row],[zScore]],Table5[[#All],[zScore]])</f>
        <v>973</v>
      </c>
      <c r="Y977" s="52" t="str">
        <f>IFERROR(INDEX(DraftResults[[#All],[OVR]],MATCH(Table5[[#This Row],[PID]],DraftResults[[#All],[Player ID]],0)),"")</f>
        <v/>
      </c>
      <c r="Z9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7" s="52" t="str">
        <f>IFERROR(INDEX(DraftResults[[#All],[Pick in Round]],MATCH(Table5[[#This Row],[PID]],DraftResults[[#All],[Player ID]],0)),"")</f>
        <v/>
      </c>
      <c r="AB977" s="52" t="str">
        <f>IFERROR(INDEX(DraftResults[[#All],[Team Name]],MATCH(Table5[[#This Row],[PID]],DraftResults[[#All],[Player ID]],0)),"")</f>
        <v/>
      </c>
      <c r="AC977" s="52" t="str">
        <f>IF(Table5[[#This Row],[Ovr]]="","",IF(Table5[[#This Row],[cmbList]]="","",Table5[[#This Row],[cmbList]]-Table5[[#This Row],[Ovr]]))</f>
        <v/>
      </c>
      <c r="AD977" s="56" t="str">
        <f>IF(ISERROR(VLOOKUP($AB977&amp;"-"&amp;$E977&amp;" "&amp;F977,Bonuses!$B$1:$G$1006,4,FALSE)),"",INT(VLOOKUP($AB977&amp;"-"&amp;$E977&amp;" "&amp;$F977,Bonuses!$B$1:$G$1006,4,FALSE)))</f>
        <v/>
      </c>
      <c r="AE9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8" spans="1:31" s="52" customFormat="1" x14ac:dyDescent="0.25">
      <c r="A978" s="52">
        <v>14085</v>
      </c>
      <c r="B978" s="52">
        <f>COUNTIF(Table5[PID],A978)</f>
        <v>1</v>
      </c>
      <c r="C978" s="52" t="str">
        <f>IF(COUNTIF(Table3[[#All],[PID]],A978)&gt;0,"P","B")</f>
        <v>B</v>
      </c>
      <c r="D978" s="61" t="str">
        <f>IF($C978="B",INDEX(Batters[[#All],[POS]],MATCH(Table5[[#This Row],[PID]],Batters[[#All],[PID]],0)),INDEX(Table3[[#All],[POS]],MATCH(Table5[[#This Row],[PID]],Table3[[#All],[PID]],0)))</f>
        <v>C</v>
      </c>
      <c r="E978" s="54" t="str">
        <f>IF($C978="B",INDEX(Batters[[#All],[First]],MATCH(Table5[[#This Row],[PID]],Batters[[#All],[PID]],0)),INDEX(Table3[[#All],[First]],MATCH(Table5[[#This Row],[PID]],Table3[[#All],[PID]],0)))</f>
        <v>Chan-koo</v>
      </c>
      <c r="F978" s="52" t="str">
        <f>IF($C978="B",INDEX(Batters[[#All],[Last]],MATCH(A978,Batters[[#All],[PID]],0)),INDEX(Table3[[#All],[Last]],MATCH(A978,Table3[[#All],[PID]],0)))</f>
        <v>Kim</v>
      </c>
      <c r="G978" s="58">
        <f>IF($C978="B",INDEX(Batters[[#All],[Age]],MATCH(Table5[[#This Row],[PID]],Batters[[#All],[PID]],0)),INDEX(Table3[[#All],[Age]],MATCH(Table5[[#This Row],[PID]],Table3[[#All],[PID]],0)))</f>
        <v>22</v>
      </c>
      <c r="H978" s="54" t="str">
        <f>IF($C978="B",INDEX(Batters[[#All],[B]],MATCH(Table5[[#This Row],[PID]],Batters[[#All],[PID]],0)),INDEX(Table3[[#All],[B]],MATCH(Table5[[#This Row],[PID]],Table3[[#All],[PID]],0)))</f>
        <v>R</v>
      </c>
      <c r="I978" s="54" t="str">
        <f>IF($C978="B",INDEX(Batters[[#All],[T]],MATCH(Table5[[#This Row],[PID]],Batters[[#All],[PID]],0)),INDEX(Table3[[#All],[T]],MATCH(Table5[[#This Row],[PID]],Table3[[#All],[PID]],0)))</f>
        <v>R</v>
      </c>
      <c r="J978" s="54" t="str">
        <f>IF($C978="B",INDEX(Batters[[#All],[WE]],MATCH(Table5[[#This Row],[PID]],Batters[[#All],[PID]],0)),INDEX(Table3[[#All],[WE]],MATCH(Table5[[#This Row],[PID]],Table3[[#All],[PID]],0)))</f>
        <v>Low</v>
      </c>
      <c r="K978" s="54" t="str">
        <f>IF($C978="B",INDEX(Batters[[#All],[INT]],MATCH(Table5[[#This Row],[PID]],Batters[[#All],[PID]],0)),INDEX(Table3[[#All],[INT]],MATCH(Table5[[#This Row],[PID]],Table3[[#All],[PID]],0)))</f>
        <v>Normal</v>
      </c>
      <c r="L978" s="62">
        <f>IF($C978="B",INDEX(Batters[[#All],[CON P]],MATCH(Table5[[#This Row],[PID]],Batters[[#All],[PID]],0)),INDEX(Table3[[#All],[STU P]],MATCH(Table5[[#This Row],[PID]],Table3[[#All],[PID]],0)))</f>
        <v>3</v>
      </c>
      <c r="M978" s="58">
        <f>IF($C978="B",INDEX(Batters[[#All],[GAP P]],MATCH(Table5[[#This Row],[PID]],Batters[[#All],[PID]],0)),INDEX(Table3[[#All],[MOV P]],MATCH(Table5[[#This Row],[PID]],Table3[[#All],[PID]],0)))</f>
        <v>3</v>
      </c>
      <c r="N978" s="58">
        <f>IF($C978="B",INDEX(Batters[[#All],[POW P]],MATCH(Table5[[#This Row],[PID]],Batters[[#All],[PID]],0)),INDEX(Table3[[#All],[CON P]],MATCH(Table5[[#This Row],[PID]],Table3[[#All],[PID]],0)))</f>
        <v>3</v>
      </c>
      <c r="O978" s="58">
        <f>IF($C978="B",INDEX(Batters[[#All],[EYE P]],MATCH(Table5[[#This Row],[PID]],Batters[[#All],[PID]],0)),INDEX(Table3[[#All],[VELO]],MATCH(Table5[[#This Row],[PID]],Table3[[#All],[PID]],0)))</f>
        <v>5</v>
      </c>
      <c r="P978" s="58">
        <f>IF($C978="B",INDEX(Batters[[#All],[K P]],MATCH(Table5[[#This Row],[PID]],Batters[[#All],[PID]],0)),INDEX(Table3[[#All],[STM]],MATCH(Table5[[#This Row],[PID]],Table3[[#All],[PID]],0)))</f>
        <v>2</v>
      </c>
      <c r="Q978" s="63">
        <f>IF($C978="B",INDEX(Batters[[#All],[Tot]],MATCH(Table5[[#This Row],[PID]],Batters[[#All],[PID]],0)),INDEX(Table3[[#All],[Tot]],MATCH(Table5[[#This Row],[PID]],Table3[[#All],[PID]],0)))</f>
        <v>35.152974749988687</v>
      </c>
      <c r="R978" s="54">
        <f>IF($C978="B",INDEX(Batters[[#All],[zScore]],MATCH(Table5[[#This Row],[PID]],Batters[[#All],[PID]],0)),INDEX(Table3[[#All],[zScore]],MATCH(Table5[[#This Row],[PID]],Table3[[#All],[PID]],0)))</f>
        <v>-0.91407368605070005</v>
      </c>
      <c r="S978" s="60" t="str">
        <f>IF($C978="B",INDEX(Batters[[#All],[DEM]],MATCH(Table5[[#This Row],[PID]],Batters[[#All],[PID]],0)),INDEX(Table3[[#All],[DEM]],MATCH(Table5[[#This Row],[PID]],Table3[[#All],[PID]],0)))</f>
        <v>-</v>
      </c>
      <c r="T978" s="64">
        <f>IF($C978="B",VLOOKUP($A978,Bat!$A$4:$AU$1417,46,FALSE),VLOOKUP($A978,Pit!$A$4:$BD$570,55,FALSE))</f>
        <v>0</v>
      </c>
      <c r="U978" s="52">
        <f>IF($C978="B",VLOOKUP($A978,Bat!$A$4:$BA$1417,47,FALSE),VLOOKUP($A978,Pit!$A$4:$BF$570,56,FALSE))</f>
        <v>0</v>
      </c>
      <c r="V978" s="52">
        <f>IF($C978="B",VLOOKUP($A978,Bat!$A$4:$BA$1417,48,FALSE),VLOOKUP($A978,Pit!$A$4:$BF$570,57,FALSE))</f>
        <v>0</v>
      </c>
      <c r="W978" s="52">
        <f>Table5[[#This Row],[posRnk]]+Table5[[#This Row],[zRnk]]+IF($W$3&lt;&gt;Table5[[#This Row],[Type]],50,0)</f>
        <v>1024</v>
      </c>
      <c r="X978" s="53">
        <f>RANK(Table5[[#This Row],[zScore]],Table5[[#All],[zScore]])</f>
        <v>974</v>
      </c>
      <c r="Y978" s="52" t="str">
        <f>IFERROR(INDEX(DraftResults[[#All],[OVR]],MATCH(Table5[[#This Row],[PID]],DraftResults[[#All],[Player ID]],0)),"")</f>
        <v/>
      </c>
      <c r="Z9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8" s="52" t="str">
        <f>IFERROR(INDEX(DraftResults[[#All],[Pick in Round]],MATCH(Table5[[#This Row],[PID]],DraftResults[[#All],[Player ID]],0)),"")</f>
        <v/>
      </c>
      <c r="AB978" s="52" t="str">
        <f>IFERROR(INDEX(DraftResults[[#All],[Team Name]],MATCH(Table5[[#This Row],[PID]],DraftResults[[#All],[Player ID]],0)),"")</f>
        <v/>
      </c>
      <c r="AC978" s="52" t="str">
        <f>IF(Table5[[#This Row],[Ovr]]="","",IF(Table5[[#This Row],[cmbList]]="","",Table5[[#This Row],[cmbList]]-Table5[[#This Row],[Ovr]]))</f>
        <v/>
      </c>
      <c r="AD978" s="56" t="str">
        <f>IF(ISERROR(VLOOKUP($AB978&amp;"-"&amp;$E978&amp;" "&amp;F978,Bonuses!$B$1:$G$1006,4,FALSE)),"",INT(VLOOKUP($AB978&amp;"-"&amp;$E978&amp;" "&amp;$F978,Bonuses!$B$1:$G$1006,4,FALSE)))</f>
        <v/>
      </c>
      <c r="AE9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9" spans="1:31" s="52" customFormat="1" x14ac:dyDescent="0.25">
      <c r="A979" s="52">
        <v>6425</v>
      </c>
      <c r="B979" s="52">
        <f>COUNTIF(Table5[PID],A979)</f>
        <v>1</v>
      </c>
      <c r="C979" s="52" t="str">
        <f>IF(COUNTIF(Table3[[#All],[PID]],A979)&gt;0,"P","B")</f>
        <v>B</v>
      </c>
      <c r="D979" s="61" t="str">
        <f>IF($C979="B",INDEX(Batters[[#All],[POS]],MATCH(Table5[[#This Row],[PID]],Batters[[#All],[PID]],0)),INDEX(Table3[[#All],[POS]],MATCH(Table5[[#This Row],[PID]],Table3[[#All],[PID]],0)))</f>
        <v>1B</v>
      </c>
      <c r="E979" s="54" t="str">
        <f>IF($C979="B",INDEX(Batters[[#All],[First]],MATCH(Table5[[#This Row],[PID]],Batters[[#All],[PID]],0)),INDEX(Table3[[#All],[First]],MATCH(Table5[[#This Row],[PID]],Table3[[#All],[PID]],0)))</f>
        <v>Brandon</v>
      </c>
      <c r="F979" s="52" t="str">
        <f>IF($C979="B",INDEX(Batters[[#All],[Last]],MATCH(A979,Batters[[#All],[PID]],0)),INDEX(Table3[[#All],[Last]],MATCH(A979,Table3[[#All],[PID]],0)))</f>
        <v>Farquharson</v>
      </c>
      <c r="G979" s="58">
        <f>IF($C979="B",INDEX(Batters[[#All],[Age]],MATCH(Table5[[#This Row],[PID]],Batters[[#All],[PID]],0)),INDEX(Table3[[#All],[Age]],MATCH(Table5[[#This Row],[PID]],Table3[[#All],[PID]],0)))</f>
        <v>22</v>
      </c>
      <c r="H979" s="54" t="str">
        <f>IF($C979="B",INDEX(Batters[[#All],[B]],MATCH(Table5[[#This Row],[PID]],Batters[[#All],[PID]],0)),INDEX(Table3[[#All],[B]],MATCH(Table5[[#This Row],[PID]],Table3[[#All],[PID]],0)))</f>
        <v>R</v>
      </c>
      <c r="I979" s="54" t="str">
        <f>IF($C979="B",INDEX(Batters[[#All],[T]],MATCH(Table5[[#This Row],[PID]],Batters[[#All],[PID]],0)),INDEX(Table3[[#All],[T]],MATCH(Table5[[#This Row],[PID]],Table3[[#All],[PID]],0)))</f>
        <v>R</v>
      </c>
      <c r="J979" s="54" t="str">
        <f>IF($C979="B",INDEX(Batters[[#All],[WE]],MATCH(Table5[[#This Row],[PID]],Batters[[#All],[PID]],0)),INDEX(Table3[[#All],[WE]],MATCH(Table5[[#This Row],[PID]],Table3[[#All],[PID]],0)))</f>
        <v>Normal</v>
      </c>
      <c r="K979" s="54" t="str">
        <f>IF($C979="B",INDEX(Batters[[#All],[INT]],MATCH(Table5[[#This Row],[PID]],Batters[[#All],[PID]],0)),INDEX(Table3[[#All],[INT]],MATCH(Table5[[#This Row],[PID]],Table3[[#All],[PID]],0)))</f>
        <v>Normal</v>
      </c>
      <c r="L979" s="62">
        <f>IF($C979="B",INDEX(Batters[[#All],[CON P]],MATCH(Table5[[#This Row],[PID]],Batters[[#All],[PID]],0)),INDEX(Table3[[#All],[STU P]],MATCH(Table5[[#This Row],[PID]],Table3[[#All],[PID]],0)))</f>
        <v>4</v>
      </c>
      <c r="M979" s="58">
        <f>IF($C979="B",INDEX(Batters[[#All],[GAP P]],MATCH(Table5[[#This Row],[PID]],Batters[[#All],[PID]],0)),INDEX(Table3[[#All],[MOV P]],MATCH(Table5[[#This Row],[PID]],Table3[[#All],[PID]],0)))</f>
        <v>3</v>
      </c>
      <c r="N979" s="58">
        <f>IF($C979="B",INDEX(Batters[[#All],[POW P]],MATCH(Table5[[#This Row],[PID]],Batters[[#All],[PID]],0)),INDEX(Table3[[#All],[CON P]],MATCH(Table5[[#This Row],[PID]],Table3[[#All],[PID]],0)))</f>
        <v>2</v>
      </c>
      <c r="O979" s="58">
        <f>IF($C979="B",INDEX(Batters[[#All],[EYE P]],MATCH(Table5[[#This Row],[PID]],Batters[[#All],[PID]],0)),INDEX(Table3[[#All],[VELO]],MATCH(Table5[[#This Row],[PID]],Table3[[#All],[PID]],0)))</f>
        <v>1</v>
      </c>
      <c r="P979" s="58">
        <f>IF($C979="B",INDEX(Batters[[#All],[K P]],MATCH(Table5[[#This Row],[PID]],Batters[[#All],[PID]],0)),INDEX(Table3[[#All],[STM]],MATCH(Table5[[#This Row],[PID]],Table3[[#All],[PID]],0)))</f>
        <v>4</v>
      </c>
      <c r="Q979" s="63">
        <f>IF($C979="B",INDEX(Batters[[#All],[Tot]],MATCH(Table5[[#This Row],[PID]],Batters[[#All],[PID]],0)),INDEX(Table3[[#All],[Tot]],MATCH(Table5[[#This Row],[PID]],Table3[[#All],[PID]],0)))</f>
        <v>35.140145415501593</v>
      </c>
      <c r="R979" s="54">
        <f>IF($C979="B",INDEX(Batters[[#All],[zScore]],MATCH(Table5[[#This Row],[PID]],Batters[[#All],[PID]],0)),INDEX(Table3[[#All],[zScore]],MATCH(Table5[[#This Row],[PID]],Table3[[#All],[PID]],0)))</f>
        <v>-0.91633092218605505</v>
      </c>
      <c r="S979" s="60" t="str">
        <f>IF($C979="B",INDEX(Batters[[#All],[DEM]],MATCH(Table5[[#This Row],[PID]],Batters[[#All],[PID]],0)),INDEX(Table3[[#All],[DEM]],MATCH(Table5[[#This Row],[PID]],Table3[[#All],[PID]],0)))</f>
        <v>-</v>
      </c>
      <c r="T979" s="64">
        <f>IF($C979="B",VLOOKUP($A979,Bat!$A$4:$AU$1417,46,FALSE),VLOOKUP($A979,Pit!$A$4:$BD$570,55,FALSE))</f>
        <v>0</v>
      </c>
      <c r="U979" s="52">
        <f>IF($C979="B",VLOOKUP($A979,Bat!$A$4:$BA$1417,47,FALSE),VLOOKUP($A979,Pit!$A$4:$BF$570,56,FALSE))</f>
        <v>0</v>
      </c>
      <c r="V979" s="52">
        <f>IF($C979="B",VLOOKUP($A979,Bat!$A$4:$BA$1417,48,FALSE),VLOOKUP($A979,Pit!$A$4:$BF$570,57,FALSE))</f>
        <v>0</v>
      </c>
      <c r="W979" s="52">
        <f>Table5[[#This Row],[posRnk]]+Table5[[#This Row],[zRnk]]+IF($W$3&lt;&gt;Table5[[#This Row],[Type]],50,0)</f>
        <v>1025</v>
      </c>
      <c r="X979" s="53">
        <f>RANK(Table5[[#This Row],[zScore]],Table5[[#All],[zScore]])</f>
        <v>975</v>
      </c>
      <c r="Y979" s="52" t="str">
        <f>IFERROR(INDEX(DraftResults[[#All],[OVR]],MATCH(Table5[[#This Row],[PID]],DraftResults[[#All],[Player ID]],0)),"")</f>
        <v/>
      </c>
      <c r="Z9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9" s="52" t="str">
        <f>IFERROR(INDEX(DraftResults[[#All],[Pick in Round]],MATCH(Table5[[#This Row],[PID]],DraftResults[[#All],[Player ID]],0)),"")</f>
        <v/>
      </c>
      <c r="AB979" s="52" t="str">
        <f>IFERROR(INDEX(DraftResults[[#All],[Team Name]],MATCH(Table5[[#This Row],[PID]],DraftResults[[#All],[Player ID]],0)),"")</f>
        <v/>
      </c>
      <c r="AC979" s="52" t="str">
        <f>IF(Table5[[#This Row],[Ovr]]="","",IF(Table5[[#This Row],[cmbList]]="","",Table5[[#This Row],[cmbList]]-Table5[[#This Row],[Ovr]]))</f>
        <v/>
      </c>
      <c r="AD979" s="56" t="str">
        <f>IF(ISERROR(VLOOKUP($AB979&amp;"-"&amp;$E979&amp;" "&amp;F979,Bonuses!$B$1:$G$1006,4,FALSE)),"",INT(VLOOKUP($AB979&amp;"-"&amp;$E979&amp;" "&amp;$F979,Bonuses!$B$1:$G$1006,4,FALSE)))</f>
        <v/>
      </c>
      <c r="AE9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0" spans="1:31" s="52" customFormat="1" x14ac:dyDescent="0.25">
      <c r="A980" s="52">
        <v>5450</v>
      </c>
      <c r="B980" s="52">
        <f>COUNTIF(Table5[PID],A980)</f>
        <v>1</v>
      </c>
      <c r="C980" s="52" t="str">
        <f>IF(COUNTIF(Table3[[#All],[PID]],A980)&gt;0,"P","B")</f>
        <v>P</v>
      </c>
      <c r="D980" s="61" t="str">
        <f>IF($C980="B",INDEX(Batters[[#All],[POS]],MATCH(Table5[[#This Row],[PID]],Batters[[#All],[PID]],0)),INDEX(Table3[[#All],[POS]],MATCH(Table5[[#This Row],[PID]],Table3[[#All],[PID]],0)))</f>
        <v>RP</v>
      </c>
      <c r="E980" s="54" t="str">
        <f>IF($C980="B",INDEX(Batters[[#All],[First]],MATCH(Table5[[#This Row],[PID]],Batters[[#All],[PID]],0)),INDEX(Table3[[#All],[First]],MATCH(Table5[[#This Row],[PID]],Table3[[#All],[PID]],0)))</f>
        <v>Drew</v>
      </c>
      <c r="F980" s="52" t="str">
        <f>IF($C980="B",INDEX(Batters[[#All],[Last]],MATCH(A980,Batters[[#All],[PID]],0)),INDEX(Table3[[#All],[Last]],MATCH(A980,Table3[[#All],[PID]],0)))</f>
        <v>O'Reilly</v>
      </c>
      <c r="G980" s="58">
        <f>IF($C980="B",INDEX(Batters[[#All],[Age]],MATCH(Table5[[#This Row],[PID]],Batters[[#All],[PID]],0)),INDEX(Table3[[#All],[Age]],MATCH(Table5[[#This Row],[PID]],Table3[[#All],[PID]],0)))</f>
        <v>22</v>
      </c>
      <c r="H980" s="54" t="str">
        <f>IF($C980="B",INDEX(Batters[[#All],[B]],MATCH(Table5[[#This Row],[PID]],Batters[[#All],[PID]],0)),INDEX(Table3[[#All],[B]],MATCH(Table5[[#This Row],[PID]],Table3[[#All],[PID]],0)))</f>
        <v>R</v>
      </c>
      <c r="I980" s="54" t="str">
        <f>IF($C980="B",INDEX(Batters[[#All],[T]],MATCH(Table5[[#This Row],[PID]],Batters[[#All],[PID]],0)),INDEX(Table3[[#All],[T]],MATCH(Table5[[#This Row],[PID]],Table3[[#All],[PID]],0)))</f>
        <v>L</v>
      </c>
      <c r="J980" s="54" t="str">
        <f>IF($C980="B",INDEX(Batters[[#All],[WE]],MATCH(Table5[[#This Row],[PID]],Batters[[#All],[PID]],0)),INDEX(Table3[[#All],[WE]],MATCH(Table5[[#This Row],[PID]],Table3[[#All],[PID]],0)))</f>
        <v>Low</v>
      </c>
      <c r="K980" s="54" t="str">
        <f>IF($C980="B",INDEX(Batters[[#All],[INT]],MATCH(Table5[[#This Row],[PID]],Batters[[#All],[PID]],0)),INDEX(Table3[[#All],[INT]],MATCH(Table5[[#This Row],[PID]],Table3[[#All],[PID]],0)))</f>
        <v>Low</v>
      </c>
      <c r="L980" s="62">
        <f>IF($C980="B",INDEX(Batters[[#All],[CON P]],MATCH(Table5[[#This Row],[PID]],Batters[[#All],[PID]],0)),INDEX(Table3[[#All],[STU P]],MATCH(Table5[[#This Row],[PID]],Table3[[#All],[PID]],0)))</f>
        <v>3</v>
      </c>
      <c r="M980" s="58">
        <f>IF($C980="B",INDEX(Batters[[#All],[GAP P]],MATCH(Table5[[#This Row],[PID]],Batters[[#All],[PID]],0)),INDEX(Table3[[#All],[MOV P]],MATCH(Table5[[#This Row],[PID]],Table3[[#All],[PID]],0)))</f>
        <v>2</v>
      </c>
      <c r="N980" s="58">
        <f>IF($C980="B",INDEX(Batters[[#All],[POW P]],MATCH(Table5[[#This Row],[PID]],Batters[[#All],[PID]],0)),INDEX(Table3[[#All],[CON P]],MATCH(Table5[[#This Row],[PID]],Table3[[#All],[PID]],0)))</f>
        <v>2</v>
      </c>
      <c r="O980" s="58" t="str">
        <f>IF($C980="B",INDEX(Batters[[#All],[EYE P]],MATCH(Table5[[#This Row],[PID]],Batters[[#All],[PID]],0)),INDEX(Table3[[#All],[VELO]],MATCH(Table5[[#This Row],[PID]],Table3[[#All],[PID]],0)))</f>
        <v>89-91 Mph</v>
      </c>
      <c r="P980" s="58">
        <f>IF($C980="B",INDEX(Batters[[#All],[K P]],MATCH(Table5[[#This Row],[PID]],Batters[[#All],[PID]],0)),INDEX(Table3[[#All],[STM]],MATCH(Table5[[#This Row],[PID]],Table3[[#All],[PID]],0)))</f>
        <v>6</v>
      </c>
      <c r="Q980" s="63">
        <f>IF($C980="B",INDEX(Batters[[#All],[Tot]],MATCH(Table5[[#This Row],[PID]],Batters[[#All],[PID]],0)),INDEX(Table3[[#All],[Tot]],MATCH(Table5[[#This Row],[PID]],Table3[[#All],[PID]],0)))</f>
        <v>19.933873240263758</v>
      </c>
      <c r="R980" s="54">
        <f>IF($C980="B",INDEX(Batters[[#All],[zScore]],MATCH(Table5[[#This Row],[PID]],Batters[[#All],[PID]],0)),INDEX(Table3[[#All],[zScore]],MATCH(Table5[[#This Row],[PID]],Table3[[#All],[PID]],0)))</f>
        <v>-0.91686181819192958</v>
      </c>
      <c r="S980" s="60" t="str">
        <f>IF($C980="B",INDEX(Batters[[#All],[DEM]],MATCH(Table5[[#This Row],[PID]],Batters[[#All],[PID]],0)),INDEX(Table3[[#All],[DEM]],MATCH(Table5[[#This Row],[PID]],Table3[[#All],[PID]],0)))</f>
        <v>-</v>
      </c>
      <c r="T980" s="64" t="e">
        <f>IF($C980="B",VLOOKUP($A980,Bat!$A$4:$AU$1417,46,FALSE),VLOOKUP($A980,Pit!$A$4:$BD$570,55,FALSE))</f>
        <v>#N/A</v>
      </c>
      <c r="U980" s="52" t="e">
        <f>IF($C980="B",VLOOKUP($A980,Bat!$A$4:$BA$1417,47,FALSE),VLOOKUP($A980,Pit!$A$4:$BF$570,56,FALSE))</f>
        <v>#N/A</v>
      </c>
      <c r="V980" s="52" t="e">
        <f>IF($C980="B",VLOOKUP($A980,Bat!$A$4:$BA$1417,48,FALSE),VLOOKUP($A980,Pit!$A$4:$BF$570,57,FALSE))</f>
        <v>#N/A</v>
      </c>
      <c r="W980" s="52" t="e">
        <f>Table5[[#This Row],[posRnk]]+Table5[[#This Row],[zRnk]]+IF($W$3&lt;&gt;Table5[[#This Row],[Type]],50,0)</f>
        <v>#N/A</v>
      </c>
      <c r="X980" s="53">
        <f>RANK(Table5[[#This Row],[zScore]],Table5[[#All],[zScore]])</f>
        <v>976</v>
      </c>
      <c r="Y980" s="52" t="str">
        <f>IFERROR(INDEX(DraftResults[[#All],[OVR]],MATCH(Table5[[#This Row],[PID]],DraftResults[[#All],[Player ID]],0)),"")</f>
        <v/>
      </c>
      <c r="Z9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0" s="52" t="str">
        <f>IFERROR(INDEX(DraftResults[[#All],[Pick in Round]],MATCH(Table5[[#This Row],[PID]],DraftResults[[#All],[Player ID]],0)),"")</f>
        <v/>
      </c>
      <c r="AB980" s="52" t="str">
        <f>IFERROR(INDEX(DraftResults[[#All],[Team Name]],MATCH(Table5[[#This Row],[PID]],DraftResults[[#All],[Player ID]],0)),"")</f>
        <v/>
      </c>
      <c r="AC980" s="52" t="str">
        <f>IF(Table5[[#This Row],[Ovr]]="","",IF(Table5[[#This Row],[cmbList]]="","",Table5[[#This Row],[cmbList]]-Table5[[#This Row],[Ovr]]))</f>
        <v/>
      </c>
      <c r="AD980" s="56" t="str">
        <f>IF(ISERROR(VLOOKUP($AB980&amp;"-"&amp;$E980&amp;" "&amp;F980,Bonuses!$B$1:$G$1006,4,FALSE)),"",INT(VLOOKUP($AB980&amp;"-"&amp;$E980&amp;" "&amp;$F980,Bonuses!$B$1:$G$1006,4,FALSE)))</f>
        <v/>
      </c>
      <c r="AE9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1" spans="1:31" s="52" customFormat="1" x14ac:dyDescent="0.25">
      <c r="A981" s="52">
        <v>9715</v>
      </c>
      <c r="B981" s="52">
        <f>COUNTIF(Table5[PID],A981)</f>
        <v>1</v>
      </c>
      <c r="C981" s="52" t="str">
        <f>IF(COUNTIF(Table3[[#All],[PID]],A981)&gt;0,"P","B")</f>
        <v>B</v>
      </c>
      <c r="D981" s="61" t="str">
        <f>IF($C981="B",INDEX(Batters[[#All],[POS]],MATCH(Table5[[#This Row],[PID]],Batters[[#All],[PID]],0)),INDEX(Table3[[#All],[POS]],MATCH(Table5[[#This Row],[PID]],Table3[[#All],[PID]],0)))</f>
        <v>1B</v>
      </c>
      <c r="E981" s="54" t="str">
        <f>IF($C981="B",INDEX(Batters[[#All],[First]],MATCH(Table5[[#This Row],[PID]],Batters[[#All],[PID]],0)),INDEX(Table3[[#All],[First]],MATCH(Table5[[#This Row],[PID]],Table3[[#All],[PID]],0)))</f>
        <v>Arnie</v>
      </c>
      <c r="F981" s="52" t="str">
        <f>IF($C981="B",INDEX(Batters[[#All],[Last]],MATCH(A981,Batters[[#All],[PID]],0)),INDEX(Table3[[#All],[Last]],MATCH(A981,Table3[[#All],[PID]],0)))</f>
        <v>Miranda</v>
      </c>
      <c r="G981" s="58">
        <f>IF($C981="B",INDEX(Batters[[#All],[Age]],MATCH(Table5[[#This Row],[PID]],Batters[[#All],[PID]],0)),INDEX(Table3[[#All],[Age]],MATCH(Table5[[#This Row],[PID]],Table3[[#All],[PID]],0)))</f>
        <v>20</v>
      </c>
      <c r="H981" s="54" t="str">
        <f>IF($C981="B",INDEX(Batters[[#All],[B]],MATCH(Table5[[#This Row],[PID]],Batters[[#All],[PID]],0)),INDEX(Table3[[#All],[B]],MATCH(Table5[[#This Row],[PID]],Table3[[#All],[PID]],0)))</f>
        <v>S</v>
      </c>
      <c r="I981" s="54" t="str">
        <f>IF($C981="B",INDEX(Batters[[#All],[T]],MATCH(Table5[[#This Row],[PID]],Batters[[#All],[PID]],0)),INDEX(Table3[[#All],[T]],MATCH(Table5[[#This Row],[PID]],Table3[[#All],[PID]],0)))</f>
        <v>R</v>
      </c>
      <c r="J981" s="54" t="str">
        <f>IF($C981="B",INDEX(Batters[[#All],[WE]],MATCH(Table5[[#This Row],[PID]],Batters[[#All],[PID]],0)),INDEX(Table3[[#All],[WE]],MATCH(Table5[[#This Row],[PID]],Table3[[#All],[PID]],0)))</f>
        <v>Normal</v>
      </c>
      <c r="K981" s="54" t="str">
        <f>IF($C981="B",INDEX(Batters[[#All],[INT]],MATCH(Table5[[#This Row],[PID]],Batters[[#All],[PID]],0)),INDEX(Table3[[#All],[INT]],MATCH(Table5[[#This Row],[PID]],Table3[[#All],[PID]],0)))</f>
        <v>Normal</v>
      </c>
      <c r="L981" s="62">
        <f>IF($C981="B",INDEX(Batters[[#All],[CON P]],MATCH(Table5[[#This Row],[PID]],Batters[[#All],[PID]],0)),INDEX(Table3[[#All],[STU P]],MATCH(Table5[[#This Row],[PID]],Table3[[#All],[PID]],0)))</f>
        <v>4</v>
      </c>
      <c r="M981" s="58">
        <f>IF($C981="B",INDEX(Batters[[#All],[GAP P]],MATCH(Table5[[#This Row],[PID]],Batters[[#All],[PID]],0)),INDEX(Table3[[#All],[MOV P]],MATCH(Table5[[#This Row],[PID]],Table3[[#All],[PID]],0)))</f>
        <v>3</v>
      </c>
      <c r="N981" s="58">
        <f>IF($C981="B",INDEX(Batters[[#All],[POW P]],MATCH(Table5[[#This Row],[PID]],Batters[[#All],[PID]],0)),INDEX(Table3[[#All],[CON P]],MATCH(Table5[[#This Row],[PID]],Table3[[#All],[PID]],0)))</f>
        <v>2</v>
      </c>
      <c r="O981" s="58">
        <f>IF($C981="B",INDEX(Batters[[#All],[EYE P]],MATCH(Table5[[#This Row],[PID]],Batters[[#All],[PID]],0)),INDEX(Table3[[#All],[VELO]],MATCH(Table5[[#This Row],[PID]],Table3[[#All],[PID]],0)))</f>
        <v>1</v>
      </c>
      <c r="P981" s="58">
        <f>IF($C981="B",INDEX(Batters[[#All],[K P]],MATCH(Table5[[#This Row],[PID]],Batters[[#All],[PID]],0)),INDEX(Table3[[#All],[STM]],MATCH(Table5[[#This Row],[PID]],Table3[[#All],[PID]],0)))</f>
        <v>4</v>
      </c>
      <c r="Q981" s="63">
        <f>IF($C981="B",INDEX(Batters[[#All],[Tot]],MATCH(Table5[[#This Row],[PID]],Batters[[#All],[PID]],0)),INDEX(Table3[[#All],[Tot]],MATCH(Table5[[#This Row],[PID]],Table3[[#All],[PID]],0)))</f>
        <v>35.136143781519877</v>
      </c>
      <c r="R981" s="54">
        <f>IF($C981="B",INDEX(Batters[[#All],[zScore]],MATCH(Table5[[#This Row],[PID]],Batters[[#All],[PID]],0)),INDEX(Table3[[#All],[zScore]],MATCH(Table5[[#This Row],[PID]],Table3[[#All],[PID]],0)))</f>
        <v>-0.9170349830890645</v>
      </c>
      <c r="S981" s="60" t="str">
        <f>IF($C981="B",INDEX(Batters[[#All],[DEM]],MATCH(Table5[[#This Row],[PID]],Batters[[#All],[PID]],0)),INDEX(Table3[[#All],[DEM]],MATCH(Table5[[#This Row],[PID]],Table3[[#All],[PID]],0)))</f>
        <v>$20k</v>
      </c>
      <c r="T981" s="64">
        <f>IF($C981="B",VLOOKUP($A981,Bat!$A$4:$AU$1417,46,FALSE),VLOOKUP($A981,Pit!$A$4:$BD$570,55,FALSE))</f>
        <v>0</v>
      </c>
      <c r="U981" s="52">
        <f>IF($C981="B",VLOOKUP($A981,Bat!$A$4:$BA$1417,47,FALSE),VLOOKUP($A981,Pit!$A$4:$BF$570,56,FALSE))</f>
        <v>0</v>
      </c>
      <c r="V981" s="52">
        <f>IF($C981="B",VLOOKUP($A981,Bat!$A$4:$BA$1417,48,FALSE),VLOOKUP($A981,Pit!$A$4:$BF$570,57,FALSE))</f>
        <v>0</v>
      </c>
      <c r="W981" s="52">
        <f>Table5[[#This Row],[posRnk]]+Table5[[#This Row],[zRnk]]+IF($W$3&lt;&gt;Table5[[#This Row],[Type]],50,0)</f>
        <v>1027</v>
      </c>
      <c r="X981" s="53">
        <f>RANK(Table5[[#This Row],[zScore]],Table5[[#All],[zScore]])</f>
        <v>977</v>
      </c>
      <c r="Y981" s="52" t="str">
        <f>IFERROR(INDEX(DraftResults[[#All],[OVR]],MATCH(Table5[[#This Row],[PID]],DraftResults[[#All],[Player ID]],0)),"")</f>
        <v/>
      </c>
      <c r="Z9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1" s="52" t="str">
        <f>IFERROR(INDEX(DraftResults[[#All],[Pick in Round]],MATCH(Table5[[#This Row],[PID]],DraftResults[[#All],[Player ID]],0)),"")</f>
        <v/>
      </c>
      <c r="AB981" s="52" t="str">
        <f>IFERROR(INDEX(DraftResults[[#All],[Team Name]],MATCH(Table5[[#This Row],[PID]],DraftResults[[#All],[Player ID]],0)),"")</f>
        <v/>
      </c>
      <c r="AC981" s="52" t="str">
        <f>IF(Table5[[#This Row],[Ovr]]="","",IF(Table5[[#This Row],[cmbList]]="","",Table5[[#This Row],[cmbList]]-Table5[[#This Row],[Ovr]]))</f>
        <v/>
      </c>
      <c r="AD981" s="56" t="str">
        <f>IF(ISERROR(VLOOKUP($AB981&amp;"-"&amp;$E981&amp;" "&amp;F981,Bonuses!$B$1:$G$1006,4,FALSE)),"",INT(VLOOKUP($AB981&amp;"-"&amp;$E981&amp;" "&amp;$F981,Bonuses!$B$1:$G$1006,4,FALSE)))</f>
        <v/>
      </c>
      <c r="AE9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2" spans="1:31" s="52" customFormat="1" x14ac:dyDescent="0.25">
      <c r="A982" s="52">
        <v>8563</v>
      </c>
      <c r="B982" s="52">
        <f>COUNTIF(Table5[PID],A982)</f>
        <v>1</v>
      </c>
      <c r="C982" s="52" t="str">
        <f>IF(COUNTIF(Table3[[#All],[PID]],A982)&gt;0,"P","B")</f>
        <v>B</v>
      </c>
      <c r="D982" s="61" t="str">
        <f>IF($C982="B",INDEX(Batters[[#All],[POS]],MATCH(Table5[[#This Row],[PID]],Batters[[#All],[PID]],0)),INDEX(Table3[[#All],[POS]],MATCH(Table5[[#This Row],[PID]],Table3[[#All],[PID]],0)))</f>
        <v>2B</v>
      </c>
      <c r="E982" s="54" t="str">
        <f>IF($C982="B",INDEX(Batters[[#All],[First]],MATCH(Table5[[#This Row],[PID]],Batters[[#All],[PID]],0)),INDEX(Table3[[#All],[First]],MATCH(Table5[[#This Row],[PID]],Table3[[#All],[PID]],0)))</f>
        <v>Zack</v>
      </c>
      <c r="F982" s="52" t="str">
        <f>IF($C982="B",INDEX(Batters[[#All],[Last]],MATCH(A982,Batters[[#All],[PID]],0)),INDEX(Table3[[#All],[Last]],MATCH(A982,Table3[[#All],[PID]],0)))</f>
        <v>Schmitt</v>
      </c>
      <c r="G982" s="58">
        <f>IF($C982="B",INDEX(Batters[[#All],[Age]],MATCH(Table5[[#This Row],[PID]],Batters[[#All],[PID]],0)),INDEX(Table3[[#All],[Age]],MATCH(Table5[[#This Row],[PID]],Table3[[#All],[PID]],0)))</f>
        <v>22</v>
      </c>
      <c r="H982" s="54" t="str">
        <f>IF($C982="B",INDEX(Batters[[#All],[B]],MATCH(Table5[[#This Row],[PID]],Batters[[#All],[PID]],0)),INDEX(Table3[[#All],[B]],MATCH(Table5[[#This Row],[PID]],Table3[[#All],[PID]],0)))</f>
        <v>R</v>
      </c>
      <c r="I982" s="54" t="str">
        <f>IF($C982="B",INDEX(Batters[[#All],[T]],MATCH(Table5[[#This Row],[PID]],Batters[[#All],[PID]],0)),INDEX(Table3[[#All],[T]],MATCH(Table5[[#This Row],[PID]],Table3[[#All],[PID]],0)))</f>
        <v>R</v>
      </c>
      <c r="J982" s="54" t="str">
        <f>IF($C982="B",INDEX(Batters[[#All],[WE]],MATCH(Table5[[#This Row],[PID]],Batters[[#All],[PID]],0)),INDEX(Table3[[#All],[WE]],MATCH(Table5[[#This Row],[PID]],Table3[[#All],[PID]],0)))</f>
        <v>Normal</v>
      </c>
      <c r="K982" s="54" t="str">
        <f>IF($C982="B",INDEX(Batters[[#All],[INT]],MATCH(Table5[[#This Row],[PID]],Batters[[#All],[PID]],0)),INDEX(Table3[[#All],[INT]],MATCH(Table5[[#This Row],[PID]],Table3[[#All],[PID]],0)))</f>
        <v>High</v>
      </c>
      <c r="L982" s="62">
        <f>IF($C982="B",INDEX(Batters[[#All],[CON P]],MATCH(Table5[[#This Row],[PID]],Batters[[#All],[PID]],0)),INDEX(Table3[[#All],[STU P]],MATCH(Table5[[#This Row],[PID]],Table3[[#All],[PID]],0)))</f>
        <v>3</v>
      </c>
      <c r="M982" s="58">
        <f>IF($C982="B",INDEX(Batters[[#All],[GAP P]],MATCH(Table5[[#This Row],[PID]],Batters[[#All],[PID]],0)),INDEX(Table3[[#All],[MOV P]],MATCH(Table5[[#This Row],[PID]],Table3[[#All],[PID]],0)))</f>
        <v>3</v>
      </c>
      <c r="N982" s="58">
        <f>IF($C982="B",INDEX(Batters[[#All],[POW P]],MATCH(Table5[[#This Row],[PID]],Batters[[#All],[PID]],0)),INDEX(Table3[[#All],[CON P]],MATCH(Table5[[#This Row],[PID]],Table3[[#All],[PID]],0)))</f>
        <v>2</v>
      </c>
      <c r="O982" s="58">
        <f>IF($C982="B",INDEX(Batters[[#All],[EYE P]],MATCH(Table5[[#This Row],[PID]],Batters[[#All],[PID]],0)),INDEX(Table3[[#All],[VELO]],MATCH(Table5[[#This Row],[PID]],Table3[[#All],[PID]],0)))</f>
        <v>4</v>
      </c>
      <c r="P982" s="58">
        <f>IF($C982="B",INDEX(Batters[[#All],[K P]],MATCH(Table5[[#This Row],[PID]],Batters[[#All],[PID]],0)),INDEX(Table3[[#All],[STM]],MATCH(Table5[[#This Row],[PID]],Table3[[#All],[PID]],0)))</f>
        <v>5</v>
      </c>
      <c r="Q982" s="63">
        <f>IF($C982="B",INDEX(Batters[[#All],[Tot]],MATCH(Table5[[#This Row],[PID]],Batters[[#All],[PID]],0)),INDEX(Table3[[#All],[Tot]],MATCH(Table5[[#This Row],[PID]],Table3[[#All],[PID]],0)))</f>
        <v>35.109932264581815</v>
      </c>
      <c r="R982" s="54">
        <f>IF($C982="B",INDEX(Batters[[#All],[zScore]],MATCH(Table5[[#This Row],[PID]],Batters[[#All],[PID]],0)),INDEX(Table3[[#All],[zScore]],MATCH(Table5[[#This Row],[PID]],Table3[[#All],[PID]],0)))</f>
        <v>-0.92164672528462299</v>
      </c>
      <c r="S982" s="60" t="str">
        <f>IF($C982="B",INDEX(Batters[[#All],[DEM]],MATCH(Table5[[#This Row],[PID]],Batters[[#All],[PID]],0)),INDEX(Table3[[#All],[DEM]],MATCH(Table5[[#This Row],[PID]],Table3[[#All],[PID]],0)))</f>
        <v>-</v>
      </c>
      <c r="T982" s="64">
        <f>IF($C982="B",VLOOKUP($A982,Bat!$A$4:$AU$1417,46,FALSE),VLOOKUP($A982,Pit!$A$4:$BD$570,55,FALSE))</f>
        <v>0</v>
      </c>
      <c r="U982" s="52">
        <f>IF($C982="B",VLOOKUP($A982,Bat!$A$4:$BA$1417,47,FALSE),VLOOKUP($A982,Pit!$A$4:$BF$570,56,FALSE))</f>
        <v>0</v>
      </c>
      <c r="V982" s="52">
        <f>IF($C982="B",VLOOKUP($A982,Bat!$A$4:$BA$1417,48,FALSE),VLOOKUP($A982,Pit!$A$4:$BF$570,57,FALSE))</f>
        <v>0</v>
      </c>
      <c r="W982" s="52">
        <f>Table5[[#This Row],[posRnk]]+Table5[[#This Row],[zRnk]]+IF($W$3&lt;&gt;Table5[[#This Row],[Type]],50,0)</f>
        <v>1028</v>
      </c>
      <c r="X982" s="53">
        <f>RANK(Table5[[#This Row],[zScore]],Table5[[#All],[zScore]])</f>
        <v>978</v>
      </c>
      <c r="Y982" s="52" t="str">
        <f>IFERROR(INDEX(DraftResults[[#All],[OVR]],MATCH(Table5[[#This Row],[PID]],DraftResults[[#All],[Player ID]],0)),"")</f>
        <v/>
      </c>
      <c r="Z9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2" s="52" t="str">
        <f>IFERROR(INDEX(DraftResults[[#All],[Pick in Round]],MATCH(Table5[[#This Row],[PID]],DraftResults[[#All],[Player ID]],0)),"")</f>
        <v/>
      </c>
      <c r="AB982" s="52" t="str">
        <f>IFERROR(INDEX(DraftResults[[#All],[Team Name]],MATCH(Table5[[#This Row],[PID]],DraftResults[[#All],[Player ID]],0)),"")</f>
        <v/>
      </c>
      <c r="AC982" s="52" t="str">
        <f>IF(Table5[[#This Row],[Ovr]]="","",IF(Table5[[#This Row],[cmbList]]="","",Table5[[#This Row],[cmbList]]-Table5[[#This Row],[Ovr]]))</f>
        <v/>
      </c>
      <c r="AD982" s="56" t="str">
        <f>IF(ISERROR(VLOOKUP($AB982&amp;"-"&amp;$E982&amp;" "&amp;F982,Bonuses!$B$1:$G$1006,4,FALSE)),"",INT(VLOOKUP($AB982&amp;"-"&amp;$E982&amp;" "&amp;$F982,Bonuses!$B$1:$G$1006,4,FALSE)))</f>
        <v/>
      </c>
      <c r="AE9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3" spans="1:31" s="52" customFormat="1" x14ac:dyDescent="0.25">
      <c r="A983" s="52">
        <v>12388</v>
      </c>
      <c r="B983" s="52">
        <f>COUNTIF(Table5[PID],A983)</f>
        <v>1</v>
      </c>
      <c r="C983" s="52" t="str">
        <f>IF(COUNTIF(Table3[[#All],[PID]],A983)&gt;0,"P","B")</f>
        <v>B</v>
      </c>
      <c r="D983" s="61" t="str">
        <f>IF($C983="B",INDEX(Batters[[#All],[POS]],MATCH(Table5[[#This Row],[PID]],Batters[[#All],[PID]],0)),INDEX(Table3[[#All],[POS]],MATCH(Table5[[#This Row],[PID]],Table3[[#All],[PID]],0)))</f>
        <v>1B</v>
      </c>
      <c r="E983" s="54" t="str">
        <f>IF($C983="B",INDEX(Batters[[#All],[First]],MATCH(Table5[[#This Row],[PID]],Batters[[#All],[PID]],0)),INDEX(Table3[[#All],[First]],MATCH(Table5[[#This Row],[PID]],Table3[[#All],[PID]],0)))</f>
        <v>Iemitsu</v>
      </c>
      <c r="F983" s="52" t="str">
        <f>IF($C983="B",INDEX(Batters[[#All],[Last]],MATCH(A983,Batters[[#All],[PID]],0)),INDEX(Table3[[#All],[Last]],MATCH(A983,Table3[[#All],[PID]],0)))</f>
        <v>Hayagawa</v>
      </c>
      <c r="G983" s="58">
        <f>IF($C983="B",INDEX(Batters[[#All],[Age]],MATCH(Table5[[#This Row],[PID]],Batters[[#All],[PID]],0)),INDEX(Table3[[#All],[Age]],MATCH(Table5[[#This Row],[PID]],Table3[[#All],[PID]],0)))</f>
        <v>21</v>
      </c>
      <c r="H983" s="54" t="str">
        <f>IF($C983="B",INDEX(Batters[[#All],[B]],MATCH(Table5[[#This Row],[PID]],Batters[[#All],[PID]],0)),INDEX(Table3[[#All],[B]],MATCH(Table5[[#This Row],[PID]],Table3[[#All],[PID]],0)))</f>
        <v>R</v>
      </c>
      <c r="I983" s="54" t="str">
        <f>IF($C983="B",INDEX(Batters[[#All],[T]],MATCH(Table5[[#This Row],[PID]],Batters[[#All],[PID]],0)),INDEX(Table3[[#All],[T]],MATCH(Table5[[#This Row],[PID]],Table3[[#All],[PID]],0)))</f>
        <v>R</v>
      </c>
      <c r="J983" s="54" t="str">
        <f>IF($C983="B",INDEX(Batters[[#All],[WE]],MATCH(Table5[[#This Row],[PID]],Batters[[#All],[PID]],0)),INDEX(Table3[[#All],[WE]],MATCH(Table5[[#This Row],[PID]],Table3[[#All],[PID]],0)))</f>
        <v>Normal</v>
      </c>
      <c r="K983" s="54" t="str">
        <f>IF($C983="B",INDEX(Batters[[#All],[INT]],MATCH(Table5[[#This Row],[PID]],Batters[[#All],[PID]],0)),INDEX(Table3[[#All],[INT]],MATCH(Table5[[#This Row],[PID]],Table3[[#All],[PID]],0)))</f>
        <v>Normal</v>
      </c>
      <c r="L983" s="62">
        <f>IF($C983="B",INDEX(Batters[[#All],[CON P]],MATCH(Table5[[#This Row],[PID]],Batters[[#All],[PID]],0)),INDEX(Table3[[#All],[STU P]],MATCH(Table5[[#This Row],[PID]],Table3[[#All],[PID]],0)))</f>
        <v>4</v>
      </c>
      <c r="M983" s="58">
        <f>IF($C983="B",INDEX(Batters[[#All],[GAP P]],MATCH(Table5[[#This Row],[PID]],Batters[[#All],[PID]],0)),INDEX(Table3[[#All],[MOV P]],MATCH(Table5[[#This Row],[PID]],Table3[[#All],[PID]],0)))</f>
        <v>3</v>
      </c>
      <c r="N983" s="58">
        <f>IF($C983="B",INDEX(Batters[[#All],[POW P]],MATCH(Table5[[#This Row],[PID]],Batters[[#All],[PID]],0)),INDEX(Table3[[#All],[CON P]],MATCH(Table5[[#This Row],[PID]],Table3[[#All],[PID]],0)))</f>
        <v>2</v>
      </c>
      <c r="O983" s="58">
        <f>IF($C983="B",INDEX(Batters[[#All],[EYE P]],MATCH(Table5[[#This Row],[PID]],Batters[[#All],[PID]],0)),INDEX(Table3[[#All],[VELO]],MATCH(Table5[[#This Row],[PID]],Table3[[#All],[PID]],0)))</f>
        <v>1</v>
      </c>
      <c r="P983" s="58">
        <f>IF($C983="B",INDEX(Batters[[#All],[K P]],MATCH(Table5[[#This Row],[PID]],Batters[[#All],[PID]],0)),INDEX(Table3[[#All],[STM]],MATCH(Table5[[#This Row],[PID]],Table3[[#All],[PID]],0)))</f>
        <v>4</v>
      </c>
      <c r="Q983" s="63">
        <f>IF($C983="B",INDEX(Batters[[#All],[Tot]],MATCH(Table5[[#This Row],[PID]],Batters[[#All],[PID]],0)),INDEX(Table3[[#All],[Tot]],MATCH(Table5[[#This Row],[PID]],Table3[[#All],[PID]],0)))</f>
        <v>35.107889831881323</v>
      </c>
      <c r="R983" s="54">
        <f>IF($C983="B",INDEX(Batters[[#All],[zScore]],MATCH(Table5[[#This Row],[PID]],Batters[[#All],[PID]],0)),INDEX(Table3[[#All],[zScore]],MATCH(Table5[[#This Row],[PID]],Table3[[#All],[PID]],0)))</f>
        <v>-0.92200607774364718</v>
      </c>
      <c r="S983" s="60" t="str">
        <f>IF($C983="B",INDEX(Batters[[#All],[DEM]],MATCH(Table5[[#This Row],[PID]],Batters[[#All],[PID]],0)),INDEX(Table3[[#All],[DEM]],MATCH(Table5[[#This Row],[PID]],Table3[[#All],[PID]],0)))</f>
        <v>$20k</v>
      </c>
      <c r="T983" s="64">
        <f>IF($C983="B",VLOOKUP($A983,Bat!$A$4:$AU$1417,46,FALSE),VLOOKUP($A983,Pit!$A$4:$BD$570,55,FALSE))</f>
        <v>0</v>
      </c>
      <c r="U983" s="52">
        <f>IF($C983="B",VLOOKUP($A983,Bat!$A$4:$BA$1417,47,FALSE),VLOOKUP($A983,Pit!$A$4:$BF$570,56,FALSE))</f>
        <v>0</v>
      </c>
      <c r="V983" s="52">
        <f>IF($C983="B",VLOOKUP($A983,Bat!$A$4:$BA$1417,48,FALSE),VLOOKUP($A983,Pit!$A$4:$BF$570,57,FALSE))</f>
        <v>0</v>
      </c>
      <c r="W983" s="52">
        <f>Table5[[#This Row],[posRnk]]+Table5[[#This Row],[zRnk]]+IF($W$3&lt;&gt;Table5[[#This Row],[Type]],50,0)</f>
        <v>1029</v>
      </c>
      <c r="X983" s="53">
        <f>RANK(Table5[[#This Row],[zScore]],Table5[[#All],[zScore]])</f>
        <v>979</v>
      </c>
      <c r="Y983" s="52" t="str">
        <f>IFERROR(INDEX(DraftResults[[#All],[OVR]],MATCH(Table5[[#This Row],[PID]],DraftResults[[#All],[Player ID]],0)),"")</f>
        <v/>
      </c>
      <c r="Z9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3" s="52" t="str">
        <f>IFERROR(INDEX(DraftResults[[#All],[Pick in Round]],MATCH(Table5[[#This Row],[PID]],DraftResults[[#All],[Player ID]],0)),"")</f>
        <v/>
      </c>
      <c r="AB983" s="52" t="str">
        <f>IFERROR(INDEX(DraftResults[[#All],[Team Name]],MATCH(Table5[[#This Row],[PID]],DraftResults[[#All],[Player ID]],0)),"")</f>
        <v/>
      </c>
      <c r="AC983" s="52" t="str">
        <f>IF(Table5[[#This Row],[Ovr]]="","",IF(Table5[[#This Row],[cmbList]]="","",Table5[[#This Row],[cmbList]]-Table5[[#This Row],[Ovr]]))</f>
        <v/>
      </c>
      <c r="AD983" s="56" t="str">
        <f>IF(ISERROR(VLOOKUP($AB983&amp;"-"&amp;$E983&amp;" "&amp;F983,Bonuses!$B$1:$G$1006,4,FALSE)),"",INT(VLOOKUP($AB983&amp;"-"&amp;$E983&amp;" "&amp;$F983,Bonuses!$B$1:$G$1006,4,FALSE)))</f>
        <v/>
      </c>
      <c r="AE9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4" spans="1:31" s="52" customFormat="1" x14ac:dyDescent="0.25">
      <c r="A984" s="52">
        <v>7283</v>
      </c>
      <c r="B984" s="57">
        <f>COUNTIF(Table5[PID],A984)</f>
        <v>1</v>
      </c>
      <c r="C984" s="57" t="str">
        <f>IF(COUNTIF(Table3[[#All],[PID]],A984)&gt;0,"P","B")</f>
        <v>B</v>
      </c>
      <c r="D984" s="61" t="str">
        <f>IF($C984="B",INDEX(Batters[[#All],[POS]],MATCH(Table5[[#This Row],[PID]],Batters[[#All],[PID]],0)),INDEX(Table3[[#All],[POS]],MATCH(Table5[[#This Row],[PID]],Table3[[#All],[PID]],0)))</f>
        <v>SS</v>
      </c>
      <c r="E984" s="54" t="str">
        <f>IF($C984="B",INDEX(Batters[[#All],[First]],MATCH(Table5[[#This Row],[PID]],Batters[[#All],[PID]],0)),INDEX(Table3[[#All],[First]],MATCH(Table5[[#This Row],[PID]],Table3[[#All],[PID]],0)))</f>
        <v>Shoji</v>
      </c>
      <c r="F984" s="52" t="str">
        <f>IF($C984="B",INDEX(Batters[[#All],[Last]],MATCH(A984,Batters[[#All],[PID]],0)),INDEX(Table3[[#All],[Last]],MATCH(A984,Table3[[#All],[PID]],0)))</f>
        <v>Matsumoto</v>
      </c>
      <c r="G984" s="58">
        <f>IF($C984="B",INDEX(Batters[[#All],[Age]],MATCH(Table5[[#This Row],[PID]],Batters[[#All],[PID]],0)),INDEX(Table3[[#All],[Age]],MATCH(Table5[[#This Row],[PID]],Table3[[#All],[PID]],0)))</f>
        <v>21</v>
      </c>
      <c r="H984" s="54" t="str">
        <f>IF($C984="B",INDEX(Batters[[#All],[B]],MATCH(Table5[[#This Row],[PID]],Batters[[#All],[PID]],0)),INDEX(Table3[[#All],[B]],MATCH(Table5[[#This Row],[PID]],Table3[[#All],[PID]],0)))</f>
        <v>S</v>
      </c>
      <c r="I984" s="54" t="str">
        <f>IF($C984="B",INDEX(Batters[[#All],[T]],MATCH(Table5[[#This Row],[PID]],Batters[[#All],[PID]],0)),INDEX(Table3[[#All],[T]],MATCH(Table5[[#This Row],[PID]],Table3[[#All],[PID]],0)))</f>
        <v>R</v>
      </c>
      <c r="J984" s="54" t="str">
        <f>IF($C984="B",INDEX(Batters[[#All],[WE]],MATCH(Table5[[#This Row],[PID]],Batters[[#All],[PID]],0)),INDEX(Table3[[#All],[WE]],MATCH(Table5[[#This Row],[PID]],Table3[[#All],[PID]],0)))</f>
        <v>Normal</v>
      </c>
      <c r="K984" s="54" t="str">
        <f>IF($C984="B",INDEX(Batters[[#All],[INT]],MATCH(Table5[[#This Row],[PID]],Batters[[#All],[PID]],0)),INDEX(Table3[[#All],[INT]],MATCH(Table5[[#This Row],[PID]],Table3[[#All],[PID]],0)))</f>
        <v>Normal</v>
      </c>
      <c r="L984" s="62">
        <f>IF($C984="B",INDEX(Batters[[#All],[CON P]],MATCH(Table5[[#This Row],[PID]],Batters[[#All],[PID]],0)),INDEX(Table3[[#All],[STU P]],MATCH(Table5[[#This Row],[PID]],Table3[[#All],[PID]],0)))</f>
        <v>2</v>
      </c>
      <c r="M984" s="58">
        <f>IF($C984="B",INDEX(Batters[[#All],[GAP P]],MATCH(Table5[[#This Row],[PID]],Batters[[#All],[PID]],0)),INDEX(Table3[[#All],[MOV P]],MATCH(Table5[[#This Row],[PID]],Table3[[#All],[PID]],0)))</f>
        <v>4</v>
      </c>
      <c r="N984" s="58">
        <f>IF($C984="B",INDEX(Batters[[#All],[POW P]],MATCH(Table5[[#This Row],[PID]],Batters[[#All],[PID]],0)),INDEX(Table3[[#All],[CON P]],MATCH(Table5[[#This Row],[PID]],Table3[[#All],[PID]],0)))</f>
        <v>3</v>
      </c>
      <c r="O984" s="58">
        <f>IF($C984="B",INDEX(Batters[[#All],[EYE P]],MATCH(Table5[[#This Row],[PID]],Batters[[#All],[PID]],0)),INDEX(Table3[[#All],[VELO]],MATCH(Table5[[#This Row],[PID]],Table3[[#All],[PID]],0)))</f>
        <v>6</v>
      </c>
      <c r="P984" s="58">
        <f>IF($C984="B",INDEX(Batters[[#All],[K P]],MATCH(Table5[[#This Row],[PID]],Batters[[#All],[PID]],0)),INDEX(Table3[[#All],[STM]],MATCH(Table5[[#This Row],[PID]],Table3[[#All],[PID]],0)))</f>
        <v>2</v>
      </c>
      <c r="Q984" s="63">
        <f>IF($C984="B",INDEX(Batters[[#All],[Tot]],MATCH(Table5[[#This Row],[PID]],Batters[[#All],[PID]],0)),INDEX(Table3[[#All],[Tot]],MATCH(Table5[[#This Row],[PID]],Table3[[#All],[PID]],0)))</f>
        <v>35.105536010027905</v>
      </c>
      <c r="R984" s="54">
        <f>IF($C984="B",INDEX(Batters[[#All],[zScore]],MATCH(Table5[[#This Row],[PID]],Batters[[#All],[PID]],0)),INDEX(Table3[[#All],[zScore]],MATCH(Table5[[#This Row],[PID]],Table3[[#All],[PID]],0)))</f>
        <v>-0.92242021705454202</v>
      </c>
      <c r="S984" s="60" t="str">
        <f>IF($C984="B",INDEX(Batters[[#All],[DEM]],MATCH(Table5[[#This Row],[PID]],Batters[[#All],[PID]],0)),INDEX(Table3[[#All],[DEM]],MATCH(Table5[[#This Row],[PID]],Table3[[#All],[PID]],0)))</f>
        <v>-</v>
      </c>
      <c r="T984" s="64">
        <f>IF($C984="B",VLOOKUP($A984,Bat!$A$4:$AU$1417,46,FALSE),VLOOKUP($A984,Pit!$A$4:$BD$570,55,FALSE))</f>
        <v>0</v>
      </c>
      <c r="U984" s="52">
        <f>IF($C984="B",VLOOKUP($A984,Bat!$A$4:$BA$1417,47,FALSE),VLOOKUP($A984,Pit!$A$4:$BF$570,56,FALSE))</f>
        <v>0</v>
      </c>
      <c r="V984" s="52">
        <f>IF($C984="B",VLOOKUP($A984,Bat!$A$4:$BA$1417,48,FALSE),VLOOKUP($A984,Pit!$A$4:$BF$570,57,FALSE))</f>
        <v>0</v>
      </c>
      <c r="W984" s="52">
        <f>Table5[[#This Row],[posRnk]]+Table5[[#This Row],[zRnk]]+IF($W$3&lt;&gt;Table5[[#This Row],[Type]],50,0)</f>
        <v>1030</v>
      </c>
      <c r="X984" s="53">
        <f>RANK(Table5[[#This Row],[zScore]],Table5[[#All],[zScore]])</f>
        <v>980</v>
      </c>
      <c r="Y984" s="52" t="str">
        <f>IFERROR(INDEX(DraftResults[[#All],[OVR]],MATCH(Table5[[#This Row],[PID]],DraftResults[[#All],[Player ID]],0)),"")</f>
        <v/>
      </c>
      <c r="Z9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4" s="52" t="str">
        <f>IFERROR(INDEX(DraftResults[[#All],[Pick in Round]],MATCH(Table5[[#This Row],[PID]],DraftResults[[#All],[Player ID]],0)),"")</f>
        <v/>
      </c>
      <c r="AB984" s="52" t="str">
        <f>IFERROR(INDEX(DraftResults[[#All],[Team Name]],MATCH(Table5[[#This Row],[PID]],DraftResults[[#All],[Player ID]],0)),"")</f>
        <v/>
      </c>
      <c r="AC984" s="52" t="str">
        <f>IF(Table5[[#This Row],[Ovr]]="","",IF(Table5[[#This Row],[cmbList]]="","",Table5[[#This Row],[cmbList]]-Table5[[#This Row],[Ovr]]))</f>
        <v/>
      </c>
      <c r="AD984" s="56" t="str">
        <f>IF(ISERROR(VLOOKUP($AB984&amp;"-"&amp;$E984&amp;" "&amp;F984,Bonuses!$B$1:$G$1006,4,FALSE)),"",INT(VLOOKUP($AB984&amp;"-"&amp;$E984&amp;" "&amp;$F984,Bonuses!$B$1:$G$1006,4,FALSE)))</f>
        <v/>
      </c>
      <c r="AE9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5" spans="1:31" s="52" customFormat="1" x14ac:dyDescent="0.25">
      <c r="A985" s="52">
        <v>16698</v>
      </c>
      <c r="B985" s="52">
        <f>COUNTIF(Table5[PID],A985)</f>
        <v>1</v>
      </c>
      <c r="C985" s="52" t="str">
        <f>IF(COUNTIF(Table3[[#All],[PID]],A985)&gt;0,"P","B")</f>
        <v>P</v>
      </c>
      <c r="D985" s="61" t="str">
        <f>IF($C985="B",INDEX(Batters[[#All],[POS]],MATCH(Table5[[#This Row],[PID]],Batters[[#All],[PID]],0)),INDEX(Table3[[#All],[POS]],MATCH(Table5[[#This Row],[PID]],Table3[[#All],[PID]],0)))</f>
        <v>RP</v>
      </c>
      <c r="E985" s="54" t="str">
        <f>IF($C985="B",INDEX(Batters[[#All],[First]],MATCH(Table5[[#This Row],[PID]],Batters[[#All],[PID]],0)),INDEX(Table3[[#All],[First]],MATCH(Table5[[#This Row],[PID]],Table3[[#All],[PID]],0)))</f>
        <v>Raúl</v>
      </c>
      <c r="F985" s="52" t="str">
        <f>IF($C985="B",INDEX(Batters[[#All],[Last]],MATCH(A985,Batters[[#All],[PID]],0)),INDEX(Table3[[#All],[Last]],MATCH(A985,Table3[[#All],[PID]],0)))</f>
        <v>Pérez</v>
      </c>
      <c r="G985" s="58">
        <f>IF($C985="B",INDEX(Batters[[#All],[Age]],MATCH(Table5[[#This Row],[PID]],Batters[[#All],[PID]],0)),INDEX(Table3[[#All],[Age]],MATCH(Table5[[#This Row],[PID]],Table3[[#All],[PID]],0)))</f>
        <v>21</v>
      </c>
      <c r="H985" s="54" t="str">
        <f>IF($C985="B",INDEX(Batters[[#All],[B]],MATCH(Table5[[#This Row],[PID]],Batters[[#All],[PID]],0)),INDEX(Table3[[#All],[B]],MATCH(Table5[[#This Row],[PID]],Table3[[#All],[PID]],0)))</f>
        <v>R</v>
      </c>
      <c r="I985" s="54" t="str">
        <f>IF($C985="B",INDEX(Batters[[#All],[T]],MATCH(Table5[[#This Row],[PID]],Batters[[#All],[PID]],0)),INDEX(Table3[[#All],[T]],MATCH(Table5[[#This Row],[PID]],Table3[[#All],[PID]],0)))</f>
        <v>R</v>
      </c>
      <c r="J985" s="54" t="str">
        <f>IF($C985="B",INDEX(Batters[[#All],[WE]],MATCH(Table5[[#This Row],[PID]],Batters[[#All],[PID]],0)),INDEX(Table3[[#All],[WE]],MATCH(Table5[[#This Row],[PID]],Table3[[#All],[PID]],0)))</f>
        <v>Normal</v>
      </c>
      <c r="K985" s="54" t="str">
        <f>IF($C985="B",INDEX(Batters[[#All],[INT]],MATCH(Table5[[#This Row],[PID]],Batters[[#All],[PID]],0)),INDEX(Table3[[#All],[INT]],MATCH(Table5[[#This Row],[PID]],Table3[[#All],[PID]],0)))</f>
        <v>Normal</v>
      </c>
      <c r="L985" s="62">
        <f>IF($C985="B",INDEX(Batters[[#All],[CON P]],MATCH(Table5[[#This Row],[PID]],Batters[[#All],[PID]],0)),INDEX(Table3[[#All],[STU P]],MATCH(Table5[[#This Row],[PID]],Table3[[#All],[PID]],0)))</f>
        <v>6</v>
      </c>
      <c r="M985" s="58">
        <f>IF($C985="B",INDEX(Batters[[#All],[GAP P]],MATCH(Table5[[#This Row],[PID]],Batters[[#All],[PID]],0)),INDEX(Table3[[#All],[MOV P]],MATCH(Table5[[#This Row],[PID]],Table3[[#All],[PID]],0)))</f>
        <v>1</v>
      </c>
      <c r="N985" s="58">
        <f>IF($C985="B",INDEX(Batters[[#All],[POW P]],MATCH(Table5[[#This Row],[PID]],Batters[[#All],[PID]],0)),INDEX(Table3[[#All],[CON P]],MATCH(Table5[[#This Row],[PID]],Table3[[#All],[PID]],0)))</f>
        <v>2</v>
      </c>
      <c r="O985" s="58" t="str">
        <f>IF($C985="B",INDEX(Batters[[#All],[EYE P]],MATCH(Table5[[#This Row],[PID]],Batters[[#All],[PID]],0)),INDEX(Table3[[#All],[VELO]],MATCH(Table5[[#This Row],[PID]],Table3[[#All],[PID]],0)))</f>
        <v>93-95 Mph</v>
      </c>
      <c r="P985" s="58">
        <f>IF($C985="B",INDEX(Batters[[#All],[K P]],MATCH(Table5[[#This Row],[PID]],Batters[[#All],[PID]],0)),INDEX(Table3[[#All],[STM]],MATCH(Table5[[#This Row],[PID]],Table3[[#All],[PID]],0)))</f>
        <v>2</v>
      </c>
      <c r="Q985" s="63">
        <f>IF($C985="B",INDEX(Batters[[#All],[Tot]],MATCH(Table5[[#This Row],[PID]],Batters[[#All],[PID]],0)),INDEX(Table3[[#All],[Tot]],MATCH(Table5[[#This Row],[PID]],Table3[[#All],[PID]],0)))</f>
        <v>22.661792564274041</v>
      </c>
      <c r="R985" s="54">
        <f>IF($C985="B",INDEX(Batters[[#All],[zScore]],MATCH(Table5[[#This Row],[PID]],Batters[[#All],[PID]],0)),INDEX(Table3[[#All],[zScore]],MATCH(Table5[[#This Row],[PID]],Table3[[#All],[PID]],0)))</f>
        <v>-0.92258702447594187</v>
      </c>
      <c r="S985" s="60" t="str">
        <f>IF($C985="B",INDEX(Batters[[#All],[DEM]],MATCH(Table5[[#This Row],[PID]],Batters[[#All],[PID]],0)),INDEX(Table3[[#All],[DEM]],MATCH(Table5[[#This Row],[PID]],Table3[[#All],[PID]],0)))</f>
        <v>-</v>
      </c>
      <c r="T985" s="64">
        <f>IF($C985="B",VLOOKUP($A985,Bat!$A$4:$AU$1417,46,FALSE),VLOOKUP($A985,Pit!$A$4:$BD$570,55,FALSE))</f>
        <v>0</v>
      </c>
      <c r="U985" s="52">
        <f>IF($C985="B",VLOOKUP($A985,Bat!$A$4:$BA$1417,47,FALSE),VLOOKUP($A985,Pit!$A$4:$BF$570,56,FALSE))</f>
        <v>0</v>
      </c>
      <c r="V985" s="52">
        <f>IF($C985="B",VLOOKUP($A985,Bat!$A$4:$BA$1417,48,FALSE),VLOOKUP($A985,Pit!$A$4:$BF$570,57,FALSE))</f>
        <v>0</v>
      </c>
      <c r="W985" s="52">
        <f>Table5[[#This Row],[posRnk]]+Table5[[#This Row],[zRnk]]+IF($W$3&lt;&gt;Table5[[#This Row],[Type]],50,0)</f>
        <v>1031</v>
      </c>
      <c r="X985" s="53">
        <f>RANK(Table5[[#This Row],[zScore]],Table5[[#All],[zScore]])</f>
        <v>981</v>
      </c>
      <c r="Y985" s="52" t="str">
        <f>IFERROR(INDEX(DraftResults[[#All],[OVR]],MATCH(Table5[[#This Row],[PID]],DraftResults[[#All],[Player ID]],0)),"")</f>
        <v/>
      </c>
      <c r="Z9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5" s="52" t="str">
        <f>IFERROR(INDEX(DraftResults[[#All],[Pick in Round]],MATCH(Table5[[#This Row],[PID]],DraftResults[[#All],[Player ID]],0)),"")</f>
        <v/>
      </c>
      <c r="AB985" s="52" t="str">
        <f>IFERROR(INDEX(DraftResults[[#All],[Team Name]],MATCH(Table5[[#This Row],[PID]],DraftResults[[#All],[Player ID]],0)),"")</f>
        <v/>
      </c>
      <c r="AC985" s="52" t="str">
        <f>IF(Table5[[#This Row],[Ovr]]="","",IF(Table5[[#This Row],[cmbList]]="","",Table5[[#This Row],[cmbList]]-Table5[[#This Row],[Ovr]]))</f>
        <v/>
      </c>
      <c r="AD985" s="56" t="str">
        <f>IF(ISERROR(VLOOKUP($AB985&amp;"-"&amp;$E985&amp;" "&amp;F985,Bonuses!$B$1:$G$1006,4,FALSE)),"",INT(VLOOKUP($AB985&amp;"-"&amp;$E985&amp;" "&amp;$F985,Bonuses!$B$1:$G$1006,4,FALSE)))</f>
        <v/>
      </c>
      <c r="AE9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6" spans="1:31" s="52" customFormat="1" x14ac:dyDescent="0.25">
      <c r="A986" s="52">
        <v>15658</v>
      </c>
      <c r="B986" s="52">
        <f>COUNTIF(Table5[PID],A986)</f>
        <v>1</v>
      </c>
      <c r="C986" s="52" t="str">
        <f>IF(COUNTIF(Table3[[#All],[PID]],A986)&gt;0,"P","B")</f>
        <v>B</v>
      </c>
      <c r="D986" s="61" t="str">
        <f>IF($C986="B",INDEX(Batters[[#All],[POS]],MATCH(Table5[[#This Row],[PID]],Batters[[#All],[PID]],0)),INDEX(Table3[[#All],[POS]],MATCH(Table5[[#This Row],[PID]],Table3[[#All],[PID]],0)))</f>
        <v>1B</v>
      </c>
      <c r="E986" s="54" t="str">
        <f>IF($C986="B",INDEX(Batters[[#All],[First]],MATCH(Table5[[#This Row],[PID]],Batters[[#All],[PID]],0)),INDEX(Table3[[#All],[First]],MATCH(Table5[[#This Row],[PID]],Table3[[#All],[PID]],0)))</f>
        <v>Kuniaki</v>
      </c>
      <c r="F986" s="52" t="str">
        <f>IF($C986="B",INDEX(Batters[[#All],[Last]],MATCH(A986,Batters[[#All],[PID]],0)),INDEX(Table3[[#All],[Last]],MATCH(A986,Table3[[#All],[PID]],0)))</f>
        <v>Masuda</v>
      </c>
      <c r="G986" s="58">
        <f>IF($C986="B",INDEX(Batters[[#All],[Age]],MATCH(Table5[[#This Row],[PID]],Batters[[#All],[PID]],0)),INDEX(Table3[[#All],[Age]],MATCH(Table5[[#This Row],[PID]],Table3[[#All],[PID]],0)))</f>
        <v>18</v>
      </c>
      <c r="H986" s="54" t="str">
        <f>IF($C986="B",INDEX(Batters[[#All],[B]],MATCH(Table5[[#This Row],[PID]],Batters[[#All],[PID]],0)),INDEX(Table3[[#All],[B]],MATCH(Table5[[#This Row],[PID]],Table3[[#All],[PID]],0)))</f>
        <v>R</v>
      </c>
      <c r="I986" s="54" t="str">
        <f>IF($C986="B",INDEX(Batters[[#All],[T]],MATCH(Table5[[#This Row],[PID]],Batters[[#All],[PID]],0)),INDEX(Table3[[#All],[T]],MATCH(Table5[[#This Row],[PID]],Table3[[#All],[PID]],0)))</f>
        <v>R</v>
      </c>
      <c r="J986" s="54" t="str">
        <f>IF($C986="B",INDEX(Batters[[#All],[WE]],MATCH(Table5[[#This Row],[PID]],Batters[[#All],[PID]],0)),INDEX(Table3[[#All],[WE]],MATCH(Table5[[#This Row],[PID]],Table3[[#All],[PID]],0)))</f>
        <v>Normal</v>
      </c>
      <c r="K986" s="54" t="str">
        <f>IF($C986="B",INDEX(Batters[[#All],[INT]],MATCH(Table5[[#This Row],[PID]],Batters[[#All],[PID]],0)),INDEX(Table3[[#All],[INT]],MATCH(Table5[[#This Row],[PID]],Table3[[#All],[PID]],0)))</f>
        <v>Normal</v>
      </c>
      <c r="L986" s="62">
        <f>IF($C986="B",INDEX(Batters[[#All],[CON P]],MATCH(Table5[[#This Row],[PID]],Batters[[#All],[PID]],0)),INDEX(Table3[[#All],[STU P]],MATCH(Table5[[#This Row],[PID]],Table3[[#All],[PID]],0)))</f>
        <v>3</v>
      </c>
      <c r="M986" s="58">
        <f>IF($C986="B",INDEX(Batters[[#All],[GAP P]],MATCH(Table5[[#This Row],[PID]],Batters[[#All],[PID]],0)),INDEX(Table3[[#All],[MOV P]],MATCH(Table5[[#This Row],[PID]],Table3[[#All],[PID]],0)))</f>
        <v>2</v>
      </c>
      <c r="N986" s="58">
        <f>IF($C986="B",INDEX(Batters[[#All],[POW P]],MATCH(Table5[[#This Row],[PID]],Batters[[#All],[PID]],0)),INDEX(Table3[[#All],[CON P]],MATCH(Table5[[#This Row],[PID]],Table3[[#All],[PID]],0)))</f>
        <v>2</v>
      </c>
      <c r="O986" s="58">
        <f>IF($C986="B",INDEX(Batters[[#All],[EYE P]],MATCH(Table5[[#This Row],[PID]],Batters[[#All],[PID]],0)),INDEX(Table3[[#All],[VELO]],MATCH(Table5[[#This Row],[PID]],Table3[[#All],[PID]],0)))</f>
        <v>1</v>
      </c>
      <c r="P986" s="58">
        <f>IF($C986="B",INDEX(Batters[[#All],[K P]],MATCH(Table5[[#This Row],[PID]],Batters[[#All],[PID]],0)),INDEX(Table3[[#All],[STM]],MATCH(Table5[[#This Row],[PID]],Table3[[#All],[PID]],0)))</f>
        <v>3</v>
      </c>
      <c r="Q986" s="63">
        <f>IF($C986="B",INDEX(Batters[[#All],[Tot]],MATCH(Table5[[#This Row],[PID]],Batters[[#All],[PID]],0)),INDEX(Table3[[#All],[Tot]],MATCH(Table5[[#This Row],[PID]],Table3[[#All],[PID]],0)))</f>
        <v>35.098940324674224</v>
      </c>
      <c r="R986" s="54">
        <f>IF($C986="B",INDEX(Batters[[#All],[zScore]],MATCH(Table5[[#This Row],[PID]],Batters[[#All],[PID]],0)),INDEX(Table3[[#All],[zScore]],MATCH(Table5[[#This Row],[PID]],Table3[[#All],[PID]],0)))</f>
        <v>-0.92358068405559623</v>
      </c>
      <c r="S986" s="60" t="str">
        <f>IF($C986="B",INDEX(Batters[[#All],[DEM]],MATCH(Table5[[#This Row],[PID]],Batters[[#All],[PID]],0)),INDEX(Table3[[#All],[DEM]],MATCH(Table5[[#This Row],[PID]],Table3[[#All],[PID]],0)))</f>
        <v>$65k</v>
      </c>
      <c r="T986" s="64">
        <f>IF($C986="B",VLOOKUP($A986,Bat!$A$4:$AU$1417,46,FALSE),VLOOKUP($A986,Pit!$A$4:$BD$570,55,FALSE))</f>
        <v>0</v>
      </c>
      <c r="U986" s="52">
        <f>IF($C986="B",VLOOKUP($A986,Bat!$A$4:$BA$1417,47,FALSE),VLOOKUP($A986,Pit!$A$4:$BF$570,56,FALSE))</f>
        <v>0</v>
      </c>
      <c r="V986" s="52">
        <f>IF($C986="B",VLOOKUP($A986,Bat!$A$4:$BA$1417,48,FALSE),VLOOKUP($A986,Pit!$A$4:$BF$570,57,FALSE))</f>
        <v>0</v>
      </c>
      <c r="W986" s="52">
        <f>Table5[[#This Row],[posRnk]]+Table5[[#This Row],[zRnk]]+IF($W$3&lt;&gt;Table5[[#This Row],[Type]],50,0)</f>
        <v>1032</v>
      </c>
      <c r="X986" s="53">
        <f>RANK(Table5[[#This Row],[zScore]],Table5[[#All],[zScore]])</f>
        <v>982</v>
      </c>
      <c r="Y986" s="52" t="str">
        <f>IFERROR(INDEX(DraftResults[[#All],[OVR]],MATCH(Table5[[#This Row],[PID]],DraftResults[[#All],[Player ID]],0)),"")</f>
        <v/>
      </c>
      <c r="Z9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6" s="52" t="str">
        <f>IFERROR(INDEX(DraftResults[[#All],[Pick in Round]],MATCH(Table5[[#This Row],[PID]],DraftResults[[#All],[Player ID]],0)),"")</f>
        <v/>
      </c>
      <c r="AB986" s="52" t="str">
        <f>IFERROR(INDEX(DraftResults[[#All],[Team Name]],MATCH(Table5[[#This Row],[PID]],DraftResults[[#All],[Player ID]],0)),"")</f>
        <v/>
      </c>
      <c r="AC986" s="52" t="str">
        <f>IF(Table5[[#This Row],[Ovr]]="","",IF(Table5[[#This Row],[cmbList]]="","",Table5[[#This Row],[cmbList]]-Table5[[#This Row],[Ovr]]))</f>
        <v/>
      </c>
      <c r="AD986" s="56" t="str">
        <f>IF(ISERROR(VLOOKUP($AB986&amp;"-"&amp;$E986&amp;" "&amp;F986,Bonuses!$B$1:$G$1006,4,FALSE)),"",INT(VLOOKUP($AB986&amp;"-"&amp;$E986&amp;" "&amp;$F986,Bonuses!$B$1:$G$1006,4,FALSE)))</f>
        <v/>
      </c>
      <c r="AE9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7" spans="1:31" s="52" customFormat="1" x14ac:dyDescent="0.25">
      <c r="A987" s="52">
        <v>12619</v>
      </c>
      <c r="B987" s="52">
        <f>COUNTIF(Table5[PID],A987)</f>
        <v>1</v>
      </c>
      <c r="C987" s="52" t="str">
        <f>IF(COUNTIF(Table3[[#All],[PID]],A987)&gt;0,"P","B")</f>
        <v>P</v>
      </c>
      <c r="D987" s="61" t="str">
        <f>IF($C987="B",INDEX(Batters[[#All],[POS]],MATCH(Table5[[#This Row],[PID]],Batters[[#All],[PID]],0)),INDEX(Table3[[#All],[POS]],MATCH(Table5[[#This Row],[PID]],Table3[[#All],[PID]],0)))</f>
        <v>RP</v>
      </c>
      <c r="E987" s="54" t="str">
        <f>IF($C987="B",INDEX(Batters[[#All],[First]],MATCH(Table5[[#This Row],[PID]],Batters[[#All],[PID]],0)),INDEX(Table3[[#All],[First]],MATCH(Table5[[#This Row],[PID]],Table3[[#All],[PID]],0)))</f>
        <v>Masahiko</v>
      </c>
      <c r="F987" s="52" t="str">
        <f>IF($C987="B",INDEX(Batters[[#All],[Last]],MATCH(A987,Batters[[#All],[PID]],0)),INDEX(Table3[[#All],[Last]],MATCH(A987,Table3[[#All],[PID]],0)))</f>
        <v>Hori</v>
      </c>
      <c r="G987" s="58">
        <f>IF($C987="B",INDEX(Batters[[#All],[Age]],MATCH(Table5[[#This Row],[PID]],Batters[[#All],[PID]],0)),INDEX(Table3[[#All],[Age]],MATCH(Table5[[#This Row],[PID]],Table3[[#All],[PID]],0)))</f>
        <v>21</v>
      </c>
      <c r="H987" s="54" t="str">
        <f>IF($C987="B",INDEX(Batters[[#All],[B]],MATCH(Table5[[#This Row],[PID]],Batters[[#All],[PID]],0)),INDEX(Table3[[#All],[B]],MATCH(Table5[[#This Row],[PID]],Table3[[#All],[PID]],0)))</f>
        <v>R</v>
      </c>
      <c r="I987" s="54" t="str">
        <f>IF($C987="B",INDEX(Batters[[#All],[T]],MATCH(Table5[[#This Row],[PID]],Batters[[#All],[PID]],0)),INDEX(Table3[[#All],[T]],MATCH(Table5[[#This Row],[PID]],Table3[[#All],[PID]],0)))</f>
        <v>R</v>
      </c>
      <c r="J987" s="54" t="str">
        <f>IF($C987="B",INDEX(Batters[[#All],[WE]],MATCH(Table5[[#This Row],[PID]],Batters[[#All],[PID]],0)),INDEX(Table3[[#All],[WE]],MATCH(Table5[[#This Row],[PID]],Table3[[#All],[PID]],0)))</f>
        <v>Low</v>
      </c>
      <c r="K987" s="54" t="str">
        <f>IF($C987="B",INDEX(Batters[[#All],[INT]],MATCH(Table5[[#This Row],[PID]],Batters[[#All],[PID]],0)),INDEX(Table3[[#All],[INT]],MATCH(Table5[[#This Row],[PID]],Table3[[#All],[PID]],0)))</f>
        <v>Normal</v>
      </c>
      <c r="L987" s="62">
        <f>IF($C987="B",INDEX(Batters[[#All],[CON P]],MATCH(Table5[[#This Row],[PID]],Batters[[#All],[PID]],0)),INDEX(Table3[[#All],[STU P]],MATCH(Table5[[#This Row],[PID]],Table3[[#All],[PID]],0)))</f>
        <v>3</v>
      </c>
      <c r="M987" s="58">
        <f>IF($C987="B",INDEX(Batters[[#All],[GAP P]],MATCH(Table5[[#This Row],[PID]],Batters[[#All],[PID]],0)),INDEX(Table3[[#All],[MOV P]],MATCH(Table5[[#This Row],[PID]],Table3[[#All],[PID]],0)))</f>
        <v>2</v>
      </c>
      <c r="N987" s="58">
        <f>IF($C987="B",INDEX(Batters[[#All],[POW P]],MATCH(Table5[[#This Row],[PID]],Batters[[#All],[PID]],0)),INDEX(Table3[[#All],[CON P]],MATCH(Table5[[#This Row],[PID]],Table3[[#All],[PID]],0)))</f>
        <v>2</v>
      </c>
      <c r="O987" s="58" t="str">
        <f>IF($C987="B",INDEX(Batters[[#All],[EYE P]],MATCH(Table5[[#This Row],[PID]],Batters[[#All],[PID]],0)),INDEX(Table3[[#All],[VELO]],MATCH(Table5[[#This Row],[PID]],Table3[[#All],[PID]],0)))</f>
        <v>88-90 Mph</v>
      </c>
      <c r="P987" s="58">
        <f>IF($C987="B",INDEX(Batters[[#All],[K P]],MATCH(Table5[[#This Row],[PID]],Batters[[#All],[PID]],0)),INDEX(Table3[[#All],[STM]],MATCH(Table5[[#This Row],[PID]],Table3[[#All],[PID]],0)))</f>
        <v>6</v>
      </c>
      <c r="Q987" s="63">
        <f>IF($C987="B",INDEX(Batters[[#All],[Tot]],MATCH(Table5[[#This Row],[PID]],Batters[[#All],[PID]],0)),INDEX(Table3[[#All],[Tot]],MATCH(Table5[[#This Row],[PID]],Table3[[#All],[PID]],0)))</f>
        <v>19.849120729883207</v>
      </c>
      <c r="R987" s="54">
        <f>IF($C987="B",INDEX(Batters[[#All],[zScore]],MATCH(Table5[[#This Row],[PID]],Batters[[#All],[PID]],0)),INDEX(Table3[[#All],[zScore]],MATCH(Table5[[#This Row],[PID]],Table3[[#All],[PID]],0)))</f>
        <v>-0.92428974870034275</v>
      </c>
      <c r="S987" s="60" t="str">
        <f>IF($C987="B",INDEX(Batters[[#All],[DEM]],MATCH(Table5[[#This Row],[PID]],Batters[[#All],[PID]],0)),INDEX(Table3[[#All],[DEM]],MATCH(Table5[[#This Row],[PID]],Table3[[#All],[PID]],0)))</f>
        <v>$20k</v>
      </c>
      <c r="T987" s="64" t="e">
        <f>IF($C987="B",VLOOKUP($A987,Bat!$A$4:$AU$1417,46,FALSE),VLOOKUP($A987,Pit!$A$4:$BD$570,55,FALSE))</f>
        <v>#N/A</v>
      </c>
      <c r="U987" s="52" t="e">
        <f>IF($C987="B",VLOOKUP($A987,Bat!$A$4:$BA$1417,47,FALSE),VLOOKUP($A987,Pit!$A$4:$BF$570,56,FALSE))</f>
        <v>#N/A</v>
      </c>
      <c r="V987" s="52" t="e">
        <f>IF($C987="B",VLOOKUP($A987,Bat!$A$4:$BA$1417,48,FALSE),VLOOKUP($A987,Pit!$A$4:$BF$570,57,FALSE))</f>
        <v>#N/A</v>
      </c>
      <c r="W987" s="52" t="e">
        <f>Table5[[#This Row],[posRnk]]+Table5[[#This Row],[zRnk]]+IF($W$3&lt;&gt;Table5[[#This Row],[Type]],50,0)</f>
        <v>#N/A</v>
      </c>
      <c r="X987" s="53">
        <f>RANK(Table5[[#This Row],[zScore]],Table5[[#All],[zScore]])</f>
        <v>983</v>
      </c>
      <c r="Y987" s="52" t="str">
        <f>IFERROR(INDEX(DraftResults[[#All],[OVR]],MATCH(Table5[[#This Row],[PID]],DraftResults[[#All],[Player ID]],0)),"")</f>
        <v/>
      </c>
      <c r="Z9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7" s="52" t="str">
        <f>IFERROR(INDEX(DraftResults[[#All],[Pick in Round]],MATCH(Table5[[#This Row],[PID]],DraftResults[[#All],[Player ID]],0)),"")</f>
        <v/>
      </c>
      <c r="AB987" s="52" t="str">
        <f>IFERROR(INDEX(DraftResults[[#All],[Team Name]],MATCH(Table5[[#This Row],[PID]],DraftResults[[#All],[Player ID]],0)),"")</f>
        <v/>
      </c>
      <c r="AC987" s="52" t="str">
        <f>IF(Table5[[#This Row],[Ovr]]="","",IF(Table5[[#This Row],[cmbList]]="","",Table5[[#This Row],[cmbList]]-Table5[[#This Row],[Ovr]]))</f>
        <v/>
      </c>
      <c r="AD987" s="56" t="str">
        <f>IF(ISERROR(VLOOKUP($AB987&amp;"-"&amp;$E987&amp;" "&amp;F987,Bonuses!$B$1:$G$1006,4,FALSE)),"",INT(VLOOKUP($AB987&amp;"-"&amp;$E987&amp;" "&amp;$F987,Bonuses!$B$1:$G$1006,4,FALSE)))</f>
        <v/>
      </c>
      <c r="AE9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8" spans="1:31" s="52" customFormat="1" x14ac:dyDescent="0.25">
      <c r="A988" s="52">
        <v>14672</v>
      </c>
      <c r="B988" s="52">
        <f>COUNTIF(Table5[PID],A988)</f>
        <v>1</v>
      </c>
      <c r="C988" s="52" t="str">
        <f>IF(COUNTIF(Table3[[#All],[PID]],A988)&gt;0,"P","B")</f>
        <v>P</v>
      </c>
      <c r="D988" s="61" t="str">
        <f>IF($C988="B",INDEX(Batters[[#All],[POS]],MATCH(Table5[[#This Row],[PID]],Batters[[#All],[PID]],0)),INDEX(Table3[[#All],[POS]],MATCH(Table5[[#This Row],[PID]],Table3[[#All],[PID]],0)))</f>
        <v>RP</v>
      </c>
      <c r="E988" s="54" t="str">
        <f>IF($C988="B",INDEX(Batters[[#All],[First]],MATCH(Table5[[#This Row],[PID]],Batters[[#All],[PID]],0)),INDEX(Table3[[#All],[First]],MATCH(Table5[[#This Row],[PID]],Table3[[#All],[PID]],0)))</f>
        <v>Enrique</v>
      </c>
      <c r="F988" s="52" t="str">
        <f>IF($C988="B",INDEX(Batters[[#All],[Last]],MATCH(A988,Batters[[#All],[PID]],0)),INDEX(Table3[[#All],[Last]],MATCH(A988,Table3[[#All],[PID]],0)))</f>
        <v>Mata</v>
      </c>
      <c r="G988" s="58">
        <f>IF($C988="B",INDEX(Batters[[#All],[Age]],MATCH(Table5[[#This Row],[PID]],Batters[[#All],[PID]],0)),INDEX(Table3[[#All],[Age]],MATCH(Table5[[#This Row],[PID]],Table3[[#All],[PID]],0)))</f>
        <v>18</v>
      </c>
      <c r="H988" s="54" t="str">
        <f>IF($C988="B",INDEX(Batters[[#All],[B]],MATCH(Table5[[#This Row],[PID]],Batters[[#All],[PID]],0)),INDEX(Table3[[#All],[B]],MATCH(Table5[[#This Row],[PID]],Table3[[#All],[PID]],0)))</f>
        <v>R</v>
      </c>
      <c r="I988" s="54" t="str">
        <f>IF($C988="B",INDEX(Batters[[#All],[T]],MATCH(Table5[[#This Row],[PID]],Batters[[#All],[PID]],0)),INDEX(Table3[[#All],[T]],MATCH(Table5[[#This Row],[PID]],Table3[[#All],[PID]],0)))</f>
        <v>R</v>
      </c>
      <c r="J988" s="54" t="str">
        <f>IF($C988="B",INDEX(Batters[[#All],[WE]],MATCH(Table5[[#This Row],[PID]],Batters[[#All],[PID]],0)),INDEX(Table3[[#All],[WE]],MATCH(Table5[[#This Row],[PID]],Table3[[#All],[PID]],0)))</f>
        <v>Low</v>
      </c>
      <c r="K988" s="54" t="str">
        <f>IF($C988="B",INDEX(Batters[[#All],[INT]],MATCH(Table5[[#This Row],[PID]],Batters[[#All],[PID]],0)),INDEX(Table3[[#All],[INT]],MATCH(Table5[[#This Row],[PID]],Table3[[#All],[PID]],0)))</f>
        <v>Normal</v>
      </c>
      <c r="L988" s="62">
        <f>IF($C988="B",INDEX(Batters[[#All],[CON P]],MATCH(Table5[[#This Row],[PID]],Batters[[#All],[PID]],0)),INDEX(Table3[[#All],[STU P]],MATCH(Table5[[#This Row],[PID]],Table3[[#All],[PID]],0)))</f>
        <v>2</v>
      </c>
      <c r="M988" s="58">
        <f>IF($C988="B",INDEX(Batters[[#All],[GAP P]],MATCH(Table5[[#This Row],[PID]],Batters[[#All],[PID]],0)),INDEX(Table3[[#All],[MOV P]],MATCH(Table5[[#This Row],[PID]],Table3[[#All],[PID]],0)))</f>
        <v>1</v>
      </c>
      <c r="N988" s="58">
        <f>IF($C988="B",INDEX(Batters[[#All],[POW P]],MATCH(Table5[[#This Row],[PID]],Batters[[#All],[PID]],0)),INDEX(Table3[[#All],[CON P]],MATCH(Table5[[#This Row],[PID]],Table3[[#All],[PID]],0)))</f>
        <v>2</v>
      </c>
      <c r="O988" s="58" t="str">
        <f>IF($C988="B",INDEX(Batters[[#All],[EYE P]],MATCH(Table5[[#This Row],[PID]],Batters[[#All],[PID]],0)),INDEX(Table3[[#All],[VELO]],MATCH(Table5[[#This Row],[PID]],Table3[[#All],[PID]],0)))</f>
        <v>84-86 Mph</v>
      </c>
      <c r="P988" s="58">
        <f>IF($C988="B",INDEX(Batters[[#All],[K P]],MATCH(Table5[[#This Row],[PID]],Batters[[#All],[PID]],0)),INDEX(Table3[[#All],[STM]],MATCH(Table5[[#This Row],[PID]],Table3[[#All],[PID]],0)))</f>
        <v>2</v>
      </c>
      <c r="Q988" s="63">
        <f>IF($C988="B",INDEX(Batters[[#All],[Tot]],MATCH(Table5[[#This Row],[PID]],Batters[[#All],[PID]],0)),INDEX(Table3[[#All],[Tot]],MATCH(Table5[[#This Row],[PID]],Table3[[#All],[PID]],0)))</f>
        <v>19.843529292297696</v>
      </c>
      <c r="R988" s="54">
        <f>IF($C988="B",INDEX(Batters[[#All],[zScore]],MATCH(Table5[[#This Row],[PID]],Batters[[#All],[PID]],0)),INDEX(Table3[[#All],[zScore]],MATCH(Table5[[#This Row],[PID]],Table3[[#All],[PID]],0)))</f>
        <v>-0.92477979683745182</v>
      </c>
      <c r="S988" s="60" t="str">
        <f>IF($C988="B",INDEX(Batters[[#All],[DEM]],MATCH(Table5[[#This Row],[PID]],Batters[[#All],[PID]],0)),INDEX(Table3[[#All],[DEM]],MATCH(Table5[[#This Row],[PID]],Table3[[#All],[PID]],0)))</f>
        <v>$65k</v>
      </c>
      <c r="T988" s="64" t="e">
        <f>IF($C988="B",VLOOKUP($A988,Bat!$A$4:$AU$1417,46,FALSE),VLOOKUP($A988,Pit!$A$4:$BD$570,55,FALSE))</f>
        <v>#N/A</v>
      </c>
      <c r="U988" s="52" t="e">
        <f>IF($C988="B",VLOOKUP($A988,Bat!$A$4:$BA$1417,47,FALSE),VLOOKUP($A988,Pit!$A$4:$BF$570,56,FALSE))</f>
        <v>#N/A</v>
      </c>
      <c r="V988" s="52" t="e">
        <f>IF($C988="B",VLOOKUP($A988,Bat!$A$4:$BA$1417,48,FALSE),VLOOKUP($A988,Pit!$A$4:$BF$570,57,FALSE))</f>
        <v>#N/A</v>
      </c>
      <c r="W988" s="52" t="e">
        <f>Table5[[#This Row],[posRnk]]+Table5[[#This Row],[zRnk]]+IF($W$3&lt;&gt;Table5[[#This Row],[Type]],50,0)</f>
        <v>#N/A</v>
      </c>
      <c r="X988" s="53">
        <f>RANK(Table5[[#This Row],[zScore]],Table5[[#All],[zScore]])</f>
        <v>984</v>
      </c>
      <c r="Y988" s="52" t="str">
        <f>IFERROR(INDEX(DraftResults[[#All],[OVR]],MATCH(Table5[[#This Row],[PID]],DraftResults[[#All],[Player ID]],0)),"")</f>
        <v/>
      </c>
      <c r="Z9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8" s="52" t="str">
        <f>IFERROR(INDEX(DraftResults[[#All],[Pick in Round]],MATCH(Table5[[#This Row],[PID]],DraftResults[[#All],[Player ID]],0)),"")</f>
        <v/>
      </c>
      <c r="AB988" s="52" t="str">
        <f>IFERROR(INDEX(DraftResults[[#All],[Team Name]],MATCH(Table5[[#This Row],[PID]],DraftResults[[#All],[Player ID]],0)),"")</f>
        <v/>
      </c>
      <c r="AC988" s="52" t="str">
        <f>IF(Table5[[#This Row],[Ovr]]="","",IF(Table5[[#This Row],[cmbList]]="","",Table5[[#This Row],[cmbList]]-Table5[[#This Row],[Ovr]]))</f>
        <v/>
      </c>
      <c r="AD988" s="56" t="str">
        <f>IF(ISERROR(VLOOKUP($AB988&amp;"-"&amp;$E988&amp;" "&amp;F988,Bonuses!$B$1:$G$1006,4,FALSE)),"",INT(VLOOKUP($AB988&amp;"-"&amp;$E988&amp;" "&amp;$F988,Bonuses!$B$1:$G$1006,4,FALSE)))</f>
        <v/>
      </c>
      <c r="AE9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9" spans="1:31" s="52" customFormat="1" x14ac:dyDescent="0.25">
      <c r="A989" s="52">
        <v>5513</v>
      </c>
      <c r="B989" s="52">
        <f>COUNTIF(Table5[PID],A989)</f>
        <v>1</v>
      </c>
      <c r="C989" s="52" t="str">
        <f>IF(COUNTIF(Table3[[#All],[PID]],A989)&gt;0,"P","B")</f>
        <v>B</v>
      </c>
      <c r="D989" s="61" t="str">
        <f>IF($C989="B",INDEX(Batters[[#All],[POS]],MATCH(Table5[[#This Row],[PID]],Batters[[#All],[PID]],0)),INDEX(Table3[[#All],[POS]],MATCH(Table5[[#This Row],[PID]],Table3[[#All],[PID]],0)))</f>
        <v>2B</v>
      </c>
      <c r="E989" s="54" t="str">
        <f>IF($C989="B",INDEX(Batters[[#All],[First]],MATCH(Table5[[#This Row],[PID]],Batters[[#All],[PID]],0)),INDEX(Table3[[#All],[First]],MATCH(Table5[[#This Row],[PID]],Table3[[#All],[PID]],0)))</f>
        <v>Felipe</v>
      </c>
      <c r="F989" s="52" t="str">
        <f>IF($C989="B",INDEX(Batters[[#All],[Last]],MATCH(A989,Batters[[#All],[PID]],0)),INDEX(Table3[[#All],[Last]],MATCH(A989,Table3[[#All],[PID]],0)))</f>
        <v>Castillo</v>
      </c>
      <c r="G989" s="58">
        <f>IF($C989="B",INDEX(Batters[[#All],[Age]],MATCH(Table5[[#This Row],[PID]],Batters[[#All],[PID]],0)),INDEX(Table3[[#All],[Age]],MATCH(Table5[[#This Row],[PID]],Table3[[#All],[PID]],0)))</f>
        <v>18</v>
      </c>
      <c r="H989" s="54" t="str">
        <f>IF($C989="B",INDEX(Batters[[#All],[B]],MATCH(Table5[[#This Row],[PID]],Batters[[#All],[PID]],0)),INDEX(Table3[[#All],[B]],MATCH(Table5[[#This Row],[PID]],Table3[[#All],[PID]],0)))</f>
        <v>R</v>
      </c>
      <c r="I989" s="54" t="str">
        <f>IF($C989="B",INDEX(Batters[[#All],[T]],MATCH(Table5[[#This Row],[PID]],Batters[[#All],[PID]],0)),INDEX(Table3[[#All],[T]],MATCH(Table5[[#This Row],[PID]],Table3[[#All],[PID]],0)))</f>
        <v>R</v>
      </c>
      <c r="J989" s="54" t="str">
        <f>IF($C989="B",INDEX(Batters[[#All],[WE]],MATCH(Table5[[#This Row],[PID]],Batters[[#All],[PID]],0)),INDEX(Table3[[#All],[WE]],MATCH(Table5[[#This Row],[PID]],Table3[[#All],[PID]],0)))</f>
        <v>Low</v>
      </c>
      <c r="K989" s="54" t="str">
        <f>IF($C989="B",INDEX(Batters[[#All],[INT]],MATCH(Table5[[#This Row],[PID]],Batters[[#All],[PID]],0)),INDEX(Table3[[#All],[INT]],MATCH(Table5[[#This Row],[PID]],Table3[[#All],[PID]],0)))</f>
        <v>Normal</v>
      </c>
      <c r="L989" s="62">
        <f>IF($C989="B",INDEX(Batters[[#All],[CON P]],MATCH(Table5[[#This Row],[PID]],Batters[[#All],[PID]],0)),INDEX(Table3[[#All],[STU P]],MATCH(Table5[[#This Row],[PID]],Table3[[#All],[PID]],0)))</f>
        <v>2</v>
      </c>
      <c r="M989" s="58">
        <f>IF($C989="B",INDEX(Batters[[#All],[GAP P]],MATCH(Table5[[#This Row],[PID]],Batters[[#All],[PID]],0)),INDEX(Table3[[#All],[MOV P]],MATCH(Table5[[#This Row],[PID]],Table3[[#All],[PID]],0)))</f>
        <v>2</v>
      </c>
      <c r="N989" s="58">
        <f>IF($C989="B",INDEX(Batters[[#All],[POW P]],MATCH(Table5[[#This Row],[PID]],Batters[[#All],[PID]],0)),INDEX(Table3[[#All],[CON P]],MATCH(Table5[[#This Row],[PID]],Table3[[#All],[PID]],0)))</f>
        <v>2</v>
      </c>
      <c r="O989" s="58">
        <f>IF($C989="B",INDEX(Batters[[#All],[EYE P]],MATCH(Table5[[#This Row],[PID]],Batters[[#All],[PID]],0)),INDEX(Table3[[#All],[VELO]],MATCH(Table5[[#This Row],[PID]],Table3[[#All],[PID]],0)))</f>
        <v>5</v>
      </c>
      <c r="P989" s="58">
        <f>IF($C989="B",INDEX(Batters[[#All],[K P]],MATCH(Table5[[#This Row],[PID]],Batters[[#All],[PID]],0)),INDEX(Table3[[#All],[STM]],MATCH(Table5[[#This Row],[PID]],Table3[[#All],[PID]],0)))</f>
        <v>3</v>
      </c>
      <c r="Q989" s="63">
        <f>IF($C989="B",INDEX(Batters[[#All],[Tot]],MATCH(Table5[[#This Row],[PID]],Batters[[#All],[PID]],0)),INDEX(Table3[[#All],[Tot]],MATCH(Table5[[#This Row],[PID]],Table3[[#All],[PID]],0)))</f>
        <v>35.084328690702016</v>
      </c>
      <c r="R989" s="54">
        <f>IF($C989="B",INDEX(Batters[[#All],[zScore]],MATCH(Table5[[#This Row],[PID]],Batters[[#All],[PID]],0)),INDEX(Table3[[#All],[zScore]],MATCH(Table5[[#This Row],[PID]],Table3[[#All],[PID]],0)))</f>
        <v>-0.92615150393965406</v>
      </c>
      <c r="S989" s="60" t="str">
        <f>IF($C989="B",INDEX(Batters[[#All],[DEM]],MATCH(Table5[[#This Row],[PID]],Batters[[#All],[PID]],0)),INDEX(Table3[[#All],[DEM]],MATCH(Table5[[#This Row],[PID]],Table3[[#All],[PID]],0)))</f>
        <v>$90k</v>
      </c>
      <c r="T989" s="64">
        <f>IF($C989="B",VLOOKUP($A989,Bat!$A$4:$AU$1417,46,FALSE),VLOOKUP($A989,Pit!$A$4:$BD$570,55,FALSE))</f>
        <v>0</v>
      </c>
      <c r="U989" s="52">
        <f>IF($C989="B",VLOOKUP($A989,Bat!$A$4:$BA$1417,47,FALSE),VLOOKUP($A989,Pit!$A$4:$BF$570,56,FALSE))</f>
        <v>0</v>
      </c>
      <c r="V989" s="52">
        <f>IF($C989="B",VLOOKUP($A989,Bat!$A$4:$BA$1417,48,FALSE),VLOOKUP($A989,Pit!$A$4:$BF$570,57,FALSE))</f>
        <v>0</v>
      </c>
      <c r="W989" s="52">
        <f>Table5[[#This Row],[posRnk]]+Table5[[#This Row],[zRnk]]+IF($W$3&lt;&gt;Table5[[#This Row],[Type]],50,0)</f>
        <v>1035</v>
      </c>
      <c r="X989" s="53">
        <f>RANK(Table5[[#This Row],[zScore]],Table5[[#All],[zScore]])</f>
        <v>985</v>
      </c>
      <c r="Y989" s="52" t="str">
        <f>IFERROR(INDEX(DraftResults[[#All],[OVR]],MATCH(Table5[[#This Row],[PID]],DraftResults[[#All],[Player ID]],0)),"")</f>
        <v/>
      </c>
      <c r="Z9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9" s="52" t="str">
        <f>IFERROR(INDEX(DraftResults[[#All],[Pick in Round]],MATCH(Table5[[#This Row],[PID]],DraftResults[[#All],[Player ID]],0)),"")</f>
        <v/>
      </c>
      <c r="AB989" s="52" t="str">
        <f>IFERROR(INDEX(DraftResults[[#All],[Team Name]],MATCH(Table5[[#This Row],[PID]],DraftResults[[#All],[Player ID]],0)),"")</f>
        <v/>
      </c>
      <c r="AC989" s="52" t="str">
        <f>IF(Table5[[#This Row],[Ovr]]="","",IF(Table5[[#This Row],[cmbList]]="","",Table5[[#This Row],[cmbList]]-Table5[[#This Row],[Ovr]]))</f>
        <v/>
      </c>
      <c r="AD989" s="56" t="str">
        <f>IF(ISERROR(VLOOKUP($AB989&amp;"-"&amp;$E989&amp;" "&amp;F989,Bonuses!$B$1:$G$1006,4,FALSE)),"",INT(VLOOKUP($AB989&amp;"-"&amp;$E989&amp;" "&amp;$F989,Bonuses!$B$1:$G$1006,4,FALSE)))</f>
        <v/>
      </c>
      <c r="AE9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0" spans="1:31" s="52" customFormat="1" x14ac:dyDescent="0.25">
      <c r="A990" s="52">
        <v>15406</v>
      </c>
      <c r="B990" s="52">
        <f>COUNTIF(Table5[PID],A990)</f>
        <v>1</v>
      </c>
      <c r="C990" s="52" t="str">
        <f>IF(COUNTIF(Table3[[#All],[PID]],A990)&gt;0,"P","B")</f>
        <v>P</v>
      </c>
      <c r="D990" s="61" t="str">
        <f>IF($C990="B",INDEX(Batters[[#All],[POS]],MATCH(Table5[[#This Row],[PID]],Batters[[#All],[PID]],0)),INDEX(Table3[[#All],[POS]],MATCH(Table5[[#This Row],[PID]],Table3[[#All],[PID]],0)))</f>
        <v>RP</v>
      </c>
      <c r="E990" s="54" t="str">
        <f>IF($C990="B",INDEX(Batters[[#All],[First]],MATCH(Table5[[#This Row],[PID]],Batters[[#All],[PID]],0)),INDEX(Table3[[#All],[First]],MATCH(Table5[[#This Row],[PID]],Table3[[#All],[PID]],0)))</f>
        <v>Donny</v>
      </c>
      <c r="F990" s="52" t="str">
        <f>IF($C990="B",INDEX(Batters[[#All],[Last]],MATCH(A990,Batters[[#All],[PID]],0)),INDEX(Table3[[#All],[Last]],MATCH(A990,Table3[[#All],[PID]],0)))</f>
        <v>Schipper</v>
      </c>
      <c r="G990" s="58">
        <f>IF($C990="B",INDEX(Batters[[#All],[Age]],MATCH(Table5[[#This Row],[PID]],Batters[[#All],[PID]],0)),INDEX(Table3[[#All],[Age]],MATCH(Table5[[#This Row],[PID]],Table3[[#All],[PID]],0)))</f>
        <v>22</v>
      </c>
      <c r="H990" s="54" t="str">
        <f>IF($C990="B",INDEX(Batters[[#All],[B]],MATCH(Table5[[#This Row],[PID]],Batters[[#All],[PID]],0)),INDEX(Table3[[#All],[B]],MATCH(Table5[[#This Row],[PID]],Table3[[#All],[PID]],0)))</f>
        <v>L</v>
      </c>
      <c r="I990" s="54" t="str">
        <f>IF($C990="B",INDEX(Batters[[#All],[T]],MATCH(Table5[[#This Row],[PID]],Batters[[#All],[PID]],0)),INDEX(Table3[[#All],[T]],MATCH(Table5[[#This Row],[PID]],Table3[[#All],[PID]],0)))</f>
        <v>L</v>
      </c>
      <c r="J990" s="54" t="str">
        <f>IF($C990="B",INDEX(Batters[[#All],[WE]],MATCH(Table5[[#This Row],[PID]],Batters[[#All],[PID]],0)),INDEX(Table3[[#All],[WE]],MATCH(Table5[[#This Row],[PID]],Table3[[#All],[PID]],0)))</f>
        <v>Normal</v>
      </c>
      <c r="K990" s="54" t="str">
        <f>IF($C990="B",INDEX(Batters[[#All],[INT]],MATCH(Table5[[#This Row],[PID]],Batters[[#All],[PID]],0)),INDEX(Table3[[#All],[INT]],MATCH(Table5[[#This Row],[PID]],Table3[[#All],[PID]],0)))</f>
        <v>Normal</v>
      </c>
      <c r="L990" s="62">
        <f>IF($C990="B",INDEX(Batters[[#All],[CON P]],MATCH(Table5[[#This Row],[PID]],Batters[[#All],[PID]],0)),INDEX(Table3[[#All],[STU P]],MATCH(Table5[[#This Row],[PID]],Table3[[#All],[PID]],0)))</f>
        <v>4</v>
      </c>
      <c r="M990" s="58">
        <f>IF($C990="B",INDEX(Batters[[#All],[GAP P]],MATCH(Table5[[#This Row],[PID]],Batters[[#All],[PID]],0)),INDEX(Table3[[#All],[MOV P]],MATCH(Table5[[#This Row],[PID]],Table3[[#All],[PID]],0)))</f>
        <v>2</v>
      </c>
      <c r="N990" s="58">
        <f>IF($C990="B",INDEX(Batters[[#All],[POW P]],MATCH(Table5[[#This Row],[PID]],Batters[[#All],[PID]],0)),INDEX(Table3[[#All],[CON P]],MATCH(Table5[[#This Row],[PID]],Table3[[#All],[PID]],0)))</f>
        <v>2</v>
      </c>
      <c r="O990" s="58" t="str">
        <f>IF($C990="B",INDEX(Batters[[#All],[EYE P]],MATCH(Table5[[#This Row],[PID]],Batters[[#All],[PID]],0)),INDEX(Table3[[#All],[VELO]],MATCH(Table5[[#This Row],[PID]],Table3[[#All],[PID]],0)))</f>
        <v>91-93 Mph</v>
      </c>
      <c r="P990" s="58">
        <f>IF($C990="B",INDEX(Batters[[#All],[K P]],MATCH(Table5[[#This Row],[PID]],Batters[[#All],[PID]],0)),INDEX(Table3[[#All],[STM]],MATCH(Table5[[#This Row],[PID]],Table3[[#All],[PID]],0)))</f>
        <v>4</v>
      </c>
      <c r="Q990" s="63">
        <f>IF($C990="B",INDEX(Batters[[#All],[Tot]],MATCH(Table5[[#This Row],[PID]],Batters[[#All],[PID]],0)),INDEX(Table3[[#All],[Tot]],MATCH(Table5[[#This Row],[PID]],Table3[[#All],[PID]],0)))</f>
        <v>22.619772238613674</v>
      </c>
      <c r="R990" s="54">
        <f>IF($C990="B",INDEX(Batters[[#All],[zScore]],MATCH(Table5[[#This Row],[PID]],Batters[[#All],[PID]],0)),INDEX(Table3[[#All],[zScore]],MATCH(Table5[[#This Row],[PID]],Table3[[#All],[PID]],0)))</f>
        <v>-0.92644046793764412</v>
      </c>
      <c r="S990" s="60" t="str">
        <f>IF($C990="B",INDEX(Batters[[#All],[DEM]],MATCH(Table5[[#This Row],[PID]],Batters[[#All],[PID]],0)),INDEX(Table3[[#All],[DEM]],MATCH(Table5[[#This Row],[PID]],Table3[[#All],[PID]],0)))</f>
        <v>-</v>
      </c>
      <c r="T990" s="64">
        <f>IF($C990="B",VLOOKUP($A990,Bat!$A$4:$AU$1417,46,FALSE),VLOOKUP($A990,Pit!$A$4:$BD$570,55,FALSE))</f>
        <v>0</v>
      </c>
      <c r="U990" s="52">
        <f>IF($C990="B",VLOOKUP($A990,Bat!$A$4:$BA$1417,47,FALSE),VLOOKUP($A990,Pit!$A$4:$BF$570,56,FALSE))</f>
        <v>0</v>
      </c>
      <c r="V990" s="52">
        <f>IF($C990="B",VLOOKUP($A990,Bat!$A$4:$BA$1417,48,FALSE),VLOOKUP($A990,Pit!$A$4:$BF$570,57,FALSE))</f>
        <v>0</v>
      </c>
      <c r="W990" s="52">
        <f>Table5[[#This Row],[posRnk]]+Table5[[#This Row],[zRnk]]+IF($W$3&lt;&gt;Table5[[#This Row],[Type]],50,0)</f>
        <v>1036</v>
      </c>
      <c r="X990" s="53">
        <f>RANK(Table5[[#This Row],[zScore]],Table5[[#All],[zScore]])</f>
        <v>986</v>
      </c>
      <c r="Y990" s="52" t="str">
        <f>IFERROR(INDEX(DraftResults[[#All],[OVR]],MATCH(Table5[[#This Row],[PID]],DraftResults[[#All],[Player ID]],0)),"")</f>
        <v/>
      </c>
      <c r="Z9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0" s="52" t="str">
        <f>IFERROR(INDEX(DraftResults[[#All],[Pick in Round]],MATCH(Table5[[#This Row],[PID]],DraftResults[[#All],[Player ID]],0)),"")</f>
        <v/>
      </c>
      <c r="AB990" s="52" t="str">
        <f>IFERROR(INDEX(DraftResults[[#All],[Team Name]],MATCH(Table5[[#This Row],[PID]],DraftResults[[#All],[Player ID]],0)),"")</f>
        <v/>
      </c>
      <c r="AC990" s="52" t="str">
        <f>IF(Table5[[#This Row],[Ovr]]="","",IF(Table5[[#This Row],[cmbList]]="","",Table5[[#This Row],[cmbList]]-Table5[[#This Row],[Ovr]]))</f>
        <v/>
      </c>
      <c r="AD990" s="56" t="str">
        <f>IF(ISERROR(VLOOKUP($AB990&amp;"-"&amp;$E990&amp;" "&amp;F990,Bonuses!$B$1:$G$1006,4,FALSE)),"",INT(VLOOKUP($AB990&amp;"-"&amp;$E990&amp;" "&amp;$F990,Bonuses!$B$1:$G$1006,4,FALSE)))</f>
        <v/>
      </c>
      <c r="AE9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1" spans="1:31" s="52" customFormat="1" x14ac:dyDescent="0.25">
      <c r="A991" s="52">
        <v>4781</v>
      </c>
      <c r="B991" s="52">
        <f>COUNTIF(Table5[PID],A991)</f>
        <v>1</v>
      </c>
      <c r="C991" s="52" t="str">
        <f>IF(COUNTIF(Table3[[#All],[PID]],A991)&gt;0,"P","B")</f>
        <v>P</v>
      </c>
      <c r="D991" s="61" t="str">
        <f>IF($C991="B",INDEX(Batters[[#All],[POS]],MATCH(Table5[[#This Row],[PID]],Batters[[#All],[PID]],0)),INDEX(Table3[[#All],[POS]],MATCH(Table5[[#This Row],[PID]],Table3[[#All],[PID]],0)))</f>
        <v>RP</v>
      </c>
      <c r="E991" s="54" t="str">
        <f>IF($C991="B",INDEX(Batters[[#All],[First]],MATCH(Table5[[#This Row],[PID]],Batters[[#All],[PID]],0)),INDEX(Table3[[#All],[First]],MATCH(Table5[[#This Row],[PID]],Table3[[#All],[PID]],0)))</f>
        <v>Julián</v>
      </c>
      <c r="F991" s="52" t="str">
        <f>IF($C991="B",INDEX(Batters[[#All],[Last]],MATCH(A991,Batters[[#All],[PID]],0)),INDEX(Table3[[#All],[Last]],MATCH(A991,Table3[[#All],[PID]],0)))</f>
        <v>Pérez</v>
      </c>
      <c r="G991" s="58">
        <f>IF($C991="B",INDEX(Batters[[#All],[Age]],MATCH(Table5[[#This Row],[PID]],Batters[[#All],[PID]],0)),INDEX(Table3[[#All],[Age]],MATCH(Table5[[#This Row],[PID]],Table3[[#All],[PID]],0)))</f>
        <v>21</v>
      </c>
      <c r="H991" s="54" t="str">
        <f>IF($C991="B",INDEX(Batters[[#All],[B]],MATCH(Table5[[#This Row],[PID]],Batters[[#All],[PID]],0)),INDEX(Table3[[#All],[B]],MATCH(Table5[[#This Row],[PID]],Table3[[#All],[PID]],0)))</f>
        <v>R</v>
      </c>
      <c r="I991" s="54" t="str">
        <f>IF($C991="B",INDEX(Batters[[#All],[T]],MATCH(Table5[[#This Row],[PID]],Batters[[#All],[PID]],0)),INDEX(Table3[[#All],[T]],MATCH(Table5[[#This Row],[PID]],Table3[[#All],[PID]],0)))</f>
        <v>R</v>
      </c>
      <c r="J991" s="54" t="str">
        <f>IF($C991="B",INDEX(Batters[[#All],[WE]],MATCH(Table5[[#This Row],[PID]],Batters[[#All],[PID]],0)),INDEX(Table3[[#All],[WE]],MATCH(Table5[[#This Row],[PID]],Table3[[#All],[PID]],0)))</f>
        <v>Low</v>
      </c>
      <c r="K991" s="54" t="str">
        <f>IF($C991="B",INDEX(Batters[[#All],[INT]],MATCH(Table5[[#This Row],[PID]],Batters[[#All],[PID]],0)),INDEX(Table3[[#All],[INT]],MATCH(Table5[[#This Row],[PID]],Table3[[#All],[PID]],0)))</f>
        <v>Normal</v>
      </c>
      <c r="L991" s="62">
        <f>IF($C991="B",INDEX(Batters[[#All],[CON P]],MATCH(Table5[[#This Row],[PID]],Batters[[#All],[PID]],0)),INDEX(Table3[[#All],[STU P]],MATCH(Table5[[#This Row],[PID]],Table3[[#All],[PID]],0)))</f>
        <v>3</v>
      </c>
      <c r="M991" s="58">
        <f>IF($C991="B",INDEX(Batters[[#All],[GAP P]],MATCH(Table5[[#This Row],[PID]],Batters[[#All],[PID]],0)),INDEX(Table3[[#All],[MOV P]],MATCH(Table5[[#This Row],[PID]],Table3[[#All],[PID]],0)))</f>
        <v>2</v>
      </c>
      <c r="N991" s="58">
        <f>IF($C991="B",INDEX(Batters[[#All],[POW P]],MATCH(Table5[[#This Row],[PID]],Batters[[#All],[PID]],0)),INDEX(Table3[[#All],[CON P]],MATCH(Table5[[#This Row],[PID]],Table3[[#All],[PID]],0)))</f>
        <v>2</v>
      </c>
      <c r="O991" s="58" t="str">
        <f>IF($C991="B",INDEX(Batters[[#All],[EYE P]],MATCH(Table5[[#This Row],[PID]],Batters[[#All],[PID]],0)),INDEX(Table3[[#All],[VELO]],MATCH(Table5[[#This Row],[PID]],Table3[[#All],[PID]],0)))</f>
        <v>85-87 Mph</v>
      </c>
      <c r="P991" s="58">
        <f>IF($C991="B",INDEX(Batters[[#All],[K P]],MATCH(Table5[[#This Row],[PID]],Batters[[#All],[PID]],0)),INDEX(Table3[[#All],[STM]],MATCH(Table5[[#This Row],[PID]],Table3[[#All],[PID]],0)))</f>
        <v>3</v>
      </c>
      <c r="Q991" s="63">
        <f>IF($C991="B",INDEX(Batters[[#All],[Tot]],MATCH(Table5[[#This Row],[PID]],Batters[[#All],[PID]],0)),INDEX(Table3[[#All],[Tot]],MATCH(Table5[[#This Row],[PID]],Table3[[#All],[PID]],0)))</f>
        <v>19.810582788971832</v>
      </c>
      <c r="R991" s="54">
        <f>IF($C991="B",INDEX(Batters[[#All],[zScore]],MATCH(Table5[[#This Row],[PID]],Batters[[#All],[PID]],0)),INDEX(Table3[[#All],[zScore]],MATCH(Table5[[#This Row],[PID]],Table3[[#All],[PID]],0)))</f>
        <v>-0.92766731410509229</v>
      </c>
      <c r="S991" s="60" t="str">
        <f>IF($C991="B",INDEX(Batters[[#All],[DEM]],MATCH(Table5[[#This Row],[PID]],Batters[[#All],[PID]],0)),INDEX(Table3[[#All],[DEM]],MATCH(Table5[[#This Row],[PID]],Table3[[#All],[PID]],0)))</f>
        <v>$20k</v>
      </c>
      <c r="T991" s="64" t="e">
        <f>IF($C991="B",VLOOKUP($A991,Bat!$A$4:$AU$1417,46,FALSE),VLOOKUP($A991,Pit!$A$4:$BD$570,55,FALSE))</f>
        <v>#N/A</v>
      </c>
      <c r="U991" s="52" t="e">
        <f>IF($C991="B",VLOOKUP($A991,Bat!$A$4:$BA$1417,47,FALSE),VLOOKUP($A991,Pit!$A$4:$BF$570,56,FALSE))</f>
        <v>#N/A</v>
      </c>
      <c r="V991" s="52" t="e">
        <f>IF($C991="B",VLOOKUP($A991,Bat!$A$4:$BA$1417,48,FALSE),VLOOKUP($A991,Pit!$A$4:$BF$570,57,FALSE))</f>
        <v>#N/A</v>
      </c>
      <c r="W991" s="52" t="e">
        <f>Table5[[#This Row],[posRnk]]+Table5[[#This Row],[zRnk]]+IF($W$3&lt;&gt;Table5[[#This Row],[Type]],50,0)</f>
        <v>#N/A</v>
      </c>
      <c r="X991" s="53">
        <f>RANK(Table5[[#This Row],[zScore]],Table5[[#All],[zScore]])</f>
        <v>987</v>
      </c>
      <c r="Y991" s="52" t="str">
        <f>IFERROR(INDEX(DraftResults[[#All],[OVR]],MATCH(Table5[[#This Row],[PID]],DraftResults[[#All],[Player ID]],0)),"")</f>
        <v/>
      </c>
      <c r="Z9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1" s="52" t="str">
        <f>IFERROR(INDEX(DraftResults[[#All],[Pick in Round]],MATCH(Table5[[#This Row],[PID]],DraftResults[[#All],[Player ID]],0)),"")</f>
        <v/>
      </c>
      <c r="AB991" s="52" t="str">
        <f>IFERROR(INDEX(DraftResults[[#All],[Team Name]],MATCH(Table5[[#This Row],[PID]],DraftResults[[#All],[Player ID]],0)),"")</f>
        <v/>
      </c>
      <c r="AC991" s="52" t="str">
        <f>IF(Table5[[#This Row],[Ovr]]="","",IF(Table5[[#This Row],[cmbList]]="","",Table5[[#This Row],[cmbList]]-Table5[[#This Row],[Ovr]]))</f>
        <v/>
      </c>
      <c r="AD991" s="56" t="str">
        <f>IF(ISERROR(VLOOKUP($AB991&amp;"-"&amp;$E991&amp;" "&amp;F991,Bonuses!$B$1:$G$1006,4,FALSE)),"",INT(VLOOKUP($AB991&amp;"-"&amp;$E991&amp;" "&amp;$F991,Bonuses!$B$1:$G$1006,4,FALSE)))</f>
        <v/>
      </c>
      <c r="AE9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2" spans="1:31" s="52" customFormat="1" x14ac:dyDescent="0.25">
      <c r="A992" s="52">
        <v>14719</v>
      </c>
      <c r="B992" s="52">
        <f>COUNTIF(Table5[PID],A992)</f>
        <v>1</v>
      </c>
      <c r="C992" s="52" t="str">
        <f>IF(COUNTIF(Table3[[#All],[PID]],A992)&gt;0,"P","B")</f>
        <v>P</v>
      </c>
      <c r="D992" s="61" t="str">
        <f>IF($C992="B",INDEX(Batters[[#All],[POS]],MATCH(Table5[[#This Row],[PID]],Batters[[#All],[PID]],0)),INDEX(Table3[[#All],[POS]],MATCH(Table5[[#This Row],[PID]],Table3[[#All],[PID]],0)))</f>
        <v>RP</v>
      </c>
      <c r="E992" s="54" t="str">
        <f>IF($C992="B",INDEX(Batters[[#All],[First]],MATCH(Table5[[#This Row],[PID]],Batters[[#All],[PID]],0)),INDEX(Table3[[#All],[First]],MATCH(Table5[[#This Row],[PID]],Table3[[#All],[PID]],0)))</f>
        <v>Pim</v>
      </c>
      <c r="F992" s="52" t="str">
        <f>IF($C992="B",INDEX(Batters[[#All],[Last]],MATCH(A992,Batters[[#All],[PID]],0)),INDEX(Table3[[#All],[Last]],MATCH(A992,Table3[[#All],[PID]],0)))</f>
        <v>Kos</v>
      </c>
      <c r="G992" s="58">
        <f>IF($C992="B",INDEX(Batters[[#All],[Age]],MATCH(Table5[[#This Row],[PID]],Batters[[#All],[PID]],0)),INDEX(Table3[[#All],[Age]],MATCH(Table5[[#This Row],[PID]],Table3[[#All],[PID]],0)))</f>
        <v>21</v>
      </c>
      <c r="H992" s="54" t="str">
        <f>IF($C992="B",INDEX(Batters[[#All],[B]],MATCH(Table5[[#This Row],[PID]],Batters[[#All],[PID]],0)),INDEX(Table3[[#All],[B]],MATCH(Table5[[#This Row],[PID]],Table3[[#All],[PID]],0)))</f>
        <v>L</v>
      </c>
      <c r="I992" s="54" t="str">
        <f>IF($C992="B",INDEX(Batters[[#All],[T]],MATCH(Table5[[#This Row],[PID]],Batters[[#All],[PID]],0)),INDEX(Table3[[#All],[T]],MATCH(Table5[[#This Row],[PID]],Table3[[#All],[PID]],0)))</f>
        <v>L</v>
      </c>
      <c r="J992" s="54" t="str">
        <f>IF($C992="B",INDEX(Batters[[#All],[WE]],MATCH(Table5[[#This Row],[PID]],Batters[[#All],[PID]],0)),INDEX(Table3[[#All],[WE]],MATCH(Table5[[#This Row],[PID]],Table3[[#All],[PID]],0)))</f>
        <v>Low</v>
      </c>
      <c r="K992" s="54" t="str">
        <f>IF($C992="B",INDEX(Batters[[#All],[INT]],MATCH(Table5[[#This Row],[PID]],Batters[[#All],[PID]],0)),INDEX(Table3[[#All],[INT]],MATCH(Table5[[#This Row],[PID]],Table3[[#All],[PID]],0)))</f>
        <v>Normal</v>
      </c>
      <c r="L992" s="62">
        <f>IF($C992="B",INDEX(Batters[[#All],[CON P]],MATCH(Table5[[#This Row],[PID]],Batters[[#All],[PID]],0)),INDEX(Table3[[#All],[STU P]],MATCH(Table5[[#This Row],[PID]],Table3[[#All],[PID]],0)))</f>
        <v>2</v>
      </c>
      <c r="M992" s="58">
        <f>IF($C992="B",INDEX(Batters[[#All],[GAP P]],MATCH(Table5[[#This Row],[PID]],Batters[[#All],[PID]],0)),INDEX(Table3[[#All],[MOV P]],MATCH(Table5[[#This Row],[PID]],Table3[[#All],[PID]],0)))</f>
        <v>2</v>
      </c>
      <c r="N992" s="58">
        <f>IF($C992="B",INDEX(Batters[[#All],[POW P]],MATCH(Table5[[#This Row],[PID]],Batters[[#All],[PID]],0)),INDEX(Table3[[#All],[CON P]],MATCH(Table5[[#This Row],[PID]],Table3[[#All],[PID]],0)))</f>
        <v>2</v>
      </c>
      <c r="O992" s="58" t="str">
        <f>IF($C992="B",INDEX(Batters[[#All],[EYE P]],MATCH(Table5[[#This Row],[PID]],Batters[[#All],[PID]],0)),INDEX(Table3[[#All],[VELO]],MATCH(Table5[[#This Row],[PID]],Table3[[#All],[PID]],0)))</f>
        <v>80-83 Mph</v>
      </c>
      <c r="P992" s="58">
        <f>IF($C992="B",INDEX(Batters[[#All],[K P]],MATCH(Table5[[#This Row],[PID]],Batters[[#All],[PID]],0)),INDEX(Table3[[#All],[STM]],MATCH(Table5[[#This Row],[PID]],Table3[[#All],[PID]],0)))</f>
        <v>8</v>
      </c>
      <c r="Q992" s="63">
        <f>IF($C992="B",INDEX(Batters[[#All],[Tot]],MATCH(Table5[[#This Row],[PID]],Batters[[#All],[PID]],0)),INDEX(Table3[[#All],[Tot]],MATCH(Table5[[#This Row],[PID]],Table3[[#All],[PID]],0)))</f>
        <v>19.798691107306439</v>
      </c>
      <c r="R992" s="54">
        <f>IF($C992="B",INDEX(Batters[[#All],[zScore]],MATCH(Table5[[#This Row],[PID]],Batters[[#All],[PID]],0)),INDEX(Table3[[#All],[zScore]],MATCH(Table5[[#This Row],[PID]],Table3[[#All],[PID]],0)))</f>
        <v>-0.92870953202456275</v>
      </c>
      <c r="S992" s="60" t="str">
        <f>IF($C992="B",INDEX(Batters[[#All],[DEM]],MATCH(Table5[[#This Row],[PID]],Batters[[#All],[PID]],0)),INDEX(Table3[[#All],[DEM]],MATCH(Table5[[#This Row],[PID]],Table3[[#All],[PID]],0)))</f>
        <v>-</v>
      </c>
      <c r="T992" s="64" t="e">
        <f>IF($C992="B",VLOOKUP($A992,Bat!$A$4:$AU$1417,46,FALSE),VLOOKUP($A992,Pit!$A$4:$BD$570,55,FALSE))</f>
        <v>#N/A</v>
      </c>
      <c r="U992" s="52" t="e">
        <f>IF($C992="B",VLOOKUP($A992,Bat!$A$4:$BA$1417,47,FALSE),VLOOKUP($A992,Pit!$A$4:$BF$570,56,FALSE))</f>
        <v>#N/A</v>
      </c>
      <c r="V992" s="52" t="e">
        <f>IF($C992="B",VLOOKUP($A992,Bat!$A$4:$BA$1417,48,FALSE),VLOOKUP($A992,Pit!$A$4:$BF$570,57,FALSE))</f>
        <v>#N/A</v>
      </c>
      <c r="W992" s="52" t="e">
        <f>Table5[[#This Row],[posRnk]]+Table5[[#This Row],[zRnk]]+IF($W$3&lt;&gt;Table5[[#This Row],[Type]],50,0)</f>
        <v>#N/A</v>
      </c>
      <c r="X992" s="53">
        <f>RANK(Table5[[#This Row],[zScore]],Table5[[#All],[zScore]])</f>
        <v>988</v>
      </c>
      <c r="Y992" s="52" t="str">
        <f>IFERROR(INDEX(DraftResults[[#All],[OVR]],MATCH(Table5[[#This Row],[PID]],DraftResults[[#All],[Player ID]],0)),"")</f>
        <v/>
      </c>
      <c r="Z9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2" s="52" t="str">
        <f>IFERROR(INDEX(DraftResults[[#All],[Pick in Round]],MATCH(Table5[[#This Row],[PID]],DraftResults[[#All],[Player ID]],0)),"")</f>
        <v/>
      </c>
      <c r="AB992" s="52" t="str">
        <f>IFERROR(INDEX(DraftResults[[#All],[Team Name]],MATCH(Table5[[#This Row],[PID]],DraftResults[[#All],[Player ID]],0)),"")</f>
        <v/>
      </c>
      <c r="AC992" s="52" t="str">
        <f>IF(Table5[[#This Row],[Ovr]]="","",IF(Table5[[#This Row],[cmbList]]="","",Table5[[#This Row],[cmbList]]-Table5[[#This Row],[Ovr]]))</f>
        <v/>
      </c>
      <c r="AD992" s="56" t="str">
        <f>IF(ISERROR(VLOOKUP($AB992&amp;"-"&amp;$E992&amp;" "&amp;F992,Bonuses!$B$1:$G$1006,4,FALSE)),"",INT(VLOOKUP($AB992&amp;"-"&amp;$E992&amp;" "&amp;$F992,Bonuses!$B$1:$G$1006,4,FALSE)))</f>
        <v/>
      </c>
      <c r="AE9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3" spans="1:31" s="52" customFormat="1" x14ac:dyDescent="0.25">
      <c r="A993" s="52">
        <v>6108</v>
      </c>
      <c r="B993" s="52">
        <f>COUNTIF(Table5[PID],A993)</f>
        <v>1</v>
      </c>
      <c r="C993" s="52" t="str">
        <f>IF(COUNTIF(Table3[[#All],[PID]],A993)&gt;0,"P","B")</f>
        <v>B</v>
      </c>
      <c r="D993" s="61" t="str">
        <f>IF($C993="B",INDEX(Batters[[#All],[POS]],MATCH(Table5[[#This Row],[PID]],Batters[[#All],[PID]],0)),INDEX(Table3[[#All],[POS]],MATCH(Table5[[#This Row],[PID]],Table3[[#All],[PID]],0)))</f>
        <v>C</v>
      </c>
      <c r="E993" s="54" t="str">
        <f>IF($C993="B",INDEX(Batters[[#All],[First]],MATCH(Table5[[#This Row],[PID]],Batters[[#All],[PID]],0)),INDEX(Table3[[#All],[First]],MATCH(Table5[[#This Row],[PID]],Table3[[#All],[PID]],0)))</f>
        <v>Brian</v>
      </c>
      <c r="F993" s="52" t="str">
        <f>IF($C993="B",INDEX(Batters[[#All],[Last]],MATCH(A993,Batters[[#All],[PID]],0)),INDEX(Table3[[#All],[Last]],MATCH(A993,Table3[[#All],[PID]],0)))</f>
        <v>Dunn</v>
      </c>
      <c r="G993" s="58">
        <f>IF($C993="B",INDEX(Batters[[#All],[Age]],MATCH(Table5[[#This Row],[PID]],Batters[[#All],[PID]],0)),INDEX(Table3[[#All],[Age]],MATCH(Table5[[#This Row],[PID]],Table3[[#All],[PID]],0)))</f>
        <v>18</v>
      </c>
      <c r="H993" s="54" t="str">
        <f>IF($C993="B",INDEX(Batters[[#All],[B]],MATCH(Table5[[#This Row],[PID]],Batters[[#All],[PID]],0)),INDEX(Table3[[#All],[B]],MATCH(Table5[[#This Row],[PID]],Table3[[#All],[PID]],0)))</f>
        <v>R</v>
      </c>
      <c r="I993" s="54" t="str">
        <f>IF($C993="B",INDEX(Batters[[#All],[T]],MATCH(Table5[[#This Row],[PID]],Batters[[#All],[PID]],0)),INDEX(Table3[[#All],[T]],MATCH(Table5[[#This Row],[PID]],Table3[[#All],[PID]],0)))</f>
        <v>R</v>
      </c>
      <c r="J993" s="54" t="str">
        <f>IF($C993="B",INDEX(Batters[[#All],[WE]],MATCH(Table5[[#This Row],[PID]],Batters[[#All],[PID]],0)),INDEX(Table3[[#All],[WE]],MATCH(Table5[[#This Row],[PID]],Table3[[#All],[PID]],0)))</f>
        <v>Normal</v>
      </c>
      <c r="K993" s="54" t="str">
        <f>IF($C993="B",INDEX(Batters[[#All],[INT]],MATCH(Table5[[#This Row],[PID]],Batters[[#All],[PID]],0)),INDEX(Table3[[#All],[INT]],MATCH(Table5[[#This Row],[PID]],Table3[[#All],[PID]],0)))</f>
        <v>Normal</v>
      </c>
      <c r="L993" s="62">
        <f>IF($C993="B",INDEX(Batters[[#All],[CON P]],MATCH(Table5[[#This Row],[PID]],Batters[[#All],[PID]],0)),INDEX(Table3[[#All],[STU P]],MATCH(Table5[[#This Row],[PID]],Table3[[#All],[PID]],0)))</f>
        <v>2</v>
      </c>
      <c r="M993" s="58">
        <f>IF($C993="B",INDEX(Batters[[#All],[GAP P]],MATCH(Table5[[#This Row],[PID]],Batters[[#All],[PID]],0)),INDEX(Table3[[#All],[MOV P]],MATCH(Table5[[#This Row],[PID]],Table3[[#All],[PID]],0)))</f>
        <v>2</v>
      </c>
      <c r="N993" s="58">
        <f>IF($C993="B",INDEX(Batters[[#All],[POW P]],MATCH(Table5[[#This Row],[PID]],Batters[[#All],[PID]],0)),INDEX(Table3[[#All],[CON P]],MATCH(Table5[[#This Row],[PID]],Table3[[#All],[PID]],0)))</f>
        <v>2</v>
      </c>
      <c r="O993" s="58">
        <f>IF($C993="B",INDEX(Batters[[#All],[EYE P]],MATCH(Table5[[#This Row],[PID]],Batters[[#All],[PID]],0)),INDEX(Table3[[#All],[VELO]],MATCH(Table5[[#This Row],[PID]],Table3[[#All],[PID]],0)))</f>
        <v>5</v>
      </c>
      <c r="P993" s="58">
        <f>IF($C993="B",INDEX(Batters[[#All],[K P]],MATCH(Table5[[#This Row],[PID]],Batters[[#All],[PID]],0)),INDEX(Table3[[#All],[STM]],MATCH(Table5[[#This Row],[PID]],Table3[[#All],[PID]],0)))</f>
        <v>2</v>
      </c>
      <c r="Q993" s="63">
        <f>IF($C993="B",INDEX(Batters[[#All],[Tot]],MATCH(Table5[[#This Row],[PID]],Batters[[#All],[PID]],0)),INDEX(Table3[[#All],[Tot]],MATCH(Table5[[#This Row],[PID]],Table3[[#All],[PID]],0)))</f>
        <v>35.054132612897014</v>
      </c>
      <c r="R993" s="54">
        <f>IF($C993="B",INDEX(Batters[[#All],[zScore]],MATCH(Table5[[#This Row],[PID]],Batters[[#All],[PID]],0)),INDEX(Table3[[#All],[zScore]],MATCH(Table5[[#This Row],[PID]],Table3[[#All],[PID]],0)))</f>
        <v>-0.93146430313715023</v>
      </c>
      <c r="S993" s="60" t="str">
        <f>IF($C993="B",INDEX(Batters[[#All],[DEM]],MATCH(Table5[[#This Row],[PID]],Batters[[#All],[PID]],0)),INDEX(Table3[[#All],[DEM]],MATCH(Table5[[#This Row],[PID]],Table3[[#All],[PID]],0)))</f>
        <v>$65k</v>
      </c>
      <c r="T993" s="64">
        <f>IF($C993="B",VLOOKUP($A993,Bat!$A$4:$AU$1417,46,FALSE),VLOOKUP($A993,Pit!$A$4:$BD$570,55,FALSE))</f>
        <v>0</v>
      </c>
      <c r="U993" s="52">
        <f>IF($C993="B",VLOOKUP($A993,Bat!$A$4:$BA$1417,47,FALSE),VLOOKUP($A993,Pit!$A$4:$BF$570,56,FALSE))</f>
        <v>0</v>
      </c>
      <c r="V993" s="52">
        <f>IF($C993="B",VLOOKUP($A993,Bat!$A$4:$BA$1417,48,FALSE),VLOOKUP($A993,Pit!$A$4:$BF$570,57,FALSE))</f>
        <v>0</v>
      </c>
      <c r="W993" s="52">
        <f>Table5[[#This Row],[posRnk]]+Table5[[#This Row],[zRnk]]+IF($W$3&lt;&gt;Table5[[#This Row],[Type]],50,0)</f>
        <v>1039</v>
      </c>
      <c r="X993" s="53">
        <f>RANK(Table5[[#This Row],[zScore]],Table5[[#All],[zScore]])</f>
        <v>989</v>
      </c>
      <c r="Y993" s="52" t="str">
        <f>IFERROR(INDEX(DraftResults[[#All],[OVR]],MATCH(Table5[[#This Row],[PID]],DraftResults[[#All],[Player ID]],0)),"")</f>
        <v/>
      </c>
      <c r="Z9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3" s="52" t="str">
        <f>IFERROR(INDEX(DraftResults[[#All],[Pick in Round]],MATCH(Table5[[#This Row],[PID]],DraftResults[[#All],[Player ID]],0)),"")</f>
        <v/>
      </c>
      <c r="AB993" s="52" t="str">
        <f>IFERROR(INDEX(DraftResults[[#All],[Team Name]],MATCH(Table5[[#This Row],[PID]],DraftResults[[#All],[Player ID]],0)),"")</f>
        <v/>
      </c>
      <c r="AC993" s="52" t="str">
        <f>IF(Table5[[#This Row],[Ovr]]="","",IF(Table5[[#This Row],[cmbList]]="","",Table5[[#This Row],[cmbList]]-Table5[[#This Row],[Ovr]]))</f>
        <v/>
      </c>
      <c r="AD993" s="56" t="str">
        <f>IF(ISERROR(VLOOKUP($AB993&amp;"-"&amp;$E993&amp;" "&amp;F993,Bonuses!$B$1:$G$1006,4,FALSE)),"",INT(VLOOKUP($AB993&amp;"-"&amp;$E993&amp;" "&amp;$F993,Bonuses!$B$1:$G$1006,4,FALSE)))</f>
        <v/>
      </c>
      <c r="AE9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4" spans="1:31" s="52" customFormat="1" x14ac:dyDescent="0.25">
      <c r="A994" s="52">
        <v>15080</v>
      </c>
      <c r="B994" s="52">
        <f>COUNTIF(Table5[PID],A994)</f>
        <v>1</v>
      </c>
      <c r="C994" s="52" t="str">
        <f>IF(COUNTIF(Table3[[#All],[PID]],A994)&gt;0,"P","B")</f>
        <v>B</v>
      </c>
      <c r="D994" s="61" t="str">
        <f>IF($C994="B",INDEX(Batters[[#All],[POS]],MATCH(Table5[[#This Row],[PID]],Batters[[#All],[PID]],0)),INDEX(Table3[[#All],[POS]],MATCH(Table5[[#This Row],[PID]],Table3[[#All],[PID]],0)))</f>
        <v>LF</v>
      </c>
      <c r="E994" s="54" t="str">
        <f>IF($C994="B",INDEX(Batters[[#All],[First]],MATCH(Table5[[#This Row],[PID]],Batters[[#All],[PID]],0)),INDEX(Table3[[#All],[First]],MATCH(Table5[[#This Row],[PID]],Table3[[#All],[PID]],0)))</f>
        <v>Jonathan</v>
      </c>
      <c r="F994" s="52" t="str">
        <f>IF($C994="B",INDEX(Batters[[#All],[Last]],MATCH(A994,Batters[[#All],[PID]],0)),INDEX(Table3[[#All],[Last]],MATCH(A994,Table3[[#All],[PID]],0)))</f>
        <v>Langman</v>
      </c>
      <c r="G994" s="58">
        <f>IF($C994="B",INDEX(Batters[[#All],[Age]],MATCH(Table5[[#This Row],[PID]],Batters[[#All],[PID]],0)),INDEX(Table3[[#All],[Age]],MATCH(Table5[[#This Row],[PID]],Table3[[#All],[PID]],0)))</f>
        <v>21</v>
      </c>
      <c r="H994" s="54" t="str">
        <f>IF($C994="B",INDEX(Batters[[#All],[B]],MATCH(Table5[[#This Row],[PID]],Batters[[#All],[PID]],0)),INDEX(Table3[[#All],[B]],MATCH(Table5[[#This Row],[PID]],Table3[[#All],[PID]],0)))</f>
        <v>R</v>
      </c>
      <c r="I994" s="54" t="str">
        <f>IF($C994="B",INDEX(Batters[[#All],[T]],MATCH(Table5[[#This Row],[PID]],Batters[[#All],[PID]],0)),INDEX(Table3[[#All],[T]],MATCH(Table5[[#This Row],[PID]],Table3[[#All],[PID]],0)))</f>
        <v>R</v>
      </c>
      <c r="J994" s="54" t="str">
        <f>IF($C994="B",INDEX(Batters[[#All],[WE]],MATCH(Table5[[#This Row],[PID]],Batters[[#All],[PID]],0)),INDEX(Table3[[#All],[WE]],MATCH(Table5[[#This Row],[PID]],Table3[[#All],[PID]],0)))</f>
        <v>Low</v>
      </c>
      <c r="K994" s="54" t="str">
        <f>IF($C994="B",INDEX(Batters[[#All],[INT]],MATCH(Table5[[#This Row],[PID]],Batters[[#All],[PID]],0)),INDEX(Table3[[#All],[INT]],MATCH(Table5[[#This Row],[PID]],Table3[[#All],[PID]],0)))</f>
        <v>High</v>
      </c>
      <c r="L994" s="62">
        <f>IF($C994="B",INDEX(Batters[[#All],[CON P]],MATCH(Table5[[#This Row],[PID]],Batters[[#All],[PID]],0)),INDEX(Table3[[#All],[STU P]],MATCH(Table5[[#This Row],[PID]],Table3[[#All],[PID]],0)))</f>
        <v>3</v>
      </c>
      <c r="M994" s="58">
        <f>IF($C994="B",INDEX(Batters[[#All],[GAP P]],MATCH(Table5[[#This Row],[PID]],Batters[[#All],[PID]],0)),INDEX(Table3[[#All],[MOV P]],MATCH(Table5[[#This Row],[PID]],Table3[[#All],[PID]],0)))</f>
        <v>4</v>
      </c>
      <c r="N994" s="58">
        <f>IF($C994="B",INDEX(Batters[[#All],[POW P]],MATCH(Table5[[#This Row],[PID]],Batters[[#All],[PID]],0)),INDEX(Table3[[#All],[CON P]],MATCH(Table5[[#This Row],[PID]],Table3[[#All],[PID]],0)))</f>
        <v>2</v>
      </c>
      <c r="O994" s="58">
        <f>IF($C994="B",INDEX(Batters[[#All],[EYE P]],MATCH(Table5[[#This Row],[PID]],Batters[[#All],[PID]],0)),INDEX(Table3[[#All],[VELO]],MATCH(Table5[[#This Row],[PID]],Table3[[#All],[PID]],0)))</f>
        <v>4</v>
      </c>
      <c r="P994" s="58">
        <f>IF($C994="B",INDEX(Batters[[#All],[K P]],MATCH(Table5[[#This Row],[PID]],Batters[[#All],[PID]],0)),INDEX(Table3[[#All],[STM]],MATCH(Table5[[#This Row],[PID]],Table3[[#All],[PID]],0)))</f>
        <v>4</v>
      </c>
      <c r="Q994" s="63">
        <f>IF($C994="B",INDEX(Batters[[#All],[Tot]],MATCH(Table5[[#This Row],[PID]],Batters[[#All],[PID]],0)),INDEX(Table3[[#All],[Tot]],MATCH(Table5[[#This Row],[PID]],Table3[[#All],[PID]],0)))</f>
        <v>35.052195890617568</v>
      </c>
      <c r="R994" s="54">
        <f>IF($C994="B",INDEX(Batters[[#All],[zScore]],MATCH(Table5[[#This Row],[PID]],Batters[[#All],[PID]],0)),INDEX(Table3[[#All],[zScore]],MATCH(Table5[[#This Row],[PID]],Table3[[#All],[PID]],0)))</f>
        <v>-0.93180505655017487</v>
      </c>
      <c r="S994" s="60" t="str">
        <f>IF($C994="B",INDEX(Batters[[#All],[DEM]],MATCH(Table5[[#This Row],[PID]],Batters[[#All],[PID]],0)),INDEX(Table3[[#All],[DEM]],MATCH(Table5[[#This Row],[PID]],Table3[[#All],[PID]],0)))</f>
        <v>-</v>
      </c>
      <c r="T994" s="64">
        <f>IF($C994="B",VLOOKUP($A994,Bat!$A$4:$AU$1417,46,FALSE),VLOOKUP($A994,Pit!$A$4:$BD$570,55,FALSE))</f>
        <v>0</v>
      </c>
      <c r="U994" s="52">
        <f>IF($C994="B",VLOOKUP($A994,Bat!$A$4:$BA$1417,47,FALSE),VLOOKUP($A994,Pit!$A$4:$BF$570,56,FALSE))</f>
        <v>0</v>
      </c>
      <c r="V994" s="52">
        <f>IF($C994="B",VLOOKUP($A994,Bat!$A$4:$BA$1417,48,FALSE),VLOOKUP($A994,Pit!$A$4:$BF$570,57,FALSE))</f>
        <v>0</v>
      </c>
      <c r="W994" s="52">
        <f>Table5[[#This Row],[posRnk]]+Table5[[#This Row],[zRnk]]+IF($W$3&lt;&gt;Table5[[#This Row],[Type]],50,0)</f>
        <v>1040</v>
      </c>
      <c r="X994" s="53">
        <f>RANK(Table5[[#This Row],[zScore]],Table5[[#All],[zScore]])</f>
        <v>990</v>
      </c>
      <c r="Y994" s="52" t="str">
        <f>IFERROR(INDEX(DraftResults[[#All],[OVR]],MATCH(Table5[[#This Row],[PID]],DraftResults[[#All],[Player ID]],0)),"")</f>
        <v/>
      </c>
      <c r="Z9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4" s="52" t="str">
        <f>IFERROR(INDEX(DraftResults[[#All],[Pick in Round]],MATCH(Table5[[#This Row],[PID]],DraftResults[[#All],[Player ID]],0)),"")</f>
        <v/>
      </c>
      <c r="AB994" s="52" t="str">
        <f>IFERROR(INDEX(DraftResults[[#All],[Team Name]],MATCH(Table5[[#This Row],[PID]],DraftResults[[#All],[Player ID]],0)),"")</f>
        <v/>
      </c>
      <c r="AC994" s="52" t="str">
        <f>IF(Table5[[#This Row],[Ovr]]="","",IF(Table5[[#This Row],[cmbList]]="","",Table5[[#This Row],[cmbList]]-Table5[[#This Row],[Ovr]]))</f>
        <v/>
      </c>
      <c r="AD994" s="56" t="str">
        <f>IF(ISERROR(VLOOKUP($AB994&amp;"-"&amp;$E994&amp;" "&amp;F994,Bonuses!$B$1:$G$1006,4,FALSE)),"",INT(VLOOKUP($AB994&amp;"-"&amp;$E994&amp;" "&amp;$F994,Bonuses!$B$1:$G$1006,4,FALSE)))</f>
        <v/>
      </c>
      <c r="AE9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5" spans="1:31" s="52" customFormat="1" x14ac:dyDescent="0.25">
      <c r="A995" s="52">
        <v>8097</v>
      </c>
      <c r="B995" s="52">
        <f>COUNTIF(Table5[PID],A995)</f>
        <v>1</v>
      </c>
      <c r="C995" s="52" t="str">
        <f>IF(COUNTIF(Table3[[#All],[PID]],A995)&gt;0,"P","B")</f>
        <v>P</v>
      </c>
      <c r="D995" s="61" t="str">
        <f>IF($C995="B",INDEX(Batters[[#All],[POS]],MATCH(Table5[[#This Row],[PID]],Batters[[#All],[PID]],0)),INDEX(Table3[[#All],[POS]],MATCH(Table5[[#This Row],[PID]],Table3[[#All],[PID]],0)))</f>
        <v>RP</v>
      </c>
      <c r="E995" s="54" t="str">
        <f>IF($C995="B",INDEX(Batters[[#All],[First]],MATCH(Table5[[#This Row],[PID]],Batters[[#All],[PID]],0)),INDEX(Table3[[#All],[First]],MATCH(Table5[[#This Row],[PID]],Table3[[#All],[PID]],0)))</f>
        <v>Ogai</v>
      </c>
      <c r="F995" s="52" t="str">
        <f>IF($C995="B",INDEX(Batters[[#All],[Last]],MATCH(A995,Batters[[#All],[PID]],0)),INDEX(Table3[[#All],[Last]],MATCH(A995,Table3[[#All],[PID]],0)))</f>
        <v>Kamihara</v>
      </c>
      <c r="G995" s="58">
        <f>IF($C995="B",INDEX(Batters[[#All],[Age]],MATCH(Table5[[#This Row],[PID]],Batters[[#All],[PID]],0)),INDEX(Table3[[#All],[Age]],MATCH(Table5[[#This Row],[PID]],Table3[[#All],[PID]],0)))</f>
        <v>21</v>
      </c>
      <c r="H995" s="54" t="str">
        <f>IF($C995="B",INDEX(Batters[[#All],[B]],MATCH(Table5[[#This Row],[PID]],Batters[[#All],[PID]],0)),INDEX(Table3[[#All],[B]],MATCH(Table5[[#This Row],[PID]],Table3[[#All],[PID]],0)))</f>
        <v>L</v>
      </c>
      <c r="I995" s="54" t="str">
        <f>IF($C995="B",INDEX(Batters[[#All],[T]],MATCH(Table5[[#This Row],[PID]],Batters[[#All],[PID]],0)),INDEX(Table3[[#All],[T]],MATCH(Table5[[#This Row],[PID]],Table3[[#All],[PID]],0)))</f>
        <v>L</v>
      </c>
      <c r="J995" s="54" t="str">
        <f>IF($C995="B",INDEX(Batters[[#All],[WE]],MATCH(Table5[[#This Row],[PID]],Batters[[#All],[PID]],0)),INDEX(Table3[[#All],[WE]],MATCH(Table5[[#This Row],[PID]],Table3[[#All],[PID]],0)))</f>
        <v>Low</v>
      </c>
      <c r="K995" s="54" t="str">
        <f>IF($C995="B",INDEX(Batters[[#All],[INT]],MATCH(Table5[[#This Row],[PID]],Batters[[#All],[PID]],0)),INDEX(Table3[[#All],[INT]],MATCH(Table5[[#This Row],[PID]],Table3[[#All],[PID]],0)))</f>
        <v>High</v>
      </c>
      <c r="L995" s="62">
        <f>IF($C995="B",INDEX(Batters[[#All],[CON P]],MATCH(Table5[[#This Row],[PID]],Batters[[#All],[PID]],0)),INDEX(Table3[[#All],[STU P]],MATCH(Table5[[#This Row],[PID]],Table3[[#All],[PID]],0)))</f>
        <v>3</v>
      </c>
      <c r="M995" s="58">
        <f>IF($C995="B",INDEX(Batters[[#All],[GAP P]],MATCH(Table5[[#This Row],[PID]],Batters[[#All],[PID]],0)),INDEX(Table3[[#All],[MOV P]],MATCH(Table5[[#This Row],[PID]],Table3[[#All],[PID]],0)))</f>
        <v>1</v>
      </c>
      <c r="N995" s="58">
        <f>IF($C995="B",INDEX(Batters[[#All],[POW P]],MATCH(Table5[[#This Row],[PID]],Batters[[#All],[PID]],0)),INDEX(Table3[[#All],[CON P]],MATCH(Table5[[#This Row],[PID]],Table3[[#All],[PID]],0)))</f>
        <v>2</v>
      </c>
      <c r="O995" s="58" t="str">
        <f>IF($C995="B",INDEX(Batters[[#All],[EYE P]],MATCH(Table5[[#This Row],[PID]],Batters[[#All],[PID]],0)),INDEX(Table3[[#All],[VELO]],MATCH(Table5[[#This Row],[PID]],Table3[[#All],[PID]],0)))</f>
        <v>84-86 Mph</v>
      </c>
      <c r="P995" s="58">
        <f>IF($C995="B",INDEX(Batters[[#All],[K P]],MATCH(Table5[[#This Row],[PID]],Batters[[#All],[PID]],0)),INDEX(Table3[[#All],[STM]],MATCH(Table5[[#This Row],[PID]],Table3[[#All],[PID]],0)))</f>
        <v>7</v>
      </c>
      <c r="Q995" s="63">
        <f>IF($C995="B",INDEX(Batters[[#All],[Tot]],MATCH(Table5[[#This Row],[PID]],Batters[[#All],[PID]],0)),INDEX(Table3[[#All],[Tot]],MATCH(Table5[[#This Row],[PID]],Table3[[#All],[PID]],0)))</f>
        <v>19.751579938320589</v>
      </c>
      <c r="R995" s="54">
        <f>IF($C995="B",INDEX(Batters[[#All],[zScore]],MATCH(Table5[[#This Row],[PID]],Batters[[#All],[PID]],0)),INDEX(Table3[[#All],[zScore]],MATCH(Table5[[#This Row],[PID]],Table3[[#All],[PID]],0)))</f>
        <v>-0.93283847744253012</v>
      </c>
      <c r="S995" s="60" t="str">
        <f>IF($C995="B",INDEX(Batters[[#All],[DEM]],MATCH(Table5[[#This Row],[PID]],Batters[[#All],[PID]],0)),INDEX(Table3[[#All],[DEM]],MATCH(Table5[[#This Row],[PID]],Table3[[#All],[PID]],0)))</f>
        <v>-</v>
      </c>
      <c r="T995" s="64" t="e">
        <f>IF($C995="B",VLOOKUP($A995,Bat!$A$4:$AU$1417,46,FALSE),VLOOKUP($A995,Pit!$A$4:$BD$570,55,FALSE))</f>
        <v>#N/A</v>
      </c>
      <c r="U995" s="52" t="e">
        <f>IF($C995="B",VLOOKUP($A995,Bat!$A$4:$BA$1417,47,FALSE),VLOOKUP($A995,Pit!$A$4:$BF$570,56,FALSE))</f>
        <v>#N/A</v>
      </c>
      <c r="V995" s="52" t="e">
        <f>IF($C995="B",VLOOKUP($A995,Bat!$A$4:$BA$1417,48,FALSE),VLOOKUP($A995,Pit!$A$4:$BF$570,57,FALSE))</f>
        <v>#N/A</v>
      </c>
      <c r="W995" s="52" t="e">
        <f>Table5[[#This Row],[posRnk]]+Table5[[#This Row],[zRnk]]+IF($W$3&lt;&gt;Table5[[#This Row],[Type]],50,0)</f>
        <v>#N/A</v>
      </c>
      <c r="X995" s="53">
        <f>RANK(Table5[[#This Row],[zScore]],Table5[[#All],[zScore]])</f>
        <v>991</v>
      </c>
      <c r="Y995" s="52" t="str">
        <f>IFERROR(INDEX(DraftResults[[#All],[OVR]],MATCH(Table5[[#This Row],[PID]],DraftResults[[#All],[Player ID]],0)),"")</f>
        <v/>
      </c>
      <c r="Z9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5" s="52" t="str">
        <f>IFERROR(INDEX(DraftResults[[#All],[Pick in Round]],MATCH(Table5[[#This Row],[PID]],DraftResults[[#All],[Player ID]],0)),"")</f>
        <v/>
      </c>
      <c r="AB995" s="52" t="str">
        <f>IFERROR(INDEX(DraftResults[[#All],[Team Name]],MATCH(Table5[[#This Row],[PID]],DraftResults[[#All],[Player ID]],0)),"")</f>
        <v/>
      </c>
      <c r="AC995" s="52" t="str">
        <f>IF(Table5[[#This Row],[Ovr]]="","",IF(Table5[[#This Row],[cmbList]]="","",Table5[[#This Row],[cmbList]]-Table5[[#This Row],[Ovr]]))</f>
        <v/>
      </c>
      <c r="AD995" s="56" t="str">
        <f>IF(ISERROR(VLOOKUP($AB995&amp;"-"&amp;$E995&amp;" "&amp;F995,Bonuses!$B$1:$G$1006,4,FALSE)),"",INT(VLOOKUP($AB995&amp;"-"&amp;$E995&amp;" "&amp;$F995,Bonuses!$B$1:$G$1006,4,FALSE)))</f>
        <v/>
      </c>
      <c r="AE9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6" spans="1:31" s="52" customFormat="1" x14ac:dyDescent="0.25">
      <c r="A996" s="52">
        <v>12143</v>
      </c>
      <c r="B996" s="52">
        <f>COUNTIF(Table5[PID],A996)</f>
        <v>1</v>
      </c>
      <c r="C996" s="52" t="str">
        <f>IF(COUNTIF(Table3[[#All],[PID]],A996)&gt;0,"P","B")</f>
        <v>B</v>
      </c>
      <c r="D996" s="61" t="str">
        <f>IF($C996="B",INDEX(Batters[[#All],[POS]],MATCH(Table5[[#This Row],[PID]],Batters[[#All],[PID]],0)),INDEX(Table3[[#All],[POS]],MATCH(Table5[[#This Row],[PID]],Table3[[#All],[PID]],0)))</f>
        <v>1B</v>
      </c>
      <c r="E996" s="54" t="str">
        <f>IF($C996="B",INDEX(Batters[[#All],[First]],MATCH(Table5[[#This Row],[PID]],Batters[[#All],[PID]],0)),INDEX(Table3[[#All],[First]],MATCH(Table5[[#This Row],[PID]],Table3[[#All],[PID]],0)))</f>
        <v>Scott</v>
      </c>
      <c r="F996" s="52" t="str">
        <f>IF($C996="B",INDEX(Batters[[#All],[Last]],MATCH(A996,Batters[[#All],[PID]],0)),INDEX(Table3[[#All],[Last]],MATCH(A996,Table3[[#All],[PID]],0)))</f>
        <v>Patton</v>
      </c>
      <c r="G996" s="58">
        <f>IF($C996="B",INDEX(Batters[[#All],[Age]],MATCH(Table5[[#This Row],[PID]],Batters[[#All],[PID]],0)),INDEX(Table3[[#All],[Age]],MATCH(Table5[[#This Row],[PID]],Table3[[#All],[PID]],0)))</f>
        <v>21</v>
      </c>
      <c r="H996" s="54" t="str">
        <f>IF($C996="B",INDEX(Batters[[#All],[B]],MATCH(Table5[[#This Row],[PID]],Batters[[#All],[PID]],0)),INDEX(Table3[[#All],[B]],MATCH(Table5[[#This Row],[PID]],Table3[[#All],[PID]],0)))</f>
        <v>L</v>
      </c>
      <c r="I996" s="54" t="str">
        <f>IF($C996="B",INDEX(Batters[[#All],[T]],MATCH(Table5[[#This Row],[PID]],Batters[[#All],[PID]],0)),INDEX(Table3[[#All],[T]],MATCH(Table5[[#This Row],[PID]],Table3[[#All],[PID]],0)))</f>
        <v>L</v>
      </c>
      <c r="J996" s="54" t="str">
        <f>IF($C996="B",INDEX(Batters[[#All],[WE]],MATCH(Table5[[#This Row],[PID]],Batters[[#All],[PID]],0)),INDEX(Table3[[#All],[WE]],MATCH(Table5[[#This Row],[PID]],Table3[[#All],[PID]],0)))</f>
        <v>Normal</v>
      </c>
      <c r="K996" s="54" t="str">
        <f>IF($C996="B",INDEX(Batters[[#All],[INT]],MATCH(Table5[[#This Row],[PID]],Batters[[#All],[PID]],0)),INDEX(Table3[[#All],[INT]],MATCH(Table5[[#This Row],[PID]],Table3[[#All],[PID]],0)))</f>
        <v>Normal</v>
      </c>
      <c r="L996" s="62">
        <f>IF($C996="B",INDEX(Batters[[#All],[CON P]],MATCH(Table5[[#This Row],[PID]],Batters[[#All],[PID]],0)),INDEX(Table3[[#All],[STU P]],MATCH(Table5[[#This Row],[PID]],Table3[[#All],[PID]],0)))</f>
        <v>3</v>
      </c>
      <c r="M996" s="58">
        <f>IF($C996="B",INDEX(Batters[[#All],[GAP P]],MATCH(Table5[[#This Row],[PID]],Batters[[#All],[PID]],0)),INDEX(Table3[[#All],[MOV P]],MATCH(Table5[[#This Row],[PID]],Table3[[#All],[PID]],0)))</f>
        <v>3</v>
      </c>
      <c r="N996" s="58">
        <f>IF($C996="B",INDEX(Batters[[#All],[POW P]],MATCH(Table5[[#This Row],[PID]],Batters[[#All],[PID]],0)),INDEX(Table3[[#All],[CON P]],MATCH(Table5[[#This Row],[PID]],Table3[[#All],[PID]],0)))</f>
        <v>4</v>
      </c>
      <c r="O996" s="58">
        <f>IF($C996="B",INDEX(Batters[[#All],[EYE P]],MATCH(Table5[[#This Row],[PID]],Batters[[#All],[PID]],0)),INDEX(Table3[[#All],[VELO]],MATCH(Table5[[#This Row],[PID]],Table3[[#All],[PID]],0)))</f>
        <v>3</v>
      </c>
      <c r="P996" s="58">
        <f>IF($C996="B",INDEX(Batters[[#All],[K P]],MATCH(Table5[[#This Row],[PID]],Batters[[#All],[PID]],0)),INDEX(Table3[[#All],[STM]],MATCH(Table5[[#This Row],[PID]],Table3[[#All],[PID]],0)))</f>
        <v>3</v>
      </c>
      <c r="Q996" s="63">
        <f>IF($C996="B",INDEX(Batters[[#All],[Tot]],MATCH(Table5[[#This Row],[PID]],Batters[[#All],[PID]],0)),INDEX(Table3[[#All],[Tot]],MATCH(Table5[[#This Row],[PID]],Table3[[#All],[PID]],0)))</f>
        <v>35.029936591530785</v>
      </c>
      <c r="R996" s="54">
        <f>IF($C996="B",INDEX(Batters[[#All],[zScore]],MATCH(Table5[[#This Row],[PID]],Batters[[#All],[PID]],0)),INDEX(Table3[[#All],[zScore]],MATCH(Table5[[#This Row],[PID]],Table3[[#All],[PID]],0)))</f>
        <v>-0.93572143228243976</v>
      </c>
      <c r="S996" s="60" t="str">
        <f>IF($C996="B",INDEX(Batters[[#All],[DEM]],MATCH(Table5[[#This Row],[PID]],Batters[[#All],[PID]],0)),INDEX(Table3[[#All],[DEM]],MATCH(Table5[[#This Row],[PID]],Table3[[#All],[PID]],0)))</f>
        <v>-</v>
      </c>
      <c r="T996" s="64">
        <f>IF($C996="B",VLOOKUP($A996,Bat!$A$4:$AU$1417,46,FALSE),VLOOKUP($A996,Pit!$A$4:$BD$570,55,FALSE))</f>
        <v>0</v>
      </c>
      <c r="U996" s="52">
        <f>IF($C996="B",VLOOKUP($A996,Bat!$A$4:$BA$1417,47,FALSE),VLOOKUP($A996,Pit!$A$4:$BF$570,56,FALSE))</f>
        <v>0</v>
      </c>
      <c r="V996" s="52">
        <f>IF($C996="B",VLOOKUP($A996,Bat!$A$4:$BA$1417,48,FALSE),VLOOKUP($A996,Pit!$A$4:$BF$570,57,FALSE))</f>
        <v>0</v>
      </c>
      <c r="W996" s="52">
        <f>Table5[[#This Row],[posRnk]]+Table5[[#This Row],[zRnk]]+IF($W$3&lt;&gt;Table5[[#This Row],[Type]],50,0)</f>
        <v>1042</v>
      </c>
      <c r="X996" s="53">
        <f>RANK(Table5[[#This Row],[zScore]],Table5[[#All],[zScore]])</f>
        <v>992</v>
      </c>
      <c r="Y996" s="52" t="str">
        <f>IFERROR(INDEX(DraftResults[[#All],[OVR]],MATCH(Table5[[#This Row],[PID]],DraftResults[[#All],[Player ID]],0)),"")</f>
        <v/>
      </c>
      <c r="Z9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6" s="52" t="str">
        <f>IFERROR(INDEX(DraftResults[[#All],[Pick in Round]],MATCH(Table5[[#This Row],[PID]],DraftResults[[#All],[Player ID]],0)),"")</f>
        <v/>
      </c>
      <c r="AB996" s="52" t="str">
        <f>IFERROR(INDEX(DraftResults[[#All],[Team Name]],MATCH(Table5[[#This Row],[PID]],DraftResults[[#All],[Player ID]],0)),"")</f>
        <v/>
      </c>
      <c r="AC996" s="52" t="str">
        <f>IF(Table5[[#This Row],[Ovr]]="","",IF(Table5[[#This Row],[cmbList]]="","",Table5[[#This Row],[cmbList]]-Table5[[#This Row],[Ovr]]))</f>
        <v/>
      </c>
      <c r="AD996" s="56" t="str">
        <f>IF(ISERROR(VLOOKUP($AB996&amp;"-"&amp;$E996&amp;" "&amp;F996,Bonuses!$B$1:$G$1006,4,FALSE)),"",INT(VLOOKUP($AB996&amp;"-"&amp;$E996&amp;" "&amp;$F996,Bonuses!$B$1:$G$1006,4,FALSE)))</f>
        <v/>
      </c>
      <c r="AE9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7" spans="1:31" s="52" customFormat="1" x14ac:dyDescent="0.25">
      <c r="A997" s="52">
        <v>6929</v>
      </c>
      <c r="B997" s="52">
        <f>COUNTIF(Table5[PID],A997)</f>
        <v>1</v>
      </c>
      <c r="C997" s="52" t="str">
        <f>IF(COUNTIF(Table3[[#All],[PID]],A997)&gt;0,"P","B")</f>
        <v>B</v>
      </c>
      <c r="D997" s="61" t="str">
        <f>IF($C997="B",INDEX(Batters[[#All],[POS]],MATCH(Table5[[#This Row],[PID]],Batters[[#All],[PID]],0)),INDEX(Table3[[#All],[POS]],MATCH(Table5[[#This Row],[PID]],Table3[[#All],[PID]],0)))</f>
        <v>1B</v>
      </c>
      <c r="E997" s="54" t="str">
        <f>IF($C997="B",INDEX(Batters[[#All],[First]],MATCH(Table5[[#This Row],[PID]],Batters[[#All],[PID]],0)),INDEX(Table3[[#All],[First]],MATCH(Table5[[#This Row],[PID]],Table3[[#All],[PID]],0)))</f>
        <v>Alberto</v>
      </c>
      <c r="F997" s="52" t="str">
        <f>IF($C997="B",INDEX(Batters[[#All],[Last]],MATCH(A997,Batters[[#All],[PID]],0)),INDEX(Table3[[#All],[Last]],MATCH(A997,Table3[[#All],[PID]],0)))</f>
        <v>Hernández</v>
      </c>
      <c r="G997" s="58">
        <f>IF($C997="B",INDEX(Batters[[#All],[Age]],MATCH(Table5[[#This Row],[PID]],Batters[[#All],[PID]],0)),INDEX(Table3[[#All],[Age]],MATCH(Table5[[#This Row],[PID]],Table3[[#All],[PID]],0)))</f>
        <v>21</v>
      </c>
      <c r="H997" s="54" t="str">
        <f>IF($C997="B",INDEX(Batters[[#All],[B]],MATCH(Table5[[#This Row],[PID]],Batters[[#All],[PID]],0)),INDEX(Table3[[#All],[B]],MATCH(Table5[[#This Row],[PID]],Table3[[#All],[PID]],0)))</f>
        <v>R</v>
      </c>
      <c r="I997" s="54" t="str">
        <f>IF($C997="B",INDEX(Batters[[#All],[T]],MATCH(Table5[[#This Row],[PID]],Batters[[#All],[PID]],0)),INDEX(Table3[[#All],[T]],MATCH(Table5[[#This Row],[PID]],Table3[[#All],[PID]],0)))</f>
        <v>R</v>
      </c>
      <c r="J997" s="54" t="str">
        <f>IF($C997="B",INDEX(Batters[[#All],[WE]],MATCH(Table5[[#This Row],[PID]],Batters[[#All],[PID]],0)),INDEX(Table3[[#All],[WE]],MATCH(Table5[[#This Row],[PID]],Table3[[#All],[PID]],0)))</f>
        <v>Normal</v>
      </c>
      <c r="K997" s="54" t="str">
        <f>IF($C997="B",INDEX(Batters[[#All],[INT]],MATCH(Table5[[#This Row],[PID]],Batters[[#All],[PID]],0)),INDEX(Table3[[#All],[INT]],MATCH(Table5[[#This Row],[PID]],Table3[[#All],[PID]],0)))</f>
        <v>Normal</v>
      </c>
      <c r="L997" s="62">
        <f>IF($C997="B",INDEX(Batters[[#All],[CON P]],MATCH(Table5[[#This Row],[PID]],Batters[[#All],[PID]],0)),INDEX(Table3[[#All],[STU P]],MATCH(Table5[[#This Row],[PID]],Table3[[#All],[PID]],0)))</f>
        <v>4</v>
      </c>
      <c r="M997" s="58">
        <f>IF($C997="B",INDEX(Batters[[#All],[GAP P]],MATCH(Table5[[#This Row],[PID]],Batters[[#All],[PID]],0)),INDEX(Table3[[#All],[MOV P]],MATCH(Table5[[#This Row],[PID]],Table3[[#All],[PID]],0)))</f>
        <v>2</v>
      </c>
      <c r="N997" s="58">
        <f>IF($C997="B",INDEX(Batters[[#All],[POW P]],MATCH(Table5[[#This Row],[PID]],Batters[[#All],[PID]],0)),INDEX(Table3[[#All],[CON P]],MATCH(Table5[[#This Row],[PID]],Table3[[#All],[PID]],0)))</f>
        <v>2</v>
      </c>
      <c r="O997" s="58">
        <f>IF($C997="B",INDEX(Batters[[#All],[EYE P]],MATCH(Table5[[#This Row],[PID]],Batters[[#All],[PID]],0)),INDEX(Table3[[#All],[VELO]],MATCH(Table5[[#This Row],[PID]],Table3[[#All],[PID]],0)))</f>
        <v>1</v>
      </c>
      <c r="P997" s="58">
        <f>IF($C997="B",INDEX(Batters[[#All],[K P]],MATCH(Table5[[#This Row],[PID]],Batters[[#All],[PID]],0)),INDEX(Table3[[#All],[STM]],MATCH(Table5[[#This Row],[PID]],Table3[[#All],[PID]],0)))</f>
        <v>5</v>
      </c>
      <c r="Q997" s="63">
        <f>IF($C997="B",INDEX(Batters[[#All],[Tot]],MATCH(Table5[[#This Row],[PID]],Batters[[#All],[PID]],0)),INDEX(Table3[[#All],[Tot]],MATCH(Table5[[#This Row],[PID]],Table3[[#All],[PID]],0)))</f>
        <v>35.011624571863855</v>
      </c>
      <c r="R997" s="54">
        <f>IF($C997="B",INDEX(Batters[[#All],[zScore]],MATCH(Table5[[#This Row],[PID]],Batters[[#All],[PID]],0)),INDEX(Table3[[#All],[zScore]],MATCH(Table5[[#This Row],[PID]],Table3[[#All],[PID]],0)))</f>
        <v>-0.93894331043559776</v>
      </c>
      <c r="S997" s="60" t="str">
        <f>IF($C997="B",INDEX(Batters[[#All],[DEM]],MATCH(Table5[[#This Row],[PID]],Batters[[#All],[PID]],0)),INDEX(Table3[[#All],[DEM]],MATCH(Table5[[#This Row],[PID]],Table3[[#All],[PID]],0)))</f>
        <v>$20k</v>
      </c>
      <c r="T997" s="64">
        <f>IF($C997="B",VLOOKUP($A997,Bat!$A$4:$AU$1417,46,FALSE),VLOOKUP($A997,Pit!$A$4:$BD$570,55,FALSE))</f>
        <v>0</v>
      </c>
      <c r="U997" s="52">
        <f>IF($C997="B",VLOOKUP($A997,Bat!$A$4:$BA$1417,47,FALSE),VLOOKUP($A997,Pit!$A$4:$BF$570,56,FALSE))</f>
        <v>0</v>
      </c>
      <c r="V997" s="52">
        <f>IF($C997="B",VLOOKUP($A997,Bat!$A$4:$BA$1417,48,FALSE),VLOOKUP($A997,Pit!$A$4:$BF$570,57,FALSE))</f>
        <v>0</v>
      </c>
      <c r="W997" s="52">
        <f>Table5[[#This Row],[posRnk]]+Table5[[#This Row],[zRnk]]+IF($W$3&lt;&gt;Table5[[#This Row],[Type]],50,0)</f>
        <v>1043</v>
      </c>
      <c r="X997" s="53">
        <f>RANK(Table5[[#This Row],[zScore]],Table5[[#All],[zScore]])</f>
        <v>993</v>
      </c>
      <c r="Y997" s="52" t="str">
        <f>IFERROR(INDEX(DraftResults[[#All],[OVR]],MATCH(Table5[[#This Row],[PID]],DraftResults[[#All],[Player ID]],0)),"")</f>
        <v/>
      </c>
      <c r="Z9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7" s="52" t="str">
        <f>IFERROR(INDEX(DraftResults[[#All],[Pick in Round]],MATCH(Table5[[#This Row],[PID]],DraftResults[[#All],[Player ID]],0)),"")</f>
        <v/>
      </c>
      <c r="AB997" s="52" t="str">
        <f>IFERROR(INDEX(DraftResults[[#All],[Team Name]],MATCH(Table5[[#This Row],[PID]],DraftResults[[#All],[Player ID]],0)),"")</f>
        <v/>
      </c>
      <c r="AC997" s="52" t="str">
        <f>IF(Table5[[#This Row],[Ovr]]="","",IF(Table5[[#This Row],[cmbList]]="","",Table5[[#This Row],[cmbList]]-Table5[[#This Row],[Ovr]]))</f>
        <v/>
      </c>
      <c r="AD997" s="56" t="str">
        <f>IF(ISERROR(VLOOKUP($AB997&amp;"-"&amp;$E997&amp;" "&amp;F997,Bonuses!$B$1:$G$1006,4,FALSE)),"",INT(VLOOKUP($AB997&amp;"-"&amp;$E997&amp;" "&amp;$F997,Bonuses!$B$1:$G$1006,4,FALSE)))</f>
        <v/>
      </c>
      <c r="AE9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8" spans="1:31" s="52" customFormat="1" x14ac:dyDescent="0.25">
      <c r="A998" s="52">
        <v>17943</v>
      </c>
      <c r="B998" s="52">
        <f>COUNTIF(Table5[PID],A998)</f>
        <v>1</v>
      </c>
      <c r="C998" s="52" t="str">
        <f>IF(COUNTIF(Table3[[#All],[PID]],A998)&gt;0,"P","B")</f>
        <v>B</v>
      </c>
      <c r="D998" s="61" t="str">
        <f>IF($C998="B",INDEX(Batters[[#All],[POS]],MATCH(Table5[[#This Row],[PID]],Batters[[#All],[PID]],0)),INDEX(Table3[[#All],[POS]],MATCH(Table5[[#This Row],[PID]],Table3[[#All],[PID]],0)))</f>
        <v>1B</v>
      </c>
      <c r="E998" s="54" t="str">
        <f>IF($C998="B",INDEX(Batters[[#All],[First]],MATCH(Table5[[#This Row],[PID]],Batters[[#All],[PID]],0)),INDEX(Table3[[#All],[First]],MATCH(Table5[[#This Row],[PID]],Table3[[#All],[PID]],0)))</f>
        <v>Tsukasa</v>
      </c>
      <c r="F998" s="52" t="str">
        <f>IF($C998="B",INDEX(Batters[[#All],[Last]],MATCH(A998,Batters[[#All],[PID]],0)),INDEX(Table3[[#All],[Last]],MATCH(A998,Table3[[#All],[PID]],0)))</f>
        <v>Ueda</v>
      </c>
      <c r="G998" s="58">
        <f>IF($C998="B",INDEX(Batters[[#All],[Age]],MATCH(Table5[[#This Row],[PID]],Batters[[#All],[PID]],0)),INDEX(Table3[[#All],[Age]],MATCH(Table5[[#This Row],[PID]],Table3[[#All],[PID]],0)))</f>
        <v>18</v>
      </c>
      <c r="H998" s="54" t="str">
        <f>IF($C998="B",INDEX(Batters[[#All],[B]],MATCH(Table5[[#This Row],[PID]],Batters[[#All],[PID]],0)),INDEX(Table3[[#All],[B]],MATCH(Table5[[#This Row],[PID]],Table3[[#All],[PID]],0)))</f>
        <v>L</v>
      </c>
      <c r="I998" s="54" t="str">
        <f>IF($C998="B",INDEX(Batters[[#All],[T]],MATCH(Table5[[#This Row],[PID]],Batters[[#All],[PID]],0)),INDEX(Table3[[#All],[T]],MATCH(Table5[[#This Row],[PID]],Table3[[#All],[PID]],0)))</f>
        <v>L</v>
      </c>
      <c r="J998" s="54" t="str">
        <f>IF($C998="B",INDEX(Batters[[#All],[WE]],MATCH(Table5[[#This Row],[PID]],Batters[[#All],[PID]],0)),INDEX(Table3[[#All],[WE]],MATCH(Table5[[#This Row],[PID]],Table3[[#All],[PID]],0)))</f>
        <v>High</v>
      </c>
      <c r="K998" s="54" t="str">
        <f>IF($C998="B",INDEX(Batters[[#All],[INT]],MATCH(Table5[[#This Row],[PID]],Batters[[#All],[PID]],0)),INDEX(Table3[[#All],[INT]],MATCH(Table5[[#This Row],[PID]],Table3[[#All],[PID]],0)))</f>
        <v>Normal</v>
      </c>
      <c r="L998" s="62">
        <f>IF($C998="B",INDEX(Batters[[#All],[CON P]],MATCH(Table5[[#This Row],[PID]],Batters[[#All],[PID]],0)),INDEX(Table3[[#All],[STU P]],MATCH(Table5[[#This Row],[PID]],Table3[[#All],[PID]],0)))</f>
        <v>3</v>
      </c>
      <c r="M998" s="58">
        <f>IF($C998="B",INDEX(Batters[[#All],[GAP P]],MATCH(Table5[[#This Row],[PID]],Batters[[#All],[PID]],0)),INDEX(Table3[[#All],[MOV P]],MATCH(Table5[[#This Row],[PID]],Table3[[#All],[PID]],0)))</f>
        <v>1</v>
      </c>
      <c r="N998" s="58">
        <f>IF($C998="B",INDEX(Batters[[#All],[POW P]],MATCH(Table5[[#This Row],[PID]],Batters[[#All],[PID]],0)),INDEX(Table3[[#All],[CON P]],MATCH(Table5[[#This Row],[PID]],Table3[[#All],[PID]],0)))</f>
        <v>2</v>
      </c>
      <c r="O998" s="58">
        <f>IF($C998="B",INDEX(Batters[[#All],[EYE P]],MATCH(Table5[[#This Row],[PID]],Batters[[#All],[PID]],0)),INDEX(Table3[[#All],[VELO]],MATCH(Table5[[#This Row],[PID]],Table3[[#All],[PID]],0)))</f>
        <v>1</v>
      </c>
      <c r="P998" s="58">
        <f>IF($C998="B",INDEX(Batters[[#All],[K P]],MATCH(Table5[[#This Row],[PID]],Batters[[#All],[PID]],0)),INDEX(Table3[[#All],[STM]],MATCH(Table5[[#This Row],[PID]],Table3[[#All],[PID]],0)))</f>
        <v>3</v>
      </c>
      <c r="Q998" s="63">
        <f>IF($C998="B",INDEX(Batters[[#All],[Tot]],MATCH(Table5[[#This Row],[PID]],Batters[[#All],[PID]],0)),INDEX(Table3[[#All],[Tot]],MATCH(Table5[[#This Row],[PID]],Table3[[#All],[PID]],0)))</f>
        <v>35.011221769249786</v>
      </c>
      <c r="R998" s="54">
        <f>IF($C998="B",INDEX(Batters[[#All],[zScore]],MATCH(Table5[[#This Row],[PID]],Batters[[#All],[PID]],0)),INDEX(Table3[[#All],[zScore]],MATCH(Table5[[#This Row],[PID]],Table3[[#All],[PID]],0)))</f>
        <v>-0.93901418087839483</v>
      </c>
      <c r="S998" s="60" t="str">
        <f>IF($C998="B",INDEX(Batters[[#All],[DEM]],MATCH(Table5[[#This Row],[PID]],Batters[[#All],[PID]],0)),INDEX(Table3[[#All],[DEM]],MATCH(Table5[[#This Row],[PID]],Table3[[#All],[PID]],0)))</f>
        <v>$65k</v>
      </c>
      <c r="T998" s="64">
        <f>IF($C998="B",VLOOKUP($A998,Bat!$A$4:$AU$1417,46,FALSE),VLOOKUP($A998,Pit!$A$4:$BD$570,55,FALSE))</f>
        <v>0</v>
      </c>
      <c r="U998" s="52">
        <f>IF($C998="B",VLOOKUP($A998,Bat!$A$4:$BA$1417,47,FALSE),VLOOKUP($A998,Pit!$A$4:$BF$570,56,FALSE))</f>
        <v>0</v>
      </c>
      <c r="V998" s="52">
        <f>IF($C998="B",VLOOKUP($A998,Bat!$A$4:$BA$1417,48,FALSE),VLOOKUP($A998,Pit!$A$4:$BF$570,57,FALSE))</f>
        <v>0</v>
      </c>
      <c r="W998" s="52">
        <f>Table5[[#This Row],[posRnk]]+Table5[[#This Row],[zRnk]]+IF($W$3&lt;&gt;Table5[[#This Row],[Type]],50,0)</f>
        <v>1044</v>
      </c>
      <c r="X998" s="53">
        <f>RANK(Table5[[#This Row],[zScore]],Table5[[#All],[zScore]])</f>
        <v>994</v>
      </c>
      <c r="Y998" s="52" t="str">
        <f>IFERROR(INDEX(DraftResults[[#All],[OVR]],MATCH(Table5[[#This Row],[PID]],DraftResults[[#All],[Player ID]],0)),"")</f>
        <v/>
      </c>
      <c r="Z9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8" s="52" t="str">
        <f>IFERROR(INDEX(DraftResults[[#All],[Pick in Round]],MATCH(Table5[[#This Row],[PID]],DraftResults[[#All],[Player ID]],0)),"")</f>
        <v/>
      </c>
      <c r="AB998" s="52" t="str">
        <f>IFERROR(INDEX(DraftResults[[#All],[Team Name]],MATCH(Table5[[#This Row],[PID]],DraftResults[[#All],[Player ID]],0)),"")</f>
        <v/>
      </c>
      <c r="AC998" s="52" t="str">
        <f>IF(Table5[[#This Row],[Ovr]]="","",IF(Table5[[#This Row],[cmbList]]="","",Table5[[#This Row],[cmbList]]-Table5[[#This Row],[Ovr]]))</f>
        <v/>
      </c>
      <c r="AD998" s="56" t="str">
        <f>IF(ISERROR(VLOOKUP($AB998&amp;"-"&amp;$E998&amp;" "&amp;F998,Bonuses!$B$1:$G$1006,4,FALSE)),"",INT(VLOOKUP($AB998&amp;"-"&amp;$E998&amp;" "&amp;$F998,Bonuses!$B$1:$G$1006,4,FALSE)))</f>
        <v/>
      </c>
      <c r="AE9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9" spans="1:31" s="52" customFormat="1" x14ac:dyDescent="0.25">
      <c r="A999" s="52">
        <v>11081</v>
      </c>
      <c r="B999" s="52">
        <f>COUNTIF(Table5[PID],A999)</f>
        <v>1</v>
      </c>
      <c r="C999" s="52" t="str">
        <f>IF(COUNTIF(Table3[[#All],[PID]],A999)&gt;0,"P","B")</f>
        <v>P</v>
      </c>
      <c r="D999" s="61" t="str">
        <f>IF($C999="B",INDEX(Batters[[#All],[POS]],MATCH(Table5[[#This Row],[PID]],Batters[[#All],[PID]],0)),INDEX(Table3[[#All],[POS]],MATCH(Table5[[#This Row],[PID]],Table3[[#All],[PID]],0)))</f>
        <v>RP</v>
      </c>
      <c r="E999" s="54" t="str">
        <f>IF($C999="B",INDEX(Batters[[#All],[First]],MATCH(Table5[[#This Row],[PID]],Batters[[#All],[PID]],0)),INDEX(Table3[[#All],[First]],MATCH(Table5[[#This Row],[PID]],Table3[[#All],[PID]],0)))</f>
        <v>José</v>
      </c>
      <c r="F999" s="52" t="str">
        <f>IF($C999="B",INDEX(Batters[[#All],[Last]],MATCH(A999,Batters[[#All],[PID]],0)),INDEX(Table3[[#All],[Last]],MATCH(A999,Table3[[#All],[PID]],0)))</f>
        <v>Hernández</v>
      </c>
      <c r="G999" s="58">
        <f>IF($C999="B",INDEX(Batters[[#All],[Age]],MATCH(Table5[[#This Row],[PID]],Batters[[#All],[PID]],0)),INDEX(Table3[[#All],[Age]],MATCH(Table5[[#This Row],[PID]],Table3[[#All],[PID]],0)))</f>
        <v>18</v>
      </c>
      <c r="H999" s="54" t="str">
        <f>IF($C999="B",INDEX(Batters[[#All],[B]],MATCH(Table5[[#This Row],[PID]],Batters[[#All],[PID]],0)),INDEX(Table3[[#All],[B]],MATCH(Table5[[#This Row],[PID]],Table3[[#All],[PID]],0)))</f>
        <v>S</v>
      </c>
      <c r="I999" s="54" t="str">
        <f>IF($C999="B",INDEX(Batters[[#All],[T]],MATCH(Table5[[#This Row],[PID]],Batters[[#All],[PID]],0)),INDEX(Table3[[#All],[T]],MATCH(Table5[[#This Row],[PID]],Table3[[#All],[PID]],0)))</f>
        <v>R</v>
      </c>
      <c r="J999" s="54" t="str">
        <f>IF($C999="B",INDEX(Batters[[#All],[WE]],MATCH(Table5[[#This Row],[PID]],Batters[[#All],[PID]],0)),INDEX(Table3[[#All],[WE]],MATCH(Table5[[#This Row],[PID]],Table3[[#All],[PID]],0)))</f>
        <v>Normal</v>
      </c>
      <c r="K999" s="54" t="str">
        <f>IF($C999="B",INDEX(Batters[[#All],[INT]],MATCH(Table5[[#This Row],[PID]],Batters[[#All],[PID]],0)),INDEX(Table3[[#All],[INT]],MATCH(Table5[[#This Row],[PID]],Table3[[#All],[PID]],0)))</f>
        <v>Normal</v>
      </c>
      <c r="L999" s="62">
        <f>IF($C999="B",INDEX(Batters[[#All],[CON P]],MATCH(Table5[[#This Row],[PID]],Batters[[#All],[PID]],0)),INDEX(Table3[[#All],[STU P]],MATCH(Table5[[#This Row],[PID]],Table3[[#All],[PID]],0)))</f>
        <v>3</v>
      </c>
      <c r="M999" s="58">
        <f>IF($C999="B",INDEX(Batters[[#All],[GAP P]],MATCH(Table5[[#This Row],[PID]],Batters[[#All],[PID]],0)),INDEX(Table3[[#All],[MOV P]],MATCH(Table5[[#This Row],[PID]],Table3[[#All],[PID]],0)))</f>
        <v>2</v>
      </c>
      <c r="N999" s="58">
        <f>IF($C999="B",INDEX(Batters[[#All],[POW P]],MATCH(Table5[[#This Row],[PID]],Batters[[#All],[PID]],0)),INDEX(Table3[[#All],[CON P]],MATCH(Table5[[#This Row],[PID]],Table3[[#All],[PID]],0)))</f>
        <v>2</v>
      </c>
      <c r="O999" s="58" t="str">
        <f>IF($C999="B",INDEX(Batters[[#All],[EYE P]],MATCH(Table5[[#This Row],[PID]],Batters[[#All],[PID]],0)),INDEX(Table3[[#All],[VELO]],MATCH(Table5[[#This Row],[PID]],Table3[[#All],[PID]],0)))</f>
        <v>86-88 Mph</v>
      </c>
      <c r="P999" s="58">
        <f>IF($C999="B",INDEX(Batters[[#All],[K P]],MATCH(Table5[[#This Row],[PID]],Batters[[#All],[PID]],0)),INDEX(Table3[[#All],[STM]],MATCH(Table5[[#This Row],[PID]],Table3[[#All],[PID]],0)))</f>
        <v>1</v>
      </c>
      <c r="Q999" s="63">
        <f>IF($C999="B",INDEX(Batters[[#All],[Tot]],MATCH(Table5[[#This Row],[PID]],Batters[[#All],[PID]],0)),INDEX(Table3[[#All],[Tot]],MATCH(Table5[[#This Row],[PID]],Table3[[#All],[PID]],0)))</f>
        <v>19.659332788971831</v>
      </c>
      <c r="R999" s="54">
        <f>IF($C999="B",INDEX(Batters[[#All],[zScore]],MATCH(Table5[[#This Row],[PID]],Batters[[#All],[PID]],0)),INDEX(Table3[[#All],[zScore]],MATCH(Table5[[#This Row],[PID]],Table3[[#All],[PID]],0)))</f>
        <v>-0.94092325760874729</v>
      </c>
      <c r="S999" s="60" t="str">
        <f>IF($C999="B",INDEX(Batters[[#All],[DEM]],MATCH(Table5[[#This Row],[PID]],Batters[[#All],[PID]],0)),INDEX(Table3[[#All],[DEM]],MATCH(Table5[[#This Row],[PID]],Table3[[#All],[PID]],0)))</f>
        <v>$65k</v>
      </c>
      <c r="T999" s="64" t="e">
        <f>IF($C999="B",VLOOKUP($A999,Bat!$A$4:$AU$1417,46,FALSE),VLOOKUP($A999,Pit!$A$4:$BD$570,55,FALSE))</f>
        <v>#N/A</v>
      </c>
      <c r="U999" s="52" t="e">
        <f>IF($C999="B",VLOOKUP($A999,Bat!$A$4:$BA$1417,47,FALSE),VLOOKUP($A999,Pit!$A$4:$BF$570,56,FALSE))</f>
        <v>#N/A</v>
      </c>
      <c r="V999" s="52" t="e">
        <f>IF($C999="B",VLOOKUP($A999,Bat!$A$4:$BA$1417,48,FALSE),VLOOKUP($A999,Pit!$A$4:$BF$570,57,FALSE))</f>
        <v>#N/A</v>
      </c>
      <c r="W999" s="52" t="e">
        <f>Table5[[#This Row],[posRnk]]+Table5[[#This Row],[zRnk]]+IF($W$3&lt;&gt;Table5[[#This Row],[Type]],50,0)</f>
        <v>#N/A</v>
      </c>
      <c r="X999" s="53">
        <f>RANK(Table5[[#This Row],[zScore]],Table5[[#All],[zScore]])</f>
        <v>995</v>
      </c>
      <c r="Y999" s="52" t="str">
        <f>IFERROR(INDEX(DraftResults[[#All],[OVR]],MATCH(Table5[[#This Row],[PID]],DraftResults[[#All],[Player ID]],0)),"")</f>
        <v/>
      </c>
      <c r="Z9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9" s="52" t="str">
        <f>IFERROR(INDEX(DraftResults[[#All],[Pick in Round]],MATCH(Table5[[#This Row],[PID]],DraftResults[[#All],[Player ID]],0)),"")</f>
        <v/>
      </c>
      <c r="AB999" s="52" t="str">
        <f>IFERROR(INDEX(DraftResults[[#All],[Team Name]],MATCH(Table5[[#This Row],[PID]],DraftResults[[#All],[Player ID]],0)),"")</f>
        <v/>
      </c>
      <c r="AC999" s="52" t="str">
        <f>IF(Table5[[#This Row],[Ovr]]="","",IF(Table5[[#This Row],[cmbList]]="","",Table5[[#This Row],[cmbList]]-Table5[[#This Row],[Ovr]]))</f>
        <v/>
      </c>
      <c r="AD999" s="56" t="str">
        <f>IF(ISERROR(VLOOKUP($AB999&amp;"-"&amp;$E999&amp;" "&amp;F999,Bonuses!$B$1:$G$1006,4,FALSE)),"",INT(VLOOKUP($AB999&amp;"-"&amp;$E999&amp;" "&amp;$F999,Bonuses!$B$1:$G$1006,4,FALSE)))</f>
        <v/>
      </c>
      <c r="AE9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0" spans="1:31" s="52" customFormat="1" x14ac:dyDescent="0.25">
      <c r="A1000" s="52">
        <v>8077</v>
      </c>
      <c r="B1000" s="52">
        <f>COUNTIF(Table5[PID],A1000)</f>
        <v>1</v>
      </c>
      <c r="C1000" s="52" t="str">
        <f>IF(COUNTIF(Table3[[#All],[PID]],A1000)&gt;0,"P","B")</f>
        <v>B</v>
      </c>
      <c r="D1000" s="61" t="str">
        <f>IF($C1000="B",INDEX(Batters[[#All],[POS]],MATCH(Table5[[#This Row],[PID]],Batters[[#All],[PID]],0)),INDEX(Table3[[#All],[POS]],MATCH(Table5[[#This Row],[PID]],Table3[[#All],[PID]],0)))</f>
        <v>C</v>
      </c>
      <c r="E1000" s="54" t="str">
        <f>IF($C1000="B",INDEX(Batters[[#All],[First]],MATCH(Table5[[#This Row],[PID]],Batters[[#All],[PID]],0)),INDEX(Table3[[#All],[First]],MATCH(Table5[[#This Row],[PID]],Table3[[#All],[PID]],0)))</f>
        <v>Anthony</v>
      </c>
      <c r="F1000" s="52" t="str">
        <f>IF($C1000="B",INDEX(Batters[[#All],[Last]],MATCH(A1000,Batters[[#All],[PID]],0)),INDEX(Table3[[#All],[Last]],MATCH(A1000,Table3[[#All],[PID]],0)))</f>
        <v>Flynn</v>
      </c>
      <c r="G1000" s="58">
        <f>IF($C1000="B",INDEX(Batters[[#All],[Age]],MATCH(Table5[[#This Row],[PID]],Batters[[#All],[PID]],0)),INDEX(Table3[[#All],[Age]],MATCH(Table5[[#This Row],[PID]],Table3[[#All],[PID]],0)))</f>
        <v>18</v>
      </c>
      <c r="H1000" s="54" t="str">
        <f>IF($C1000="B",INDEX(Batters[[#All],[B]],MATCH(Table5[[#This Row],[PID]],Batters[[#All],[PID]],0)),INDEX(Table3[[#All],[B]],MATCH(Table5[[#This Row],[PID]],Table3[[#All],[PID]],0)))</f>
        <v>S</v>
      </c>
      <c r="I1000" s="54" t="str">
        <f>IF($C1000="B",INDEX(Batters[[#All],[T]],MATCH(Table5[[#This Row],[PID]],Batters[[#All],[PID]],0)),INDEX(Table3[[#All],[T]],MATCH(Table5[[#This Row],[PID]],Table3[[#All],[PID]],0)))</f>
        <v>R</v>
      </c>
      <c r="J1000" s="54" t="str">
        <f>IF($C1000="B",INDEX(Batters[[#All],[WE]],MATCH(Table5[[#This Row],[PID]],Batters[[#All],[PID]],0)),INDEX(Table3[[#All],[WE]],MATCH(Table5[[#This Row],[PID]],Table3[[#All],[PID]],0)))</f>
        <v>Normal</v>
      </c>
      <c r="K1000" s="54" t="str">
        <f>IF($C1000="B",INDEX(Batters[[#All],[INT]],MATCH(Table5[[#This Row],[PID]],Batters[[#All],[PID]],0)),INDEX(Table3[[#All],[INT]],MATCH(Table5[[#This Row],[PID]],Table3[[#All],[PID]],0)))</f>
        <v>Normal</v>
      </c>
      <c r="L1000" s="62">
        <f>IF($C1000="B",INDEX(Batters[[#All],[CON P]],MATCH(Table5[[#This Row],[PID]],Batters[[#All],[PID]],0)),INDEX(Table3[[#All],[STU P]],MATCH(Table5[[#This Row],[PID]],Table3[[#All],[PID]],0)))</f>
        <v>2</v>
      </c>
      <c r="M1000" s="58">
        <f>IF($C1000="B",INDEX(Batters[[#All],[GAP P]],MATCH(Table5[[#This Row],[PID]],Batters[[#All],[PID]],0)),INDEX(Table3[[#All],[MOV P]],MATCH(Table5[[#This Row],[PID]],Table3[[#All],[PID]],0)))</f>
        <v>1</v>
      </c>
      <c r="N1000" s="58">
        <f>IF($C1000="B",INDEX(Batters[[#All],[POW P]],MATCH(Table5[[#This Row],[PID]],Batters[[#All],[PID]],0)),INDEX(Table3[[#All],[CON P]],MATCH(Table5[[#This Row],[PID]],Table3[[#All],[PID]],0)))</f>
        <v>3</v>
      </c>
      <c r="O1000" s="58">
        <f>IF($C1000="B",INDEX(Batters[[#All],[EYE P]],MATCH(Table5[[#This Row],[PID]],Batters[[#All],[PID]],0)),INDEX(Table3[[#All],[VELO]],MATCH(Table5[[#This Row],[PID]],Table3[[#All],[PID]],0)))</f>
        <v>5</v>
      </c>
      <c r="P1000" s="58">
        <f>IF($C1000="B",INDEX(Batters[[#All],[K P]],MATCH(Table5[[#This Row],[PID]],Batters[[#All],[PID]],0)),INDEX(Table3[[#All],[STM]],MATCH(Table5[[#This Row],[PID]],Table3[[#All],[PID]],0)))</f>
        <v>1</v>
      </c>
      <c r="Q1000" s="63">
        <f>IF($C1000="B",INDEX(Batters[[#All],[Tot]],MATCH(Table5[[#This Row],[PID]],Batters[[#All],[PID]],0)),INDEX(Table3[[#All],[Tot]],MATCH(Table5[[#This Row],[PID]],Table3[[#All],[PID]],0)))</f>
        <v>34.966926862955347</v>
      </c>
      <c r="R1000" s="54">
        <f>IF($C1000="B",INDEX(Batters[[#All],[zScore]],MATCH(Table5[[#This Row],[PID]],Batters[[#All],[PID]],0)),INDEX(Table3[[#All],[zScore]],MATCH(Table5[[#This Row],[PID]],Table3[[#All],[PID]],0)))</f>
        <v>-0.94680757524351611</v>
      </c>
      <c r="S1000" s="60" t="str">
        <f>IF($C1000="B",INDEX(Batters[[#All],[DEM]],MATCH(Table5[[#This Row],[PID]],Batters[[#All],[PID]],0)),INDEX(Table3[[#All],[DEM]],MATCH(Table5[[#This Row],[PID]],Table3[[#All],[PID]],0)))</f>
        <v>$65k</v>
      </c>
      <c r="T1000" s="64">
        <f>IF($C1000="B",VLOOKUP($A1000,Bat!$A$4:$AU$1417,46,FALSE),VLOOKUP($A1000,Pit!$A$4:$BD$570,55,FALSE))</f>
        <v>0</v>
      </c>
      <c r="U1000" s="52">
        <f>IF($C1000="B",VLOOKUP($A1000,Bat!$A$4:$BA$1417,47,FALSE),VLOOKUP($A1000,Pit!$A$4:$BF$570,56,FALSE))</f>
        <v>0</v>
      </c>
      <c r="V1000" s="52">
        <f>IF($C1000="B",VLOOKUP($A1000,Bat!$A$4:$BA$1417,48,FALSE),VLOOKUP($A1000,Pit!$A$4:$BF$570,57,FALSE))</f>
        <v>0</v>
      </c>
      <c r="W1000" s="52">
        <f>Table5[[#This Row],[posRnk]]+Table5[[#This Row],[zRnk]]+IF($W$3&lt;&gt;Table5[[#This Row],[Type]],50,0)</f>
        <v>1046</v>
      </c>
      <c r="X1000" s="53">
        <f>RANK(Table5[[#This Row],[zScore]],Table5[[#All],[zScore]])</f>
        <v>996</v>
      </c>
      <c r="Y1000" s="52" t="str">
        <f>IFERROR(INDEX(DraftResults[[#All],[OVR]],MATCH(Table5[[#This Row],[PID]],DraftResults[[#All],[Player ID]],0)),"")</f>
        <v/>
      </c>
      <c r="Z10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0" s="52" t="str">
        <f>IFERROR(INDEX(DraftResults[[#All],[Pick in Round]],MATCH(Table5[[#This Row],[PID]],DraftResults[[#All],[Player ID]],0)),"")</f>
        <v/>
      </c>
      <c r="AB1000" s="52" t="str">
        <f>IFERROR(INDEX(DraftResults[[#All],[Team Name]],MATCH(Table5[[#This Row],[PID]],DraftResults[[#All],[Player ID]],0)),"")</f>
        <v/>
      </c>
      <c r="AC1000" s="52" t="str">
        <f>IF(Table5[[#This Row],[Ovr]]="","",IF(Table5[[#This Row],[cmbList]]="","",Table5[[#This Row],[cmbList]]-Table5[[#This Row],[Ovr]]))</f>
        <v/>
      </c>
      <c r="AD1000" s="56" t="str">
        <f>IF(ISERROR(VLOOKUP($AB1000&amp;"-"&amp;$E1000&amp;" "&amp;F1000,Bonuses!$B$1:$G$1006,4,FALSE)),"",INT(VLOOKUP($AB1000&amp;"-"&amp;$E1000&amp;" "&amp;$F1000,Bonuses!$B$1:$G$1006,4,FALSE)))</f>
        <v/>
      </c>
      <c r="AE10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1" spans="1:31" s="52" customFormat="1" x14ac:dyDescent="0.25">
      <c r="A1001" s="52">
        <v>5447</v>
      </c>
      <c r="B1001" s="52">
        <f>COUNTIF(Table5[PID],A1001)</f>
        <v>1</v>
      </c>
      <c r="C1001" s="52" t="str">
        <f>IF(COUNTIF(Table3[[#All],[PID]],A1001)&gt;0,"P","B")</f>
        <v>P</v>
      </c>
      <c r="D1001" s="61" t="str">
        <f>IF($C1001="B",INDEX(Batters[[#All],[POS]],MATCH(Table5[[#This Row],[PID]],Batters[[#All],[PID]],0)),INDEX(Table3[[#All],[POS]],MATCH(Table5[[#This Row],[PID]],Table3[[#All],[PID]],0)))</f>
        <v>CL</v>
      </c>
      <c r="E1001" s="54" t="str">
        <f>IF($C1001="B",INDEX(Batters[[#All],[First]],MATCH(Table5[[#This Row],[PID]],Batters[[#All],[PID]],0)),INDEX(Table3[[#All],[First]],MATCH(Table5[[#This Row],[PID]],Table3[[#All],[PID]],0)))</f>
        <v>Johnny</v>
      </c>
      <c r="F1001" s="52" t="str">
        <f>IF($C1001="B",INDEX(Batters[[#All],[Last]],MATCH(A1001,Batters[[#All],[PID]],0)),INDEX(Table3[[#All],[Last]],MATCH(A1001,Table3[[#All],[PID]],0)))</f>
        <v>Strong</v>
      </c>
      <c r="G1001" s="58">
        <f>IF($C1001="B",INDEX(Batters[[#All],[Age]],MATCH(Table5[[#This Row],[PID]],Batters[[#All],[PID]],0)),INDEX(Table3[[#All],[Age]],MATCH(Table5[[#This Row],[PID]],Table3[[#All],[PID]],0)))</f>
        <v>22</v>
      </c>
      <c r="H1001" s="54" t="str">
        <f>IF($C1001="B",INDEX(Batters[[#All],[B]],MATCH(Table5[[#This Row],[PID]],Batters[[#All],[PID]],0)),INDEX(Table3[[#All],[B]],MATCH(Table5[[#This Row],[PID]],Table3[[#All],[PID]],0)))</f>
        <v>R</v>
      </c>
      <c r="I1001" s="54" t="str">
        <f>IF($C1001="B",INDEX(Batters[[#All],[T]],MATCH(Table5[[#This Row],[PID]],Batters[[#All],[PID]],0)),INDEX(Table3[[#All],[T]],MATCH(Table5[[#This Row],[PID]],Table3[[#All],[PID]],0)))</f>
        <v>R</v>
      </c>
      <c r="J1001" s="54" t="str">
        <f>IF($C1001="B",INDEX(Batters[[#All],[WE]],MATCH(Table5[[#This Row],[PID]],Batters[[#All],[PID]],0)),INDEX(Table3[[#All],[WE]],MATCH(Table5[[#This Row],[PID]],Table3[[#All],[PID]],0)))</f>
        <v>Low</v>
      </c>
      <c r="K1001" s="54" t="str">
        <f>IF($C1001="B",INDEX(Batters[[#All],[INT]],MATCH(Table5[[#This Row],[PID]],Batters[[#All],[PID]],0)),INDEX(Table3[[#All],[INT]],MATCH(Table5[[#This Row],[PID]],Table3[[#All],[PID]],0)))</f>
        <v>Normal</v>
      </c>
      <c r="L1001" s="62">
        <f>IF($C1001="B",INDEX(Batters[[#All],[CON P]],MATCH(Table5[[#This Row],[PID]],Batters[[#All],[PID]],0)),INDEX(Table3[[#All],[STU P]],MATCH(Table5[[#This Row],[PID]],Table3[[#All],[PID]],0)))</f>
        <v>5</v>
      </c>
      <c r="M1001" s="58">
        <f>IF($C1001="B",INDEX(Batters[[#All],[GAP P]],MATCH(Table5[[#This Row],[PID]],Batters[[#All],[PID]],0)),INDEX(Table3[[#All],[MOV P]],MATCH(Table5[[#This Row],[PID]],Table3[[#All],[PID]],0)))</f>
        <v>2</v>
      </c>
      <c r="N1001" s="58">
        <f>IF($C1001="B",INDEX(Batters[[#All],[POW P]],MATCH(Table5[[#This Row],[PID]],Batters[[#All],[PID]],0)),INDEX(Table3[[#All],[CON P]],MATCH(Table5[[#This Row],[PID]],Table3[[#All],[PID]],0)))</f>
        <v>2</v>
      </c>
      <c r="O1001" s="58" t="str">
        <f>IF($C1001="B",INDEX(Batters[[#All],[EYE P]],MATCH(Table5[[#This Row],[PID]],Batters[[#All],[PID]],0)),INDEX(Table3[[#All],[VELO]],MATCH(Table5[[#This Row],[PID]],Table3[[#All],[PID]],0)))</f>
        <v>90-92 Mph</v>
      </c>
      <c r="P1001" s="58">
        <f>IF($C1001="B",INDEX(Batters[[#All],[K P]],MATCH(Table5[[#This Row],[PID]],Batters[[#All],[PID]],0)),INDEX(Table3[[#All],[STM]],MATCH(Table5[[#This Row],[PID]],Table3[[#All],[PID]],0)))</f>
        <v>6</v>
      </c>
      <c r="Q1001" s="63">
        <f>IF($C1001="B",INDEX(Batters[[#All],[Tot]],MATCH(Table5[[#This Row],[PID]],Batters[[#All],[PID]],0)),INDEX(Table3[[#All],[Tot]],MATCH(Table5[[#This Row],[PID]],Table3[[#All],[PID]],0)))</f>
        <v>22.392082385740967</v>
      </c>
      <c r="R1001" s="54">
        <f>IF($C1001="B",INDEX(Batters[[#All],[zScore]],MATCH(Table5[[#This Row],[PID]],Batters[[#All],[PID]],0)),INDEX(Table3[[#All],[zScore]],MATCH(Table5[[#This Row],[PID]],Table3[[#All],[PID]],0)))</f>
        <v>-0.94732060061295564</v>
      </c>
      <c r="S1001" s="60" t="str">
        <f>IF($C1001="B",INDEX(Batters[[#All],[DEM]],MATCH(Table5[[#This Row],[PID]],Batters[[#All],[PID]],0)),INDEX(Table3[[#All],[DEM]],MATCH(Table5[[#This Row],[PID]],Table3[[#All],[PID]],0)))</f>
        <v>-</v>
      </c>
      <c r="T1001" s="64">
        <f>IF($C1001="B",VLOOKUP($A1001,Bat!$A$4:$AU$1417,46,FALSE),VLOOKUP($A1001,Pit!$A$4:$BD$570,55,FALSE))</f>
        <v>0</v>
      </c>
      <c r="U1001" s="52">
        <f>IF($C1001="B",VLOOKUP($A1001,Bat!$A$4:$BA$1417,47,FALSE),VLOOKUP($A1001,Pit!$A$4:$BF$570,56,FALSE))</f>
        <v>0</v>
      </c>
      <c r="V1001" s="52">
        <f>IF($C1001="B",VLOOKUP($A1001,Bat!$A$4:$BA$1417,48,FALSE),VLOOKUP($A1001,Pit!$A$4:$BF$570,57,FALSE))</f>
        <v>0</v>
      </c>
      <c r="W1001" s="52">
        <f>Table5[[#This Row],[posRnk]]+Table5[[#This Row],[zRnk]]+IF($W$3&lt;&gt;Table5[[#This Row],[Type]],50,0)</f>
        <v>1047</v>
      </c>
      <c r="X1001" s="53">
        <f>RANK(Table5[[#This Row],[zScore]],Table5[[#All],[zScore]])</f>
        <v>997</v>
      </c>
      <c r="Y1001" s="52" t="str">
        <f>IFERROR(INDEX(DraftResults[[#All],[OVR]],MATCH(Table5[[#This Row],[PID]],DraftResults[[#All],[Player ID]],0)),"")</f>
        <v/>
      </c>
      <c r="Z10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1" s="52" t="str">
        <f>IFERROR(INDEX(DraftResults[[#All],[Pick in Round]],MATCH(Table5[[#This Row],[PID]],DraftResults[[#All],[Player ID]],0)),"")</f>
        <v/>
      </c>
      <c r="AB1001" s="52" t="str">
        <f>IFERROR(INDEX(DraftResults[[#All],[Team Name]],MATCH(Table5[[#This Row],[PID]],DraftResults[[#All],[Player ID]],0)),"")</f>
        <v/>
      </c>
      <c r="AC1001" s="52" t="str">
        <f>IF(Table5[[#This Row],[Ovr]]="","",IF(Table5[[#This Row],[cmbList]]="","",Table5[[#This Row],[cmbList]]-Table5[[#This Row],[Ovr]]))</f>
        <v/>
      </c>
      <c r="AD1001" s="56" t="str">
        <f>IF(ISERROR(VLOOKUP($AB1001&amp;"-"&amp;$E1001&amp;" "&amp;F1001,Bonuses!$B$1:$G$1006,4,FALSE)),"",INT(VLOOKUP($AB1001&amp;"-"&amp;$E1001&amp;" "&amp;$F1001,Bonuses!$B$1:$G$1006,4,FALSE)))</f>
        <v/>
      </c>
      <c r="AE10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2" spans="1:31" s="52" customFormat="1" x14ac:dyDescent="0.25">
      <c r="A1002" s="52">
        <v>3490</v>
      </c>
      <c r="B1002" s="52">
        <f>COUNTIF(Table5[PID],A1002)</f>
        <v>1</v>
      </c>
      <c r="C1002" s="52" t="str">
        <f>IF(COUNTIF(Table3[[#All],[PID]],A1002)&gt;0,"P","B")</f>
        <v>P</v>
      </c>
      <c r="D1002" s="61" t="str">
        <f>IF($C1002="B",INDEX(Batters[[#All],[POS]],MATCH(Table5[[#This Row],[PID]],Batters[[#All],[PID]],0)),INDEX(Table3[[#All],[POS]],MATCH(Table5[[#This Row],[PID]],Table3[[#All],[PID]],0)))</f>
        <v>SP</v>
      </c>
      <c r="E1002" s="54" t="str">
        <f>IF($C1002="B",INDEX(Batters[[#All],[First]],MATCH(Table5[[#This Row],[PID]],Batters[[#All],[PID]],0)),INDEX(Table3[[#All],[First]],MATCH(Table5[[#This Row],[PID]],Table3[[#All],[PID]],0)))</f>
        <v>Matthew</v>
      </c>
      <c r="F1002" s="52" t="str">
        <f>IF($C1002="B",INDEX(Batters[[#All],[Last]],MATCH(A1002,Batters[[#All],[PID]],0)),INDEX(Table3[[#All],[Last]],MATCH(A1002,Table3[[#All],[PID]],0)))</f>
        <v>Wilson</v>
      </c>
      <c r="G1002" s="58">
        <f>IF($C1002="B",INDEX(Batters[[#All],[Age]],MATCH(Table5[[#This Row],[PID]],Batters[[#All],[PID]],0)),INDEX(Table3[[#All],[Age]],MATCH(Table5[[#This Row],[PID]],Table3[[#All],[PID]],0)))</f>
        <v>21</v>
      </c>
      <c r="H1002" s="54" t="str">
        <f>IF($C1002="B",INDEX(Batters[[#All],[B]],MATCH(Table5[[#This Row],[PID]],Batters[[#All],[PID]],0)),INDEX(Table3[[#All],[B]],MATCH(Table5[[#This Row],[PID]],Table3[[#All],[PID]],0)))</f>
        <v>L</v>
      </c>
      <c r="I1002" s="54" t="str">
        <f>IF($C1002="B",INDEX(Batters[[#All],[T]],MATCH(Table5[[#This Row],[PID]],Batters[[#All],[PID]],0)),INDEX(Table3[[#All],[T]],MATCH(Table5[[#This Row],[PID]],Table3[[#All],[PID]],0)))</f>
        <v>L</v>
      </c>
      <c r="J1002" s="54" t="str">
        <f>IF($C1002="B",INDEX(Batters[[#All],[WE]],MATCH(Table5[[#This Row],[PID]],Batters[[#All],[PID]],0)),INDEX(Table3[[#All],[WE]],MATCH(Table5[[#This Row],[PID]],Table3[[#All],[PID]],0)))</f>
        <v>Normal</v>
      </c>
      <c r="K1002" s="54" t="str">
        <f>IF($C1002="B",INDEX(Batters[[#All],[INT]],MATCH(Table5[[#This Row],[PID]],Batters[[#All],[PID]],0)),INDEX(Table3[[#All],[INT]],MATCH(Table5[[#This Row],[PID]],Table3[[#All],[PID]],0)))</f>
        <v>Normal</v>
      </c>
      <c r="L1002" s="62">
        <f>IF($C1002="B",INDEX(Batters[[#All],[CON P]],MATCH(Table5[[#This Row],[PID]],Batters[[#All],[PID]],0)),INDEX(Table3[[#All],[STU P]],MATCH(Table5[[#This Row],[PID]],Table3[[#All],[PID]],0)))</f>
        <v>4</v>
      </c>
      <c r="M1002" s="58">
        <f>IF($C1002="B",INDEX(Batters[[#All],[GAP P]],MATCH(Table5[[#This Row],[PID]],Batters[[#All],[PID]],0)),INDEX(Table3[[#All],[MOV P]],MATCH(Table5[[#This Row],[PID]],Table3[[#All],[PID]],0)))</f>
        <v>1</v>
      </c>
      <c r="N1002" s="58">
        <f>IF($C1002="B",INDEX(Batters[[#All],[POW P]],MATCH(Table5[[#This Row],[PID]],Batters[[#All],[PID]],0)),INDEX(Table3[[#All],[CON P]],MATCH(Table5[[#This Row],[PID]],Table3[[#All],[PID]],0)))</f>
        <v>2</v>
      </c>
      <c r="O1002" s="58" t="str">
        <f>IF($C1002="B",INDEX(Batters[[#All],[EYE P]],MATCH(Table5[[#This Row],[PID]],Batters[[#All],[PID]],0)),INDEX(Table3[[#All],[VELO]],MATCH(Table5[[#This Row],[PID]],Table3[[#All],[PID]],0)))</f>
        <v>90-92 Mph</v>
      </c>
      <c r="P1002" s="58">
        <f>IF($C1002="B",INDEX(Batters[[#All],[K P]],MATCH(Table5[[#This Row],[PID]],Batters[[#All],[PID]],0)),INDEX(Table3[[#All],[STM]],MATCH(Table5[[#This Row],[PID]],Table3[[#All],[PID]],0)))</f>
        <v>6</v>
      </c>
      <c r="Q1002" s="63">
        <f>IF($C1002="B",INDEX(Batters[[#All],[Tot]],MATCH(Table5[[#This Row],[PID]],Batters[[#All],[PID]],0)),INDEX(Table3[[#All],[Tot]],MATCH(Table5[[#This Row],[PID]],Table3[[#All],[PID]],0)))</f>
        <v>22.384073902722143</v>
      </c>
      <c r="R1002" s="54">
        <f>IF($C1002="B",INDEX(Batters[[#All],[zScore]],MATCH(Table5[[#This Row],[PID]],Batters[[#All],[PID]],0)),INDEX(Table3[[#All],[zScore]],MATCH(Table5[[#This Row],[PID]],Table3[[#All],[PID]],0)))</f>
        <v>-0.94805501273475756</v>
      </c>
      <c r="S1002" s="60" t="str">
        <f>IF($C1002="B",INDEX(Batters[[#All],[DEM]],MATCH(Table5[[#This Row],[PID]],Batters[[#All],[PID]],0)),INDEX(Table3[[#All],[DEM]],MATCH(Table5[[#This Row],[PID]],Table3[[#All],[PID]],0)))</f>
        <v>$20k</v>
      </c>
      <c r="T1002" s="64">
        <f>IF($C1002="B",VLOOKUP($A1002,Bat!$A$4:$AU$1417,46,FALSE),VLOOKUP($A1002,Pit!$A$4:$BD$570,55,FALSE))</f>
        <v>0</v>
      </c>
      <c r="U1002" s="52">
        <f>IF($C1002="B",VLOOKUP($A1002,Bat!$A$4:$BA$1417,47,FALSE),VLOOKUP($A1002,Pit!$A$4:$BF$570,56,FALSE))</f>
        <v>0</v>
      </c>
      <c r="V1002" s="52">
        <f>IF($C1002="B",VLOOKUP($A1002,Bat!$A$4:$BA$1417,48,FALSE),VLOOKUP($A1002,Pit!$A$4:$BF$570,57,FALSE))</f>
        <v>0</v>
      </c>
      <c r="W1002" s="52">
        <f>Table5[[#This Row],[posRnk]]+Table5[[#This Row],[zRnk]]+IF($W$3&lt;&gt;Table5[[#This Row],[Type]],50,0)</f>
        <v>1048</v>
      </c>
      <c r="X1002" s="53">
        <f>RANK(Table5[[#This Row],[zScore]],Table5[[#All],[zScore]])</f>
        <v>998</v>
      </c>
      <c r="Y1002" s="52" t="str">
        <f>IFERROR(INDEX(DraftResults[[#All],[OVR]],MATCH(Table5[[#This Row],[PID]],DraftResults[[#All],[Player ID]],0)),"")</f>
        <v/>
      </c>
      <c r="Z10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2" s="52" t="str">
        <f>IFERROR(INDEX(DraftResults[[#All],[Pick in Round]],MATCH(Table5[[#This Row],[PID]],DraftResults[[#All],[Player ID]],0)),"")</f>
        <v/>
      </c>
      <c r="AB1002" s="52" t="str">
        <f>IFERROR(INDEX(DraftResults[[#All],[Team Name]],MATCH(Table5[[#This Row],[PID]],DraftResults[[#All],[Player ID]],0)),"")</f>
        <v/>
      </c>
      <c r="AC1002" s="52" t="str">
        <f>IF(Table5[[#This Row],[Ovr]]="","",IF(Table5[[#This Row],[cmbList]]="","",Table5[[#This Row],[cmbList]]-Table5[[#This Row],[Ovr]]))</f>
        <v/>
      </c>
      <c r="AD1002" s="56" t="str">
        <f>IF(ISERROR(VLOOKUP($AB1002&amp;"-"&amp;$E1002&amp;" "&amp;F1002,Bonuses!$B$1:$G$1006,4,FALSE)),"",INT(VLOOKUP($AB1002&amp;"-"&amp;$E1002&amp;" "&amp;$F1002,Bonuses!$B$1:$G$1006,4,FALSE)))</f>
        <v/>
      </c>
      <c r="AE10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3" spans="1:31" s="52" customFormat="1" x14ac:dyDescent="0.25">
      <c r="A1003" s="52">
        <v>4884</v>
      </c>
      <c r="B1003" s="52">
        <f>COUNTIF(Table5[PID],A1003)</f>
        <v>1</v>
      </c>
      <c r="C1003" s="52" t="str">
        <f>IF(COUNTIF(Table3[[#All],[PID]],A1003)&gt;0,"P","B")</f>
        <v>B</v>
      </c>
      <c r="D1003" s="61" t="str">
        <f>IF($C1003="B",INDEX(Batters[[#All],[POS]],MATCH(Table5[[#This Row],[PID]],Batters[[#All],[PID]],0)),INDEX(Table3[[#All],[POS]],MATCH(Table5[[#This Row],[PID]],Table3[[#All],[PID]],0)))</f>
        <v>2B</v>
      </c>
      <c r="E1003" s="54" t="str">
        <f>IF($C1003="B",INDEX(Batters[[#All],[First]],MATCH(Table5[[#This Row],[PID]],Batters[[#All],[PID]],0)),INDEX(Table3[[#All],[First]],MATCH(Table5[[#This Row],[PID]],Table3[[#All],[PID]],0)))</f>
        <v>Doug</v>
      </c>
      <c r="F1003" s="52" t="str">
        <f>IF($C1003="B",INDEX(Batters[[#All],[Last]],MATCH(A1003,Batters[[#All],[PID]],0)),INDEX(Table3[[#All],[Last]],MATCH(A1003,Table3[[#All],[PID]],0)))</f>
        <v>Nickels</v>
      </c>
      <c r="G1003" s="58">
        <f>IF($C1003="B",INDEX(Batters[[#All],[Age]],MATCH(Table5[[#This Row],[PID]],Batters[[#All],[PID]],0)),INDEX(Table3[[#All],[Age]],MATCH(Table5[[#This Row],[PID]],Table3[[#All],[PID]],0)))</f>
        <v>22</v>
      </c>
      <c r="H1003" s="54" t="str">
        <f>IF($C1003="B",INDEX(Batters[[#All],[B]],MATCH(Table5[[#This Row],[PID]],Batters[[#All],[PID]],0)),INDEX(Table3[[#All],[B]],MATCH(Table5[[#This Row],[PID]],Table3[[#All],[PID]],0)))</f>
        <v>R</v>
      </c>
      <c r="I1003" s="54" t="str">
        <f>IF($C1003="B",INDEX(Batters[[#All],[T]],MATCH(Table5[[#This Row],[PID]],Batters[[#All],[PID]],0)),INDEX(Table3[[#All],[T]],MATCH(Table5[[#This Row],[PID]],Table3[[#All],[PID]],0)))</f>
        <v>R</v>
      </c>
      <c r="J1003" s="54" t="str">
        <f>IF($C1003="B",INDEX(Batters[[#All],[WE]],MATCH(Table5[[#This Row],[PID]],Batters[[#All],[PID]],0)),INDEX(Table3[[#All],[WE]],MATCH(Table5[[#This Row],[PID]],Table3[[#All],[PID]],0)))</f>
        <v>Low</v>
      </c>
      <c r="K1003" s="54" t="str">
        <f>IF($C1003="B",INDEX(Batters[[#All],[INT]],MATCH(Table5[[#This Row],[PID]],Batters[[#All],[PID]],0)),INDEX(Table3[[#All],[INT]],MATCH(Table5[[#This Row],[PID]],Table3[[#All],[PID]],0)))</f>
        <v>Normal</v>
      </c>
      <c r="L1003" s="62">
        <f>IF($C1003="B",INDEX(Batters[[#All],[CON P]],MATCH(Table5[[#This Row],[PID]],Batters[[#All],[PID]],0)),INDEX(Table3[[#All],[STU P]],MATCH(Table5[[#This Row],[PID]],Table3[[#All],[PID]],0)))</f>
        <v>3</v>
      </c>
      <c r="M1003" s="58">
        <f>IF($C1003="B",INDEX(Batters[[#All],[GAP P]],MATCH(Table5[[#This Row],[PID]],Batters[[#All],[PID]],0)),INDEX(Table3[[#All],[MOV P]],MATCH(Table5[[#This Row],[PID]],Table3[[#All],[PID]],0)))</f>
        <v>3</v>
      </c>
      <c r="N1003" s="58">
        <f>IF($C1003="B",INDEX(Batters[[#All],[POW P]],MATCH(Table5[[#This Row],[PID]],Batters[[#All],[PID]],0)),INDEX(Table3[[#All],[CON P]],MATCH(Table5[[#This Row],[PID]],Table3[[#All],[PID]],0)))</f>
        <v>2</v>
      </c>
      <c r="O1003" s="58">
        <f>IF($C1003="B",INDEX(Batters[[#All],[EYE P]],MATCH(Table5[[#This Row],[PID]],Batters[[#All],[PID]],0)),INDEX(Table3[[#All],[VELO]],MATCH(Table5[[#This Row],[PID]],Table3[[#All],[PID]],0)))</f>
        <v>4</v>
      </c>
      <c r="P1003" s="58">
        <f>IF($C1003="B",INDEX(Batters[[#All],[K P]],MATCH(Table5[[#This Row],[PID]],Batters[[#All],[PID]],0)),INDEX(Table3[[#All],[STM]],MATCH(Table5[[#This Row],[PID]],Table3[[#All],[PID]],0)))</f>
        <v>4</v>
      </c>
      <c r="Q1003" s="63">
        <f>IF($C1003="B",INDEX(Batters[[#All],[Tot]],MATCH(Table5[[#This Row],[PID]],Batters[[#All],[PID]],0)),INDEX(Table3[[#All],[Tot]],MATCH(Table5[[#This Row],[PID]],Table3[[#All],[PID]],0)))</f>
        <v>34.938399585480056</v>
      </c>
      <c r="R1003" s="54">
        <f>IF($C1003="B",INDEX(Batters[[#All],[zScore]],MATCH(Table5[[#This Row],[PID]],Batters[[#All],[PID]],0)),INDEX(Table3[[#All],[zScore]],MATCH(Table5[[#This Row],[PID]],Table3[[#All],[PID]],0)))</f>
        <v>-0.95182676011435297</v>
      </c>
      <c r="S1003" s="60" t="str">
        <f>IF($C1003="B",INDEX(Batters[[#All],[DEM]],MATCH(Table5[[#This Row],[PID]],Batters[[#All],[PID]],0)),INDEX(Table3[[#All],[DEM]],MATCH(Table5[[#This Row],[PID]],Table3[[#All],[PID]],0)))</f>
        <v>-</v>
      </c>
      <c r="T1003" s="64">
        <f>IF($C1003="B",VLOOKUP($A1003,Bat!$A$4:$AU$1417,46,FALSE),VLOOKUP($A1003,Pit!$A$4:$BD$570,55,FALSE))</f>
        <v>0</v>
      </c>
      <c r="U1003" s="52">
        <f>IF($C1003="B",VLOOKUP($A1003,Bat!$A$4:$BA$1417,47,FALSE),VLOOKUP($A1003,Pit!$A$4:$BF$570,56,FALSE))</f>
        <v>0</v>
      </c>
      <c r="V1003" s="52">
        <f>IF($C1003="B",VLOOKUP($A1003,Bat!$A$4:$BA$1417,48,FALSE),VLOOKUP($A1003,Pit!$A$4:$BF$570,57,FALSE))</f>
        <v>0</v>
      </c>
      <c r="W1003" s="52">
        <f>Table5[[#This Row],[posRnk]]+Table5[[#This Row],[zRnk]]+IF($W$3&lt;&gt;Table5[[#This Row],[Type]],50,0)</f>
        <v>1049</v>
      </c>
      <c r="X1003" s="53">
        <f>RANK(Table5[[#This Row],[zScore]],Table5[[#All],[zScore]])</f>
        <v>999</v>
      </c>
      <c r="Y1003" s="52" t="str">
        <f>IFERROR(INDEX(DraftResults[[#All],[OVR]],MATCH(Table5[[#This Row],[PID]],DraftResults[[#All],[Player ID]],0)),"")</f>
        <v/>
      </c>
      <c r="Z10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3" s="52" t="str">
        <f>IFERROR(INDEX(DraftResults[[#All],[Pick in Round]],MATCH(Table5[[#This Row],[PID]],DraftResults[[#All],[Player ID]],0)),"")</f>
        <v/>
      </c>
      <c r="AB1003" s="52" t="str">
        <f>IFERROR(INDEX(DraftResults[[#All],[Team Name]],MATCH(Table5[[#This Row],[PID]],DraftResults[[#All],[Player ID]],0)),"")</f>
        <v/>
      </c>
      <c r="AC1003" s="52" t="str">
        <f>IF(Table5[[#This Row],[Ovr]]="","",IF(Table5[[#This Row],[cmbList]]="","",Table5[[#This Row],[cmbList]]-Table5[[#This Row],[Ovr]]))</f>
        <v/>
      </c>
      <c r="AD1003" s="56" t="str">
        <f>IF(ISERROR(VLOOKUP($AB1003&amp;"-"&amp;$E1003&amp;" "&amp;F1003,Bonuses!$B$1:$G$1006,4,FALSE)),"",INT(VLOOKUP($AB1003&amp;"-"&amp;$E1003&amp;" "&amp;$F1003,Bonuses!$B$1:$G$1006,4,FALSE)))</f>
        <v/>
      </c>
      <c r="AE10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4" spans="1:31" s="52" customFormat="1" x14ac:dyDescent="0.25">
      <c r="A1004" s="52">
        <v>17636</v>
      </c>
      <c r="B1004" s="52">
        <f>COUNTIF(Table5[PID],A1004)</f>
        <v>1</v>
      </c>
      <c r="C1004" s="52" t="str">
        <f>IF(COUNTIF(Table3[[#All],[PID]],A1004)&gt;0,"P","B")</f>
        <v>P</v>
      </c>
      <c r="D1004" s="61" t="str">
        <f>IF($C1004="B",INDEX(Batters[[#All],[POS]],MATCH(Table5[[#This Row],[PID]],Batters[[#All],[PID]],0)),INDEX(Table3[[#All],[POS]],MATCH(Table5[[#This Row],[PID]],Table3[[#All],[PID]],0)))</f>
        <v>RP</v>
      </c>
      <c r="E1004" s="54" t="str">
        <f>IF($C1004="B",INDEX(Batters[[#All],[First]],MATCH(Table5[[#This Row],[PID]],Batters[[#All],[PID]],0)),INDEX(Table3[[#All],[First]],MATCH(Table5[[#This Row],[PID]],Table3[[#All],[PID]],0)))</f>
        <v>Dale</v>
      </c>
      <c r="F1004" s="52" t="str">
        <f>IF($C1004="B",INDEX(Batters[[#All],[Last]],MATCH(A1004,Batters[[#All],[PID]],0)),INDEX(Table3[[#All],[Last]],MATCH(A1004,Table3[[#All],[PID]],0)))</f>
        <v>Garrett</v>
      </c>
      <c r="G1004" s="58">
        <f>IF($C1004="B",INDEX(Batters[[#All],[Age]],MATCH(Table5[[#This Row],[PID]],Batters[[#All],[PID]],0)),INDEX(Table3[[#All],[Age]],MATCH(Table5[[#This Row],[PID]],Table3[[#All],[PID]],0)))</f>
        <v>18</v>
      </c>
      <c r="H1004" s="54" t="str">
        <f>IF($C1004="B",INDEX(Batters[[#All],[B]],MATCH(Table5[[#This Row],[PID]],Batters[[#All],[PID]],0)),INDEX(Table3[[#All],[B]],MATCH(Table5[[#This Row],[PID]],Table3[[#All],[PID]],0)))</f>
        <v>R</v>
      </c>
      <c r="I1004" s="54" t="str">
        <f>IF($C1004="B",INDEX(Batters[[#All],[T]],MATCH(Table5[[#This Row],[PID]],Batters[[#All],[PID]],0)),INDEX(Table3[[#All],[T]],MATCH(Table5[[#This Row],[PID]],Table3[[#All],[PID]],0)))</f>
        <v>R</v>
      </c>
      <c r="J1004" s="54" t="str">
        <f>IF($C1004="B",INDEX(Batters[[#All],[WE]],MATCH(Table5[[#This Row],[PID]],Batters[[#All],[PID]],0)),INDEX(Table3[[#All],[WE]],MATCH(Table5[[#This Row],[PID]],Table3[[#All],[PID]],0)))</f>
        <v>Low</v>
      </c>
      <c r="K1004" s="54" t="str">
        <f>IF($C1004="B",INDEX(Batters[[#All],[INT]],MATCH(Table5[[#This Row],[PID]],Batters[[#All],[PID]],0)),INDEX(Table3[[#All],[INT]],MATCH(Table5[[#This Row],[PID]],Table3[[#All],[PID]],0)))</f>
        <v>Low</v>
      </c>
      <c r="L1004" s="62">
        <f>IF($C1004="B",INDEX(Batters[[#All],[CON P]],MATCH(Table5[[#This Row],[PID]],Batters[[#All],[PID]],0)),INDEX(Table3[[#All],[STU P]],MATCH(Table5[[#This Row],[PID]],Table3[[#All],[PID]],0)))</f>
        <v>2</v>
      </c>
      <c r="M1004" s="58">
        <f>IF($C1004="B",INDEX(Batters[[#All],[GAP P]],MATCH(Table5[[#This Row],[PID]],Batters[[#All],[PID]],0)),INDEX(Table3[[#All],[MOV P]],MATCH(Table5[[#This Row],[PID]],Table3[[#All],[PID]],0)))</f>
        <v>2</v>
      </c>
      <c r="N1004" s="58">
        <f>IF($C1004="B",INDEX(Batters[[#All],[POW P]],MATCH(Table5[[#This Row],[PID]],Batters[[#All],[PID]],0)),INDEX(Table3[[#All],[CON P]],MATCH(Table5[[#This Row],[PID]],Table3[[#All],[PID]],0)))</f>
        <v>1</v>
      </c>
      <c r="O1004" s="58" t="str">
        <f>IF($C1004="B",INDEX(Batters[[#All],[EYE P]],MATCH(Table5[[#This Row],[PID]],Batters[[#All],[PID]],0)),INDEX(Table3[[#All],[VELO]],MATCH(Table5[[#This Row],[PID]],Table3[[#All],[PID]],0)))</f>
        <v>84-86 Mph</v>
      </c>
      <c r="P1004" s="58">
        <f>IF($C1004="B",INDEX(Batters[[#All],[K P]],MATCH(Table5[[#This Row],[PID]],Batters[[#All],[PID]],0)),INDEX(Table3[[#All],[STM]],MATCH(Table5[[#This Row],[PID]],Table3[[#All],[PID]],0)))</f>
        <v>5</v>
      </c>
      <c r="Q1004" s="63">
        <f>IF($C1004="B",INDEX(Batters[[#All],[Tot]],MATCH(Table5[[#This Row],[PID]],Batters[[#All],[PID]],0)),INDEX(Table3[[#All],[Tot]],MATCH(Table5[[#This Row],[PID]],Table3[[#All],[PID]],0)))</f>
        <v>19.530481650057894</v>
      </c>
      <c r="R1004" s="54">
        <f>IF($C1004="B",INDEX(Batters[[#All],[zScore]],MATCH(Table5[[#This Row],[PID]],Batters[[#All],[PID]],0)),INDEX(Table3[[#All],[zScore]],MATCH(Table5[[#This Row],[PID]],Table3[[#All],[PID]],0)))</f>
        <v>-0.95221610665221657</v>
      </c>
      <c r="S1004" s="60" t="str">
        <f>IF($C1004="B",INDEX(Batters[[#All],[DEM]],MATCH(Table5[[#This Row],[PID]],Batters[[#All],[PID]],0)),INDEX(Table3[[#All],[DEM]],MATCH(Table5[[#This Row],[PID]],Table3[[#All],[PID]],0)))</f>
        <v>$80k</v>
      </c>
      <c r="T1004" s="64" t="e">
        <f>IF($C1004="B",VLOOKUP($A1004,Bat!$A$4:$AU$1417,46,FALSE),VLOOKUP($A1004,Pit!$A$4:$BD$570,55,FALSE))</f>
        <v>#N/A</v>
      </c>
      <c r="U1004" s="52" t="e">
        <f>IF($C1004="B",VLOOKUP($A1004,Bat!$A$4:$BA$1417,47,FALSE),VLOOKUP($A1004,Pit!$A$4:$BF$570,56,FALSE))</f>
        <v>#N/A</v>
      </c>
      <c r="V1004" s="52" t="e">
        <f>IF($C1004="B",VLOOKUP($A1004,Bat!$A$4:$BA$1417,48,FALSE),VLOOKUP($A1004,Pit!$A$4:$BF$570,57,FALSE))</f>
        <v>#N/A</v>
      </c>
      <c r="W1004" s="52" t="e">
        <f>Table5[[#This Row],[posRnk]]+Table5[[#This Row],[zRnk]]+IF($W$3&lt;&gt;Table5[[#This Row],[Type]],50,0)</f>
        <v>#N/A</v>
      </c>
      <c r="X1004" s="53">
        <f>RANK(Table5[[#This Row],[zScore]],Table5[[#All],[zScore]])</f>
        <v>1000</v>
      </c>
      <c r="Y1004" s="52" t="str">
        <f>IFERROR(INDEX(DraftResults[[#All],[OVR]],MATCH(Table5[[#This Row],[PID]],DraftResults[[#All],[Player ID]],0)),"")</f>
        <v/>
      </c>
      <c r="Z10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4" s="52" t="str">
        <f>IFERROR(INDEX(DraftResults[[#All],[Pick in Round]],MATCH(Table5[[#This Row],[PID]],DraftResults[[#All],[Player ID]],0)),"")</f>
        <v/>
      </c>
      <c r="AB1004" s="52" t="str">
        <f>IFERROR(INDEX(DraftResults[[#All],[Team Name]],MATCH(Table5[[#This Row],[PID]],DraftResults[[#All],[Player ID]],0)),"")</f>
        <v/>
      </c>
      <c r="AC1004" s="52" t="str">
        <f>IF(Table5[[#This Row],[Ovr]]="","",IF(Table5[[#This Row],[cmbList]]="","",Table5[[#This Row],[cmbList]]-Table5[[#This Row],[Ovr]]))</f>
        <v/>
      </c>
      <c r="AD1004" s="56" t="str">
        <f>IF(ISERROR(VLOOKUP($AB1004&amp;"-"&amp;$E1004&amp;" "&amp;F1004,Bonuses!$B$1:$G$1006,4,FALSE)),"",INT(VLOOKUP($AB1004&amp;"-"&amp;$E1004&amp;" "&amp;$F1004,Bonuses!$B$1:$G$1006,4,FALSE)))</f>
        <v/>
      </c>
      <c r="AE10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5" spans="1:31" s="52" customFormat="1" x14ac:dyDescent="0.25">
      <c r="A1005" s="52">
        <v>14492</v>
      </c>
      <c r="B1005" s="52">
        <f>COUNTIF(Table5[PID],A1005)</f>
        <v>1</v>
      </c>
      <c r="C1005" s="52" t="str">
        <f>IF(COUNTIF(Table3[[#All],[PID]],A1005)&gt;0,"P","B")</f>
        <v>P</v>
      </c>
      <c r="D1005" s="61" t="str">
        <f>IF($C1005="B",INDEX(Batters[[#All],[POS]],MATCH(Table5[[#This Row],[PID]],Batters[[#All],[PID]],0)),INDEX(Table3[[#All],[POS]],MATCH(Table5[[#This Row],[PID]],Table3[[#All],[PID]],0)))</f>
        <v>RP</v>
      </c>
      <c r="E1005" s="54" t="str">
        <f>IF($C1005="B",INDEX(Batters[[#All],[First]],MATCH(Table5[[#This Row],[PID]],Batters[[#All],[PID]],0)),INDEX(Table3[[#All],[First]],MATCH(Table5[[#This Row],[PID]],Table3[[#All],[PID]],0)))</f>
        <v>Juan</v>
      </c>
      <c r="F1005" s="52" t="str">
        <f>IF($C1005="B",INDEX(Batters[[#All],[Last]],MATCH(A1005,Batters[[#All],[PID]],0)),INDEX(Table3[[#All],[Last]],MATCH(A1005,Table3[[#All],[PID]],0)))</f>
        <v>Díaz</v>
      </c>
      <c r="G1005" s="58">
        <f>IF($C1005="B",INDEX(Batters[[#All],[Age]],MATCH(Table5[[#This Row],[PID]],Batters[[#All],[PID]],0)),INDEX(Table3[[#All],[Age]],MATCH(Table5[[#This Row],[PID]],Table3[[#All],[PID]],0)))</f>
        <v>21</v>
      </c>
      <c r="H1005" s="54" t="str">
        <f>IF($C1005="B",INDEX(Batters[[#All],[B]],MATCH(Table5[[#This Row],[PID]],Batters[[#All],[PID]],0)),INDEX(Table3[[#All],[B]],MATCH(Table5[[#This Row],[PID]],Table3[[#All],[PID]],0)))</f>
        <v>S</v>
      </c>
      <c r="I1005" s="54" t="str">
        <f>IF($C1005="B",INDEX(Batters[[#All],[T]],MATCH(Table5[[#This Row],[PID]],Batters[[#All],[PID]],0)),INDEX(Table3[[#All],[T]],MATCH(Table5[[#This Row],[PID]],Table3[[#All],[PID]],0)))</f>
        <v>R</v>
      </c>
      <c r="J1005" s="54" t="str">
        <f>IF($C1005="B",INDEX(Batters[[#All],[WE]],MATCH(Table5[[#This Row],[PID]],Batters[[#All],[PID]],0)),INDEX(Table3[[#All],[WE]],MATCH(Table5[[#This Row],[PID]],Table3[[#All],[PID]],0)))</f>
        <v>Low</v>
      </c>
      <c r="K1005" s="54" t="str">
        <f>IF($C1005="B",INDEX(Batters[[#All],[INT]],MATCH(Table5[[#This Row],[PID]],Batters[[#All],[PID]],0)),INDEX(Table3[[#All],[INT]],MATCH(Table5[[#This Row],[PID]],Table3[[#All],[PID]],0)))</f>
        <v>Normal</v>
      </c>
      <c r="L1005" s="62">
        <f>IF($C1005="B",INDEX(Batters[[#All],[CON P]],MATCH(Table5[[#This Row],[PID]],Batters[[#All],[PID]],0)),INDEX(Table3[[#All],[STU P]],MATCH(Table5[[#This Row],[PID]],Table3[[#All],[PID]],0)))</f>
        <v>3</v>
      </c>
      <c r="M1005" s="58">
        <f>IF($C1005="B",INDEX(Batters[[#All],[GAP P]],MATCH(Table5[[#This Row],[PID]],Batters[[#All],[PID]],0)),INDEX(Table3[[#All],[MOV P]],MATCH(Table5[[#This Row],[PID]],Table3[[#All],[PID]],0)))</f>
        <v>1</v>
      </c>
      <c r="N1005" s="58">
        <f>IF($C1005="B",INDEX(Batters[[#All],[POW P]],MATCH(Table5[[#This Row],[PID]],Batters[[#All],[PID]],0)),INDEX(Table3[[#All],[CON P]],MATCH(Table5[[#This Row],[PID]],Table3[[#All],[PID]],0)))</f>
        <v>3</v>
      </c>
      <c r="O1005" s="58" t="str">
        <f>IF($C1005="B",INDEX(Batters[[#All],[EYE P]],MATCH(Table5[[#This Row],[PID]],Batters[[#All],[PID]],0)),INDEX(Table3[[#All],[VELO]],MATCH(Table5[[#This Row],[PID]],Table3[[#All],[PID]],0)))</f>
        <v>85-87 Mph</v>
      </c>
      <c r="P1005" s="58">
        <f>IF($C1005="B",INDEX(Batters[[#All],[K P]],MATCH(Table5[[#This Row],[PID]],Batters[[#All],[PID]],0)),INDEX(Table3[[#All],[STM]],MATCH(Table5[[#This Row],[PID]],Table3[[#All],[PID]],0)))</f>
        <v>6</v>
      </c>
      <c r="Q1005" s="63">
        <f>IF($C1005="B",INDEX(Batters[[#All],[Tot]],MATCH(Table5[[#This Row],[PID]],Batters[[#All],[PID]],0)),INDEX(Table3[[#All],[Tot]],MATCH(Table5[[#This Row],[PID]],Table3[[#All],[PID]],0)))</f>
        <v>22.301135339340668</v>
      </c>
      <c r="R1005" s="54">
        <f>IF($C1005="B",INDEX(Batters[[#All],[zScore]],MATCH(Table5[[#This Row],[PID]],Batters[[#All],[PID]],0)),INDEX(Table3[[#All],[zScore]],MATCH(Table5[[#This Row],[PID]],Table3[[#All],[PID]],0)))</f>
        <v>-0.955660833483709</v>
      </c>
      <c r="S1005" s="60" t="str">
        <f>IF($C1005="B",INDEX(Batters[[#All],[DEM]],MATCH(Table5[[#This Row],[PID]],Batters[[#All],[PID]],0)),INDEX(Table3[[#All],[DEM]],MATCH(Table5[[#This Row],[PID]],Table3[[#All],[PID]],0)))</f>
        <v>-</v>
      </c>
      <c r="T1005" s="64">
        <f>IF($C1005="B",VLOOKUP($A1005,Bat!$A$4:$AU$1417,46,FALSE),VLOOKUP($A1005,Pit!$A$4:$BD$570,55,FALSE))</f>
        <v>0</v>
      </c>
      <c r="U1005" s="52">
        <f>IF($C1005="B",VLOOKUP($A1005,Bat!$A$4:$BA$1417,47,FALSE),VLOOKUP($A1005,Pit!$A$4:$BF$570,56,FALSE))</f>
        <v>0</v>
      </c>
      <c r="V1005" s="52">
        <f>IF($C1005="B",VLOOKUP($A1005,Bat!$A$4:$BA$1417,48,FALSE),VLOOKUP($A1005,Pit!$A$4:$BF$570,57,FALSE))</f>
        <v>0</v>
      </c>
      <c r="W1005" s="52">
        <f>Table5[[#This Row],[posRnk]]+Table5[[#This Row],[zRnk]]+IF($W$3&lt;&gt;Table5[[#This Row],[Type]],50,0)</f>
        <v>1051</v>
      </c>
      <c r="X1005" s="53">
        <f>RANK(Table5[[#This Row],[zScore]],Table5[[#All],[zScore]])</f>
        <v>1001</v>
      </c>
      <c r="Y1005" s="52" t="str">
        <f>IFERROR(INDEX(DraftResults[[#All],[OVR]],MATCH(Table5[[#This Row],[PID]],DraftResults[[#All],[Player ID]],0)),"")</f>
        <v/>
      </c>
      <c r="Z10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5" s="52" t="str">
        <f>IFERROR(INDEX(DraftResults[[#All],[Pick in Round]],MATCH(Table5[[#This Row],[PID]],DraftResults[[#All],[Player ID]],0)),"")</f>
        <v/>
      </c>
      <c r="AB1005" s="52" t="str">
        <f>IFERROR(INDEX(DraftResults[[#All],[Team Name]],MATCH(Table5[[#This Row],[PID]],DraftResults[[#All],[Player ID]],0)),"")</f>
        <v/>
      </c>
      <c r="AC1005" s="52" t="str">
        <f>IF(Table5[[#This Row],[Ovr]]="","",IF(Table5[[#This Row],[cmbList]]="","",Table5[[#This Row],[cmbList]]-Table5[[#This Row],[Ovr]]))</f>
        <v/>
      </c>
      <c r="AD1005" s="56" t="str">
        <f>IF(ISERROR(VLOOKUP($AB1005&amp;"-"&amp;$E1005&amp;" "&amp;F1005,Bonuses!$B$1:$G$1006,4,FALSE)),"",INT(VLOOKUP($AB1005&amp;"-"&amp;$E1005&amp;" "&amp;$F1005,Bonuses!$B$1:$G$1006,4,FALSE)))</f>
        <v/>
      </c>
      <c r="AE10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6" spans="1:31" s="52" customFormat="1" x14ac:dyDescent="0.25">
      <c r="A1006" s="52">
        <v>9130</v>
      </c>
      <c r="B1006" s="52">
        <f>COUNTIF(Table5[PID],A1006)</f>
        <v>1</v>
      </c>
      <c r="C1006" s="52" t="str">
        <f>IF(COUNTIF(Table3[[#All],[PID]],A1006)&gt;0,"P","B")</f>
        <v>B</v>
      </c>
      <c r="D1006" s="61" t="str">
        <f>IF($C1006="B",INDEX(Batters[[#All],[POS]],MATCH(Table5[[#This Row],[PID]],Batters[[#All],[PID]],0)),INDEX(Table3[[#All],[POS]],MATCH(Table5[[#This Row],[PID]],Table3[[#All],[PID]],0)))</f>
        <v>1B</v>
      </c>
      <c r="E1006" s="54" t="str">
        <f>IF($C1006="B",INDEX(Batters[[#All],[First]],MATCH(Table5[[#This Row],[PID]],Batters[[#All],[PID]],0)),INDEX(Table3[[#All],[First]],MATCH(Table5[[#This Row],[PID]],Table3[[#All],[PID]],0)))</f>
        <v>Fred</v>
      </c>
      <c r="F1006" s="52" t="str">
        <f>IF($C1006="B",INDEX(Batters[[#All],[Last]],MATCH(A1006,Batters[[#All],[PID]],0)),INDEX(Table3[[#All],[Last]],MATCH(A1006,Table3[[#All],[PID]],0)))</f>
        <v>Ward</v>
      </c>
      <c r="G1006" s="58">
        <f>IF($C1006="B",INDEX(Batters[[#All],[Age]],MATCH(Table5[[#This Row],[PID]],Batters[[#All],[PID]],0)),INDEX(Table3[[#All],[Age]],MATCH(Table5[[#This Row],[PID]],Table3[[#All],[PID]],0)))</f>
        <v>21</v>
      </c>
      <c r="H1006" s="54" t="str">
        <f>IF($C1006="B",INDEX(Batters[[#All],[B]],MATCH(Table5[[#This Row],[PID]],Batters[[#All],[PID]],0)),INDEX(Table3[[#All],[B]],MATCH(Table5[[#This Row],[PID]],Table3[[#All],[PID]],0)))</f>
        <v>L</v>
      </c>
      <c r="I1006" s="54" t="str">
        <f>IF($C1006="B",INDEX(Batters[[#All],[T]],MATCH(Table5[[#This Row],[PID]],Batters[[#All],[PID]],0)),INDEX(Table3[[#All],[T]],MATCH(Table5[[#This Row],[PID]],Table3[[#All],[PID]],0)))</f>
        <v>R</v>
      </c>
      <c r="J1006" s="54" t="str">
        <f>IF($C1006="B",INDEX(Batters[[#All],[WE]],MATCH(Table5[[#This Row],[PID]],Batters[[#All],[PID]],0)),INDEX(Table3[[#All],[WE]],MATCH(Table5[[#This Row],[PID]],Table3[[#All],[PID]],0)))</f>
        <v>Low</v>
      </c>
      <c r="K1006" s="54" t="str">
        <f>IF($C1006="B",INDEX(Batters[[#All],[INT]],MATCH(Table5[[#This Row],[PID]],Batters[[#All],[PID]],0)),INDEX(Table3[[#All],[INT]],MATCH(Table5[[#This Row],[PID]],Table3[[#All],[PID]],0)))</f>
        <v>High</v>
      </c>
      <c r="L1006" s="62">
        <f>IF($C1006="B",INDEX(Batters[[#All],[CON P]],MATCH(Table5[[#This Row],[PID]],Batters[[#All],[PID]],0)),INDEX(Table3[[#All],[STU P]],MATCH(Table5[[#This Row],[PID]],Table3[[#All],[PID]],0)))</f>
        <v>3</v>
      </c>
      <c r="M1006" s="58">
        <f>IF($C1006="B",INDEX(Batters[[#All],[GAP P]],MATCH(Table5[[#This Row],[PID]],Batters[[#All],[PID]],0)),INDEX(Table3[[#All],[MOV P]],MATCH(Table5[[#This Row],[PID]],Table3[[#All],[PID]],0)))</f>
        <v>4</v>
      </c>
      <c r="N1006" s="58">
        <f>IF($C1006="B",INDEX(Batters[[#All],[POW P]],MATCH(Table5[[#This Row],[PID]],Batters[[#All],[PID]],0)),INDEX(Table3[[#All],[CON P]],MATCH(Table5[[#This Row],[PID]],Table3[[#All],[PID]],0)))</f>
        <v>2</v>
      </c>
      <c r="O1006" s="58">
        <f>IF($C1006="B",INDEX(Batters[[#All],[EYE P]],MATCH(Table5[[#This Row],[PID]],Batters[[#All],[PID]],0)),INDEX(Table3[[#All],[VELO]],MATCH(Table5[[#This Row],[PID]],Table3[[#All],[PID]],0)))</f>
        <v>3</v>
      </c>
      <c r="P1006" s="58">
        <f>IF($C1006="B",INDEX(Batters[[#All],[K P]],MATCH(Table5[[#This Row],[PID]],Batters[[#All],[PID]],0)),INDEX(Table3[[#All],[STM]],MATCH(Table5[[#This Row],[PID]],Table3[[#All],[PID]],0)))</f>
        <v>4</v>
      </c>
      <c r="Q1006" s="63">
        <f>IF($C1006="B",INDEX(Batters[[#All],[Tot]],MATCH(Table5[[#This Row],[PID]],Batters[[#All],[PID]],0)),INDEX(Table3[[#All],[Tot]],MATCH(Table5[[#This Row],[PID]],Table3[[#All],[PID]],0)))</f>
        <v>34.892347957169257</v>
      </c>
      <c r="R1006" s="54">
        <f>IF($C1006="B",INDEX(Batters[[#All],[zScore]],MATCH(Table5[[#This Row],[PID]],Batters[[#All],[PID]],0)),INDEX(Table3[[#All],[zScore]],MATCH(Table5[[#This Row],[PID]],Table3[[#All],[PID]],0)))</f>
        <v>-0.95992923804254526</v>
      </c>
      <c r="S1006" s="60" t="str">
        <f>IF($C1006="B",INDEX(Batters[[#All],[DEM]],MATCH(Table5[[#This Row],[PID]],Batters[[#All],[PID]],0)),INDEX(Table3[[#All],[DEM]],MATCH(Table5[[#This Row],[PID]],Table3[[#All],[PID]],0)))</f>
        <v>-</v>
      </c>
      <c r="T1006" s="64">
        <f>IF($C1006="B",VLOOKUP($A1006,Bat!$A$4:$AU$1417,46,FALSE),VLOOKUP($A1006,Pit!$A$4:$BD$570,55,FALSE))</f>
        <v>0</v>
      </c>
      <c r="U1006" s="52">
        <f>IF($C1006="B",VLOOKUP($A1006,Bat!$A$4:$BA$1417,47,FALSE),VLOOKUP($A1006,Pit!$A$4:$BF$570,56,FALSE))</f>
        <v>0</v>
      </c>
      <c r="V1006" s="52">
        <f>IF($C1006="B",VLOOKUP($A1006,Bat!$A$4:$BA$1417,48,FALSE),VLOOKUP($A1006,Pit!$A$4:$BF$570,57,FALSE))</f>
        <v>0</v>
      </c>
      <c r="W1006" s="52">
        <f>Table5[[#This Row],[posRnk]]+Table5[[#This Row],[zRnk]]+IF($W$3&lt;&gt;Table5[[#This Row],[Type]],50,0)</f>
        <v>1052</v>
      </c>
      <c r="X1006" s="53">
        <f>RANK(Table5[[#This Row],[zScore]],Table5[[#All],[zScore]])</f>
        <v>1002</v>
      </c>
      <c r="Y1006" s="52" t="str">
        <f>IFERROR(INDEX(DraftResults[[#All],[OVR]],MATCH(Table5[[#This Row],[PID]],DraftResults[[#All],[Player ID]],0)),"")</f>
        <v/>
      </c>
      <c r="Z10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6" s="52" t="str">
        <f>IFERROR(INDEX(DraftResults[[#All],[Pick in Round]],MATCH(Table5[[#This Row],[PID]],DraftResults[[#All],[Player ID]],0)),"")</f>
        <v/>
      </c>
      <c r="AB1006" s="52" t="str">
        <f>IFERROR(INDEX(DraftResults[[#All],[Team Name]],MATCH(Table5[[#This Row],[PID]],DraftResults[[#All],[Player ID]],0)),"")</f>
        <v/>
      </c>
      <c r="AC1006" s="52" t="str">
        <f>IF(Table5[[#This Row],[Ovr]]="","",IF(Table5[[#This Row],[cmbList]]="","",Table5[[#This Row],[cmbList]]-Table5[[#This Row],[Ovr]]))</f>
        <v/>
      </c>
      <c r="AD1006" s="56" t="str">
        <f>IF(ISERROR(VLOOKUP($AB1006&amp;"-"&amp;$E1006&amp;" "&amp;F1006,Bonuses!$B$1:$G$1006,4,FALSE)),"",INT(VLOOKUP($AB1006&amp;"-"&amp;$E1006&amp;" "&amp;$F1006,Bonuses!$B$1:$G$1006,4,FALSE)))</f>
        <v/>
      </c>
      <c r="AE10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7" spans="1:31" s="52" customFormat="1" x14ac:dyDescent="0.25">
      <c r="A1007" s="52">
        <v>12183</v>
      </c>
      <c r="B1007" s="52">
        <f>COUNTIF(Table5[PID],A1007)</f>
        <v>1</v>
      </c>
      <c r="C1007" s="52" t="str">
        <f>IF(COUNTIF(Table3[[#All],[PID]],A1007)&gt;0,"P","B")</f>
        <v>P</v>
      </c>
      <c r="D1007" s="61" t="str">
        <f>IF($C1007="B",INDEX(Batters[[#All],[POS]],MATCH(Table5[[#This Row],[PID]],Batters[[#All],[PID]],0)),INDEX(Table3[[#All],[POS]],MATCH(Table5[[#This Row],[PID]],Table3[[#All],[PID]],0)))</f>
        <v>RP</v>
      </c>
      <c r="E1007" s="54" t="str">
        <f>IF($C1007="B",INDEX(Batters[[#All],[First]],MATCH(Table5[[#This Row],[PID]],Batters[[#All],[PID]],0)),INDEX(Table3[[#All],[First]],MATCH(Table5[[#This Row],[PID]],Table3[[#All],[PID]],0)))</f>
        <v>Peter</v>
      </c>
      <c r="F1007" s="52" t="str">
        <f>IF($C1007="B",INDEX(Batters[[#All],[Last]],MATCH(A1007,Batters[[#All],[PID]],0)),INDEX(Table3[[#All],[Last]],MATCH(A1007,Table3[[#All],[PID]],0)))</f>
        <v>Jones</v>
      </c>
      <c r="G1007" s="58">
        <f>IF($C1007="B",INDEX(Batters[[#All],[Age]],MATCH(Table5[[#This Row],[PID]],Batters[[#All],[PID]],0)),INDEX(Table3[[#All],[Age]],MATCH(Table5[[#This Row],[PID]],Table3[[#All],[PID]],0)))</f>
        <v>21</v>
      </c>
      <c r="H1007" s="54" t="str">
        <f>IF($C1007="B",INDEX(Batters[[#All],[B]],MATCH(Table5[[#This Row],[PID]],Batters[[#All],[PID]],0)),INDEX(Table3[[#All],[B]],MATCH(Table5[[#This Row],[PID]],Table3[[#All],[PID]],0)))</f>
        <v>R</v>
      </c>
      <c r="I1007" s="54" t="str">
        <f>IF($C1007="B",INDEX(Batters[[#All],[T]],MATCH(Table5[[#This Row],[PID]],Batters[[#All],[PID]],0)),INDEX(Table3[[#All],[T]],MATCH(Table5[[#This Row],[PID]],Table3[[#All],[PID]],0)))</f>
        <v>R</v>
      </c>
      <c r="J1007" s="54" t="str">
        <f>IF($C1007="B",INDEX(Batters[[#All],[WE]],MATCH(Table5[[#This Row],[PID]],Batters[[#All],[PID]],0)),INDEX(Table3[[#All],[WE]],MATCH(Table5[[#This Row],[PID]],Table3[[#All],[PID]],0)))</f>
        <v>Low</v>
      </c>
      <c r="K1007" s="54" t="str">
        <f>IF($C1007="B",INDEX(Batters[[#All],[INT]],MATCH(Table5[[#This Row],[PID]],Batters[[#All],[PID]],0)),INDEX(Table3[[#All],[INT]],MATCH(Table5[[#This Row],[PID]],Table3[[#All],[PID]],0)))</f>
        <v>Normal</v>
      </c>
      <c r="L1007" s="62">
        <f>IF($C1007="B",INDEX(Batters[[#All],[CON P]],MATCH(Table5[[#This Row],[PID]],Batters[[#All],[PID]],0)),INDEX(Table3[[#All],[STU P]],MATCH(Table5[[#This Row],[PID]],Table3[[#All],[PID]],0)))</f>
        <v>5</v>
      </c>
      <c r="M1007" s="58">
        <f>IF($C1007="B",INDEX(Batters[[#All],[GAP P]],MATCH(Table5[[#This Row],[PID]],Batters[[#All],[PID]],0)),INDEX(Table3[[#All],[MOV P]],MATCH(Table5[[#This Row],[PID]],Table3[[#All],[PID]],0)))</f>
        <v>2</v>
      </c>
      <c r="N1007" s="58">
        <f>IF($C1007="B",INDEX(Batters[[#All],[POW P]],MATCH(Table5[[#This Row],[PID]],Batters[[#All],[PID]],0)),INDEX(Table3[[#All],[CON P]],MATCH(Table5[[#This Row],[PID]],Table3[[#All],[PID]],0)))</f>
        <v>2</v>
      </c>
      <c r="O1007" s="58" t="str">
        <f>IF($C1007="B",INDEX(Batters[[#All],[EYE P]],MATCH(Table5[[#This Row],[PID]],Batters[[#All],[PID]],0)),INDEX(Table3[[#All],[VELO]],MATCH(Table5[[#This Row],[PID]],Table3[[#All],[PID]],0)))</f>
        <v>92-94 Mph</v>
      </c>
      <c r="P1007" s="58">
        <f>IF($C1007="B",INDEX(Batters[[#All],[K P]],MATCH(Table5[[#This Row],[PID]],Batters[[#All],[PID]],0)),INDEX(Table3[[#All],[STM]],MATCH(Table5[[#This Row],[PID]],Table3[[#All],[PID]],0)))</f>
        <v>5</v>
      </c>
      <c r="Q1007" s="63">
        <f>IF($C1007="B",INDEX(Batters[[#All],[Tot]],MATCH(Table5[[#This Row],[PID]],Batters[[#All],[PID]],0)),INDEX(Table3[[#All],[Tot]],MATCH(Table5[[#This Row],[PID]],Table3[[#All],[PID]],0)))</f>
        <v>22.242082385740964</v>
      </c>
      <c r="R1007" s="54">
        <f>IF($C1007="B",INDEX(Batters[[#All],[zScore]],MATCH(Table5[[#This Row],[PID]],Batters[[#All],[PID]],0)),INDEX(Table3[[#All],[zScore]],MATCH(Table5[[#This Row],[PID]],Table3[[#All],[PID]],0)))</f>
        <v>-0.96107624172643014</v>
      </c>
      <c r="S1007" s="60" t="str">
        <f>IF($C1007="B",INDEX(Batters[[#All],[DEM]],MATCH(Table5[[#This Row],[PID]],Batters[[#All],[PID]],0)),INDEX(Table3[[#All],[DEM]],MATCH(Table5[[#This Row],[PID]],Table3[[#All],[PID]],0)))</f>
        <v>$20k</v>
      </c>
      <c r="T1007" s="64">
        <f>IF($C1007="B",VLOOKUP($A1007,Bat!$A$4:$AU$1417,46,FALSE),VLOOKUP($A1007,Pit!$A$4:$BD$570,55,FALSE))</f>
        <v>0</v>
      </c>
      <c r="U1007" s="52">
        <f>IF($C1007="B",VLOOKUP($A1007,Bat!$A$4:$BA$1417,47,FALSE),VLOOKUP($A1007,Pit!$A$4:$BF$570,56,FALSE))</f>
        <v>0</v>
      </c>
      <c r="V1007" s="52">
        <f>IF($C1007="B",VLOOKUP($A1007,Bat!$A$4:$BA$1417,48,FALSE),VLOOKUP($A1007,Pit!$A$4:$BF$570,57,FALSE))</f>
        <v>0</v>
      </c>
      <c r="W1007" s="52">
        <f>Table5[[#This Row],[posRnk]]+Table5[[#This Row],[zRnk]]+IF($W$3&lt;&gt;Table5[[#This Row],[Type]],50,0)</f>
        <v>1053</v>
      </c>
      <c r="X1007" s="53">
        <f>RANK(Table5[[#This Row],[zScore]],Table5[[#All],[zScore]])</f>
        <v>1003</v>
      </c>
      <c r="Y1007" s="52" t="str">
        <f>IFERROR(INDEX(DraftResults[[#All],[OVR]],MATCH(Table5[[#This Row],[PID]],DraftResults[[#All],[Player ID]],0)),"")</f>
        <v/>
      </c>
      <c r="Z10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7" s="52" t="str">
        <f>IFERROR(INDEX(DraftResults[[#All],[Pick in Round]],MATCH(Table5[[#This Row],[PID]],DraftResults[[#All],[Player ID]],0)),"")</f>
        <v/>
      </c>
      <c r="AB1007" s="52" t="str">
        <f>IFERROR(INDEX(DraftResults[[#All],[Team Name]],MATCH(Table5[[#This Row],[PID]],DraftResults[[#All],[Player ID]],0)),"")</f>
        <v/>
      </c>
      <c r="AC1007" s="52" t="str">
        <f>IF(Table5[[#This Row],[Ovr]]="","",IF(Table5[[#This Row],[cmbList]]="","",Table5[[#This Row],[cmbList]]-Table5[[#This Row],[Ovr]]))</f>
        <v/>
      </c>
      <c r="AD1007" s="56" t="str">
        <f>IF(ISERROR(VLOOKUP($AB1007&amp;"-"&amp;$E1007&amp;" "&amp;F1007,Bonuses!$B$1:$G$1006,4,FALSE)),"",INT(VLOOKUP($AB1007&amp;"-"&amp;$E1007&amp;" "&amp;$F1007,Bonuses!$B$1:$G$1006,4,FALSE)))</f>
        <v/>
      </c>
      <c r="AE10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8" spans="1:31" s="52" customFormat="1" x14ac:dyDescent="0.25">
      <c r="A1008" s="52">
        <v>17932</v>
      </c>
      <c r="B1008" s="52">
        <f>COUNTIF(Table5[PID],A1008)</f>
        <v>1</v>
      </c>
      <c r="C1008" s="52" t="str">
        <f>IF(COUNTIF(Table3[[#All],[PID]],A1008)&gt;0,"P","B")</f>
        <v>P</v>
      </c>
      <c r="D1008" s="61" t="str">
        <f>IF($C1008="B",INDEX(Batters[[#All],[POS]],MATCH(Table5[[#This Row],[PID]],Batters[[#All],[PID]],0)),INDEX(Table3[[#All],[POS]],MATCH(Table5[[#This Row],[PID]],Table3[[#All],[PID]],0)))</f>
        <v>RP</v>
      </c>
      <c r="E1008" s="54" t="str">
        <f>IF($C1008="B",INDEX(Batters[[#All],[First]],MATCH(Table5[[#This Row],[PID]],Batters[[#All],[PID]],0)),INDEX(Table3[[#All],[First]],MATCH(Table5[[#This Row],[PID]],Table3[[#All],[PID]],0)))</f>
        <v>Yoichibei</v>
      </c>
      <c r="F1008" s="52" t="str">
        <f>IF($C1008="B",INDEX(Batters[[#All],[Last]],MATCH(A1008,Batters[[#All],[PID]],0)),INDEX(Table3[[#All],[Last]],MATCH(A1008,Table3[[#All],[PID]],0)))</f>
        <v>Abe</v>
      </c>
      <c r="G1008" s="58">
        <f>IF($C1008="B",INDEX(Batters[[#All],[Age]],MATCH(Table5[[#This Row],[PID]],Batters[[#All],[PID]],0)),INDEX(Table3[[#All],[Age]],MATCH(Table5[[#This Row],[PID]],Table3[[#All],[PID]],0)))</f>
        <v>18</v>
      </c>
      <c r="H1008" s="54" t="str">
        <f>IF($C1008="B",INDEX(Batters[[#All],[B]],MATCH(Table5[[#This Row],[PID]],Batters[[#All],[PID]],0)),INDEX(Table3[[#All],[B]],MATCH(Table5[[#This Row],[PID]],Table3[[#All],[PID]],0)))</f>
        <v>R</v>
      </c>
      <c r="I1008" s="54" t="str">
        <f>IF($C1008="B",INDEX(Batters[[#All],[T]],MATCH(Table5[[#This Row],[PID]],Batters[[#All],[PID]],0)),INDEX(Table3[[#All],[T]],MATCH(Table5[[#This Row],[PID]],Table3[[#All],[PID]],0)))</f>
        <v>R</v>
      </c>
      <c r="J1008" s="54" t="str">
        <f>IF($C1008="B",INDEX(Batters[[#All],[WE]],MATCH(Table5[[#This Row],[PID]],Batters[[#All],[PID]],0)),INDEX(Table3[[#All],[WE]],MATCH(Table5[[#This Row],[PID]],Table3[[#All],[PID]],0)))</f>
        <v>Low</v>
      </c>
      <c r="K1008" s="54" t="str">
        <f>IF($C1008="B",INDEX(Batters[[#All],[INT]],MATCH(Table5[[#This Row],[PID]],Batters[[#All],[PID]],0)),INDEX(Table3[[#All],[INT]],MATCH(Table5[[#This Row],[PID]],Table3[[#All],[PID]],0)))</f>
        <v>Normal</v>
      </c>
      <c r="L1008" s="62">
        <f>IF($C1008="B",INDEX(Batters[[#All],[CON P]],MATCH(Table5[[#This Row],[PID]],Batters[[#All],[PID]],0)),INDEX(Table3[[#All],[STU P]],MATCH(Table5[[#This Row],[PID]],Table3[[#All],[PID]],0)))</f>
        <v>3</v>
      </c>
      <c r="M1008" s="58">
        <f>IF($C1008="B",INDEX(Batters[[#All],[GAP P]],MATCH(Table5[[#This Row],[PID]],Batters[[#All],[PID]],0)),INDEX(Table3[[#All],[MOV P]],MATCH(Table5[[#This Row],[PID]],Table3[[#All],[PID]],0)))</f>
        <v>1</v>
      </c>
      <c r="N1008" s="58">
        <f>IF($C1008="B",INDEX(Batters[[#All],[POW P]],MATCH(Table5[[#This Row],[PID]],Batters[[#All],[PID]],0)),INDEX(Table3[[#All],[CON P]],MATCH(Table5[[#This Row],[PID]],Table3[[#All],[PID]],0)))</f>
        <v>2</v>
      </c>
      <c r="O1008" s="58" t="str">
        <f>IF($C1008="B",INDEX(Batters[[#All],[EYE P]],MATCH(Table5[[#This Row],[PID]],Batters[[#All],[PID]],0)),INDEX(Table3[[#All],[VELO]],MATCH(Table5[[#This Row],[PID]],Table3[[#All],[PID]],0)))</f>
        <v>86-88 Mph</v>
      </c>
      <c r="P1008" s="58">
        <f>IF($C1008="B",INDEX(Batters[[#All],[K P]],MATCH(Table5[[#This Row],[PID]],Batters[[#All],[PID]],0)),INDEX(Table3[[#All],[STM]],MATCH(Table5[[#This Row],[PID]],Table3[[#All],[PID]],0)))</f>
        <v>10</v>
      </c>
      <c r="Q1008" s="63">
        <f>IF($C1008="B",INDEX(Batters[[#All],[Tot]],MATCH(Table5[[#This Row],[PID]],Batters[[#All],[PID]],0)),INDEX(Table3[[#All],[Tot]],MATCH(Table5[[#This Row],[PID]],Table3[[#All],[PID]],0)))</f>
        <v>22.225278823782844</v>
      </c>
      <c r="R1008" s="54">
        <f>IF($C1008="B",INDEX(Batters[[#All],[zScore]],MATCH(Table5[[#This Row],[PID]],Batters[[#All],[PID]],0)),INDEX(Table3[[#All],[zScore]],MATCH(Table5[[#This Row],[PID]],Table3[[#All],[PID]],0)))</f>
        <v>-0.96261720017792307</v>
      </c>
      <c r="S1008" s="60" t="str">
        <f>IF($C1008="B",INDEX(Batters[[#All],[DEM]],MATCH(Table5[[#This Row],[PID]],Batters[[#All],[PID]],0)),INDEX(Table3[[#All],[DEM]],MATCH(Table5[[#This Row],[PID]],Table3[[#All],[PID]],0)))</f>
        <v>$75k</v>
      </c>
      <c r="T1008" s="64">
        <f>IF($C1008="B",VLOOKUP($A1008,Bat!$A$4:$AU$1417,46,FALSE),VLOOKUP($A1008,Pit!$A$4:$BD$570,55,FALSE))</f>
        <v>0</v>
      </c>
      <c r="U1008" s="52">
        <f>IF($C1008="B",VLOOKUP($A1008,Bat!$A$4:$BA$1417,47,FALSE),VLOOKUP($A1008,Pit!$A$4:$BF$570,56,FALSE))</f>
        <v>0</v>
      </c>
      <c r="V1008" s="52">
        <f>IF($C1008="B",VLOOKUP($A1008,Bat!$A$4:$BA$1417,48,FALSE),VLOOKUP($A1008,Pit!$A$4:$BF$570,57,FALSE))</f>
        <v>0</v>
      </c>
      <c r="W1008" s="52">
        <f>Table5[[#This Row],[posRnk]]+Table5[[#This Row],[zRnk]]+IF($W$3&lt;&gt;Table5[[#This Row],[Type]],50,0)</f>
        <v>1054</v>
      </c>
      <c r="X1008" s="53">
        <f>RANK(Table5[[#This Row],[zScore]],Table5[[#All],[zScore]])</f>
        <v>1004</v>
      </c>
      <c r="Y1008" s="52" t="str">
        <f>IFERROR(INDEX(DraftResults[[#All],[OVR]],MATCH(Table5[[#This Row],[PID]],DraftResults[[#All],[Player ID]],0)),"")</f>
        <v/>
      </c>
      <c r="Z10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8" s="52" t="str">
        <f>IFERROR(INDEX(DraftResults[[#All],[Pick in Round]],MATCH(Table5[[#This Row],[PID]],DraftResults[[#All],[Player ID]],0)),"")</f>
        <v/>
      </c>
      <c r="AB1008" s="52" t="str">
        <f>IFERROR(INDEX(DraftResults[[#All],[Team Name]],MATCH(Table5[[#This Row],[PID]],DraftResults[[#All],[Player ID]],0)),"")</f>
        <v/>
      </c>
      <c r="AC1008" s="52" t="str">
        <f>IF(Table5[[#This Row],[Ovr]]="","",IF(Table5[[#This Row],[cmbList]]="","",Table5[[#This Row],[cmbList]]-Table5[[#This Row],[Ovr]]))</f>
        <v/>
      </c>
      <c r="AD1008" s="56" t="str">
        <f>IF(ISERROR(VLOOKUP($AB1008&amp;"-"&amp;$E1008&amp;" "&amp;F1008,Bonuses!$B$1:$G$1006,4,FALSE)),"",INT(VLOOKUP($AB1008&amp;"-"&amp;$E1008&amp;" "&amp;$F1008,Bonuses!$B$1:$G$1006,4,FALSE)))</f>
        <v/>
      </c>
      <c r="AE10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9" spans="1:31" s="52" customFormat="1" x14ac:dyDescent="0.25">
      <c r="A1009" s="52">
        <v>4541</v>
      </c>
      <c r="B1009" s="52">
        <f>COUNTIF(Table5[PID],A1009)</f>
        <v>1</v>
      </c>
      <c r="C1009" s="52" t="str">
        <f>IF(COUNTIF(Table3[[#All],[PID]],A1009)&gt;0,"P","B")</f>
        <v>P</v>
      </c>
      <c r="D1009" s="61" t="str">
        <f>IF($C1009="B",INDEX(Batters[[#All],[POS]],MATCH(Table5[[#This Row],[PID]],Batters[[#All],[PID]],0)),INDEX(Table3[[#All],[POS]],MATCH(Table5[[#This Row],[PID]],Table3[[#All],[PID]],0)))</f>
        <v>SP</v>
      </c>
      <c r="E1009" s="54" t="str">
        <f>IF($C1009="B",INDEX(Batters[[#All],[First]],MATCH(Table5[[#This Row],[PID]],Batters[[#All],[PID]],0)),INDEX(Table3[[#All],[First]],MATCH(Table5[[#This Row],[PID]],Table3[[#All],[PID]],0)))</f>
        <v>Mike</v>
      </c>
      <c r="F1009" s="52" t="str">
        <f>IF($C1009="B",INDEX(Batters[[#All],[Last]],MATCH(A1009,Batters[[#All],[PID]],0)),INDEX(Table3[[#All],[Last]],MATCH(A1009,Table3[[#All],[PID]],0)))</f>
        <v>Walsh</v>
      </c>
      <c r="G1009" s="58">
        <f>IF($C1009="B",INDEX(Batters[[#All],[Age]],MATCH(Table5[[#This Row],[PID]],Batters[[#All],[PID]],0)),INDEX(Table3[[#All],[Age]],MATCH(Table5[[#This Row],[PID]],Table3[[#All],[PID]],0)))</f>
        <v>21</v>
      </c>
      <c r="H1009" s="54" t="str">
        <f>IF($C1009="B",INDEX(Batters[[#All],[B]],MATCH(Table5[[#This Row],[PID]],Batters[[#All],[PID]],0)),INDEX(Table3[[#All],[B]],MATCH(Table5[[#This Row],[PID]],Table3[[#All],[PID]],0)))</f>
        <v>R</v>
      </c>
      <c r="I1009" s="54" t="str">
        <f>IF($C1009="B",INDEX(Batters[[#All],[T]],MATCH(Table5[[#This Row],[PID]],Batters[[#All],[PID]],0)),INDEX(Table3[[#All],[T]],MATCH(Table5[[#This Row],[PID]],Table3[[#All],[PID]],0)))</f>
        <v>R</v>
      </c>
      <c r="J1009" s="54" t="str">
        <f>IF($C1009="B",INDEX(Batters[[#All],[WE]],MATCH(Table5[[#This Row],[PID]],Batters[[#All],[PID]],0)),INDEX(Table3[[#All],[WE]],MATCH(Table5[[#This Row],[PID]],Table3[[#All],[PID]],0)))</f>
        <v>Normal</v>
      </c>
      <c r="K1009" s="54" t="str">
        <f>IF($C1009="B",INDEX(Batters[[#All],[INT]],MATCH(Table5[[#This Row],[PID]],Batters[[#All],[PID]],0)),INDEX(Table3[[#All],[INT]],MATCH(Table5[[#This Row],[PID]],Table3[[#All],[PID]],0)))</f>
        <v>High</v>
      </c>
      <c r="L1009" s="62">
        <f>IF($C1009="B",INDEX(Batters[[#All],[CON P]],MATCH(Table5[[#This Row],[PID]],Batters[[#All],[PID]],0)),INDEX(Table3[[#All],[STU P]],MATCH(Table5[[#This Row],[PID]],Table3[[#All],[PID]],0)))</f>
        <v>4</v>
      </c>
      <c r="M1009" s="58">
        <f>IF($C1009="B",INDEX(Batters[[#All],[GAP P]],MATCH(Table5[[#This Row],[PID]],Batters[[#All],[PID]],0)),INDEX(Table3[[#All],[MOV P]],MATCH(Table5[[#This Row],[PID]],Table3[[#All],[PID]],0)))</f>
        <v>1</v>
      </c>
      <c r="N1009" s="58">
        <f>IF($C1009="B",INDEX(Batters[[#All],[POW P]],MATCH(Table5[[#This Row],[PID]],Batters[[#All],[PID]],0)),INDEX(Table3[[#All],[CON P]],MATCH(Table5[[#This Row],[PID]],Table3[[#All],[PID]],0)))</f>
        <v>2</v>
      </c>
      <c r="O1009" s="58" t="str">
        <f>IF($C1009="B",INDEX(Batters[[#All],[EYE P]],MATCH(Table5[[#This Row],[PID]],Batters[[#All],[PID]],0)),INDEX(Table3[[#All],[VELO]],MATCH(Table5[[#This Row],[PID]],Table3[[#All],[PID]],0)))</f>
        <v>91-93 Mph</v>
      </c>
      <c r="P1009" s="58">
        <f>IF($C1009="B",INDEX(Batters[[#All],[K P]],MATCH(Table5[[#This Row],[PID]],Batters[[#All],[PID]],0)),INDEX(Table3[[#All],[STM]],MATCH(Table5[[#This Row],[PID]],Table3[[#All],[PID]],0)))</f>
        <v>7</v>
      </c>
      <c r="Q1009" s="63">
        <f>IF($C1009="B",INDEX(Batters[[#All],[Tot]],MATCH(Table5[[#This Row],[PID]],Batters[[#All],[PID]],0)),INDEX(Table3[[#All],[Tot]],MATCH(Table5[[#This Row],[PID]],Table3[[#All],[PID]],0)))</f>
        <v>22.2067424643304</v>
      </c>
      <c r="R1009" s="54">
        <f>IF($C1009="B",INDEX(Batters[[#All],[zScore]],MATCH(Table5[[#This Row],[PID]],Batters[[#All],[PID]],0)),INDEX(Table3[[#All],[zScore]],MATCH(Table5[[#This Row],[PID]],Table3[[#All],[PID]],0)))</f>
        <v>-0.96431706356577762</v>
      </c>
      <c r="S1009" s="60" t="str">
        <f>IF($C1009="B",INDEX(Batters[[#All],[DEM]],MATCH(Table5[[#This Row],[PID]],Batters[[#All],[PID]],0)),INDEX(Table3[[#All],[DEM]],MATCH(Table5[[#This Row],[PID]],Table3[[#All],[PID]],0)))</f>
        <v>$20k</v>
      </c>
      <c r="T1009" s="64">
        <f>IF($C1009="B",VLOOKUP($A1009,Bat!$A$4:$AU$1417,46,FALSE),VLOOKUP($A1009,Pit!$A$4:$BD$570,55,FALSE))</f>
        <v>0</v>
      </c>
      <c r="U1009" s="52">
        <f>IF($C1009="B",VLOOKUP($A1009,Bat!$A$4:$BA$1417,47,FALSE),VLOOKUP($A1009,Pit!$A$4:$BF$570,56,FALSE))</f>
        <v>0</v>
      </c>
      <c r="V1009" s="52">
        <f>IF($C1009="B",VLOOKUP($A1009,Bat!$A$4:$BA$1417,48,FALSE),VLOOKUP($A1009,Pit!$A$4:$BF$570,57,FALSE))</f>
        <v>0</v>
      </c>
      <c r="W1009" s="52">
        <f>Table5[[#This Row],[posRnk]]+Table5[[#This Row],[zRnk]]+IF($W$3&lt;&gt;Table5[[#This Row],[Type]],50,0)</f>
        <v>1055</v>
      </c>
      <c r="X1009" s="53">
        <f>RANK(Table5[[#This Row],[zScore]],Table5[[#All],[zScore]])</f>
        <v>1005</v>
      </c>
      <c r="Y1009" s="52" t="str">
        <f>IFERROR(INDEX(DraftResults[[#All],[OVR]],MATCH(Table5[[#This Row],[PID]],DraftResults[[#All],[Player ID]],0)),"")</f>
        <v/>
      </c>
      <c r="Z10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9" s="52" t="str">
        <f>IFERROR(INDEX(DraftResults[[#All],[Pick in Round]],MATCH(Table5[[#This Row],[PID]],DraftResults[[#All],[Player ID]],0)),"")</f>
        <v/>
      </c>
      <c r="AB1009" s="52" t="str">
        <f>IFERROR(INDEX(DraftResults[[#All],[Team Name]],MATCH(Table5[[#This Row],[PID]],DraftResults[[#All],[Player ID]],0)),"")</f>
        <v/>
      </c>
      <c r="AC1009" s="52" t="str">
        <f>IF(Table5[[#This Row],[Ovr]]="","",IF(Table5[[#This Row],[cmbList]]="","",Table5[[#This Row],[cmbList]]-Table5[[#This Row],[Ovr]]))</f>
        <v/>
      </c>
      <c r="AD1009" s="56" t="str">
        <f>IF(ISERROR(VLOOKUP($AB1009&amp;"-"&amp;$E1009&amp;" "&amp;F1009,Bonuses!$B$1:$G$1006,4,FALSE)),"",INT(VLOOKUP($AB1009&amp;"-"&amp;$E1009&amp;" "&amp;$F1009,Bonuses!$B$1:$G$1006,4,FALSE)))</f>
        <v/>
      </c>
      <c r="AE10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0" spans="1:31" s="52" customFormat="1" x14ac:dyDescent="0.25">
      <c r="A1010" s="52">
        <v>14702</v>
      </c>
      <c r="B1010" s="52">
        <f>COUNTIF(Table5[PID],A1010)</f>
        <v>1</v>
      </c>
      <c r="C1010" s="52" t="str">
        <f>IF(COUNTIF(Table3[[#All],[PID]],A1010)&gt;0,"P","B")</f>
        <v>B</v>
      </c>
      <c r="D1010" s="61" t="str">
        <f>IF($C1010="B",INDEX(Batters[[#All],[POS]],MATCH(Table5[[#This Row],[PID]],Batters[[#All],[PID]],0)),INDEX(Table3[[#All],[POS]],MATCH(Table5[[#This Row],[PID]],Table3[[#All],[PID]],0)))</f>
        <v>1B</v>
      </c>
      <c r="E1010" s="54" t="str">
        <f>IF($C1010="B",INDEX(Batters[[#All],[First]],MATCH(Table5[[#This Row],[PID]],Batters[[#All],[PID]],0)),INDEX(Table3[[#All],[First]],MATCH(Table5[[#This Row],[PID]],Table3[[#All],[PID]],0)))</f>
        <v>Shigochiyo</v>
      </c>
      <c r="F1010" s="52" t="str">
        <f>IF($C1010="B",INDEX(Batters[[#All],[Last]],MATCH(A1010,Batters[[#All],[PID]],0)),INDEX(Table3[[#All],[Last]],MATCH(A1010,Table3[[#All],[PID]],0)))</f>
        <v>Miyazaki</v>
      </c>
      <c r="G1010" s="58">
        <f>IF($C1010="B",INDEX(Batters[[#All],[Age]],MATCH(Table5[[#This Row],[PID]],Batters[[#All],[PID]],0)),INDEX(Table3[[#All],[Age]],MATCH(Table5[[#This Row],[PID]],Table3[[#All],[PID]],0)))</f>
        <v>21</v>
      </c>
      <c r="H1010" s="54" t="str">
        <f>IF($C1010="B",INDEX(Batters[[#All],[B]],MATCH(Table5[[#This Row],[PID]],Batters[[#All],[PID]],0)),INDEX(Table3[[#All],[B]],MATCH(Table5[[#This Row],[PID]],Table3[[#All],[PID]],0)))</f>
        <v>R</v>
      </c>
      <c r="I1010" s="54" t="str">
        <f>IF($C1010="B",INDEX(Batters[[#All],[T]],MATCH(Table5[[#This Row],[PID]],Batters[[#All],[PID]],0)),INDEX(Table3[[#All],[T]],MATCH(Table5[[#This Row],[PID]],Table3[[#All],[PID]],0)))</f>
        <v>R</v>
      </c>
      <c r="J1010" s="54" t="str">
        <f>IF($C1010="B",INDEX(Batters[[#All],[WE]],MATCH(Table5[[#This Row],[PID]],Batters[[#All],[PID]],0)),INDEX(Table3[[#All],[WE]],MATCH(Table5[[#This Row],[PID]],Table3[[#All],[PID]],0)))</f>
        <v>Normal</v>
      </c>
      <c r="K1010" s="54" t="str">
        <f>IF($C1010="B",INDEX(Batters[[#All],[INT]],MATCH(Table5[[#This Row],[PID]],Batters[[#All],[PID]],0)),INDEX(Table3[[#All],[INT]],MATCH(Table5[[#This Row],[PID]],Table3[[#All],[PID]],0)))</f>
        <v>Normal</v>
      </c>
      <c r="L1010" s="62">
        <f>IF($C1010="B",INDEX(Batters[[#All],[CON P]],MATCH(Table5[[#This Row],[PID]],Batters[[#All],[PID]],0)),INDEX(Table3[[#All],[STU P]],MATCH(Table5[[#This Row],[PID]],Table3[[#All],[PID]],0)))</f>
        <v>3</v>
      </c>
      <c r="M1010" s="58">
        <f>IF($C1010="B",INDEX(Batters[[#All],[GAP P]],MATCH(Table5[[#This Row],[PID]],Batters[[#All],[PID]],0)),INDEX(Table3[[#All],[MOV P]],MATCH(Table5[[#This Row],[PID]],Table3[[#All],[PID]],0)))</f>
        <v>5</v>
      </c>
      <c r="N1010" s="58">
        <f>IF($C1010="B",INDEX(Batters[[#All],[POW P]],MATCH(Table5[[#This Row],[PID]],Batters[[#All],[PID]],0)),INDEX(Table3[[#All],[CON P]],MATCH(Table5[[#This Row],[PID]],Table3[[#All],[PID]],0)))</f>
        <v>3</v>
      </c>
      <c r="O1010" s="58">
        <f>IF($C1010="B",INDEX(Batters[[#All],[EYE P]],MATCH(Table5[[#This Row],[PID]],Batters[[#All],[PID]],0)),INDEX(Table3[[#All],[VELO]],MATCH(Table5[[#This Row],[PID]],Table3[[#All],[PID]],0)))</f>
        <v>3</v>
      </c>
      <c r="P1010" s="58">
        <f>IF($C1010="B",INDEX(Batters[[#All],[K P]],MATCH(Table5[[#This Row],[PID]],Batters[[#All],[PID]],0)),INDEX(Table3[[#All],[STM]],MATCH(Table5[[#This Row],[PID]],Table3[[#All],[PID]],0)))</f>
        <v>2</v>
      </c>
      <c r="Q1010" s="63">
        <f>IF($C1010="B",INDEX(Batters[[#All],[Tot]],MATCH(Table5[[#This Row],[PID]],Batters[[#All],[PID]],0)),INDEX(Table3[[#All],[Tot]],MATCH(Table5[[#This Row],[PID]],Table3[[#All],[PID]],0)))</f>
        <v>34.850849972584008</v>
      </c>
      <c r="R1010" s="54">
        <f>IF($C1010="B",INDEX(Batters[[#All],[zScore]],MATCH(Table5[[#This Row],[PID]],Batters[[#All],[PID]],0)),INDEX(Table3[[#All],[zScore]],MATCH(Table5[[#This Row],[PID]],Table3[[#All],[PID]],0)))</f>
        <v>-0.96723053262212466</v>
      </c>
      <c r="S1010" s="60" t="str">
        <f>IF($C1010="B",INDEX(Batters[[#All],[DEM]],MATCH(Table5[[#This Row],[PID]],Batters[[#All],[PID]],0)),INDEX(Table3[[#All],[DEM]],MATCH(Table5[[#This Row],[PID]],Table3[[#All],[PID]],0)))</f>
        <v>$20k</v>
      </c>
      <c r="T1010" s="64">
        <f>IF($C1010="B",VLOOKUP($A1010,Bat!$A$4:$AU$1417,46,FALSE),VLOOKUP($A1010,Pit!$A$4:$BD$570,55,FALSE))</f>
        <v>0</v>
      </c>
      <c r="U1010" s="52">
        <f>IF($C1010="B",VLOOKUP($A1010,Bat!$A$4:$BA$1417,47,FALSE),VLOOKUP($A1010,Pit!$A$4:$BF$570,56,FALSE))</f>
        <v>0</v>
      </c>
      <c r="V1010" s="52">
        <f>IF($C1010="B",VLOOKUP($A1010,Bat!$A$4:$BA$1417,48,FALSE),VLOOKUP($A1010,Pit!$A$4:$BF$570,57,FALSE))</f>
        <v>0</v>
      </c>
      <c r="W1010" s="52">
        <f>Table5[[#This Row],[posRnk]]+Table5[[#This Row],[zRnk]]+IF($W$3&lt;&gt;Table5[[#This Row],[Type]],50,0)</f>
        <v>1056</v>
      </c>
      <c r="X1010" s="53">
        <f>RANK(Table5[[#This Row],[zScore]],Table5[[#All],[zScore]])</f>
        <v>1006</v>
      </c>
      <c r="Y1010" s="52" t="str">
        <f>IFERROR(INDEX(DraftResults[[#All],[OVR]],MATCH(Table5[[#This Row],[PID]],DraftResults[[#All],[Player ID]],0)),"")</f>
        <v/>
      </c>
      <c r="Z10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0" s="52" t="str">
        <f>IFERROR(INDEX(DraftResults[[#All],[Pick in Round]],MATCH(Table5[[#This Row],[PID]],DraftResults[[#All],[Player ID]],0)),"")</f>
        <v/>
      </c>
      <c r="AB1010" s="52" t="str">
        <f>IFERROR(INDEX(DraftResults[[#All],[Team Name]],MATCH(Table5[[#This Row],[PID]],DraftResults[[#All],[Player ID]],0)),"")</f>
        <v/>
      </c>
      <c r="AC1010" s="52" t="str">
        <f>IF(Table5[[#This Row],[Ovr]]="","",IF(Table5[[#This Row],[cmbList]]="","",Table5[[#This Row],[cmbList]]-Table5[[#This Row],[Ovr]]))</f>
        <v/>
      </c>
      <c r="AD1010" s="56" t="str">
        <f>IF(ISERROR(VLOOKUP($AB1010&amp;"-"&amp;$E1010&amp;" "&amp;F1010,Bonuses!$B$1:$G$1006,4,FALSE)),"",INT(VLOOKUP($AB1010&amp;"-"&amp;$E1010&amp;" "&amp;$F1010,Bonuses!$B$1:$G$1006,4,FALSE)))</f>
        <v/>
      </c>
      <c r="AE10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1" spans="1:31" s="52" customFormat="1" x14ac:dyDescent="0.25">
      <c r="A1011" s="52">
        <v>5742</v>
      </c>
      <c r="B1011" s="52">
        <f>COUNTIF(Table5[PID],A1011)</f>
        <v>1</v>
      </c>
      <c r="C1011" s="52" t="str">
        <f>IF(COUNTIF(Table3[[#All],[PID]],A1011)&gt;0,"P","B")</f>
        <v>P</v>
      </c>
      <c r="D1011" s="61" t="str">
        <f>IF($C1011="B",INDEX(Batters[[#All],[POS]],MATCH(Table5[[#This Row],[PID]],Batters[[#All],[PID]],0)),INDEX(Table3[[#All],[POS]],MATCH(Table5[[#This Row],[PID]],Table3[[#All],[PID]],0)))</f>
        <v>RP</v>
      </c>
      <c r="E1011" s="54" t="str">
        <f>IF($C1011="B",INDEX(Batters[[#All],[First]],MATCH(Table5[[#This Row],[PID]],Batters[[#All],[PID]],0)),INDEX(Table3[[#All],[First]],MATCH(Table5[[#This Row],[PID]],Table3[[#All],[PID]],0)))</f>
        <v>Matt</v>
      </c>
      <c r="F1011" s="52" t="str">
        <f>IF($C1011="B",INDEX(Batters[[#All],[Last]],MATCH(A1011,Batters[[#All],[PID]],0)),INDEX(Table3[[#All],[Last]],MATCH(A1011,Table3[[#All],[PID]],0)))</f>
        <v>Cleaves</v>
      </c>
      <c r="G1011" s="58">
        <f>IF($C1011="B",INDEX(Batters[[#All],[Age]],MATCH(Table5[[#This Row],[PID]],Batters[[#All],[PID]],0)),INDEX(Table3[[#All],[Age]],MATCH(Table5[[#This Row],[PID]],Table3[[#All],[PID]],0)))</f>
        <v>22</v>
      </c>
      <c r="H1011" s="54" t="str">
        <f>IF($C1011="B",INDEX(Batters[[#All],[B]],MATCH(Table5[[#This Row],[PID]],Batters[[#All],[PID]],0)),INDEX(Table3[[#All],[B]],MATCH(Table5[[#This Row],[PID]],Table3[[#All],[PID]],0)))</f>
        <v>R</v>
      </c>
      <c r="I1011" s="54" t="str">
        <f>IF($C1011="B",INDEX(Batters[[#All],[T]],MATCH(Table5[[#This Row],[PID]],Batters[[#All],[PID]],0)),INDEX(Table3[[#All],[T]],MATCH(Table5[[#This Row],[PID]],Table3[[#All],[PID]],0)))</f>
        <v>L</v>
      </c>
      <c r="J1011" s="54" t="str">
        <f>IF($C1011="B",INDEX(Batters[[#All],[WE]],MATCH(Table5[[#This Row],[PID]],Batters[[#All],[PID]],0)),INDEX(Table3[[#All],[WE]],MATCH(Table5[[#This Row],[PID]],Table3[[#All],[PID]],0)))</f>
        <v>Normal</v>
      </c>
      <c r="K1011" s="54" t="str">
        <f>IF($C1011="B",INDEX(Batters[[#All],[INT]],MATCH(Table5[[#This Row],[PID]],Batters[[#All],[PID]],0)),INDEX(Table3[[#All],[INT]],MATCH(Table5[[#This Row],[PID]],Table3[[#All],[PID]],0)))</f>
        <v>High</v>
      </c>
      <c r="L1011" s="62">
        <f>IF($C1011="B",INDEX(Batters[[#All],[CON P]],MATCH(Table5[[#This Row],[PID]],Batters[[#All],[PID]],0)),INDEX(Table3[[#All],[STU P]],MATCH(Table5[[#This Row],[PID]],Table3[[#All],[PID]],0)))</f>
        <v>4</v>
      </c>
      <c r="M1011" s="58">
        <f>IF($C1011="B",INDEX(Batters[[#All],[GAP P]],MATCH(Table5[[#This Row],[PID]],Batters[[#All],[PID]],0)),INDEX(Table3[[#All],[MOV P]],MATCH(Table5[[#This Row],[PID]],Table3[[#All],[PID]],0)))</f>
        <v>1</v>
      </c>
      <c r="N1011" s="58">
        <f>IF($C1011="B",INDEX(Batters[[#All],[POW P]],MATCH(Table5[[#This Row],[PID]],Batters[[#All],[PID]],0)),INDEX(Table3[[#All],[CON P]],MATCH(Table5[[#This Row],[PID]],Table3[[#All],[PID]],0)))</f>
        <v>2</v>
      </c>
      <c r="O1011" s="58" t="str">
        <f>IF($C1011="B",INDEX(Batters[[#All],[EYE P]],MATCH(Table5[[#This Row],[PID]],Batters[[#All],[PID]],0)),INDEX(Table3[[#All],[VELO]],MATCH(Table5[[#This Row],[PID]],Table3[[#All],[PID]],0)))</f>
        <v>89-91 Mph</v>
      </c>
      <c r="P1011" s="58">
        <f>IF($C1011="B",INDEX(Batters[[#All],[K P]],MATCH(Table5[[#This Row],[PID]],Batters[[#All],[PID]],0)),INDEX(Table3[[#All],[STM]],MATCH(Table5[[#This Row],[PID]],Table3[[#All],[PID]],0)))</f>
        <v>6</v>
      </c>
      <c r="Q1011" s="63">
        <f>IF($C1011="B",INDEX(Batters[[#All],[Tot]],MATCH(Table5[[#This Row],[PID]],Batters[[#All],[PID]],0)),INDEX(Table3[[#All],[Tot]],MATCH(Table5[[#This Row],[PID]],Table3[[#All],[PID]],0)))</f>
        <v>22.10282390272214</v>
      </c>
      <c r="R1011" s="54">
        <f>IF($C1011="B",INDEX(Batters[[#All],[zScore]],MATCH(Table5[[#This Row],[PID]],Batters[[#All],[PID]],0)),INDEX(Table3[[#All],[zScore]],MATCH(Table5[[#This Row],[PID]],Table3[[#All],[PID]],0)))</f>
        <v>-0.97384683982252229</v>
      </c>
      <c r="S1011" s="60" t="str">
        <f>IF($C1011="B",INDEX(Batters[[#All],[DEM]],MATCH(Table5[[#This Row],[PID]],Batters[[#All],[PID]],0)),INDEX(Table3[[#All],[DEM]],MATCH(Table5[[#This Row],[PID]],Table3[[#All],[PID]],0)))</f>
        <v>-</v>
      </c>
      <c r="T1011" s="64">
        <f>IF($C1011="B",VLOOKUP($A1011,Bat!$A$4:$AU$1417,46,FALSE),VLOOKUP($A1011,Pit!$A$4:$BD$570,55,FALSE))</f>
        <v>0</v>
      </c>
      <c r="U1011" s="52">
        <f>IF($C1011="B",VLOOKUP($A1011,Bat!$A$4:$BA$1417,47,FALSE),VLOOKUP($A1011,Pit!$A$4:$BF$570,56,FALSE))</f>
        <v>0</v>
      </c>
      <c r="V1011" s="52">
        <f>IF($C1011="B",VLOOKUP($A1011,Bat!$A$4:$BA$1417,48,FALSE),VLOOKUP($A1011,Pit!$A$4:$BF$570,57,FALSE))</f>
        <v>0</v>
      </c>
      <c r="W1011" s="52">
        <f>Table5[[#This Row],[posRnk]]+Table5[[#This Row],[zRnk]]+IF($W$3&lt;&gt;Table5[[#This Row],[Type]],50,0)</f>
        <v>1057</v>
      </c>
      <c r="X1011" s="53">
        <f>RANK(Table5[[#This Row],[zScore]],Table5[[#All],[zScore]])</f>
        <v>1007</v>
      </c>
      <c r="Y1011" s="52" t="str">
        <f>IFERROR(INDEX(DraftResults[[#All],[OVR]],MATCH(Table5[[#This Row],[PID]],DraftResults[[#All],[Player ID]],0)),"")</f>
        <v/>
      </c>
      <c r="Z10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1" s="52" t="str">
        <f>IFERROR(INDEX(DraftResults[[#All],[Pick in Round]],MATCH(Table5[[#This Row],[PID]],DraftResults[[#All],[Player ID]],0)),"")</f>
        <v/>
      </c>
      <c r="AB1011" s="52" t="str">
        <f>IFERROR(INDEX(DraftResults[[#All],[Team Name]],MATCH(Table5[[#This Row],[PID]],DraftResults[[#All],[Player ID]],0)),"")</f>
        <v/>
      </c>
      <c r="AC1011" s="52" t="str">
        <f>IF(Table5[[#This Row],[Ovr]]="","",IF(Table5[[#This Row],[cmbList]]="","",Table5[[#This Row],[cmbList]]-Table5[[#This Row],[Ovr]]))</f>
        <v/>
      </c>
      <c r="AD1011" s="56" t="str">
        <f>IF(ISERROR(VLOOKUP($AB1011&amp;"-"&amp;$E1011&amp;" "&amp;F1011,Bonuses!$B$1:$G$1006,4,FALSE)),"",INT(VLOOKUP($AB1011&amp;"-"&amp;$E1011&amp;" "&amp;$F1011,Bonuses!$B$1:$G$1006,4,FALSE)))</f>
        <v/>
      </c>
      <c r="AE10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2" spans="1:31" s="52" customFormat="1" x14ac:dyDescent="0.25">
      <c r="A1012" s="52">
        <v>8317</v>
      </c>
      <c r="B1012" s="52">
        <f>COUNTIF(Table5[PID],A1012)</f>
        <v>1</v>
      </c>
      <c r="C1012" s="52" t="str">
        <f>IF(COUNTIF(Table3[[#All],[PID]],A1012)&gt;0,"P","B")</f>
        <v>P</v>
      </c>
      <c r="D1012" s="61" t="str">
        <f>IF($C1012="B",INDEX(Batters[[#All],[POS]],MATCH(Table5[[#This Row],[PID]],Batters[[#All],[PID]],0)),INDEX(Table3[[#All],[POS]],MATCH(Table5[[#This Row],[PID]],Table3[[#All],[PID]],0)))</f>
        <v>RP</v>
      </c>
      <c r="E1012" s="54" t="str">
        <f>IF($C1012="B",INDEX(Batters[[#All],[First]],MATCH(Table5[[#This Row],[PID]],Batters[[#All],[PID]],0)),INDEX(Table3[[#All],[First]],MATCH(Table5[[#This Row],[PID]],Table3[[#All],[PID]],0)))</f>
        <v>J.R.</v>
      </c>
      <c r="F1012" s="52" t="str">
        <f>IF($C1012="B",INDEX(Batters[[#All],[Last]],MATCH(A1012,Batters[[#All],[PID]],0)),INDEX(Table3[[#All],[Last]],MATCH(A1012,Table3[[#All],[PID]],0)))</f>
        <v>Kemp</v>
      </c>
      <c r="G1012" s="58">
        <f>IF($C1012="B",INDEX(Batters[[#All],[Age]],MATCH(Table5[[#This Row],[PID]],Batters[[#All],[PID]],0)),INDEX(Table3[[#All],[Age]],MATCH(Table5[[#This Row],[PID]],Table3[[#All],[PID]],0)))</f>
        <v>21</v>
      </c>
      <c r="H1012" s="54" t="str">
        <f>IF($C1012="B",INDEX(Batters[[#All],[B]],MATCH(Table5[[#This Row],[PID]],Batters[[#All],[PID]],0)),INDEX(Table3[[#All],[B]],MATCH(Table5[[#This Row],[PID]],Table3[[#All],[PID]],0)))</f>
        <v>S</v>
      </c>
      <c r="I1012" s="54" t="str">
        <f>IF($C1012="B",INDEX(Batters[[#All],[T]],MATCH(Table5[[#This Row],[PID]],Batters[[#All],[PID]],0)),INDEX(Table3[[#All],[T]],MATCH(Table5[[#This Row],[PID]],Table3[[#All],[PID]],0)))</f>
        <v>R</v>
      </c>
      <c r="J1012" s="54" t="str">
        <f>IF($C1012="B",INDEX(Batters[[#All],[WE]],MATCH(Table5[[#This Row],[PID]],Batters[[#All],[PID]],0)),INDEX(Table3[[#All],[WE]],MATCH(Table5[[#This Row],[PID]],Table3[[#All],[PID]],0)))</f>
        <v>Low</v>
      </c>
      <c r="K1012" s="54" t="str">
        <f>IF($C1012="B",INDEX(Batters[[#All],[INT]],MATCH(Table5[[#This Row],[PID]],Batters[[#All],[PID]],0)),INDEX(Table3[[#All],[INT]],MATCH(Table5[[#This Row],[PID]],Table3[[#All],[PID]],0)))</f>
        <v>Normal</v>
      </c>
      <c r="L1012" s="62">
        <f>IF($C1012="B",INDEX(Batters[[#All],[CON P]],MATCH(Table5[[#This Row],[PID]],Batters[[#All],[PID]],0)),INDEX(Table3[[#All],[STU P]],MATCH(Table5[[#This Row],[PID]],Table3[[#All],[PID]],0)))</f>
        <v>4</v>
      </c>
      <c r="M1012" s="58">
        <f>IF($C1012="B",INDEX(Batters[[#All],[GAP P]],MATCH(Table5[[#This Row],[PID]],Batters[[#All],[PID]],0)),INDEX(Table3[[#All],[MOV P]],MATCH(Table5[[#This Row],[PID]],Table3[[#All],[PID]],0)))</f>
        <v>2</v>
      </c>
      <c r="N1012" s="58">
        <f>IF($C1012="B",INDEX(Batters[[#All],[POW P]],MATCH(Table5[[#This Row],[PID]],Batters[[#All],[PID]],0)),INDEX(Table3[[#All],[CON P]],MATCH(Table5[[#This Row],[PID]],Table3[[#All],[PID]],0)))</f>
        <v>2</v>
      </c>
      <c r="O1012" s="58" t="str">
        <f>IF($C1012="B",INDEX(Batters[[#All],[EYE P]],MATCH(Table5[[#This Row],[PID]],Batters[[#All],[PID]],0)),INDEX(Table3[[#All],[VELO]],MATCH(Table5[[#This Row],[PID]],Table3[[#All],[PID]],0)))</f>
        <v>87-89 Mph</v>
      </c>
      <c r="P1012" s="58">
        <f>IF($C1012="B",INDEX(Batters[[#All],[K P]],MATCH(Table5[[#This Row],[PID]],Batters[[#All],[PID]],0)),INDEX(Table3[[#All],[STM]],MATCH(Table5[[#This Row],[PID]],Table3[[#All],[PID]],0)))</f>
        <v>3</v>
      </c>
      <c r="Q1012" s="63">
        <f>IF($C1012="B",INDEX(Batters[[#All],[Tot]],MATCH(Table5[[#This Row],[PID]],Batters[[#All],[PID]],0)),INDEX(Table3[[#All],[Tot]],MATCH(Table5[[#This Row],[PID]],Table3[[#All],[PID]],0)))</f>
        <v>22.086739979406651</v>
      </c>
      <c r="R1012" s="54">
        <f>IF($C1012="B",INDEX(Batters[[#All],[zScore]],MATCH(Table5[[#This Row],[PID]],Batters[[#All],[PID]],0)),INDEX(Table3[[#All],[zScore]],MATCH(Table5[[#This Row],[PID]],Table3[[#All],[PID]],0)))</f>
        <v>-0.97532180433468563</v>
      </c>
      <c r="S1012" s="60" t="str">
        <f>IF($C1012="B",INDEX(Batters[[#All],[DEM]],MATCH(Table5[[#This Row],[PID]],Batters[[#All],[PID]],0)),INDEX(Table3[[#All],[DEM]],MATCH(Table5[[#This Row],[PID]],Table3[[#All],[PID]],0)))</f>
        <v>-</v>
      </c>
      <c r="T1012" s="64">
        <f>IF($C1012="B",VLOOKUP($A1012,Bat!$A$4:$AU$1417,46,FALSE),VLOOKUP($A1012,Pit!$A$4:$BD$570,55,FALSE))</f>
        <v>0</v>
      </c>
      <c r="U1012" s="52">
        <f>IF($C1012="B",VLOOKUP($A1012,Bat!$A$4:$BA$1417,47,FALSE),VLOOKUP($A1012,Pit!$A$4:$BF$570,56,FALSE))</f>
        <v>0</v>
      </c>
      <c r="V1012" s="52">
        <f>IF($C1012="B",VLOOKUP($A1012,Bat!$A$4:$BA$1417,48,FALSE),VLOOKUP($A1012,Pit!$A$4:$BF$570,57,FALSE))</f>
        <v>0</v>
      </c>
      <c r="W1012" s="52">
        <f>Table5[[#This Row],[posRnk]]+Table5[[#This Row],[zRnk]]+IF($W$3&lt;&gt;Table5[[#This Row],[Type]],50,0)</f>
        <v>1058</v>
      </c>
      <c r="X1012" s="53">
        <f>RANK(Table5[[#This Row],[zScore]],Table5[[#All],[zScore]])</f>
        <v>1008</v>
      </c>
      <c r="Y1012" s="52" t="str">
        <f>IFERROR(INDEX(DraftResults[[#All],[OVR]],MATCH(Table5[[#This Row],[PID]],DraftResults[[#All],[Player ID]],0)),"")</f>
        <v/>
      </c>
      <c r="Z10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2" s="52" t="str">
        <f>IFERROR(INDEX(DraftResults[[#All],[Pick in Round]],MATCH(Table5[[#This Row],[PID]],DraftResults[[#All],[Player ID]],0)),"")</f>
        <v/>
      </c>
      <c r="AB1012" s="52" t="str">
        <f>IFERROR(INDEX(DraftResults[[#All],[Team Name]],MATCH(Table5[[#This Row],[PID]],DraftResults[[#All],[Player ID]],0)),"")</f>
        <v/>
      </c>
      <c r="AC1012" s="52" t="str">
        <f>IF(Table5[[#This Row],[Ovr]]="","",IF(Table5[[#This Row],[cmbList]]="","",Table5[[#This Row],[cmbList]]-Table5[[#This Row],[Ovr]]))</f>
        <v/>
      </c>
      <c r="AD1012" s="56" t="str">
        <f>IF(ISERROR(VLOOKUP($AB1012&amp;"-"&amp;$E1012&amp;" "&amp;F1012,Bonuses!$B$1:$G$1006,4,FALSE)),"",INT(VLOOKUP($AB1012&amp;"-"&amp;$E1012&amp;" "&amp;$F1012,Bonuses!$B$1:$G$1006,4,FALSE)))</f>
        <v/>
      </c>
      <c r="AE10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3" spans="1:31" s="52" customFormat="1" x14ac:dyDescent="0.25">
      <c r="A1013" s="52">
        <v>12223</v>
      </c>
      <c r="B1013" s="52">
        <f>COUNTIF(Table5[PID],A1013)</f>
        <v>1</v>
      </c>
      <c r="C1013" s="52" t="str">
        <f>IF(COUNTIF(Table3[[#All],[PID]],A1013)&gt;0,"P","B")</f>
        <v>B</v>
      </c>
      <c r="D1013" s="61" t="str">
        <f>IF($C1013="B",INDEX(Batters[[#All],[POS]],MATCH(Table5[[#This Row],[PID]],Batters[[#All],[PID]],0)),INDEX(Table3[[#All],[POS]],MATCH(Table5[[#This Row],[PID]],Table3[[#All],[PID]],0)))</f>
        <v>2B</v>
      </c>
      <c r="E1013" s="54" t="str">
        <f>IF($C1013="B",INDEX(Batters[[#All],[First]],MATCH(Table5[[#This Row],[PID]],Batters[[#All],[PID]],0)),INDEX(Table3[[#All],[First]],MATCH(Table5[[#This Row],[PID]],Table3[[#All],[PID]],0)))</f>
        <v>Mike</v>
      </c>
      <c r="F1013" s="52" t="str">
        <f>IF($C1013="B",INDEX(Batters[[#All],[Last]],MATCH(A1013,Batters[[#All],[PID]],0)),INDEX(Table3[[#All],[Last]],MATCH(A1013,Table3[[#All],[PID]],0)))</f>
        <v>Harris</v>
      </c>
      <c r="G1013" s="58">
        <f>IF($C1013="B",INDEX(Batters[[#All],[Age]],MATCH(Table5[[#This Row],[PID]],Batters[[#All],[PID]],0)),INDEX(Table3[[#All],[Age]],MATCH(Table5[[#This Row],[PID]],Table3[[#All],[PID]],0)))</f>
        <v>21</v>
      </c>
      <c r="H1013" s="54" t="str">
        <f>IF($C1013="B",INDEX(Batters[[#All],[B]],MATCH(Table5[[#This Row],[PID]],Batters[[#All],[PID]],0)),INDEX(Table3[[#All],[B]],MATCH(Table5[[#This Row],[PID]],Table3[[#All],[PID]],0)))</f>
        <v>R</v>
      </c>
      <c r="I1013" s="54" t="str">
        <f>IF($C1013="B",INDEX(Batters[[#All],[T]],MATCH(Table5[[#This Row],[PID]],Batters[[#All],[PID]],0)),INDEX(Table3[[#All],[T]],MATCH(Table5[[#This Row],[PID]],Table3[[#All],[PID]],0)))</f>
        <v>R</v>
      </c>
      <c r="J1013" s="54" t="str">
        <f>IF($C1013="B",INDEX(Batters[[#All],[WE]],MATCH(Table5[[#This Row],[PID]],Batters[[#All],[PID]],0)),INDEX(Table3[[#All],[WE]],MATCH(Table5[[#This Row],[PID]],Table3[[#All],[PID]],0)))</f>
        <v>Low</v>
      </c>
      <c r="K1013" s="54" t="str">
        <f>IF($C1013="B",INDEX(Batters[[#All],[INT]],MATCH(Table5[[#This Row],[PID]],Batters[[#All],[PID]],0)),INDEX(Table3[[#All],[INT]],MATCH(Table5[[#This Row],[PID]],Table3[[#All],[PID]],0)))</f>
        <v>Normal</v>
      </c>
      <c r="L1013" s="62">
        <f>IF($C1013="B",INDEX(Batters[[#All],[CON P]],MATCH(Table5[[#This Row],[PID]],Batters[[#All],[PID]],0)),INDEX(Table3[[#All],[STU P]],MATCH(Table5[[#This Row],[PID]],Table3[[#All],[PID]],0)))</f>
        <v>3</v>
      </c>
      <c r="M1013" s="58">
        <f>IF($C1013="B",INDEX(Batters[[#All],[GAP P]],MATCH(Table5[[#This Row],[PID]],Batters[[#All],[PID]],0)),INDEX(Table3[[#All],[MOV P]],MATCH(Table5[[#This Row],[PID]],Table3[[#All],[PID]],0)))</f>
        <v>4</v>
      </c>
      <c r="N1013" s="58">
        <f>IF($C1013="B",INDEX(Batters[[#All],[POW P]],MATCH(Table5[[#This Row],[PID]],Batters[[#All],[PID]],0)),INDEX(Table3[[#All],[CON P]],MATCH(Table5[[#This Row],[PID]],Table3[[#All],[PID]],0)))</f>
        <v>2</v>
      </c>
      <c r="O1013" s="58">
        <f>IF($C1013="B",INDEX(Batters[[#All],[EYE P]],MATCH(Table5[[#This Row],[PID]],Batters[[#All],[PID]],0)),INDEX(Table3[[#All],[VELO]],MATCH(Table5[[#This Row],[PID]],Table3[[#All],[PID]],0)))</f>
        <v>4</v>
      </c>
      <c r="P1013" s="58">
        <f>IF($C1013="B",INDEX(Batters[[#All],[K P]],MATCH(Table5[[#This Row],[PID]],Batters[[#All],[PID]],0)),INDEX(Table3[[#All],[STM]],MATCH(Table5[[#This Row],[PID]],Table3[[#All],[PID]],0)))</f>
        <v>4</v>
      </c>
      <c r="Q1013" s="63">
        <f>IF($C1013="B",INDEX(Batters[[#All],[Tot]],MATCH(Table5[[#This Row],[PID]],Batters[[#All],[PID]],0)),INDEX(Table3[[#All],[Tot]],MATCH(Table5[[#This Row],[PID]],Table3[[#All],[PID]],0)))</f>
        <v>34.784451474237834</v>
      </c>
      <c r="R1013" s="54">
        <f>IF($C1013="B",INDEX(Batters[[#All],[zScore]],MATCH(Table5[[#This Row],[PID]],Batters[[#All],[PID]],0)),INDEX(Table3[[#All],[zScore]],MATCH(Table5[[#This Row],[PID]],Table3[[#All],[PID]],0)))</f>
        <v>-0.97891290710157031</v>
      </c>
      <c r="S1013" s="60" t="str">
        <f>IF($C1013="B",INDEX(Batters[[#All],[DEM]],MATCH(Table5[[#This Row],[PID]],Batters[[#All],[PID]],0)),INDEX(Table3[[#All],[DEM]],MATCH(Table5[[#This Row],[PID]],Table3[[#All],[PID]],0)))</f>
        <v>$110k</v>
      </c>
      <c r="T1013" s="64">
        <f>IF($C1013="B",VLOOKUP($A1013,Bat!$A$4:$AU$1417,46,FALSE),VLOOKUP($A1013,Pit!$A$4:$BD$570,55,FALSE))</f>
        <v>0</v>
      </c>
      <c r="U1013" s="52">
        <f>IF($C1013="B",VLOOKUP($A1013,Bat!$A$4:$BA$1417,47,FALSE),VLOOKUP($A1013,Pit!$A$4:$BF$570,56,FALSE))</f>
        <v>0</v>
      </c>
      <c r="V1013" s="52">
        <f>IF($C1013="B",VLOOKUP($A1013,Bat!$A$4:$BA$1417,48,FALSE),VLOOKUP($A1013,Pit!$A$4:$BF$570,57,FALSE))</f>
        <v>0</v>
      </c>
      <c r="W1013" s="52">
        <f>Table5[[#This Row],[posRnk]]+Table5[[#This Row],[zRnk]]+IF($W$3&lt;&gt;Table5[[#This Row],[Type]],50,0)</f>
        <v>1059</v>
      </c>
      <c r="X1013" s="53">
        <f>RANK(Table5[[#This Row],[zScore]],Table5[[#All],[zScore]])</f>
        <v>1009</v>
      </c>
      <c r="Y1013" s="52" t="str">
        <f>IFERROR(INDEX(DraftResults[[#All],[OVR]],MATCH(Table5[[#This Row],[PID]],DraftResults[[#All],[Player ID]],0)),"")</f>
        <v/>
      </c>
      <c r="Z10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3" s="52" t="str">
        <f>IFERROR(INDEX(DraftResults[[#All],[Pick in Round]],MATCH(Table5[[#This Row],[PID]],DraftResults[[#All],[Player ID]],0)),"")</f>
        <v/>
      </c>
      <c r="AB1013" s="52" t="str">
        <f>IFERROR(INDEX(DraftResults[[#All],[Team Name]],MATCH(Table5[[#This Row],[PID]],DraftResults[[#All],[Player ID]],0)),"")</f>
        <v/>
      </c>
      <c r="AC1013" s="52" t="str">
        <f>IF(Table5[[#This Row],[Ovr]]="","",IF(Table5[[#This Row],[cmbList]]="","",Table5[[#This Row],[cmbList]]-Table5[[#This Row],[Ovr]]))</f>
        <v/>
      </c>
      <c r="AD1013" s="56" t="str">
        <f>IF(ISERROR(VLOOKUP($AB1013&amp;"-"&amp;$E1013&amp;" "&amp;F1013,Bonuses!$B$1:$G$1006,4,FALSE)),"",INT(VLOOKUP($AB1013&amp;"-"&amp;$E1013&amp;" "&amp;$F1013,Bonuses!$B$1:$G$1006,4,FALSE)))</f>
        <v/>
      </c>
      <c r="AE10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4" spans="1:31" s="52" customFormat="1" x14ac:dyDescent="0.25">
      <c r="A1014" s="52">
        <v>8897</v>
      </c>
      <c r="B1014" s="52">
        <f>COUNTIF(Table5[PID],A1014)</f>
        <v>1</v>
      </c>
      <c r="C1014" s="52" t="str">
        <f>IF(COUNTIF(Table3[[#All],[PID]],A1014)&gt;0,"P","B")</f>
        <v>P</v>
      </c>
      <c r="D1014" s="61" t="str">
        <f>IF($C1014="B",INDEX(Batters[[#All],[POS]],MATCH(Table5[[#This Row],[PID]],Batters[[#All],[PID]],0)),INDEX(Table3[[#All],[POS]],MATCH(Table5[[#This Row],[PID]],Table3[[#All],[PID]],0)))</f>
        <v>RP</v>
      </c>
      <c r="E1014" s="54" t="str">
        <f>IF($C1014="B",INDEX(Batters[[#All],[First]],MATCH(Table5[[#This Row],[PID]],Batters[[#All],[PID]],0)),INDEX(Table3[[#All],[First]],MATCH(Table5[[#This Row],[PID]],Table3[[#All],[PID]],0)))</f>
        <v>Jorge</v>
      </c>
      <c r="F1014" s="52" t="str">
        <f>IF($C1014="B",INDEX(Batters[[#All],[Last]],MATCH(A1014,Batters[[#All],[PID]],0)),INDEX(Table3[[#All],[Last]],MATCH(A1014,Table3[[#All],[PID]],0)))</f>
        <v>Cantú</v>
      </c>
      <c r="G1014" s="58">
        <f>IF($C1014="B",INDEX(Batters[[#All],[Age]],MATCH(Table5[[#This Row],[PID]],Batters[[#All],[PID]],0)),INDEX(Table3[[#All],[Age]],MATCH(Table5[[#This Row],[PID]],Table3[[#All],[PID]],0)))</f>
        <v>18</v>
      </c>
      <c r="H1014" s="54" t="str">
        <f>IF($C1014="B",INDEX(Batters[[#All],[B]],MATCH(Table5[[#This Row],[PID]],Batters[[#All],[PID]],0)),INDEX(Table3[[#All],[B]],MATCH(Table5[[#This Row],[PID]],Table3[[#All],[PID]],0)))</f>
        <v>R</v>
      </c>
      <c r="I1014" s="54" t="str">
        <f>IF($C1014="B",INDEX(Batters[[#All],[T]],MATCH(Table5[[#This Row],[PID]],Batters[[#All],[PID]],0)),INDEX(Table3[[#All],[T]],MATCH(Table5[[#This Row],[PID]],Table3[[#All],[PID]],0)))</f>
        <v>R</v>
      </c>
      <c r="J1014" s="54" t="str">
        <f>IF($C1014="B",INDEX(Batters[[#All],[WE]],MATCH(Table5[[#This Row],[PID]],Batters[[#All],[PID]],0)),INDEX(Table3[[#All],[WE]],MATCH(Table5[[#This Row],[PID]],Table3[[#All],[PID]],0)))</f>
        <v>Normal</v>
      </c>
      <c r="K1014" s="54" t="str">
        <f>IF($C1014="B",INDEX(Batters[[#All],[INT]],MATCH(Table5[[#This Row],[PID]],Batters[[#All],[PID]],0)),INDEX(Table3[[#All],[INT]],MATCH(Table5[[#This Row],[PID]],Table3[[#All],[PID]],0)))</f>
        <v>Normal</v>
      </c>
      <c r="L1014" s="62">
        <f>IF($C1014="B",INDEX(Batters[[#All],[CON P]],MATCH(Table5[[#This Row],[PID]],Batters[[#All],[PID]],0)),INDEX(Table3[[#All],[STU P]],MATCH(Table5[[#This Row],[PID]],Table3[[#All],[PID]],0)))</f>
        <v>3</v>
      </c>
      <c r="M1014" s="58">
        <f>IF($C1014="B",INDEX(Batters[[#All],[GAP P]],MATCH(Table5[[#This Row],[PID]],Batters[[#All],[PID]],0)),INDEX(Table3[[#All],[MOV P]],MATCH(Table5[[#This Row],[PID]],Table3[[#All],[PID]],0)))</f>
        <v>3</v>
      </c>
      <c r="N1014" s="58">
        <f>IF($C1014="B",INDEX(Batters[[#All],[POW P]],MATCH(Table5[[#This Row],[PID]],Batters[[#All],[PID]],0)),INDEX(Table3[[#All],[CON P]],MATCH(Table5[[#This Row],[PID]],Table3[[#All],[PID]],0)))</f>
        <v>2</v>
      </c>
      <c r="O1014" s="58" t="str">
        <f>IF($C1014="B",INDEX(Batters[[#All],[EYE P]],MATCH(Table5[[#This Row],[PID]],Batters[[#All],[PID]],0)),INDEX(Table3[[#All],[VELO]],MATCH(Table5[[#This Row],[PID]],Table3[[#All],[PID]],0)))</f>
        <v>86-88 Mph</v>
      </c>
      <c r="P1014" s="58">
        <f>IF($C1014="B",INDEX(Batters[[#All],[K P]],MATCH(Table5[[#This Row],[PID]],Batters[[#All],[PID]],0)),INDEX(Table3[[#All],[STM]],MATCH(Table5[[#This Row],[PID]],Table3[[#All],[PID]],0)))</f>
        <v>8</v>
      </c>
      <c r="Q1014" s="63">
        <f>IF($C1014="B",INDEX(Batters[[#All],[Tot]],MATCH(Table5[[#This Row],[PID]],Batters[[#All],[PID]],0)),INDEX(Table3[[#All],[Tot]],MATCH(Table5[[#This Row],[PID]],Table3[[#All],[PID]],0)))</f>
        <v>22.038816074246665</v>
      </c>
      <c r="R1014" s="54">
        <f>IF($C1014="B",INDEX(Batters[[#All],[zScore]],MATCH(Table5[[#This Row],[PID]],Batters[[#All],[PID]],0)),INDEX(Table3[[#All],[zScore]],MATCH(Table5[[#This Row],[PID]],Table3[[#All],[PID]],0)))</f>
        <v>-0.97971663126893205</v>
      </c>
      <c r="S1014" s="60" t="str">
        <f>IF($C1014="B",INDEX(Batters[[#All],[DEM]],MATCH(Table5[[#This Row],[PID]],Batters[[#All],[PID]],0)),INDEX(Table3[[#All],[DEM]],MATCH(Table5[[#This Row],[PID]],Table3[[#All],[PID]],0)))</f>
        <v>$110k</v>
      </c>
      <c r="T1014" s="64">
        <f>IF($C1014="B",VLOOKUP($A1014,Bat!$A$4:$AU$1417,46,FALSE),VLOOKUP($A1014,Pit!$A$4:$BD$570,55,FALSE))</f>
        <v>0</v>
      </c>
      <c r="U1014" s="52">
        <f>IF($C1014="B",VLOOKUP($A1014,Bat!$A$4:$BA$1417,47,FALSE),VLOOKUP($A1014,Pit!$A$4:$BF$570,56,FALSE))</f>
        <v>0</v>
      </c>
      <c r="V1014" s="52">
        <f>IF($C1014="B",VLOOKUP($A1014,Bat!$A$4:$BA$1417,48,FALSE),VLOOKUP($A1014,Pit!$A$4:$BF$570,57,FALSE))</f>
        <v>0</v>
      </c>
      <c r="W1014" s="52">
        <f>Table5[[#This Row],[posRnk]]+Table5[[#This Row],[zRnk]]+IF($W$3&lt;&gt;Table5[[#This Row],[Type]],50,0)</f>
        <v>1060</v>
      </c>
      <c r="X1014" s="53">
        <f>RANK(Table5[[#This Row],[zScore]],Table5[[#All],[zScore]])</f>
        <v>1010</v>
      </c>
      <c r="Y1014" s="52" t="str">
        <f>IFERROR(INDEX(DraftResults[[#All],[OVR]],MATCH(Table5[[#This Row],[PID]],DraftResults[[#All],[Player ID]],0)),"")</f>
        <v/>
      </c>
      <c r="Z10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4" s="52" t="str">
        <f>IFERROR(INDEX(DraftResults[[#All],[Pick in Round]],MATCH(Table5[[#This Row],[PID]],DraftResults[[#All],[Player ID]],0)),"")</f>
        <v/>
      </c>
      <c r="AB1014" s="52" t="str">
        <f>IFERROR(INDEX(DraftResults[[#All],[Team Name]],MATCH(Table5[[#This Row],[PID]],DraftResults[[#All],[Player ID]],0)),"")</f>
        <v/>
      </c>
      <c r="AC1014" s="52" t="str">
        <f>IF(Table5[[#This Row],[Ovr]]="","",IF(Table5[[#This Row],[cmbList]]="","",Table5[[#This Row],[cmbList]]-Table5[[#This Row],[Ovr]]))</f>
        <v/>
      </c>
      <c r="AD1014" s="56" t="str">
        <f>IF(ISERROR(VLOOKUP($AB1014&amp;"-"&amp;$E1014&amp;" "&amp;F1014,Bonuses!$B$1:$G$1006,4,FALSE)),"",INT(VLOOKUP($AB1014&amp;"-"&amp;$E1014&amp;" "&amp;$F1014,Bonuses!$B$1:$G$1006,4,FALSE)))</f>
        <v/>
      </c>
      <c r="AE10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5" spans="1:31" s="52" customFormat="1" x14ac:dyDescent="0.25">
      <c r="A1015" s="52">
        <v>8302</v>
      </c>
      <c r="B1015" s="52">
        <f>COUNTIF(Table5[PID],A1015)</f>
        <v>1</v>
      </c>
      <c r="C1015" s="52" t="str">
        <f>IF(COUNTIF(Table3[[#All],[PID]],A1015)&gt;0,"P","B")</f>
        <v>B</v>
      </c>
      <c r="D1015" s="61" t="str">
        <f>IF($C1015="B",INDEX(Batters[[#All],[POS]],MATCH(Table5[[#This Row],[PID]],Batters[[#All],[PID]],0)),INDEX(Table3[[#All],[POS]],MATCH(Table5[[#This Row],[PID]],Table3[[#All],[PID]],0)))</f>
        <v>1B</v>
      </c>
      <c r="E1015" s="54" t="str">
        <f>IF($C1015="B",INDEX(Batters[[#All],[First]],MATCH(Table5[[#This Row],[PID]],Batters[[#All],[PID]],0)),INDEX(Table3[[#All],[First]],MATCH(Table5[[#This Row],[PID]],Table3[[#All],[PID]],0)))</f>
        <v>Jorge</v>
      </c>
      <c r="F1015" s="52" t="str">
        <f>IF($C1015="B",INDEX(Batters[[#All],[Last]],MATCH(A1015,Batters[[#All],[PID]],0)),INDEX(Table3[[#All],[Last]],MATCH(A1015,Table3[[#All],[PID]],0)))</f>
        <v>Luna</v>
      </c>
      <c r="G1015" s="58">
        <f>IF($C1015="B",INDEX(Batters[[#All],[Age]],MATCH(Table5[[#This Row],[PID]],Batters[[#All],[PID]],0)),INDEX(Table3[[#All],[Age]],MATCH(Table5[[#This Row],[PID]],Table3[[#All],[PID]],0)))</f>
        <v>22</v>
      </c>
      <c r="H1015" s="54" t="str">
        <f>IF($C1015="B",INDEX(Batters[[#All],[B]],MATCH(Table5[[#This Row],[PID]],Batters[[#All],[PID]],0)),INDEX(Table3[[#All],[B]],MATCH(Table5[[#This Row],[PID]],Table3[[#All],[PID]],0)))</f>
        <v>R</v>
      </c>
      <c r="I1015" s="54" t="str">
        <f>IF($C1015="B",INDEX(Batters[[#All],[T]],MATCH(Table5[[#This Row],[PID]],Batters[[#All],[PID]],0)),INDEX(Table3[[#All],[T]],MATCH(Table5[[#This Row],[PID]],Table3[[#All],[PID]],0)))</f>
        <v>R</v>
      </c>
      <c r="J1015" s="54" t="str">
        <f>IF($C1015="B",INDEX(Batters[[#All],[WE]],MATCH(Table5[[#This Row],[PID]],Batters[[#All],[PID]],0)),INDEX(Table3[[#All],[WE]],MATCH(Table5[[#This Row],[PID]],Table3[[#All],[PID]],0)))</f>
        <v>Normal</v>
      </c>
      <c r="K1015" s="54" t="str">
        <f>IF($C1015="B",INDEX(Batters[[#All],[INT]],MATCH(Table5[[#This Row],[PID]],Batters[[#All],[PID]],0)),INDEX(Table3[[#All],[INT]],MATCH(Table5[[#This Row],[PID]],Table3[[#All],[PID]],0)))</f>
        <v>Normal</v>
      </c>
      <c r="L1015" s="62">
        <f>IF($C1015="B",INDEX(Batters[[#All],[CON P]],MATCH(Table5[[#This Row],[PID]],Batters[[#All],[PID]],0)),INDEX(Table3[[#All],[STU P]],MATCH(Table5[[#This Row],[PID]],Table3[[#All],[PID]],0)))</f>
        <v>3</v>
      </c>
      <c r="M1015" s="58">
        <f>IF($C1015="B",INDEX(Batters[[#All],[GAP P]],MATCH(Table5[[#This Row],[PID]],Batters[[#All],[PID]],0)),INDEX(Table3[[#All],[MOV P]],MATCH(Table5[[#This Row],[PID]],Table3[[#All],[PID]],0)))</f>
        <v>1</v>
      </c>
      <c r="N1015" s="58">
        <f>IF($C1015="B",INDEX(Batters[[#All],[POW P]],MATCH(Table5[[#This Row],[PID]],Batters[[#All],[PID]],0)),INDEX(Table3[[#All],[CON P]],MATCH(Table5[[#This Row],[PID]],Table3[[#All],[PID]],0)))</f>
        <v>4</v>
      </c>
      <c r="O1015" s="58">
        <f>IF($C1015="B",INDEX(Batters[[#All],[EYE P]],MATCH(Table5[[#This Row],[PID]],Batters[[#All],[PID]],0)),INDEX(Table3[[#All],[VELO]],MATCH(Table5[[#This Row],[PID]],Table3[[#All],[PID]],0)))</f>
        <v>4</v>
      </c>
      <c r="P1015" s="58">
        <f>IF($C1015="B",INDEX(Batters[[#All],[K P]],MATCH(Table5[[#This Row],[PID]],Batters[[#All],[PID]],0)),INDEX(Table3[[#All],[STM]],MATCH(Table5[[#This Row],[PID]],Table3[[#All],[PID]],0)))</f>
        <v>3</v>
      </c>
      <c r="Q1015" s="63">
        <f>IF($C1015="B",INDEX(Batters[[#All],[Tot]],MATCH(Table5[[#This Row],[PID]],Batters[[#All],[PID]],0)),INDEX(Table3[[#All],[Tot]],MATCH(Table5[[#This Row],[PID]],Table3[[#All],[PID]],0)))</f>
        <v>34.758774114191951</v>
      </c>
      <c r="R1015" s="54">
        <f>IF($C1015="B",INDEX(Batters[[#All],[zScore]],MATCH(Table5[[#This Row],[PID]],Batters[[#All],[PID]],0)),INDEX(Table3[[#All],[zScore]],MATCH(Table5[[#This Row],[PID]],Table3[[#All],[PID]],0)))</f>
        <v>-0.98343066794211853</v>
      </c>
      <c r="S1015" s="60" t="str">
        <f>IF($C1015="B",INDEX(Batters[[#All],[DEM]],MATCH(Table5[[#This Row],[PID]],Batters[[#All],[PID]],0)),INDEX(Table3[[#All],[DEM]],MATCH(Table5[[#This Row],[PID]],Table3[[#All],[PID]],0)))</f>
        <v>-</v>
      </c>
      <c r="T1015" s="64">
        <f>IF($C1015="B",VLOOKUP($A1015,Bat!$A$4:$AU$1417,46,FALSE),VLOOKUP($A1015,Pit!$A$4:$BD$570,55,FALSE))</f>
        <v>0</v>
      </c>
      <c r="U1015" s="52">
        <f>IF($C1015="B",VLOOKUP($A1015,Bat!$A$4:$BA$1417,47,FALSE),VLOOKUP($A1015,Pit!$A$4:$BF$570,56,FALSE))</f>
        <v>0</v>
      </c>
      <c r="V1015" s="52">
        <f>IF($C1015="B",VLOOKUP($A1015,Bat!$A$4:$BA$1417,48,FALSE),VLOOKUP($A1015,Pit!$A$4:$BF$570,57,FALSE))</f>
        <v>0</v>
      </c>
      <c r="W1015" s="52">
        <f>Table5[[#This Row],[posRnk]]+Table5[[#This Row],[zRnk]]+IF($W$3&lt;&gt;Table5[[#This Row],[Type]],50,0)</f>
        <v>1061</v>
      </c>
      <c r="X1015" s="53">
        <f>RANK(Table5[[#This Row],[zScore]],Table5[[#All],[zScore]])</f>
        <v>1011</v>
      </c>
      <c r="Y1015" s="52" t="str">
        <f>IFERROR(INDEX(DraftResults[[#All],[OVR]],MATCH(Table5[[#This Row],[PID]],DraftResults[[#All],[Player ID]],0)),"")</f>
        <v/>
      </c>
      <c r="Z10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5" s="52" t="str">
        <f>IFERROR(INDEX(DraftResults[[#All],[Pick in Round]],MATCH(Table5[[#This Row],[PID]],DraftResults[[#All],[Player ID]],0)),"")</f>
        <v/>
      </c>
      <c r="AB1015" s="52" t="str">
        <f>IFERROR(INDEX(DraftResults[[#All],[Team Name]],MATCH(Table5[[#This Row],[PID]],DraftResults[[#All],[Player ID]],0)),"")</f>
        <v/>
      </c>
      <c r="AC1015" s="52" t="str">
        <f>IF(Table5[[#This Row],[Ovr]]="","",IF(Table5[[#This Row],[cmbList]]="","",Table5[[#This Row],[cmbList]]-Table5[[#This Row],[Ovr]]))</f>
        <v/>
      </c>
      <c r="AD1015" s="56" t="str">
        <f>IF(ISERROR(VLOOKUP($AB1015&amp;"-"&amp;$E1015&amp;" "&amp;F1015,Bonuses!$B$1:$G$1006,4,FALSE)),"",INT(VLOOKUP($AB1015&amp;"-"&amp;$E1015&amp;" "&amp;$F1015,Bonuses!$B$1:$G$1006,4,FALSE)))</f>
        <v/>
      </c>
      <c r="AE10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6" spans="1:31" s="52" customFormat="1" x14ac:dyDescent="0.25">
      <c r="A1016" s="52">
        <v>10296</v>
      </c>
      <c r="B1016" s="52">
        <f>COUNTIF(Table5[PID],A1016)</f>
        <v>1</v>
      </c>
      <c r="C1016" s="52" t="str">
        <f>IF(COUNTIF(Table3[[#All],[PID]],A1016)&gt;0,"P","B")</f>
        <v>B</v>
      </c>
      <c r="D1016" s="61" t="str">
        <f>IF($C1016="B",INDEX(Batters[[#All],[POS]],MATCH(Table5[[#This Row],[PID]],Batters[[#All],[PID]],0)),INDEX(Table3[[#All],[POS]],MATCH(Table5[[#This Row],[PID]],Table3[[#All],[PID]],0)))</f>
        <v>LF</v>
      </c>
      <c r="E1016" s="54" t="str">
        <f>IF($C1016="B",INDEX(Batters[[#All],[First]],MATCH(Table5[[#This Row],[PID]],Batters[[#All],[PID]],0)),INDEX(Table3[[#All],[First]],MATCH(Table5[[#This Row],[PID]],Table3[[#All],[PID]],0)))</f>
        <v>Michael</v>
      </c>
      <c r="F1016" s="52" t="str">
        <f>IF($C1016="B",INDEX(Batters[[#All],[Last]],MATCH(A1016,Batters[[#All],[PID]],0)),INDEX(Table3[[#All],[Last]],MATCH(A1016,Table3[[#All],[PID]],0)))</f>
        <v>MacDonald</v>
      </c>
      <c r="G1016" s="58">
        <f>IF($C1016="B",INDEX(Batters[[#All],[Age]],MATCH(Table5[[#This Row],[PID]],Batters[[#All],[PID]],0)),INDEX(Table3[[#All],[Age]],MATCH(Table5[[#This Row],[PID]],Table3[[#All],[PID]],0)))</f>
        <v>21</v>
      </c>
      <c r="H1016" s="54" t="str">
        <f>IF($C1016="B",INDEX(Batters[[#All],[B]],MATCH(Table5[[#This Row],[PID]],Batters[[#All],[PID]],0)),INDEX(Table3[[#All],[B]],MATCH(Table5[[#This Row],[PID]],Table3[[#All],[PID]],0)))</f>
        <v>R</v>
      </c>
      <c r="I1016" s="54" t="str">
        <f>IF($C1016="B",INDEX(Batters[[#All],[T]],MATCH(Table5[[#This Row],[PID]],Batters[[#All],[PID]],0)),INDEX(Table3[[#All],[T]],MATCH(Table5[[#This Row],[PID]],Table3[[#All],[PID]],0)))</f>
        <v>R</v>
      </c>
      <c r="J1016" s="54" t="str">
        <f>IF($C1016="B",INDEX(Batters[[#All],[WE]],MATCH(Table5[[#This Row],[PID]],Batters[[#All],[PID]],0)),INDEX(Table3[[#All],[WE]],MATCH(Table5[[#This Row],[PID]],Table3[[#All],[PID]],0)))</f>
        <v>Normal</v>
      </c>
      <c r="K1016" s="54" t="str">
        <f>IF($C1016="B",INDEX(Batters[[#All],[INT]],MATCH(Table5[[#This Row],[PID]],Batters[[#All],[PID]],0)),INDEX(Table3[[#All],[INT]],MATCH(Table5[[#This Row],[PID]],Table3[[#All],[PID]],0)))</f>
        <v>High</v>
      </c>
      <c r="L1016" s="62">
        <f>IF($C1016="B",INDEX(Batters[[#All],[CON P]],MATCH(Table5[[#This Row],[PID]],Batters[[#All],[PID]],0)),INDEX(Table3[[#All],[STU P]],MATCH(Table5[[#This Row],[PID]],Table3[[#All],[PID]],0)))</f>
        <v>3</v>
      </c>
      <c r="M1016" s="58">
        <f>IF($C1016="B",INDEX(Batters[[#All],[GAP P]],MATCH(Table5[[#This Row],[PID]],Batters[[#All],[PID]],0)),INDEX(Table3[[#All],[MOV P]],MATCH(Table5[[#This Row],[PID]],Table3[[#All],[PID]],0)))</f>
        <v>3</v>
      </c>
      <c r="N1016" s="58">
        <f>IF($C1016="B",INDEX(Batters[[#All],[POW P]],MATCH(Table5[[#This Row],[PID]],Batters[[#All],[PID]],0)),INDEX(Table3[[#All],[CON P]],MATCH(Table5[[#This Row],[PID]],Table3[[#All],[PID]],0)))</f>
        <v>2</v>
      </c>
      <c r="O1016" s="58">
        <f>IF($C1016="B",INDEX(Batters[[#All],[EYE P]],MATCH(Table5[[#This Row],[PID]],Batters[[#All],[PID]],0)),INDEX(Table3[[#All],[VELO]],MATCH(Table5[[#This Row],[PID]],Table3[[#All],[PID]],0)))</f>
        <v>4</v>
      </c>
      <c r="P1016" s="58">
        <f>IF($C1016="B",INDEX(Batters[[#All],[K P]],MATCH(Table5[[#This Row],[PID]],Batters[[#All],[PID]],0)),INDEX(Table3[[#All],[STM]],MATCH(Table5[[#This Row],[PID]],Table3[[#All],[PID]],0)))</f>
        <v>4</v>
      </c>
      <c r="Q1016" s="63">
        <f>IF($C1016="B",INDEX(Batters[[#All],[Tot]],MATCH(Table5[[#This Row],[PID]],Batters[[#All],[PID]],0)),INDEX(Table3[[#All],[Tot]],MATCH(Table5[[#This Row],[PID]],Table3[[#All],[PID]],0)))</f>
        <v>34.758760329830722</v>
      </c>
      <c r="R1016" s="54">
        <f>IF($C1016="B",INDEX(Batters[[#All],[zScore]],MATCH(Table5[[#This Row],[PID]],Batters[[#All],[PID]],0)),INDEX(Table3[[#All],[zScore]],MATCH(Table5[[#This Row],[PID]],Table3[[#All],[PID]],0)))</f>
        <v>-0.98343309320886174</v>
      </c>
      <c r="S1016" s="60" t="str">
        <f>IF($C1016="B",INDEX(Batters[[#All],[DEM]],MATCH(Table5[[#This Row],[PID]],Batters[[#All],[PID]],0)),INDEX(Table3[[#All],[DEM]],MATCH(Table5[[#This Row],[PID]],Table3[[#All],[PID]],0)))</f>
        <v>-</v>
      </c>
      <c r="T1016" s="64">
        <f>IF($C1016="B",VLOOKUP($A1016,Bat!$A$4:$AU$1417,46,FALSE),VLOOKUP($A1016,Pit!$A$4:$BD$570,55,FALSE))</f>
        <v>0</v>
      </c>
      <c r="U1016" s="52">
        <f>IF($C1016="B",VLOOKUP($A1016,Bat!$A$4:$BA$1417,47,FALSE),VLOOKUP($A1016,Pit!$A$4:$BF$570,56,FALSE))</f>
        <v>0</v>
      </c>
      <c r="V1016" s="52">
        <f>IF($C1016="B",VLOOKUP($A1016,Bat!$A$4:$BA$1417,48,FALSE),VLOOKUP($A1016,Pit!$A$4:$BF$570,57,FALSE))</f>
        <v>0</v>
      </c>
      <c r="W1016" s="52">
        <f>Table5[[#This Row],[posRnk]]+Table5[[#This Row],[zRnk]]+IF($W$3&lt;&gt;Table5[[#This Row],[Type]],50,0)</f>
        <v>1062</v>
      </c>
      <c r="X1016" s="53">
        <f>RANK(Table5[[#This Row],[zScore]],Table5[[#All],[zScore]])</f>
        <v>1012</v>
      </c>
      <c r="Y1016" s="52" t="str">
        <f>IFERROR(INDEX(DraftResults[[#All],[OVR]],MATCH(Table5[[#This Row],[PID]],DraftResults[[#All],[Player ID]],0)),"")</f>
        <v/>
      </c>
      <c r="Z10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6" s="52" t="str">
        <f>IFERROR(INDEX(DraftResults[[#All],[Pick in Round]],MATCH(Table5[[#This Row],[PID]],DraftResults[[#All],[Player ID]],0)),"")</f>
        <v/>
      </c>
      <c r="AB1016" s="52" t="str">
        <f>IFERROR(INDEX(DraftResults[[#All],[Team Name]],MATCH(Table5[[#This Row],[PID]],DraftResults[[#All],[Player ID]],0)),"")</f>
        <v/>
      </c>
      <c r="AC1016" s="52" t="str">
        <f>IF(Table5[[#This Row],[Ovr]]="","",IF(Table5[[#This Row],[cmbList]]="","",Table5[[#This Row],[cmbList]]-Table5[[#This Row],[Ovr]]))</f>
        <v/>
      </c>
      <c r="AD1016" s="56" t="str">
        <f>IF(ISERROR(VLOOKUP($AB1016&amp;"-"&amp;$E1016&amp;" "&amp;F1016,Bonuses!$B$1:$G$1006,4,FALSE)),"",INT(VLOOKUP($AB1016&amp;"-"&amp;$E1016&amp;" "&amp;$F1016,Bonuses!$B$1:$G$1006,4,FALSE)))</f>
        <v/>
      </c>
      <c r="AE10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7" spans="1:31" s="52" customFormat="1" x14ac:dyDescent="0.25">
      <c r="A1017" s="52">
        <v>9325</v>
      </c>
      <c r="B1017" s="52">
        <f>COUNTIF(Table5[PID],A1017)</f>
        <v>1</v>
      </c>
      <c r="C1017" s="52" t="str">
        <f>IF(COUNTIF(Table3[[#All],[PID]],A1017)&gt;0,"P","B")</f>
        <v>P</v>
      </c>
      <c r="D1017" s="61" t="str">
        <f>IF($C1017="B",INDEX(Batters[[#All],[POS]],MATCH(Table5[[#This Row],[PID]],Batters[[#All],[PID]],0)),INDEX(Table3[[#All],[POS]],MATCH(Table5[[#This Row],[PID]],Table3[[#All],[PID]],0)))</f>
        <v>RP</v>
      </c>
      <c r="E1017" s="54" t="str">
        <f>IF($C1017="B",INDEX(Batters[[#All],[First]],MATCH(Table5[[#This Row],[PID]],Batters[[#All],[PID]],0)),INDEX(Table3[[#All],[First]],MATCH(Table5[[#This Row],[PID]],Table3[[#All],[PID]],0)))</f>
        <v>Russell</v>
      </c>
      <c r="F1017" s="52" t="str">
        <f>IF($C1017="B",INDEX(Batters[[#All],[Last]],MATCH(A1017,Batters[[#All],[PID]],0)),INDEX(Table3[[#All],[Last]],MATCH(A1017,Table3[[#All],[PID]],0)))</f>
        <v>Kennedy</v>
      </c>
      <c r="G1017" s="58">
        <f>IF($C1017="B",INDEX(Batters[[#All],[Age]],MATCH(Table5[[#This Row],[PID]],Batters[[#All],[PID]],0)),INDEX(Table3[[#All],[Age]],MATCH(Table5[[#This Row],[PID]],Table3[[#All],[PID]],0)))</f>
        <v>22</v>
      </c>
      <c r="H1017" s="54" t="str">
        <f>IF($C1017="B",INDEX(Batters[[#All],[B]],MATCH(Table5[[#This Row],[PID]],Batters[[#All],[PID]],0)),INDEX(Table3[[#All],[B]],MATCH(Table5[[#This Row],[PID]],Table3[[#All],[PID]],0)))</f>
        <v>L</v>
      </c>
      <c r="I1017" s="54" t="str">
        <f>IF($C1017="B",INDEX(Batters[[#All],[T]],MATCH(Table5[[#This Row],[PID]],Batters[[#All],[PID]],0)),INDEX(Table3[[#All],[T]],MATCH(Table5[[#This Row],[PID]],Table3[[#All],[PID]],0)))</f>
        <v>L</v>
      </c>
      <c r="J1017" s="54" t="str">
        <f>IF($C1017="B",INDEX(Batters[[#All],[WE]],MATCH(Table5[[#This Row],[PID]],Batters[[#All],[PID]],0)),INDEX(Table3[[#All],[WE]],MATCH(Table5[[#This Row],[PID]],Table3[[#All],[PID]],0)))</f>
        <v>Normal</v>
      </c>
      <c r="K1017" s="54" t="str">
        <f>IF($C1017="B",INDEX(Batters[[#All],[INT]],MATCH(Table5[[#This Row],[PID]],Batters[[#All],[PID]],0)),INDEX(Table3[[#All],[INT]],MATCH(Table5[[#This Row],[PID]],Table3[[#All],[PID]],0)))</f>
        <v>Normal</v>
      </c>
      <c r="L1017" s="62">
        <f>IF($C1017="B",INDEX(Batters[[#All],[CON P]],MATCH(Table5[[#This Row],[PID]],Batters[[#All],[PID]],0)),INDEX(Table3[[#All],[STU P]],MATCH(Table5[[#This Row],[PID]],Table3[[#All],[PID]],0)))</f>
        <v>5</v>
      </c>
      <c r="M1017" s="58">
        <f>IF($C1017="B",INDEX(Batters[[#All],[GAP P]],MATCH(Table5[[#This Row],[PID]],Batters[[#All],[PID]],0)),INDEX(Table3[[#All],[MOV P]],MATCH(Table5[[#This Row],[PID]],Table3[[#All],[PID]],0)))</f>
        <v>2</v>
      </c>
      <c r="N1017" s="58">
        <f>IF($C1017="B",INDEX(Batters[[#All],[POW P]],MATCH(Table5[[#This Row],[PID]],Batters[[#All],[PID]],0)),INDEX(Table3[[#All],[CON P]],MATCH(Table5[[#This Row],[PID]],Table3[[#All],[PID]],0)))</f>
        <v>2</v>
      </c>
      <c r="O1017" s="58" t="str">
        <f>IF($C1017="B",INDEX(Batters[[#All],[EYE P]],MATCH(Table5[[#This Row],[PID]],Batters[[#All],[PID]],0)),INDEX(Table3[[#All],[VELO]],MATCH(Table5[[#This Row],[PID]],Table3[[#All],[PID]],0)))</f>
        <v>89-91 Mph</v>
      </c>
      <c r="P1017" s="58">
        <f>IF($C1017="B",INDEX(Batters[[#All],[K P]],MATCH(Table5[[#This Row],[PID]],Batters[[#All],[PID]],0)),INDEX(Table3[[#All],[STM]],MATCH(Table5[[#This Row],[PID]],Table3[[#All],[PID]],0)))</f>
        <v>3</v>
      </c>
      <c r="Q1017" s="63">
        <f>IF($C1017="B",INDEX(Batters[[#All],[Tot]],MATCH(Table5[[#This Row],[PID]],Batters[[#All],[PID]],0)),INDEX(Table3[[#All],[Tot]],MATCH(Table5[[#This Row],[PID]],Table3[[#All],[PID]],0)))</f>
        <v>21.994416052631227</v>
      </c>
      <c r="R1017" s="54">
        <f>IF($C1017="B",INDEX(Batters[[#All],[zScore]],MATCH(Table5[[#This Row],[PID]],Batters[[#All],[PID]],0)),INDEX(Table3[[#All],[zScore]],MATCH(Table5[[#This Row],[PID]],Table3[[#All],[PID]],0)))</f>
        <v>-0.98378830302074849</v>
      </c>
      <c r="S1017" s="60" t="str">
        <f>IF($C1017="B",INDEX(Batters[[#All],[DEM]],MATCH(Table5[[#This Row],[PID]],Batters[[#All],[PID]],0)),INDEX(Table3[[#All],[DEM]],MATCH(Table5[[#This Row],[PID]],Table3[[#All],[PID]],0)))</f>
        <v>-</v>
      </c>
      <c r="T1017" s="64">
        <f>IF($C1017="B",VLOOKUP($A1017,Bat!$A$4:$AU$1417,46,FALSE),VLOOKUP($A1017,Pit!$A$4:$BD$570,55,FALSE))</f>
        <v>0</v>
      </c>
      <c r="U1017" s="52">
        <f>IF($C1017="B",VLOOKUP($A1017,Bat!$A$4:$BA$1417,47,FALSE),VLOOKUP($A1017,Pit!$A$4:$BF$570,56,FALSE))</f>
        <v>0</v>
      </c>
      <c r="V1017" s="52">
        <f>IF($C1017="B",VLOOKUP($A1017,Bat!$A$4:$BA$1417,48,FALSE),VLOOKUP($A1017,Pit!$A$4:$BF$570,57,FALSE))</f>
        <v>0</v>
      </c>
      <c r="W1017" s="52">
        <f>Table5[[#This Row],[posRnk]]+Table5[[#This Row],[zRnk]]+IF($W$3&lt;&gt;Table5[[#This Row],[Type]],50,0)</f>
        <v>1063</v>
      </c>
      <c r="X1017" s="53">
        <f>RANK(Table5[[#This Row],[zScore]],Table5[[#All],[zScore]])</f>
        <v>1013</v>
      </c>
      <c r="Y1017" s="52" t="str">
        <f>IFERROR(INDEX(DraftResults[[#All],[OVR]],MATCH(Table5[[#This Row],[PID]],DraftResults[[#All],[Player ID]],0)),"")</f>
        <v/>
      </c>
      <c r="Z10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7" s="52" t="str">
        <f>IFERROR(INDEX(DraftResults[[#All],[Pick in Round]],MATCH(Table5[[#This Row],[PID]],DraftResults[[#All],[Player ID]],0)),"")</f>
        <v/>
      </c>
      <c r="AB1017" s="52" t="str">
        <f>IFERROR(INDEX(DraftResults[[#All],[Team Name]],MATCH(Table5[[#This Row],[PID]],DraftResults[[#All],[Player ID]],0)),"")</f>
        <v/>
      </c>
      <c r="AC1017" s="52" t="str">
        <f>IF(Table5[[#This Row],[Ovr]]="","",IF(Table5[[#This Row],[cmbList]]="","",Table5[[#This Row],[cmbList]]-Table5[[#This Row],[Ovr]]))</f>
        <v/>
      </c>
      <c r="AD1017" s="56" t="str">
        <f>IF(ISERROR(VLOOKUP($AB1017&amp;"-"&amp;$E1017&amp;" "&amp;F1017,Bonuses!$B$1:$G$1006,4,FALSE)),"",INT(VLOOKUP($AB1017&amp;"-"&amp;$E1017&amp;" "&amp;$F1017,Bonuses!$B$1:$G$1006,4,FALSE)))</f>
        <v/>
      </c>
      <c r="AE10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8" spans="1:31" s="52" customFormat="1" x14ac:dyDescent="0.25">
      <c r="A1018" s="52">
        <v>11839</v>
      </c>
      <c r="B1018" s="52">
        <f>COUNTIF(Table5[PID],A1018)</f>
        <v>1</v>
      </c>
      <c r="C1018" s="52" t="str">
        <f>IF(COUNTIF(Table3[[#All],[PID]],A1018)&gt;0,"P","B")</f>
        <v>B</v>
      </c>
      <c r="D1018" s="61" t="str">
        <f>IF($C1018="B",INDEX(Batters[[#All],[POS]],MATCH(Table5[[#This Row],[PID]],Batters[[#All],[PID]],0)),INDEX(Table3[[#All],[POS]],MATCH(Table5[[#This Row],[PID]],Table3[[#All],[PID]],0)))</f>
        <v>1B</v>
      </c>
      <c r="E1018" s="54" t="str">
        <f>IF($C1018="B",INDEX(Batters[[#All],[First]],MATCH(Table5[[#This Row],[PID]],Batters[[#All],[PID]],0)),INDEX(Table3[[#All],[First]],MATCH(Table5[[#This Row],[PID]],Table3[[#All],[PID]],0)))</f>
        <v>Brandon</v>
      </c>
      <c r="F1018" s="52" t="str">
        <f>IF($C1018="B",INDEX(Batters[[#All],[Last]],MATCH(A1018,Batters[[#All],[PID]],0)),INDEX(Table3[[#All],[Last]],MATCH(A1018,Table3[[#All],[PID]],0)))</f>
        <v>Hawk</v>
      </c>
      <c r="G1018" s="58">
        <f>IF($C1018="B",INDEX(Batters[[#All],[Age]],MATCH(Table5[[#This Row],[PID]],Batters[[#All],[PID]],0)),INDEX(Table3[[#All],[Age]],MATCH(Table5[[#This Row],[PID]],Table3[[#All],[PID]],0)))</f>
        <v>22</v>
      </c>
      <c r="H1018" s="54" t="str">
        <f>IF($C1018="B",INDEX(Batters[[#All],[B]],MATCH(Table5[[#This Row],[PID]],Batters[[#All],[PID]],0)),INDEX(Table3[[#All],[B]],MATCH(Table5[[#This Row],[PID]],Table3[[#All],[PID]],0)))</f>
        <v>L</v>
      </c>
      <c r="I1018" s="54" t="str">
        <f>IF($C1018="B",INDEX(Batters[[#All],[T]],MATCH(Table5[[#This Row],[PID]],Batters[[#All],[PID]],0)),INDEX(Table3[[#All],[T]],MATCH(Table5[[#This Row],[PID]],Table3[[#All],[PID]],0)))</f>
        <v>L</v>
      </c>
      <c r="J1018" s="54" t="str">
        <f>IF($C1018="B",INDEX(Batters[[#All],[WE]],MATCH(Table5[[#This Row],[PID]],Batters[[#All],[PID]],0)),INDEX(Table3[[#All],[WE]],MATCH(Table5[[#This Row],[PID]],Table3[[#All],[PID]],0)))</f>
        <v>Normal</v>
      </c>
      <c r="K1018" s="54" t="str">
        <f>IF($C1018="B",INDEX(Batters[[#All],[INT]],MATCH(Table5[[#This Row],[PID]],Batters[[#All],[PID]],0)),INDEX(Table3[[#All],[INT]],MATCH(Table5[[#This Row],[PID]],Table3[[#All],[PID]],0)))</f>
        <v>Normal</v>
      </c>
      <c r="L1018" s="62">
        <f>IF($C1018="B",INDEX(Batters[[#All],[CON P]],MATCH(Table5[[#This Row],[PID]],Batters[[#All],[PID]],0)),INDEX(Table3[[#All],[STU P]],MATCH(Table5[[#This Row],[PID]],Table3[[#All],[PID]],0)))</f>
        <v>4</v>
      </c>
      <c r="M1018" s="58">
        <f>IF($C1018="B",INDEX(Batters[[#All],[GAP P]],MATCH(Table5[[#This Row],[PID]],Batters[[#All],[PID]],0)),INDEX(Table3[[#All],[MOV P]],MATCH(Table5[[#This Row],[PID]],Table3[[#All],[PID]],0)))</f>
        <v>2</v>
      </c>
      <c r="N1018" s="58">
        <f>IF($C1018="B",INDEX(Batters[[#All],[POW P]],MATCH(Table5[[#This Row],[PID]],Batters[[#All],[PID]],0)),INDEX(Table3[[#All],[CON P]],MATCH(Table5[[#This Row],[PID]],Table3[[#All],[PID]],0)))</f>
        <v>2</v>
      </c>
      <c r="O1018" s="58">
        <f>IF($C1018="B",INDEX(Batters[[#All],[EYE P]],MATCH(Table5[[#This Row],[PID]],Batters[[#All],[PID]],0)),INDEX(Table3[[#All],[VELO]],MATCH(Table5[[#This Row],[PID]],Table3[[#All],[PID]],0)))</f>
        <v>1</v>
      </c>
      <c r="P1018" s="58">
        <f>IF($C1018="B",INDEX(Batters[[#All],[K P]],MATCH(Table5[[#This Row],[PID]],Batters[[#All],[PID]],0)),INDEX(Table3[[#All],[STM]],MATCH(Table5[[#This Row],[PID]],Table3[[#All],[PID]],0)))</f>
        <v>4</v>
      </c>
      <c r="Q1018" s="63">
        <f>IF($C1018="B",INDEX(Batters[[#All],[Tot]],MATCH(Table5[[#This Row],[PID]],Batters[[#All],[PID]],0)),INDEX(Table3[[#All],[Tot]],MATCH(Table5[[#This Row],[PID]],Table3[[#All],[PID]],0)))</f>
        <v>34.752426860077144</v>
      </c>
      <c r="R1018" s="54">
        <f>IF($C1018="B",INDEX(Batters[[#All],[zScore]],MATCH(Table5[[#This Row],[PID]],Batters[[#All],[PID]],0)),INDEX(Table3[[#All],[zScore]],MATCH(Table5[[#This Row],[PID]],Table3[[#All],[PID]],0)))</f>
        <v>-0.98454742511784243</v>
      </c>
      <c r="S1018" s="60" t="str">
        <f>IF($C1018="B",INDEX(Batters[[#All],[DEM]],MATCH(Table5[[#This Row],[PID]],Batters[[#All],[PID]],0)),INDEX(Table3[[#All],[DEM]],MATCH(Table5[[#This Row],[PID]],Table3[[#All],[PID]],0)))</f>
        <v>-</v>
      </c>
      <c r="T1018" s="64">
        <f>IF($C1018="B",VLOOKUP($A1018,Bat!$A$4:$AU$1417,46,FALSE),VLOOKUP($A1018,Pit!$A$4:$BD$570,55,FALSE))</f>
        <v>0</v>
      </c>
      <c r="U1018" s="52">
        <f>IF($C1018="B",VLOOKUP($A1018,Bat!$A$4:$BA$1417,47,FALSE),VLOOKUP($A1018,Pit!$A$4:$BF$570,56,FALSE))</f>
        <v>0</v>
      </c>
      <c r="V1018" s="52">
        <f>IF($C1018="B",VLOOKUP($A1018,Bat!$A$4:$BA$1417,48,FALSE),VLOOKUP($A1018,Pit!$A$4:$BF$570,57,FALSE))</f>
        <v>0</v>
      </c>
      <c r="W1018" s="52">
        <f>Table5[[#This Row],[posRnk]]+Table5[[#This Row],[zRnk]]+IF($W$3&lt;&gt;Table5[[#This Row],[Type]],50,0)</f>
        <v>1064</v>
      </c>
      <c r="X1018" s="53">
        <f>RANK(Table5[[#This Row],[zScore]],Table5[[#All],[zScore]])</f>
        <v>1014</v>
      </c>
      <c r="Y1018" s="52" t="str">
        <f>IFERROR(INDEX(DraftResults[[#All],[OVR]],MATCH(Table5[[#This Row],[PID]],DraftResults[[#All],[Player ID]],0)),"")</f>
        <v/>
      </c>
      <c r="Z10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8" s="52" t="str">
        <f>IFERROR(INDEX(DraftResults[[#All],[Pick in Round]],MATCH(Table5[[#This Row],[PID]],DraftResults[[#All],[Player ID]],0)),"")</f>
        <v/>
      </c>
      <c r="AB1018" s="52" t="str">
        <f>IFERROR(INDEX(DraftResults[[#All],[Team Name]],MATCH(Table5[[#This Row],[PID]],DraftResults[[#All],[Player ID]],0)),"")</f>
        <v/>
      </c>
      <c r="AC1018" s="52" t="str">
        <f>IF(Table5[[#This Row],[Ovr]]="","",IF(Table5[[#This Row],[cmbList]]="","",Table5[[#This Row],[cmbList]]-Table5[[#This Row],[Ovr]]))</f>
        <v/>
      </c>
      <c r="AD1018" s="56" t="str">
        <f>IF(ISERROR(VLOOKUP($AB1018&amp;"-"&amp;$E1018&amp;" "&amp;F1018,Bonuses!$B$1:$G$1006,4,FALSE)),"",INT(VLOOKUP($AB1018&amp;"-"&amp;$E1018&amp;" "&amp;$F1018,Bonuses!$B$1:$G$1006,4,FALSE)))</f>
        <v/>
      </c>
      <c r="AE10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9" spans="1:31" s="52" customFormat="1" x14ac:dyDescent="0.25">
      <c r="A1019" s="52">
        <v>12726</v>
      </c>
      <c r="B1019" s="52">
        <f>COUNTIF(Table5[PID],A1019)</f>
        <v>1</v>
      </c>
      <c r="C1019" s="52" t="str">
        <f>IF(COUNTIF(Table3[[#All],[PID]],A1019)&gt;0,"P","B")</f>
        <v>P</v>
      </c>
      <c r="D1019" s="61" t="str">
        <f>IF($C1019="B",INDEX(Batters[[#All],[POS]],MATCH(Table5[[#This Row],[PID]],Batters[[#All],[PID]],0)),INDEX(Table3[[#All],[POS]],MATCH(Table5[[#This Row],[PID]],Table3[[#All],[PID]],0)))</f>
        <v>SP</v>
      </c>
      <c r="E1019" s="54" t="str">
        <f>IF($C1019="B",INDEX(Batters[[#All],[First]],MATCH(Table5[[#This Row],[PID]],Batters[[#All],[PID]],0)),INDEX(Table3[[#All],[First]],MATCH(Table5[[#This Row],[PID]],Table3[[#All],[PID]],0)))</f>
        <v>Tadasu</v>
      </c>
      <c r="F1019" s="52" t="str">
        <f>IF($C1019="B",INDEX(Batters[[#All],[Last]],MATCH(A1019,Batters[[#All],[PID]],0)),INDEX(Table3[[#All],[Last]],MATCH(A1019,Table3[[#All],[PID]],0)))</f>
        <v>Okazaki</v>
      </c>
      <c r="G1019" s="58">
        <f>IF($C1019="B",INDEX(Batters[[#All],[Age]],MATCH(Table5[[#This Row],[PID]],Batters[[#All],[PID]],0)),INDEX(Table3[[#All],[Age]],MATCH(Table5[[#This Row],[PID]],Table3[[#All],[PID]],0)))</f>
        <v>21</v>
      </c>
      <c r="H1019" s="54" t="str">
        <f>IF($C1019="B",INDEX(Batters[[#All],[B]],MATCH(Table5[[#This Row],[PID]],Batters[[#All],[PID]],0)),INDEX(Table3[[#All],[B]],MATCH(Table5[[#This Row],[PID]],Table3[[#All],[PID]],0)))</f>
        <v>L</v>
      </c>
      <c r="I1019" s="54" t="str">
        <f>IF($C1019="B",INDEX(Batters[[#All],[T]],MATCH(Table5[[#This Row],[PID]],Batters[[#All],[PID]],0)),INDEX(Table3[[#All],[T]],MATCH(Table5[[#This Row],[PID]],Table3[[#All],[PID]],0)))</f>
        <v>L</v>
      </c>
      <c r="J1019" s="54" t="str">
        <f>IF($C1019="B",INDEX(Batters[[#All],[WE]],MATCH(Table5[[#This Row],[PID]],Batters[[#All],[PID]],0)),INDEX(Table3[[#All],[WE]],MATCH(Table5[[#This Row],[PID]],Table3[[#All],[PID]],0)))</f>
        <v>Low</v>
      </c>
      <c r="K1019" s="54" t="str">
        <f>IF($C1019="B",INDEX(Batters[[#All],[INT]],MATCH(Table5[[#This Row],[PID]],Batters[[#All],[PID]],0)),INDEX(Table3[[#All],[INT]],MATCH(Table5[[#This Row],[PID]],Table3[[#All],[PID]],0)))</f>
        <v>Low</v>
      </c>
      <c r="L1019" s="62">
        <f>IF($C1019="B",INDEX(Batters[[#All],[CON P]],MATCH(Table5[[#This Row],[PID]],Batters[[#All],[PID]],0)),INDEX(Table3[[#All],[STU P]],MATCH(Table5[[#This Row],[PID]],Table3[[#All],[PID]],0)))</f>
        <v>4</v>
      </c>
      <c r="M1019" s="58">
        <f>IF($C1019="B",INDEX(Batters[[#All],[GAP P]],MATCH(Table5[[#This Row],[PID]],Batters[[#All],[PID]],0)),INDEX(Table3[[#All],[MOV P]],MATCH(Table5[[#This Row],[PID]],Table3[[#All],[PID]],0)))</f>
        <v>1</v>
      </c>
      <c r="N1019" s="58">
        <f>IF($C1019="B",INDEX(Batters[[#All],[POW P]],MATCH(Table5[[#This Row],[PID]],Batters[[#All],[PID]],0)),INDEX(Table3[[#All],[CON P]],MATCH(Table5[[#This Row],[PID]],Table3[[#All],[PID]],0)))</f>
        <v>2</v>
      </c>
      <c r="O1019" s="58" t="str">
        <f>IF($C1019="B",INDEX(Batters[[#All],[EYE P]],MATCH(Table5[[#This Row],[PID]],Batters[[#All],[PID]],0)),INDEX(Table3[[#All],[VELO]],MATCH(Table5[[#This Row],[PID]],Table3[[#All],[PID]],0)))</f>
        <v>91-93 Mph</v>
      </c>
      <c r="P1019" s="58">
        <f>IF($C1019="B",INDEX(Batters[[#All],[K P]],MATCH(Table5[[#This Row],[PID]],Batters[[#All],[PID]],0)),INDEX(Table3[[#All],[STM]],MATCH(Table5[[#This Row],[PID]],Table3[[#All],[PID]],0)))</f>
        <v>6</v>
      </c>
      <c r="Q1019" s="63">
        <f>IF($C1019="B",INDEX(Batters[[#All],[Tot]],MATCH(Table5[[#This Row],[PID]],Batters[[#All],[PID]],0)),INDEX(Table3[[#All],[Tot]],MATCH(Table5[[#This Row],[PID]],Table3[[#All],[PID]],0)))</f>
        <v>21.93407390272214</v>
      </c>
      <c r="R1019" s="54">
        <f>IF($C1019="B",INDEX(Batters[[#All],[zScore]],MATCH(Table5[[#This Row],[PID]],Batters[[#All],[PID]],0)),INDEX(Table3[[#All],[zScore]],MATCH(Table5[[#This Row],[PID]],Table3[[#All],[PID]],0)))</f>
        <v>-0.98932193607518082</v>
      </c>
      <c r="S1019" s="60" t="str">
        <f>IF($C1019="B",INDEX(Batters[[#All],[DEM]],MATCH(Table5[[#This Row],[PID]],Batters[[#All],[PID]],0)),INDEX(Table3[[#All],[DEM]],MATCH(Table5[[#This Row],[PID]],Table3[[#All],[PID]],0)))</f>
        <v>$20k</v>
      </c>
      <c r="T1019" s="64">
        <f>IF($C1019="B",VLOOKUP($A1019,Bat!$A$4:$AU$1417,46,FALSE),VLOOKUP($A1019,Pit!$A$4:$BD$570,55,FALSE))</f>
        <v>0</v>
      </c>
      <c r="U1019" s="52">
        <f>IF($C1019="B",VLOOKUP($A1019,Bat!$A$4:$BA$1417,47,FALSE),VLOOKUP($A1019,Pit!$A$4:$BF$570,56,FALSE))</f>
        <v>0</v>
      </c>
      <c r="V1019" s="52">
        <f>IF($C1019="B",VLOOKUP($A1019,Bat!$A$4:$BA$1417,48,FALSE),VLOOKUP($A1019,Pit!$A$4:$BF$570,57,FALSE))</f>
        <v>0</v>
      </c>
      <c r="W1019" s="52">
        <f>Table5[[#This Row],[posRnk]]+Table5[[#This Row],[zRnk]]+IF($W$3&lt;&gt;Table5[[#This Row],[Type]],50,0)</f>
        <v>1065</v>
      </c>
      <c r="X1019" s="53">
        <f>RANK(Table5[[#This Row],[zScore]],Table5[[#All],[zScore]])</f>
        <v>1015</v>
      </c>
      <c r="Y1019" s="52" t="str">
        <f>IFERROR(INDEX(DraftResults[[#All],[OVR]],MATCH(Table5[[#This Row],[PID]],DraftResults[[#All],[Player ID]],0)),"")</f>
        <v/>
      </c>
      <c r="Z10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9" s="52" t="str">
        <f>IFERROR(INDEX(DraftResults[[#All],[Pick in Round]],MATCH(Table5[[#This Row],[PID]],DraftResults[[#All],[Player ID]],0)),"")</f>
        <v/>
      </c>
      <c r="AB1019" s="52" t="str">
        <f>IFERROR(INDEX(DraftResults[[#All],[Team Name]],MATCH(Table5[[#This Row],[PID]],DraftResults[[#All],[Player ID]],0)),"")</f>
        <v/>
      </c>
      <c r="AC1019" s="52" t="str">
        <f>IF(Table5[[#This Row],[Ovr]]="","",IF(Table5[[#This Row],[cmbList]]="","",Table5[[#This Row],[cmbList]]-Table5[[#This Row],[Ovr]]))</f>
        <v/>
      </c>
      <c r="AD1019" s="56" t="str">
        <f>IF(ISERROR(VLOOKUP($AB1019&amp;"-"&amp;$E1019&amp;" "&amp;F1019,Bonuses!$B$1:$G$1006,4,FALSE)),"",INT(VLOOKUP($AB1019&amp;"-"&amp;$E1019&amp;" "&amp;$F1019,Bonuses!$B$1:$G$1006,4,FALSE)))</f>
        <v/>
      </c>
      <c r="AE10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0" spans="1:31" s="52" customFormat="1" x14ac:dyDescent="0.25">
      <c r="A1020" s="52">
        <v>8987</v>
      </c>
      <c r="B1020" s="52">
        <f>COUNTIF(Table5[PID],A1020)</f>
        <v>1</v>
      </c>
      <c r="C1020" s="52" t="str">
        <f>IF(COUNTIF(Table3[[#All],[PID]],A1020)&gt;0,"P","B")</f>
        <v>B</v>
      </c>
      <c r="D1020" s="61" t="str">
        <f>IF($C1020="B",INDEX(Batters[[#All],[POS]],MATCH(Table5[[#This Row],[PID]],Batters[[#All],[PID]],0)),INDEX(Table3[[#All],[POS]],MATCH(Table5[[#This Row],[PID]],Table3[[#All],[PID]],0)))</f>
        <v>C</v>
      </c>
      <c r="E1020" s="54" t="str">
        <f>IF($C1020="B",INDEX(Batters[[#All],[First]],MATCH(Table5[[#This Row],[PID]],Batters[[#All],[PID]],0)),INDEX(Table3[[#All],[First]],MATCH(Table5[[#This Row],[PID]],Table3[[#All],[PID]],0)))</f>
        <v>Todd</v>
      </c>
      <c r="F1020" s="52" t="str">
        <f>IF($C1020="B",INDEX(Batters[[#All],[Last]],MATCH(A1020,Batters[[#All],[PID]],0)),INDEX(Table3[[#All],[Last]],MATCH(A1020,Table3[[#All],[PID]],0)))</f>
        <v>Graham</v>
      </c>
      <c r="G1020" s="58">
        <f>IF($C1020="B",INDEX(Batters[[#All],[Age]],MATCH(Table5[[#This Row],[PID]],Batters[[#All],[PID]],0)),INDEX(Table3[[#All],[Age]],MATCH(Table5[[#This Row],[PID]],Table3[[#All],[PID]],0)))</f>
        <v>22</v>
      </c>
      <c r="H1020" s="54" t="str">
        <f>IF($C1020="B",INDEX(Batters[[#All],[B]],MATCH(Table5[[#This Row],[PID]],Batters[[#All],[PID]],0)),INDEX(Table3[[#All],[B]],MATCH(Table5[[#This Row],[PID]],Table3[[#All],[PID]],0)))</f>
        <v>R</v>
      </c>
      <c r="I1020" s="54" t="str">
        <f>IF($C1020="B",INDEX(Batters[[#All],[T]],MATCH(Table5[[#This Row],[PID]],Batters[[#All],[PID]],0)),INDEX(Table3[[#All],[T]],MATCH(Table5[[#This Row],[PID]],Table3[[#All],[PID]],0)))</f>
        <v>R</v>
      </c>
      <c r="J1020" s="54" t="str">
        <f>IF($C1020="B",INDEX(Batters[[#All],[WE]],MATCH(Table5[[#This Row],[PID]],Batters[[#All],[PID]],0)),INDEX(Table3[[#All],[WE]],MATCH(Table5[[#This Row],[PID]],Table3[[#All],[PID]],0)))</f>
        <v>High</v>
      </c>
      <c r="K1020" s="54" t="str">
        <f>IF($C1020="B",INDEX(Batters[[#All],[INT]],MATCH(Table5[[#This Row],[PID]],Batters[[#All],[PID]],0)),INDEX(Table3[[#All],[INT]],MATCH(Table5[[#This Row],[PID]],Table3[[#All],[PID]],0)))</f>
        <v>Normal</v>
      </c>
      <c r="L1020" s="62">
        <f>IF($C1020="B",INDEX(Batters[[#All],[CON P]],MATCH(Table5[[#This Row],[PID]],Batters[[#All],[PID]],0)),INDEX(Table3[[#All],[STU P]],MATCH(Table5[[#This Row],[PID]],Table3[[#All],[PID]],0)))</f>
        <v>3</v>
      </c>
      <c r="M1020" s="58">
        <f>IF($C1020="B",INDEX(Batters[[#All],[GAP P]],MATCH(Table5[[#This Row],[PID]],Batters[[#All],[PID]],0)),INDEX(Table3[[#All],[MOV P]],MATCH(Table5[[#This Row],[PID]],Table3[[#All],[PID]],0)))</f>
        <v>2</v>
      </c>
      <c r="N1020" s="58">
        <f>IF($C1020="B",INDEX(Batters[[#All],[POW P]],MATCH(Table5[[#This Row],[PID]],Batters[[#All],[PID]],0)),INDEX(Table3[[#All],[CON P]],MATCH(Table5[[#This Row],[PID]],Table3[[#All],[PID]],0)))</f>
        <v>3</v>
      </c>
      <c r="O1020" s="58">
        <f>IF($C1020="B",INDEX(Batters[[#All],[EYE P]],MATCH(Table5[[#This Row],[PID]],Batters[[#All],[PID]],0)),INDEX(Table3[[#All],[VELO]],MATCH(Table5[[#This Row],[PID]],Table3[[#All],[PID]],0)))</f>
        <v>4</v>
      </c>
      <c r="P1020" s="58">
        <f>IF($C1020="B",INDEX(Batters[[#All],[K P]],MATCH(Table5[[#This Row],[PID]],Batters[[#All],[PID]],0)),INDEX(Table3[[#All],[STM]],MATCH(Table5[[#This Row],[PID]],Table3[[#All],[PID]],0)))</f>
        <v>3</v>
      </c>
      <c r="Q1020" s="63">
        <f>IF($C1020="B",INDEX(Batters[[#All],[Tot]],MATCH(Table5[[#This Row],[PID]],Batters[[#All],[PID]],0)),INDEX(Table3[[#All],[Tot]],MATCH(Table5[[#This Row],[PID]],Table3[[#All],[PID]],0)))</f>
        <v>34.671554579889055</v>
      </c>
      <c r="R1020" s="54">
        <f>IF($C1020="B",INDEX(Batters[[#All],[zScore]],MATCH(Table5[[#This Row],[PID]],Batters[[#All],[PID]],0)),INDEX(Table3[[#All],[zScore]],MATCH(Table5[[#This Row],[PID]],Table3[[#All],[PID]],0)))</f>
        <v>-0.99877636531522773</v>
      </c>
      <c r="S1020" s="60" t="str">
        <f>IF($C1020="B",INDEX(Batters[[#All],[DEM]],MATCH(Table5[[#This Row],[PID]],Batters[[#All],[PID]],0)),INDEX(Table3[[#All],[DEM]],MATCH(Table5[[#This Row],[PID]],Table3[[#All],[PID]],0)))</f>
        <v>-</v>
      </c>
      <c r="T1020" s="64">
        <f>IF($C1020="B",VLOOKUP($A1020,Bat!$A$4:$AU$1417,46,FALSE),VLOOKUP($A1020,Pit!$A$4:$BD$570,55,FALSE))</f>
        <v>0</v>
      </c>
      <c r="U1020" s="52">
        <f>IF($C1020="B",VLOOKUP($A1020,Bat!$A$4:$BA$1417,47,FALSE),VLOOKUP($A1020,Pit!$A$4:$BF$570,56,FALSE))</f>
        <v>0</v>
      </c>
      <c r="V1020" s="52">
        <f>IF($C1020="B",VLOOKUP($A1020,Bat!$A$4:$BA$1417,48,FALSE),VLOOKUP($A1020,Pit!$A$4:$BF$570,57,FALSE))</f>
        <v>0</v>
      </c>
      <c r="W1020" s="52">
        <f>Table5[[#This Row],[posRnk]]+Table5[[#This Row],[zRnk]]+IF($W$3&lt;&gt;Table5[[#This Row],[Type]],50,0)</f>
        <v>1066</v>
      </c>
      <c r="X1020" s="53">
        <f>RANK(Table5[[#This Row],[zScore]],Table5[[#All],[zScore]])</f>
        <v>1016</v>
      </c>
      <c r="Y1020" s="52" t="str">
        <f>IFERROR(INDEX(DraftResults[[#All],[OVR]],MATCH(Table5[[#This Row],[PID]],DraftResults[[#All],[Player ID]],0)),"")</f>
        <v/>
      </c>
      <c r="Z10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0" s="52" t="str">
        <f>IFERROR(INDEX(DraftResults[[#All],[Pick in Round]],MATCH(Table5[[#This Row],[PID]],DraftResults[[#All],[Player ID]],0)),"")</f>
        <v/>
      </c>
      <c r="AB1020" s="52" t="str">
        <f>IFERROR(INDEX(DraftResults[[#All],[Team Name]],MATCH(Table5[[#This Row],[PID]],DraftResults[[#All],[Player ID]],0)),"")</f>
        <v/>
      </c>
      <c r="AC1020" s="52" t="str">
        <f>IF(Table5[[#This Row],[Ovr]]="","",IF(Table5[[#This Row],[cmbList]]="","",Table5[[#This Row],[cmbList]]-Table5[[#This Row],[Ovr]]))</f>
        <v/>
      </c>
      <c r="AD1020" s="56" t="str">
        <f>IF(ISERROR(VLOOKUP($AB1020&amp;"-"&amp;$E1020&amp;" "&amp;F1020,Bonuses!$B$1:$G$1006,4,FALSE)),"",INT(VLOOKUP($AB1020&amp;"-"&amp;$E1020&amp;" "&amp;$F1020,Bonuses!$B$1:$G$1006,4,FALSE)))</f>
        <v/>
      </c>
      <c r="AE10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1" spans="1:31" s="52" customFormat="1" x14ac:dyDescent="0.25">
      <c r="A1021" s="52">
        <v>12542</v>
      </c>
      <c r="B1021" s="52">
        <f>COUNTIF(Table5[PID],A1021)</f>
        <v>1</v>
      </c>
      <c r="C1021" s="52" t="str">
        <f>IF(COUNTIF(Table3[[#All],[PID]],A1021)&gt;0,"P","B")</f>
        <v>B</v>
      </c>
      <c r="D1021" s="61" t="str">
        <f>IF($C1021="B",INDEX(Batters[[#All],[POS]],MATCH(Table5[[#This Row],[PID]],Batters[[#All],[PID]],0)),INDEX(Table3[[#All],[POS]],MATCH(Table5[[#This Row],[PID]],Table3[[#All],[PID]],0)))</f>
        <v>3B</v>
      </c>
      <c r="E1021" s="54" t="str">
        <f>IF($C1021="B",INDEX(Batters[[#All],[First]],MATCH(Table5[[#This Row],[PID]],Batters[[#All],[PID]],0)),INDEX(Table3[[#All],[First]],MATCH(Table5[[#This Row],[PID]],Table3[[#All],[PID]],0)))</f>
        <v>Shingen</v>
      </c>
      <c r="F1021" s="52" t="str">
        <f>IF($C1021="B",INDEX(Batters[[#All],[Last]],MATCH(A1021,Batters[[#All],[PID]],0)),INDEX(Table3[[#All],[Last]],MATCH(A1021,Table3[[#All],[PID]],0)))</f>
        <v>Ito</v>
      </c>
      <c r="G1021" s="58">
        <f>IF($C1021="B",INDEX(Batters[[#All],[Age]],MATCH(Table5[[#This Row],[PID]],Batters[[#All],[PID]],0)),INDEX(Table3[[#All],[Age]],MATCH(Table5[[#This Row],[PID]],Table3[[#All],[PID]],0)))</f>
        <v>21</v>
      </c>
      <c r="H1021" s="54" t="str">
        <f>IF($C1021="B",INDEX(Batters[[#All],[B]],MATCH(Table5[[#This Row],[PID]],Batters[[#All],[PID]],0)),INDEX(Table3[[#All],[B]],MATCH(Table5[[#This Row],[PID]],Table3[[#All],[PID]],0)))</f>
        <v>R</v>
      </c>
      <c r="I1021" s="54" t="str">
        <f>IF($C1021="B",INDEX(Batters[[#All],[T]],MATCH(Table5[[#This Row],[PID]],Batters[[#All],[PID]],0)),INDEX(Table3[[#All],[T]],MATCH(Table5[[#This Row],[PID]],Table3[[#All],[PID]],0)))</f>
        <v>R</v>
      </c>
      <c r="J1021" s="54" t="str">
        <f>IF($C1021="B",INDEX(Batters[[#All],[WE]],MATCH(Table5[[#This Row],[PID]],Batters[[#All],[PID]],0)),INDEX(Table3[[#All],[WE]],MATCH(Table5[[#This Row],[PID]],Table3[[#All],[PID]],0)))</f>
        <v>Normal</v>
      </c>
      <c r="K1021" s="54" t="str">
        <f>IF($C1021="B",INDEX(Batters[[#All],[INT]],MATCH(Table5[[#This Row],[PID]],Batters[[#All],[PID]],0)),INDEX(Table3[[#All],[INT]],MATCH(Table5[[#This Row],[PID]],Table3[[#All],[PID]],0)))</f>
        <v>Normal</v>
      </c>
      <c r="L1021" s="62">
        <f>IF($C1021="B",INDEX(Batters[[#All],[CON P]],MATCH(Table5[[#This Row],[PID]],Batters[[#All],[PID]],0)),INDEX(Table3[[#All],[STU P]],MATCH(Table5[[#This Row],[PID]],Table3[[#All],[PID]],0)))</f>
        <v>3</v>
      </c>
      <c r="M1021" s="58">
        <f>IF($C1021="B",INDEX(Batters[[#All],[GAP P]],MATCH(Table5[[#This Row],[PID]],Batters[[#All],[PID]],0)),INDEX(Table3[[#All],[MOV P]],MATCH(Table5[[#This Row],[PID]],Table3[[#All],[PID]],0)))</f>
        <v>3</v>
      </c>
      <c r="N1021" s="58">
        <f>IF($C1021="B",INDEX(Batters[[#All],[POW P]],MATCH(Table5[[#This Row],[PID]],Batters[[#All],[PID]],0)),INDEX(Table3[[#All],[CON P]],MATCH(Table5[[#This Row],[PID]],Table3[[#All],[PID]],0)))</f>
        <v>3</v>
      </c>
      <c r="O1021" s="58">
        <f>IF($C1021="B",INDEX(Batters[[#All],[EYE P]],MATCH(Table5[[#This Row],[PID]],Batters[[#All],[PID]],0)),INDEX(Table3[[#All],[VELO]],MATCH(Table5[[#This Row],[PID]],Table3[[#All],[PID]],0)))</f>
        <v>3</v>
      </c>
      <c r="P1021" s="58">
        <f>IF($C1021="B",INDEX(Batters[[#All],[K P]],MATCH(Table5[[#This Row],[PID]],Batters[[#All],[PID]],0)),INDEX(Table3[[#All],[STM]],MATCH(Table5[[#This Row],[PID]],Table3[[#All],[PID]],0)))</f>
        <v>3</v>
      </c>
      <c r="Q1021" s="63">
        <f>IF($C1021="B",INDEX(Batters[[#All],[Tot]],MATCH(Table5[[#This Row],[PID]],Batters[[#All],[PID]],0)),INDEX(Table3[[#All],[Tot]],MATCH(Table5[[#This Row],[PID]],Table3[[#All],[PID]],0)))</f>
        <v>34.648787580197563</v>
      </c>
      <c r="R1021" s="54">
        <f>IF($C1021="B",INDEX(Batters[[#All],[zScore]],MATCH(Table5[[#This Row],[PID]],Batters[[#All],[PID]],0)),INDEX(Table3[[#All],[zScore]],MATCH(Table5[[#This Row],[PID]],Table3[[#All],[PID]],0)))</f>
        <v>-1.0027820675945587</v>
      </c>
      <c r="S1021" s="60" t="str">
        <f>IF($C1021="B",INDEX(Batters[[#All],[DEM]],MATCH(Table5[[#This Row],[PID]],Batters[[#All],[PID]],0)),INDEX(Table3[[#All],[DEM]],MATCH(Table5[[#This Row],[PID]],Table3[[#All],[PID]],0)))</f>
        <v>-</v>
      </c>
      <c r="T1021" s="64">
        <f>IF($C1021="B",VLOOKUP($A1021,Bat!$A$4:$AU$1417,46,FALSE),VLOOKUP($A1021,Pit!$A$4:$BD$570,55,FALSE))</f>
        <v>0</v>
      </c>
      <c r="U1021" s="52">
        <f>IF($C1021="B",VLOOKUP($A1021,Bat!$A$4:$BA$1417,47,FALSE),VLOOKUP($A1021,Pit!$A$4:$BF$570,56,FALSE))</f>
        <v>0</v>
      </c>
      <c r="V1021" s="52">
        <f>IF($C1021="B",VLOOKUP($A1021,Bat!$A$4:$BA$1417,48,FALSE),VLOOKUP($A1021,Pit!$A$4:$BF$570,57,FALSE))</f>
        <v>0</v>
      </c>
      <c r="W1021" s="52">
        <f>Table5[[#This Row],[posRnk]]+Table5[[#This Row],[zRnk]]+IF($W$3&lt;&gt;Table5[[#This Row],[Type]],50,0)</f>
        <v>1067</v>
      </c>
      <c r="X1021" s="53">
        <f>RANK(Table5[[#This Row],[zScore]],Table5[[#All],[zScore]])</f>
        <v>1017</v>
      </c>
      <c r="Y1021" s="52" t="str">
        <f>IFERROR(INDEX(DraftResults[[#All],[OVR]],MATCH(Table5[[#This Row],[PID]],DraftResults[[#All],[Player ID]],0)),"")</f>
        <v/>
      </c>
      <c r="Z10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1" s="52" t="str">
        <f>IFERROR(INDEX(DraftResults[[#All],[Pick in Round]],MATCH(Table5[[#This Row],[PID]],DraftResults[[#All],[Player ID]],0)),"")</f>
        <v/>
      </c>
      <c r="AB1021" s="52" t="str">
        <f>IFERROR(INDEX(DraftResults[[#All],[Team Name]],MATCH(Table5[[#This Row],[PID]],DraftResults[[#All],[Player ID]],0)),"")</f>
        <v/>
      </c>
      <c r="AC1021" s="52" t="str">
        <f>IF(Table5[[#This Row],[Ovr]]="","",IF(Table5[[#This Row],[cmbList]]="","",Table5[[#This Row],[cmbList]]-Table5[[#This Row],[Ovr]]))</f>
        <v/>
      </c>
      <c r="AD1021" s="56" t="str">
        <f>IF(ISERROR(VLOOKUP($AB1021&amp;"-"&amp;$E1021&amp;" "&amp;F1021,Bonuses!$B$1:$G$1006,4,FALSE)),"",INT(VLOOKUP($AB1021&amp;"-"&amp;$E1021&amp;" "&amp;$F1021,Bonuses!$B$1:$G$1006,4,FALSE)))</f>
        <v/>
      </c>
      <c r="AE10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2" spans="1:31" s="52" customFormat="1" x14ac:dyDescent="0.25">
      <c r="A1022" s="52">
        <v>4784</v>
      </c>
      <c r="B1022" s="52">
        <f>COUNTIF(Table5[PID],A1022)</f>
        <v>1</v>
      </c>
      <c r="C1022" s="52" t="str">
        <f>IF(COUNTIF(Table3[[#All],[PID]],A1022)&gt;0,"P","B")</f>
        <v>P</v>
      </c>
      <c r="D1022" s="61" t="str">
        <f>IF($C1022="B",INDEX(Batters[[#All],[POS]],MATCH(Table5[[#This Row],[PID]],Batters[[#All],[PID]],0)),INDEX(Table3[[#All],[POS]],MATCH(Table5[[#This Row],[PID]],Table3[[#All],[PID]],0)))</f>
        <v>RP</v>
      </c>
      <c r="E1022" s="54" t="str">
        <f>IF($C1022="B",INDEX(Batters[[#All],[First]],MATCH(Table5[[#This Row],[PID]],Batters[[#All],[PID]],0)),INDEX(Table3[[#All],[First]],MATCH(Table5[[#This Row],[PID]],Table3[[#All],[PID]],0)))</f>
        <v>Dan</v>
      </c>
      <c r="F1022" s="52" t="str">
        <f>IF($C1022="B",INDEX(Batters[[#All],[Last]],MATCH(A1022,Batters[[#All],[PID]],0)),INDEX(Table3[[#All],[Last]],MATCH(A1022,Table3[[#All],[PID]],0)))</f>
        <v>Rivera</v>
      </c>
      <c r="G1022" s="58">
        <f>IF($C1022="B",INDEX(Batters[[#All],[Age]],MATCH(Table5[[#This Row],[PID]],Batters[[#All],[PID]],0)),INDEX(Table3[[#All],[Age]],MATCH(Table5[[#This Row],[PID]],Table3[[#All],[PID]],0)))</f>
        <v>21</v>
      </c>
      <c r="H1022" s="54" t="str">
        <f>IF($C1022="B",INDEX(Batters[[#All],[B]],MATCH(Table5[[#This Row],[PID]],Batters[[#All],[PID]],0)),INDEX(Table3[[#All],[B]],MATCH(Table5[[#This Row],[PID]],Table3[[#All],[PID]],0)))</f>
        <v>S</v>
      </c>
      <c r="I1022" s="54" t="str">
        <f>IF($C1022="B",INDEX(Batters[[#All],[T]],MATCH(Table5[[#This Row],[PID]],Batters[[#All],[PID]],0)),INDEX(Table3[[#All],[T]],MATCH(Table5[[#This Row],[PID]],Table3[[#All],[PID]],0)))</f>
        <v>R</v>
      </c>
      <c r="J1022" s="54" t="str">
        <f>IF($C1022="B",INDEX(Batters[[#All],[WE]],MATCH(Table5[[#This Row],[PID]],Batters[[#All],[PID]],0)),INDEX(Table3[[#All],[WE]],MATCH(Table5[[#This Row],[PID]],Table3[[#All],[PID]],0)))</f>
        <v>Low</v>
      </c>
      <c r="K1022" s="54" t="str">
        <f>IF($C1022="B",INDEX(Batters[[#All],[INT]],MATCH(Table5[[#This Row],[PID]],Batters[[#All],[PID]],0)),INDEX(Table3[[#All],[INT]],MATCH(Table5[[#This Row],[PID]],Table3[[#All],[PID]],0)))</f>
        <v>Low</v>
      </c>
      <c r="L1022" s="62">
        <f>IF($C1022="B",INDEX(Batters[[#All],[CON P]],MATCH(Table5[[#This Row],[PID]],Batters[[#All],[PID]],0)),INDEX(Table3[[#All],[STU P]],MATCH(Table5[[#This Row],[PID]],Table3[[#All],[PID]],0)))</f>
        <v>4</v>
      </c>
      <c r="M1022" s="58">
        <f>IF($C1022="B",INDEX(Batters[[#All],[GAP P]],MATCH(Table5[[#This Row],[PID]],Batters[[#All],[PID]],0)),INDEX(Table3[[#All],[MOV P]],MATCH(Table5[[#This Row],[PID]],Table3[[#All],[PID]],0)))</f>
        <v>2</v>
      </c>
      <c r="N1022" s="58">
        <f>IF($C1022="B",INDEX(Batters[[#All],[POW P]],MATCH(Table5[[#This Row],[PID]],Batters[[#All],[PID]],0)),INDEX(Table3[[#All],[CON P]],MATCH(Table5[[#This Row],[PID]],Table3[[#All],[PID]],0)))</f>
        <v>2</v>
      </c>
      <c r="O1022" s="58" t="str">
        <f>IF($C1022="B",INDEX(Batters[[#All],[EYE P]],MATCH(Table5[[#This Row],[PID]],Batters[[#All],[PID]],0)),INDEX(Table3[[#All],[VELO]],MATCH(Table5[[#This Row],[PID]],Table3[[#All],[PID]],0)))</f>
        <v>89-91 Mph</v>
      </c>
      <c r="P1022" s="58">
        <f>IF($C1022="B",INDEX(Batters[[#All],[K P]],MATCH(Table5[[#This Row],[PID]],Batters[[#All],[PID]],0)),INDEX(Table3[[#All],[STM]],MATCH(Table5[[#This Row],[PID]],Table3[[#All],[PID]],0)))</f>
        <v>4</v>
      </c>
      <c r="Q1022" s="63">
        <f>IF($C1022="B",INDEX(Batters[[#All],[Tot]],MATCH(Table5[[#This Row],[PID]],Batters[[#All],[PID]],0)),INDEX(Table3[[#All],[Tot]],MATCH(Table5[[#This Row],[PID]],Table3[[#All],[PID]],0)))</f>
        <v>21.786739979406647</v>
      </c>
      <c r="R1022" s="54">
        <f>IF($C1022="B",INDEX(Batters[[#All],[zScore]],MATCH(Table5[[#This Row],[PID]],Batters[[#All],[PID]],0)),INDEX(Table3[[#All],[zScore]],MATCH(Table5[[#This Row],[PID]],Table3[[#All],[PID]],0)))</f>
        <v>-1.0028330865616346</v>
      </c>
      <c r="S1022" s="60" t="str">
        <f>IF($C1022="B",INDEX(Batters[[#All],[DEM]],MATCH(Table5[[#This Row],[PID]],Batters[[#All],[PID]],0)),INDEX(Table3[[#All],[DEM]],MATCH(Table5[[#This Row],[PID]],Table3[[#All],[PID]],0)))</f>
        <v>-</v>
      </c>
      <c r="T1022" s="64">
        <f>IF($C1022="B",VLOOKUP($A1022,Bat!$A$4:$AU$1417,46,FALSE),VLOOKUP($A1022,Pit!$A$4:$BD$570,55,FALSE))</f>
        <v>0</v>
      </c>
      <c r="U1022" s="52">
        <f>IF($C1022="B",VLOOKUP($A1022,Bat!$A$4:$BA$1417,47,FALSE),VLOOKUP($A1022,Pit!$A$4:$BF$570,56,FALSE))</f>
        <v>0</v>
      </c>
      <c r="V1022" s="52">
        <f>IF($C1022="B",VLOOKUP($A1022,Bat!$A$4:$BA$1417,48,FALSE),VLOOKUP($A1022,Pit!$A$4:$BF$570,57,FALSE))</f>
        <v>0</v>
      </c>
      <c r="W1022" s="52">
        <f>Table5[[#This Row],[posRnk]]+Table5[[#This Row],[zRnk]]+IF($W$3&lt;&gt;Table5[[#This Row],[Type]],50,0)</f>
        <v>1068</v>
      </c>
      <c r="X1022" s="53">
        <f>RANK(Table5[[#This Row],[zScore]],Table5[[#All],[zScore]])</f>
        <v>1018</v>
      </c>
      <c r="Y1022" s="52" t="str">
        <f>IFERROR(INDEX(DraftResults[[#All],[OVR]],MATCH(Table5[[#This Row],[PID]],DraftResults[[#All],[Player ID]],0)),"")</f>
        <v/>
      </c>
      <c r="Z10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2" s="52" t="str">
        <f>IFERROR(INDEX(DraftResults[[#All],[Pick in Round]],MATCH(Table5[[#This Row],[PID]],DraftResults[[#All],[Player ID]],0)),"")</f>
        <v/>
      </c>
      <c r="AB1022" s="52" t="str">
        <f>IFERROR(INDEX(DraftResults[[#All],[Team Name]],MATCH(Table5[[#This Row],[PID]],DraftResults[[#All],[Player ID]],0)),"")</f>
        <v/>
      </c>
      <c r="AC1022" s="52" t="str">
        <f>IF(Table5[[#This Row],[Ovr]]="","",IF(Table5[[#This Row],[cmbList]]="","",Table5[[#This Row],[cmbList]]-Table5[[#This Row],[Ovr]]))</f>
        <v/>
      </c>
      <c r="AD1022" s="56" t="str">
        <f>IF(ISERROR(VLOOKUP($AB1022&amp;"-"&amp;$E1022&amp;" "&amp;F1022,Bonuses!$B$1:$G$1006,4,FALSE)),"",INT(VLOOKUP($AB1022&amp;"-"&amp;$E1022&amp;" "&amp;$F1022,Bonuses!$B$1:$G$1006,4,FALSE)))</f>
        <v/>
      </c>
      <c r="AE10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3" spans="1:31" s="52" customFormat="1" x14ac:dyDescent="0.25">
      <c r="A1023" s="52">
        <v>10015</v>
      </c>
      <c r="B1023" s="52">
        <f>COUNTIF(Table5[PID],A1023)</f>
        <v>1</v>
      </c>
      <c r="C1023" s="52" t="str">
        <f>IF(COUNTIF(Table3[[#All],[PID]],A1023)&gt;0,"P","B")</f>
        <v>B</v>
      </c>
      <c r="D1023" s="61" t="str">
        <f>IF($C1023="B",INDEX(Batters[[#All],[POS]],MATCH(Table5[[#This Row],[PID]],Batters[[#All],[PID]],0)),INDEX(Table3[[#All],[POS]],MATCH(Table5[[#This Row],[PID]],Table3[[#All],[PID]],0)))</f>
        <v>C</v>
      </c>
      <c r="E1023" s="54" t="str">
        <f>IF($C1023="B",INDEX(Batters[[#All],[First]],MATCH(Table5[[#This Row],[PID]],Batters[[#All],[PID]],0)),INDEX(Table3[[#All],[First]],MATCH(Table5[[#This Row],[PID]],Table3[[#All],[PID]],0)))</f>
        <v>Chris</v>
      </c>
      <c r="F1023" s="52" t="str">
        <f>IF($C1023="B",INDEX(Batters[[#All],[Last]],MATCH(A1023,Batters[[#All],[PID]],0)),INDEX(Table3[[#All],[Last]],MATCH(A1023,Table3[[#All],[PID]],0)))</f>
        <v>Green</v>
      </c>
      <c r="G1023" s="58">
        <f>IF($C1023="B",INDEX(Batters[[#All],[Age]],MATCH(Table5[[#This Row],[PID]],Batters[[#All],[PID]],0)),INDEX(Table3[[#All],[Age]],MATCH(Table5[[#This Row],[PID]],Table3[[#All],[PID]],0)))</f>
        <v>21</v>
      </c>
      <c r="H1023" s="54" t="str">
        <f>IF($C1023="B",INDEX(Batters[[#All],[B]],MATCH(Table5[[#This Row],[PID]],Batters[[#All],[PID]],0)),INDEX(Table3[[#All],[B]],MATCH(Table5[[#This Row],[PID]],Table3[[#All],[PID]],0)))</f>
        <v>R</v>
      </c>
      <c r="I1023" s="54" t="str">
        <f>IF($C1023="B",INDEX(Batters[[#All],[T]],MATCH(Table5[[#This Row],[PID]],Batters[[#All],[PID]],0)),INDEX(Table3[[#All],[T]],MATCH(Table5[[#This Row],[PID]],Table3[[#All],[PID]],0)))</f>
        <v>R</v>
      </c>
      <c r="J1023" s="54" t="str">
        <f>IF($C1023="B",INDEX(Batters[[#All],[WE]],MATCH(Table5[[#This Row],[PID]],Batters[[#All],[PID]],0)),INDEX(Table3[[#All],[WE]],MATCH(Table5[[#This Row],[PID]],Table3[[#All],[PID]],0)))</f>
        <v>Normal</v>
      </c>
      <c r="K1023" s="54" t="str">
        <f>IF($C1023="B",INDEX(Batters[[#All],[INT]],MATCH(Table5[[#This Row],[PID]],Batters[[#All],[PID]],0)),INDEX(Table3[[#All],[INT]],MATCH(Table5[[#This Row],[PID]],Table3[[#All],[PID]],0)))</f>
        <v>Normal</v>
      </c>
      <c r="L1023" s="62">
        <f>IF($C1023="B",INDEX(Batters[[#All],[CON P]],MATCH(Table5[[#This Row],[PID]],Batters[[#All],[PID]],0)),INDEX(Table3[[#All],[STU P]],MATCH(Table5[[#This Row],[PID]],Table3[[#All],[PID]],0)))</f>
        <v>2</v>
      </c>
      <c r="M1023" s="58">
        <f>IF($C1023="B",INDEX(Batters[[#All],[GAP P]],MATCH(Table5[[#This Row],[PID]],Batters[[#All],[PID]],0)),INDEX(Table3[[#All],[MOV P]],MATCH(Table5[[#This Row],[PID]],Table3[[#All],[PID]],0)))</f>
        <v>3</v>
      </c>
      <c r="N1023" s="58">
        <f>IF($C1023="B",INDEX(Batters[[#All],[POW P]],MATCH(Table5[[#This Row],[PID]],Batters[[#All],[PID]],0)),INDEX(Table3[[#All],[CON P]],MATCH(Table5[[#This Row],[PID]],Table3[[#All],[PID]],0)))</f>
        <v>4</v>
      </c>
      <c r="O1023" s="58">
        <f>IF($C1023="B",INDEX(Batters[[#All],[EYE P]],MATCH(Table5[[#This Row],[PID]],Batters[[#All],[PID]],0)),INDEX(Table3[[#All],[VELO]],MATCH(Table5[[#This Row],[PID]],Table3[[#All],[PID]],0)))</f>
        <v>6</v>
      </c>
      <c r="P1023" s="58">
        <f>IF($C1023="B",INDEX(Batters[[#All],[K P]],MATCH(Table5[[#This Row],[PID]],Batters[[#All],[PID]],0)),INDEX(Table3[[#All],[STM]],MATCH(Table5[[#This Row],[PID]],Table3[[#All],[PID]],0)))</f>
        <v>1</v>
      </c>
      <c r="Q1023" s="63">
        <f>IF($C1023="B",INDEX(Batters[[#All],[Tot]],MATCH(Table5[[#This Row],[PID]],Batters[[#All],[PID]],0)),INDEX(Table3[[#All],[Tot]],MATCH(Table5[[#This Row],[PID]],Table3[[#All],[PID]],0)))</f>
        <v>34.637999594571241</v>
      </c>
      <c r="R1023" s="54">
        <f>IF($C1023="B",INDEX(Batters[[#All],[zScore]],MATCH(Table5[[#This Row],[PID]],Batters[[#All],[PID]],0)),INDEX(Table3[[#All],[zScore]],MATCH(Table5[[#This Row],[PID]],Table3[[#All],[PID]],0)))</f>
        <v>-1.0046801419652849</v>
      </c>
      <c r="S1023" s="60" t="str">
        <f>IF($C1023="B",INDEX(Batters[[#All],[DEM]],MATCH(Table5[[#This Row],[PID]],Batters[[#All],[PID]],0)),INDEX(Table3[[#All],[DEM]],MATCH(Table5[[#This Row],[PID]],Table3[[#All],[PID]],0)))</f>
        <v>-</v>
      </c>
      <c r="T1023" s="64">
        <f>IF($C1023="B",VLOOKUP($A1023,Bat!$A$4:$AU$1417,46,FALSE),VLOOKUP($A1023,Pit!$A$4:$BD$570,55,FALSE))</f>
        <v>0</v>
      </c>
      <c r="U1023" s="52">
        <f>IF($C1023="B",VLOOKUP($A1023,Bat!$A$4:$BA$1417,47,FALSE),VLOOKUP($A1023,Pit!$A$4:$BF$570,56,FALSE))</f>
        <v>0</v>
      </c>
      <c r="V1023" s="52">
        <f>IF($C1023="B",VLOOKUP($A1023,Bat!$A$4:$BA$1417,48,FALSE),VLOOKUP($A1023,Pit!$A$4:$BF$570,57,FALSE))</f>
        <v>0</v>
      </c>
      <c r="W1023" s="52">
        <f>Table5[[#This Row],[posRnk]]+Table5[[#This Row],[zRnk]]+IF($W$3&lt;&gt;Table5[[#This Row],[Type]],50,0)</f>
        <v>1069</v>
      </c>
      <c r="X1023" s="53">
        <f>RANK(Table5[[#This Row],[zScore]],Table5[[#All],[zScore]])</f>
        <v>1019</v>
      </c>
      <c r="Y1023" s="52" t="str">
        <f>IFERROR(INDEX(DraftResults[[#All],[OVR]],MATCH(Table5[[#This Row],[PID]],DraftResults[[#All],[Player ID]],0)),"")</f>
        <v/>
      </c>
      <c r="Z10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3" s="52" t="str">
        <f>IFERROR(INDEX(DraftResults[[#All],[Pick in Round]],MATCH(Table5[[#This Row],[PID]],DraftResults[[#All],[Player ID]],0)),"")</f>
        <v/>
      </c>
      <c r="AB1023" s="52" t="str">
        <f>IFERROR(INDEX(DraftResults[[#All],[Team Name]],MATCH(Table5[[#This Row],[PID]],DraftResults[[#All],[Player ID]],0)),"")</f>
        <v/>
      </c>
      <c r="AC1023" s="52" t="str">
        <f>IF(Table5[[#This Row],[Ovr]]="","",IF(Table5[[#This Row],[cmbList]]="","",Table5[[#This Row],[cmbList]]-Table5[[#This Row],[Ovr]]))</f>
        <v/>
      </c>
      <c r="AD1023" s="56" t="str">
        <f>IF(ISERROR(VLOOKUP($AB1023&amp;"-"&amp;$E1023&amp;" "&amp;F1023,Bonuses!$B$1:$G$1006,4,FALSE)),"",INT(VLOOKUP($AB1023&amp;"-"&amp;$E1023&amp;" "&amp;$F1023,Bonuses!$B$1:$G$1006,4,FALSE)))</f>
        <v/>
      </c>
      <c r="AE10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4" spans="1:31" s="52" customFormat="1" x14ac:dyDescent="0.25">
      <c r="A1024" s="52">
        <v>17603</v>
      </c>
      <c r="B1024" s="52">
        <f>COUNTIF(Table5[PID],A1024)</f>
        <v>1</v>
      </c>
      <c r="C1024" s="52" t="str">
        <f>IF(COUNTIF(Table3[[#All],[PID]],A1024)&gt;0,"P","B")</f>
        <v>P</v>
      </c>
      <c r="D1024" s="61" t="str">
        <f>IF($C1024="B",INDEX(Batters[[#All],[POS]],MATCH(Table5[[#This Row],[PID]],Batters[[#All],[PID]],0)),INDEX(Table3[[#All],[POS]],MATCH(Table5[[#This Row],[PID]],Table3[[#All],[PID]],0)))</f>
        <v>RP</v>
      </c>
      <c r="E1024" s="54" t="str">
        <f>IF($C1024="B",INDEX(Batters[[#All],[First]],MATCH(Table5[[#This Row],[PID]],Batters[[#All],[PID]],0)),INDEX(Table3[[#All],[First]],MATCH(Table5[[#This Row],[PID]],Table3[[#All],[PID]],0)))</f>
        <v>Leonard</v>
      </c>
      <c r="F1024" s="52" t="str">
        <f>IF($C1024="B",INDEX(Batters[[#All],[Last]],MATCH(A1024,Batters[[#All],[PID]],0)),INDEX(Table3[[#All],[Last]],MATCH(A1024,Table3[[#All],[PID]],0)))</f>
        <v>Benton</v>
      </c>
      <c r="G1024" s="58">
        <f>IF($C1024="B",INDEX(Batters[[#All],[Age]],MATCH(Table5[[#This Row],[PID]],Batters[[#All],[PID]],0)),INDEX(Table3[[#All],[Age]],MATCH(Table5[[#This Row],[PID]],Table3[[#All],[PID]],0)))</f>
        <v>18</v>
      </c>
      <c r="H1024" s="54" t="str">
        <f>IF($C1024="B",INDEX(Batters[[#All],[B]],MATCH(Table5[[#This Row],[PID]],Batters[[#All],[PID]],0)),INDEX(Table3[[#All],[B]],MATCH(Table5[[#This Row],[PID]],Table3[[#All],[PID]],0)))</f>
        <v>L</v>
      </c>
      <c r="I1024" s="54" t="str">
        <f>IF($C1024="B",INDEX(Batters[[#All],[T]],MATCH(Table5[[#This Row],[PID]],Batters[[#All],[PID]],0)),INDEX(Table3[[#All],[T]],MATCH(Table5[[#This Row],[PID]],Table3[[#All],[PID]],0)))</f>
        <v>L</v>
      </c>
      <c r="J1024" s="54" t="str">
        <f>IF($C1024="B",INDEX(Batters[[#All],[WE]],MATCH(Table5[[#This Row],[PID]],Batters[[#All],[PID]],0)),INDEX(Table3[[#All],[WE]],MATCH(Table5[[#This Row],[PID]],Table3[[#All],[PID]],0)))</f>
        <v>Low</v>
      </c>
      <c r="K1024" s="54" t="str">
        <f>IF($C1024="B",INDEX(Batters[[#All],[INT]],MATCH(Table5[[#This Row],[PID]],Batters[[#All],[PID]],0)),INDEX(Table3[[#All],[INT]],MATCH(Table5[[#This Row],[PID]],Table3[[#All],[PID]],0)))</f>
        <v>Normal</v>
      </c>
      <c r="L1024" s="62">
        <f>IF($C1024="B",INDEX(Batters[[#All],[CON P]],MATCH(Table5[[#This Row],[PID]],Batters[[#All],[PID]],0)),INDEX(Table3[[#All],[STU P]],MATCH(Table5[[#This Row],[PID]],Table3[[#All],[PID]],0)))</f>
        <v>3</v>
      </c>
      <c r="M1024" s="58">
        <f>IF($C1024="B",INDEX(Batters[[#All],[GAP P]],MATCH(Table5[[#This Row],[PID]],Batters[[#All],[PID]],0)),INDEX(Table3[[#All],[MOV P]],MATCH(Table5[[#This Row],[PID]],Table3[[#All],[PID]],0)))</f>
        <v>1</v>
      </c>
      <c r="N1024" s="58">
        <f>IF($C1024="B",INDEX(Batters[[#All],[POW P]],MATCH(Table5[[#This Row],[PID]],Batters[[#All],[PID]],0)),INDEX(Table3[[#All],[CON P]],MATCH(Table5[[#This Row],[PID]],Table3[[#All],[PID]],0)))</f>
        <v>2</v>
      </c>
      <c r="O1024" s="58" t="str">
        <f>IF($C1024="B",INDEX(Batters[[#All],[EYE P]],MATCH(Table5[[#This Row],[PID]],Batters[[#All],[PID]],0)),INDEX(Table3[[#All],[VELO]],MATCH(Table5[[#This Row],[PID]],Table3[[#All],[PID]],0)))</f>
        <v>85-87 Mph</v>
      </c>
      <c r="P1024" s="58">
        <f>IF($C1024="B",INDEX(Batters[[#All],[K P]],MATCH(Table5[[#This Row],[PID]],Batters[[#All],[PID]],0)),INDEX(Table3[[#All],[STM]],MATCH(Table5[[#This Row],[PID]],Table3[[#All],[PID]],0)))</f>
        <v>7</v>
      </c>
      <c r="Q1024" s="63">
        <f>IF($C1024="B",INDEX(Batters[[#All],[Tot]],MATCH(Table5[[#This Row],[PID]],Batters[[#All],[PID]],0)),INDEX(Table3[[#All],[Tot]],MATCH(Table5[[#This Row],[PID]],Table3[[#All],[PID]],0)))</f>
        <v>21.750278823782843</v>
      </c>
      <c r="R1024" s="54">
        <f>IF($C1024="B",INDEX(Batters[[#All],[zScore]],MATCH(Table5[[#This Row],[PID]],Batters[[#All],[PID]],0)),INDEX(Table3[[#All],[zScore]],MATCH(Table5[[#This Row],[PID]],Table3[[#All],[PID]],0)))</f>
        <v>-1.006176730370592</v>
      </c>
      <c r="S1024" s="60" t="str">
        <f>IF($C1024="B",INDEX(Batters[[#All],[DEM]],MATCH(Table5[[#This Row],[PID]],Batters[[#All],[PID]],0)),INDEX(Table3[[#All],[DEM]],MATCH(Table5[[#This Row],[PID]],Table3[[#All],[PID]],0)))</f>
        <v>$80k</v>
      </c>
      <c r="T1024" s="64">
        <f>IF($C1024="B",VLOOKUP($A1024,Bat!$A$4:$AU$1417,46,FALSE),VLOOKUP($A1024,Pit!$A$4:$BD$570,55,FALSE))</f>
        <v>0</v>
      </c>
      <c r="U1024" s="52">
        <f>IF($C1024="B",VLOOKUP($A1024,Bat!$A$4:$BA$1417,47,FALSE),VLOOKUP($A1024,Pit!$A$4:$BF$570,56,FALSE))</f>
        <v>0</v>
      </c>
      <c r="V1024" s="52">
        <f>IF($C1024="B",VLOOKUP($A1024,Bat!$A$4:$BA$1417,48,FALSE),VLOOKUP($A1024,Pit!$A$4:$BF$570,57,FALSE))</f>
        <v>0</v>
      </c>
      <c r="W1024" s="52">
        <f>Table5[[#This Row],[posRnk]]+Table5[[#This Row],[zRnk]]+IF($W$3&lt;&gt;Table5[[#This Row],[Type]],50,0)</f>
        <v>1070</v>
      </c>
      <c r="X1024" s="53">
        <f>RANK(Table5[[#This Row],[zScore]],Table5[[#All],[zScore]])</f>
        <v>1020</v>
      </c>
      <c r="Y1024" s="52" t="str">
        <f>IFERROR(INDEX(DraftResults[[#All],[OVR]],MATCH(Table5[[#This Row],[PID]],DraftResults[[#All],[Player ID]],0)),"")</f>
        <v/>
      </c>
      <c r="Z10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4" s="52" t="str">
        <f>IFERROR(INDEX(DraftResults[[#All],[Pick in Round]],MATCH(Table5[[#This Row],[PID]],DraftResults[[#All],[Player ID]],0)),"")</f>
        <v/>
      </c>
      <c r="AB1024" s="52" t="str">
        <f>IFERROR(INDEX(DraftResults[[#All],[Team Name]],MATCH(Table5[[#This Row],[PID]],DraftResults[[#All],[Player ID]],0)),"")</f>
        <v/>
      </c>
      <c r="AC1024" s="52" t="str">
        <f>IF(Table5[[#This Row],[Ovr]]="","",IF(Table5[[#This Row],[cmbList]]="","",Table5[[#This Row],[cmbList]]-Table5[[#This Row],[Ovr]]))</f>
        <v/>
      </c>
      <c r="AD1024" s="56" t="str">
        <f>IF(ISERROR(VLOOKUP($AB1024&amp;"-"&amp;$E1024&amp;" "&amp;F1024,Bonuses!$B$1:$G$1006,4,FALSE)),"",INT(VLOOKUP($AB1024&amp;"-"&amp;$E1024&amp;" "&amp;$F1024,Bonuses!$B$1:$G$1006,4,FALSE)))</f>
        <v/>
      </c>
      <c r="AE10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5" spans="1:31" s="52" customFormat="1" x14ac:dyDescent="0.25">
      <c r="A1025" s="52">
        <v>5562</v>
      </c>
      <c r="B1025" s="52">
        <f>COUNTIF(Table5[PID],A1025)</f>
        <v>1</v>
      </c>
      <c r="C1025" s="52" t="str">
        <f>IF(COUNTIF(Table3[[#All],[PID]],A1025)&gt;0,"P","B")</f>
        <v>P</v>
      </c>
      <c r="D1025" s="61" t="str">
        <f>IF($C1025="B",INDEX(Batters[[#All],[POS]],MATCH(Table5[[#This Row],[PID]],Batters[[#All],[PID]],0)),INDEX(Table3[[#All],[POS]],MATCH(Table5[[#This Row],[PID]],Table3[[#All],[PID]],0)))</f>
        <v>SP</v>
      </c>
      <c r="E1025" s="54" t="str">
        <f>IF($C1025="B",INDEX(Batters[[#All],[First]],MATCH(Table5[[#This Row],[PID]],Batters[[#All],[PID]],0)),INDEX(Table3[[#All],[First]],MATCH(Table5[[#This Row],[PID]],Table3[[#All],[PID]],0)))</f>
        <v>Terry</v>
      </c>
      <c r="F1025" s="52" t="str">
        <f>IF($C1025="B",INDEX(Batters[[#All],[Last]],MATCH(A1025,Batters[[#All],[PID]],0)),INDEX(Table3[[#All],[Last]],MATCH(A1025,Table3[[#All],[PID]],0)))</f>
        <v>Murdoch</v>
      </c>
      <c r="G1025" s="58">
        <f>IF($C1025="B",INDEX(Batters[[#All],[Age]],MATCH(Table5[[#This Row],[PID]],Batters[[#All],[PID]],0)),INDEX(Table3[[#All],[Age]],MATCH(Table5[[#This Row],[PID]],Table3[[#All],[PID]],0)))</f>
        <v>22</v>
      </c>
      <c r="H1025" s="54" t="str">
        <f>IF($C1025="B",INDEX(Batters[[#All],[B]],MATCH(Table5[[#This Row],[PID]],Batters[[#All],[PID]],0)),INDEX(Table3[[#All],[B]],MATCH(Table5[[#This Row],[PID]],Table3[[#All],[PID]],0)))</f>
        <v>R</v>
      </c>
      <c r="I1025" s="54" t="str">
        <f>IF($C1025="B",INDEX(Batters[[#All],[T]],MATCH(Table5[[#This Row],[PID]],Batters[[#All],[PID]],0)),INDEX(Table3[[#All],[T]],MATCH(Table5[[#This Row],[PID]],Table3[[#All],[PID]],0)))</f>
        <v>L</v>
      </c>
      <c r="J1025" s="54" t="str">
        <f>IF($C1025="B",INDEX(Batters[[#All],[WE]],MATCH(Table5[[#This Row],[PID]],Batters[[#All],[PID]],0)),INDEX(Table3[[#All],[WE]],MATCH(Table5[[#This Row],[PID]],Table3[[#All],[PID]],0)))</f>
        <v>Low</v>
      </c>
      <c r="K1025" s="54" t="str">
        <f>IF($C1025="B",INDEX(Batters[[#All],[INT]],MATCH(Table5[[#This Row],[PID]],Batters[[#All],[PID]],0)),INDEX(Table3[[#All],[INT]],MATCH(Table5[[#This Row],[PID]],Table3[[#All],[PID]],0)))</f>
        <v>Low</v>
      </c>
      <c r="L1025" s="62">
        <f>IF($C1025="B",INDEX(Batters[[#All],[CON P]],MATCH(Table5[[#This Row],[PID]],Batters[[#All],[PID]],0)),INDEX(Table3[[#All],[STU P]],MATCH(Table5[[#This Row],[PID]],Table3[[#All],[PID]],0)))</f>
        <v>4</v>
      </c>
      <c r="M1025" s="58">
        <f>IF($C1025="B",INDEX(Batters[[#All],[GAP P]],MATCH(Table5[[#This Row],[PID]],Batters[[#All],[PID]],0)),INDEX(Table3[[#All],[MOV P]],MATCH(Table5[[#This Row],[PID]],Table3[[#All],[PID]],0)))</f>
        <v>1</v>
      </c>
      <c r="N1025" s="58">
        <f>IF($C1025="B",INDEX(Batters[[#All],[POW P]],MATCH(Table5[[#This Row],[PID]],Batters[[#All],[PID]],0)),INDEX(Table3[[#All],[CON P]],MATCH(Table5[[#This Row],[PID]],Table3[[#All],[PID]],0)))</f>
        <v>2</v>
      </c>
      <c r="O1025" s="58" t="str">
        <f>IF($C1025="B",INDEX(Batters[[#All],[EYE P]],MATCH(Table5[[#This Row],[PID]],Batters[[#All],[PID]],0)),INDEX(Table3[[#All],[VELO]],MATCH(Table5[[#This Row],[PID]],Table3[[#All],[PID]],0)))</f>
        <v>92-94 Mph</v>
      </c>
      <c r="P1025" s="58">
        <f>IF($C1025="B",INDEX(Batters[[#All],[K P]],MATCH(Table5[[#This Row],[PID]],Batters[[#All],[PID]],0)),INDEX(Table3[[#All],[STM]],MATCH(Table5[[#This Row],[PID]],Table3[[#All],[PID]],0)))</f>
        <v>8</v>
      </c>
      <c r="Q1025" s="63">
        <f>IF($C1025="B",INDEX(Batters[[#All],[Tot]],MATCH(Table5[[#This Row],[PID]],Batters[[#All],[PID]],0)),INDEX(Table3[[#All],[Tot]],MATCH(Table5[[#This Row],[PID]],Table3[[#All],[PID]],0)))</f>
        <v>21.744144842443056</v>
      </c>
      <c r="R1025" s="54">
        <f>IF($C1025="B",INDEX(Batters[[#All],[zScore]],MATCH(Table5[[#This Row],[PID]],Batters[[#All],[PID]],0)),INDEX(Table3[[#All],[zScore]],MATCH(Table5[[#This Row],[PID]],Table3[[#All],[PID]],0)))</f>
        <v>-1.0067392426766375</v>
      </c>
      <c r="S1025" s="60" t="str">
        <f>IF($C1025="B",INDEX(Batters[[#All],[DEM]],MATCH(Table5[[#This Row],[PID]],Batters[[#All],[PID]],0)),INDEX(Table3[[#All],[DEM]],MATCH(Table5[[#This Row],[PID]],Table3[[#All],[PID]],0)))</f>
        <v>-</v>
      </c>
      <c r="T1025" s="64">
        <f>IF($C1025="B",VLOOKUP($A1025,Bat!$A$4:$AU$1417,46,FALSE),VLOOKUP($A1025,Pit!$A$4:$BD$570,55,FALSE))</f>
        <v>0</v>
      </c>
      <c r="U1025" s="52">
        <f>IF($C1025="B",VLOOKUP($A1025,Bat!$A$4:$BA$1417,47,FALSE),VLOOKUP($A1025,Pit!$A$4:$BF$570,56,FALSE))</f>
        <v>0</v>
      </c>
      <c r="V1025" s="52">
        <f>IF($C1025="B",VLOOKUP($A1025,Bat!$A$4:$BA$1417,48,FALSE),VLOOKUP($A1025,Pit!$A$4:$BF$570,57,FALSE))</f>
        <v>0</v>
      </c>
      <c r="W1025" s="52">
        <f>Table5[[#This Row],[posRnk]]+Table5[[#This Row],[zRnk]]+IF($W$3&lt;&gt;Table5[[#This Row],[Type]],50,0)</f>
        <v>1071</v>
      </c>
      <c r="X1025" s="53">
        <f>RANK(Table5[[#This Row],[zScore]],Table5[[#All],[zScore]])</f>
        <v>1021</v>
      </c>
      <c r="Y1025" s="52" t="str">
        <f>IFERROR(INDEX(DraftResults[[#All],[OVR]],MATCH(Table5[[#This Row],[PID]],DraftResults[[#All],[Player ID]],0)),"")</f>
        <v/>
      </c>
      <c r="Z10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5" s="52" t="str">
        <f>IFERROR(INDEX(DraftResults[[#All],[Pick in Round]],MATCH(Table5[[#This Row],[PID]],DraftResults[[#All],[Player ID]],0)),"")</f>
        <v/>
      </c>
      <c r="AB1025" s="52" t="str">
        <f>IFERROR(INDEX(DraftResults[[#All],[Team Name]],MATCH(Table5[[#This Row],[PID]],DraftResults[[#All],[Player ID]],0)),"")</f>
        <v/>
      </c>
      <c r="AC1025" s="52" t="str">
        <f>IF(Table5[[#This Row],[Ovr]]="","",IF(Table5[[#This Row],[cmbList]]="","",Table5[[#This Row],[cmbList]]-Table5[[#This Row],[Ovr]]))</f>
        <v/>
      </c>
      <c r="AD1025" s="56" t="str">
        <f>IF(ISERROR(VLOOKUP($AB1025&amp;"-"&amp;$E1025&amp;" "&amp;F1025,Bonuses!$B$1:$G$1006,4,FALSE)),"",INT(VLOOKUP($AB1025&amp;"-"&amp;$E1025&amp;" "&amp;$F1025,Bonuses!$B$1:$G$1006,4,FALSE)))</f>
        <v/>
      </c>
      <c r="AE10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6" spans="1:31" s="52" customFormat="1" x14ac:dyDescent="0.25">
      <c r="A1026" s="52">
        <v>12338</v>
      </c>
      <c r="B1026" s="52">
        <f>COUNTIF(Table5[PID],A1026)</f>
        <v>1</v>
      </c>
      <c r="C1026" s="52" t="str">
        <f>IF(COUNTIF(Table3[[#All],[PID]],A1026)&gt;0,"P","B")</f>
        <v>P</v>
      </c>
      <c r="D1026" s="61" t="str">
        <f>IF($C1026="B",INDEX(Batters[[#All],[POS]],MATCH(Table5[[#This Row],[PID]],Batters[[#All],[PID]],0)),INDEX(Table3[[#All],[POS]],MATCH(Table5[[#This Row],[PID]],Table3[[#All],[PID]],0)))</f>
        <v>SP</v>
      </c>
      <c r="E1026" s="54" t="str">
        <f>IF($C1026="B",INDEX(Batters[[#All],[First]],MATCH(Table5[[#This Row],[PID]],Batters[[#All],[PID]],0)),INDEX(Table3[[#All],[First]],MATCH(Table5[[#This Row],[PID]],Table3[[#All],[PID]],0)))</f>
        <v>José</v>
      </c>
      <c r="F1026" s="52" t="str">
        <f>IF($C1026="B",INDEX(Batters[[#All],[Last]],MATCH(A1026,Batters[[#All],[PID]],0)),INDEX(Table3[[#All],[Last]],MATCH(A1026,Table3[[#All],[PID]],0)))</f>
        <v>Ortíz</v>
      </c>
      <c r="G1026" s="58">
        <f>IF($C1026="B",INDEX(Batters[[#All],[Age]],MATCH(Table5[[#This Row],[PID]],Batters[[#All],[PID]],0)),INDEX(Table3[[#All],[Age]],MATCH(Table5[[#This Row],[PID]],Table3[[#All],[PID]],0)))</f>
        <v>21</v>
      </c>
      <c r="H1026" s="54" t="str">
        <f>IF($C1026="B",INDEX(Batters[[#All],[B]],MATCH(Table5[[#This Row],[PID]],Batters[[#All],[PID]],0)),INDEX(Table3[[#All],[B]],MATCH(Table5[[#This Row],[PID]],Table3[[#All],[PID]],0)))</f>
        <v>L</v>
      </c>
      <c r="I1026" s="54" t="str">
        <f>IF($C1026="B",INDEX(Batters[[#All],[T]],MATCH(Table5[[#This Row],[PID]],Batters[[#All],[PID]],0)),INDEX(Table3[[#All],[T]],MATCH(Table5[[#This Row],[PID]],Table3[[#All],[PID]],0)))</f>
        <v>L</v>
      </c>
      <c r="J1026" s="54" t="str">
        <f>IF($C1026="B",INDEX(Batters[[#All],[WE]],MATCH(Table5[[#This Row],[PID]],Batters[[#All],[PID]],0)),INDEX(Table3[[#All],[WE]],MATCH(Table5[[#This Row],[PID]],Table3[[#All],[PID]],0)))</f>
        <v>Normal</v>
      </c>
      <c r="K1026" s="54" t="str">
        <f>IF($C1026="B",INDEX(Batters[[#All],[INT]],MATCH(Table5[[#This Row],[PID]],Batters[[#All],[PID]],0)),INDEX(Table3[[#All],[INT]],MATCH(Table5[[#This Row],[PID]],Table3[[#All],[PID]],0)))</f>
        <v>High</v>
      </c>
      <c r="L1026" s="62">
        <f>IF($C1026="B",INDEX(Batters[[#All],[CON P]],MATCH(Table5[[#This Row],[PID]],Batters[[#All],[PID]],0)),INDEX(Table3[[#All],[STU P]],MATCH(Table5[[#This Row],[PID]],Table3[[#All],[PID]],0)))</f>
        <v>4</v>
      </c>
      <c r="M1026" s="58">
        <f>IF($C1026="B",INDEX(Batters[[#All],[GAP P]],MATCH(Table5[[#This Row],[PID]],Batters[[#All],[PID]],0)),INDEX(Table3[[#All],[MOV P]],MATCH(Table5[[#This Row],[PID]],Table3[[#All],[PID]],0)))</f>
        <v>1</v>
      </c>
      <c r="N1026" s="58">
        <f>IF($C1026="B",INDEX(Batters[[#All],[POW P]],MATCH(Table5[[#This Row],[PID]],Batters[[#All],[PID]],0)),INDEX(Table3[[#All],[CON P]],MATCH(Table5[[#This Row],[PID]],Table3[[#All],[PID]],0)))</f>
        <v>2</v>
      </c>
      <c r="O1026" s="58" t="str">
        <f>IF($C1026="B",INDEX(Batters[[#All],[EYE P]],MATCH(Table5[[#This Row],[PID]],Batters[[#All],[PID]],0)),INDEX(Table3[[#All],[VELO]],MATCH(Table5[[#This Row],[PID]],Table3[[#All],[PID]],0)))</f>
        <v>93-95 Mph</v>
      </c>
      <c r="P1026" s="58">
        <f>IF($C1026="B",INDEX(Batters[[#All],[K P]],MATCH(Table5[[#This Row],[PID]],Batters[[#All],[PID]],0)),INDEX(Table3[[#All],[STM]],MATCH(Table5[[#This Row],[PID]],Table3[[#All],[PID]],0)))</f>
        <v>7</v>
      </c>
      <c r="Q1026" s="63">
        <f>IF($C1026="B",INDEX(Batters[[#All],[Tot]],MATCH(Table5[[#This Row],[PID]],Batters[[#All],[PID]],0)),INDEX(Table3[[#All],[Tot]],MATCH(Table5[[#This Row],[PID]],Table3[[#All],[PID]],0)))</f>
        <v>21.668998463504135</v>
      </c>
      <c r="R1026" s="54">
        <f>IF($C1026="B",INDEX(Batters[[#All],[zScore]],MATCH(Table5[[#This Row],[PID]],Batters[[#All],[PID]],0)),INDEX(Table3[[#All],[zScore]],MATCH(Table5[[#This Row],[PID]],Table3[[#All],[PID]],0)))</f>
        <v>-1.0136304868077106</v>
      </c>
      <c r="S1026" s="60" t="str">
        <f>IF($C1026="B",INDEX(Batters[[#All],[DEM]],MATCH(Table5[[#This Row],[PID]],Batters[[#All],[PID]],0)),INDEX(Table3[[#All],[DEM]],MATCH(Table5[[#This Row],[PID]],Table3[[#All],[PID]],0)))</f>
        <v>-</v>
      </c>
      <c r="T1026" s="64">
        <f>IF($C1026="B",VLOOKUP($A1026,Bat!$A$4:$AU$1417,46,FALSE),VLOOKUP($A1026,Pit!$A$4:$BD$570,55,FALSE))</f>
        <v>0</v>
      </c>
      <c r="U1026" s="52">
        <f>IF($C1026="B",VLOOKUP($A1026,Bat!$A$4:$BA$1417,47,FALSE),VLOOKUP($A1026,Pit!$A$4:$BF$570,56,FALSE))</f>
        <v>0</v>
      </c>
      <c r="V1026" s="52">
        <f>IF($C1026="B",VLOOKUP($A1026,Bat!$A$4:$BA$1417,48,FALSE),VLOOKUP($A1026,Pit!$A$4:$BF$570,57,FALSE))</f>
        <v>0</v>
      </c>
      <c r="W1026" s="52">
        <f>Table5[[#This Row],[posRnk]]+Table5[[#This Row],[zRnk]]+IF($W$3&lt;&gt;Table5[[#This Row],[Type]],50,0)</f>
        <v>1072</v>
      </c>
      <c r="X1026" s="53">
        <f>RANK(Table5[[#This Row],[zScore]],Table5[[#All],[zScore]])</f>
        <v>1022</v>
      </c>
      <c r="Y1026" s="52" t="str">
        <f>IFERROR(INDEX(DraftResults[[#All],[OVR]],MATCH(Table5[[#This Row],[PID]],DraftResults[[#All],[Player ID]],0)),"")</f>
        <v/>
      </c>
      <c r="Z10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6" s="52" t="str">
        <f>IFERROR(INDEX(DraftResults[[#All],[Pick in Round]],MATCH(Table5[[#This Row],[PID]],DraftResults[[#All],[Player ID]],0)),"")</f>
        <v/>
      </c>
      <c r="AB1026" s="52" t="str">
        <f>IFERROR(INDEX(DraftResults[[#All],[Team Name]],MATCH(Table5[[#This Row],[PID]],DraftResults[[#All],[Player ID]],0)),"")</f>
        <v/>
      </c>
      <c r="AC1026" s="52" t="str">
        <f>IF(Table5[[#This Row],[Ovr]]="","",IF(Table5[[#This Row],[cmbList]]="","",Table5[[#This Row],[cmbList]]-Table5[[#This Row],[Ovr]]))</f>
        <v/>
      </c>
      <c r="AD1026" s="56" t="str">
        <f>IF(ISERROR(VLOOKUP($AB1026&amp;"-"&amp;$E1026&amp;" "&amp;F1026,Bonuses!$B$1:$G$1006,4,FALSE)),"",INT(VLOOKUP($AB1026&amp;"-"&amp;$E1026&amp;" "&amp;$F1026,Bonuses!$B$1:$G$1006,4,FALSE)))</f>
        <v/>
      </c>
      <c r="AE10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7" spans="1:31" s="52" customFormat="1" x14ac:dyDescent="0.25">
      <c r="A1027" s="52">
        <v>17617</v>
      </c>
      <c r="B1027" s="52">
        <f>COUNTIF(Table5[PID],A1027)</f>
        <v>1</v>
      </c>
      <c r="C1027" s="52" t="str">
        <f>IF(COUNTIF(Table3[[#All],[PID]],A1027)&gt;0,"P","B")</f>
        <v>P</v>
      </c>
      <c r="D1027" s="61" t="str">
        <f>IF($C1027="B",INDEX(Batters[[#All],[POS]],MATCH(Table5[[#This Row],[PID]],Batters[[#All],[PID]],0)),INDEX(Table3[[#All],[POS]],MATCH(Table5[[#This Row],[PID]],Table3[[#All],[PID]],0)))</f>
        <v>RP</v>
      </c>
      <c r="E1027" s="54" t="str">
        <f>IF($C1027="B",INDEX(Batters[[#All],[First]],MATCH(Table5[[#This Row],[PID]],Batters[[#All],[PID]],0)),INDEX(Table3[[#All],[First]],MATCH(Table5[[#This Row],[PID]],Table3[[#All],[PID]],0)))</f>
        <v>Greg</v>
      </c>
      <c r="F1027" s="52" t="str">
        <f>IF($C1027="B",INDEX(Batters[[#All],[Last]],MATCH(A1027,Batters[[#All],[PID]],0)),INDEX(Table3[[#All],[Last]],MATCH(A1027,Table3[[#All],[PID]],0)))</f>
        <v>Dean</v>
      </c>
      <c r="G1027" s="58">
        <f>IF($C1027="B",INDEX(Batters[[#All],[Age]],MATCH(Table5[[#This Row],[PID]],Batters[[#All],[PID]],0)),INDEX(Table3[[#All],[Age]],MATCH(Table5[[#This Row],[PID]],Table3[[#All],[PID]],0)))</f>
        <v>18</v>
      </c>
      <c r="H1027" s="54" t="str">
        <f>IF($C1027="B",INDEX(Batters[[#All],[B]],MATCH(Table5[[#This Row],[PID]],Batters[[#All],[PID]],0)),INDEX(Table3[[#All],[B]],MATCH(Table5[[#This Row],[PID]],Table3[[#All],[PID]],0)))</f>
        <v>L</v>
      </c>
      <c r="I1027" s="54" t="str">
        <f>IF($C1027="B",INDEX(Batters[[#All],[T]],MATCH(Table5[[#This Row],[PID]],Batters[[#All],[PID]],0)),INDEX(Table3[[#All],[T]],MATCH(Table5[[#This Row],[PID]],Table3[[#All],[PID]],0)))</f>
        <v>R</v>
      </c>
      <c r="J1027" s="54" t="str">
        <f>IF($C1027="B",INDEX(Batters[[#All],[WE]],MATCH(Table5[[#This Row],[PID]],Batters[[#All],[PID]],0)),INDEX(Table3[[#All],[WE]],MATCH(Table5[[#This Row],[PID]],Table3[[#All],[PID]],0)))</f>
        <v>Low</v>
      </c>
      <c r="K1027" s="54" t="str">
        <f>IF($C1027="B",INDEX(Batters[[#All],[INT]],MATCH(Table5[[#This Row],[PID]],Batters[[#All],[PID]],0)),INDEX(Table3[[#All],[INT]],MATCH(Table5[[#This Row],[PID]],Table3[[#All],[PID]],0)))</f>
        <v>Normal</v>
      </c>
      <c r="L1027" s="62">
        <f>IF($C1027="B",INDEX(Batters[[#All],[CON P]],MATCH(Table5[[#This Row],[PID]],Batters[[#All],[PID]],0)),INDEX(Table3[[#All],[STU P]],MATCH(Table5[[#This Row],[PID]],Table3[[#All],[PID]],0)))</f>
        <v>4</v>
      </c>
      <c r="M1027" s="58">
        <f>IF($C1027="B",INDEX(Batters[[#All],[GAP P]],MATCH(Table5[[#This Row],[PID]],Batters[[#All],[PID]],0)),INDEX(Table3[[#All],[MOV P]],MATCH(Table5[[#This Row],[PID]],Table3[[#All],[PID]],0)))</f>
        <v>1</v>
      </c>
      <c r="N1027" s="58">
        <f>IF($C1027="B",INDEX(Batters[[#All],[POW P]],MATCH(Table5[[#This Row],[PID]],Batters[[#All],[PID]],0)),INDEX(Table3[[#All],[CON P]],MATCH(Table5[[#This Row],[PID]],Table3[[#All],[PID]],0)))</f>
        <v>1</v>
      </c>
      <c r="O1027" s="58" t="str">
        <f>IF($C1027="B",INDEX(Batters[[#All],[EYE P]],MATCH(Table5[[#This Row],[PID]],Batters[[#All],[PID]],0)),INDEX(Table3[[#All],[VELO]],MATCH(Table5[[#This Row],[PID]],Table3[[#All],[PID]],0)))</f>
        <v>86-88 Mph</v>
      </c>
      <c r="P1027" s="58">
        <f>IF($C1027="B",INDEX(Batters[[#All],[K P]],MATCH(Table5[[#This Row],[PID]],Batters[[#All],[PID]],0)),INDEX(Table3[[#All],[STM]],MATCH(Table5[[#This Row],[PID]],Table3[[#All],[PID]],0)))</f>
        <v>8</v>
      </c>
      <c r="Q1027" s="63">
        <f>IF($C1027="B",INDEX(Batters[[#All],[Tot]],MATCH(Table5[[#This Row],[PID]],Batters[[#All],[PID]],0)),INDEX(Table3[[#All],[Tot]],MATCH(Table5[[#This Row],[PID]],Table3[[#All],[PID]],0)))</f>
        <v>21.645323234429043</v>
      </c>
      <c r="R1027" s="54">
        <f>IF($C1027="B",INDEX(Batters[[#All],[zScore]],MATCH(Table5[[#This Row],[PID]],Batters[[#All],[PID]],0)),INDEX(Table3[[#All],[zScore]],MATCH(Table5[[#This Row],[PID]],Table3[[#All],[PID]],0)))</f>
        <v>-1.0158016065039523</v>
      </c>
      <c r="S1027" s="60" t="str">
        <f>IF($C1027="B",INDEX(Batters[[#All],[DEM]],MATCH(Table5[[#This Row],[PID]],Batters[[#All],[PID]],0)),INDEX(Table3[[#All],[DEM]],MATCH(Table5[[#This Row],[PID]],Table3[[#All],[PID]],0)))</f>
        <v>$65k</v>
      </c>
      <c r="T1027" s="64">
        <f>IF($C1027="B",VLOOKUP($A1027,Bat!$A$4:$AU$1417,46,FALSE),VLOOKUP($A1027,Pit!$A$4:$BD$570,55,FALSE))</f>
        <v>0</v>
      </c>
      <c r="U1027" s="52">
        <f>IF($C1027="B",VLOOKUP($A1027,Bat!$A$4:$BA$1417,47,FALSE),VLOOKUP($A1027,Pit!$A$4:$BF$570,56,FALSE))</f>
        <v>0</v>
      </c>
      <c r="V1027" s="52">
        <f>IF($C1027="B",VLOOKUP($A1027,Bat!$A$4:$BA$1417,48,FALSE),VLOOKUP($A1027,Pit!$A$4:$BF$570,57,FALSE))</f>
        <v>0</v>
      </c>
      <c r="W1027" s="52">
        <f>Table5[[#This Row],[posRnk]]+Table5[[#This Row],[zRnk]]+IF($W$3&lt;&gt;Table5[[#This Row],[Type]],50,0)</f>
        <v>1073</v>
      </c>
      <c r="X1027" s="53">
        <f>RANK(Table5[[#This Row],[zScore]],Table5[[#All],[zScore]])</f>
        <v>1023</v>
      </c>
      <c r="Y1027" s="52" t="str">
        <f>IFERROR(INDEX(DraftResults[[#All],[OVR]],MATCH(Table5[[#This Row],[PID]],DraftResults[[#All],[Player ID]],0)),"")</f>
        <v/>
      </c>
      <c r="Z10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7" s="52" t="str">
        <f>IFERROR(INDEX(DraftResults[[#All],[Pick in Round]],MATCH(Table5[[#This Row],[PID]],DraftResults[[#All],[Player ID]],0)),"")</f>
        <v/>
      </c>
      <c r="AB1027" s="52" t="str">
        <f>IFERROR(INDEX(DraftResults[[#All],[Team Name]],MATCH(Table5[[#This Row],[PID]],DraftResults[[#All],[Player ID]],0)),"")</f>
        <v/>
      </c>
      <c r="AC1027" s="52" t="str">
        <f>IF(Table5[[#This Row],[Ovr]]="","",IF(Table5[[#This Row],[cmbList]]="","",Table5[[#This Row],[cmbList]]-Table5[[#This Row],[Ovr]]))</f>
        <v/>
      </c>
      <c r="AD1027" s="56" t="str">
        <f>IF(ISERROR(VLOOKUP($AB1027&amp;"-"&amp;$E1027&amp;" "&amp;F1027,Bonuses!$B$1:$G$1006,4,FALSE)),"",INT(VLOOKUP($AB1027&amp;"-"&amp;$E1027&amp;" "&amp;$F1027,Bonuses!$B$1:$G$1006,4,FALSE)))</f>
        <v/>
      </c>
      <c r="AE10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8" spans="1:31" s="52" customFormat="1" x14ac:dyDescent="0.25">
      <c r="A1028" s="52">
        <v>7358</v>
      </c>
      <c r="B1028" s="52">
        <f>COUNTIF(Table5[PID],A1028)</f>
        <v>1</v>
      </c>
      <c r="C1028" s="52" t="str">
        <f>IF(COUNTIF(Table3[[#All],[PID]],A1028)&gt;0,"P","B")</f>
        <v>P</v>
      </c>
      <c r="D1028" s="61" t="str">
        <f>IF($C1028="B",INDEX(Batters[[#All],[POS]],MATCH(Table5[[#This Row],[PID]],Batters[[#All],[PID]],0)),INDEX(Table3[[#All],[POS]],MATCH(Table5[[#This Row],[PID]],Table3[[#All],[PID]],0)))</f>
        <v>RP</v>
      </c>
      <c r="E1028" s="54" t="str">
        <f>IF($C1028="B",INDEX(Batters[[#All],[First]],MATCH(Table5[[#This Row],[PID]],Batters[[#All],[PID]],0)),INDEX(Table3[[#All],[First]],MATCH(Table5[[#This Row],[PID]],Table3[[#All],[PID]],0)))</f>
        <v>Tim</v>
      </c>
      <c r="F1028" s="52" t="str">
        <f>IF($C1028="B",INDEX(Batters[[#All],[Last]],MATCH(A1028,Batters[[#All],[PID]],0)),INDEX(Table3[[#All],[Last]],MATCH(A1028,Table3[[#All],[PID]],0)))</f>
        <v>Oliver</v>
      </c>
      <c r="G1028" s="58">
        <f>IF($C1028="B",INDEX(Batters[[#All],[Age]],MATCH(Table5[[#This Row],[PID]],Batters[[#All],[PID]],0)),INDEX(Table3[[#All],[Age]],MATCH(Table5[[#This Row],[PID]],Table3[[#All],[PID]],0)))</f>
        <v>20</v>
      </c>
      <c r="H1028" s="54" t="str">
        <f>IF($C1028="B",INDEX(Batters[[#All],[B]],MATCH(Table5[[#This Row],[PID]],Batters[[#All],[PID]],0)),INDEX(Table3[[#All],[B]],MATCH(Table5[[#This Row],[PID]],Table3[[#All],[PID]],0)))</f>
        <v>R</v>
      </c>
      <c r="I1028" s="54" t="str">
        <f>IF($C1028="B",INDEX(Batters[[#All],[T]],MATCH(Table5[[#This Row],[PID]],Batters[[#All],[PID]],0)),INDEX(Table3[[#All],[T]],MATCH(Table5[[#This Row],[PID]],Table3[[#All],[PID]],0)))</f>
        <v>R</v>
      </c>
      <c r="J1028" s="54" t="str">
        <f>IF($C1028="B",INDEX(Batters[[#All],[WE]],MATCH(Table5[[#This Row],[PID]],Batters[[#All],[PID]],0)),INDEX(Table3[[#All],[WE]],MATCH(Table5[[#This Row],[PID]],Table3[[#All],[PID]],0)))</f>
        <v>Normal</v>
      </c>
      <c r="K1028" s="54" t="str">
        <f>IF($C1028="B",INDEX(Batters[[#All],[INT]],MATCH(Table5[[#This Row],[PID]],Batters[[#All],[PID]],0)),INDEX(Table3[[#All],[INT]],MATCH(Table5[[#This Row],[PID]],Table3[[#All],[PID]],0)))</f>
        <v>Normal</v>
      </c>
      <c r="L1028" s="62">
        <f>IF($C1028="B",INDEX(Batters[[#All],[CON P]],MATCH(Table5[[#This Row],[PID]],Batters[[#All],[PID]],0)),INDEX(Table3[[#All],[STU P]],MATCH(Table5[[#This Row],[PID]],Table3[[#All],[PID]],0)))</f>
        <v>3</v>
      </c>
      <c r="M1028" s="58">
        <f>IF($C1028="B",INDEX(Batters[[#All],[GAP P]],MATCH(Table5[[#This Row],[PID]],Batters[[#All],[PID]],0)),INDEX(Table3[[#All],[MOV P]],MATCH(Table5[[#This Row],[PID]],Table3[[#All],[PID]],0)))</f>
        <v>2</v>
      </c>
      <c r="N1028" s="58">
        <f>IF($C1028="B",INDEX(Batters[[#All],[POW P]],MATCH(Table5[[#This Row],[PID]],Batters[[#All],[PID]],0)),INDEX(Table3[[#All],[CON P]],MATCH(Table5[[#This Row],[PID]],Table3[[#All],[PID]],0)))</f>
        <v>2</v>
      </c>
      <c r="O1028" s="58" t="str">
        <f>IF($C1028="B",INDEX(Batters[[#All],[EYE P]],MATCH(Table5[[#This Row],[PID]],Batters[[#All],[PID]],0)),INDEX(Table3[[#All],[VELO]],MATCH(Table5[[#This Row],[PID]],Table3[[#All],[PID]],0)))</f>
        <v>87-89 Mph</v>
      </c>
      <c r="P1028" s="58">
        <f>IF($C1028="B",INDEX(Batters[[#All],[K P]],MATCH(Table5[[#This Row],[PID]],Batters[[#All],[PID]],0)),INDEX(Table3[[#All],[STM]],MATCH(Table5[[#This Row],[PID]],Table3[[#All],[PID]],0)))</f>
        <v>4</v>
      </c>
      <c r="Q1028" s="63">
        <f>IF($C1028="B",INDEX(Batters[[#All],[Tot]],MATCH(Table5[[#This Row],[PID]],Batters[[#All],[PID]],0)),INDEX(Table3[[#All],[Tot]],MATCH(Table5[[#This Row],[PID]],Table3[[#All],[PID]],0)))</f>
        <v>18.800613462075614</v>
      </c>
      <c r="R1028" s="54">
        <f>IF($C1028="B",INDEX(Batters[[#All],[zScore]],MATCH(Table5[[#This Row],[PID]],Batters[[#All],[PID]],0)),INDEX(Table3[[#All],[zScore]],MATCH(Table5[[#This Row],[PID]],Table3[[#All],[PID]],0)))</f>
        <v>-1.0161836535283026</v>
      </c>
      <c r="S1028" s="60" t="str">
        <f>IF($C1028="B",INDEX(Batters[[#All],[DEM]],MATCH(Table5[[#This Row],[PID]],Batters[[#All],[PID]],0)),INDEX(Table3[[#All],[DEM]],MATCH(Table5[[#This Row],[PID]],Table3[[#All],[PID]],0)))</f>
        <v>-</v>
      </c>
      <c r="T1028" s="64" t="e">
        <f>IF($C1028="B",VLOOKUP($A1028,Bat!$A$4:$AU$1417,46,FALSE),VLOOKUP($A1028,Pit!$A$4:$BD$570,55,FALSE))</f>
        <v>#N/A</v>
      </c>
      <c r="U1028" s="52" t="e">
        <f>IF($C1028="B",VLOOKUP($A1028,Bat!$A$4:$BA$1417,47,FALSE),VLOOKUP($A1028,Pit!$A$4:$BF$570,56,FALSE))</f>
        <v>#N/A</v>
      </c>
      <c r="V1028" s="52" t="e">
        <f>IF($C1028="B",VLOOKUP($A1028,Bat!$A$4:$BA$1417,48,FALSE),VLOOKUP($A1028,Pit!$A$4:$BF$570,57,FALSE))</f>
        <v>#N/A</v>
      </c>
      <c r="W1028" s="52" t="e">
        <f>Table5[[#This Row],[posRnk]]+Table5[[#This Row],[zRnk]]+IF($W$3&lt;&gt;Table5[[#This Row],[Type]],50,0)</f>
        <v>#N/A</v>
      </c>
      <c r="X1028" s="53">
        <f>RANK(Table5[[#This Row],[zScore]],Table5[[#All],[zScore]])</f>
        <v>1024</v>
      </c>
      <c r="Y1028" s="52" t="str">
        <f>IFERROR(INDEX(DraftResults[[#All],[OVR]],MATCH(Table5[[#This Row],[PID]],DraftResults[[#All],[Player ID]],0)),"")</f>
        <v/>
      </c>
      <c r="Z10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8" s="52" t="str">
        <f>IFERROR(INDEX(DraftResults[[#All],[Pick in Round]],MATCH(Table5[[#This Row],[PID]],DraftResults[[#All],[Player ID]],0)),"")</f>
        <v/>
      </c>
      <c r="AB1028" s="52" t="str">
        <f>IFERROR(INDEX(DraftResults[[#All],[Team Name]],MATCH(Table5[[#This Row],[PID]],DraftResults[[#All],[Player ID]],0)),"")</f>
        <v/>
      </c>
      <c r="AC1028" s="52" t="str">
        <f>IF(Table5[[#This Row],[Ovr]]="","",IF(Table5[[#This Row],[cmbList]]="","",Table5[[#This Row],[cmbList]]-Table5[[#This Row],[Ovr]]))</f>
        <v/>
      </c>
      <c r="AD1028" s="56" t="str">
        <f>IF(ISERROR(VLOOKUP($AB1028&amp;"-"&amp;$E1028&amp;" "&amp;F1028,Bonuses!$B$1:$G$1006,4,FALSE)),"",INT(VLOOKUP($AB1028&amp;"-"&amp;$E1028&amp;" "&amp;$F1028,Bonuses!$B$1:$G$1006,4,FALSE)))</f>
        <v/>
      </c>
      <c r="AE10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9" spans="1:31" s="52" customFormat="1" x14ac:dyDescent="0.25">
      <c r="A1029" s="52">
        <v>7298</v>
      </c>
      <c r="B1029" s="52">
        <f>COUNTIF(Table5[PID],A1029)</f>
        <v>1</v>
      </c>
      <c r="C1029" s="52" t="str">
        <f>IF(COUNTIF(Table3[[#All],[PID]],A1029)&gt;0,"P","B")</f>
        <v>B</v>
      </c>
      <c r="D1029" s="61" t="str">
        <f>IF($C1029="B",INDEX(Batters[[#All],[POS]],MATCH(Table5[[#This Row],[PID]],Batters[[#All],[PID]],0)),INDEX(Table3[[#All],[POS]],MATCH(Table5[[#This Row],[PID]],Table3[[#All],[PID]],0)))</f>
        <v>1B</v>
      </c>
      <c r="E1029" s="54" t="str">
        <f>IF($C1029="B",INDEX(Batters[[#All],[First]],MATCH(Table5[[#This Row],[PID]],Batters[[#All],[PID]],0)),INDEX(Table3[[#All],[First]],MATCH(Table5[[#This Row],[PID]],Table3[[#All],[PID]],0)))</f>
        <v>Paul</v>
      </c>
      <c r="F1029" s="52" t="str">
        <f>IF($C1029="B",INDEX(Batters[[#All],[Last]],MATCH(A1029,Batters[[#All],[PID]],0)),INDEX(Table3[[#All],[Last]],MATCH(A1029,Table3[[#All],[PID]],0)))</f>
        <v>Coffey</v>
      </c>
      <c r="G1029" s="58">
        <f>IF($C1029="B",INDEX(Batters[[#All],[Age]],MATCH(Table5[[#This Row],[PID]],Batters[[#All],[PID]],0)),INDEX(Table3[[#All],[Age]],MATCH(Table5[[#This Row],[PID]],Table3[[#All],[PID]],0)))</f>
        <v>21</v>
      </c>
      <c r="H1029" s="54" t="str">
        <f>IF($C1029="B",INDEX(Batters[[#All],[B]],MATCH(Table5[[#This Row],[PID]],Batters[[#All],[PID]],0)),INDEX(Table3[[#All],[B]],MATCH(Table5[[#This Row],[PID]],Table3[[#All],[PID]],0)))</f>
        <v>S</v>
      </c>
      <c r="I1029" s="54" t="str">
        <f>IF($C1029="B",INDEX(Batters[[#All],[T]],MATCH(Table5[[#This Row],[PID]],Batters[[#All],[PID]],0)),INDEX(Table3[[#All],[T]],MATCH(Table5[[#This Row],[PID]],Table3[[#All],[PID]],0)))</f>
        <v>R</v>
      </c>
      <c r="J1029" s="54" t="str">
        <f>IF($C1029="B",INDEX(Batters[[#All],[WE]],MATCH(Table5[[#This Row],[PID]],Batters[[#All],[PID]],0)),INDEX(Table3[[#All],[WE]],MATCH(Table5[[#This Row],[PID]],Table3[[#All],[PID]],0)))</f>
        <v>Low</v>
      </c>
      <c r="K1029" s="54" t="str">
        <f>IF($C1029="B",INDEX(Batters[[#All],[INT]],MATCH(Table5[[#This Row],[PID]],Batters[[#All],[PID]],0)),INDEX(Table3[[#All],[INT]],MATCH(Table5[[#This Row],[PID]],Table3[[#All],[PID]],0)))</f>
        <v>Normal</v>
      </c>
      <c r="L1029" s="62">
        <f>IF($C1029="B",INDEX(Batters[[#All],[CON P]],MATCH(Table5[[#This Row],[PID]],Batters[[#All],[PID]],0)),INDEX(Table3[[#All],[STU P]],MATCH(Table5[[#This Row],[PID]],Table3[[#All],[PID]],0)))</f>
        <v>3</v>
      </c>
      <c r="M1029" s="58">
        <f>IF($C1029="B",INDEX(Batters[[#All],[GAP P]],MATCH(Table5[[#This Row],[PID]],Batters[[#All],[PID]],0)),INDEX(Table3[[#All],[MOV P]],MATCH(Table5[[#This Row],[PID]],Table3[[#All],[PID]],0)))</f>
        <v>3</v>
      </c>
      <c r="N1029" s="58">
        <f>IF($C1029="B",INDEX(Batters[[#All],[POW P]],MATCH(Table5[[#This Row],[PID]],Batters[[#All],[PID]],0)),INDEX(Table3[[#All],[CON P]],MATCH(Table5[[#This Row],[PID]],Table3[[#All],[PID]],0)))</f>
        <v>3</v>
      </c>
      <c r="O1029" s="58">
        <f>IF($C1029="B",INDEX(Batters[[#All],[EYE P]],MATCH(Table5[[#This Row],[PID]],Batters[[#All],[PID]],0)),INDEX(Table3[[#All],[VELO]],MATCH(Table5[[#This Row],[PID]],Table3[[#All],[PID]],0)))</f>
        <v>3</v>
      </c>
      <c r="P1029" s="58">
        <f>IF($C1029="B",INDEX(Batters[[#All],[K P]],MATCH(Table5[[#This Row],[PID]],Batters[[#All],[PID]],0)),INDEX(Table3[[#All],[STM]],MATCH(Table5[[#This Row],[PID]],Table3[[#All],[PID]],0)))</f>
        <v>5</v>
      </c>
      <c r="Q1029" s="63">
        <f>IF($C1029="B",INDEX(Batters[[#All],[Tot]],MATCH(Table5[[#This Row],[PID]],Batters[[#All],[PID]],0)),INDEX(Table3[[#All],[Tot]],MATCH(Table5[[#This Row],[PID]],Table3[[#All],[PID]],0)))</f>
        <v>34.567183003770985</v>
      </c>
      <c r="R1029" s="54">
        <f>IF($C1029="B",INDEX(Batters[[#All],[zScore]],MATCH(Table5[[#This Row],[PID]],Batters[[#All],[PID]],0)),INDEX(Table3[[#All],[zScore]],MATCH(Table5[[#This Row],[PID]],Table3[[#All],[PID]],0)))</f>
        <v>-1.0171398504480431</v>
      </c>
      <c r="S1029" s="60" t="str">
        <f>IF($C1029="B",INDEX(Batters[[#All],[DEM]],MATCH(Table5[[#This Row],[PID]],Batters[[#All],[PID]],0)),INDEX(Table3[[#All],[DEM]],MATCH(Table5[[#This Row],[PID]],Table3[[#All],[PID]],0)))</f>
        <v>-</v>
      </c>
      <c r="T1029" s="64">
        <f>IF($C1029="B",VLOOKUP($A1029,Bat!$A$4:$AU$1417,46,FALSE),VLOOKUP($A1029,Pit!$A$4:$BD$570,55,FALSE))</f>
        <v>0</v>
      </c>
      <c r="U1029" s="52">
        <f>IF($C1029="B",VLOOKUP($A1029,Bat!$A$4:$BA$1417,47,FALSE),VLOOKUP($A1029,Pit!$A$4:$BF$570,56,FALSE))</f>
        <v>0</v>
      </c>
      <c r="V1029" s="52">
        <f>IF($C1029="B",VLOOKUP($A1029,Bat!$A$4:$BA$1417,48,FALSE),VLOOKUP($A1029,Pit!$A$4:$BF$570,57,FALSE))</f>
        <v>0</v>
      </c>
      <c r="W1029" s="52">
        <f>Table5[[#This Row],[posRnk]]+Table5[[#This Row],[zRnk]]+IF($W$3&lt;&gt;Table5[[#This Row],[Type]],50,0)</f>
        <v>1075</v>
      </c>
      <c r="X1029" s="53">
        <f>RANK(Table5[[#This Row],[zScore]],Table5[[#All],[zScore]])</f>
        <v>1025</v>
      </c>
      <c r="Y1029" s="52" t="str">
        <f>IFERROR(INDEX(DraftResults[[#All],[OVR]],MATCH(Table5[[#This Row],[PID]],DraftResults[[#All],[Player ID]],0)),"")</f>
        <v/>
      </c>
      <c r="Z10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9" s="52" t="str">
        <f>IFERROR(INDEX(DraftResults[[#All],[Pick in Round]],MATCH(Table5[[#This Row],[PID]],DraftResults[[#All],[Player ID]],0)),"")</f>
        <v/>
      </c>
      <c r="AB1029" s="52" t="str">
        <f>IFERROR(INDEX(DraftResults[[#All],[Team Name]],MATCH(Table5[[#This Row],[PID]],DraftResults[[#All],[Player ID]],0)),"")</f>
        <v/>
      </c>
      <c r="AC1029" s="52" t="str">
        <f>IF(Table5[[#This Row],[Ovr]]="","",IF(Table5[[#This Row],[cmbList]]="","",Table5[[#This Row],[cmbList]]-Table5[[#This Row],[Ovr]]))</f>
        <v/>
      </c>
      <c r="AD1029" s="56" t="str">
        <f>IF(ISERROR(VLOOKUP($AB1029&amp;"-"&amp;$E1029&amp;" "&amp;F1029,Bonuses!$B$1:$G$1006,4,FALSE)),"",INT(VLOOKUP($AB1029&amp;"-"&amp;$E1029&amp;" "&amp;$F1029,Bonuses!$B$1:$G$1006,4,FALSE)))</f>
        <v/>
      </c>
      <c r="AE10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0" spans="1:31" s="52" customFormat="1" x14ac:dyDescent="0.25">
      <c r="A1030" s="52">
        <v>10014</v>
      </c>
      <c r="B1030" s="52">
        <f>COUNTIF(Table5[PID],A1030)</f>
        <v>1</v>
      </c>
      <c r="C1030" s="52" t="str">
        <f>IF(COUNTIF(Table3[[#All],[PID]],A1030)&gt;0,"P","B")</f>
        <v>P</v>
      </c>
      <c r="D1030" s="61" t="str">
        <f>IF($C1030="B",INDEX(Batters[[#All],[POS]],MATCH(Table5[[#This Row],[PID]],Batters[[#All],[PID]],0)),INDEX(Table3[[#All],[POS]],MATCH(Table5[[#This Row],[PID]],Table3[[#All],[PID]],0)))</f>
        <v>RP</v>
      </c>
      <c r="E1030" s="54" t="str">
        <f>IF($C1030="B",INDEX(Batters[[#All],[First]],MATCH(Table5[[#This Row],[PID]],Batters[[#All],[PID]],0)),INDEX(Table3[[#All],[First]],MATCH(Table5[[#This Row],[PID]],Table3[[#All],[PID]],0)))</f>
        <v>Doyle</v>
      </c>
      <c r="F1030" s="52" t="str">
        <f>IF($C1030="B",INDEX(Batters[[#All],[Last]],MATCH(A1030,Batters[[#All],[PID]],0)),INDEX(Table3[[#All],[Last]],MATCH(A1030,Table3[[#All],[PID]],0)))</f>
        <v>Wilson</v>
      </c>
      <c r="G1030" s="58">
        <f>IF($C1030="B",INDEX(Batters[[#All],[Age]],MATCH(Table5[[#This Row],[PID]],Batters[[#All],[PID]],0)),INDEX(Table3[[#All],[Age]],MATCH(Table5[[#This Row],[PID]],Table3[[#All],[PID]],0)))</f>
        <v>21</v>
      </c>
      <c r="H1030" s="54" t="str">
        <f>IF($C1030="B",INDEX(Batters[[#All],[B]],MATCH(Table5[[#This Row],[PID]],Batters[[#All],[PID]],0)),INDEX(Table3[[#All],[B]],MATCH(Table5[[#This Row],[PID]],Table3[[#All],[PID]],0)))</f>
        <v>L</v>
      </c>
      <c r="I1030" s="54" t="str">
        <f>IF($C1030="B",INDEX(Batters[[#All],[T]],MATCH(Table5[[#This Row],[PID]],Batters[[#All],[PID]],0)),INDEX(Table3[[#All],[T]],MATCH(Table5[[#This Row],[PID]],Table3[[#All],[PID]],0)))</f>
        <v>R</v>
      </c>
      <c r="J1030" s="54" t="str">
        <f>IF($C1030="B",INDEX(Batters[[#All],[WE]],MATCH(Table5[[#This Row],[PID]],Batters[[#All],[PID]],0)),INDEX(Table3[[#All],[WE]],MATCH(Table5[[#This Row],[PID]],Table3[[#All],[PID]],0)))</f>
        <v>High</v>
      </c>
      <c r="K1030" s="54" t="str">
        <f>IF($C1030="B",INDEX(Batters[[#All],[INT]],MATCH(Table5[[#This Row],[PID]],Batters[[#All],[PID]],0)),INDEX(Table3[[#All],[INT]],MATCH(Table5[[#This Row],[PID]],Table3[[#All],[PID]],0)))</f>
        <v>Normal</v>
      </c>
      <c r="L1030" s="62">
        <f>IF($C1030="B",INDEX(Batters[[#All],[CON P]],MATCH(Table5[[#This Row],[PID]],Batters[[#All],[PID]],0)),INDEX(Table3[[#All],[STU P]],MATCH(Table5[[#This Row],[PID]],Table3[[#All],[PID]],0)))</f>
        <v>4</v>
      </c>
      <c r="M1030" s="58">
        <f>IF($C1030="B",INDEX(Batters[[#All],[GAP P]],MATCH(Table5[[#This Row],[PID]],Batters[[#All],[PID]],0)),INDEX(Table3[[#All],[MOV P]],MATCH(Table5[[#This Row],[PID]],Table3[[#All],[PID]],0)))</f>
        <v>1</v>
      </c>
      <c r="N1030" s="58">
        <f>IF($C1030="B",INDEX(Batters[[#All],[POW P]],MATCH(Table5[[#This Row],[PID]],Batters[[#All],[PID]],0)),INDEX(Table3[[#All],[CON P]],MATCH(Table5[[#This Row],[PID]],Table3[[#All],[PID]],0)))</f>
        <v>2</v>
      </c>
      <c r="O1030" s="58" t="str">
        <f>IF($C1030="B",INDEX(Batters[[#All],[EYE P]],MATCH(Table5[[#This Row],[PID]],Batters[[#All],[PID]],0)),INDEX(Table3[[#All],[VELO]],MATCH(Table5[[#This Row],[PID]],Table3[[#All],[PID]],0)))</f>
        <v>89-91 Mph</v>
      </c>
      <c r="P1030" s="58">
        <f>IF($C1030="B",INDEX(Batters[[#All],[K P]],MATCH(Table5[[#This Row],[PID]],Batters[[#All],[PID]],0)),INDEX(Table3[[#All],[STM]],MATCH(Table5[[#This Row],[PID]],Table3[[#All],[PID]],0)))</f>
        <v>6</v>
      </c>
      <c r="Q1030" s="63">
        <f>IF($C1030="B",INDEX(Batters[[#All],[Tot]],MATCH(Table5[[#This Row],[PID]],Batters[[#All],[PID]],0)),INDEX(Table3[[#All],[Tot]],MATCH(Table5[[#This Row],[PID]],Table3[[#All],[PID]],0)))</f>
        <v>21.615323902722142</v>
      </c>
      <c r="R1030" s="54">
        <f>IF($C1030="B",INDEX(Batters[[#All],[zScore]],MATCH(Table5[[#This Row],[PID]],Batters[[#All],[PID]],0)),INDEX(Table3[[#All],[zScore]],MATCH(Table5[[#This Row],[PID]],Table3[[#All],[PID]],0)))</f>
        <v>-1.0185526734413135</v>
      </c>
      <c r="S1030" s="60" t="str">
        <f>IF($C1030="B",INDEX(Batters[[#All],[DEM]],MATCH(Table5[[#This Row],[PID]],Batters[[#All],[PID]],0)),INDEX(Table3[[#All],[DEM]],MATCH(Table5[[#This Row],[PID]],Table3[[#All],[PID]],0)))</f>
        <v>-</v>
      </c>
      <c r="T1030" s="64">
        <f>IF($C1030="B",VLOOKUP($A1030,Bat!$A$4:$AU$1417,46,FALSE),VLOOKUP($A1030,Pit!$A$4:$BD$570,55,FALSE))</f>
        <v>0</v>
      </c>
      <c r="U1030" s="52">
        <f>IF($C1030="B",VLOOKUP($A1030,Bat!$A$4:$BA$1417,47,FALSE),VLOOKUP($A1030,Pit!$A$4:$BF$570,56,FALSE))</f>
        <v>0</v>
      </c>
      <c r="V1030" s="52">
        <f>IF($C1030="B",VLOOKUP($A1030,Bat!$A$4:$BA$1417,48,FALSE),VLOOKUP($A1030,Pit!$A$4:$BF$570,57,FALSE))</f>
        <v>0</v>
      </c>
      <c r="W1030" s="52">
        <f>Table5[[#This Row],[posRnk]]+Table5[[#This Row],[zRnk]]+IF($W$3&lt;&gt;Table5[[#This Row],[Type]],50,0)</f>
        <v>1076</v>
      </c>
      <c r="X1030" s="53">
        <f>RANK(Table5[[#This Row],[zScore]],Table5[[#All],[zScore]])</f>
        <v>1026</v>
      </c>
      <c r="Y1030" s="52" t="str">
        <f>IFERROR(INDEX(DraftResults[[#All],[OVR]],MATCH(Table5[[#This Row],[PID]],DraftResults[[#All],[Player ID]],0)),"")</f>
        <v/>
      </c>
      <c r="Z10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0" s="52" t="str">
        <f>IFERROR(INDEX(DraftResults[[#All],[Pick in Round]],MATCH(Table5[[#This Row],[PID]],DraftResults[[#All],[Player ID]],0)),"")</f>
        <v/>
      </c>
      <c r="AB1030" s="52" t="str">
        <f>IFERROR(INDEX(DraftResults[[#All],[Team Name]],MATCH(Table5[[#This Row],[PID]],DraftResults[[#All],[Player ID]],0)),"")</f>
        <v/>
      </c>
      <c r="AC1030" s="52" t="str">
        <f>IF(Table5[[#This Row],[Ovr]]="","",IF(Table5[[#This Row],[cmbList]]="","",Table5[[#This Row],[cmbList]]-Table5[[#This Row],[Ovr]]))</f>
        <v/>
      </c>
      <c r="AD1030" s="56" t="str">
        <f>IF(ISERROR(VLOOKUP($AB1030&amp;"-"&amp;$E1030&amp;" "&amp;F1030,Bonuses!$B$1:$G$1006,4,FALSE)),"",INT(VLOOKUP($AB1030&amp;"-"&amp;$E1030&amp;" "&amp;$F1030,Bonuses!$B$1:$G$1006,4,FALSE)))</f>
        <v/>
      </c>
      <c r="AE10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1" spans="1:31" s="52" customFormat="1" x14ac:dyDescent="0.25">
      <c r="A1031" s="52">
        <v>9829</v>
      </c>
      <c r="B1031" s="52">
        <f>COUNTIF(Table5[PID],A1031)</f>
        <v>1</v>
      </c>
      <c r="C1031" s="52" t="str">
        <f>IF(COUNTIF(Table3[[#All],[PID]],A1031)&gt;0,"P","B")</f>
        <v>P</v>
      </c>
      <c r="D1031" s="61" t="str">
        <f>IF($C1031="B",INDEX(Batters[[#All],[POS]],MATCH(Table5[[#This Row],[PID]],Batters[[#All],[PID]],0)),INDEX(Table3[[#All],[POS]],MATCH(Table5[[#This Row],[PID]],Table3[[#All],[PID]],0)))</f>
        <v>SP</v>
      </c>
      <c r="E1031" s="54" t="str">
        <f>IF($C1031="B",INDEX(Batters[[#All],[First]],MATCH(Table5[[#This Row],[PID]],Batters[[#All],[PID]],0)),INDEX(Table3[[#All],[First]],MATCH(Table5[[#This Row],[PID]],Table3[[#All],[PID]],0)))</f>
        <v>Paul</v>
      </c>
      <c r="F1031" s="52" t="str">
        <f>IF($C1031="B",INDEX(Batters[[#All],[Last]],MATCH(A1031,Batters[[#All],[PID]],0)),INDEX(Table3[[#All],[Last]],MATCH(A1031,Table3[[#All],[PID]],0)))</f>
        <v>Goodwin</v>
      </c>
      <c r="G1031" s="58">
        <f>IF($C1031="B",INDEX(Batters[[#All],[Age]],MATCH(Table5[[#This Row],[PID]],Batters[[#All],[PID]],0)),INDEX(Table3[[#All],[Age]],MATCH(Table5[[#This Row],[PID]],Table3[[#All],[PID]],0)))</f>
        <v>21</v>
      </c>
      <c r="H1031" s="54" t="str">
        <f>IF($C1031="B",INDEX(Batters[[#All],[B]],MATCH(Table5[[#This Row],[PID]],Batters[[#All],[PID]],0)),INDEX(Table3[[#All],[B]],MATCH(Table5[[#This Row],[PID]],Table3[[#All],[PID]],0)))</f>
        <v>R</v>
      </c>
      <c r="I1031" s="54" t="str">
        <f>IF($C1031="B",INDEX(Batters[[#All],[T]],MATCH(Table5[[#This Row],[PID]],Batters[[#All],[PID]],0)),INDEX(Table3[[#All],[T]],MATCH(Table5[[#This Row],[PID]],Table3[[#All],[PID]],0)))</f>
        <v>R</v>
      </c>
      <c r="J1031" s="54" t="str">
        <f>IF($C1031="B",INDEX(Batters[[#All],[WE]],MATCH(Table5[[#This Row],[PID]],Batters[[#All],[PID]],0)),INDEX(Table3[[#All],[WE]],MATCH(Table5[[#This Row],[PID]],Table3[[#All],[PID]],0)))</f>
        <v>Low</v>
      </c>
      <c r="K1031" s="54" t="str">
        <f>IF($C1031="B",INDEX(Batters[[#All],[INT]],MATCH(Table5[[#This Row],[PID]],Batters[[#All],[PID]],0)),INDEX(Table3[[#All],[INT]],MATCH(Table5[[#This Row],[PID]],Table3[[#All],[PID]],0)))</f>
        <v>Normal</v>
      </c>
      <c r="L1031" s="62">
        <f>IF($C1031="B",INDEX(Batters[[#All],[CON P]],MATCH(Table5[[#This Row],[PID]],Batters[[#All],[PID]],0)),INDEX(Table3[[#All],[STU P]],MATCH(Table5[[#This Row],[PID]],Table3[[#All],[PID]],0)))</f>
        <v>4</v>
      </c>
      <c r="M1031" s="58">
        <f>IF($C1031="B",INDEX(Batters[[#All],[GAP P]],MATCH(Table5[[#This Row],[PID]],Batters[[#All],[PID]],0)),INDEX(Table3[[#All],[MOV P]],MATCH(Table5[[#This Row],[PID]],Table3[[#All],[PID]],0)))</f>
        <v>1</v>
      </c>
      <c r="N1031" s="58">
        <f>IF($C1031="B",INDEX(Batters[[#All],[POW P]],MATCH(Table5[[#This Row],[PID]],Batters[[#All],[PID]],0)),INDEX(Table3[[#All],[CON P]],MATCH(Table5[[#This Row],[PID]],Table3[[#All],[PID]],0)))</f>
        <v>2</v>
      </c>
      <c r="O1031" s="58" t="str">
        <f>IF($C1031="B",INDEX(Batters[[#All],[EYE P]],MATCH(Table5[[#This Row],[PID]],Batters[[#All],[PID]],0)),INDEX(Table3[[#All],[VELO]],MATCH(Table5[[#This Row],[PID]],Table3[[#All],[PID]],0)))</f>
        <v>91-93 Mph</v>
      </c>
      <c r="P1031" s="58">
        <f>IF($C1031="B",INDEX(Batters[[#All],[K P]],MATCH(Table5[[#This Row],[PID]],Batters[[#All],[PID]],0)),INDEX(Table3[[#All],[STM]],MATCH(Table5[[#This Row],[PID]],Table3[[#All],[PID]],0)))</f>
        <v>7</v>
      </c>
      <c r="Q1031" s="63">
        <f>IF($C1031="B",INDEX(Batters[[#All],[Tot]],MATCH(Table5[[#This Row],[PID]],Batters[[#All],[PID]],0)),INDEX(Table3[[#All],[Tot]],MATCH(Table5[[#This Row],[PID]],Table3[[#All],[PID]],0)))</f>
        <v>21.606742464330399</v>
      </c>
      <c r="R1031" s="54">
        <f>IF($C1031="B",INDEX(Batters[[#All],[zScore]],MATCH(Table5[[#This Row],[PID]],Batters[[#All],[PID]],0)),INDEX(Table3[[#All],[zScore]],MATCH(Table5[[#This Row],[PID]],Table3[[#All],[PID]],0)))</f>
        <v>-1.0193396280196751</v>
      </c>
      <c r="S1031" s="60" t="str">
        <f>IF($C1031="B",INDEX(Batters[[#All],[DEM]],MATCH(Table5[[#This Row],[PID]],Batters[[#All],[PID]],0)),INDEX(Table3[[#All],[DEM]],MATCH(Table5[[#This Row],[PID]],Table3[[#All],[PID]],0)))</f>
        <v>-</v>
      </c>
      <c r="T1031" s="64">
        <f>IF($C1031="B",VLOOKUP($A1031,Bat!$A$4:$AU$1417,46,FALSE),VLOOKUP($A1031,Pit!$A$4:$BD$570,55,FALSE))</f>
        <v>0</v>
      </c>
      <c r="U1031" s="52">
        <f>IF($C1031="B",VLOOKUP($A1031,Bat!$A$4:$BA$1417,47,FALSE),VLOOKUP($A1031,Pit!$A$4:$BF$570,56,FALSE))</f>
        <v>0</v>
      </c>
      <c r="V1031" s="52">
        <f>IF($C1031="B",VLOOKUP($A1031,Bat!$A$4:$BA$1417,48,FALSE),VLOOKUP($A1031,Pit!$A$4:$BF$570,57,FALSE))</f>
        <v>0</v>
      </c>
      <c r="W1031" s="52">
        <f>Table5[[#This Row],[posRnk]]+Table5[[#This Row],[zRnk]]+IF($W$3&lt;&gt;Table5[[#This Row],[Type]],50,0)</f>
        <v>1077</v>
      </c>
      <c r="X1031" s="53">
        <f>RANK(Table5[[#This Row],[zScore]],Table5[[#All],[zScore]])</f>
        <v>1027</v>
      </c>
      <c r="Y1031" s="52" t="str">
        <f>IFERROR(INDEX(DraftResults[[#All],[OVR]],MATCH(Table5[[#This Row],[PID]],DraftResults[[#All],[Player ID]],0)),"")</f>
        <v/>
      </c>
      <c r="Z10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1" s="52" t="str">
        <f>IFERROR(INDEX(DraftResults[[#All],[Pick in Round]],MATCH(Table5[[#This Row],[PID]],DraftResults[[#All],[Player ID]],0)),"")</f>
        <v/>
      </c>
      <c r="AB1031" s="52" t="str">
        <f>IFERROR(INDEX(DraftResults[[#All],[Team Name]],MATCH(Table5[[#This Row],[PID]],DraftResults[[#All],[Player ID]],0)),"")</f>
        <v/>
      </c>
      <c r="AC1031" s="52" t="str">
        <f>IF(Table5[[#This Row],[Ovr]]="","",IF(Table5[[#This Row],[cmbList]]="","",Table5[[#This Row],[cmbList]]-Table5[[#This Row],[Ovr]]))</f>
        <v/>
      </c>
      <c r="AD1031" s="56" t="str">
        <f>IF(ISERROR(VLOOKUP($AB1031&amp;"-"&amp;$E1031&amp;" "&amp;F1031,Bonuses!$B$1:$G$1006,4,FALSE)),"",INT(VLOOKUP($AB1031&amp;"-"&amp;$E1031&amp;" "&amp;$F1031,Bonuses!$B$1:$G$1006,4,FALSE)))</f>
        <v/>
      </c>
      <c r="AE10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2" spans="1:31" s="52" customFormat="1" x14ac:dyDescent="0.25">
      <c r="A1032" s="52">
        <v>11558</v>
      </c>
      <c r="B1032" s="52">
        <f>COUNTIF(Table5[PID],A1032)</f>
        <v>1</v>
      </c>
      <c r="C1032" s="52" t="str">
        <f>IF(COUNTIF(Table3[[#All],[PID]],A1032)&gt;0,"P","B")</f>
        <v>B</v>
      </c>
      <c r="D1032" s="61" t="str">
        <f>IF($C1032="B",INDEX(Batters[[#All],[POS]],MATCH(Table5[[#This Row],[PID]],Batters[[#All],[PID]],0)),INDEX(Table3[[#All],[POS]],MATCH(Table5[[#This Row],[PID]],Table3[[#All],[PID]],0)))</f>
        <v>1B</v>
      </c>
      <c r="E1032" s="54" t="str">
        <f>IF($C1032="B",INDEX(Batters[[#All],[First]],MATCH(Table5[[#This Row],[PID]],Batters[[#All],[PID]],0)),INDEX(Table3[[#All],[First]],MATCH(Table5[[#This Row],[PID]],Table3[[#All],[PID]],0)))</f>
        <v>Emílio</v>
      </c>
      <c r="F1032" s="52" t="str">
        <f>IF($C1032="B",INDEX(Batters[[#All],[Last]],MATCH(A1032,Batters[[#All],[PID]],0)),INDEX(Table3[[#All],[Last]],MATCH(A1032,Table3[[#All],[PID]],0)))</f>
        <v>Soto</v>
      </c>
      <c r="G1032" s="58">
        <f>IF($C1032="B",INDEX(Batters[[#All],[Age]],MATCH(Table5[[#This Row],[PID]],Batters[[#All],[PID]],0)),INDEX(Table3[[#All],[Age]],MATCH(Table5[[#This Row],[PID]],Table3[[#All],[PID]],0)))</f>
        <v>22</v>
      </c>
      <c r="H1032" s="54" t="str">
        <f>IF($C1032="B",INDEX(Batters[[#All],[B]],MATCH(Table5[[#This Row],[PID]],Batters[[#All],[PID]],0)),INDEX(Table3[[#All],[B]],MATCH(Table5[[#This Row],[PID]],Table3[[#All],[PID]],0)))</f>
        <v>L</v>
      </c>
      <c r="I1032" s="54" t="str">
        <f>IF($C1032="B",INDEX(Batters[[#All],[T]],MATCH(Table5[[#This Row],[PID]],Batters[[#All],[PID]],0)),INDEX(Table3[[#All],[T]],MATCH(Table5[[#This Row],[PID]],Table3[[#All],[PID]],0)))</f>
        <v>L</v>
      </c>
      <c r="J1032" s="54" t="str">
        <f>IF($C1032="B",INDEX(Batters[[#All],[WE]],MATCH(Table5[[#This Row],[PID]],Batters[[#All],[PID]],0)),INDEX(Table3[[#All],[WE]],MATCH(Table5[[#This Row],[PID]],Table3[[#All],[PID]],0)))</f>
        <v>Normal</v>
      </c>
      <c r="K1032" s="54" t="str">
        <f>IF($C1032="B",INDEX(Batters[[#All],[INT]],MATCH(Table5[[#This Row],[PID]],Batters[[#All],[PID]],0)),INDEX(Table3[[#All],[INT]],MATCH(Table5[[#This Row],[PID]],Table3[[#All],[PID]],0)))</f>
        <v>Normal</v>
      </c>
      <c r="L1032" s="62">
        <f>IF($C1032="B",INDEX(Batters[[#All],[CON P]],MATCH(Table5[[#This Row],[PID]],Batters[[#All],[PID]],0)),INDEX(Table3[[#All],[STU P]],MATCH(Table5[[#This Row],[PID]],Table3[[#All],[PID]],0)))</f>
        <v>4</v>
      </c>
      <c r="M1032" s="58">
        <f>IF($C1032="B",INDEX(Batters[[#All],[GAP P]],MATCH(Table5[[#This Row],[PID]],Batters[[#All],[PID]],0)),INDEX(Table3[[#All],[MOV P]],MATCH(Table5[[#This Row],[PID]],Table3[[#All],[PID]],0)))</f>
        <v>2</v>
      </c>
      <c r="N1032" s="58">
        <f>IF($C1032="B",INDEX(Batters[[#All],[POW P]],MATCH(Table5[[#This Row],[PID]],Batters[[#All],[PID]],0)),INDEX(Table3[[#All],[CON P]],MATCH(Table5[[#This Row],[PID]],Table3[[#All],[PID]],0)))</f>
        <v>2</v>
      </c>
      <c r="O1032" s="58">
        <f>IF($C1032="B",INDEX(Batters[[#All],[EYE P]],MATCH(Table5[[#This Row],[PID]],Batters[[#All],[PID]],0)),INDEX(Table3[[#All],[VELO]],MATCH(Table5[[#This Row],[PID]],Table3[[#All],[PID]],0)))</f>
        <v>1</v>
      </c>
      <c r="P1032" s="58">
        <f>IF($C1032="B",INDEX(Batters[[#All],[K P]],MATCH(Table5[[#This Row],[PID]],Batters[[#All],[PID]],0)),INDEX(Table3[[#All],[STM]],MATCH(Table5[[#This Row],[PID]],Table3[[#All],[PID]],0)))</f>
        <v>4</v>
      </c>
      <c r="Q1032" s="63">
        <f>IF($C1032="B",INDEX(Batters[[#All],[Tot]],MATCH(Table5[[#This Row],[PID]],Batters[[#All],[PID]],0)),INDEX(Table3[[#All],[Tot]],MATCH(Table5[[#This Row],[PID]],Table3[[#All],[PID]],0)))</f>
        <v>34.523425226095441</v>
      </c>
      <c r="R1032" s="54">
        <f>IF($C1032="B",INDEX(Batters[[#All],[zScore]],MATCH(Table5[[#This Row],[PID]],Batters[[#All],[PID]],0)),INDEX(Table3[[#All],[zScore]],MATCH(Table5[[#This Row],[PID]],Table3[[#All],[PID]],0)))</f>
        <v>-1.0248387406025896</v>
      </c>
      <c r="S1032" s="60" t="str">
        <f>IF($C1032="B",INDEX(Batters[[#All],[DEM]],MATCH(Table5[[#This Row],[PID]],Batters[[#All],[PID]],0)),INDEX(Table3[[#All],[DEM]],MATCH(Table5[[#This Row],[PID]],Table3[[#All],[PID]],0)))</f>
        <v>-</v>
      </c>
      <c r="T1032" s="64">
        <f>IF($C1032="B",VLOOKUP($A1032,Bat!$A$4:$AU$1417,46,FALSE),VLOOKUP($A1032,Pit!$A$4:$BD$570,55,FALSE))</f>
        <v>0</v>
      </c>
      <c r="U1032" s="52">
        <f>IF($C1032="B",VLOOKUP($A1032,Bat!$A$4:$BA$1417,47,FALSE),VLOOKUP($A1032,Pit!$A$4:$BF$570,56,FALSE))</f>
        <v>0</v>
      </c>
      <c r="V1032" s="52">
        <f>IF($C1032="B",VLOOKUP($A1032,Bat!$A$4:$BA$1417,48,FALSE),VLOOKUP($A1032,Pit!$A$4:$BF$570,57,FALSE))</f>
        <v>0</v>
      </c>
      <c r="W1032" s="52">
        <f>Table5[[#This Row],[posRnk]]+Table5[[#This Row],[zRnk]]+IF($W$3&lt;&gt;Table5[[#This Row],[Type]],50,0)</f>
        <v>1078</v>
      </c>
      <c r="X1032" s="53">
        <f>RANK(Table5[[#This Row],[zScore]],Table5[[#All],[zScore]])</f>
        <v>1028</v>
      </c>
      <c r="Y1032" s="52" t="str">
        <f>IFERROR(INDEX(DraftResults[[#All],[OVR]],MATCH(Table5[[#This Row],[PID]],DraftResults[[#All],[Player ID]],0)),"")</f>
        <v/>
      </c>
      <c r="Z10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2" s="52" t="str">
        <f>IFERROR(INDEX(DraftResults[[#All],[Pick in Round]],MATCH(Table5[[#This Row],[PID]],DraftResults[[#All],[Player ID]],0)),"")</f>
        <v/>
      </c>
      <c r="AB1032" s="52" t="str">
        <f>IFERROR(INDEX(DraftResults[[#All],[Team Name]],MATCH(Table5[[#This Row],[PID]],DraftResults[[#All],[Player ID]],0)),"")</f>
        <v/>
      </c>
      <c r="AC1032" s="52" t="str">
        <f>IF(Table5[[#This Row],[Ovr]]="","",IF(Table5[[#This Row],[cmbList]]="","",Table5[[#This Row],[cmbList]]-Table5[[#This Row],[Ovr]]))</f>
        <v/>
      </c>
      <c r="AD1032" s="56" t="str">
        <f>IF(ISERROR(VLOOKUP($AB1032&amp;"-"&amp;$E1032&amp;" "&amp;F1032,Bonuses!$B$1:$G$1006,4,FALSE)),"",INT(VLOOKUP($AB1032&amp;"-"&amp;$E1032&amp;" "&amp;$F1032,Bonuses!$B$1:$G$1006,4,FALSE)))</f>
        <v/>
      </c>
      <c r="AE10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3" spans="1:31" s="52" customFormat="1" x14ac:dyDescent="0.25">
      <c r="A1033" s="52">
        <v>7932</v>
      </c>
      <c r="B1033" s="52">
        <f>COUNTIF(Table5[PID],A1033)</f>
        <v>1</v>
      </c>
      <c r="C1033" s="52" t="str">
        <f>IF(COUNTIF(Table3[[#All],[PID]],A1033)&gt;0,"P","B")</f>
        <v>P</v>
      </c>
      <c r="D1033" s="61" t="str">
        <f>IF($C1033="B",INDEX(Batters[[#All],[POS]],MATCH(Table5[[#This Row],[PID]],Batters[[#All],[PID]],0)),INDEX(Table3[[#All],[POS]],MATCH(Table5[[#This Row],[PID]],Table3[[#All],[PID]],0)))</f>
        <v>RP</v>
      </c>
      <c r="E1033" s="54" t="str">
        <f>IF($C1033="B",INDEX(Batters[[#All],[First]],MATCH(Table5[[#This Row],[PID]],Batters[[#All],[PID]],0)),INDEX(Table3[[#All],[First]],MATCH(Table5[[#This Row],[PID]],Table3[[#All],[PID]],0)))</f>
        <v>Christian</v>
      </c>
      <c r="F1033" s="52" t="str">
        <f>IF($C1033="B",INDEX(Batters[[#All],[Last]],MATCH(A1033,Batters[[#All],[PID]],0)),INDEX(Table3[[#All],[Last]],MATCH(A1033,Table3[[#All],[PID]],0)))</f>
        <v>Summers</v>
      </c>
      <c r="G1033" s="58">
        <f>IF($C1033="B",INDEX(Batters[[#All],[Age]],MATCH(Table5[[#This Row],[PID]],Batters[[#All],[PID]],0)),INDEX(Table3[[#All],[Age]],MATCH(Table5[[#This Row],[PID]],Table3[[#All],[PID]],0)))</f>
        <v>18</v>
      </c>
      <c r="H1033" s="54" t="str">
        <f>IF($C1033="B",INDEX(Batters[[#All],[B]],MATCH(Table5[[#This Row],[PID]],Batters[[#All],[PID]],0)),INDEX(Table3[[#All],[B]],MATCH(Table5[[#This Row],[PID]],Table3[[#All],[PID]],0)))</f>
        <v>R</v>
      </c>
      <c r="I1033" s="54" t="str">
        <f>IF($C1033="B",INDEX(Batters[[#All],[T]],MATCH(Table5[[#This Row],[PID]],Batters[[#All],[PID]],0)),INDEX(Table3[[#All],[T]],MATCH(Table5[[#This Row],[PID]],Table3[[#All],[PID]],0)))</f>
        <v>R</v>
      </c>
      <c r="J1033" s="54" t="str">
        <f>IF($C1033="B",INDEX(Batters[[#All],[WE]],MATCH(Table5[[#This Row],[PID]],Batters[[#All],[PID]],0)),INDEX(Table3[[#All],[WE]],MATCH(Table5[[#This Row],[PID]],Table3[[#All],[PID]],0)))</f>
        <v>Normal</v>
      </c>
      <c r="K1033" s="54" t="str">
        <f>IF($C1033="B",INDEX(Batters[[#All],[INT]],MATCH(Table5[[#This Row],[PID]],Batters[[#All],[PID]],0)),INDEX(Table3[[#All],[INT]],MATCH(Table5[[#This Row],[PID]],Table3[[#All],[PID]],0)))</f>
        <v>Normal</v>
      </c>
      <c r="L1033" s="62">
        <f>IF($C1033="B",INDEX(Batters[[#All],[CON P]],MATCH(Table5[[#This Row],[PID]],Batters[[#All],[PID]],0)),INDEX(Table3[[#All],[STU P]],MATCH(Table5[[#This Row],[PID]],Table3[[#All],[PID]],0)))</f>
        <v>3</v>
      </c>
      <c r="M1033" s="58">
        <f>IF($C1033="B",INDEX(Batters[[#All],[GAP P]],MATCH(Table5[[#This Row],[PID]],Batters[[#All],[PID]],0)),INDEX(Table3[[#All],[MOV P]],MATCH(Table5[[#This Row],[PID]],Table3[[#All],[PID]],0)))</f>
        <v>1</v>
      </c>
      <c r="N1033" s="58">
        <f>IF($C1033="B",INDEX(Batters[[#All],[POW P]],MATCH(Table5[[#This Row],[PID]],Batters[[#All],[PID]],0)),INDEX(Table3[[#All],[CON P]],MATCH(Table5[[#This Row],[PID]],Table3[[#All],[PID]],0)))</f>
        <v>2</v>
      </c>
      <c r="O1033" s="58" t="str">
        <f>IF($C1033="B",INDEX(Batters[[#All],[EYE P]],MATCH(Table5[[#This Row],[PID]],Batters[[#All],[PID]],0)),INDEX(Table3[[#All],[VELO]],MATCH(Table5[[#This Row],[PID]],Table3[[#All],[PID]],0)))</f>
        <v>84-86 Mph</v>
      </c>
      <c r="P1033" s="58">
        <f>IF($C1033="B",INDEX(Batters[[#All],[K P]],MATCH(Table5[[#This Row],[PID]],Batters[[#All],[PID]],0)),INDEX(Table3[[#All],[STM]],MATCH(Table5[[#This Row],[PID]],Table3[[#All],[PID]],0)))</f>
        <v>4</v>
      </c>
      <c r="Q1033" s="63">
        <f>IF($C1033="B",INDEX(Batters[[#All],[Tot]],MATCH(Table5[[#This Row],[PID]],Batters[[#All],[PID]],0)),INDEX(Table3[[#All],[Tot]],MATCH(Table5[[#This Row],[PID]],Table3[[#All],[PID]],0)))</f>
        <v>18.686500941404557</v>
      </c>
      <c r="R1033" s="54">
        <f>IF($C1033="B",INDEX(Batters[[#All],[zScore]],MATCH(Table5[[#This Row],[PID]],Batters[[#All],[PID]],0)),INDEX(Table3[[#All],[zScore]],MATCH(Table5[[#This Row],[PID]],Table3[[#All],[PID]],0)))</f>
        <v>-1.026184771723841</v>
      </c>
      <c r="S1033" s="60" t="str">
        <f>IF($C1033="B",INDEX(Batters[[#All],[DEM]],MATCH(Table5[[#This Row],[PID]],Batters[[#All],[PID]],0)),INDEX(Table3[[#All],[DEM]],MATCH(Table5[[#This Row],[PID]],Table3[[#All],[PID]],0)))</f>
        <v>$75k</v>
      </c>
      <c r="T1033" s="64" t="e">
        <f>IF($C1033="B",VLOOKUP($A1033,Bat!$A$4:$AU$1417,46,FALSE),VLOOKUP($A1033,Pit!$A$4:$BD$570,55,FALSE))</f>
        <v>#N/A</v>
      </c>
      <c r="U1033" s="52" t="e">
        <f>IF($C1033="B",VLOOKUP($A1033,Bat!$A$4:$BA$1417,47,FALSE),VLOOKUP($A1033,Pit!$A$4:$BF$570,56,FALSE))</f>
        <v>#N/A</v>
      </c>
      <c r="V1033" s="52" t="e">
        <f>IF($C1033="B",VLOOKUP($A1033,Bat!$A$4:$BA$1417,48,FALSE),VLOOKUP($A1033,Pit!$A$4:$BF$570,57,FALSE))</f>
        <v>#N/A</v>
      </c>
      <c r="W1033" s="52" t="e">
        <f>Table5[[#This Row],[posRnk]]+Table5[[#This Row],[zRnk]]+IF($W$3&lt;&gt;Table5[[#This Row],[Type]],50,0)</f>
        <v>#N/A</v>
      </c>
      <c r="X1033" s="53">
        <f>RANK(Table5[[#This Row],[zScore]],Table5[[#All],[zScore]])</f>
        <v>1029</v>
      </c>
      <c r="Y1033" s="52" t="str">
        <f>IFERROR(INDEX(DraftResults[[#All],[OVR]],MATCH(Table5[[#This Row],[PID]],DraftResults[[#All],[Player ID]],0)),"")</f>
        <v/>
      </c>
      <c r="Z10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3" s="52" t="str">
        <f>IFERROR(INDEX(DraftResults[[#All],[Pick in Round]],MATCH(Table5[[#This Row],[PID]],DraftResults[[#All],[Player ID]],0)),"")</f>
        <v/>
      </c>
      <c r="AB1033" s="52" t="str">
        <f>IFERROR(INDEX(DraftResults[[#All],[Team Name]],MATCH(Table5[[#This Row],[PID]],DraftResults[[#All],[Player ID]],0)),"")</f>
        <v/>
      </c>
      <c r="AC1033" s="52" t="str">
        <f>IF(Table5[[#This Row],[Ovr]]="","",IF(Table5[[#This Row],[cmbList]]="","",Table5[[#This Row],[cmbList]]-Table5[[#This Row],[Ovr]]))</f>
        <v/>
      </c>
      <c r="AD1033" s="56" t="str">
        <f>IF(ISERROR(VLOOKUP($AB1033&amp;"-"&amp;$E1033&amp;" "&amp;F1033,Bonuses!$B$1:$G$1006,4,FALSE)),"",INT(VLOOKUP($AB1033&amp;"-"&amp;$E1033&amp;" "&amp;$F1033,Bonuses!$B$1:$G$1006,4,FALSE)))</f>
        <v/>
      </c>
      <c r="AE10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4" spans="1:31" s="52" customFormat="1" x14ac:dyDescent="0.25">
      <c r="A1034" s="52">
        <v>8488</v>
      </c>
      <c r="B1034" s="52">
        <f>COUNTIF(Table5[PID],A1034)</f>
        <v>1</v>
      </c>
      <c r="C1034" s="52" t="str">
        <f>IF(COUNTIF(Table3[[#All],[PID]],A1034)&gt;0,"P","B")</f>
        <v>P</v>
      </c>
      <c r="D1034" s="61" t="str">
        <f>IF($C1034="B",INDEX(Batters[[#All],[POS]],MATCH(Table5[[#This Row],[PID]],Batters[[#All],[PID]],0)),INDEX(Table3[[#All],[POS]],MATCH(Table5[[#This Row],[PID]],Table3[[#All],[PID]],0)))</f>
        <v>RP</v>
      </c>
      <c r="E1034" s="54" t="str">
        <f>IF($C1034="B",INDEX(Batters[[#All],[First]],MATCH(Table5[[#This Row],[PID]],Batters[[#All],[PID]],0)),INDEX(Table3[[#All],[First]],MATCH(Table5[[#This Row],[PID]],Table3[[#All],[PID]],0)))</f>
        <v>Marvin</v>
      </c>
      <c r="F1034" s="52" t="str">
        <f>IF($C1034="B",INDEX(Batters[[#All],[Last]],MATCH(A1034,Batters[[#All],[PID]],0)),INDEX(Table3[[#All],[Last]],MATCH(A1034,Table3[[#All],[PID]],0)))</f>
        <v>Pendle</v>
      </c>
      <c r="G1034" s="58">
        <f>IF($C1034="B",INDEX(Batters[[#All],[Age]],MATCH(Table5[[#This Row],[PID]],Batters[[#All],[PID]],0)),INDEX(Table3[[#All],[Age]],MATCH(Table5[[#This Row],[PID]],Table3[[#All],[PID]],0)))</f>
        <v>21</v>
      </c>
      <c r="H1034" s="54" t="str">
        <f>IF($C1034="B",INDEX(Batters[[#All],[B]],MATCH(Table5[[#This Row],[PID]],Batters[[#All],[PID]],0)),INDEX(Table3[[#All],[B]],MATCH(Table5[[#This Row],[PID]],Table3[[#All],[PID]],0)))</f>
        <v>R</v>
      </c>
      <c r="I1034" s="54" t="str">
        <f>IF($C1034="B",INDEX(Batters[[#All],[T]],MATCH(Table5[[#This Row],[PID]],Batters[[#All],[PID]],0)),INDEX(Table3[[#All],[T]],MATCH(Table5[[#This Row],[PID]],Table3[[#All],[PID]],0)))</f>
        <v>R</v>
      </c>
      <c r="J1034" s="54" t="str">
        <f>IF($C1034="B",INDEX(Batters[[#All],[WE]],MATCH(Table5[[#This Row],[PID]],Batters[[#All],[PID]],0)),INDEX(Table3[[#All],[WE]],MATCH(Table5[[#This Row],[PID]],Table3[[#All],[PID]],0)))</f>
        <v>Low</v>
      </c>
      <c r="K1034" s="54" t="str">
        <f>IF($C1034="B",INDEX(Batters[[#All],[INT]],MATCH(Table5[[#This Row],[PID]],Batters[[#All],[PID]],0)),INDEX(Table3[[#All],[INT]],MATCH(Table5[[#This Row],[PID]],Table3[[#All],[PID]],0)))</f>
        <v>Normal</v>
      </c>
      <c r="L1034" s="62">
        <f>IF($C1034="B",INDEX(Batters[[#All],[CON P]],MATCH(Table5[[#This Row],[PID]],Batters[[#All],[PID]],0)),INDEX(Table3[[#All],[STU P]],MATCH(Table5[[#This Row],[PID]],Table3[[#All],[PID]],0)))</f>
        <v>4</v>
      </c>
      <c r="M1034" s="58">
        <f>IF($C1034="B",INDEX(Batters[[#All],[GAP P]],MATCH(Table5[[#This Row],[PID]],Batters[[#All],[PID]],0)),INDEX(Table3[[#All],[MOV P]],MATCH(Table5[[#This Row],[PID]],Table3[[#All],[PID]],0)))</f>
        <v>1</v>
      </c>
      <c r="N1034" s="58">
        <f>IF($C1034="B",INDEX(Batters[[#All],[POW P]],MATCH(Table5[[#This Row],[PID]],Batters[[#All],[PID]],0)),INDEX(Table3[[#All],[CON P]],MATCH(Table5[[#This Row],[PID]],Table3[[#All],[PID]],0)))</f>
        <v>2</v>
      </c>
      <c r="O1034" s="58" t="str">
        <f>IF($C1034="B",INDEX(Batters[[#All],[EYE P]],MATCH(Table5[[#This Row],[PID]],Batters[[#All],[PID]],0)),INDEX(Table3[[#All],[VELO]],MATCH(Table5[[#This Row],[PID]],Table3[[#All],[PID]],0)))</f>
        <v>85-87 Mph</v>
      </c>
      <c r="P1034" s="58">
        <f>IF($C1034="B",INDEX(Batters[[#All],[K P]],MATCH(Table5[[#This Row],[PID]],Batters[[#All],[PID]],0)),INDEX(Table3[[#All],[STM]],MATCH(Table5[[#This Row],[PID]],Table3[[#All],[PID]],0)))</f>
        <v>7</v>
      </c>
      <c r="Q1034" s="63">
        <f>IF($C1034="B",INDEX(Batters[[#All],[Tot]],MATCH(Table5[[#This Row],[PID]],Batters[[#All],[PID]],0)),INDEX(Table3[[#All],[Tot]],MATCH(Table5[[#This Row],[PID]],Table3[[#All],[PID]],0)))</f>
        <v>21.523905341113881</v>
      </c>
      <c r="R1034" s="54">
        <f>IF($C1034="B",INDEX(Batters[[#All],[zScore]],MATCH(Table5[[#This Row],[PID]],Batters[[#All],[PID]],0)),INDEX(Table3[[#All],[zScore]],MATCH(Table5[[#This Row],[PID]],Table3[[#All],[PID]],0)))</f>
        <v>-1.0269361462719355</v>
      </c>
      <c r="S1034" s="60" t="str">
        <f>IF($C1034="B",INDEX(Batters[[#All],[DEM]],MATCH(Table5[[#This Row],[PID]],Batters[[#All],[PID]],0)),INDEX(Table3[[#All],[DEM]],MATCH(Table5[[#This Row],[PID]],Table3[[#All],[PID]],0)))</f>
        <v>$20k</v>
      </c>
      <c r="T1034" s="64">
        <f>IF($C1034="B",VLOOKUP($A1034,Bat!$A$4:$AU$1417,46,FALSE),VLOOKUP($A1034,Pit!$A$4:$BD$570,55,FALSE))</f>
        <v>0</v>
      </c>
      <c r="U1034" s="52">
        <f>IF($C1034="B",VLOOKUP($A1034,Bat!$A$4:$BA$1417,47,FALSE),VLOOKUP($A1034,Pit!$A$4:$BF$570,56,FALSE))</f>
        <v>0</v>
      </c>
      <c r="V1034" s="52">
        <f>IF($C1034="B",VLOOKUP($A1034,Bat!$A$4:$BA$1417,48,FALSE),VLOOKUP($A1034,Pit!$A$4:$BF$570,57,FALSE))</f>
        <v>0</v>
      </c>
      <c r="W1034" s="52">
        <f>Table5[[#This Row],[posRnk]]+Table5[[#This Row],[zRnk]]+IF($W$3&lt;&gt;Table5[[#This Row],[Type]],50,0)</f>
        <v>1080</v>
      </c>
      <c r="X1034" s="53">
        <f>RANK(Table5[[#This Row],[zScore]],Table5[[#All],[zScore]])</f>
        <v>1030</v>
      </c>
      <c r="Y1034" s="52" t="str">
        <f>IFERROR(INDEX(DraftResults[[#All],[OVR]],MATCH(Table5[[#This Row],[PID]],DraftResults[[#All],[Player ID]],0)),"")</f>
        <v/>
      </c>
      <c r="Z10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4" s="52" t="str">
        <f>IFERROR(INDEX(DraftResults[[#All],[Pick in Round]],MATCH(Table5[[#This Row],[PID]],DraftResults[[#All],[Player ID]],0)),"")</f>
        <v/>
      </c>
      <c r="AB1034" s="52" t="str">
        <f>IFERROR(INDEX(DraftResults[[#All],[Team Name]],MATCH(Table5[[#This Row],[PID]],DraftResults[[#All],[Player ID]],0)),"")</f>
        <v/>
      </c>
      <c r="AC1034" s="52" t="str">
        <f>IF(Table5[[#This Row],[Ovr]]="","",IF(Table5[[#This Row],[cmbList]]="","",Table5[[#This Row],[cmbList]]-Table5[[#This Row],[Ovr]]))</f>
        <v/>
      </c>
      <c r="AD1034" s="56" t="str">
        <f>IF(ISERROR(VLOOKUP($AB1034&amp;"-"&amp;$E1034&amp;" "&amp;F1034,Bonuses!$B$1:$G$1006,4,FALSE)),"",INT(VLOOKUP($AB1034&amp;"-"&amp;$E1034&amp;" "&amp;$F1034,Bonuses!$B$1:$G$1006,4,FALSE)))</f>
        <v/>
      </c>
      <c r="AE10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5" spans="1:31" s="52" customFormat="1" x14ac:dyDescent="0.25">
      <c r="A1035" s="52">
        <v>12099</v>
      </c>
      <c r="B1035" s="52">
        <f>COUNTIF(Table5[PID],A1035)</f>
        <v>1</v>
      </c>
      <c r="C1035" s="52" t="str">
        <f>IF(COUNTIF(Table3[[#All],[PID]],A1035)&gt;0,"P","B")</f>
        <v>B</v>
      </c>
      <c r="D1035" s="61" t="str">
        <f>IF($C1035="B",INDEX(Batters[[#All],[POS]],MATCH(Table5[[#This Row],[PID]],Batters[[#All],[PID]],0)),INDEX(Table3[[#All],[POS]],MATCH(Table5[[#This Row],[PID]],Table3[[#All],[PID]],0)))</f>
        <v>3B</v>
      </c>
      <c r="E1035" s="54" t="str">
        <f>IF($C1035="B",INDEX(Batters[[#All],[First]],MATCH(Table5[[#This Row],[PID]],Batters[[#All],[PID]],0)),INDEX(Table3[[#All],[First]],MATCH(Table5[[#This Row],[PID]],Table3[[#All],[PID]],0)))</f>
        <v>Hubert</v>
      </c>
      <c r="F1035" s="52" t="str">
        <f>IF($C1035="B",INDEX(Batters[[#All],[Last]],MATCH(A1035,Batters[[#All],[PID]],0)),INDEX(Table3[[#All],[Last]],MATCH(A1035,Table3[[#All],[PID]],0)))</f>
        <v>Caldwell</v>
      </c>
      <c r="G1035" s="58">
        <f>IF($C1035="B",INDEX(Batters[[#All],[Age]],MATCH(Table5[[#This Row],[PID]],Batters[[#All],[PID]],0)),INDEX(Table3[[#All],[Age]],MATCH(Table5[[#This Row],[PID]],Table3[[#All],[PID]],0)))</f>
        <v>21</v>
      </c>
      <c r="H1035" s="54" t="str">
        <f>IF($C1035="B",INDEX(Batters[[#All],[B]],MATCH(Table5[[#This Row],[PID]],Batters[[#All],[PID]],0)),INDEX(Table3[[#All],[B]],MATCH(Table5[[#This Row],[PID]],Table3[[#All],[PID]],0)))</f>
        <v>R</v>
      </c>
      <c r="I1035" s="54" t="str">
        <f>IF($C1035="B",INDEX(Batters[[#All],[T]],MATCH(Table5[[#This Row],[PID]],Batters[[#All],[PID]],0)),INDEX(Table3[[#All],[T]],MATCH(Table5[[#This Row],[PID]],Table3[[#All],[PID]],0)))</f>
        <v>R</v>
      </c>
      <c r="J1035" s="54" t="str">
        <f>IF($C1035="B",INDEX(Batters[[#All],[WE]],MATCH(Table5[[#This Row],[PID]],Batters[[#All],[PID]],0)),INDEX(Table3[[#All],[WE]],MATCH(Table5[[#This Row],[PID]],Table3[[#All],[PID]],0)))</f>
        <v>Normal</v>
      </c>
      <c r="K1035" s="54" t="str">
        <f>IF($C1035="B",INDEX(Batters[[#All],[INT]],MATCH(Table5[[#This Row],[PID]],Batters[[#All],[PID]],0)),INDEX(Table3[[#All],[INT]],MATCH(Table5[[#This Row],[PID]],Table3[[#All],[PID]],0)))</f>
        <v>Normal</v>
      </c>
      <c r="L1035" s="62">
        <f>IF($C1035="B",INDEX(Batters[[#All],[CON P]],MATCH(Table5[[#This Row],[PID]],Batters[[#All],[PID]],0)),INDEX(Table3[[#All],[STU P]],MATCH(Table5[[#This Row],[PID]],Table3[[#All],[PID]],0)))</f>
        <v>2</v>
      </c>
      <c r="M1035" s="58">
        <f>IF($C1035="B",INDEX(Batters[[#All],[GAP P]],MATCH(Table5[[#This Row],[PID]],Batters[[#All],[PID]],0)),INDEX(Table3[[#All],[MOV P]],MATCH(Table5[[#This Row],[PID]],Table3[[#All],[PID]],0)))</f>
        <v>3</v>
      </c>
      <c r="N1035" s="58">
        <f>IF($C1035="B",INDEX(Batters[[#All],[POW P]],MATCH(Table5[[#This Row],[PID]],Batters[[#All],[PID]],0)),INDEX(Table3[[#All],[CON P]],MATCH(Table5[[#This Row],[PID]],Table3[[#All],[PID]],0)))</f>
        <v>5</v>
      </c>
      <c r="O1035" s="58">
        <f>IF($C1035="B",INDEX(Batters[[#All],[EYE P]],MATCH(Table5[[#This Row],[PID]],Batters[[#All],[PID]],0)),INDEX(Table3[[#All],[VELO]],MATCH(Table5[[#This Row],[PID]],Table3[[#All],[PID]],0)))</f>
        <v>5</v>
      </c>
      <c r="P1035" s="58">
        <f>IF($C1035="B",INDEX(Batters[[#All],[K P]],MATCH(Table5[[#This Row],[PID]],Batters[[#All],[PID]],0)),INDEX(Table3[[#All],[STM]],MATCH(Table5[[#This Row],[PID]],Table3[[#All],[PID]],0)))</f>
        <v>2</v>
      </c>
      <c r="Q1035" s="63">
        <f>IF($C1035="B",INDEX(Batters[[#All],[Tot]],MATCH(Table5[[#This Row],[PID]],Batters[[#All],[PID]],0)),INDEX(Table3[[#All],[Tot]],MATCH(Table5[[#This Row],[PID]],Table3[[#All],[PID]],0)))</f>
        <v>34.438419000548087</v>
      </c>
      <c r="R1035" s="54">
        <f>IF($C1035="B",INDEX(Batters[[#All],[zScore]],MATCH(Table5[[#This Row],[PID]],Batters[[#All],[PID]],0)),INDEX(Table3[[#All],[zScore]],MATCH(Table5[[#This Row],[PID]],Table3[[#All],[PID]],0)))</f>
        <v>-1.0397950210104825</v>
      </c>
      <c r="S1035" s="60" t="str">
        <f>IF($C1035="B",INDEX(Batters[[#All],[DEM]],MATCH(Table5[[#This Row],[PID]],Batters[[#All],[PID]],0)),INDEX(Table3[[#All],[DEM]],MATCH(Table5[[#This Row],[PID]],Table3[[#All],[PID]],0)))</f>
        <v>$20k</v>
      </c>
      <c r="T1035" s="64">
        <f>IF($C1035="B",VLOOKUP($A1035,Bat!$A$4:$AU$1417,46,FALSE),VLOOKUP($A1035,Pit!$A$4:$BD$570,55,FALSE))</f>
        <v>0</v>
      </c>
      <c r="U1035" s="52">
        <f>IF($C1035="B",VLOOKUP($A1035,Bat!$A$4:$BA$1417,47,FALSE),VLOOKUP($A1035,Pit!$A$4:$BF$570,56,FALSE))</f>
        <v>0</v>
      </c>
      <c r="V1035" s="52">
        <f>IF($C1035="B",VLOOKUP($A1035,Bat!$A$4:$BA$1417,48,FALSE),VLOOKUP($A1035,Pit!$A$4:$BF$570,57,FALSE))</f>
        <v>0</v>
      </c>
      <c r="W1035" s="52">
        <f>Table5[[#This Row],[posRnk]]+Table5[[#This Row],[zRnk]]+IF($W$3&lt;&gt;Table5[[#This Row],[Type]],50,0)</f>
        <v>1081</v>
      </c>
      <c r="X1035" s="53">
        <f>RANK(Table5[[#This Row],[zScore]],Table5[[#All],[zScore]])</f>
        <v>1031</v>
      </c>
      <c r="Y1035" s="52" t="str">
        <f>IFERROR(INDEX(DraftResults[[#All],[OVR]],MATCH(Table5[[#This Row],[PID]],DraftResults[[#All],[Player ID]],0)),"")</f>
        <v/>
      </c>
      <c r="Z10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5" s="52" t="str">
        <f>IFERROR(INDEX(DraftResults[[#All],[Pick in Round]],MATCH(Table5[[#This Row],[PID]],DraftResults[[#All],[Player ID]],0)),"")</f>
        <v/>
      </c>
      <c r="AB1035" s="52" t="str">
        <f>IFERROR(INDEX(DraftResults[[#All],[Team Name]],MATCH(Table5[[#This Row],[PID]],DraftResults[[#All],[Player ID]],0)),"")</f>
        <v/>
      </c>
      <c r="AC1035" s="52" t="str">
        <f>IF(Table5[[#This Row],[Ovr]]="","",IF(Table5[[#This Row],[cmbList]]="","",Table5[[#This Row],[cmbList]]-Table5[[#This Row],[Ovr]]))</f>
        <v/>
      </c>
      <c r="AD1035" s="56" t="str">
        <f>IF(ISERROR(VLOOKUP($AB1035&amp;"-"&amp;$E1035&amp;" "&amp;F1035,Bonuses!$B$1:$G$1006,4,FALSE)),"",INT(VLOOKUP($AB1035&amp;"-"&amp;$E1035&amp;" "&amp;$F1035,Bonuses!$B$1:$G$1006,4,FALSE)))</f>
        <v/>
      </c>
      <c r="AE10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6" spans="1:31" s="52" customFormat="1" x14ac:dyDescent="0.25">
      <c r="A1036" s="52">
        <v>9718</v>
      </c>
      <c r="B1036" s="52">
        <f>COUNTIF(Table5[PID],A1036)</f>
        <v>1</v>
      </c>
      <c r="C1036" s="52" t="str">
        <f>IF(COUNTIF(Table3[[#All],[PID]],A1036)&gt;0,"P","B")</f>
        <v>P</v>
      </c>
      <c r="D1036" s="61" t="str">
        <f>IF($C1036="B",INDEX(Batters[[#All],[POS]],MATCH(Table5[[#This Row],[PID]],Batters[[#All],[PID]],0)),INDEX(Table3[[#All],[POS]],MATCH(Table5[[#This Row],[PID]],Table3[[#All],[PID]],0)))</f>
        <v>RP</v>
      </c>
      <c r="E1036" s="54" t="str">
        <f>IF($C1036="B",INDEX(Batters[[#All],[First]],MATCH(Table5[[#This Row],[PID]],Batters[[#All],[PID]],0)),INDEX(Table3[[#All],[First]],MATCH(Table5[[#This Row],[PID]],Table3[[#All],[PID]],0)))</f>
        <v>Devin</v>
      </c>
      <c r="F1036" s="52" t="str">
        <f>IF($C1036="B",INDEX(Batters[[#All],[Last]],MATCH(A1036,Batters[[#All],[PID]],0)),INDEX(Table3[[#All],[Last]],MATCH(A1036,Table3[[#All],[PID]],0)))</f>
        <v>Meyers</v>
      </c>
      <c r="G1036" s="58">
        <f>IF($C1036="B",INDEX(Batters[[#All],[Age]],MATCH(Table5[[#This Row],[PID]],Batters[[#All],[PID]],0)),INDEX(Table3[[#All],[Age]],MATCH(Table5[[#This Row],[PID]],Table3[[#All],[PID]],0)))</f>
        <v>21</v>
      </c>
      <c r="H1036" s="54" t="str">
        <f>IF($C1036="B",INDEX(Batters[[#All],[B]],MATCH(Table5[[#This Row],[PID]],Batters[[#All],[PID]],0)),INDEX(Table3[[#All],[B]],MATCH(Table5[[#This Row],[PID]],Table3[[#All],[PID]],0)))</f>
        <v>R</v>
      </c>
      <c r="I1036" s="54" t="str">
        <f>IF($C1036="B",INDEX(Batters[[#All],[T]],MATCH(Table5[[#This Row],[PID]],Batters[[#All],[PID]],0)),INDEX(Table3[[#All],[T]],MATCH(Table5[[#This Row],[PID]],Table3[[#All],[PID]],0)))</f>
        <v>R</v>
      </c>
      <c r="J1036" s="54" t="str">
        <f>IF($C1036="B",INDEX(Batters[[#All],[WE]],MATCH(Table5[[#This Row],[PID]],Batters[[#All],[PID]],0)),INDEX(Table3[[#All],[WE]],MATCH(Table5[[#This Row],[PID]],Table3[[#All],[PID]],0)))</f>
        <v>Normal</v>
      </c>
      <c r="K1036" s="54" t="str">
        <f>IF($C1036="B",INDEX(Batters[[#All],[INT]],MATCH(Table5[[#This Row],[PID]],Batters[[#All],[PID]],0)),INDEX(Table3[[#All],[INT]],MATCH(Table5[[#This Row],[PID]],Table3[[#All],[PID]],0)))</f>
        <v>Normal</v>
      </c>
      <c r="L1036" s="62">
        <f>IF($C1036="B",INDEX(Batters[[#All],[CON P]],MATCH(Table5[[#This Row],[PID]],Batters[[#All],[PID]],0)),INDEX(Table3[[#All],[STU P]],MATCH(Table5[[#This Row],[PID]],Table3[[#All],[PID]],0)))</f>
        <v>4</v>
      </c>
      <c r="M1036" s="58">
        <f>IF($C1036="B",INDEX(Batters[[#All],[GAP P]],MATCH(Table5[[#This Row],[PID]],Batters[[#All],[PID]],0)),INDEX(Table3[[#All],[MOV P]],MATCH(Table5[[#This Row],[PID]],Table3[[#All],[PID]],0)))</f>
        <v>1</v>
      </c>
      <c r="N1036" s="58">
        <f>IF($C1036="B",INDEX(Batters[[#All],[POW P]],MATCH(Table5[[#This Row],[PID]],Batters[[#All],[PID]],0)),INDEX(Table3[[#All],[CON P]],MATCH(Table5[[#This Row],[PID]],Table3[[#All],[PID]],0)))</f>
        <v>2</v>
      </c>
      <c r="O1036" s="58" t="str">
        <f>IF($C1036="B",INDEX(Batters[[#All],[EYE P]],MATCH(Table5[[#This Row],[PID]],Batters[[#All],[PID]],0)),INDEX(Table3[[#All],[VELO]],MATCH(Table5[[#This Row],[PID]],Table3[[#All],[PID]],0)))</f>
        <v>88-90 Mph</v>
      </c>
      <c r="P1036" s="58">
        <f>IF($C1036="B",INDEX(Batters[[#All],[K P]],MATCH(Table5[[#This Row],[PID]],Batters[[#All],[PID]],0)),INDEX(Table3[[#All],[STM]],MATCH(Table5[[#This Row],[PID]],Table3[[#All],[PID]],0)))</f>
        <v>6</v>
      </c>
      <c r="Q1036" s="63">
        <f>IF($C1036="B",INDEX(Batters[[#All],[Tot]],MATCH(Table5[[#This Row],[PID]],Batters[[#All],[PID]],0)),INDEX(Table3[[#All],[Tot]],MATCH(Table5[[#This Row],[PID]],Table3[[#All],[PID]],0)))</f>
        <v>21.362576413102694</v>
      </c>
      <c r="R1036" s="54">
        <f>IF($C1036="B",INDEX(Batters[[#All],[zScore]],MATCH(Table5[[#This Row],[PID]],Batters[[#All],[PID]],0)),INDEX(Table3[[#All],[zScore]],MATCH(Table5[[#This Row],[PID]],Table3[[#All],[PID]],0)))</f>
        <v>-1.0417306985048918</v>
      </c>
      <c r="S1036" s="60" t="str">
        <f>IF($C1036="B",INDEX(Batters[[#All],[DEM]],MATCH(Table5[[#This Row],[PID]],Batters[[#All],[PID]],0)),INDEX(Table3[[#All],[DEM]],MATCH(Table5[[#This Row],[PID]],Table3[[#All],[PID]],0)))</f>
        <v>-</v>
      </c>
      <c r="T1036" s="64">
        <f>IF($C1036="B",VLOOKUP($A1036,Bat!$A$4:$AU$1417,46,FALSE),VLOOKUP($A1036,Pit!$A$4:$BD$570,55,FALSE))</f>
        <v>0</v>
      </c>
      <c r="U1036" s="52">
        <f>IF($C1036="B",VLOOKUP($A1036,Bat!$A$4:$BA$1417,47,FALSE),VLOOKUP($A1036,Pit!$A$4:$BF$570,56,FALSE))</f>
        <v>0</v>
      </c>
      <c r="V1036" s="52">
        <f>IF($C1036="B",VLOOKUP($A1036,Bat!$A$4:$BA$1417,48,FALSE),VLOOKUP($A1036,Pit!$A$4:$BF$570,57,FALSE))</f>
        <v>0</v>
      </c>
      <c r="W1036" s="52">
        <f>Table5[[#This Row],[posRnk]]+Table5[[#This Row],[zRnk]]+IF($W$3&lt;&gt;Table5[[#This Row],[Type]],50,0)</f>
        <v>1082</v>
      </c>
      <c r="X1036" s="53">
        <f>RANK(Table5[[#This Row],[zScore]],Table5[[#All],[zScore]])</f>
        <v>1032</v>
      </c>
      <c r="Y1036" s="52" t="str">
        <f>IFERROR(INDEX(DraftResults[[#All],[OVR]],MATCH(Table5[[#This Row],[PID]],DraftResults[[#All],[Player ID]],0)),"")</f>
        <v/>
      </c>
      <c r="Z10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6" s="52" t="str">
        <f>IFERROR(INDEX(DraftResults[[#All],[Pick in Round]],MATCH(Table5[[#This Row],[PID]],DraftResults[[#All],[Player ID]],0)),"")</f>
        <v/>
      </c>
      <c r="AB1036" s="52" t="str">
        <f>IFERROR(INDEX(DraftResults[[#All],[Team Name]],MATCH(Table5[[#This Row],[PID]],DraftResults[[#All],[Player ID]],0)),"")</f>
        <v/>
      </c>
      <c r="AC1036" s="52" t="str">
        <f>IF(Table5[[#This Row],[Ovr]]="","",IF(Table5[[#This Row],[cmbList]]="","",Table5[[#This Row],[cmbList]]-Table5[[#This Row],[Ovr]]))</f>
        <v/>
      </c>
      <c r="AD1036" s="56" t="str">
        <f>IF(ISERROR(VLOOKUP($AB1036&amp;"-"&amp;$E1036&amp;" "&amp;F1036,Bonuses!$B$1:$G$1006,4,FALSE)),"",INT(VLOOKUP($AB1036&amp;"-"&amp;$E1036&amp;" "&amp;$F1036,Bonuses!$B$1:$G$1006,4,FALSE)))</f>
        <v/>
      </c>
      <c r="AE10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7" spans="1:31" s="52" customFormat="1" x14ac:dyDescent="0.25">
      <c r="A1037" s="52">
        <v>7316</v>
      </c>
      <c r="B1037" s="52">
        <f>COUNTIF(Table5[PID],A1037)</f>
        <v>1</v>
      </c>
      <c r="C1037" s="52" t="str">
        <f>IF(COUNTIF(Table3[[#All],[PID]],A1037)&gt;0,"P","B")</f>
        <v>P</v>
      </c>
      <c r="D1037" s="61" t="str">
        <f>IF($C1037="B",INDEX(Batters[[#All],[POS]],MATCH(Table5[[#This Row],[PID]],Batters[[#All],[PID]],0)),INDEX(Table3[[#All],[POS]],MATCH(Table5[[#This Row],[PID]],Table3[[#All],[PID]],0)))</f>
        <v>RP</v>
      </c>
      <c r="E1037" s="54" t="str">
        <f>IF($C1037="B",INDEX(Batters[[#All],[First]],MATCH(Table5[[#This Row],[PID]],Batters[[#All],[PID]],0)),INDEX(Table3[[#All],[First]],MATCH(Table5[[#This Row],[PID]],Table3[[#All],[PID]],0)))</f>
        <v>Errol</v>
      </c>
      <c r="F1037" s="52" t="str">
        <f>IF($C1037="B",INDEX(Batters[[#All],[Last]],MATCH(A1037,Batters[[#All],[PID]],0)),INDEX(Table3[[#All],[Last]],MATCH(A1037,Table3[[#All],[PID]],0)))</f>
        <v>Ward</v>
      </c>
      <c r="G1037" s="58">
        <f>IF($C1037="B",INDEX(Batters[[#All],[Age]],MATCH(Table5[[#This Row],[PID]],Batters[[#All],[PID]],0)),INDEX(Table3[[#All],[Age]],MATCH(Table5[[#This Row],[PID]],Table3[[#All],[PID]],0)))</f>
        <v>22</v>
      </c>
      <c r="H1037" s="54" t="str">
        <f>IF($C1037="B",INDEX(Batters[[#All],[B]],MATCH(Table5[[#This Row],[PID]],Batters[[#All],[PID]],0)),INDEX(Table3[[#All],[B]],MATCH(Table5[[#This Row],[PID]],Table3[[#All],[PID]],0)))</f>
        <v>R</v>
      </c>
      <c r="I1037" s="54" t="str">
        <f>IF($C1037="B",INDEX(Batters[[#All],[T]],MATCH(Table5[[#This Row],[PID]],Batters[[#All],[PID]],0)),INDEX(Table3[[#All],[T]],MATCH(Table5[[#This Row],[PID]],Table3[[#All],[PID]],0)))</f>
        <v>L</v>
      </c>
      <c r="J1037" s="54" t="str">
        <f>IF($C1037="B",INDEX(Batters[[#All],[WE]],MATCH(Table5[[#This Row],[PID]],Batters[[#All],[PID]],0)),INDEX(Table3[[#All],[WE]],MATCH(Table5[[#This Row],[PID]],Table3[[#All],[PID]],0)))</f>
        <v>Normal</v>
      </c>
      <c r="K1037" s="54" t="str">
        <f>IF($C1037="B",INDEX(Batters[[#All],[INT]],MATCH(Table5[[#This Row],[PID]],Batters[[#All],[PID]],0)),INDEX(Table3[[#All],[INT]],MATCH(Table5[[#This Row],[PID]],Table3[[#All],[PID]],0)))</f>
        <v>Normal</v>
      </c>
      <c r="L1037" s="62">
        <f>IF($C1037="B",INDEX(Batters[[#All],[CON P]],MATCH(Table5[[#This Row],[PID]],Batters[[#All],[PID]],0)),INDEX(Table3[[#All],[STU P]],MATCH(Table5[[#This Row],[PID]],Table3[[#All],[PID]],0)))</f>
        <v>4</v>
      </c>
      <c r="M1037" s="58">
        <f>IF($C1037="B",INDEX(Batters[[#All],[GAP P]],MATCH(Table5[[#This Row],[PID]],Batters[[#All],[PID]],0)),INDEX(Table3[[#All],[MOV P]],MATCH(Table5[[#This Row],[PID]],Table3[[#All],[PID]],0)))</f>
        <v>1</v>
      </c>
      <c r="N1037" s="58">
        <f>IF($C1037="B",INDEX(Batters[[#All],[POW P]],MATCH(Table5[[#This Row],[PID]],Batters[[#All],[PID]],0)),INDEX(Table3[[#All],[CON P]],MATCH(Table5[[#This Row],[PID]],Table3[[#All],[PID]],0)))</f>
        <v>2</v>
      </c>
      <c r="O1037" s="58" t="str">
        <f>IF($C1037="B",INDEX(Batters[[#All],[EYE P]],MATCH(Table5[[#This Row],[PID]],Batters[[#All],[PID]],0)),INDEX(Table3[[#All],[VELO]],MATCH(Table5[[#This Row],[PID]],Table3[[#All],[PID]],0)))</f>
        <v>89-91 Mph</v>
      </c>
      <c r="P1037" s="58">
        <f>IF($C1037="B",INDEX(Batters[[#All],[K P]],MATCH(Table5[[#This Row],[PID]],Batters[[#All],[PID]],0)),INDEX(Table3[[#All],[STM]],MATCH(Table5[[#This Row],[PID]],Table3[[#All],[PID]],0)))</f>
        <v>6</v>
      </c>
      <c r="Q1037" s="63">
        <f>IF($C1037="B",INDEX(Batters[[#All],[Tot]],MATCH(Table5[[#This Row],[PID]],Batters[[#All],[PID]],0)),INDEX(Table3[[#All],[Tot]],MATCH(Table5[[#This Row],[PID]],Table3[[#All],[PID]],0)))</f>
        <v>21.353288711001433</v>
      </c>
      <c r="R1037" s="54">
        <f>IF($C1037="B",INDEX(Batters[[#All],[zScore]],MATCH(Table5[[#This Row],[PID]],Batters[[#All],[PID]],0)),INDEX(Table3[[#All],[zScore]],MATCH(Table5[[#This Row],[PID]],Table3[[#All],[PID]],0)))</f>
        <v>-1.0425824204840504</v>
      </c>
      <c r="S1037" s="60" t="str">
        <f>IF($C1037="B",INDEX(Batters[[#All],[DEM]],MATCH(Table5[[#This Row],[PID]],Batters[[#All],[PID]],0)),INDEX(Table3[[#All],[DEM]],MATCH(Table5[[#This Row],[PID]],Table3[[#All],[PID]],0)))</f>
        <v>-</v>
      </c>
      <c r="T1037" s="64">
        <f>IF($C1037="B",VLOOKUP($A1037,Bat!$A$4:$AU$1417,46,FALSE),VLOOKUP($A1037,Pit!$A$4:$BD$570,55,FALSE))</f>
        <v>0</v>
      </c>
      <c r="U1037" s="52">
        <f>IF($C1037="B",VLOOKUP($A1037,Bat!$A$4:$BA$1417,47,FALSE),VLOOKUP($A1037,Pit!$A$4:$BF$570,56,FALSE))</f>
        <v>0</v>
      </c>
      <c r="V1037" s="52">
        <f>IF($C1037="B",VLOOKUP($A1037,Bat!$A$4:$BA$1417,48,FALSE),VLOOKUP($A1037,Pit!$A$4:$BF$570,57,FALSE))</f>
        <v>0</v>
      </c>
      <c r="W1037" s="52">
        <f>Table5[[#This Row],[posRnk]]+Table5[[#This Row],[zRnk]]+IF($W$3&lt;&gt;Table5[[#This Row],[Type]],50,0)</f>
        <v>1083</v>
      </c>
      <c r="X1037" s="53">
        <f>RANK(Table5[[#This Row],[zScore]],Table5[[#All],[zScore]])</f>
        <v>1033</v>
      </c>
      <c r="Y1037" s="52" t="str">
        <f>IFERROR(INDEX(DraftResults[[#All],[OVR]],MATCH(Table5[[#This Row],[PID]],DraftResults[[#All],[Player ID]],0)),"")</f>
        <v/>
      </c>
      <c r="Z10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7" s="52" t="str">
        <f>IFERROR(INDEX(DraftResults[[#All],[Pick in Round]],MATCH(Table5[[#This Row],[PID]],DraftResults[[#All],[Player ID]],0)),"")</f>
        <v/>
      </c>
      <c r="AB1037" s="52" t="str">
        <f>IFERROR(INDEX(DraftResults[[#All],[Team Name]],MATCH(Table5[[#This Row],[PID]],DraftResults[[#All],[Player ID]],0)),"")</f>
        <v/>
      </c>
      <c r="AC1037" s="52" t="str">
        <f>IF(Table5[[#This Row],[Ovr]]="","",IF(Table5[[#This Row],[cmbList]]="","",Table5[[#This Row],[cmbList]]-Table5[[#This Row],[Ovr]]))</f>
        <v/>
      </c>
      <c r="AD1037" s="56" t="str">
        <f>IF(ISERROR(VLOOKUP($AB1037&amp;"-"&amp;$E1037&amp;" "&amp;F1037,Bonuses!$B$1:$G$1006,4,FALSE)),"",INT(VLOOKUP($AB1037&amp;"-"&amp;$E1037&amp;" "&amp;$F1037,Bonuses!$B$1:$G$1006,4,FALSE)))</f>
        <v/>
      </c>
      <c r="AE10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8" spans="1:31" s="52" customFormat="1" x14ac:dyDescent="0.25">
      <c r="A1038" s="52">
        <v>13161</v>
      </c>
      <c r="B1038" s="52">
        <f>COUNTIF(Table5[PID],A1038)</f>
        <v>1</v>
      </c>
      <c r="C1038" s="52" t="str">
        <f>IF(COUNTIF(Table3[[#All],[PID]],A1038)&gt;0,"P","B")</f>
        <v>P</v>
      </c>
      <c r="D1038" s="61" t="str">
        <f>IF($C1038="B",INDEX(Batters[[#All],[POS]],MATCH(Table5[[#This Row],[PID]],Batters[[#All],[PID]],0)),INDEX(Table3[[#All],[POS]],MATCH(Table5[[#This Row],[PID]],Table3[[#All],[PID]],0)))</f>
        <v>SP</v>
      </c>
      <c r="E1038" s="54" t="str">
        <f>IF($C1038="B",INDEX(Batters[[#All],[First]],MATCH(Table5[[#This Row],[PID]],Batters[[#All],[PID]],0)),INDEX(Table3[[#All],[First]],MATCH(Table5[[#This Row],[PID]],Table3[[#All],[PID]],0)))</f>
        <v>Kiyonobu</v>
      </c>
      <c r="F1038" s="52" t="str">
        <f>IF($C1038="B",INDEX(Batters[[#All],[Last]],MATCH(A1038,Batters[[#All],[PID]],0)),INDEX(Table3[[#All],[Last]],MATCH(A1038,Table3[[#All],[PID]],0)))</f>
        <v>Sakurai</v>
      </c>
      <c r="G1038" s="58">
        <f>IF($C1038="B",INDEX(Batters[[#All],[Age]],MATCH(Table5[[#This Row],[PID]],Batters[[#All],[PID]],0)),INDEX(Table3[[#All],[Age]],MATCH(Table5[[#This Row],[PID]],Table3[[#All],[PID]],0)))</f>
        <v>22</v>
      </c>
      <c r="H1038" s="54" t="str">
        <f>IF($C1038="B",INDEX(Batters[[#All],[B]],MATCH(Table5[[#This Row],[PID]],Batters[[#All],[PID]],0)),INDEX(Table3[[#All],[B]],MATCH(Table5[[#This Row],[PID]],Table3[[#All],[PID]],0)))</f>
        <v>R</v>
      </c>
      <c r="I1038" s="54" t="str">
        <f>IF($C1038="B",INDEX(Batters[[#All],[T]],MATCH(Table5[[#This Row],[PID]],Batters[[#All],[PID]],0)),INDEX(Table3[[#All],[T]],MATCH(Table5[[#This Row],[PID]],Table3[[#All],[PID]],0)))</f>
        <v>R</v>
      </c>
      <c r="J1038" s="54" t="str">
        <f>IF($C1038="B",INDEX(Batters[[#All],[WE]],MATCH(Table5[[#This Row],[PID]],Batters[[#All],[PID]],0)),INDEX(Table3[[#All],[WE]],MATCH(Table5[[#This Row],[PID]],Table3[[#All],[PID]],0)))</f>
        <v>Normal</v>
      </c>
      <c r="K1038" s="54" t="str">
        <f>IF($C1038="B",INDEX(Batters[[#All],[INT]],MATCH(Table5[[#This Row],[PID]],Batters[[#All],[PID]],0)),INDEX(Table3[[#All],[INT]],MATCH(Table5[[#This Row],[PID]],Table3[[#All],[PID]],0)))</f>
        <v>High</v>
      </c>
      <c r="L1038" s="62">
        <f>IF($C1038="B",INDEX(Batters[[#All],[CON P]],MATCH(Table5[[#This Row],[PID]],Batters[[#All],[PID]],0)),INDEX(Table3[[#All],[STU P]],MATCH(Table5[[#This Row],[PID]],Table3[[#All],[PID]],0)))</f>
        <v>4</v>
      </c>
      <c r="M1038" s="58">
        <f>IF($C1038="B",INDEX(Batters[[#All],[GAP P]],MATCH(Table5[[#This Row],[PID]],Batters[[#All],[PID]],0)),INDEX(Table3[[#All],[MOV P]],MATCH(Table5[[#This Row],[PID]],Table3[[#All],[PID]],0)))</f>
        <v>1</v>
      </c>
      <c r="N1038" s="58">
        <f>IF($C1038="B",INDEX(Batters[[#All],[POW P]],MATCH(Table5[[#This Row],[PID]],Batters[[#All],[PID]],0)),INDEX(Table3[[#All],[CON P]],MATCH(Table5[[#This Row],[PID]],Table3[[#All],[PID]],0)))</f>
        <v>2</v>
      </c>
      <c r="O1038" s="58" t="str">
        <f>IF($C1038="B",INDEX(Batters[[#All],[EYE P]],MATCH(Table5[[#This Row],[PID]],Batters[[#All],[PID]],0)),INDEX(Table3[[#All],[VELO]],MATCH(Table5[[#This Row],[PID]],Table3[[#All],[PID]],0)))</f>
        <v>91-93 Mph</v>
      </c>
      <c r="P1038" s="58">
        <f>IF($C1038="B",INDEX(Batters[[#All],[K P]],MATCH(Table5[[#This Row],[PID]],Batters[[#All],[PID]],0)),INDEX(Table3[[#All],[STM]],MATCH(Table5[[#This Row],[PID]],Table3[[#All],[PID]],0)))</f>
        <v>6</v>
      </c>
      <c r="Q1038" s="63">
        <f>IF($C1038="B",INDEX(Batters[[#All],[Tot]],MATCH(Table5[[#This Row],[PID]],Batters[[#All],[PID]],0)),INDEX(Table3[[#All],[Tot]],MATCH(Table5[[#This Row],[PID]],Table3[[#All],[PID]],0)))</f>
        <v>21.268826413102694</v>
      </c>
      <c r="R1038" s="54">
        <f>IF($C1038="B",INDEX(Batters[[#All],[zScore]],MATCH(Table5[[#This Row],[PID]],Batters[[#All],[PID]],0)),INDEX(Table3[[#All],[zScore]],MATCH(Table5[[#This Row],[PID]],Table3[[#All],[PID]],0)))</f>
        <v>-1.0503279742008131</v>
      </c>
      <c r="S1038" s="60" t="str">
        <f>IF($C1038="B",INDEX(Batters[[#All],[DEM]],MATCH(Table5[[#This Row],[PID]],Batters[[#All],[PID]],0)),INDEX(Table3[[#All],[DEM]],MATCH(Table5[[#This Row],[PID]],Table3[[#All],[PID]],0)))</f>
        <v>-</v>
      </c>
      <c r="T1038" s="64">
        <f>IF($C1038="B",VLOOKUP($A1038,Bat!$A$4:$AU$1417,46,FALSE),VLOOKUP($A1038,Pit!$A$4:$BD$570,55,FALSE))</f>
        <v>0</v>
      </c>
      <c r="U1038" s="52">
        <f>IF($C1038="B",VLOOKUP($A1038,Bat!$A$4:$BA$1417,47,FALSE),VLOOKUP($A1038,Pit!$A$4:$BF$570,56,FALSE))</f>
        <v>0</v>
      </c>
      <c r="V1038" s="52">
        <f>IF($C1038="B",VLOOKUP($A1038,Bat!$A$4:$BA$1417,48,FALSE),VLOOKUP($A1038,Pit!$A$4:$BF$570,57,FALSE))</f>
        <v>0</v>
      </c>
      <c r="W1038" s="52">
        <f>Table5[[#This Row],[posRnk]]+Table5[[#This Row],[zRnk]]+IF($W$3&lt;&gt;Table5[[#This Row],[Type]],50,0)</f>
        <v>1084</v>
      </c>
      <c r="X1038" s="53">
        <f>RANK(Table5[[#This Row],[zScore]],Table5[[#All],[zScore]])</f>
        <v>1034</v>
      </c>
      <c r="Y1038" s="52" t="str">
        <f>IFERROR(INDEX(DraftResults[[#All],[OVR]],MATCH(Table5[[#This Row],[PID]],DraftResults[[#All],[Player ID]],0)),"")</f>
        <v/>
      </c>
      <c r="Z10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8" s="52" t="str">
        <f>IFERROR(INDEX(DraftResults[[#All],[Pick in Round]],MATCH(Table5[[#This Row],[PID]],DraftResults[[#All],[Player ID]],0)),"")</f>
        <v/>
      </c>
      <c r="AB1038" s="52" t="str">
        <f>IFERROR(INDEX(DraftResults[[#All],[Team Name]],MATCH(Table5[[#This Row],[PID]],DraftResults[[#All],[Player ID]],0)),"")</f>
        <v/>
      </c>
      <c r="AC1038" s="52" t="str">
        <f>IF(Table5[[#This Row],[Ovr]]="","",IF(Table5[[#This Row],[cmbList]]="","",Table5[[#This Row],[cmbList]]-Table5[[#This Row],[Ovr]]))</f>
        <v/>
      </c>
      <c r="AD1038" s="56" t="str">
        <f>IF(ISERROR(VLOOKUP($AB1038&amp;"-"&amp;$E1038&amp;" "&amp;F1038,Bonuses!$B$1:$G$1006,4,FALSE)),"",INT(VLOOKUP($AB1038&amp;"-"&amp;$E1038&amp;" "&amp;$F1038,Bonuses!$B$1:$G$1006,4,FALSE)))</f>
        <v/>
      </c>
      <c r="AE10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9" spans="1:31" s="52" customFormat="1" x14ac:dyDescent="0.25">
      <c r="A1039" s="52">
        <v>13008</v>
      </c>
      <c r="B1039" s="52">
        <f>COUNTIF(Table5[PID],A1039)</f>
        <v>1</v>
      </c>
      <c r="C1039" s="52" t="str">
        <f>IF(COUNTIF(Table3[[#All],[PID]],A1039)&gt;0,"P","B")</f>
        <v>B</v>
      </c>
      <c r="D1039" s="61" t="str">
        <f>IF($C1039="B",INDEX(Batters[[#All],[POS]],MATCH(Table5[[#This Row],[PID]],Batters[[#All],[PID]],0)),INDEX(Table3[[#All],[POS]],MATCH(Table5[[#This Row],[PID]],Table3[[#All],[PID]],0)))</f>
        <v>C</v>
      </c>
      <c r="E1039" s="54" t="str">
        <f>IF($C1039="B",INDEX(Batters[[#All],[First]],MATCH(Table5[[#This Row],[PID]],Batters[[#All],[PID]],0)),INDEX(Table3[[#All],[First]],MATCH(Table5[[#This Row],[PID]],Table3[[#All],[PID]],0)))</f>
        <v>Joe</v>
      </c>
      <c r="F1039" s="52" t="str">
        <f>IF($C1039="B",INDEX(Batters[[#All],[Last]],MATCH(A1039,Batters[[#All],[PID]],0)),INDEX(Table3[[#All],[Last]],MATCH(A1039,Table3[[#All],[PID]],0)))</f>
        <v>Hoyt</v>
      </c>
      <c r="G1039" s="58">
        <f>IF($C1039="B",INDEX(Batters[[#All],[Age]],MATCH(Table5[[#This Row],[PID]],Batters[[#All],[PID]],0)),INDEX(Table3[[#All],[Age]],MATCH(Table5[[#This Row],[PID]],Table3[[#All],[PID]],0)))</f>
        <v>22</v>
      </c>
      <c r="H1039" s="54" t="str">
        <f>IF($C1039="B",INDEX(Batters[[#All],[B]],MATCH(Table5[[#This Row],[PID]],Batters[[#All],[PID]],0)),INDEX(Table3[[#All],[B]],MATCH(Table5[[#This Row],[PID]],Table3[[#All],[PID]],0)))</f>
        <v>S</v>
      </c>
      <c r="I1039" s="54" t="str">
        <f>IF($C1039="B",INDEX(Batters[[#All],[T]],MATCH(Table5[[#This Row],[PID]],Batters[[#All],[PID]],0)),INDEX(Table3[[#All],[T]],MATCH(Table5[[#This Row],[PID]],Table3[[#All],[PID]],0)))</f>
        <v>R</v>
      </c>
      <c r="J1039" s="54" t="str">
        <f>IF($C1039="B",INDEX(Batters[[#All],[WE]],MATCH(Table5[[#This Row],[PID]],Batters[[#All],[PID]],0)),INDEX(Table3[[#All],[WE]],MATCH(Table5[[#This Row],[PID]],Table3[[#All],[PID]],0)))</f>
        <v>Low</v>
      </c>
      <c r="K1039" s="54" t="str">
        <f>IF($C1039="B",INDEX(Batters[[#All],[INT]],MATCH(Table5[[#This Row],[PID]],Batters[[#All],[PID]],0)),INDEX(Table3[[#All],[INT]],MATCH(Table5[[#This Row],[PID]],Table3[[#All],[PID]],0)))</f>
        <v>Normal</v>
      </c>
      <c r="L1039" s="62">
        <f>IF($C1039="B",INDEX(Batters[[#All],[CON P]],MATCH(Table5[[#This Row],[PID]],Batters[[#All],[PID]],0)),INDEX(Table3[[#All],[STU P]],MATCH(Table5[[#This Row],[PID]],Table3[[#All],[PID]],0)))</f>
        <v>2</v>
      </c>
      <c r="M1039" s="58">
        <f>IF($C1039="B",INDEX(Batters[[#All],[GAP P]],MATCH(Table5[[#This Row],[PID]],Batters[[#All],[PID]],0)),INDEX(Table3[[#All],[MOV P]],MATCH(Table5[[#This Row],[PID]],Table3[[#All],[PID]],0)))</f>
        <v>3</v>
      </c>
      <c r="N1039" s="58">
        <f>IF($C1039="B",INDEX(Batters[[#All],[POW P]],MATCH(Table5[[#This Row],[PID]],Batters[[#All],[PID]],0)),INDEX(Table3[[#All],[CON P]],MATCH(Table5[[#This Row],[PID]],Table3[[#All],[PID]],0)))</f>
        <v>3</v>
      </c>
      <c r="O1039" s="58">
        <f>IF($C1039="B",INDEX(Batters[[#All],[EYE P]],MATCH(Table5[[#This Row],[PID]],Batters[[#All],[PID]],0)),INDEX(Table3[[#All],[VELO]],MATCH(Table5[[#This Row],[PID]],Table3[[#All],[PID]],0)))</f>
        <v>6</v>
      </c>
      <c r="P1039" s="58">
        <f>IF($C1039="B",INDEX(Batters[[#All],[K P]],MATCH(Table5[[#This Row],[PID]],Batters[[#All],[PID]],0)),INDEX(Table3[[#All],[STM]],MATCH(Table5[[#This Row],[PID]],Table3[[#All],[PID]],0)))</f>
        <v>3</v>
      </c>
      <c r="Q1039" s="63">
        <f>IF($C1039="B",INDEX(Batters[[#All],[Tot]],MATCH(Table5[[#This Row],[PID]],Batters[[#All],[PID]],0)),INDEX(Table3[[#All],[Tot]],MATCH(Table5[[#This Row],[PID]],Table3[[#All],[PID]],0)))</f>
        <v>34.351987982459228</v>
      </c>
      <c r="R1039" s="54">
        <f>IF($C1039="B",INDEX(Batters[[#All],[zScore]],MATCH(Table5[[#This Row],[PID]],Batters[[#All],[PID]],0)),INDEX(Table3[[#All],[zScore]],MATCH(Table5[[#This Row],[PID]],Table3[[#All],[PID]],0)))</f>
        <v>-1.0550019841964497</v>
      </c>
      <c r="S1039" s="60" t="str">
        <f>IF($C1039="B",INDEX(Batters[[#All],[DEM]],MATCH(Table5[[#This Row],[PID]],Batters[[#All],[PID]],0)),INDEX(Table3[[#All],[DEM]],MATCH(Table5[[#This Row],[PID]],Table3[[#All],[PID]],0)))</f>
        <v>-</v>
      </c>
      <c r="T1039" s="64">
        <f>IF($C1039="B",VLOOKUP($A1039,Bat!$A$4:$AU$1417,46,FALSE),VLOOKUP($A1039,Pit!$A$4:$BD$570,55,FALSE))</f>
        <v>0</v>
      </c>
      <c r="U1039" s="52">
        <f>IF($C1039="B",VLOOKUP($A1039,Bat!$A$4:$BA$1417,47,FALSE),VLOOKUP($A1039,Pit!$A$4:$BF$570,56,FALSE))</f>
        <v>0</v>
      </c>
      <c r="V1039" s="52">
        <f>IF($C1039="B",VLOOKUP($A1039,Bat!$A$4:$BA$1417,48,FALSE),VLOOKUP($A1039,Pit!$A$4:$BF$570,57,FALSE))</f>
        <v>0</v>
      </c>
      <c r="W1039" s="52">
        <f>Table5[[#This Row],[posRnk]]+Table5[[#This Row],[zRnk]]+IF($W$3&lt;&gt;Table5[[#This Row],[Type]],50,0)</f>
        <v>1085</v>
      </c>
      <c r="X1039" s="53">
        <f>RANK(Table5[[#This Row],[zScore]],Table5[[#All],[zScore]])</f>
        <v>1035</v>
      </c>
      <c r="Y1039" s="52" t="str">
        <f>IFERROR(INDEX(DraftResults[[#All],[OVR]],MATCH(Table5[[#This Row],[PID]],DraftResults[[#All],[Player ID]],0)),"")</f>
        <v/>
      </c>
      <c r="Z10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9" s="52" t="str">
        <f>IFERROR(INDEX(DraftResults[[#All],[Pick in Round]],MATCH(Table5[[#This Row],[PID]],DraftResults[[#All],[Player ID]],0)),"")</f>
        <v/>
      </c>
      <c r="AB1039" s="52" t="str">
        <f>IFERROR(INDEX(DraftResults[[#All],[Team Name]],MATCH(Table5[[#This Row],[PID]],DraftResults[[#All],[Player ID]],0)),"")</f>
        <v/>
      </c>
      <c r="AC1039" s="52" t="str">
        <f>IF(Table5[[#This Row],[Ovr]]="","",IF(Table5[[#This Row],[cmbList]]="","",Table5[[#This Row],[cmbList]]-Table5[[#This Row],[Ovr]]))</f>
        <v/>
      </c>
      <c r="AD1039" s="56" t="str">
        <f>IF(ISERROR(VLOOKUP($AB1039&amp;"-"&amp;$E1039&amp;" "&amp;F1039,Bonuses!$B$1:$G$1006,4,FALSE)),"",INT(VLOOKUP($AB1039&amp;"-"&amp;$E1039&amp;" "&amp;$F1039,Bonuses!$B$1:$G$1006,4,FALSE)))</f>
        <v/>
      </c>
      <c r="AE10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0" spans="1:31" s="52" customFormat="1" x14ac:dyDescent="0.25">
      <c r="A1040" s="52">
        <v>4779</v>
      </c>
      <c r="B1040" s="52">
        <f>COUNTIF(Table5[PID],A1040)</f>
        <v>1</v>
      </c>
      <c r="C1040" s="52" t="str">
        <f>IF(COUNTIF(Table3[[#All],[PID]],A1040)&gt;0,"P","B")</f>
        <v>B</v>
      </c>
      <c r="D1040" s="61" t="str">
        <f>IF($C1040="B",INDEX(Batters[[#All],[POS]],MATCH(Table5[[#This Row],[PID]],Batters[[#All],[PID]],0)),INDEX(Table3[[#All],[POS]],MATCH(Table5[[#This Row],[PID]],Table3[[#All],[PID]],0)))</f>
        <v>CF</v>
      </c>
      <c r="E1040" s="54" t="str">
        <f>IF($C1040="B",INDEX(Batters[[#All],[First]],MATCH(Table5[[#This Row],[PID]],Batters[[#All],[PID]],0)),INDEX(Table3[[#All],[First]],MATCH(Table5[[#This Row],[PID]],Table3[[#All],[PID]],0)))</f>
        <v>Todd</v>
      </c>
      <c r="F1040" s="52" t="str">
        <f>IF($C1040="B",INDEX(Batters[[#All],[Last]],MATCH(A1040,Batters[[#All],[PID]],0)),INDEX(Table3[[#All],[Last]],MATCH(A1040,Table3[[#All],[PID]],0)))</f>
        <v>Nix</v>
      </c>
      <c r="G1040" s="58">
        <f>IF($C1040="B",INDEX(Batters[[#All],[Age]],MATCH(Table5[[#This Row],[PID]],Batters[[#All],[PID]],0)),INDEX(Table3[[#All],[Age]],MATCH(Table5[[#This Row],[PID]],Table3[[#All],[PID]],0)))</f>
        <v>22</v>
      </c>
      <c r="H1040" s="54" t="str">
        <f>IF($C1040="B",INDEX(Batters[[#All],[B]],MATCH(Table5[[#This Row],[PID]],Batters[[#All],[PID]],0)),INDEX(Table3[[#All],[B]],MATCH(Table5[[#This Row],[PID]],Table3[[#All],[PID]],0)))</f>
        <v>R</v>
      </c>
      <c r="I1040" s="54" t="str">
        <f>IF($C1040="B",INDEX(Batters[[#All],[T]],MATCH(Table5[[#This Row],[PID]],Batters[[#All],[PID]],0)),INDEX(Table3[[#All],[T]],MATCH(Table5[[#This Row],[PID]],Table3[[#All],[PID]],0)))</f>
        <v>R</v>
      </c>
      <c r="J1040" s="54" t="str">
        <f>IF($C1040="B",INDEX(Batters[[#All],[WE]],MATCH(Table5[[#This Row],[PID]],Batters[[#All],[PID]],0)),INDEX(Table3[[#All],[WE]],MATCH(Table5[[#This Row],[PID]],Table3[[#All],[PID]],0)))</f>
        <v>Normal</v>
      </c>
      <c r="K1040" s="54" t="str">
        <f>IF($C1040="B",INDEX(Batters[[#All],[INT]],MATCH(Table5[[#This Row],[PID]],Batters[[#All],[PID]],0)),INDEX(Table3[[#All],[INT]],MATCH(Table5[[#This Row],[PID]],Table3[[#All],[PID]],0)))</f>
        <v>Normal</v>
      </c>
      <c r="L1040" s="62">
        <f>IF($C1040="B",INDEX(Batters[[#All],[CON P]],MATCH(Table5[[#This Row],[PID]],Batters[[#All],[PID]],0)),INDEX(Table3[[#All],[STU P]],MATCH(Table5[[#This Row],[PID]],Table3[[#All],[PID]],0)))</f>
        <v>3</v>
      </c>
      <c r="M1040" s="58">
        <f>IF($C1040="B",INDEX(Batters[[#All],[GAP P]],MATCH(Table5[[#This Row],[PID]],Batters[[#All],[PID]],0)),INDEX(Table3[[#All],[MOV P]],MATCH(Table5[[#This Row],[PID]],Table3[[#All],[PID]],0)))</f>
        <v>3</v>
      </c>
      <c r="N1040" s="58">
        <f>IF($C1040="B",INDEX(Batters[[#All],[POW P]],MATCH(Table5[[#This Row],[PID]],Batters[[#All],[PID]],0)),INDEX(Table3[[#All],[CON P]],MATCH(Table5[[#This Row],[PID]],Table3[[#All],[PID]],0)))</f>
        <v>3</v>
      </c>
      <c r="O1040" s="58">
        <f>IF($C1040="B",INDEX(Batters[[#All],[EYE P]],MATCH(Table5[[#This Row],[PID]],Batters[[#All],[PID]],0)),INDEX(Table3[[#All],[VELO]],MATCH(Table5[[#This Row],[PID]],Table3[[#All],[PID]],0)))</f>
        <v>3</v>
      </c>
      <c r="P1040" s="58">
        <f>IF($C1040="B",INDEX(Batters[[#All],[K P]],MATCH(Table5[[#This Row],[PID]],Batters[[#All],[PID]],0)),INDEX(Table3[[#All],[STM]],MATCH(Table5[[#This Row],[PID]],Table3[[#All],[PID]],0)))</f>
        <v>2</v>
      </c>
      <c r="Q1040" s="63">
        <f>IF($C1040="B",INDEX(Batters[[#All],[Tot]],MATCH(Table5[[#This Row],[PID]],Batters[[#All],[PID]],0)),INDEX(Table3[[#All],[Tot]],MATCH(Table5[[#This Row],[PID]],Table3[[#All],[PID]],0)))</f>
        <v>34.311973540439922</v>
      </c>
      <c r="R1040" s="54">
        <f>IF($C1040="B",INDEX(Batters[[#All],[zScore]],MATCH(Table5[[#This Row],[PID]],Batters[[#All],[PID]],0)),INDEX(Table3[[#All],[zScore]],MATCH(Table5[[#This Row],[PID]],Table3[[#All],[PID]],0)))</f>
        <v>-1.0620422593216257</v>
      </c>
      <c r="S1040" s="60" t="str">
        <f>IF($C1040="B",INDEX(Batters[[#All],[DEM]],MATCH(Table5[[#This Row],[PID]],Batters[[#All],[PID]],0)),INDEX(Table3[[#All],[DEM]],MATCH(Table5[[#This Row],[PID]],Table3[[#All],[PID]],0)))</f>
        <v>-</v>
      </c>
      <c r="T1040" s="64">
        <f>IF($C1040="B",VLOOKUP($A1040,Bat!$A$4:$AU$1417,46,FALSE),VLOOKUP($A1040,Pit!$A$4:$BD$570,55,FALSE))</f>
        <v>0</v>
      </c>
      <c r="U1040" s="52">
        <f>IF($C1040="B",VLOOKUP($A1040,Bat!$A$4:$BA$1417,47,FALSE),VLOOKUP($A1040,Pit!$A$4:$BF$570,56,FALSE))</f>
        <v>0</v>
      </c>
      <c r="V1040" s="52">
        <f>IF($C1040="B",VLOOKUP($A1040,Bat!$A$4:$BA$1417,48,FALSE),VLOOKUP($A1040,Pit!$A$4:$BF$570,57,FALSE))</f>
        <v>0</v>
      </c>
      <c r="W1040" s="52">
        <f>Table5[[#This Row],[posRnk]]+Table5[[#This Row],[zRnk]]+IF($W$3&lt;&gt;Table5[[#This Row],[Type]],50,0)</f>
        <v>1086</v>
      </c>
      <c r="X1040" s="53">
        <f>RANK(Table5[[#This Row],[zScore]],Table5[[#All],[zScore]])</f>
        <v>1036</v>
      </c>
      <c r="Y1040" s="52" t="str">
        <f>IFERROR(INDEX(DraftResults[[#All],[OVR]],MATCH(Table5[[#This Row],[PID]],DraftResults[[#All],[Player ID]],0)),"")</f>
        <v/>
      </c>
      <c r="Z10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0" s="52" t="str">
        <f>IFERROR(INDEX(DraftResults[[#All],[Pick in Round]],MATCH(Table5[[#This Row],[PID]],DraftResults[[#All],[Player ID]],0)),"")</f>
        <v/>
      </c>
      <c r="AB1040" s="52" t="str">
        <f>IFERROR(INDEX(DraftResults[[#All],[Team Name]],MATCH(Table5[[#This Row],[PID]],DraftResults[[#All],[Player ID]],0)),"")</f>
        <v/>
      </c>
      <c r="AC1040" s="52" t="str">
        <f>IF(Table5[[#This Row],[Ovr]]="","",IF(Table5[[#This Row],[cmbList]]="","",Table5[[#This Row],[cmbList]]-Table5[[#This Row],[Ovr]]))</f>
        <v/>
      </c>
      <c r="AD1040" s="56" t="str">
        <f>IF(ISERROR(VLOOKUP($AB1040&amp;"-"&amp;$E1040&amp;" "&amp;F1040,Bonuses!$B$1:$G$1006,4,FALSE)),"",INT(VLOOKUP($AB1040&amp;"-"&amp;$E1040&amp;" "&amp;$F1040,Bonuses!$B$1:$G$1006,4,FALSE)))</f>
        <v/>
      </c>
      <c r="AE10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1" spans="1:31" s="52" customFormat="1" x14ac:dyDescent="0.25">
      <c r="A1041" s="52">
        <v>14487</v>
      </c>
      <c r="B1041" s="52">
        <f>COUNTIF(Table5[PID],A1041)</f>
        <v>1</v>
      </c>
      <c r="C1041" s="52" t="str">
        <f>IF(COUNTIF(Table3[[#All],[PID]],A1041)&gt;0,"P","B")</f>
        <v>P</v>
      </c>
      <c r="D1041" s="61" t="str">
        <f>IF($C1041="B",INDEX(Batters[[#All],[POS]],MATCH(Table5[[#This Row],[PID]],Batters[[#All],[PID]],0)),INDEX(Table3[[#All],[POS]],MATCH(Table5[[#This Row],[PID]],Table3[[#All],[PID]],0)))</f>
        <v>RP</v>
      </c>
      <c r="E1041" s="54" t="str">
        <f>IF($C1041="B",INDEX(Batters[[#All],[First]],MATCH(Table5[[#This Row],[PID]],Batters[[#All],[PID]],0)),INDEX(Table3[[#All],[First]],MATCH(Table5[[#This Row],[PID]],Table3[[#All],[PID]],0)))</f>
        <v>Pancho</v>
      </c>
      <c r="F1041" s="52" t="str">
        <f>IF($C1041="B",INDEX(Batters[[#All],[Last]],MATCH(A1041,Batters[[#All],[PID]],0)),INDEX(Table3[[#All],[Last]],MATCH(A1041,Table3[[#All],[PID]],0)))</f>
        <v>Díaz</v>
      </c>
      <c r="G1041" s="58">
        <f>IF($C1041="B",INDEX(Batters[[#All],[Age]],MATCH(Table5[[#This Row],[PID]],Batters[[#All],[PID]],0)),INDEX(Table3[[#All],[Age]],MATCH(Table5[[#This Row],[PID]],Table3[[#All],[PID]],0)))</f>
        <v>18</v>
      </c>
      <c r="H1041" s="54" t="str">
        <f>IF($C1041="B",INDEX(Batters[[#All],[B]],MATCH(Table5[[#This Row],[PID]],Batters[[#All],[PID]],0)),INDEX(Table3[[#All],[B]],MATCH(Table5[[#This Row],[PID]],Table3[[#All],[PID]],0)))</f>
        <v>R</v>
      </c>
      <c r="I1041" s="54" t="str">
        <f>IF($C1041="B",INDEX(Batters[[#All],[T]],MATCH(Table5[[#This Row],[PID]],Batters[[#All],[PID]],0)),INDEX(Table3[[#All],[T]],MATCH(Table5[[#This Row],[PID]],Table3[[#All],[PID]],0)))</f>
        <v>R</v>
      </c>
      <c r="J1041" s="54" t="str">
        <f>IF($C1041="B",INDEX(Batters[[#All],[WE]],MATCH(Table5[[#This Row],[PID]],Batters[[#All],[PID]],0)),INDEX(Table3[[#All],[WE]],MATCH(Table5[[#This Row],[PID]],Table3[[#All],[PID]],0)))</f>
        <v>Low</v>
      </c>
      <c r="K1041" s="54" t="str">
        <f>IF($C1041="B",INDEX(Batters[[#All],[INT]],MATCH(Table5[[#This Row],[PID]],Batters[[#All],[PID]],0)),INDEX(Table3[[#All],[INT]],MATCH(Table5[[#This Row],[PID]],Table3[[#All],[PID]],0)))</f>
        <v>Normal</v>
      </c>
      <c r="L1041" s="62">
        <f>IF($C1041="B",INDEX(Batters[[#All],[CON P]],MATCH(Table5[[#This Row],[PID]],Batters[[#All],[PID]],0)),INDEX(Table3[[#All],[STU P]],MATCH(Table5[[#This Row],[PID]],Table3[[#All],[PID]],0)))</f>
        <v>4</v>
      </c>
      <c r="M1041" s="58">
        <f>IF($C1041="B",INDEX(Batters[[#All],[GAP P]],MATCH(Table5[[#This Row],[PID]],Batters[[#All],[PID]],0)),INDEX(Table3[[#All],[MOV P]],MATCH(Table5[[#This Row],[PID]],Table3[[#All],[PID]],0)))</f>
        <v>1</v>
      </c>
      <c r="N1041" s="58">
        <f>IF($C1041="B",INDEX(Batters[[#All],[POW P]],MATCH(Table5[[#This Row],[PID]],Batters[[#All],[PID]],0)),INDEX(Table3[[#All],[CON P]],MATCH(Table5[[#This Row],[PID]],Table3[[#All],[PID]],0)))</f>
        <v>1</v>
      </c>
      <c r="O1041" s="58" t="str">
        <f>IF($C1041="B",INDEX(Batters[[#All],[EYE P]],MATCH(Table5[[#This Row],[PID]],Batters[[#All],[PID]],0)),INDEX(Table3[[#All],[VELO]],MATCH(Table5[[#This Row],[PID]],Table3[[#All],[PID]],0)))</f>
        <v>88-90 Mph</v>
      </c>
      <c r="P1041" s="58">
        <f>IF($C1041="B",INDEX(Batters[[#All],[K P]],MATCH(Table5[[#This Row],[PID]],Batters[[#All],[PID]],0)),INDEX(Table3[[#All],[STM]],MATCH(Table5[[#This Row],[PID]],Table3[[#All],[PID]],0)))</f>
        <v>6</v>
      </c>
      <c r="Q1041" s="63">
        <f>IF($C1041="B",INDEX(Batters[[#All],[Tot]],MATCH(Table5[[#This Row],[PID]],Batters[[#All],[PID]],0)),INDEX(Table3[[#All],[Tot]],MATCH(Table5[[#This Row],[PID]],Table3[[#All],[PID]],0)))</f>
        <v>21.140072864666983</v>
      </c>
      <c r="R1041" s="54">
        <f>IF($C1041="B",INDEX(Batters[[#All],[zScore]],MATCH(Table5[[#This Row],[PID]],Batters[[#All],[PID]],0)),INDEX(Table3[[#All],[zScore]],MATCH(Table5[[#This Row],[PID]],Table3[[#All],[PID]],0)))</f>
        <v>-1.0621352248965996</v>
      </c>
      <c r="S1041" s="60" t="str">
        <f>IF($C1041="B",INDEX(Batters[[#All],[DEM]],MATCH(Table5[[#This Row],[PID]],Batters[[#All],[PID]],0)),INDEX(Table3[[#All],[DEM]],MATCH(Table5[[#This Row],[PID]],Table3[[#All],[PID]],0)))</f>
        <v>$100k</v>
      </c>
      <c r="T1041" s="64">
        <f>IF($C1041="B",VLOOKUP($A1041,Bat!$A$4:$AU$1417,46,FALSE),VLOOKUP($A1041,Pit!$A$4:$BD$570,55,FALSE))</f>
        <v>0</v>
      </c>
      <c r="U1041" s="52">
        <f>IF($C1041="B",VLOOKUP($A1041,Bat!$A$4:$BA$1417,47,FALSE),VLOOKUP($A1041,Pit!$A$4:$BF$570,56,FALSE))</f>
        <v>0</v>
      </c>
      <c r="V1041" s="52">
        <f>IF($C1041="B",VLOOKUP($A1041,Bat!$A$4:$BA$1417,48,FALSE),VLOOKUP($A1041,Pit!$A$4:$BF$570,57,FALSE))</f>
        <v>0</v>
      </c>
      <c r="W1041" s="52">
        <f>Table5[[#This Row],[posRnk]]+Table5[[#This Row],[zRnk]]+IF($W$3&lt;&gt;Table5[[#This Row],[Type]],50,0)</f>
        <v>1087</v>
      </c>
      <c r="X1041" s="53">
        <f>RANK(Table5[[#This Row],[zScore]],Table5[[#All],[zScore]])</f>
        <v>1037</v>
      </c>
      <c r="Y1041" s="52" t="str">
        <f>IFERROR(INDEX(DraftResults[[#All],[OVR]],MATCH(Table5[[#This Row],[PID]],DraftResults[[#All],[Player ID]],0)),"")</f>
        <v/>
      </c>
      <c r="Z10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1" s="52" t="str">
        <f>IFERROR(INDEX(DraftResults[[#All],[Pick in Round]],MATCH(Table5[[#This Row],[PID]],DraftResults[[#All],[Player ID]],0)),"")</f>
        <v/>
      </c>
      <c r="AB1041" s="52" t="str">
        <f>IFERROR(INDEX(DraftResults[[#All],[Team Name]],MATCH(Table5[[#This Row],[PID]],DraftResults[[#All],[Player ID]],0)),"")</f>
        <v/>
      </c>
      <c r="AC1041" s="52" t="str">
        <f>IF(Table5[[#This Row],[Ovr]]="","",IF(Table5[[#This Row],[cmbList]]="","",Table5[[#This Row],[cmbList]]-Table5[[#This Row],[Ovr]]))</f>
        <v/>
      </c>
      <c r="AD1041" s="56" t="str">
        <f>IF(ISERROR(VLOOKUP($AB1041&amp;"-"&amp;$E1041&amp;" "&amp;F1041,Bonuses!$B$1:$G$1006,4,FALSE)),"",INT(VLOOKUP($AB1041&amp;"-"&amp;$E1041&amp;" "&amp;$F1041,Bonuses!$B$1:$G$1006,4,FALSE)))</f>
        <v/>
      </c>
      <c r="AE10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2" spans="1:31" s="52" customFormat="1" x14ac:dyDescent="0.25">
      <c r="A1042" s="52">
        <v>12304</v>
      </c>
      <c r="B1042" s="52">
        <f>COUNTIF(Table5[PID],A1042)</f>
        <v>1</v>
      </c>
      <c r="C1042" s="52" t="str">
        <f>IF(COUNTIF(Table3[[#All],[PID]],A1042)&gt;0,"P","B")</f>
        <v>P</v>
      </c>
      <c r="D1042" s="61" t="str">
        <f>IF($C1042="B",INDEX(Batters[[#All],[POS]],MATCH(Table5[[#This Row],[PID]],Batters[[#All],[PID]],0)),INDEX(Table3[[#All],[POS]],MATCH(Table5[[#This Row],[PID]],Table3[[#All],[PID]],0)))</f>
        <v>RP</v>
      </c>
      <c r="E1042" s="54" t="str">
        <f>IF($C1042="B",INDEX(Batters[[#All],[First]],MATCH(Table5[[#This Row],[PID]],Batters[[#All],[PID]],0)),INDEX(Table3[[#All],[First]],MATCH(Table5[[#This Row],[PID]],Table3[[#All],[PID]],0)))</f>
        <v>Doug</v>
      </c>
      <c r="F1042" s="52" t="str">
        <f>IF($C1042="B",INDEX(Batters[[#All],[Last]],MATCH(A1042,Batters[[#All],[PID]],0)),INDEX(Table3[[#All],[Last]],MATCH(A1042,Table3[[#All],[PID]],0)))</f>
        <v>Hankey</v>
      </c>
      <c r="G1042" s="58">
        <f>IF($C1042="B",INDEX(Batters[[#All],[Age]],MATCH(Table5[[#This Row],[PID]],Batters[[#All],[PID]],0)),INDEX(Table3[[#All],[Age]],MATCH(Table5[[#This Row],[PID]],Table3[[#All],[PID]],0)))</f>
        <v>22</v>
      </c>
      <c r="H1042" s="54" t="str">
        <f>IF($C1042="B",INDEX(Batters[[#All],[B]],MATCH(Table5[[#This Row],[PID]],Batters[[#All],[PID]],0)),INDEX(Table3[[#All],[B]],MATCH(Table5[[#This Row],[PID]],Table3[[#All],[PID]],0)))</f>
        <v>S</v>
      </c>
      <c r="I1042" s="54" t="str">
        <f>IF($C1042="B",INDEX(Batters[[#All],[T]],MATCH(Table5[[#This Row],[PID]],Batters[[#All],[PID]],0)),INDEX(Table3[[#All],[T]],MATCH(Table5[[#This Row],[PID]],Table3[[#All],[PID]],0)))</f>
        <v>L</v>
      </c>
      <c r="J1042" s="54" t="str">
        <f>IF($C1042="B",INDEX(Batters[[#All],[WE]],MATCH(Table5[[#This Row],[PID]],Batters[[#All],[PID]],0)),INDEX(Table3[[#All],[WE]],MATCH(Table5[[#This Row],[PID]],Table3[[#All],[PID]],0)))</f>
        <v>Low</v>
      </c>
      <c r="K1042" s="54" t="str">
        <f>IF($C1042="B",INDEX(Batters[[#All],[INT]],MATCH(Table5[[#This Row],[PID]],Batters[[#All],[PID]],0)),INDEX(Table3[[#All],[INT]],MATCH(Table5[[#This Row],[PID]],Table3[[#All],[PID]],0)))</f>
        <v>Normal</v>
      </c>
      <c r="L1042" s="62">
        <f>IF($C1042="B",INDEX(Batters[[#All],[CON P]],MATCH(Table5[[#This Row],[PID]],Batters[[#All],[PID]],0)),INDEX(Table3[[#All],[STU P]],MATCH(Table5[[#This Row],[PID]],Table3[[#All],[PID]],0)))</f>
        <v>4</v>
      </c>
      <c r="M1042" s="58">
        <f>IF($C1042="B",INDEX(Batters[[#All],[GAP P]],MATCH(Table5[[#This Row],[PID]],Batters[[#All],[PID]],0)),INDEX(Table3[[#All],[MOV P]],MATCH(Table5[[#This Row],[PID]],Table3[[#All],[PID]],0)))</f>
        <v>1</v>
      </c>
      <c r="N1042" s="58">
        <f>IF($C1042="B",INDEX(Batters[[#All],[POW P]],MATCH(Table5[[#This Row],[PID]],Batters[[#All],[PID]],0)),INDEX(Table3[[#All],[CON P]],MATCH(Table5[[#This Row],[PID]],Table3[[#All],[PID]],0)))</f>
        <v>2</v>
      </c>
      <c r="O1042" s="58" t="str">
        <f>IF($C1042="B",INDEX(Batters[[#All],[EYE P]],MATCH(Table5[[#This Row],[PID]],Batters[[#All],[PID]],0)),INDEX(Table3[[#All],[VELO]],MATCH(Table5[[#This Row],[PID]],Table3[[#All],[PID]],0)))</f>
        <v>87-89 Mph</v>
      </c>
      <c r="P1042" s="58">
        <f>IF($C1042="B",INDEX(Batters[[#All],[K P]],MATCH(Table5[[#This Row],[PID]],Batters[[#All],[PID]],0)),INDEX(Table3[[#All],[STM]],MATCH(Table5[[#This Row],[PID]],Table3[[#All],[PID]],0)))</f>
        <v>6</v>
      </c>
      <c r="Q1042" s="63">
        <f>IF($C1042="B",INDEX(Batters[[#All],[Tot]],MATCH(Table5[[#This Row],[PID]],Batters[[#All],[PID]],0)),INDEX(Table3[[#All],[Tot]],MATCH(Table5[[#This Row],[PID]],Table3[[#All],[PID]],0)))</f>
        <v>21.100541221381981</v>
      </c>
      <c r="R1042" s="54">
        <f>IF($C1042="B",INDEX(Batters[[#All],[zScore]],MATCH(Table5[[#This Row],[PID]],Batters[[#All],[PID]],0)),INDEX(Table3[[#All],[zScore]],MATCH(Table5[[#This Row],[PID]],Table3[[#All],[PID]],0)))</f>
        <v>-1.0657604455476288</v>
      </c>
      <c r="S1042" s="60" t="str">
        <f>IF($C1042="B",INDEX(Batters[[#All],[DEM]],MATCH(Table5[[#This Row],[PID]],Batters[[#All],[PID]],0)),INDEX(Table3[[#All],[DEM]],MATCH(Table5[[#This Row],[PID]],Table3[[#All],[PID]],0)))</f>
        <v>-</v>
      </c>
      <c r="T1042" s="64">
        <f>IF($C1042="B",VLOOKUP($A1042,Bat!$A$4:$AU$1417,46,FALSE),VLOOKUP($A1042,Pit!$A$4:$BD$570,55,FALSE))</f>
        <v>0</v>
      </c>
      <c r="U1042" s="52">
        <f>IF($C1042="B",VLOOKUP($A1042,Bat!$A$4:$BA$1417,47,FALSE),VLOOKUP($A1042,Pit!$A$4:$BF$570,56,FALSE))</f>
        <v>0</v>
      </c>
      <c r="V1042" s="52">
        <f>IF($C1042="B",VLOOKUP($A1042,Bat!$A$4:$BA$1417,48,FALSE),VLOOKUP($A1042,Pit!$A$4:$BF$570,57,FALSE))</f>
        <v>0</v>
      </c>
      <c r="W1042" s="52">
        <f>Table5[[#This Row],[posRnk]]+Table5[[#This Row],[zRnk]]+IF($W$3&lt;&gt;Table5[[#This Row],[Type]],50,0)</f>
        <v>1088</v>
      </c>
      <c r="X1042" s="53">
        <f>RANK(Table5[[#This Row],[zScore]],Table5[[#All],[zScore]])</f>
        <v>1038</v>
      </c>
      <c r="Y1042" s="52" t="str">
        <f>IFERROR(INDEX(DraftResults[[#All],[OVR]],MATCH(Table5[[#This Row],[PID]],DraftResults[[#All],[Player ID]],0)),"")</f>
        <v/>
      </c>
      <c r="Z10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2" s="52" t="str">
        <f>IFERROR(INDEX(DraftResults[[#All],[Pick in Round]],MATCH(Table5[[#This Row],[PID]],DraftResults[[#All],[Player ID]],0)),"")</f>
        <v/>
      </c>
      <c r="AB1042" s="52" t="str">
        <f>IFERROR(INDEX(DraftResults[[#All],[Team Name]],MATCH(Table5[[#This Row],[PID]],DraftResults[[#All],[Player ID]],0)),"")</f>
        <v/>
      </c>
      <c r="AC1042" s="52" t="str">
        <f>IF(Table5[[#This Row],[Ovr]]="","",IF(Table5[[#This Row],[cmbList]]="","",Table5[[#This Row],[cmbList]]-Table5[[#This Row],[Ovr]]))</f>
        <v/>
      </c>
      <c r="AD1042" s="56" t="str">
        <f>IF(ISERROR(VLOOKUP($AB1042&amp;"-"&amp;$E1042&amp;" "&amp;F1042,Bonuses!$B$1:$G$1006,4,FALSE)),"",INT(VLOOKUP($AB1042&amp;"-"&amp;$E1042&amp;" "&amp;$F1042,Bonuses!$B$1:$G$1006,4,FALSE)))</f>
        <v/>
      </c>
      <c r="AE10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3" spans="1:31" s="52" customFormat="1" x14ac:dyDescent="0.25">
      <c r="A1043" s="52">
        <v>14903</v>
      </c>
      <c r="B1043" s="52">
        <f>COUNTIF(Table5[PID],A1043)</f>
        <v>1</v>
      </c>
      <c r="C1043" s="52" t="str">
        <f>IF(COUNTIF(Table3[[#All],[PID]],A1043)&gt;0,"P","B")</f>
        <v>P</v>
      </c>
      <c r="D1043" s="61" t="str">
        <f>IF($C1043="B",INDEX(Batters[[#All],[POS]],MATCH(Table5[[#This Row],[PID]],Batters[[#All],[PID]],0)),INDEX(Table3[[#All],[POS]],MATCH(Table5[[#This Row],[PID]],Table3[[#All],[PID]],0)))</f>
        <v>RP</v>
      </c>
      <c r="E1043" s="54" t="str">
        <f>IF($C1043="B",INDEX(Batters[[#All],[First]],MATCH(Table5[[#This Row],[PID]],Batters[[#All],[PID]],0)),INDEX(Table3[[#All],[First]],MATCH(Table5[[#This Row],[PID]],Table3[[#All],[PID]],0)))</f>
        <v>Tabito</v>
      </c>
      <c r="F1043" s="52" t="str">
        <f>IF($C1043="B",INDEX(Batters[[#All],[Last]],MATCH(A1043,Batters[[#All],[PID]],0)),INDEX(Table3[[#All],[Last]],MATCH(A1043,Table3[[#All],[PID]],0)))</f>
        <v>Tenno</v>
      </c>
      <c r="G1043" s="58">
        <f>IF($C1043="B",INDEX(Batters[[#All],[Age]],MATCH(Table5[[#This Row],[PID]],Batters[[#All],[PID]],0)),INDEX(Table3[[#All],[Age]],MATCH(Table5[[#This Row],[PID]],Table3[[#All],[PID]],0)))</f>
        <v>21</v>
      </c>
      <c r="H1043" s="54" t="str">
        <f>IF($C1043="B",INDEX(Batters[[#All],[B]],MATCH(Table5[[#This Row],[PID]],Batters[[#All],[PID]],0)),INDEX(Table3[[#All],[B]],MATCH(Table5[[#This Row],[PID]],Table3[[#All],[PID]],0)))</f>
        <v>R</v>
      </c>
      <c r="I1043" s="54" t="str">
        <f>IF($C1043="B",INDEX(Batters[[#All],[T]],MATCH(Table5[[#This Row],[PID]],Batters[[#All],[PID]],0)),INDEX(Table3[[#All],[T]],MATCH(Table5[[#This Row],[PID]],Table3[[#All],[PID]],0)))</f>
        <v>R</v>
      </c>
      <c r="J1043" s="54" t="str">
        <f>IF($C1043="B",INDEX(Batters[[#All],[WE]],MATCH(Table5[[#This Row],[PID]],Batters[[#All],[PID]],0)),INDEX(Table3[[#All],[WE]],MATCH(Table5[[#This Row],[PID]],Table3[[#All],[PID]],0)))</f>
        <v>Normal</v>
      </c>
      <c r="K1043" s="54" t="str">
        <f>IF($C1043="B",INDEX(Batters[[#All],[INT]],MATCH(Table5[[#This Row],[PID]],Batters[[#All],[PID]],0)),INDEX(Table3[[#All],[INT]],MATCH(Table5[[#This Row],[PID]],Table3[[#All],[PID]],0)))</f>
        <v>Low</v>
      </c>
      <c r="L1043" s="62">
        <f>IF($C1043="B",INDEX(Batters[[#All],[CON P]],MATCH(Table5[[#This Row],[PID]],Batters[[#All],[PID]],0)),INDEX(Table3[[#All],[STU P]],MATCH(Table5[[#This Row],[PID]],Table3[[#All],[PID]],0)))</f>
        <v>2</v>
      </c>
      <c r="M1043" s="58">
        <f>IF($C1043="B",INDEX(Batters[[#All],[GAP P]],MATCH(Table5[[#This Row],[PID]],Batters[[#All],[PID]],0)),INDEX(Table3[[#All],[MOV P]],MATCH(Table5[[#This Row],[PID]],Table3[[#All],[PID]],0)))</f>
        <v>2</v>
      </c>
      <c r="N1043" s="58">
        <f>IF($C1043="B",INDEX(Batters[[#All],[POW P]],MATCH(Table5[[#This Row],[PID]],Batters[[#All],[PID]],0)),INDEX(Table3[[#All],[CON P]],MATCH(Table5[[#This Row],[PID]],Table3[[#All],[PID]],0)))</f>
        <v>2</v>
      </c>
      <c r="O1043" s="58" t="str">
        <f>IF($C1043="B",INDEX(Batters[[#All],[EYE P]],MATCH(Table5[[#This Row],[PID]],Batters[[#All],[PID]],0)),INDEX(Table3[[#All],[VELO]],MATCH(Table5[[#This Row],[PID]],Table3[[#All],[PID]],0)))</f>
        <v>83-85 Mph</v>
      </c>
      <c r="P1043" s="58">
        <f>IF($C1043="B",INDEX(Batters[[#All],[K P]],MATCH(Table5[[#This Row],[PID]],Batters[[#All],[PID]],0)),INDEX(Table3[[#All],[STM]],MATCH(Table5[[#This Row],[PID]],Table3[[#All],[PID]],0)))</f>
        <v>7</v>
      </c>
      <c r="Q1043" s="63">
        <f>IF($C1043="B",INDEX(Batters[[#All],[Tot]],MATCH(Table5[[#This Row],[PID]],Batters[[#All],[PID]],0)),INDEX(Table3[[#All],[Tot]],MATCH(Table5[[#This Row],[PID]],Table3[[#All],[PID]],0)))</f>
        <v>18.225084701853874</v>
      </c>
      <c r="R1043" s="54">
        <f>IF($C1043="B",INDEX(Batters[[#All],[zScore]],MATCH(Table5[[#This Row],[PID]],Batters[[#All],[PID]],0)),INDEX(Table3[[#All],[zScore]],MATCH(Table5[[#This Row],[PID]],Table3[[#All],[PID]],0)))</f>
        <v>-1.066624491414107</v>
      </c>
      <c r="S1043" s="60" t="str">
        <f>IF($C1043="B",INDEX(Batters[[#All],[DEM]],MATCH(Table5[[#This Row],[PID]],Batters[[#All],[PID]],0)),INDEX(Table3[[#All],[DEM]],MATCH(Table5[[#This Row],[PID]],Table3[[#All],[PID]],0)))</f>
        <v>-</v>
      </c>
      <c r="T1043" s="64" t="e">
        <f>IF($C1043="B",VLOOKUP($A1043,Bat!$A$4:$AU$1417,46,FALSE),VLOOKUP($A1043,Pit!$A$4:$BD$570,55,FALSE))</f>
        <v>#N/A</v>
      </c>
      <c r="U1043" s="52" t="e">
        <f>IF($C1043="B",VLOOKUP($A1043,Bat!$A$4:$BA$1417,47,FALSE),VLOOKUP($A1043,Pit!$A$4:$BF$570,56,FALSE))</f>
        <v>#N/A</v>
      </c>
      <c r="V1043" s="52" t="e">
        <f>IF($C1043="B",VLOOKUP($A1043,Bat!$A$4:$BA$1417,48,FALSE),VLOOKUP($A1043,Pit!$A$4:$BF$570,57,FALSE))</f>
        <v>#N/A</v>
      </c>
      <c r="W1043" s="52" t="e">
        <f>Table5[[#This Row],[posRnk]]+Table5[[#This Row],[zRnk]]+IF($W$3&lt;&gt;Table5[[#This Row],[Type]],50,0)</f>
        <v>#N/A</v>
      </c>
      <c r="X1043" s="53">
        <f>RANK(Table5[[#This Row],[zScore]],Table5[[#All],[zScore]])</f>
        <v>1039</v>
      </c>
      <c r="Y1043" s="52" t="str">
        <f>IFERROR(INDEX(DraftResults[[#All],[OVR]],MATCH(Table5[[#This Row],[PID]],DraftResults[[#All],[Player ID]],0)),"")</f>
        <v/>
      </c>
      <c r="Z10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3" s="52" t="str">
        <f>IFERROR(INDEX(DraftResults[[#All],[Pick in Round]],MATCH(Table5[[#This Row],[PID]],DraftResults[[#All],[Player ID]],0)),"")</f>
        <v/>
      </c>
      <c r="AB1043" s="52" t="str">
        <f>IFERROR(INDEX(DraftResults[[#All],[Team Name]],MATCH(Table5[[#This Row],[PID]],DraftResults[[#All],[Player ID]],0)),"")</f>
        <v/>
      </c>
      <c r="AC1043" s="52" t="str">
        <f>IF(Table5[[#This Row],[Ovr]]="","",IF(Table5[[#This Row],[cmbList]]="","",Table5[[#This Row],[cmbList]]-Table5[[#This Row],[Ovr]]))</f>
        <v/>
      </c>
      <c r="AD1043" s="56" t="str">
        <f>IF(ISERROR(VLOOKUP($AB1043&amp;"-"&amp;$E1043&amp;" "&amp;F1043,Bonuses!$B$1:$G$1006,4,FALSE)),"",INT(VLOOKUP($AB1043&amp;"-"&amp;$E1043&amp;" "&amp;$F1043,Bonuses!$B$1:$G$1006,4,FALSE)))</f>
        <v/>
      </c>
      <c r="AE10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4" spans="1:31" s="52" customFormat="1" x14ac:dyDescent="0.25">
      <c r="A1044" s="52">
        <v>6416</v>
      </c>
      <c r="B1044" s="52">
        <f>COUNTIF(Table5[PID],A1044)</f>
        <v>1</v>
      </c>
      <c r="C1044" s="52" t="str">
        <f>IF(COUNTIF(Table3[[#All],[PID]],A1044)&gt;0,"P","B")</f>
        <v>P</v>
      </c>
      <c r="D1044" s="61" t="str">
        <f>IF($C1044="B",INDEX(Batters[[#All],[POS]],MATCH(Table5[[#This Row],[PID]],Batters[[#All],[PID]],0)),INDEX(Table3[[#All],[POS]],MATCH(Table5[[#This Row],[PID]],Table3[[#All],[PID]],0)))</f>
        <v>RP</v>
      </c>
      <c r="E1044" s="54" t="str">
        <f>IF($C1044="B",INDEX(Batters[[#All],[First]],MATCH(Table5[[#This Row],[PID]],Batters[[#All],[PID]],0)),INDEX(Table3[[#All],[First]],MATCH(Table5[[#This Row],[PID]],Table3[[#All],[PID]],0)))</f>
        <v>Joe</v>
      </c>
      <c r="F1044" s="52" t="str">
        <f>IF($C1044="B",INDEX(Batters[[#All],[Last]],MATCH(A1044,Batters[[#All],[PID]],0)),INDEX(Table3[[#All],[Last]],MATCH(A1044,Table3[[#All],[PID]],0)))</f>
        <v>Orson</v>
      </c>
      <c r="G1044" s="58">
        <f>IF($C1044="B",INDEX(Batters[[#All],[Age]],MATCH(Table5[[#This Row],[PID]],Batters[[#All],[PID]],0)),INDEX(Table3[[#All],[Age]],MATCH(Table5[[#This Row],[PID]],Table3[[#All],[PID]],0)))</f>
        <v>22</v>
      </c>
      <c r="H1044" s="54" t="str">
        <f>IF($C1044="B",INDEX(Batters[[#All],[B]],MATCH(Table5[[#This Row],[PID]],Batters[[#All],[PID]],0)),INDEX(Table3[[#All],[B]],MATCH(Table5[[#This Row],[PID]],Table3[[#All],[PID]],0)))</f>
        <v>L</v>
      </c>
      <c r="I1044" s="54" t="str">
        <f>IF($C1044="B",INDEX(Batters[[#All],[T]],MATCH(Table5[[#This Row],[PID]],Batters[[#All],[PID]],0)),INDEX(Table3[[#All],[T]],MATCH(Table5[[#This Row],[PID]],Table3[[#All],[PID]],0)))</f>
        <v>L</v>
      </c>
      <c r="J1044" s="54" t="str">
        <f>IF($C1044="B",INDEX(Batters[[#All],[WE]],MATCH(Table5[[#This Row],[PID]],Batters[[#All],[PID]],0)),INDEX(Table3[[#All],[WE]],MATCH(Table5[[#This Row],[PID]],Table3[[#All],[PID]],0)))</f>
        <v>High</v>
      </c>
      <c r="K1044" s="54" t="str">
        <f>IF($C1044="B",INDEX(Batters[[#All],[INT]],MATCH(Table5[[#This Row],[PID]],Batters[[#All],[PID]],0)),INDEX(Table3[[#All],[INT]],MATCH(Table5[[#This Row],[PID]],Table3[[#All],[PID]],0)))</f>
        <v>Normal</v>
      </c>
      <c r="L1044" s="62">
        <f>IF($C1044="B",INDEX(Batters[[#All],[CON P]],MATCH(Table5[[#This Row],[PID]],Batters[[#All],[PID]],0)),INDEX(Table3[[#All],[STU P]],MATCH(Table5[[#This Row],[PID]],Table3[[#All],[PID]],0)))</f>
        <v>4</v>
      </c>
      <c r="M1044" s="58">
        <f>IF($C1044="B",INDEX(Batters[[#All],[GAP P]],MATCH(Table5[[#This Row],[PID]],Batters[[#All],[PID]],0)),INDEX(Table3[[#All],[MOV P]],MATCH(Table5[[#This Row],[PID]],Table3[[#All],[PID]],0)))</f>
        <v>1</v>
      </c>
      <c r="N1044" s="58">
        <f>IF($C1044="B",INDEX(Batters[[#All],[POW P]],MATCH(Table5[[#This Row],[PID]],Batters[[#All],[PID]],0)),INDEX(Table3[[#All],[CON P]],MATCH(Table5[[#This Row],[PID]],Table3[[#All],[PID]],0)))</f>
        <v>2</v>
      </c>
      <c r="O1044" s="58" t="str">
        <f>IF($C1044="B",INDEX(Batters[[#All],[EYE P]],MATCH(Table5[[#This Row],[PID]],Batters[[#All],[PID]],0)),INDEX(Table3[[#All],[VELO]],MATCH(Table5[[#This Row],[PID]],Table3[[#All],[PID]],0)))</f>
        <v>87-89 Mph</v>
      </c>
      <c r="P1044" s="58">
        <f>IF($C1044="B",INDEX(Batters[[#All],[K P]],MATCH(Table5[[#This Row],[PID]],Batters[[#All],[PID]],0)),INDEX(Table3[[#All],[STM]],MATCH(Table5[[#This Row],[PID]],Table3[[#All],[PID]],0)))</f>
        <v>7</v>
      </c>
      <c r="Q1044" s="63">
        <f>IF($C1044="B",INDEX(Batters[[#All],[Tot]],MATCH(Table5[[#This Row],[PID]],Batters[[#All],[PID]],0)),INDEX(Table3[[#All],[Tot]],MATCH(Table5[[#This Row],[PID]],Table3[[#All],[PID]],0)))</f>
        <v>21.083083107344894</v>
      </c>
      <c r="R1044" s="54">
        <f>IF($C1044="B",INDEX(Batters[[#All],[zScore]],MATCH(Table5[[#This Row],[PID]],Batters[[#All],[PID]],0)),INDEX(Table3[[#All],[zScore]],MATCH(Table5[[#This Row],[PID]],Table3[[#All],[PID]],0)))</f>
        <v>-1.0673614292223772</v>
      </c>
      <c r="S1044" s="60" t="str">
        <f>IF($C1044="B",INDEX(Batters[[#All],[DEM]],MATCH(Table5[[#This Row],[PID]],Batters[[#All],[PID]],0)),INDEX(Table3[[#All],[DEM]],MATCH(Table5[[#This Row],[PID]],Table3[[#All],[PID]],0)))</f>
        <v>-</v>
      </c>
      <c r="T1044" s="64">
        <f>IF($C1044="B",VLOOKUP($A1044,Bat!$A$4:$AU$1417,46,FALSE),VLOOKUP($A1044,Pit!$A$4:$BD$570,55,FALSE))</f>
        <v>0</v>
      </c>
      <c r="U1044" s="52">
        <f>IF($C1044="B",VLOOKUP($A1044,Bat!$A$4:$BA$1417,47,FALSE),VLOOKUP($A1044,Pit!$A$4:$BF$570,56,FALSE))</f>
        <v>0</v>
      </c>
      <c r="V1044" s="52">
        <f>IF($C1044="B",VLOOKUP($A1044,Bat!$A$4:$BA$1417,48,FALSE),VLOOKUP($A1044,Pit!$A$4:$BF$570,57,FALSE))</f>
        <v>0</v>
      </c>
      <c r="W1044" s="52">
        <f>Table5[[#This Row],[posRnk]]+Table5[[#This Row],[zRnk]]+IF($W$3&lt;&gt;Table5[[#This Row],[Type]],50,0)</f>
        <v>1090</v>
      </c>
      <c r="X1044" s="53">
        <f>RANK(Table5[[#This Row],[zScore]],Table5[[#All],[zScore]])</f>
        <v>1040</v>
      </c>
      <c r="Y1044" s="52" t="str">
        <f>IFERROR(INDEX(DraftResults[[#All],[OVR]],MATCH(Table5[[#This Row],[PID]],DraftResults[[#All],[Player ID]],0)),"")</f>
        <v/>
      </c>
      <c r="Z10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4" s="52" t="str">
        <f>IFERROR(INDEX(DraftResults[[#All],[Pick in Round]],MATCH(Table5[[#This Row],[PID]],DraftResults[[#All],[Player ID]],0)),"")</f>
        <v/>
      </c>
      <c r="AB1044" s="52" t="str">
        <f>IFERROR(INDEX(DraftResults[[#All],[Team Name]],MATCH(Table5[[#This Row],[PID]],DraftResults[[#All],[Player ID]],0)),"")</f>
        <v/>
      </c>
      <c r="AC1044" s="52" t="str">
        <f>IF(Table5[[#This Row],[Ovr]]="","",IF(Table5[[#This Row],[cmbList]]="","",Table5[[#This Row],[cmbList]]-Table5[[#This Row],[Ovr]]))</f>
        <v/>
      </c>
      <c r="AD1044" s="56" t="str">
        <f>IF(ISERROR(VLOOKUP($AB1044&amp;"-"&amp;$E1044&amp;" "&amp;F1044,Bonuses!$B$1:$G$1006,4,FALSE)),"",INT(VLOOKUP($AB1044&amp;"-"&amp;$E1044&amp;" "&amp;$F1044,Bonuses!$B$1:$G$1006,4,FALSE)))</f>
        <v/>
      </c>
      <c r="AE10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5" spans="1:31" s="52" customFormat="1" x14ac:dyDescent="0.25">
      <c r="A1045" s="52">
        <v>15677</v>
      </c>
      <c r="B1045" s="52">
        <f>COUNTIF(Table5[PID],A1045)</f>
        <v>1</v>
      </c>
      <c r="C1045" s="52" t="str">
        <f>IF(COUNTIF(Table3[[#All],[PID]],A1045)&gt;0,"P","B")</f>
        <v>P</v>
      </c>
      <c r="D1045" s="61" t="str">
        <f>IF($C1045="B",INDEX(Batters[[#All],[POS]],MATCH(Table5[[#This Row],[PID]],Batters[[#All],[PID]],0)),INDEX(Table3[[#All],[POS]],MATCH(Table5[[#This Row],[PID]],Table3[[#All],[PID]],0)))</f>
        <v>RP</v>
      </c>
      <c r="E1045" s="54" t="str">
        <f>IF($C1045="B",INDEX(Batters[[#All],[First]],MATCH(Table5[[#This Row],[PID]],Batters[[#All],[PID]],0)),INDEX(Table3[[#All],[First]],MATCH(Table5[[#This Row],[PID]],Table3[[#All],[PID]],0)))</f>
        <v>Matthew</v>
      </c>
      <c r="F1045" s="52" t="str">
        <f>IF($C1045="B",INDEX(Batters[[#All],[Last]],MATCH(A1045,Batters[[#All],[PID]],0)),INDEX(Table3[[#All],[Last]],MATCH(A1045,Table3[[#All],[PID]],0)))</f>
        <v>MacRuer</v>
      </c>
      <c r="G1045" s="58">
        <f>IF($C1045="B",INDEX(Batters[[#All],[Age]],MATCH(Table5[[#This Row],[PID]],Batters[[#All],[PID]],0)),INDEX(Table3[[#All],[Age]],MATCH(Table5[[#This Row],[PID]],Table3[[#All],[PID]],0)))</f>
        <v>21</v>
      </c>
      <c r="H1045" s="54" t="str">
        <f>IF($C1045="B",INDEX(Batters[[#All],[B]],MATCH(Table5[[#This Row],[PID]],Batters[[#All],[PID]],0)),INDEX(Table3[[#All],[B]],MATCH(Table5[[#This Row],[PID]],Table3[[#All],[PID]],0)))</f>
        <v>L</v>
      </c>
      <c r="I1045" s="54" t="str">
        <f>IF($C1045="B",INDEX(Batters[[#All],[T]],MATCH(Table5[[#This Row],[PID]],Batters[[#All],[PID]],0)),INDEX(Table3[[#All],[T]],MATCH(Table5[[#This Row],[PID]],Table3[[#All],[PID]],0)))</f>
        <v>L</v>
      </c>
      <c r="J1045" s="54" t="str">
        <f>IF($C1045="B",INDEX(Batters[[#All],[WE]],MATCH(Table5[[#This Row],[PID]],Batters[[#All],[PID]],0)),INDEX(Table3[[#All],[WE]],MATCH(Table5[[#This Row],[PID]],Table3[[#All],[PID]],0)))</f>
        <v>Low</v>
      </c>
      <c r="K1045" s="54" t="str">
        <f>IF($C1045="B",INDEX(Batters[[#All],[INT]],MATCH(Table5[[#This Row],[PID]],Batters[[#All],[PID]],0)),INDEX(Table3[[#All],[INT]],MATCH(Table5[[#This Row],[PID]],Table3[[#All],[PID]],0)))</f>
        <v>Low</v>
      </c>
      <c r="L1045" s="62">
        <f>IF($C1045="B",INDEX(Batters[[#All],[CON P]],MATCH(Table5[[#This Row],[PID]],Batters[[#All],[PID]],0)),INDEX(Table3[[#All],[STU P]],MATCH(Table5[[#This Row],[PID]],Table3[[#All],[PID]],0)))</f>
        <v>3</v>
      </c>
      <c r="M1045" s="58">
        <f>IF($C1045="B",INDEX(Batters[[#All],[GAP P]],MATCH(Table5[[#This Row],[PID]],Batters[[#All],[PID]],0)),INDEX(Table3[[#All],[MOV P]],MATCH(Table5[[#This Row],[PID]],Table3[[#All],[PID]],0)))</f>
        <v>2</v>
      </c>
      <c r="N1045" s="58">
        <f>IF($C1045="B",INDEX(Batters[[#All],[POW P]],MATCH(Table5[[#This Row],[PID]],Batters[[#All],[PID]],0)),INDEX(Table3[[#All],[CON P]],MATCH(Table5[[#This Row],[PID]],Table3[[#All],[PID]],0)))</f>
        <v>2</v>
      </c>
      <c r="O1045" s="58" t="str">
        <f>IF($C1045="B",INDEX(Batters[[#All],[EYE P]],MATCH(Table5[[#This Row],[PID]],Batters[[#All],[PID]],0)),INDEX(Table3[[#All],[VELO]],MATCH(Table5[[#This Row],[PID]],Table3[[#All],[PID]],0)))</f>
        <v>87-89 Mph</v>
      </c>
      <c r="P1045" s="58">
        <f>IF($C1045="B",INDEX(Batters[[#All],[K P]],MATCH(Table5[[#This Row],[PID]],Batters[[#All],[PID]],0)),INDEX(Table3[[#All],[STM]],MATCH(Table5[[#This Row],[PID]],Table3[[#All],[PID]],0)))</f>
        <v>2</v>
      </c>
      <c r="Q1045" s="63">
        <f>IF($C1045="B",INDEX(Batters[[#All],[Tot]],MATCH(Table5[[#This Row],[PID]],Batters[[#All],[PID]],0)),INDEX(Table3[[#All],[Tot]],MATCH(Table5[[#This Row],[PID]],Table3[[#All],[PID]],0)))</f>
        <v>18.200472787610643</v>
      </c>
      <c r="R1045" s="54">
        <f>IF($C1045="B",INDEX(Batters[[#All],[zScore]],MATCH(Table5[[#This Row],[PID]],Batters[[#All],[PID]],0)),INDEX(Table3[[#All],[zScore]],MATCH(Table5[[#This Row],[PID]],Table3[[#All],[PID]],0)))</f>
        <v>-1.0687815436106363</v>
      </c>
      <c r="S1045" s="60" t="str">
        <f>IF($C1045="B",INDEX(Batters[[#All],[DEM]],MATCH(Table5[[#This Row],[PID]],Batters[[#All],[PID]],0)),INDEX(Table3[[#All],[DEM]],MATCH(Table5[[#This Row],[PID]],Table3[[#All],[PID]],0)))</f>
        <v>-</v>
      </c>
      <c r="T1045" s="64" t="e">
        <f>IF($C1045="B",VLOOKUP($A1045,Bat!$A$4:$AU$1417,46,FALSE),VLOOKUP($A1045,Pit!$A$4:$BD$570,55,FALSE))</f>
        <v>#N/A</v>
      </c>
      <c r="U1045" s="52" t="e">
        <f>IF($C1045="B",VLOOKUP($A1045,Bat!$A$4:$BA$1417,47,FALSE),VLOOKUP($A1045,Pit!$A$4:$BF$570,56,FALSE))</f>
        <v>#N/A</v>
      </c>
      <c r="V1045" s="52" t="e">
        <f>IF($C1045="B",VLOOKUP($A1045,Bat!$A$4:$BA$1417,48,FALSE),VLOOKUP($A1045,Pit!$A$4:$BF$570,57,FALSE))</f>
        <v>#N/A</v>
      </c>
      <c r="W1045" s="52" t="e">
        <f>Table5[[#This Row],[posRnk]]+Table5[[#This Row],[zRnk]]+IF($W$3&lt;&gt;Table5[[#This Row],[Type]],50,0)</f>
        <v>#N/A</v>
      </c>
      <c r="X1045" s="53">
        <f>RANK(Table5[[#This Row],[zScore]],Table5[[#All],[zScore]])</f>
        <v>1041</v>
      </c>
      <c r="Y1045" s="52" t="str">
        <f>IFERROR(INDEX(DraftResults[[#All],[OVR]],MATCH(Table5[[#This Row],[PID]],DraftResults[[#All],[Player ID]],0)),"")</f>
        <v/>
      </c>
      <c r="Z10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5" s="52" t="str">
        <f>IFERROR(INDEX(DraftResults[[#All],[Pick in Round]],MATCH(Table5[[#This Row],[PID]],DraftResults[[#All],[Player ID]],0)),"")</f>
        <v/>
      </c>
      <c r="AB1045" s="52" t="str">
        <f>IFERROR(INDEX(DraftResults[[#All],[Team Name]],MATCH(Table5[[#This Row],[PID]],DraftResults[[#All],[Player ID]],0)),"")</f>
        <v/>
      </c>
      <c r="AC1045" s="52" t="str">
        <f>IF(Table5[[#This Row],[Ovr]]="","",IF(Table5[[#This Row],[cmbList]]="","",Table5[[#This Row],[cmbList]]-Table5[[#This Row],[Ovr]]))</f>
        <v/>
      </c>
      <c r="AD1045" s="56" t="str">
        <f>IF(ISERROR(VLOOKUP($AB1045&amp;"-"&amp;$E1045&amp;" "&amp;F1045,Bonuses!$B$1:$G$1006,4,FALSE)),"",INT(VLOOKUP($AB1045&amp;"-"&amp;$E1045&amp;" "&amp;$F1045,Bonuses!$B$1:$G$1006,4,FALSE)))</f>
        <v/>
      </c>
      <c r="AE10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6" spans="1:31" s="52" customFormat="1" x14ac:dyDescent="0.25">
      <c r="A1046" s="52">
        <v>9785</v>
      </c>
      <c r="B1046" s="52">
        <f>COUNTIF(Table5[PID],A1046)</f>
        <v>1</v>
      </c>
      <c r="C1046" s="52" t="str">
        <f>IF(COUNTIF(Table3[[#All],[PID]],A1046)&gt;0,"P","B")</f>
        <v>P</v>
      </c>
      <c r="D1046" s="61" t="str">
        <f>IF($C1046="B",INDEX(Batters[[#All],[POS]],MATCH(Table5[[#This Row],[PID]],Batters[[#All],[PID]],0)),INDEX(Table3[[#All],[POS]],MATCH(Table5[[#This Row],[PID]],Table3[[#All],[PID]],0)))</f>
        <v>RP</v>
      </c>
      <c r="E1046" s="54" t="str">
        <f>IF($C1046="B",INDEX(Batters[[#All],[First]],MATCH(Table5[[#This Row],[PID]],Batters[[#All],[PID]],0)),INDEX(Table3[[#All],[First]],MATCH(Table5[[#This Row],[PID]],Table3[[#All],[PID]],0)))</f>
        <v>Luis</v>
      </c>
      <c r="F1046" s="52" t="str">
        <f>IF($C1046="B",INDEX(Batters[[#All],[Last]],MATCH(A1046,Batters[[#All],[PID]],0)),INDEX(Table3[[#All],[Last]],MATCH(A1046,Table3[[#All],[PID]],0)))</f>
        <v>Gómez</v>
      </c>
      <c r="G1046" s="58">
        <f>IF($C1046="B",INDEX(Batters[[#All],[Age]],MATCH(Table5[[#This Row],[PID]],Batters[[#All],[PID]],0)),INDEX(Table3[[#All],[Age]],MATCH(Table5[[#This Row],[PID]],Table3[[#All],[PID]],0)))</f>
        <v>22</v>
      </c>
      <c r="H1046" s="54" t="str">
        <f>IF($C1046="B",INDEX(Batters[[#All],[B]],MATCH(Table5[[#This Row],[PID]],Batters[[#All],[PID]],0)),INDEX(Table3[[#All],[B]],MATCH(Table5[[#This Row],[PID]],Table3[[#All],[PID]],0)))</f>
        <v>R</v>
      </c>
      <c r="I1046" s="54" t="str">
        <f>IF($C1046="B",INDEX(Batters[[#All],[T]],MATCH(Table5[[#This Row],[PID]],Batters[[#All],[PID]],0)),INDEX(Table3[[#All],[T]],MATCH(Table5[[#This Row],[PID]],Table3[[#All],[PID]],0)))</f>
        <v>R</v>
      </c>
      <c r="J1046" s="54" t="str">
        <f>IF($C1046="B",INDEX(Batters[[#All],[WE]],MATCH(Table5[[#This Row],[PID]],Batters[[#All],[PID]],0)),INDEX(Table3[[#All],[WE]],MATCH(Table5[[#This Row],[PID]],Table3[[#All],[PID]],0)))</f>
        <v>Normal</v>
      </c>
      <c r="K1046" s="54" t="str">
        <f>IF($C1046="B",INDEX(Batters[[#All],[INT]],MATCH(Table5[[#This Row],[PID]],Batters[[#All],[PID]],0)),INDEX(Table3[[#All],[INT]],MATCH(Table5[[#This Row],[PID]],Table3[[#All],[PID]],0)))</f>
        <v>Low</v>
      </c>
      <c r="L1046" s="62">
        <f>IF($C1046="B",INDEX(Batters[[#All],[CON P]],MATCH(Table5[[#This Row],[PID]],Batters[[#All],[PID]],0)),INDEX(Table3[[#All],[STU P]],MATCH(Table5[[#This Row],[PID]],Table3[[#All],[PID]],0)))</f>
        <v>4</v>
      </c>
      <c r="M1046" s="58">
        <f>IF($C1046="B",INDEX(Batters[[#All],[GAP P]],MATCH(Table5[[#This Row],[PID]],Batters[[#All],[PID]],0)),INDEX(Table3[[#All],[MOV P]],MATCH(Table5[[#This Row],[PID]],Table3[[#All],[PID]],0)))</f>
        <v>1</v>
      </c>
      <c r="N1046" s="58">
        <f>IF($C1046="B",INDEX(Batters[[#All],[POW P]],MATCH(Table5[[#This Row],[PID]],Batters[[#All],[PID]],0)),INDEX(Table3[[#All],[CON P]],MATCH(Table5[[#This Row],[PID]],Table3[[#All],[PID]],0)))</f>
        <v>2</v>
      </c>
      <c r="O1046" s="58" t="str">
        <f>IF($C1046="B",INDEX(Batters[[#All],[EYE P]],MATCH(Table5[[#This Row],[PID]],Batters[[#All],[PID]],0)),INDEX(Table3[[#All],[VELO]],MATCH(Table5[[#This Row],[PID]],Table3[[#All],[PID]],0)))</f>
        <v>91-93 Mph</v>
      </c>
      <c r="P1046" s="58">
        <f>IF($C1046="B",INDEX(Batters[[#All],[K P]],MATCH(Table5[[#This Row],[PID]],Batters[[#All],[PID]],0)),INDEX(Table3[[#All],[STM]],MATCH(Table5[[#This Row],[PID]],Table3[[#All],[PID]],0)))</f>
        <v>6</v>
      </c>
      <c r="Q1046" s="63">
        <f>IF($C1046="B",INDEX(Batters[[#All],[Tot]],MATCH(Table5[[#This Row],[PID]],Batters[[#All],[PID]],0)),INDEX(Table3[[#All],[Tot]],MATCH(Table5[[#This Row],[PID]],Table3[[#All],[PID]],0)))</f>
        <v>21.062576413102693</v>
      </c>
      <c r="R1046" s="54">
        <f>IF($C1046="B",INDEX(Batters[[#All],[zScore]],MATCH(Table5[[#This Row],[PID]],Batters[[#All],[PID]],0)),INDEX(Table3[[#All],[zScore]],MATCH(Table5[[#This Row],[PID]],Table3[[#All],[PID]],0)))</f>
        <v>-1.0692419807318403</v>
      </c>
      <c r="S1046" s="60" t="str">
        <f>IF($C1046="B",INDEX(Batters[[#All],[DEM]],MATCH(Table5[[#This Row],[PID]],Batters[[#All],[PID]],0)),INDEX(Table3[[#All],[DEM]],MATCH(Table5[[#This Row],[PID]],Table3[[#All],[PID]],0)))</f>
        <v>-</v>
      </c>
      <c r="T1046" s="64">
        <f>IF($C1046="B",VLOOKUP($A1046,Bat!$A$4:$AU$1417,46,FALSE),VLOOKUP($A1046,Pit!$A$4:$BD$570,55,FALSE))</f>
        <v>0</v>
      </c>
      <c r="U1046" s="52">
        <f>IF($C1046="B",VLOOKUP($A1046,Bat!$A$4:$BA$1417,47,FALSE),VLOOKUP($A1046,Pit!$A$4:$BF$570,56,FALSE))</f>
        <v>0</v>
      </c>
      <c r="V1046" s="52">
        <f>IF($C1046="B",VLOOKUP($A1046,Bat!$A$4:$BA$1417,48,FALSE),VLOOKUP($A1046,Pit!$A$4:$BF$570,57,FALSE))</f>
        <v>0</v>
      </c>
      <c r="W1046" s="52">
        <f>Table5[[#This Row],[posRnk]]+Table5[[#This Row],[zRnk]]+IF($W$3&lt;&gt;Table5[[#This Row],[Type]],50,0)</f>
        <v>1092</v>
      </c>
      <c r="X1046" s="53">
        <f>RANK(Table5[[#This Row],[zScore]],Table5[[#All],[zScore]])</f>
        <v>1042</v>
      </c>
      <c r="Y1046" s="52" t="str">
        <f>IFERROR(INDEX(DraftResults[[#All],[OVR]],MATCH(Table5[[#This Row],[PID]],DraftResults[[#All],[Player ID]],0)),"")</f>
        <v/>
      </c>
      <c r="Z10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6" s="52" t="str">
        <f>IFERROR(INDEX(DraftResults[[#All],[Pick in Round]],MATCH(Table5[[#This Row],[PID]],DraftResults[[#All],[Player ID]],0)),"")</f>
        <v/>
      </c>
      <c r="AB1046" s="52" t="str">
        <f>IFERROR(INDEX(DraftResults[[#All],[Team Name]],MATCH(Table5[[#This Row],[PID]],DraftResults[[#All],[Player ID]],0)),"")</f>
        <v/>
      </c>
      <c r="AC1046" s="52" t="str">
        <f>IF(Table5[[#This Row],[Ovr]]="","",IF(Table5[[#This Row],[cmbList]]="","",Table5[[#This Row],[cmbList]]-Table5[[#This Row],[Ovr]]))</f>
        <v/>
      </c>
      <c r="AD1046" s="56" t="str">
        <f>IF(ISERROR(VLOOKUP($AB1046&amp;"-"&amp;$E1046&amp;" "&amp;F1046,Bonuses!$B$1:$G$1006,4,FALSE)),"",INT(VLOOKUP($AB1046&amp;"-"&amp;$E1046&amp;" "&amp;$F1046,Bonuses!$B$1:$G$1006,4,FALSE)))</f>
        <v/>
      </c>
      <c r="AE10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7" spans="1:31" s="52" customFormat="1" x14ac:dyDescent="0.25">
      <c r="A1047" s="52">
        <v>12745</v>
      </c>
      <c r="B1047" s="52">
        <f>COUNTIF(Table5[PID],A1047)</f>
        <v>1</v>
      </c>
      <c r="C1047" s="52" t="str">
        <f>IF(COUNTIF(Table3[[#All],[PID]],A1047)&gt;0,"P","B")</f>
        <v>B</v>
      </c>
      <c r="D1047" s="61" t="str">
        <f>IF($C1047="B",INDEX(Batters[[#All],[POS]],MATCH(Table5[[#This Row],[PID]],Batters[[#All],[PID]],0)),INDEX(Table3[[#All],[POS]],MATCH(Table5[[#This Row],[PID]],Table3[[#All],[PID]],0)))</f>
        <v>2B</v>
      </c>
      <c r="E1047" s="54" t="str">
        <f>IF($C1047="B",INDEX(Batters[[#All],[First]],MATCH(Table5[[#This Row],[PID]],Batters[[#All],[PID]],0)),INDEX(Table3[[#All],[First]],MATCH(Table5[[#This Row],[PID]],Table3[[#All],[PID]],0)))</f>
        <v>Tomás</v>
      </c>
      <c r="F1047" s="52" t="str">
        <f>IF($C1047="B",INDEX(Batters[[#All],[Last]],MATCH(A1047,Batters[[#All],[PID]],0)),INDEX(Table3[[#All],[Last]],MATCH(A1047,Table3[[#All],[PID]],0)))</f>
        <v>Velázquez</v>
      </c>
      <c r="G1047" s="58">
        <f>IF($C1047="B",INDEX(Batters[[#All],[Age]],MATCH(Table5[[#This Row],[PID]],Batters[[#All],[PID]],0)),INDEX(Table3[[#All],[Age]],MATCH(Table5[[#This Row],[PID]],Table3[[#All],[PID]],0)))</f>
        <v>21</v>
      </c>
      <c r="H1047" s="54" t="str">
        <f>IF($C1047="B",INDEX(Batters[[#All],[B]],MATCH(Table5[[#This Row],[PID]],Batters[[#All],[PID]],0)),INDEX(Table3[[#All],[B]],MATCH(Table5[[#This Row],[PID]],Table3[[#All],[PID]],0)))</f>
        <v>R</v>
      </c>
      <c r="I1047" s="54" t="str">
        <f>IF($C1047="B",INDEX(Batters[[#All],[T]],MATCH(Table5[[#This Row],[PID]],Batters[[#All],[PID]],0)),INDEX(Table3[[#All],[T]],MATCH(Table5[[#This Row],[PID]],Table3[[#All],[PID]],0)))</f>
        <v>R</v>
      </c>
      <c r="J1047" s="54" t="str">
        <f>IF($C1047="B",INDEX(Batters[[#All],[WE]],MATCH(Table5[[#This Row],[PID]],Batters[[#All],[PID]],0)),INDEX(Table3[[#All],[WE]],MATCH(Table5[[#This Row],[PID]],Table3[[#All],[PID]],0)))</f>
        <v>Low</v>
      </c>
      <c r="K1047" s="54" t="str">
        <f>IF($C1047="B",INDEX(Batters[[#All],[INT]],MATCH(Table5[[#This Row],[PID]],Batters[[#All],[PID]],0)),INDEX(Table3[[#All],[INT]],MATCH(Table5[[#This Row],[PID]],Table3[[#All],[PID]],0)))</f>
        <v>Normal</v>
      </c>
      <c r="L1047" s="62">
        <f>IF($C1047="B",INDEX(Batters[[#All],[CON P]],MATCH(Table5[[#This Row],[PID]],Batters[[#All],[PID]],0)),INDEX(Table3[[#All],[STU P]],MATCH(Table5[[#This Row],[PID]],Table3[[#All],[PID]],0)))</f>
        <v>3</v>
      </c>
      <c r="M1047" s="58">
        <f>IF($C1047="B",INDEX(Batters[[#All],[GAP P]],MATCH(Table5[[#This Row],[PID]],Batters[[#All],[PID]],0)),INDEX(Table3[[#All],[MOV P]],MATCH(Table5[[#This Row],[PID]],Table3[[#All],[PID]],0)))</f>
        <v>3</v>
      </c>
      <c r="N1047" s="58">
        <f>IF($C1047="B",INDEX(Batters[[#All],[POW P]],MATCH(Table5[[#This Row],[PID]],Batters[[#All],[PID]],0)),INDEX(Table3[[#All],[CON P]],MATCH(Table5[[#This Row],[PID]],Table3[[#All],[PID]],0)))</f>
        <v>2</v>
      </c>
      <c r="O1047" s="58">
        <f>IF($C1047="B",INDEX(Batters[[#All],[EYE P]],MATCH(Table5[[#This Row],[PID]],Batters[[#All],[PID]],0)),INDEX(Table3[[#All],[VELO]],MATCH(Table5[[#This Row],[PID]],Table3[[#All],[PID]],0)))</f>
        <v>4</v>
      </c>
      <c r="P1047" s="58">
        <f>IF($C1047="B",INDEX(Batters[[#All],[K P]],MATCH(Table5[[#This Row],[PID]],Batters[[#All],[PID]],0)),INDEX(Table3[[#All],[STM]],MATCH(Table5[[#This Row],[PID]],Table3[[#All],[PID]],0)))</f>
        <v>3</v>
      </c>
      <c r="Q1047" s="63">
        <f>IF($C1047="B",INDEX(Batters[[#All],[Tot]],MATCH(Table5[[#This Row],[PID]],Batters[[#All],[PID]],0)),INDEX(Table3[[#All],[Tot]],MATCH(Table5[[#This Row],[PID]],Table3[[#All],[PID]],0)))</f>
        <v>34.26935656636924</v>
      </c>
      <c r="R1047" s="54">
        <f>IF($C1047="B",INDEX(Batters[[#All],[zScore]],MATCH(Table5[[#This Row],[PID]],Batters[[#All],[PID]],0)),INDEX(Table3[[#All],[zScore]],MATCH(Table5[[#This Row],[PID]],Table3[[#All],[PID]],0)))</f>
        <v>-1.0695404326640234</v>
      </c>
      <c r="S1047" s="60" t="str">
        <f>IF($C1047="B",INDEX(Batters[[#All],[DEM]],MATCH(Table5[[#This Row],[PID]],Batters[[#All],[PID]],0)),INDEX(Table3[[#All],[DEM]],MATCH(Table5[[#This Row],[PID]],Table3[[#All],[PID]],0)))</f>
        <v>-</v>
      </c>
      <c r="T1047" s="64">
        <f>IF($C1047="B",VLOOKUP($A1047,Bat!$A$4:$AU$1417,46,FALSE),VLOOKUP($A1047,Pit!$A$4:$BD$570,55,FALSE))</f>
        <v>0</v>
      </c>
      <c r="U1047" s="52">
        <f>IF($C1047="B",VLOOKUP($A1047,Bat!$A$4:$BA$1417,47,FALSE),VLOOKUP($A1047,Pit!$A$4:$BF$570,56,FALSE))</f>
        <v>0</v>
      </c>
      <c r="V1047" s="52">
        <f>IF($C1047="B",VLOOKUP($A1047,Bat!$A$4:$BA$1417,48,FALSE),VLOOKUP($A1047,Pit!$A$4:$BF$570,57,FALSE))</f>
        <v>0</v>
      </c>
      <c r="W1047" s="52">
        <f>Table5[[#This Row],[posRnk]]+Table5[[#This Row],[zRnk]]+IF($W$3&lt;&gt;Table5[[#This Row],[Type]],50,0)</f>
        <v>1093</v>
      </c>
      <c r="X1047" s="53">
        <f>RANK(Table5[[#This Row],[zScore]],Table5[[#All],[zScore]])</f>
        <v>1043</v>
      </c>
      <c r="Y1047" s="52" t="str">
        <f>IFERROR(INDEX(DraftResults[[#All],[OVR]],MATCH(Table5[[#This Row],[PID]],DraftResults[[#All],[Player ID]],0)),"")</f>
        <v/>
      </c>
      <c r="Z10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7" s="52" t="str">
        <f>IFERROR(INDEX(DraftResults[[#All],[Pick in Round]],MATCH(Table5[[#This Row],[PID]],DraftResults[[#All],[Player ID]],0)),"")</f>
        <v/>
      </c>
      <c r="AB1047" s="52" t="str">
        <f>IFERROR(INDEX(DraftResults[[#All],[Team Name]],MATCH(Table5[[#This Row],[PID]],DraftResults[[#All],[Player ID]],0)),"")</f>
        <v/>
      </c>
      <c r="AC1047" s="52" t="str">
        <f>IF(Table5[[#This Row],[Ovr]]="","",IF(Table5[[#This Row],[cmbList]]="","",Table5[[#This Row],[cmbList]]-Table5[[#This Row],[Ovr]]))</f>
        <v/>
      </c>
      <c r="AD1047" s="56" t="str">
        <f>IF(ISERROR(VLOOKUP($AB1047&amp;"-"&amp;$E1047&amp;" "&amp;F1047,Bonuses!$B$1:$G$1006,4,FALSE)),"",INT(VLOOKUP($AB1047&amp;"-"&amp;$E1047&amp;" "&amp;$F1047,Bonuses!$B$1:$G$1006,4,FALSE)))</f>
        <v/>
      </c>
      <c r="AE10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8" spans="1:31" s="52" customFormat="1" x14ac:dyDescent="0.25">
      <c r="A1048" s="52">
        <v>9388</v>
      </c>
      <c r="B1048" s="52">
        <f>COUNTIF(Table5[PID],A1048)</f>
        <v>1</v>
      </c>
      <c r="C1048" s="52" t="str">
        <f>IF(COUNTIF(Table3[[#All],[PID]],A1048)&gt;0,"P","B")</f>
        <v>P</v>
      </c>
      <c r="D1048" s="61" t="str">
        <f>IF($C1048="B",INDEX(Batters[[#All],[POS]],MATCH(Table5[[#This Row],[PID]],Batters[[#All],[PID]],0)),INDEX(Table3[[#All],[POS]],MATCH(Table5[[#This Row],[PID]],Table3[[#All],[PID]],0)))</f>
        <v>RP</v>
      </c>
      <c r="E1048" s="54" t="str">
        <f>IF($C1048="B",INDEX(Batters[[#All],[First]],MATCH(Table5[[#This Row],[PID]],Batters[[#All],[PID]],0)),INDEX(Table3[[#All],[First]],MATCH(Table5[[#This Row],[PID]],Table3[[#All],[PID]],0)))</f>
        <v>Tyson</v>
      </c>
      <c r="F1048" s="52" t="str">
        <f>IF($C1048="B",INDEX(Batters[[#All],[Last]],MATCH(A1048,Batters[[#All],[PID]],0)),INDEX(Table3[[#All],[Last]],MATCH(A1048,Table3[[#All],[PID]],0)))</f>
        <v>Vaughn</v>
      </c>
      <c r="G1048" s="58">
        <f>IF($C1048="B",INDEX(Batters[[#All],[Age]],MATCH(Table5[[#This Row],[PID]],Batters[[#All],[PID]],0)),INDEX(Table3[[#All],[Age]],MATCH(Table5[[#This Row],[PID]],Table3[[#All],[PID]],0)))</f>
        <v>21</v>
      </c>
      <c r="H1048" s="54" t="str">
        <f>IF($C1048="B",INDEX(Batters[[#All],[B]],MATCH(Table5[[#This Row],[PID]],Batters[[#All],[PID]],0)),INDEX(Table3[[#All],[B]],MATCH(Table5[[#This Row],[PID]],Table3[[#All],[PID]],0)))</f>
        <v>L</v>
      </c>
      <c r="I1048" s="54" t="str">
        <f>IF($C1048="B",INDEX(Batters[[#All],[T]],MATCH(Table5[[#This Row],[PID]],Batters[[#All],[PID]],0)),INDEX(Table3[[#All],[T]],MATCH(Table5[[#This Row],[PID]],Table3[[#All],[PID]],0)))</f>
        <v>L</v>
      </c>
      <c r="J1048" s="54" t="str">
        <f>IF($C1048="B",INDEX(Batters[[#All],[WE]],MATCH(Table5[[#This Row],[PID]],Batters[[#All],[PID]],0)),INDEX(Table3[[#All],[WE]],MATCH(Table5[[#This Row],[PID]],Table3[[#All],[PID]],0)))</f>
        <v>Normal</v>
      </c>
      <c r="K1048" s="54" t="str">
        <f>IF($C1048="B",INDEX(Batters[[#All],[INT]],MATCH(Table5[[#This Row],[PID]],Batters[[#All],[PID]],0)),INDEX(Table3[[#All],[INT]],MATCH(Table5[[#This Row],[PID]],Table3[[#All],[PID]],0)))</f>
        <v>High</v>
      </c>
      <c r="L1048" s="62">
        <f>IF($C1048="B",INDEX(Batters[[#All],[CON P]],MATCH(Table5[[#This Row],[PID]],Batters[[#All],[PID]],0)),INDEX(Table3[[#All],[STU P]],MATCH(Table5[[#This Row],[PID]],Table3[[#All],[PID]],0)))</f>
        <v>4</v>
      </c>
      <c r="M1048" s="58">
        <f>IF($C1048="B",INDEX(Batters[[#All],[GAP P]],MATCH(Table5[[#This Row],[PID]],Batters[[#All],[PID]],0)),INDEX(Table3[[#All],[MOV P]],MATCH(Table5[[#This Row],[PID]],Table3[[#All],[PID]],0)))</f>
        <v>1</v>
      </c>
      <c r="N1048" s="58">
        <f>IF($C1048="B",INDEX(Batters[[#All],[POW P]],MATCH(Table5[[#This Row],[PID]],Batters[[#All],[PID]],0)),INDEX(Table3[[#All],[CON P]],MATCH(Table5[[#This Row],[PID]],Table3[[#All],[PID]],0)))</f>
        <v>2</v>
      </c>
      <c r="O1048" s="58" t="str">
        <f>IF($C1048="B",INDEX(Batters[[#All],[EYE P]],MATCH(Table5[[#This Row],[PID]],Batters[[#All],[PID]],0)),INDEX(Table3[[#All],[VELO]],MATCH(Table5[[#This Row],[PID]],Table3[[#All],[PID]],0)))</f>
        <v>90-92 Mph</v>
      </c>
      <c r="P1048" s="58">
        <f>IF($C1048="B",INDEX(Batters[[#All],[K P]],MATCH(Table5[[#This Row],[PID]],Batters[[#All],[PID]],0)),INDEX(Table3[[#All],[STM]],MATCH(Table5[[#This Row],[PID]],Table3[[#All],[PID]],0)))</f>
        <v>7</v>
      </c>
      <c r="Q1048" s="63">
        <f>IF($C1048="B",INDEX(Batters[[#All],[Tot]],MATCH(Table5[[#This Row],[PID]],Batters[[#All],[PID]],0)),INDEX(Table3[[#All],[Tot]],MATCH(Table5[[#This Row],[PID]],Table3[[#All],[PID]],0)))</f>
        <v>20.995680729232237</v>
      </c>
      <c r="R1048" s="54">
        <f>IF($C1048="B",INDEX(Batters[[#All],[zScore]],MATCH(Table5[[#This Row],[PID]],Batters[[#All],[PID]],0)),INDEX(Table3[[#All],[zScore]],MATCH(Table5[[#This Row],[PID]],Table3[[#All],[PID]],0)))</f>
        <v>-1.0753766008609231</v>
      </c>
      <c r="S1048" s="60" t="str">
        <f>IF($C1048="B",INDEX(Batters[[#All],[DEM]],MATCH(Table5[[#This Row],[PID]],Batters[[#All],[PID]],0)),INDEX(Table3[[#All],[DEM]],MATCH(Table5[[#This Row],[PID]],Table3[[#All],[PID]],0)))</f>
        <v>$20k</v>
      </c>
      <c r="T1048" s="64">
        <f>IF($C1048="B",VLOOKUP($A1048,Bat!$A$4:$AU$1417,46,FALSE),VLOOKUP($A1048,Pit!$A$4:$BD$570,55,FALSE))</f>
        <v>0</v>
      </c>
      <c r="U1048" s="52">
        <f>IF($C1048="B",VLOOKUP($A1048,Bat!$A$4:$BA$1417,47,FALSE),VLOOKUP($A1048,Pit!$A$4:$BF$570,56,FALSE))</f>
        <v>0</v>
      </c>
      <c r="V1048" s="52">
        <f>IF($C1048="B",VLOOKUP($A1048,Bat!$A$4:$BA$1417,48,FALSE),VLOOKUP($A1048,Pit!$A$4:$BF$570,57,FALSE))</f>
        <v>0</v>
      </c>
      <c r="W1048" s="52">
        <f>Table5[[#This Row],[posRnk]]+Table5[[#This Row],[zRnk]]+IF($W$3&lt;&gt;Table5[[#This Row],[Type]],50,0)</f>
        <v>1094</v>
      </c>
      <c r="X1048" s="53">
        <f>RANK(Table5[[#This Row],[zScore]],Table5[[#All],[zScore]])</f>
        <v>1044</v>
      </c>
      <c r="Y1048" s="52" t="str">
        <f>IFERROR(INDEX(DraftResults[[#All],[OVR]],MATCH(Table5[[#This Row],[PID]],DraftResults[[#All],[Player ID]],0)),"")</f>
        <v/>
      </c>
      <c r="Z10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8" s="52" t="str">
        <f>IFERROR(INDEX(DraftResults[[#All],[Pick in Round]],MATCH(Table5[[#This Row],[PID]],DraftResults[[#All],[Player ID]],0)),"")</f>
        <v/>
      </c>
      <c r="AB1048" s="52" t="str">
        <f>IFERROR(INDEX(DraftResults[[#All],[Team Name]],MATCH(Table5[[#This Row],[PID]],DraftResults[[#All],[Player ID]],0)),"")</f>
        <v/>
      </c>
      <c r="AC1048" s="52" t="str">
        <f>IF(Table5[[#This Row],[Ovr]]="","",IF(Table5[[#This Row],[cmbList]]="","",Table5[[#This Row],[cmbList]]-Table5[[#This Row],[Ovr]]))</f>
        <v/>
      </c>
      <c r="AD1048" s="56" t="str">
        <f>IF(ISERROR(VLOOKUP($AB1048&amp;"-"&amp;$E1048&amp;" "&amp;F1048,Bonuses!$B$1:$G$1006,4,FALSE)),"",INT(VLOOKUP($AB1048&amp;"-"&amp;$E1048&amp;" "&amp;$F1048,Bonuses!$B$1:$G$1006,4,FALSE)))</f>
        <v/>
      </c>
      <c r="AE10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9" spans="1:31" s="52" customFormat="1" x14ac:dyDescent="0.25">
      <c r="A1049" s="52">
        <v>8726</v>
      </c>
      <c r="B1049" s="52">
        <f>COUNTIF(Table5[PID],A1049)</f>
        <v>1</v>
      </c>
      <c r="C1049" s="52" t="str">
        <f>IF(COUNTIF(Table3[[#All],[PID]],A1049)&gt;0,"P","B")</f>
        <v>P</v>
      </c>
      <c r="D1049" s="61" t="str">
        <f>IF($C1049="B",INDEX(Batters[[#All],[POS]],MATCH(Table5[[#This Row],[PID]],Batters[[#All],[PID]],0)),INDEX(Table3[[#All],[POS]],MATCH(Table5[[#This Row],[PID]],Table3[[#All],[PID]],0)))</f>
        <v>RP</v>
      </c>
      <c r="E1049" s="54" t="str">
        <f>IF($C1049="B",INDEX(Batters[[#All],[First]],MATCH(Table5[[#This Row],[PID]],Batters[[#All],[PID]],0)),INDEX(Table3[[#All],[First]],MATCH(Table5[[#This Row],[PID]],Table3[[#All],[PID]],0)))</f>
        <v>Michael</v>
      </c>
      <c r="F1049" s="52" t="str">
        <f>IF($C1049="B",INDEX(Batters[[#All],[Last]],MATCH(A1049,Batters[[#All],[PID]],0)),INDEX(Table3[[#All],[Last]],MATCH(A1049,Table3[[#All],[PID]],0)))</f>
        <v>Law</v>
      </c>
      <c r="G1049" s="58">
        <f>IF($C1049="B",INDEX(Batters[[#All],[Age]],MATCH(Table5[[#This Row],[PID]],Batters[[#All],[PID]],0)),INDEX(Table3[[#All],[Age]],MATCH(Table5[[#This Row],[PID]],Table3[[#All],[PID]],0)))</f>
        <v>21</v>
      </c>
      <c r="H1049" s="54" t="str">
        <f>IF($C1049="B",INDEX(Batters[[#All],[B]],MATCH(Table5[[#This Row],[PID]],Batters[[#All],[PID]],0)),INDEX(Table3[[#All],[B]],MATCH(Table5[[#This Row],[PID]],Table3[[#All],[PID]],0)))</f>
        <v>R</v>
      </c>
      <c r="I1049" s="54" t="str">
        <f>IF($C1049="B",INDEX(Batters[[#All],[T]],MATCH(Table5[[#This Row],[PID]],Batters[[#All],[PID]],0)),INDEX(Table3[[#All],[T]],MATCH(Table5[[#This Row],[PID]],Table3[[#All],[PID]],0)))</f>
        <v>R</v>
      </c>
      <c r="J1049" s="54" t="str">
        <f>IF($C1049="B",INDEX(Batters[[#All],[WE]],MATCH(Table5[[#This Row],[PID]],Batters[[#All],[PID]],0)),INDEX(Table3[[#All],[WE]],MATCH(Table5[[#This Row],[PID]],Table3[[#All],[PID]],0)))</f>
        <v>High</v>
      </c>
      <c r="K1049" s="54" t="str">
        <f>IF($C1049="B",INDEX(Batters[[#All],[INT]],MATCH(Table5[[#This Row],[PID]],Batters[[#All],[PID]],0)),INDEX(Table3[[#All],[INT]],MATCH(Table5[[#This Row],[PID]],Table3[[#All],[PID]],0)))</f>
        <v>Normal</v>
      </c>
      <c r="L1049" s="62">
        <f>IF($C1049="B",INDEX(Batters[[#All],[CON P]],MATCH(Table5[[#This Row],[PID]],Batters[[#All],[PID]],0)),INDEX(Table3[[#All],[STU P]],MATCH(Table5[[#This Row],[PID]],Table3[[#All],[PID]],0)))</f>
        <v>3</v>
      </c>
      <c r="M1049" s="58">
        <f>IF($C1049="B",INDEX(Batters[[#All],[GAP P]],MATCH(Table5[[#This Row],[PID]],Batters[[#All],[PID]],0)),INDEX(Table3[[#All],[MOV P]],MATCH(Table5[[#This Row],[PID]],Table3[[#All],[PID]],0)))</f>
        <v>1</v>
      </c>
      <c r="N1049" s="58">
        <f>IF($C1049="B",INDEX(Batters[[#All],[POW P]],MATCH(Table5[[#This Row],[PID]],Batters[[#All],[PID]],0)),INDEX(Table3[[#All],[CON P]],MATCH(Table5[[#This Row],[PID]],Table3[[#All],[PID]],0)))</f>
        <v>2</v>
      </c>
      <c r="O1049" s="58" t="str">
        <f>IF($C1049="B",INDEX(Batters[[#All],[EYE P]],MATCH(Table5[[#This Row],[PID]],Batters[[#All],[PID]],0)),INDEX(Table3[[#All],[VELO]],MATCH(Table5[[#This Row],[PID]],Table3[[#All],[PID]],0)))</f>
        <v>86-88 Mph</v>
      </c>
      <c r="P1049" s="58">
        <f>IF($C1049="B",INDEX(Batters[[#All],[K P]],MATCH(Table5[[#This Row],[PID]],Batters[[#All],[PID]],0)),INDEX(Table3[[#All],[STM]],MATCH(Table5[[#This Row],[PID]],Table3[[#All],[PID]],0)))</f>
        <v>6</v>
      </c>
      <c r="Q1049" s="63">
        <f>IF($C1049="B",INDEX(Batters[[#All],[Tot]],MATCH(Table5[[#This Row],[PID]],Batters[[#All],[PID]],0)),INDEX(Table3[[#All],[Tot]],MATCH(Table5[[#This Row],[PID]],Table3[[#All],[PID]],0)))</f>
        <v>18.099021853188273</v>
      </c>
      <c r="R1049" s="54">
        <f>IF($C1049="B",INDEX(Batters[[#All],[zScore]],MATCH(Table5[[#This Row],[PID]],Batters[[#All],[PID]],0)),INDEX(Table3[[#All],[zScore]],MATCH(Table5[[#This Row],[PID]],Table3[[#All],[PID]],0)))</f>
        <v>-1.0776729674459813</v>
      </c>
      <c r="S1049" s="60" t="str">
        <f>IF($C1049="B",INDEX(Batters[[#All],[DEM]],MATCH(Table5[[#This Row],[PID]],Batters[[#All],[PID]],0)),INDEX(Table3[[#All],[DEM]],MATCH(Table5[[#This Row],[PID]],Table3[[#All],[PID]],0)))</f>
        <v>-</v>
      </c>
      <c r="T1049" s="64" t="e">
        <f>IF($C1049="B",VLOOKUP($A1049,Bat!$A$4:$AU$1417,46,FALSE),VLOOKUP($A1049,Pit!$A$4:$BD$570,55,FALSE))</f>
        <v>#N/A</v>
      </c>
      <c r="U1049" s="52" t="e">
        <f>IF($C1049="B",VLOOKUP($A1049,Bat!$A$4:$BA$1417,47,FALSE),VLOOKUP($A1049,Pit!$A$4:$BF$570,56,FALSE))</f>
        <v>#N/A</v>
      </c>
      <c r="V1049" s="52" t="e">
        <f>IF($C1049="B",VLOOKUP($A1049,Bat!$A$4:$BA$1417,48,FALSE),VLOOKUP($A1049,Pit!$A$4:$BF$570,57,FALSE))</f>
        <v>#N/A</v>
      </c>
      <c r="W1049" s="52" t="e">
        <f>Table5[[#This Row],[posRnk]]+Table5[[#This Row],[zRnk]]+IF($W$3&lt;&gt;Table5[[#This Row],[Type]],50,0)</f>
        <v>#N/A</v>
      </c>
      <c r="X1049" s="53">
        <f>RANK(Table5[[#This Row],[zScore]],Table5[[#All],[zScore]])</f>
        <v>1045</v>
      </c>
      <c r="Y1049" s="52" t="str">
        <f>IFERROR(INDEX(DraftResults[[#All],[OVR]],MATCH(Table5[[#This Row],[PID]],DraftResults[[#All],[Player ID]],0)),"")</f>
        <v/>
      </c>
      <c r="Z10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9" s="52" t="str">
        <f>IFERROR(INDEX(DraftResults[[#All],[Pick in Round]],MATCH(Table5[[#This Row],[PID]],DraftResults[[#All],[Player ID]],0)),"")</f>
        <v/>
      </c>
      <c r="AB1049" s="52" t="str">
        <f>IFERROR(INDEX(DraftResults[[#All],[Team Name]],MATCH(Table5[[#This Row],[PID]],DraftResults[[#All],[Player ID]],0)),"")</f>
        <v/>
      </c>
      <c r="AC1049" s="52" t="str">
        <f>IF(Table5[[#This Row],[Ovr]]="","",IF(Table5[[#This Row],[cmbList]]="","",Table5[[#This Row],[cmbList]]-Table5[[#This Row],[Ovr]]))</f>
        <v/>
      </c>
      <c r="AD1049" s="56" t="str">
        <f>IF(ISERROR(VLOOKUP($AB1049&amp;"-"&amp;$E1049&amp;" "&amp;F1049,Bonuses!$B$1:$G$1006,4,FALSE)),"",INT(VLOOKUP($AB1049&amp;"-"&amp;$E1049&amp;" "&amp;$F1049,Bonuses!$B$1:$G$1006,4,FALSE)))</f>
        <v/>
      </c>
      <c r="AE10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0" spans="1:31" s="52" customFormat="1" x14ac:dyDescent="0.25">
      <c r="A1050" s="52">
        <v>11657</v>
      </c>
      <c r="B1050" s="52">
        <f>COUNTIF(Table5[PID],A1050)</f>
        <v>1</v>
      </c>
      <c r="C1050" s="52" t="str">
        <f>IF(COUNTIF(Table3[[#All],[PID]],A1050)&gt;0,"P","B")</f>
        <v>P</v>
      </c>
      <c r="D1050" s="61" t="str">
        <f>IF($C1050="B",INDEX(Batters[[#All],[POS]],MATCH(Table5[[#This Row],[PID]],Batters[[#All],[PID]],0)),INDEX(Table3[[#All],[POS]],MATCH(Table5[[#This Row],[PID]],Table3[[#All],[PID]],0)))</f>
        <v>RP</v>
      </c>
      <c r="E1050" s="54" t="str">
        <f>IF($C1050="B",INDEX(Batters[[#All],[First]],MATCH(Table5[[#This Row],[PID]],Batters[[#All],[PID]],0)),INDEX(Table3[[#All],[First]],MATCH(Table5[[#This Row],[PID]],Table3[[#All],[PID]],0)))</f>
        <v>Orlando</v>
      </c>
      <c r="F1050" s="52" t="str">
        <f>IF($C1050="B",INDEX(Batters[[#All],[Last]],MATCH(A1050,Batters[[#All],[PID]],0)),INDEX(Table3[[#All],[Last]],MATCH(A1050,Table3[[#All],[PID]],0)))</f>
        <v>Flores</v>
      </c>
      <c r="G1050" s="58">
        <f>IF($C1050="B",INDEX(Batters[[#All],[Age]],MATCH(Table5[[#This Row],[PID]],Batters[[#All],[PID]],0)),INDEX(Table3[[#All],[Age]],MATCH(Table5[[#This Row],[PID]],Table3[[#All],[PID]],0)))</f>
        <v>20</v>
      </c>
      <c r="H1050" s="54" t="str">
        <f>IF($C1050="B",INDEX(Batters[[#All],[B]],MATCH(Table5[[#This Row],[PID]],Batters[[#All],[PID]],0)),INDEX(Table3[[#All],[B]],MATCH(Table5[[#This Row],[PID]],Table3[[#All],[PID]],0)))</f>
        <v>R</v>
      </c>
      <c r="I1050" s="54" t="str">
        <f>IF($C1050="B",INDEX(Batters[[#All],[T]],MATCH(Table5[[#This Row],[PID]],Batters[[#All],[PID]],0)),INDEX(Table3[[#All],[T]],MATCH(Table5[[#This Row],[PID]],Table3[[#All],[PID]],0)))</f>
        <v>R</v>
      </c>
      <c r="J1050" s="54" t="str">
        <f>IF($C1050="B",INDEX(Batters[[#All],[WE]],MATCH(Table5[[#This Row],[PID]],Batters[[#All],[PID]],0)),INDEX(Table3[[#All],[WE]],MATCH(Table5[[#This Row],[PID]],Table3[[#All],[PID]],0)))</f>
        <v>High</v>
      </c>
      <c r="K1050" s="54" t="str">
        <f>IF($C1050="B",INDEX(Batters[[#All],[INT]],MATCH(Table5[[#This Row],[PID]],Batters[[#All],[PID]],0)),INDEX(Table3[[#All],[INT]],MATCH(Table5[[#This Row],[PID]],Table3[[#All],[PID]],0)))</f>
        <v>Normal</v>
      </c>
      <c r="L1050" s="62">
        <f>IF($C1050="B",INDEX(Batters[[#All],[CON P]],MATCH(Table5[[#This Row],[PID]],Batters[[#All],[PID]],0)),INDEX(Table3[[#All],[STU P]],MATCH(Table5[[#This Row],[PID]],Table3[[#All],[PID]],0)))</f>
        <v>4</v>
      </c>
      <c r="M1050" s="58">
        <f>IF($C1050="B",INDEX(Batters[[#All],[GAP P]],MATCH(Table5[[#This Row],[PID]],Batters[[#All],[PID]],0)),INDEX(Table3[[#All],[MOV P]],MATCH(Table5[[#This Row],[PID]],Table3[[#All],[PID]],0)))</f>
        <v>1</v>
      </c>
      <c r="N1050" s="58">
        <f>IF($C1050="B",INDEX(Batters[[#All],[POW P]],MATCH(Table5[[#This Row],[PID]],Batters[[#All],[PID]],0)),INDEX(Table3[[#All],[CON P]],MATCH(Table5[[#This Row],[PID]],Table3[[#All],[PID]],0)))</f>
        <v>2</v>
      </c>
      <c r="O1050" s="58" t="str">
        <f>IF($C1050="B",INDEX(Batters[[#All],[EYE P]],MATCH(Table5[[#This Row],[PID]],Batters[[#All],[PID]],0)),INDEX(Table3[[#All],[VELO]],MATCH(Table5[[#This Row],[PID]],Table3[[#All],[PID]],0)))</f>
        <v>87-89 Mph</v>
      </c>
      <c r="P1050" s="58">
        <f>IF($C1050="B",INDEX(Batters[[#All],[K P]],MATCH(Table5[[#This Row],[PID]],Batters[[#All],[PID]],0)),INDEX(Table3[[#All],[STM]],MATCH(Table5[[#This Row],[PID]],Table3[[#All],[PID]],0)))</f>
        <v>8</v>
      </c>
      <c r="Q1050" s="63">
        <f>IF($C1050="B",INDEX(Batters[[#All],[Tot]],MATCH(Table5[[#This Row],[PID]],Batters[[#All],[PID]],0)),INDEX(Table3[[#All],[Tot]],MATCH(Table5[[#This Row],[PID]],Table3[[#All],[PID]],0)))</f>
        <v>20.9567424643304</v>
      </c>
      <c r="R1050" s="54">
        <f>IF($C1050="B",INDEX(Batters[[#All],[zScore]],MATCH(Table5[[#This Row],[PID]],Batters[[#All],[PID]],0)),INDEX(Table3[[#All],[zScore]],MATCH(Table5[[#This Row],[PID]],Table3[[#All],[PID]],0)))</f>
        <v>-1.0789474061780637</v>
      </c>
      <c r="S1050" s="60" t="str">
        <f>IF($C1050="B",INDEX(Batters[[#All],[DEM]],MATCH(Table5[[#This Row],[PID]],Batters[[#All],[PID]],0)),INDEX(Table3[[#All],[DEM]],MATCH(Table5[[#This Row],[PID]],Table3[[#All],[PID]],0)))</f>
        <v>$20k</v>
      </c>
      <c r="T1050" s="64">
        <f>IF($C1050="B",VLOOKUP($A1050,Bat!$A$4:$AU$1417,46,FALSE),VLOOKUP($A1050,Pit!$A$4:$BD$570,55,FALSE))</f>
        <v>0</v>
      </c>
      <c r="U1050" s="52">
        <f>IF($C1050="B",VLOOKUP($A1050,Bat!$A$4:$BA$1417,47,FALSE),VLOOKUP($A1050,Pit!$A$4:$BF$570,56,FALSE))</f>
        <v>0</v>
      </c>
      <c r="V1050" s="52">
        <f>IF($C1050="B",VLOOKUP($A1050,Bat!$A$4:$BA$1417,48,FALSE),VLOOKUP($A1050,Pit!$A$4:$BF$570,57,FALSE))</f>
        <v>0</v>
      </c>
      <c r="W1050" s="52">
        <f>Table5[[#This Row],[posRnk]]+Table5[[#This Row],[zRnk]]+IF($W$3&lt;&gt;Table5[[#This Row],[Type]],50,0)</f>
        <v>1096</v>
      </c>
      <c r="X1050" s="53">
        <f>RANK(Table5[[#This Row],[zScore]],Table5[[#All],[zScore]])</f>
        <v>1046</v>
      </c>
      <c r="Y1050" s="52" t="str">
        <f>IFERROR(INDEX(DraftResults[[#All],[OVR]],MATCH(Table5[[#This Row],[PID]],DraftResults[[#All],[Player ID]],0)),"")</f>
        <v/>
      </c>
      <c r="Z10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0" s="52" t="str">
        <f>IFERROR(INDEX(DraftResults[[#All],[Pick in Round]],MATCH(Table5[[#This Row],[PID]],DraftResults[[#All],[Player ID]],0)),"")</f>
        <v/>
      </c>
      <c r="AB1050" s="52" t="str">
        <f>IFERROR(INDEX(DraftResults[[#All],[Team Name]],MATCH(Table5[[#This Row],[PID]],DraftResults[[#All],[Player ID]],0)),"")</f>
        <v/>
      </c>
      <c r="AC1050" s="52" t="str">
        <f>IF(Table5[[#This Row],[Ovr]]="","",IF(Table5[[#This Row],[cmbList]]="","",Table5[[#This Row],[cmbList]]-Table5[[#This Row],[Ovr]]))</f>
        <v/>
      </c>
      <c r="AD1050" s="56" t="str">
        <f>IF(ISERROR(VLOOKUP($AB1050&amp;"-"&amp;$E1050&amp;" "&amp;F1050,Bonuses!$B$1:$G$1006,4,FALSE)),"",INT(VLOOKUP($AB1050&amp;"-"&amp;$E1050&amp;" "&amp;$F1050,Bonuses!$B$1:$G$1006,4,FALSE)))</f>
        <v/>
      </c>
      <c r="AE10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1" spans="1:31" s="52" customFormat="1" x14ac:dyDescent="0.25">
      <c r="A1051" s="52">
        <v>17809</v>
      </c>
      <c r="B1051" s="52">
        <f>COUNTIF(Table5[PID],A1051)</f>
        <v>1</v>
      </c>
      <c r="C1051" s="52" t="str">
        <f>IF(COUNTIF(Table3[[#All],[PID]],A1051)&gt;0,"P","B")</f>
        <v>P</v>
      </c>
      <c r="D1051" s="61" t="str">
        <f>IF($C1051="B",INDEX(Batters[[#All],[POS]],MATCH(Table5[[#This Row],[PID]],Batters[[#All],[PID]],0)),INDEX(Table3[[#All],[POS]],MATCH(Table5[[#This Row],[PID]],Table3[[#All],[PID]],0)))</f>
        <v>RP</v>
      </c>
      <c r="E1051" s="54" t="str">
        <f>IF($C1051="B",INDEX(Batters[[#All],[First]],MATCH(Table5[[#This Row],[PID]],Batters[[#All],[PID]],0)),INDEX(Table3[[#All],[First]],MATCH(Table5[[#This Row],[PID]],Table3[[#All],[PID]],0)))</f>
        <v>Masanori</v>
      </c>
      <c r="F1051" s="52" t="str">
        <f>IF($C1051="B",INDEX(Batters[[#All],[Last]],MATCH(A1051,Batters[[#All],[PID]],0)),INDEX(Table3[[#All],[Last]],MATCH(A1051,Table3[[#All],[PID]],0)))</f>
        <v>Sakamoto</v>
      </c>
      <c r="G1051" s="58">
        <f>IF($C1051="B",INDEX(Batters[[#All],[Age]],MATCH(Table5[[#This Row],[PID]],Batters[[#All],[PID]],0)),INDEX(Table3[[#All],[Age]],MATCH(Table5[[#This Row],[PID]],Table3[[#All],[PID]],0)))</f>
        <v>21</v>
      </c>
      <c r="H1051" s="54" t="str">
        <f>IF($C1051="B",INDEX(Batters[[#All],[B]],MATCH(Table5[[#This Row],[PID]],Batters[[#All],[PID]],0)),INDEX(Table3[[#All],[B]],MATCH(Table5[[#This Row],[PID]],Table3[[#All],[PID]],0)))</f>
        <v>R</v>
      </c>
      <c r="I1051" s="54" t="str">
        <f>IF($C1051="B",INDEX(Batters[[#All],[T]],MATCH(Table5[[#This Row],[PID]],Batters[[#All],[PID]],0)),INDEX(Table3[[#All],[T]],MATCH(Table5[[#This Row],[PID]],Table3[[#All],[PID]],0)))</f>
        <v>R</v>
      </c>
      <c r="J1051" s="54" t="str">
        <f>IF($C1051="B",INDEX(Batters[[#All],[WE]],MATCH(Table5[[#This Row],[PID]],Batters[[#All],[PID]],0)),INDEX(Table3[[#All],[WE]],MATCH(Table5[[#This Row],[PID]],Table3[[#All],[PID]],0)))</f>
        <v>Low</v>
      </c>
      <c r="K1051" s="54" t="str">
        <f>IF($C1051="B",INDEX(Batters[[#All],[INT]],MATCH(Table5[[#This Row],[PID]],Batters[[#All],[PID]],0)),INDEX(Table3[[#All],[INT]],MATCH(Table5[[#This Row],[PID]],Table3[[#All],[PID]],0)))</f>
        <v>Normal</v>
      </c>
      <c r="L1051" s="62">
        <f>IF($C1051="B",INDEX(Batters[[#All],[CON P]],MATCH(Table5[[#This Row],[PID]],Batters[[#All],[PID]],0)),INDEX(Table3[[#All],[STU P]],MATCH(Table5[[#This Row],[PID]],Table3[[#All],[PID]],0)))</f>
        <v>4</v>
      </c>
      <c r="M1051" s="58">
        <f>IF($C1051="B",INDEX(Batters[[#All],[GAP P]],MATCH(Table5[[#This Row],[PID]],Batters[[#All],[PID]],0)),INDEX(Table3[[#All],[MOV P]],MATCH(Table5[[#This Row],[PID]],Table3[[#All],[PID]],0)))</f>
        <v>1</v>
      </c>
      <c r="N1051" s="58">
        <f>IF($C1051="B",INDEX(Batters[[#All],[POW P]],MATCH(Table5[[#This Row],[PID]],Batters[[#All],[PID]],0)),INDEX(Table3[[#All],[CON P]],MATCH(Table5[[#This Row],[PID]],Table3[[#All],[PID]],0)))</f>
        <v>2</v>
      </c>
      <c r="O1051" s="58" t="str">
        <f>IF($C1051="B",INDEX(Batters[[#All],[EYE P]],MATCH(Table5[[#This Row],[PID]],Batters[[#All],[PID]],0)),INDEX(Table3[[#All],[VELO]],MATCH(Table5[[#This Row],[PID]],Table3[[#All],[PID]],0)))</f>
        <v>88-90 Mph</v>
      </c>
      <c r="P1051" s="58">
        <f>IF($C1051="B",INDEX(Batters[[#All],[K P]],MATCH(Table5[[#This Row],[PID]],Batters[[#All],[PID]],0)),INDEX(Table3[[#All],[STM]],MATCH(Table5[[#This Row],[PID]],Table3[[#All],[PID]],0)))</f>
        <v>7</v>
      </c>
      <c r="Q1051" s="63">
        <f>IF($C1051="B",INDEX(Batters[[#All],[Tot]],MATCH(Table5[[#This Row],[PID]],Batters[[#All],[PID]],0)),INDEX(Table3[[#All],[Tot]],MATCH(Table5[[#This Row],[PID]],Table3[[#All],[PID]],0)))</f>
        <v>20.944144842443055</v>
      </c>
      <c r="R1051" s="54">
        <f>IF($C1051="B",INDEX(Batters[[#All],[zScore]],MATCH(Table5[[#This Row],[PID]],Batters[[#All],[PID]],0)),INDEX(Table3[[#All],[zScore]],MATCH(Table5[[#This Row],[PID]],Table3[[#All],[PID]],0)))</f>
        <v>-1.0801026619485008</v>
      </c>
      <c r="S1051" s="60" t="str">
        <f>IF($C1051="B",INDEX(Batters[[#All],[DEM]],MATCH(Table5[[#This Row],[PID]],Batters[[#All],[PID]],0)),INDEX(Table3[[#All],[DEM]],MATCH(Table5[[#This Row],[PID]],Table3[[#All],[PID]],0)))</f>
        <v>-</v>
      </c>
      <c r="T1051" s="64">
        <f>IF($C1051="B",VLOOKUP($A1051,Bat!$A$4:$AU$1417,46,FALSE),VLOOKUP($A1051,Pit!$A$4:$BD$570,55,FALSE))</f>
        <v>0</v>
      </c>
      <c r="U1051" s="52">
        <f>IF($C1051="B",VLOOKUP($A1051,Bat!$A$4:$BA$1417,47,FALSE),VLOOKUP($A1051,Pit!$A$4:$BF$570,56,FALSE))</f>
        <v>0</v>
      </c>
      <c r="V1051" s="52">
        <f>IF($C1051="B",VLOOKUP($A1051,Bat!$A$4:$BA$1417,48,FALSE),VLOOKUP($A1051,Pit!$A$4:$BF$570,57,FALSE))</f>
        <v>0</v>
      </c>
      <c r="W1051" s="52">
        <f>Table5[[#This Row],[posRnk]]+Table5[[#This Row],[zRnk]]+IF($W$3&lt;&gt;Table5[[#This Row],[Type]],50,0)</f>
        <v>1097</v>
      </c>
      <c r="X1051" s="53">
        <f>RANK(Table5[[#This Row],[zScore]],Table5[[#All],[zScore]])</f>
        <v>1047</v>
      </c>
      <c r="Y1051" s="52" t="str">
        <f>IFERROR(INDEX(DraftResults[[#All],[OVR]],MATCH(Table5[[#This Row],[PID]],DraftResults[[#All],[Player ID]],0)),"")</f>
        <v/>
      </c>
      <c r="Z10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1" s="52" t="str">
        <f>IFERROR(INDEX(DraftResults[[#All],[Pick in Round]],MATCH(Table5[[#This Row],[PID]],DraftResults[[#All],[Player ID]],0)),"")</f>
        <v/>
      </c>
      <c r="AB1051" s="52" t="str">
        <f>IFERROR(INDEX(DraftResults[[#All],[Team Name]],MATCH(Table5[[#This Row],[PID]],DraftResults[[#All],[Player ID]],0)),"")</f>
        <v/>
      </c>
      <c r="AC1051" s="52" t="str">
        <f>IF(Table5[[#This Row],[Ovr]]="","",IF(Table5[[#This Row],[cmbList]]="","",Table5[[#This Row],[cmbList]]-Table5[[#This Row],[Ovr]]))</f>
        <v/>
      </c>
      <c r="AD1051" s="56" t="str">
        <f>IF(ISERROR(VLOOKUP($AB1051&amp;"-"&amp;$E1051&amp;" "&amp;F1051,Bonuses!$B$1:$G$1006,4,FALSE)),"",INT(VLOOKUP($AB1051&amp;"-"&amp;$E1051&amp;" "&amp;$F1051,Bonuses!$B$1:$G$1006,4,FALSE)))</f>
        <v/>
      </c>
      <c r="AE10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2" spans="1:31" s="52" customFormat="1" x14ac:dyDescent="0.25">
      <c r="A1052" s="52">
        <v>11701</v>
      </c>
      <c r="B1052" s="52">
        <f>COUNTIF(Table5[PID],A1052)</f>
        <v>1</v>
      </c>
      <c r="C1052" s="52" t="str">
        <f>IF(COUNTIF(Table3[[#All],[PID]],A1052)&gt;0,"P","B")</f>
        <v>P</v>
      </c>
      <c r="D1052" s="61" t="str">
        <f>IF($C1052="B",INDEX(Batters[[#All],[POS]],MATCH(Table5[[#This Row],[PID]],Batters[[#All],[PID]],0)),INDEX(Table3[[#All],[POS]],MATCH(Table5[[#This Row],[PID]],Table3[[#All],[PID]],0)))</f>
        <v>SP</v>
      </c>
      <c r="E1052" s="54" t="str">
        <f>IF($C1052="B",INDEX(Batters[[#All],[First]],MATCH(Table5[[#This Row],[PID]],Batters[[#All],[PID]],0)),INDEX(Table3[[#All],[First]],MATCH(Table5[[#This Row],[PID]],Table3[[#All],[PID]],0)))</f>
        <v>Dave</v>
      </c>
      <c r="F1052" s="52" t="str">
        <f>IF($C1052="B",INDEX(Batters[[#All],[Last]],MATCH(A1052,Batters[[#All],[PID]],0)),INDEX(Table3[[#All],[Last]],MATCH(A1052,Table3[[#All],[PID]],0)))</f>
        <v>Miller</v>
      </c>
      <c r="G1052" s="58">
        <f>IF($C1052="B",INDEX(Batters[[#All],[Age]],MATCH(Table5[[#This Row],[PID]],Batters[[#All],[PID]],0)),INDEX(Table3[[#All],[Age]],MATCH(Table5[[#This Row],[PID]],Table3[[#All],[PID]],0)))</f>
        <v>22</v>
      </c>
      <c r="H1052" s="54" t="str">
        <f>IF($C1052="B",INDEX(Batters[[#All],[B]],MATCH(Table5[[#This Row],[PID]],Batters[[#All],[PID]],0)),INDEX(Table3[[#All],[B]],MATCH(Table5[[#This Row],[PID]],Table3[[#All],[PID]],0)))</f>
        <v>R</v>
      </c>
      <c r="I1052" s="54" t="str">
        <f>IF($C1052="B",INDEX(Batters[[#All],[T]],MATCH(Table5[[#This Row],[PID]],Batters[[#All],[PID]],0)),INDEX(Table3[[#All],[T]],MATCH(Table5[[#This Row],[PID]],Table3[[#All],[PID]],0)))</f>
        <v>R</v>
      </c>
      <c r="J1052" s="54" t="str">
        <f>IF($C1052="B",INDEX(Batters[[#All],[WE]],MATCH(Table5[[#This Row],[PID]],Batters[[#All],[PID]],0)),INDEX(Table3[[#All],[WE]],MATCH(Table5[[#This Row],[PID]],Table3[[#All],[PID]],0)))</f>
        <v>Low</v>
      </c>
      <c r="K1052" s="54" t="str">
        <f>IF($C1052="B",INDEX(Batters[[#All],[INT]],MATCH(Table5[[#This Row],[PID]],Batters[[#All],[PID]],0)),INDEX(Table3[[#All],[INT]],MATCH(Table5[[#This Row],[PID]],Table3[[#All],[PID]],0)))</f>
        <v>Normal</v>
      </c>
      <c r="L1052" s="62">
        <f>IF($C1052="B",INDEX(Batters[[#All],[CON P]],MATCH(Table5[[#This Row],[PID]],Batters[[#All],[PID]],0)),INDEX(Table3[[#All],[STU P]],MATCH(Table5[[#This Row],[PID]],Table3[[#All],[PID]],0)))</f>
        <v>4</v>
      </c>
      <c r="M1052" s="58">
        <f>IF($C1052="B",INDEX(Batters[[#All],[GAP P]],MATCH(Table5[[#This Row],[PID]],Batters[[#All],[PID]],0)),INDEX(Table3[[#All],[MOV P]],MATCH(Table5[[#This Row],[PID]],Table3[[#All],[PID]],0)))</f>
        <v>1</v>
      </c>
      <c r="N1052" s="58">
        <f>IF($C1052="B",INDEX(Batters[[#All],[POW P]],MATCH(Table5[[#This Row],[PID]],Batters[[#All],[PID]],0)),INDEX(Table3[[#All],[CON P]],MATCH(Table5[[#This Row],[PID]],Table3[[#All],[PID]],0)))</f>
        <v>2</v>
      </c>
      <c r="O1052" s="58" t="str">
        <f>IF($C1052="B",INDEX(Batters[[#All],[EYE P]],MATCH(Table5[[#This Row],[PID]],Batters[[#All],[PID]],0)),INDEX(Table3[[#All],[VELO]],MATCH(Table5[[#This Row],[PID]],Table3[[#All],[PID]],0)))</f>
        <v>90-92 Mph</v>
      </c>
      <c r="P1052" s="58">
        <f>IF($C1052="B",INDEX(Batters[[#All],[K P]],MATCH(Table5[[#This Row],[PID]],Batters[[#All],[PID]],0)),INDEX(Table3[[#All],[STM]],MATCH(Table5[[#This Row],[PID]],Table3[[#All],[PID]],0)))</f>
        <v>8</v>
      </c>
      <c r="Q1052" s="63">
        <f>IF($C1052="B",INDEX(Batters[[#All],[Tot]],MATCH(Table5[[#This Row],[PID]],Batters[[#All],[PID]],0)),INDEX(Table3[[#All],[Tot]],MATCH(Table5[[#This Row],[PID]],Table3[[#All],[PID]],0)))</f>
        <v>20.856742464330399</v>
      </c>
      <c r="R1052" s="54">
        <f>IF($C1052="B",INDEX(Batters[[#All],[zScore]],MATCH(Table5[[#This Row],[PID]],Batters[[#All],[PID]],0)),INDEX(Table3[[#All],[zScore]],MATCH(Table5[[#This Row],[PID]],Table3[[#All],[PID]],0)))</f>
        <v>-1.0881178335870467</v>
      </c>
      <c r="S1052" s="60" t="str">
        <f>IF($C1052="B",INDEX(Batters[[#All],[DEM]],MATCH(Table5[[#This Row],[PID]],Batters[[#All],[PID]],0)),INDEX(Table3[[#All],[DEM]],MATCH(Table5[[#This Row],[PID]],Table3[[#All],[PID]],0)))</f>
        <v>-</v>
      </c>
      <c r="T1052" s="64" t="e">
        <f>IF($C1052="B",VLOOKUP($A1052,Bat!$A$4:$AU$1417,46,FALSE),VLOOKUP($A1052,Pit!$A$4:$BD$570,55,FALSE))</f>
        <v>#N/A</v>
      </c>
      <c r="U1052" s="52" t="e">
        <f>IF($C1052="B",VLOOKUP($A1052,Bat!$A$4:$BA$1417,47,FALSE),VLOOKUP($A1052,Pit!$A$4:$BF$570,56,FALSE))</f>
        <v>#N/A</v>
      </c>
      <c r="V1052" s="52" t="e">
        <f>IF($C1052="B",VLOOKUP($A1052,Bat!$A$4:$BA$1417,48,FALSE),VLOOKUP($A1052,Pit!$A$4:$BF$570,57,FALSE))</f>
        <v>#N/A</v>
      </c>
      <c r="W1052" s="52" t="e">
        <f>Table5[[#This Row],[posRnk]]+Table5[[#This Row],[zRnk]]+IF($W$3&lt;&gt;Table5[[#This Row],[Type]],50,0)</f>
        <v>#N/A</v>
      </c>
      <c r="X1052" s="53">
        <f>RANK(Table5[[#This Row],[zScore]],Table5[[#All],[zScore]])</f>
        <v>1048</v>
      </c>
      <c r="Y1052" s="52" t="str">
        <f>IFERROR(INDEX(DraftResults[[#All],[OVR]],MATCH(Table5[[#This Row],[PID]],DraftResults[[#All],[Player ID]],0)),"")</f>
        <v/>
      </c>
      <c r="Z10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2" s="52" t="str">
        <f>IFERROR(INDEX(DraftResults[[#All],[Pick in Round]],MATCH(Table5[[#This Row],[PID]],DraftResults[[#All],[Player ID]],0)),"")</f>
        <v/>
      </c>
      <c r="AB1052" s="52" t="str">
        <f>IFERROR(INDEX(DraftResults[[#All],[Team Name]],MATCH(Table5[[#This Row],[PID]],DraftResults[[#All],[Player ID]],0)),"")</f>
        <v/>
      </c>
      <c r="AC1052" s="52" t="str">
        <f>IF(Table5[[#This Row],[Ovr]]="","",IF(Table5[[#This Row],[cmbList]]="","",Table5[[#This Row],[cmbList]]-Table5[[#This Row],[Ovr]]))</f>
        <v/>
      </c>
      <c r="AD1052" s="56" t="str">
        <f>IF(ISERROR(VLOOKUP($AB1052&amp;"-"&amp;$E1052&amp;" "&amp;F1052,Bonuses!$B$1:$G$1006,4,FALSE)),"",INT(VLOOKUP($AB1052&amp;"-"&amp;$E1052&amp;" "&amp;$F1052,Bonuses!$B$1:$G$1006,4,FALSE)))</f>
        <v/>
      </c>
      <c r="AE10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3" spans="1:31" s="52" customFormat="1" x14ac:dyDescent="0.25">
      <c r="A1053" s="52">
        <v>9421</v>
      </c>
      <c r="B1053" s="52">
        <f>COUNTIF(Table5[PID],A1053)</f>
        <v>1</v>
      </c>
      <c r="C1053" s="52" t="str">
        <f>IF(COUNTIF(Table3[[#All],[PID]],A1053)&gt;0,"P","B")</f>
        <v>P</v>
      </c>
      <c r="D1053" s="61" t="str">
        <f>IF($C1053="B",INDEX(Batters[[#All],[POS]],MATCH(Table5[[#This Row],[PID]],Batters[[#All],[PID]],0)),INDEX(Table3[[#All],[POS]],MATCH(Table5[[#This Row],[PID]],Table3[[#All],[PID]],0)))</f>
        <v>SP</v>
      </c>
      <c r="E1053" s="54" t="str">
        <f>IF($C1053="B",INDEX(Batters[[#All],[First]],MATCH(Table5[[#This Row],[PID]],Batters[[#All],[PID]],0)),INDEX(Table3[[#All],[First]],MATCH(Table5[[#This Row],[PID]],Table3[[#All],[PID]],0)))</f>
        <v>Mark</v>
      </c>
      <c r="F1053" s="52" t="str">
        <f>IF($C1053="B",INDEX(Batters[[#All],[Last]],MATCH(A1053,Batters[[#All],[PID]],0)),INDEX(Table3[[#All],[Last]],MATCH(A1053,Table3[[#All],[PID]],0)))</f>
        <v>Oglethorpe</v>
      </c>
      <c r="G1053" s="58">
        <f>IF($C1053="B",INDEX(Batters[[#All],[Age]],MATCH(Table5[[#This Row],[PID]],Batters[[#All],[PID]],0)),INDEX(Table3[[#All],[Age]],MATCH(Table5[[#This Row],[PID]],Table3[[#All],[PID]],0)))</f>
        <v>21</v>
      </c>
      <c r="H1053" s="54" t="str">
        <f>IF($C1053="B",INDEX(Batters[[#All],[B]],MATCH(Table5[[#This Row],[PID]],Batters[[#All],[PID]],0)),INDEX(Table3[[#All],[B]],MATCH(Table5[[#This Row],[PID]],Table3[[#All],[PID]],0)))</f>
        <v>L</v>
      </c>
      <c r="I1053" s="54" t="str">
        <f>IF($C1053="B",INDEX(Batters[[#All],[T]],MATCH(Table5[[#This Row],[PID]],Batters[[#All],[PID]],0)),INDEX(Table3[[#All],[T]],MATCH(Table5[[#This Row],[PID]],Table3[[#All],[PID]],0)))</f>
        <v>L</v>
      </c>
      <c r="J1053" s="54" t="str">
        <f>IF($C1053="B",INDEX(Batters[[#All],[WE]],MATCH(Table5[[#This Row],[PID]],Batters[[#All],[PID]],0)),INDEX(Table3[[#All],[WE]],MATCH(Table5[[#This Row],[PID]],Table3[[#All],[PID]],0)))</f>
        <v>Low</v>
      </c>
      <c r="K1053" s="54" t="str">
        <f>IF($C1053="B",INDEX(Batters[[#All],[INT]],MATCH(Table5[[#This Row],[PID]],Batters[[#All],[PID]],0)),INDEX(Table3[[#All],[INT]],MATCH(Table5[[#This Row],[PID]],Table3[[#All],[PID]],0)))</f>
        <v>Normal</v>
      </c>
      <c r="L1053" s="62">
        <f>IF($C1053="B",INDEX(Batters[[#All],[CON P]],MATCH(Table5[[#This Row],[PID]],Batters[[#All],[PID]],0)),INDEX(Table3[[#All],[STU P]],MATCH(Table5[[#This Row],[PID]],Table3[[#All],[PID]],0)))</f>
        <v>4</v>
      </c>
      <c r="M1053" s="58">
        <f>IF($C1053="B",INDEX(Batters[[#All],[GAP P]],MATCH(Table5[[#This Row],[PID]],Batters[[#All],[PID]],0)),INDEX(Table3[[#All],[MOV P]],MATCH(Table5[[#This Row],[PID]],Table3[[#All],[PID]],0)))</f>
        <v>1</v>
      </c>
      <c r="N1053" s="58">
        <f>IF($C1053="B",INDEX(Batters[[#All],[POW P]],MATCH(Table5[[#This Row],[PID]],Batters[[#All],[PID]],0)),INDEX(Table3[[#All],[CON P]],MATCH(Table5[[#This Row],[PID]],Table3[[#All],[PID]],0)))</f>
        <v>2</v>
      </c>
      <c r="O1053" s="58" t="str">
        <f>IF($C1053="B",INDEX(Batters[[#All],[EYE P]],MATCH(Table5[[#This Row],[PID]],Batters[[#All],[PID]],0)),INDEX(Table3[[#All],[VELO]],MATCH(Table5[[#This Row],[PID]],Table3[[#All],[PID]],0)))</f>
        <v>90-92 Mph</v>
      </c>
      <c r="P1053" s="58">
        <f>IF($C1053="B",INDEX(Batters[[#All],[K P]],MATCH(Table5[[#This Row],[PID]],Batters[[#All],[PID]],0)),INDEX(Table3[[#All],[STM]],MATCH(Table5[[#This Row],[PID]],Table3[[#All],[PID]],0)))</f>
        <v>8</v>
      </c>
      <c r="Q1053" s="63">
        <f>IF($C1053="B",INDEX(Batters[[#All],[Tot]],MATCH(Table5[[#This Row],[PID]],Batters[[#All],[PID]],0)),INDEX(Table3[[#All],[Tot]],MATCH(Table5[[#This Row],[PID]],Table3[[#All],[PID]],0)))</f>
        <v>20.856742464330399</v>
      </c>
      <c r="R1053" s="54">
        <f>IF($C1053="B",INDEX(Batters[[#All],[zScore]],MATCH(Table5[[#This Row],[PID]],Batters[[#All],[PID]],0)),INDEX(Table3[[#All],[zScore]],MATCH(Table5[[#This Row],[PID]],Table3[[#All],[PID]],0)))</f>
        <v>-1.0881178335870467</v>
      </c>
      <c r="S1053" s="60" t="str">
        <f>IF($C1053="B",INDEX(Batters[[#All],[DEM]],MATCH(Table5[[#This Row],[PID]],Batters[[#All],[PID]],0)),INDEX(Table3[[#All],[DEM]],MATCH(Table5[[#This Row],[PID]],Table3[[#All],[PID]],0)))</f>
        <v>-</v>
      </c>
      <c r="T1053" s="64" t="e">
        <f>IF($C1053="B",VLOOKUP($A1053,Bat!$A$4:$AU$1417,46,FALSE),VLOOKUP($A1053,Pit!$A$4:$BD$570,55,FALSE))</f>
        <v>#N/A</v>
      </c>
      <c r="U1053" s="52" t="e">
        <f>IF($C1053="B",VLOOKUP($A1053,Bat!$A$4:$BA$1417,47,FALSE),VLOOKUP($A1053,Pit!$A$4:$BF$570,56,FALSE))</f>
        <v>#N/A</v>
      </c>
      <c r="V1053" s="52" t="e">
        <f>IF($C1053="B",VLOOKUP($A1053,Bat!$A$4:$BA$1417,48,FALSE),VLOOKUP($A1053,Pit!$A$4:$BF$570,57,FALSE))</f>
        <v>#N/A</v>
      </c>
      <c r="W1053" s="52" t="e">
        <f>Table5[[#This Row],[posRnk]]+Table5[[#This Row],[zRnk]]+IF($W$3&lt;&gt;Table5[[#This Row],[Type]],50,0)</f>
        <v>#N/A</v>
      </c>
      <c r="X1053" s="53">
        <f>RANK(Table5[[#This Row],[zScore]],Table5[[#All],[zScore]])</f>
        <v>1048</v>
      </c>
      <c r="Y1053" s="52" t="str">
        <f>IFERROR(INDEX(DraftResults[[#All],[OVR]],MATCH(Table5[[#This Row],[PID]],DraftResults[[#All],[Player ID]],0)),"")</f>
        <v/>
      </c>
      <c r="Z10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3" s="52" t="str">
        <f>IFERROR(INDEX(DraftResults[[#All],[Pick in Round]],MATCH(Table5[[#This Row],[PID]],DraftResults[[#All],[Player ID]],0)),"")</f>
        <v/>
      </c>
      <c r="AB1053" s="52" t="str">
        <f>IFERROR(INDEX(DraftResults[[#All],[Team Name]],MATCH(Table5[[#This Row],[PID]],DraftResults[[#All],[Player ID]],0)),"")</f>
        <v/>
      </c>
      <c r="AC1053" s="52" t="str">
        <f>IF(Table5[[#This Row],[Ovr]]="","",IF(Table5[[#This Row],[cmbList]]="","",Table5[[#This Row],[cmbList]]-Table5[[#This Row],[Ovr]]))</f>
        <v/>
      </c>
      <c r="AD1053" s="56" t="str">
        <f>IF(ISERROR(VLOOKUP($AB1053&amp;"-"&amp;$E1053&amp;" "&amp;F1053,Bonuses!$B$1:$G$1006,4,FALSE)),"",INT(VLOOKUP($AB1053&amp;"-"&amp;$E1053&amp;" "&amp;$F1053,Bonuses!$B$1:$G$1006,4,FALSE)))</f>
        <v/>
      </c>
      <c r="AE10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4" spans="1:31" s="52" customFormat="1" x14ac:dyDescent="0.25">
      <c r="A1054" s="52">
        <v>5729</v>
      </c>
      <c r="B1054" s="57">
        <f>COUNTIF(Table5[PID],A1054)</f>
        <v>1</v>
      </c>
      <c r="C1054" s="57" t="str">
        <f>IF(COUNTIF(Table3[[#All],[PID]],A1054)&gt;0,"P","B")</f>
        <v>B</v>
      </c>
      <c r="D1054" s="61" t="str">
        <f>IF($C1054="B",INDEX(Batters[[#All],[POS]],MATCH(Table5[[#This Row],[PID]],Batters[[#All],[PID]],0)),INDEX(Table3[[#All],[POS]],MATCH(Table5[[#This Row],[PID]],Table3[[#All],[PID]],0)))</f>
        <v>RF</v>
      </c>
      <c r="E1054" s="54" t="str">
        <f>IF($C1054="B",INDEX(Batters[[#All],[First]],MATCH(Table5[[#This Row],[PID]],Batters[[#All],[PID]],0)),INDEX(Table3[[#All],[First]],MATCH(Table5[[#This Row],[PID]],Table3[[#All],[PID]],0)))</f>
        <v>Lloyd</v>
      </c>
      <c r="F1054" s="52" t="str">
        <f>IF($C1054="B",INDEX(Batters[[#All],[Last]],MATCH(A1054,Batters[[#All],[PID]],0)),INDEX(Table3[[#All],[Last]],MATCH(A1054,Table3[[#All],[PID]],0)))</f>
        <v>Jones</v>
      </c>
      <c r="G1054" s="58">
        <f>IF($C1054="B",INDEX(Batters[[#All],[Age]],MATCH(Table5[[#This Row],[PID]],Batters[[#All],[PID]],0)),INDEX(Table3[[#All],[Age]],MATCH(Table5[[#This Row],[PID]],Table3[[#All],[PID]],0)))</f>
        <v>22</v>
      </c>
      <c r="H1054" s="54" t="str">
        <f>IF($C1054="B",INDEX(Batters[[#All],[B]],MATCH(Table5[[#This Row],[PID]],Batters[[#All],[PID]],0)),INDEX(Table3[[#All],[B]],MATCH(Table5[[#This Row],[PID]],Table3[[#All],[PID]],0)))</f>
        <v>R</v>
      </c>
      <c r="I1054" s="54" t="str">
        <f>IF($C1054="B",INDEX(Batters[[#All],[T]],MATCH(Table5[[#This Row],[PID]],Batters[[#All],[PID]],0)),INDEX(Table3[[#All],[T]],MATCH(Table5[[#This Row],[PID]],Table3[[#All],[PID]],0)))</f>
        <v>R</v>
      </c>
      <c r="J1054" s="54" t="str">
        <f>IF($C1054="B",INDEX(Batters[[#All],[WE]],MATCH(Table5[[#This Row],[PID]],Batters[[#All],[PID]],0)),INDEX(Table3[[#All],[WE]],MATCH(Table5[[#This Row],[PID]],Table3[[#All],[PID]],0)))</f>
        <v>Normal</v>
      </c>
      <c r="K1054" s="54" t="str">
        <f>IF($C1054="B",INDEX(Batters[[#All],[INT]],MATCH(Table5[[#This Row],[PID]],Batters[[#All],[PID]],0)),INDEX(Table3[[#All],[INT]],MATCH(Table5[[#This Row],[PID]],Table3[[#All],[PID]],0)))</f>
        <v>Normal</v>
      </c>
      <c r="L1054" s="62">
        <f>IF($C1054="B",INDEX(Batters[[#All],[CON P]],MATCH(Table5[[#This Row],[PID]],Batters[[#All],[PID]],0)),INDEX(Table3[[#All],[STU P]],MATCH(Table5[[#This Row],[PID]],Table3[[#All],[PID]],0)))</f>
        <v>2</v>
      </c>
      <c r="M1054" s="58">
        <f>IF($C1054="B",INDEX(Batters[[#All],[GAP P]],MATCH(Table5[[#This Row],[PID]],Batters[[#All],[PID]],0)),INDEX(Table3[[#All],[MOV P]],MATCH(Table5[[#This Row],[PID]],Table3[[#All],[PID]],0)))</f>
        <v>4</v>
      </c>
      <c r="N1054" s="58">
        <f>IF($C1054="B",INDEX(Batters[[#All],[POW P]],MATCH(Table5[[#This Row],[PID]],Batters[[#All],[PID]],0)),INDEX(Table3[[#All],[CON P]],MATCH(Table5[[#This Row],[PID]],Table3[[#All],[PID]],0)))</f>
        <v>3</v>
      </c>
      <c r="O1054" s="58">
        <f>IF($C1054="B",INDEX(Batters[[#All],[EYE P]],MATCH(Table5[[#This Row],[PID]],Batters[[#All],[PID]],0)),INDEX(Table3[[#All],[VELO]],MATCH(Table5[[#This Row],[PID]],Table3[[#All],[PID]],0)))</f>
        <v>5</v>
      </c>
      <c r="P1054" s="58">
        <f>IF($C1054="B",INDEX(Batters[[#All],[K P]],MATCH(Table5[[#This Row],[PID]],Batters[[#All],[PID]],0)),INDEX(Table3[[#All],[STM]],MATCH(Table5[[#This Row],[PID]],Table3[[#All],[PID]],0)))</f>
        <v>3</v>
      </c>
      <c r="Q1054" s="63">
        <f>IF($C1054="B",INDEX(Batters[[#All],[Tot]],MATCH(Table5[[#This Row],[PID]],Batters[[#All],[PID]],0)),INDEX(Table3[[#All],[Tot]],MATCH(Table5[[#This Row],[PID]],Table3[[#All],[PID]],0)))</f>
        <v>34.101324282430042</v>
      </c>
      <c r="R1054" s="54">
        <f>IF($C1054="B",INDEX(Batters[[#All],[zScore]],MATCH(Table5[[#This Row],[PID]],Batters[[#All],[PID]],0)),INDEX(Table3[[#All],[zScore]],MATCH(Table5[[#This Row],[PID]],Table3[[#All],[PID]],0)))</f>
        <v>-1.0991045962295889</v>
      </c>
      <c r="S1054" s="60" t="str">
        <f>IF($C1054="B",INDEX(Batters[[#All],[DEM]],MATCH(Table5[[#This Row],[PID]],Batters[[#All],[PID]],0)),INDEX(Table3[[#All],[DEM]],MATCH(Table5[[#This Row],[PID]],Table3[[#All],[PID]],0)))</f>
        <v>-</v>
      </c>
      <c r="T1054" s="64">
        <f>IF($C1054="B",VLOOKUP($A1054,Bat!$A$4:$AU$1417,46,FALSE),VLOOKUP($A1054,Pit!$A$4:$BD$570,55,FALSE))</f>
        <v>0</v>
      </c>
      <c r="U1054" s="52">
        <f>IF($C1054="B",VLOOKUP($A1054,Bat!$A$4:$BA$1417,47,FALSE),VLOOKUP($A1054,Pit!$A$4:$BF$570,56,FALSE))</f>
        <v>0</v>
      </c>
      <c r="V1054" s="52">
        <f>IF($C1054="B",VLOOKUP($A1054,Bat!$A$4:$BA$1417,48,FALSE),VLOOKUP($A1054,Pit!$A$4:$BF$570,57,FALSE))</f>
        <v>0</v>
      </c>
      <c r="W1054" s="52">
        <f>Table5[[#This Row],[posRnk]]+Table5[[#This Row],[zRnk]]+IF($W$3&lt;&gt;Table5[[#This Row],[Type]],50,0)</f>
        <v>1100</v>
      </c>
      <c r="X1054" s="53">
        <f>RANK(Table5[[#This Row],[zScore]],Table5[[#All],[zScore]])</f>
        <v>1050</v>
      </c>
      <c r="Y1054" s="52" t="str">
        <f>IFERROR(INDEX(DraftResults[[#All],[OVR]],MATCH(Table5[[#This Row],[PID]],DraftResults[[#All],[Player ID]],0)),"")</f>
        <v/>
      </c>
      <c r="Z10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4" s="52" t="str">
        <f>IFERROR(INDEX(DraftResults[[#All],[Pick in Round]],MATCH(Table5[[#This Row],[PID]],DraftResults[[#All],[Player ID]],0)),"")</f>
        <v/>
      </c>
      <c r="AB1054" s="52" t="str">
        <f>IFERROR(INDEX(DraftResults[[#All],[Team Name]],MATCH(Table5[[#This Row],[PID]],DraftResults[[#All],[Player ID]],0)),"")</f>
        <v/>
      </c>
      <c r="AC1054" s="52" t="str">
        <f>IF(Table5[[#This Row],[Ovr]]="","",IF(Table5[[#This Row],[cmbList]]="","",Table5[[#This Row],[cmbList]]-Table5[[#This Row],[Ovr]]))</f>
        <v/>
      </c>
      <c r="AD1054" s="56" t="str">
        <f>IF(ISERROR(VLOOKUP($AB1054&amp;"-"&amp;$E1054&amp;" "&amp;F1054,Bonuses!$B$1:$G$1006,4,FALSE)),"",INT(VLOOKUP($AB1054&amp;"-"&amp;$E1054&amp;" "&amp;$F1054,Bonuses!$B$1:$G$1006,4,FALSE)))</f>
        <v/>
      </c>
      <c r="AE10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5" spans="1:31" s="52" customFormat="1" x14ac:dyDescent="0.25">
      <c r="A1055" s="52">
        <v>9585</v>
      </c>
      <c r="B1055" s="52">
        <f>COUNTIF(Table5[PID],A1055)</f>
        <v>1</v>
      </c>
      <c r="C1055" s="52" t="str">
        <f>IF(COUNTIF(Table3[[#All],[PID]],A1055)&gt;0,"P","B")</f>
        <v>B</v>
      </c>
      <c r="D1055" s="61" t="str">
        <f>IF($C1055="B",INDEX(Batters[[#All],[POS]],MATCH(Table5[[#This Row],[PID]],Batters[[#All],[PID]],0)),INDEX(Table3[[#All],[POS]],MATCH(Table5[[#This Row],[PID]],Table3[[#All],[PID]],0)))</f>
        <v>LF</v>
      </c>
      <c r="E1055" s="54" t="str">
        <f>IF($C1055="B",INDEX(Batters[[#All],[First]],MATCH(Table5[[#This Row],[PID]],Batters[[#All],[PID]],0)),INDEX(Table3[[#All],[First]],MATCH(Table5[[#This Row],[PID]],Table3[[#All],[PID]],0)))</f>
        <v>Steve</v>
      </c>
      <c r="F1055" s="52" t="str">
        <f>IF($C1055="B",INDEX(Batters[[#All],[Last]],MATCH(A1055,Batters[[#All],[PID]],0)),INDEX(Table3[[#All],[Last]],MATCH(A1055,Table3[[#All],[PID]],0)))</f>
        <v>Decker</v>
      </c>
      <c r="G1055" s="58">
        <f>IF($C1055="B",INDEX(Batters[[#All],[Age]],MATCH(Table5[[#This Row],[PID]],Batters[[#All],[PID]],0)),INDEX(Table3[[#All],[Age]],MATCH(Table5[[#This Row],[PID]],Table3[[#All],[PID]],0)))</f>
        <v>22</v>
      </c>
      <c r="H1055" s="54" t="str">
        <f>IF($C1055="B",INDEX(Batters[[#All],[B]],MATCH(Table5[[#This Row],[PID]],Batters[[#All],[PID]],0)),INDEX(Table3[[#All],[B]],MATCH(Table5[[#This Row],[PID]],Table3[[#All],[PID]],0)))</f>
        <v>R</v>
      </c>
      <c r="I1055" s="54" t="str">
        <f>IF($C1055="B",INDEX(Batters[[#All],[T]],MATCH(Table5[[#This Row],[PID]],Batters[[#All],[PID]],0)),INDEX(Table3[[#All],[T]],MATCH(Table5[[#This Row],[PID]],Table3[[#All],[PID]],0)))</f>
        <v>R</v>
      </c>
      <c r="J1055" s="54" t="str">
        <f>IF($C1055="B",INDEX(Batters[[#All],[WE]],MATCH(Table5[[#This Row],[PID]],Batters[[#All],[PID]],0)),INDEX(Table3[[#All],[WE]],MATCH(Table5[[#This Row],[PID]],Table3[[#All],[PID]],0)))</f>
        <v>Low</v>
      </c>
      <c r="K1055" s="54" t="str">
        <f>IF($C1055="B",INDEX(Batters[[#All],[INT]],MATCH(Table5[[#This Row],[PID]],Batters[[#All],[PID]],0)),INDEX(Table3[[#All],[INT]],MATCH(Table5[[#This Row],[PID]],Table3[[#All],[PID]],0)))</f>
        <v>Normal</v>
      </c>
      <c r="L1055" s="62">
        <f>IF($C1055="B",INDEX(Batters[[#All],[CON P]],MATCH(Table5[[#This Row],[PID]],Batters[[#All],[PID]],0)),INDEX(Table3[[#All],[STU P]],MATCH(Table5[[#This Row],[PID]],Table3[[#All],[PID]],0)))</f>
        <v>3</v>
      </c>
      <c r="M1055" s="58">
        <f>IF($C1055="B",INDEX(Batters[[#All],[GAP P]],MATCH(Table5[[#This Row],[PID]],Batters[[#All],[PID]],0)),INDEX(Table3[[#All],[MOV P]],MATCH(Table5[[#This Row],[PID]],Table3[[#All],[PID]],0)))</f>
        <v>3</v>
      </c>
      <c r="N1055" s="58">
        <f>IF($C1055="B",INDEX(Batters[[#All],[POW P]],MATCH(Table5[[#This Row],[PID]],Batters[[#All],[PID]],0)),INDEX(Table3[[#All],[CON P]],MATCH(Table5[[#This Row],[PID]],Table3[[#All],[PID]],0)))</f>
        <v>3</v>
      </c>
      <c r="O1055" s="58">
        <f>IF($C1055="B",INDEX(Batters[[#All],[EYE P]],MATCH(Table5[[#This Row],[PID]],Batters[[#All],[PID]],0)),INDEX(Table3[[#All],[VELO]],MATCH(Table5[[#This Row],[PID]],Table3[[#All],[PID]],0)))</f>
        <v>3</v>
      </c>
      <c r="P1055" s="58">
        <f>IF($C1055="B",INDEX(Batters[[#All],[K P]],MATCH(Table5[[#This Row],[PID]],Batters[[#All],[PID]],0)),INDEX(Table3[[#All],[STM]],MATCH(Table5[[#This Row],[PID]],Table3[[#All],[PID]],0)))</f>
        <v>4</v>
      </c>
      <c r="Q1055" s="63">
        <f>IF($C1055="B",INDEX(Batters[[#All],[Tot]],MATCH(Table5[[#This Row],[PID]],Batters[[#All],[PID]],0)),INDEX(Table3[[#All],[Tot]],MATCH(Table5[[#This Row],[PID]],Table3[[#All],[PID]],0)))</f>
        <v>34.095957880966942</v>
      </c>
      <c r="R1055" s="54">
        <f>IF($C1055="B",INDEX(Batters[[#All],[zScore]],MATCH(Table5[[#This Row],[PID]],Batters[[#All],[PID]],0)),INDEX(Table3[[#All],[zScore]],MATCH(Table5[[#This Row],[PID]],Table3[[#All],[PID]],0)))</f>
        <v>-1.1000487789002893</v>
      </c>
      <c r="S1055" s="60" t="str">
        <f>IF($C1055="B",INDEX(Batters[[#All],[DEM]],MATCH(Table5[[#This Row],[PID]],Batters[[#All],[PID]],0)),INDEX(Table3[[#All],[DEM]],MATCH(Table5[[#This Row],[PID]],Table3[[#All],[PID]],0)))</f>
        <v>-</v>
      </c>
      <c r="T1055" s="64">
        <f>IF($C1055="B",VLOOKUP($A1055,Bat!$A$4:$AU$1417,46,FALSE),VLOOKUP($A1055,Pit!$A$4:$BD$570,55,FALSE))</f>
        <v>0</v>
      </c>
      <c r="U1055" s="52">
        <f>IF($C1055="B",VLOOKUP($A1055,Bat!$A$4:$BA$1417,47,FALSE),VLOOKUP($A1055,Pit!$A$4:$BF$570,56,FALSE))</f>
        <v>0</v>
      </c>
      <c r="V1055" s="52">
        <f>IF($C1055="B",VLOOKUP($A1055,Bat!$A$4:$BA$1417,48,FALSE),VLOOKUP($A1055,Pit!$A$4:$BF$570,57,FALSE))</f>
        <v>0</v>
      </c>
      <c r="W1055" s="52">
        <f>Table5[[#This Row],[posRnk]]+Table5[[#This Row],[zRnk]]+IF($W$3&lt;&gt;Table5[[#This Row],[Type]],50,0)</f>
        <v>1101</v>
      </c>
      <c r="X1055" s="53">
        <f>RANK(Table5[[#This Row],[zScore]],Table5[[#All],[zScore]])</f>
        <v>1051</v>
      </c>
      <c r="Y1055" s="52" t="str">
        <f>IFERROR(INDEX(DraftResults[[#All],[OVR]],MATCH(Table5[[#This Row],[PID]],DraftResults[[#All],[Player ID]],0)),"")</f>
        <v/>
      </c>
      <c r="Z10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5" s="52" t="str">
        <f>IFERROR(INDEX(DraftResults[[#All],[Pick in Round]],MATCH(Table5[[#This Row],[PID]],DraftResults[[#All],[Player ID]],0)),"")</f>
        <v/>
      </c>
      <c r="AB1055" s="52" t="str">
        <f>IFERROR(INDEX(DraftResults[[#All],[Team Name]],MATCH(Table5[[#This Row],[PID]],DraftResults[[#All],[Player ID]],0)),"")</f>
        <v/>
      </c>
      <c r="AC1055" s="52" t="str">
        <f>IF(Table5[[#This Row],[Ovr]]="","",IF(Table5[[#This Row],[cmbList]]="","",Table5[[#This Row],[cmbList]]-Table5[[#This Row],[Ovr]]))</f>
        <v/>
      </c>
      <c r="AD1055" s="56" t="str">
        <f>IF(ISERROR(VLOOKUP($AB1055&amp;"-"&amp;$E1055&amp;" "&amp;F1055,Bonuses!$B$1:$G$1006,4,FALSE)),"",INT(VLOOKUP($AB1055&amp;"-"&amp;$E1055&amp;" "&amp;$F1055,Bonuses!$B$1:$G$1006,4,FALSE)))</f>
        <v/>
      </c>
      <c r="AE10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6" spans="1:31" s="52" customFormat="1" x14ac:dyDescent="0.25">
      <c r="A1056" s="52">
        <v>10548</v>
      </c>
      <c r="B1056" s="52">
        <f>COUNTIF(Table5[PID],A1056)</f>
        <v>1</v>
      </c>
      <c r="C1056" s="52" t="str">
        <f>IF(COUNTIF(Table3[[#All],[PID]],A1056)&gt;0,"P","B")</f>
        <v>P</v>
      </c>
      <c r="D1056" s="61" t="str">
        <f>IF($C1056="B",INDEX(Batters[[#All],[POS]],MATCH(Table5[[#This Row],[PID]],Batters[[#All],[PID]],0)),INDEX(Table3[[#All],[POS]],MATCH(Table5[[#This Row],[PID]],Table3[[#All],[PID]],0)))</f>
        <v>RP</v>
      </c>
      <c r="E1056" s="54" t="str">
        <f>IF($C1056="B",INDEX(Batters[[#All],[First]],MATCH(Table5[[#This Row],[PID]],Batters[[#All],[PID]],0)),INDEX(Table3[[#All],[First]],MATCH(Table5[[#This Row],[PID]],Table3[[#All],[PID]],0)))</f>
        <v>Jason</v>
      </c>
      <c r="F1056" s="52" t="str">
        <f>IF($C1056="B",INDEX(Batters[[#All],[Last]],MATCH(A1056,Batters[[#All],[PID]],0)),INDEX(Table3[[#All],[Last]],MATCH(A1056,Table3[[#All],[PID]],0)))</f>
        <v>Edwards</v>
      </c>
      <c r="G1056" s="58">
        <f>IF($C1056="B",INDEX(Batters[[#All],[Age]],MATCH(Table5[[#This Row],[PID]],Batters[[#All],[PID]],0)),INDEX(Table3[[#All],[Age]],MATCH(Table5[[#This Row],[PID]],Table3[[#All],[PID]],0)))</f>
        <v>21</v>
      </c>
      <c r="H1056" s="54" t="str">
        <f>IF($C1056="B",INDEX(Batters[[#All],[B]],MATCH(Table5[[#This Row],[PID]],Batters[[#All],[PID]],0)),INDEX(Table3[[#All],[B]],MATCH(Table5[[#This Row],[PID]],Table3[[#All],[PID]],0)))</f>
        <v>R</v>
      </c>
      <c r="I1056" s="54" t="str">
        <f>IF($C1056="B",INDEX(Batters[[#All],[T]],MATCH(Table5[[#This Row],[PID]],Batters[[#All],[PID]],0)),INDEX(Table3[[#All],[T]],MATCH(Table5[[#This Row],[PID]],Table3[[#All],[PID]],0)))</f>
        <v>R</v>
      </c>
      <c r="J1056" s="54" t="str">
        <f>IF($C1056="B",INDEX(Batters[[#All],[WE]],MATCH(Table5[[#This Row],[PID]],Batters[[#All],[PID]],0)),INDEX(Table3[[#All],[WE]],MATCH(Table5[[#This Row],[PID]],Table3[[#All],[PID]],0)))</f>
        <v>Low</v>
      </c>
      <c r="K1056" s="54" t="str">
        <f>IF($C1056="B",INDEX(Batters[[#All],[INT]],MATCH(Table5[[#This Row],[PID]],Batters[[#All],[PID]],0)),INDEX(Table3[[#All],[INT]],MATCH(Table5[[#This Row],[PID]],Table3[[#All],[PID]],0)))</f>
        <v>Low</v>
      </c>
      <c r="L1056" s="62">
        <f>IF($C1056="B",INDEX(Batters[[#All],[CON P]],MATCH(Table5[[#This Row],[PID]],Batters[[#All],[PID]],0)),INDEX(Table3[[#All],[STU P]],MATCH(Table5[[#This Row],[PID]],Table3[[#All],[PID]],0)))</f>
        <v>4</v>
      </c>
      <c r="M1056" s="58">
        <f>IF($C1056="B",INDEX(Batters[[#All],[GAP P]],MATCH(Table5[[#This Row],[PID]],Batters[[#All],[PID]],0)),INDEX(Table3[[#All],[MOV P]],MATCH(Table5[[#This Row],[PID]],Table3[[#All],[PID]],0)))</f>
        <v>1</v>
      </c>
      <c r="N1056" s="58">
        <f>IF($C1056="B",INDEX(Batters[[#All],[POW P]],MATCH(Table5[[#This Row],[PID]],Batters[[#All],[PID]],0)),INDEX(Table3[[#All],[CON P]],MATCH(Table5[[#This Row],[PID]],Table3[[#All],[PID]],0)))</f>
        <v>2</v>
      </c>
      <c r="O1056" s="58" t="str">
        <f>IF($C1056="B",INDEX(Batters[[#All],[EYE P]],MATCH(Table5[[#This Row],[PID]],Batters[[#All],[PID]],0)),INDEX(Table3[[#All],[VELO]],MATCH(Table5[[#This Row],[PID]],Table3[[#All],[PID]],0)))</f>
        <v>89-91 Mph</v>
      </c>
      <c r="P1056" s="58">
        <f>IF($C1056="B",INDEX(Batters[[#All],[K P]],MATCH(Table5[[#This Row],[PID]],Batters[[#All],[PID]],0)),INDEX(Table3[[#All],[STM]],MATCH(Table5[[#This Row],[PID]],Table3[[#All],[PID]],0)))</f>
        <v>6</v>
      </c>
      <c r="Q1056" s="63">
        <f>IF($C1056="B",INDEX(Batters[[#All],[Tot]],MATCH(Table5[[#This Row],[PID]],Batters[[#All],[PID]],0)),INDEX(Table3[[#All],[Tot]],MATCH(Table5[[#This Row],[PID]],Table3[[#All],[PID]],0)))</f>
        <v>20.71532390272214</v>
      </c>
      <c r="R1056" s="54">
        <f>IF($C1056="B",INDEX(Batters[[#All],[zScore]],MATCH(Table5[[#This Row],[PID]],Batters[[#All],[PID]],0)),INDEX(Table3[[#All],[zScore]],MATCH(Table5[[#This Row],[PID]],Table3[[#All],[PID]],0)))</f>
        <v>-1.1010865201221598</v>
      </c>
      <c r="S1056" s="60" t="str">
        <f>IF($C1056="B",INDEX(Batters[[#All],[DEM]],MATCH(Table5[[#This Row],[PID]],Batters[[#All],[PID]],0)),INDEX(Table3[[#All],[DEM]],MATCH(Table5[[#This Row],[PID]],Table3[[#All],[PID]],0)))</f>
        <v>-</v>
      </c>
      <c r="T1056" s="64" t="e">
        <f>IF($C1056="B",VLOOKUP($A1056,Bat!$A$4:$AU$1417,46,FALSE),VLOOKUP($A1056,Pit!$A$4:$BD$570,55,FALSE))</f>
        <v>#N/A</v>
      </c>
      <c r="U1056" s="52" t="e">
        <f>IF($C1056="B",VLOOKUP($A1056,Bat!$A$4:$BA$1417,47,FALSE),VLOOKUP($A1056,Pit!$A$4:$BF$570,56,FALSE))</f>
        <v>#N/A</v>
      </c>
      <c r="V1056" s="52" t="e">
        <f>IF($C1056="B",VLOOKUP($A1056,Bat!$A$4:$BA$1417,48,FALSE),VLOOKUP($A1056,Pit!$A$4:$BF$570,57,FALSE))</f>
        <v>#N/A</v>
      </c>
      <c r="W1056" s="52" t="e">
        <f>Table5[[#This Row],[posRnk]]+Table5[[#This Row],[zRnk]]+IF($W$3&lt;&gt;Table5[[#This Row],[Type]],50,0)</f>
        <v>#N/A</v>
      </c>
      <c r="X1056" s="53">
        <f>RANK(Table5[[#This Row],[zScore]],Table5[[#All],[zScore]])</f>
        <v>1052</v>
      </c>
      <c r="Y1056" s="52" t="str">
        <f>IFERROR(INDEX(DraftResults[[#All],[OVR]],MATCH(Table5[[#This Row],[PID]],DraftResults[[#All],[Player ID]],0)),"")</f>
        <v/>
      </c>
      <c r="Z10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6" s="52" t="str">
        <f>IFERROR(INDEX(DraftResults[[#All],[Pick in Round]],MATCH(Table5[[#This Row],[PID]],DraftResults[[#All],[Player ID]],0)),"")</f>
        <v/>
      </c>
      <c r="AB1056" s="52" t="str">
        <f>IFERROR(INDEX(DraftResults[[#All],[Team Name]],MATCH(Table5[[#This Row],[PID]],DraftResults[[#All],[Player ID]],0)),"")</f>
        <v/>
      </c>
      <c r="AC1056" s="52" t="str">
        <f>IF(Table5[[#This Row],[Ovr]]="","",IF(Table5[[#This Row],[cmbList]]="","",Table5[[#This Row],[cmbList]]-Table5[[#This Row],[Ovr]]))</f>
        <v/>
      </c>
      <c r="AD1056" s="56" t="str">
        <f>IF(ISERROR(VLOOKUP($AB1056&amp;"-"&amp;$E1056&amp;" "&amp;F1056,Bonuses!$B$1:$G$1006,4,FALSE)),"",INT(VLOOKUP($AB1056&amp;"-"&amp;$E1056&amp;" "&amp;$F1056,Bonuses!$B$1:$G$1006,4,FALSE)))</f>
        <v/>
      </c>
      <c r="AE10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7" spans="1:31" s="52" customFormat="1" x14ac:dyDescent="0.25">
      <c r="A1057" s="52">
        <v>9972</v>
      </c>
      <c r="B1057" s="52">
        <f>COUNTIF(Table5[PID],A1057)</f>
        <v>1</v>
      </c>
      <c r="C1057" s="52" t="str">
        <f>IF(COUNTIF(Table3[[#All],[PID]],A1057)&gt;0,"P","B")</f>
        <v>P</v>
      </c>
      <c r="D1057" s="61" t="str">
        <f>IF($C1057="B",INDEX(Batters[[#All],[POS]],MATCH(Table5[[#This Row],[PID]],Batters[[#All],[PID]],0)),INDEX(Table3[[#All],[POS]],MATCH(Table5[[#This Row],[PID]],Table3[[#All],[PID]],0)))</f>
        <v>RP</v>
      </c>
      <c r="E1057" s="54" t="str">
        <f>IF($C1057="B",INDEX(Batters[[#All],[First]],MATCH(Table5[[#This Row],[PID]],Batters[[#All],[PID]],0)),INDEX(Table3[[#All],[First]],MATCH(Table5[[#This Row],[PID]],Table3[[#All],[PID]],0)))</f>
        <v>Alfonso</v>
      </c>
      <c r="F1057" s="52" t="str">
        <f>IF($C1057="B",INDEX(Batters[[#All],[Last]],MATCH(A1057,Batters[[#All],[PID]],0)),INDEX(Table3[[#All],[Last]],MATCH(A1057,Table3[[#All],[PID]],0)))</f>
        <v>Hurtado</v>
      </c>
      <c r="G1057" s="58">
        <f>IF($C1057="B",INDEX(Batters[[#All],[Age]],MATCH(Table5[[#This Row],[PID]],Batters[[#All],[PID]],0)),INDEX(Table3[[#All],[Age]],MATCH(Table5[[#This Row],[PID]],Table3[[#All],[PID]],0)))</f>
        <v>22</v>
      </c>
      <c r="H1057" s="54" t="str">
        <f>IF($C1057="B",INDEX(Batters[[#All],[B]],MATCH(Table5[[#This Row],[PID]],Batters[[#All],[PID]],0)),INDEX(Table3[[#All],[B]],MATCH(Table5[[#This Row],[PID]],Table3[[#All],[PID]],0)))</f>
        <v>R</v>
      </c>
      <c r="I1057" s="54" t="str">
        <f>IF($C1057="B",INDEX(Batters[[#All],[T]],MATCH(Table5[[#This Row],[PID]],Batters[[#All],[PID]],0)),INDEX(Table3[[#All],[T]],MATCH(Table5[[#This Row],[PID]],Table3[[#All],[PID]],0)))</f>
        <v>R</v>
      </c>
      <c r="J1057" s="54" t="str">
        <f>IF($C1057="B",INDEX(Batters[[#All],[WE]],MATCH(Table5[[#This Row],[PID]],Batters[[#All],[PID]],0)),INDEX(Table3[[#All],[WE]],MATCH(Table5[[#This Row],[PID]],Table3[[#All],[PID]],0)))</f>
        <v>Normal</v>
      </c>
      <c r="K1057" s="54" t="str">
        <f>IF($C1057="B",INDEX(Batters[[#All],[INT]],MATCH(Table5[[#This Row],[PID]],Batters[[#All],[PID]],0)),INDEX(Table3[[#All],[INT]],MATCH(Table5[[#This Row],[PID]],Table3[[#All],[PID]],0)))</f>
        <v>Normal</v>
      </c>
      <c r="L1057" s="62">
        <f>IF($C1057="B",INDEX(Batters[[#All],[CON P]],MATCH(Table5[[#This Row],[PID]],Batters[[#All],[PID]],0)),INDEX(Table3[[#All],[STU P]],MATCH(Table5[[#This Row],[PID]],Table3[[#All],[PID]],0)))</f>
        <v>4</v>
      </c>
      <c r="M1057" s="58">
        <f>IF($C1057="B",INDEX(Batters[[#All],[GAP P]],MATCH(Table5[[#This Row],[PID]],Batters[[#All],[PID]],0)),INDEX(Table3[[#All],[MOV P]],MATCH(Table5[[#This Row],[PID]],Table3[[#All],[PID]],0)))</f>
        <v>1</v>
      </c>
      <c r="N1057" s="58">
        <f>IF($C1057="B",INDEX(Batters[[#All],[POW P]],MATCH(Table5[[#This Row],[PID]],Batters[[#All],[PID]],0)),INDEX(Table3[[#All],[CON P]],MATCH(Table5[[#This Row],[PID]],Table3[[#All],[PID]],0)))</f>
        <v>2</v>
      </c>
      <c r="O1057" s="58" t="str">
        <f>IF($C1057="B",INDEX(Batters[[#All],[EYE P]],MATCH(Table5[[#This Row],[PID]],Batters[[#All],[PID]],0)),INDEX(Table3[[#All],[VELO]],MATCH(Table5[[#This Row],[PID]],Table3[[#All],[PID]],0)))</f>
        <v>90-92 Mph</v>
      </c>
      <c r="P1057" s="58">
        <f>IF($C1057="B",INDEX(Batters[[#All],[K P]],MATCH(Table5[[#This Row],[PID]],Batters[[#All],[PID]],0)),INDEX(Table3[[#All],[STM]],MATCH(Table5[[#This Row],[PID]],Table3[[#All],[PID]],0)))</f>
        <v>7</v>
      </c>
      <c r="Q1057" s="63">
        <f>IF($C1057="B",INDEX(Batters[[#All],[Tot]],MATCH(Table5[[#This Row],[PID]],Batters[[#All],[PID]],0)),INDEX(Table3[[#All],[Tot]],MATCH(Table5[[#This Row],[PID]],Table3[[#All],[PID]],0)))</f>
        <v>20.695680729232237</v>
      </c>
      <c r="R1057" s="54">
        <f>IF($C1057="B",INDEX(Batters[[#All],[zScore]],MATCH(Table5[[#This Row],[PID]],Batters[[#All],[PID]],0)),INDEX(Table3[[#All],[zScore]],MATCH(Table5[[#This Row],[PID]],Table3[[#All],[PID]],0)))</f>
        <v>-1.1028878830878719</v>
      </c>
      <c r="S1057" s="60" t="str">
        <f>IF($C1057="B",INDEX(Batters[[#All],[DEM]],MATCH(Table5[[#This Row],[PID]],Batters[[#All],[PID]],0)),INDEX(Table3[[#All],[DEM]],MATCH(Table5[[#This Row],[PID]],Table3[[#All],[PID]],0)))</f>
        <v>-</v>
      </c>
      <c r="T1057" s="64">
        <f>IF($C1057="B",VLOOKUP($A1057,Bat!$A$4:$AU$1417,46,FALSE),VLOOKUP($A1057,Pit!$A$4:$BD$570,55,FALSE))</f>
        <v>0</v>
      </c>
      <c r="U1057" s="52">
        <f>IF($C1057="B",VLOOKUP($A1057,Bat!$A$4:$BA$1417,47,FALSE),VLOOKUP($A1057,Pit!$A$4:$BF$570,56,FALSE))</f>
        <v>0</v>
      </c>
      <c r="V1057" s="52">
        <f>IF($C1057="B",VLOOKUP($A1057,Bat!$A$4:$BA$1417,48,FALSE),VLOOKUP($A1057,Pit!$A$4:$BF$570,57,FALSE))</f>
        <v>0</v>
      </c>
      <c r="W1057" s="52">
        <f>Table5[[#This Row],[posRnk]]+Table5[[#This Row],[zRnk]]+IF($W$3&lt;&gt;Table5[[#This Row],[Type]],50,0)</f>
        <v>1103</v>
      </c>
      <c r="X1057" s="53">
        <f>RANK(Table5[[#This Row],[zScore]],Table5[[#All],[zScore]])</f>
        <v>1053</v>
      </c>
      <c r="Y1057" s="52" t="str">
        <f>IFERROR(INDEX(DraftResults[[#All],[OVR]],MATCH(Table5[[#This Row],[PID]],DraftResults[[#All],[Player ID]],0)),"")</f>
        <v/>
      </c>
      <c r="Z10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7" s="52" t="str">
        <f>IFERROR(INDEX(DraftResults[[#All],[Pick in Round]],MATCH(Table5[[#This Row],[PID]],DraftResults[[#All],[Player ID]],0)),"")</f>
        <v/>
      </c>
      <c r="AB1057" s="52" t="str">
        <f>IFERROR(INDEX(DraftResults[[#All],[Team Name]],MATCH(Table5[[#This Row],[PID]],DraftResults[[#All],[Player ID]],0)),"")</f>
        <v/>
      </c>
      <c r="AC1057" s="52" t="str">
        <f>IF(Table5[[#This Row],[Ovr]]="","",IF(Table5[[#This Row],[cmbList]]="","",Table5[[#This Row],[cmbList]]-Table5[[#This Row],[Ovr]]))</f>
        <v/>
      </c>
      <c r="AD1057" s="56" t="str">
        <f>IF(ISERROR(VLOOKUP($AB1057&amp;"-"&amp;$E1057&amp;" "&amp;F1057,Bonuses!$B$1:$G$1006,4,FALSE)),"",INT(VLOOKUP($AB1057&amp;"-"&amp;$E1057&amp;" "&amp;$F1057,Bonuses!$B$1:$G$1006,4,FALSE)))</f>
        <v/>
      </c>
      <c r="AE10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8" spans="1:31" s="52" customFormat="1" x14ac:dyDescent="0.25">
      <c r="A1058" s="52">
        <v>5367</v>
      </c>
      <c r="B1058" s="52">
        <f>COUNTIF(Table5[PID],A1058)</f>
        <v>1</v>
      </c>
      <c r="C1058" s="52" t="str">
        <f>IF(COUNTIF(Table3[[#All],[PID]],A1058)&gt;0,"P","B")</f>
        <v>P</v>
      </c>
      <c r="D1058" s="61" t="str">
        <f>IF($C1058="B",INDEX(Batters[[#All],[POS]],MATCH(Table5[[#This Row],[PID]],Batters[[#All],[PID]],0)),INDEX(Table3[[#All],[POS]],MATCH(Table5[[#This Row],[PID]],Table3[[#All],[PID]],0)))</f>
        <v>RP</v>
      </c>
      <c r="E1058" s="54" t="str">
        <f>IF($C1058="B",INDEX(Batters[[#All],[First]],MATCH(Table5[[#This Row],[PID]],Batters[[#All],[PID]],0)),INDEX(Table3[[#All],[First]],MATCH(Table5[[#This Row],[PID]],Table3[[#All],[PID]],0)))</f>
        <v>Christopher</v>
      </c>
      <c r="F1058" s="52" t="str">
        <f>IF($C1058="B",INDEX(Batters[[#All],[Last]],MATCH(A1058,Batters[[#All],[PID]],0)),INDEX(Table3[[#All],[Last]],MATCH(A1058,Table3[[#All],[PID]],0)))</f>
        <v>Taylor</v>
      </c>
      <c r="G1058" s="58">
        <f>IF($C1058="B",INDEX(Batters[[#All],[Age]],MATCH(Table5[[#This Row],[PID]],Batters[[#All],[PID]],0)),INDEX(Table3[[#All],[Age]],MATCH(Table5[[#This Row],[PID]],Table3[[#All],[PID]],0)))</f>
        <v>22</v>
      </c>
      <c r="H1058" s="54" t="str">
        <f>IF($C1058="B",INDEX(Batters[[#All],[B]],MATCH(Table5[[#This Row],[PID]],Batters[[#All],[PID]],0)),INDEX(Table3[[#All],[B]],MATCH(Table5[[#This Row],[PID]],Table3[[#All],[PID]],0)))</f>
        <v>R</v>
      </c>
      <c r="I1058" s="54" t="str">
        <f>IF($C1058="B",INDEX(Batters[[#All],[T]],MATCH(Table5[[#This Row],[PID]],Batters[[#All],[PID]],0)),INDEX(Table3[[#All],[T]],MATCH(Table5[[#This Row],[PID]],Table3[[#All],[PID]],0)))</f>
        <v>R</v>
      </c>
      <c r="J1058" s="54" t="str">
        <f>IF($C1058="B",INDEX(Batters[[#All],[WE]],MATCH(Table5[[#This Row],[PID]],Batters[[#All],[PID]],0)),INDEX(Table3[[#All],[WE]],MATCH(Table5[[#This Row],[PID]],Table3[[#All],[PID]],0)))</f>
        <v>Normal</v>
      </c>
      <c r="K1058" s="54" t="str">
        <f>IF($C1058="B",INDEX(Batters[[#All],[INT]],MATCH(Table5[[#This Row],[PID]],Batters[[#All],[PID]],0)),INDEX(Table3[[#All],[INT]],MATCH(Table5[[#This Row],[PID]],Table3[[#All],[PID]],0)))</f>
        <v>Normal</v>
      </c>
      <c r="L1058" s="62">
        <f>IF($C1058="B",INDEX(Batters[[#All],[CON P]],MATCH(Table5[[#This Row],[PID]],Batters[[#All],[PID]],0)),INDEX(Table3[[#All],[STU P]],MATCH(Table5[[#This Row],[PID]],Table3[[#All],[PID]],0)))</f>
        <v>4</v>
      </c>
      <c r="M1058" s="58">
        <f>IF($C1058="B",INDEX(Batters[[#All],[GAP P]],MATCH(Table5[[#This Row],[PID]],Batters[[#All],[PID]],0)),INDEX(Table3[[#All],[MOV P]],MATCH(Table5[[#This Row],[PID]],Table3[[#All],[PID]],0)))</f>
        <v>1</v>
      </c>
      <c r="N1058" s="58">
        <f>IF($C1058="B",INDEX(Batters[[#All],[POW P]],MATCH(Table5[[#This Row],[PID]],Batters[[#All],[PID]],0)),INDEX(Table3[[#All],[CON P]],MATCH(Table5[[#This Row],[PID]],Table3[[#All],[PID]],0)))</f>
        <v>2</v>
      </c>
      <c r="O1058" s="58" t="str">
        <f>IF($C1058="B",INDEX(Batters[[#All],[EYE P]],MATCH(Table5[[#This Row],[PID]],Batters[[#All],[PID]],0)),INDEX(Table3[[#All],[VELO]],MATCH(Table5[[#This Row],[PID]],Table3[[#All],[PID]],0)))</f>
        <v>87-89 Mph</v>
      </c>
      <c r="P1058" s="58">
        <f>IF($C1058="B",INDEX(Batters[[#All],[K P]],MATCH(Table5[[#This Row],[PID]],Batters[[#All],[PID]],0)),INDEX(Table3[[#All],[STM]],MATCH(Table5[[#This Row],[PID]],Table3[[#All],[PID]],0)))</f>
        <v>7</v>
      </c>
      <c r="Q1058" s="63">
        <f>IF($C1058="B",INDEX(Batters[[#All],[Tot]],MATCH(Table5[[#This Row],[PID]],Batters[[#All],[PID]],0)),INDEX(Table3[[#All],[Tot]],MATCH(Table5[[#This Row],[PID]],Table3[[#All],[PID]],0)))</f>
        <v>20.695680729232237</v>
      </c>
      <c r="R1058" s="54">
        <f>IF($C1058="B",INDEX(Batters[[#All],[zScore]],MATCH(Table5[[#This Row],[PID]],Batters[[#All],[PID]],0)),INDEX(Table3[[#All],[zScore]],MATCH(Table5[[#This Row],[PID]],Table3[[#All],[PID]],0)))</f>
        <v>-1.1028878830878719</v>
      </c>
      <c r="S1058" s="60" t="str">
        <f>IF($C1058="B",INDEX(Batters[[#All],[DEM]],MATCH(Table5[[#This Row],[PID]],Batters[[#All],[PID]],0)),INDEX(Table3[[#All],[DEM]],MATCH(Table5[[#This Row],[PID]],Table3[[#All],[PID]],0)))</f>
        <v>-</v>
      </c>
      <c r="T1058" s="64">
        <f>IF($C1058="B",VLOOKUP($A1058,Bat!$A$4:$AU$1417,46,FALSE),VLOOKUP($A1058,Pit!$A$4:$BD$570,55,FALSE))</f>
        <v>0</v>
      </c>
      <c r="U1058" s="52">
        <f>IF($C1058="B",VLOOKUP($A1058,Bat!$A$4:$BA$1417,47,FALSE),VLOOKUP($A1058,Pit!$A$4:$BF$570,56,FALSE))</f>
        <v>0</v>
      </c>
      <c r="V1058" s="52">
        <f>IF($C1058="B",VLOOKUP($A1058,Bat!$A$4:$BA$1417,48,FALSE),VLOOKUP($A1058,Pit!$A$4:$BF$570,57,FALSE))</f>
        <v>0</v>
      </c>
      <c r="W1058" s="52">
        <f>Table5[[#This Row],[posRnk]]+Table5[[#This Row],[zRnk]]+IF($W$3&lt;&gt;Table5[[#This Row],[Type]],50,0)</f>
        <v>1103</v>
      </c>
      <c r="X1058" s="53">
        <f>RANK(Table5[[#This Row],[zScore]],Table5[[#All],[zScore]])</f>
        <v>1053</v>
      </c>
      <c r="Y1058" s="52" t="str">
        <f>IFERROR(INDEX(DraftResults[[#All],[OVR]],MATCH(Table5[[#This Row],[PID]],DraftResults[[#All],[Player ID]],0)),"")</f>
        <v/>
      </c>
      <c r="Z10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8" s="52" t="str">
        <f>IFERROR(INDEX(DraftResults[[#All],[Pick in Round]],MATCH(Table5[[#This Row],[PID]],DraftResults[[#All],[Player ID]],0)),"")</f>
        <v/>
      </c>
      <c r="AB1058" s="52" t="str">
        <f>IFERROR(INDEX(DraftResults[[#All],[Team Name]],MATCH(Table5[[#This Row],[PID]],DraftResults[[#All],[Player ID]],0)),"")</f>
        <v/>
      </c>
      <c r="AC1058" s="52" t="str">
        <f>IF(Table5[[#This Row],[Ovr]]="","",IF(Table5[[#This Row],[cmbList]]="","",Table5[[#This Row],[cmbList]]-Table5[[#This Row],[Ovr]]))</f>
        <v/>
      </c>
      <c r="AD1058" s="56" t="str">
        <f>IF(ISERROR(VLOOKUP($AB1058&amp;"-"&amp;$E1058&amp;" "&amp;F1058,Bonuses!$B$1:$G$1006,4,FALSE)),"",INT(VLOOKUP($AB1058&amp;"-"&amp;$E1058&amp;" "&amp;$F1058,Bonuses!$B$1:$G$1006,4,FALSE)))</f>
        <v/>
      </c>
      <c r="AE10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9" spans="1:31" s="52" customFormat="1" x14ac:dyDescent="0.25">
      <c r="A1059" s="52">
        <v>1242</v>
      </c>
      <c r="B1059" s="52">
        <f>COUNTIF(Table5[PID],A1059)</f>
        <v>1</v>
      </c>
      <c r="C1059" s="52" t="str">
        <f>IF(COUNTIF(Table3[[#All],[PID]],A1059)&gt;0,"P","B")</f>
        <v>B</v>
      </c>
      <c r="D1059" s="61" t="str">
        <f>IF($C1059="B",INDEX(Batters[[#All],[POS]],MATCH(Table5[[#This Row],[PID]],Batters[[#All],[PID]],0)),INDEX(Table3[[#All],[POS]],MATCH(Table5[[#This Row],[PID]],Table3[[#All],[PID]],0)))</f>
        <v>1B</v>
      </c>
      <c r="E1059" s="54" t="str">
        <f>IF($C1059="B",INDEX(Batters[[#All],[First]],MATCH(Table5[[#This Row],[PID]],Batters[[#All],[PID]],0)),INDEX(Table3[[#All],[First]],MATCH(Table5[[#This Row],[PID]],Table3[[#All],[PID]],0)))</f>
        <v>Young-kwang</v>
      </c>
      <c r="F1059" s="52" t="str">
        <f>IF($C1059="B",INDEX(Batters[[#All],[Last]],MATCH(A1059,Batters[[#All],[PID]],0)),INDEX(Table3[[#All],[Last]],MATCH(A1059,Table3[[#All],[PID]],0)))</f>
        <v>Hutchinson</v>
      </c>
      <c r="G1059" s="58">
        <f>IF($C1059="B",INDEX(Batters[[#All],[Age]],MATCH(Table5[[#This Row],[PID]],Batters[[#All],[PID]],0)),INDEX(Table3[[#All],[Age]],MATCH(Table5[[#This Row],[PID]],Table3[[#All],[PID]],0)))</f>
        <v>18</v>
      </c>
      <c r="H1059" s="54" t="str">
        <f>IF($C1059="B",INDEX(Batters[[#All],[B]],MATCH(Table5[[#This Row],[PID]],Batters[[#All],[PID]],0)),INDEX(Table3[[#All],[B]],MATCH(Table5[[#This Row],[PID]],Table3[[#All],[PID]],0)))</f>
        <v>R</v>
      </c>
      <c r="I1059" s="54" t="str">
        <f>IF($C1059="B",INDEX(Batters[[#All],[T]],MATCH(Table5[[#This Row],[PID]],Batters[[#All],[PID]],0)),INDEX(Table3[[#All],[T]],MATCH(Table5[[#This Row],[PID]],Table3[[#All],[PID]],0)))</f>
        <v>R</v>
      </c>
      <c r="J1059" s="54" t="str">
        <f>IF($C1059="B",INDEX(Batters[[#All],[WE]],MATCH(Table5[[#This Row],[PID]],Batters[[#All],[PID]],0)),INDEX(Table3[[#All],[WE]],MATCH(Table5[[#This Row],[PID]],Table3[[#All],[PID]],0)))</f>
        <v>Normal</v>
      </c>
      <c r="K1059" s="54" t="str">
        <f>IF($C1059="B",INDEX(Batters[[#All],[INT]],MATCH(Table5[[#This Row],[PID]],Batters[[#All],[PID]],0)),INDEX(Table3[[#All],[INT]],MATCH(Table5[[#This Row],[PID]],Table3[[#All],[PID]],0)))</f>
        <v>Low</v>
      </c>
      <c r="L1059" s="62">
        <f>IF($C1059="B",INDEX(Batters[[#All],[CON P]],MATCH(Table5[[#This Row],[PID]],Batters[[#All],[PID]],0)),INDEX(Table3[[#All],[STU P]],MATCH(Table5[[#This Row],[PID]],Table3[[#All],[PID]],0)))</f>
        <v>2</v>
      </c>
      <c r="M1059" s="58">
        <f>IF($C1059="B",INDEX(Batters[[#All],[GAP P]],MATCH(Table5[[#This Row],[PID]],Batters[[#All],[PID]],0)),INDEX(Table3[[#All],[MOV P]],MATCH(Table5[[#This Row],[PID]],Table3[[#All],[PID]],0)))</f>
        <v>2</v>
      </c>
      <c r="N1059" s="58">
        <f>IF($C1059="B",INDEX(Batters[[#All],[POW P]],MATCH(Table5[[#This Row],[PID]],Batters[[#All],[PID]],0)),INDEX(Table3[[#All],[CON P]],MATCH(Table5[[#This Row],[PID]],Table3[[#All],[PID]],0)))</f>
        <v>3</v>
      </c>
      <c r="O1059" s="58">
        <f>IF($C1059="B",INDEX(Batters[[#All],[EYE P]],MATCH(Table5[[#This Row],[PID]],Batters[[#All],[PID]],0)),INDEX(Table3[[#All],[VELO]],MATCH(Table5[[#This Row],[PID]],Table3[[#All],[PID]],0)))</f>
        <v>3</v>
      </c>
      <c r="P1059" s="58">
        <f>IF($C1059="B",INDEX(Batters[[#All],[K P]],MATCH(Table5[[#This Row],[PID]],Batters[[#All],[PID]],0)),INDEX(Table3[[#All],[STM]],MATCH(Table5[[#This Row],[PID]],Table3[[#All],[PID]],0)))</f>
        <v>3</v>
      </c>
      <c r="Q1059" s="63">
        <f>IF($C1059="B",INDEX(Batters[[#All],[Tot]],MATCH(Table5[[#This Row],[PID]],Batters[[#All],[PID]],0)),INDEX(Table3[[#All],[Tot]],MATCH(Table5[[#This Row],[PID]],Table3[[#All],[PID]],0)))</f>
        <v>34.078037418758889</v>
      </c>
      <c r="R1059" s="54">
        <f>IF($C1059="B",INDEX(Batters[[#All],[zScore]],MATCH(Table5[[#This Row],[PID]],Batters[[#All],[PID]],0)),INDEX(Table3[[#All],[zScore]],MATCH(Table5[[#This Row],[PID]],Table3[[#All],[PID]],0)))</f>
        <v>-1.1032017651209678</v>
      </c>
      <c r="S1059" s="60" t="str">
        <f>IF($C1059="B",INDEX(Batters[[#All],[DEM]],MATCH(Table5[[#This Row],[PID]],Batters[[#All],[PID]],0)),INDEX(Table3[[#All],[DEM]],MATCH(Table5[[#This Row],[PID]],Table3[[#All],[PID]],0)))</f>
        <v>$65k</v>
      </c>
      <c r="T1059" s="64">
        <f>IF($C1059="B",VLOOKUP($A1059,Bat!$A$4:$AU$1417,46,FALSE),VLOOKUP($A1059,Pit!$A$4:$BD$570,55,FALSE))</f>
        <v>0</v>
      </c>
      <c r="U1059" s="52">
        <f>IF($C1059="B",VLOOKUP($A1059,Bat!$A$4:$BA$1417,47,FALSE),VLOOKUP($A1059,Pit!$A$4:$BF$570,56,FALSE))</f>
        <v>0</v>
      </c>
      <c r="V1059" s="52">
        <f>IF($C1059="B",VLOOKUP($A1059,Bat!$A$4:$BA$1417,48,FALSE),VLOOKUP($A1059,Pit!$A$4:$BF$570,57,FALSE))</f>
        <v>0</v>
      </c>
      <c r="W1059" s="52">
        <f>Table5[[#This Row],[posRnk]]+Table5[[#This Row],[zRnk]]+IF($W$3&lt;&gt;Table5[[#This Row],[Type]],50,0)</f>
        <v>1105</v>
      </c>
      <c r="X1059" s="53">
        <f>RANK(Table5[[#This Row],[zScore]],Table5[[#All],[zScore]])</f>
        <v>1055</v>
      </c>
      <c r="Y1059" s="52" t="str">
        <f>IFERROR(INDEX(DraftResults[[#All],[OVR]],MATCH(Table5[[#This Row],[PID]],DraftResults[[#All],[Player ID]],0)),"")</f>
        <v/>
      </c>
      <c r="Z10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9" s="52" t="str">
        <f>IFERROR(INDEX(DraftResults[[#All],[Pick in Round]],MATCH(Table5[[#This Row],[PID]],DraftResults[[#All],[Player ID]],0)),"")</f>
        <v/>
      </c>
      <c r="AB1059" s="52" t="str">
        <f>IFERROR(INDEX(DraftResults[[#All],[Team Name]],MATCH(Table5[[#This Row],[PID]],DraftResults[[#All],[Player ID]],0)),"")</f>
        <v/>
      </c>
      <c r="AC1059" s="52" t="str">
        <f>IF(Table5[[#This Row],[Ovr]]="","",IF(Table5[[#This Row],[cmbList]]="","",Table5[[#This Row],[cmbList]]-Table5[[#This Row],[Ovr]]))</f>
        <v/>
      </c>
      <c r="AD1059" s="56" t="str">
        <f>IF(ISERROR(VLOOKUP($AB1059&amp;"-"&amp;$E1059&amp;" "&amp;F1059,Bonuses!$B$1:$G$1006,4,FALSE)),"",INT(VLOOKUP($AB1059&amp;"-"&amp;$E1059&amp;" "&amp;$F1059,Bonuses!$B$1:$G$1006,4,FALSE)))</f>
        <v/>
      </c>
      <c r="AE10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0" spans="1:31" s="52" customFormat="1" x14ac:dyDescent="0.25">
      <c r="A1060" s="52">
        <v>8205</v>
      </c>
      <c r="B1060" s="52">
        <f>COUNTIF(Table5[PID],A1060)</f>
        <v>1</v>
      </c>
      <c r="C1060" s="52" t="str">
        <f>IF(COUNTIF(Table3[[#All],[PID]],A1060)&gt;0,"P","B")</f>
        <v>P</v>
      </c>
      <c r="D1060" s="61" t="str">
        <f>IF($C1060="B",INDEX(Batters[[#All],[POS]],MATCH(Table5[[#This Row],[PID]],Batters[[#All],[PID]],0)),INDEX(Table3[[#All],[POS]],MATCH(Table5[[#This Row],[PID]],Table3[[#All],[PID]],0)))</f>
        <v>RP</v>
      </c>
      <c r="E1060" s="54" t="str">
        <f>IF($C1060="B",INDEX(Batters[[#All],[First]],MATCH(Table5[[#This Row],[PID]],Batters[[#All],[PID]],0)),INDEX(Table3[[#All],[First]],MATCH(Table5[[#This Row],[PID]],Table3[[#All],[PID]],0)))</f>
        <v>Álex</v>
      </c>
      <c r="F1060" s="52" t="str">
        <f>IF($C1060="B",INDEX(Batters[[#All],[Last]],MATCH(A1060,Batters[[#All],[PID]],0)),INDEX(Table3[[#All],[Last]],MATCH(A1060,Table3[[#All],[PID]],0)))</f>
        <v>Bonilla</v>
      </c>
      <c r="G1060" s="58">
        <f>IF($C1060="B",INDEX(Batters[[#All],[Age]],MATCH(Table5[[#This Row],[PID]],Batters[[#All],[PID]],0)),INDEX(Table3[[#All],[Age]],MATCH(Table5[[#This Row],[PID]],Table3[[#All],[PID]],0)))</f>
        <v>22</v>
      </c>
      <c r="H1060" s="54" t="str">
        <f>IF($C1060="B",INDEX(Batters[[#All],[B]],MATCH(Table5[[#This Row],[PID]],Batters[[#All],[PID]],0)),INDEX(Table3[[#All],[B]],MATCH(Table5[[#This Row],[PID]],Table3[[#All],[PID]],0)))</f>
        <v>L</v>
      </c>
      <c r="I1060" s="54" t="str">
        <f>IF($C1060="B",INDEX(Batters[[#All],[T]],MATCH(Table5[[#This Row],[PID]],Batters[[#All],[PID]],0)),INDEX(Table3[[#All],[T]],MATCH(Table5[[#This Row],[PID]],Table3[[#All],[PID]],0)))</f>
        <v>L</v>
      </c>
      <c r="J1060" s="54" t="str">
        <f>IF($C1060="B",INDEX(Batters[[#All],[WE]],MATCH(Table5[[#This Row],[PID]],Batters[[#All],[PID]],0)),INDEX(Table3[[#All],[WE]],MATCH(Table5[[#This Row],[PID]],Table3[[#All],[PID]],0)))</f>
        <v>Normal</v>
      </c>
      <c r="K1060" s="54" t="str">
        <f>IF($C1060="B",INDEX(Batters[[#All],[INT]],MATCH(Table5[[#This Row],[PID]],Batters[[#All],[PID]],0)),INDEX(Table3[[#All],[INT]],MATCH(Table5[[#This Row],[PID]],Table3[[#All],[PID]],0)))</f>
        <v>Normal</v>
      </c>
      <c r="L1060" s="62">
        <f>IF($C1060="B",INDEX(Batters[[#All],[CON P]],MATCH(Table5[[#This Row],[PID]],Batters[[#All],[PID]],0)),INDEX(Table3[[#All],[STU P]],MATCH(Table5[[#This Row],[PID]],Table3[[#All],[PID]],0)))</f>
        <v>3</v>
      </c>
      <c r="M1060" s="58">
        <f>IF($C1060="B",INDEX(Batters[[#All],[GAP P]],MATCH(Table5[[#This Row],[PID]],Batters[[#All],[PID]],0)),INDEX(Table3[[#All],[MOV P]],MATCH(Table5[[#This Row],[PID]],Table3[[#All],[PID]],0)))</f>
        <v>2</v>
      </c>
      <c r="N1060" s="58">
        <f>IF($C1060="B",INDEX(Batters[[#All],[POW P]],MATCH(Table5[[#This Row],[PID]],Batters[[#All],[PID]],0)),INDEX(Table3[[#All],[CON P]],MATCH(Table5[[#This Row],[PID]],Table3[[#All],[PID]],0)))</f>
        <v>2</v>
      </c>
      <c r="O1060" s="58" t="str">
        <f>IF($C1060="B",INDEX(Batters[[#All],[EYE P]],MATCH(Table5[[#This Row],[PID]],Batters[[#All],[PID]],0)),INDEX(Table3[[#All],[VELO]],MATCH(Table5[[#This Row],[PID]],Table3[[#All],[PID]],0)))</f>
        <v>86-88 Mph</v>
      </c>
      <c r="P1060" s="58">
        <f>IF($C1060="B",INDEX(Batters[[#All],[K P]],MATCH(Table5[[#This Row],[PID]],Batters[[#All],[PID]],0)),INDEX(Table3[[#All],[STM]],MATCH(Table5[[#This Row],[PID]],Table3[[#All],[PID]],0)))</f>
        <v>4</v>
      </c>
      <c r="Q1060" s="63">
        <f>IF($C1060="B",INDEX(Batters[[#All],[Tot]],MATCH(Table5[[#This Row],[PID]],Batters[[#All],[PID]],0)),INDEX(Table3[[#All],[Tot]],MATCH(Table5[[#This Row],[PID]],Table3[[#All],[PID]],0)))</f>
        <v>20.596974573045738</v>
      </c>
      <c r="R1060" s="54">
        <f>IF($C1060="B",INDEX(Batters[[#All],[zScore]],MATCH(Table5[[#This Row],[PID]],Batters[[#All],[PID]],0)),INDEX(Table3[[#All],[zScore]],MATCH(Table5[[#This Row],[PID]],Table3[[#All],[PID]],0)))</f>
        <v>-1.111939659489152</v>
      </c>
      <c r="S1060" s="60" t="str">
        <f>IF($C1060="B",INDEX(Batters[[#All],[DEM]],MATCH(Table5[[#This Row],[PID]],Batters[[#All],[PID]],0)),INDEX(Table3[[#All],[DEM]],MATCH(Table5[[#This Row],[PID]],Table3[[#All],[PID]],0)))</f>
        <v>-</v>
      </c>
      <c r="T1060" s="64">
        <f>IF($C1060="B",VLOOKUP($A1060,Bat!$A$4:$AU$1417,46,FALSE),VLOOKUP($A1060,Pit!$A$4:$BD$570,55,FALSE))</f>
        <v>0</v>
      </c>
      <c r="U1060" s="52">
        <f>IF($C1060="B",VLOOKUP($A1060,Bat!$A$4:$BA$1417,47,FALSE),VLOOKUP($A1060,Pit!$A$4:$BF$570,56,FALSE))</f>
        <v>0</v>
      </c>
      <c r="V1060" s="52">
        <f>IF($C1060="B",VLOOKUP($A1060,Bat!$A$4:$BA$1417,48,FALSE),VLOOKUP($A1060,Pit!$A$4:$BF$570,57,FALSE))</f>
        <v>0</v>
      </c>
      <c r="W1060" s="52">
        <f>Table5[[#This Row],[posRnk]]+Table5[[#This Row],[zRnk]]+IF($W$3&lt;&gt;Table5[[#This Row],[Type]],50,0)</f>
        <v>1106</v>
      </c>
      <c r="X1060" s="53">
        <f>RANK(Table5[[#This Row],[zScore]],Table5[[#All],[zScore]])</f>
        <v>1056</v>
      </c>
      <c r="Y1060" s="52" t="str">
        <f>IFERROR(INDEX(DraftResults[[#All],[OVR]],MATCH(Table5[[#This Row],[PID]],DraftResults[[#All],[Player ID]],0)),"")</f>
        <v/>
      </c>
      <c r="Z10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0" s="52" t="str">
        <f>IFERROR(INDEX(DraftResults[[#All],[Pick in Round]],MATCH(Table5[[#This Row],[PID]],DraftResults[[#All],[Player ID]],0)),"")</f>
        <v/>
      </c>
      <c r="AB1060" s="52" t="str">
        <f>IFERROR(INDEX(DraftResults[[#All],[Team Name]],MATCH(Table5[[#This Row],[PID]],DraftResults[[#All],[Player ID]],0)),"")</f>
        <v/>
      </c>
      <c r="AC1060" s="52" t="str">
        <f>IF(Table5[[#This Row],[Ovr]]="","",IF(Table5[[#This Row],[cmbList]]="","",Table5[[#This Row],[cmbList]]-Table5[[#This Row],[Ovr]]))</f>
        <v/>
      </c>
      <c r="AD1060" s="56" t="str">
        <f>IF(ISERROR(VLOOKUP($AB1060&amp;"-"&amp;$E1060&amp;" "&amp;F1060,Bonuses!$B$1:$G$1006,4,FALSE)),"",INT(VLOOKUP($AB1060&amp;"-"&amp;$E1060&amp;" "&amp;$F1060,Bonuses!$B$1:$G$1006,4,FALSE)))</f>
        <v/>
      </c>
      <c r="AE10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1" spans="1:31" s="52" customFormat="1" x14ac:dyDescent="0.25">
      <c r="A1061" s="52">
        <v>12612</v>
      </c>
      <c r="B1061" s="52">
        <f>COUNTIF(Table5[PID],A1061)</f>
        <v>1</v>
      </c>
      <c r="C1061" s="52" t="str">
        <f>IF(COUNTIF(Table3[[#All],[PID]],A1061)&gt;0,"P","B")</f>
        <v>P</v>
      </c>
      <c r="D1061" s="61" t="str">
        <f>IF($C1061="B",INDEX(Batters[[#All],[POS]],MATCH(Table5[[#This Row],[PID]],Batters[[#All],[PID]],0)),INDEX(Table3[[#All],[POS]],MATCH(Table5[[#This Row],[PID]],Table3[[#All],[PID]],0)))</f>
        <v>RP</v>
      </c>
      <c r="E1061" s="54" t="str">
        <f>IF($C1061="B",INDEX(Batters[[#All],[First]],MATCH(Table5[[#This Row],[PID]],Batters[[#All],[PID]],0)),INDEX(Table3[[#All],[First]],MATCH(Table5[[#This Row],[PID]],Table3[[#All],[PID]],0)))</f>
        <v>Masaharu</v>
      </c>
      <c r="F1061" s="52" t="str">
        <f>IF($C1061="B",INDEX(Batters[[#All],[Last]],MATCH(A1061,Batters[[#All],[PID]],0)),INDEX(Table3[[#All],[Last]],MATCH(A1061,Table3[[#All],[PID]],0)))</f>
        <v>Suzuki</v>
      </c>
      <c r="G1061" s="58">
        <f>IF($C1061="B",INDEX(Batters[[#All],[Age]],MATCH(Table5[[#This Row],[PID]],Batters[[#All],[PID]],0)),INDEX(Table3[[#All],[Age]],MATCH(Table5[[#This Row],[PID]],Table3[[#All],[PID]],0)))</f>
        <v>21</v>
      </c>
      <c r="H1061" s="54" t="str">
        <f>IF($C1061="B",INDEX(Batters[[#All],[B]],MATCH(Table5[[#This Row],[PID]],Batters[[#All],[PID]],0)),INDEX(Table3[[#All],[B]],MATCH(Table5[[#This Row],[PID]],Table3[[#All],[PID]],0)))</f>
        <v>L</v>
      </c>
      <c r="I1061" s="54" t="str">
        <f>IF($C1061="B",INDEX(Batters[[#All],[T]],MATCH(Table5[[#This Row],[PID]],Batters[[#All],[PID]],0)),INDEX(Table3[[#All],[T]],MATCH(Table5[[#This Row],[PID]],Table3[[#All],[PID]],0)))</f>
        <v>R</v>
      </c>
      <c r="J1061" s="54" t="str">
        <f>IF($C1061="B",INDEX(Batters[[#All],[WE]],MATCH(Table5[[#This Row],[PID]],Batters[[#All],[PID]],0)),INDEX(Table3[[#All],[WE]],MATCH(Table5[[#This Row],[PID]],Table3[[#All],[PID]],0)))</f>
        <v>Normal</v>
      </c>
      <c r="K1061" s="54" t="str">
        <f>IF($C1061="B",INDEX(Batters[[#All],[INT]],MATCH(Table5[[#This Row],[PID]],Batters[[#All],[PID]],0)),INDEX(Table3[[#All],[INT]],MATCH(Table5[[#This Row],[PID]],Table3[[#All],[PID]],0)))</f>
        <v>High</v>
      </c>
      <c r="L1061" s="62">
        <f>IF($C1061="B",INDEX(Batters[[#All],[CON P]],MATCH(Table5[[#This Row],[PID]],Batters[[#All],[PID]],0)),INDEX(Table3[[#All],[STU P]],MATCH(Table5[[#This Row],[PID]],Table3[[#All],[PID]],0)))</f>
        <v>2</v>
      </c>
      <c r="M1061" s="58">
        <f>IF($C1061="B",INDEX(Batters[[#All],[GAP P]],MATCH(Table5[[#This Row],[PID]],Batters[[#All],[PID]],0)),INDEX(Table3[[#All],[MOV P]],MATCH(Table5[[#This Row],[PID]],Table3[[#All],[PID]],0)))</f>
        <v>2</v>
      </c>
      <c r="N1061" s="58">
        <f>IF($C1061="B",INDEX(Batters[[#All],[POW P]],MATCH(Table5[[#This Row],[PID]],Batters[[#All],[PID]],0)),INDEX(Table3[[#All],[CON P]],MATCH(Table5[[#This Row],[PID]],Table3[[#All],[PID]],0)))</f>
        <v>1</v>
      </c>
      <c r="O1061" s="58" t="str">
        <f>IF($C1061="B",INDEX(Batters[[#All],[EYE P]],MATCH(Table5[[#This Row],[PID]],Batters[[#All],[PID]],0)),INDEX(Table3[[#All],[VELO]],MATCH(Table5[[#This Row],[PID]],Table3[[#All],[PID]],0)))</f>
        <v>80-83 Mph</v>
      </c>
      <c r="P1061" s="58">
        <f>IF($C1061="B",INDEX(Batters[[#All],[K P]],MATCH(Table5[[#This Row],[PID]],Batters[[#All],[PID]],0)),INDEX(Table3[[#All],[STM]],MATCH(Table5[[#This Row],[PID]],Table3[[#All],[PID]],0)))</f>
        <v>6</v>
      </c>
      <c r="Q1061" s="63">
        <f>IF($C1061="B",INDEX(Batters[[#All],[Tot]],MATCH(Table5[[#This Row],[PID]],Batters[[#All],[PID]],0)),INDEX(Table3[[#All],[Tot]],MATCH(Table5[[#This Row],[PID]],Table3[[#All],[PID]],0)))</f>
        <v>17.6153854472769</v>
      </c>
      <c r="R1061" s="54">
        <f>IF($C1061="B",INDEX(Batters[[#All],[zScore]],MATCH(Table5[[#This Row],[PID]],Batters[[#All],[PID]],0)),INDEX(Table3[[#All],[zScore]],MATCH(Table5[[#This Row],[PID]],Table3[[#All],[PID]],0)))</f>
        <v>-1.1200601203257949</v>
      </c>
      <c r="S1061" s="60" t="str">
        <f>IF($C1061="B",INDEX(Batters[[#All],[DEM]],MATCH(Table5[[#This Row],[PID]],Batters[[#All],[PID]],0)),INDEX(Table3[[#All],[DEM]],MATCH(Table5[[#This Row],[PID]],Table3[[#All],[PID]],0)))</f>
        <v>$34k</v>
      </c>
      <c r="T1061" s="64" t="e">
        <f>IF($C1061="B",VLOOKUP($A1061,Bat!$A$4:$AU$1417,46,FALSE),VLOOKUP($A1061,Pit!$A$4:$BD$570,55,FALSE))</f>
        <v>#N/A</v>
      </c>
      <c r="U1061" s="52" t="e">
        <f>IF($C1061="B",VLOOKUP($A1061,Bat!$A$4:$BA$1417,47,FALSE),VLOOKUP($A1061,Pit!$A$4:$BF$570,56,FALSE))</f>
        <v>#N/A</v>
      </c>
      <c r="V1061" s="52" t="e">
        <f>IF($C1061="B",VLOOKUP($A1061,Bat!$A$4:$BA$1417,48,FALSE),VLOOKUP($A1061,Pit!$A$4:$BF$570,57,FALSE))</f>
        <v>#N/A</v>
      </c>
      <c r="W1061" s="52" t="e">
        <f>Table5[[#This Row],[posRnk]]+Table5[[#This Row],[zRnk]]+IF($W$3&lt;&gt;Table5[[#This Row],[Type]],50,0)</f>
        <v>#N/A</v>
      </c>
      <c r="X1061" s="53">
        <f>RANK(Table5[[#This Row],[zScore]],Table5[[#All],[zScore]])</f>
        <v>1057</v>
      </c>
      <c r="Y1061" s="52" t="str">
        <f>IFERROR(INDEX(DraftResults[[#All],[OVR]],MATCH(Table5[[#This Row],[PID]],DraftResults[[#All],[Player ID]],0)),"")</f>
        <v/>
      </c>
      <c r="Z10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1" s="52" t="str">
        <f>IFERROR(INDEX(DraftResults[[#All],[Pick in Round]],MATCH(Table5[[#This Row],[PID]],DraftResults[[#All],[Player ID]],0)),"")</f>
        <v/>
      </c>
      <c r="AB1061" s="52" t="str">
        <f>IFERROR(INDEX(DraftResults[[#All],[Team Name]],MATCH(Table5[[#This Row],[PID]],DraftResults[[#All],[Player ID]],0)),"")</f>
        <v/>
      </c>
      <c r="AC1061" s="52" t="str">
        <f>IF(Table5[[#This Row],[Ovr]]="","",IF(Table5[[#This Row],[cmbList]]="","",Table5[[#This Row],[cmbList]]-Table5[[#This Row],[Ovr]]))</f>
        <v/>
      </c>
      <c r="AD1061" s="56" t="str">
        <f>IF(ISERROR(VLOOKUP($AB1061&amp;"-"&amp;$E1061&amp;" "&amp;F1061,Bonuses!$B$1:$G$1006,4,FALSE)),"",INT(VLOOKUP($AB1061&amp;"-"&amp;$E1061&amp;" "&amp;$F1061,Bonuses!$B$1:$G$1006,4,FALSE)))</f>
        <v/>
      </c>
      <c r="AE10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2" spans="1:31" s="52" customFormat="1" x14ac:dyDescent="0.25">
      <c r="A1062" s="52">
        <v>18058</v>
      </c>
      <c r="B1062" s="52">
        <f>COUNTIF(Table5[PID],A1062)</f>
        <v>1</v>
      </c>
      <c r="C1062" s="52" t="str">
        <f>IF(COUNTIF(Table3[[#All],[PID]],A1062)&gt;0,"P","B")</f>
        <v>P</v>
      </c>
      <c r="D1062" s="61" t="str">
        <f>IF($C1062="B",INDEX(Batters[[#All],[POS]],MATCH(Table5[[#This Row],[PID]],Batters[[#All],[PID]],0)),INDEX(Table3[[#All],[POS]],MATCH(Table5[[#This Row],[PID]],Table3[[#All],[PID]],0)))</f>
        <v>SP</v>
      </c>
      <c r="E1062" s="54" t="str">
        <f>IF($C1062="B",INDEX(Batters[[#All],[First]],MATCH(Table5[[#This Row],[PID]],Batters[[#All],[PID]],0)),INDEX(Table3[[#All],[First]],MATCH(Table5[[#This Row],[PID]],Table3[[#All],[PID]],0)))</f>
        <v>Martin</v>
      </c>
      <c r="F1062" s="52" t="str">
        <f>IF($C1062="B",INDEX(Batters[[#All],[Last]],MATCH(A1062,Batters[[#All],[PID]],0)),INDEX(Table3[[#All],[Last]],MATCH(A1062,Table3[[#All],[PID]],0)))</f>
        <v>Gaines</v>
      </c>
      <c r="G1062" s="58">
        <f>IF($C1062="B",INDEX(Batters[[#All],[Age]],MATCH(Table5[[#This Row],[PID]],Batters[[#All],[PID]],0)),INDEX(Table3[[#All],[Age]],MATCH(Table5[[#This Row],[PID]],Table3[[#All],[PID]],0)))</f>
        <v>22</v>
      </c>
      <c r="H1062" s="54" t="str">
        <f>IF($C1062="B",INDEX(Batters[[#All],[B]],MATCH(Table5[[#This Row],[PID]],Batters[[#All],[PID]],0)),INDEX(Table3[[#All],[B]],MATCH(Table5[[#This Row],[PID]],Table3[[#All],[PID]],0)))</f>
        <v>L</v>
      </c>
      <c r="I1062" s="54" t="str">
        <f>IF($C1062="B",INDEX(Batters[[#All],[T]],MATCH(Table5[[#This Row],[PID]],Batters[[#All],[PID]],0)),INDEX(Table3[[#All],[T]],MATCH(Table5[[#This Row],[PID]],Table3[[#All],[PID]],0)))</f>
        <v>L</v>
      </c>
      <c r="J1062" s="54" t="str">
        <f>IF($C1062="B",INDEX(Batters[[#All],[WE]],MATCH(Table5[[#This Row],[PID]],Batters[[#All],[PID]],0)),INDEX(Table3[[#All],[WE]],MATCH(Table5[[#This Row],[PID]],Table3[[#All],[PID]],0)))</f>
        <v>Low</v>
      </c>
      <c r="K1062" s="54" t="str">
        <f>IF($C1062="B",INDEX(Batters[[#All],[INT]],MATCH(Table5[[#This Row],[PID]],Batters[[#All],[PID]],0)),INDEX(Table3[[#All],[INT]],MATCH(Table5[[#This Row],[PID]],Table3[[#All],[PID]],0)))</f>
        <v>Low</v>
      </c>
      <c r="L1062" s="62">
        <f>IF($C1062="B",INDEX(Batters[[#All],[CON P]],MATCH(Table5[[#This Row],[PID]],Batters[[#All],[PID]],0)),INDEX(Table3[[#All],[STU P]],MATCH(Table5[[#This Row],[PID]],Table3[[#All],[PID]],0)))</f>
        <v>4</v>
      </c>
      <c r="M1062" s="58">
        <f>IF($C1062="B",INDEX(Batters[[#All],[GAP P]],MATCH(Table5[[#This Row],[PID]],Batters[[#All],[PID]],0)),INDEX(Table3[[#All],[MOV P]],MATCH(Table5[[#This Row],[PID]],Table3[[#All],[PID]],0)))</f>
        <v>1</v>
      </c>
      <c r="N1062" s="58">
        <f>IF($C1062="B",INDEX(Batters[[#All],[POW P]],MATCH(Table5[[#This Row],[PID]],Batters[[#All],[PID]],0)),INDEX(Table3[[#All],[CON P]],MATCH(Table5[[#This Row],[PID]],Table3[[#All],[PID]],0)))</f>
        <v>2</v>
      </c>
      <c r="O1062" s="58" t="str">
        <f>IF($C1062="B",INDEX(Batters[[#All],[EYE P]],MATCH(Table5[[#This Row],[PID]],Batters[[#All],[PID]],0)),INDEX(Table3[[#All],[VELO]],MATCH(Table5[[#This Row],[PID]],Table3[[#All],[PID]],0)))</f>
        <v>89-91 Mph</v>
      </c>
      <c r="P1062" s="58">
        <f>IF($C1062="B",INDEX(Batters[[#All],[K P]],MATCH(Table5[[#This Row],[PID]],Batters[[#All],[PID]],0)),INDEX(Table3[[#All],[STM]],MATCH(Table5[[#This Row],[PID]],Table3[[#All],[PID]],0)))</f>
        <v>6</v>
      </c>
      <c r="Q1062" s="63">
        <f>IF($C1062="B",INDEX(Batters[[#All],[Tot]],MATCH(Table5[[#This Row],[PID]],Batters[[#All],[PID]],0)),INDEX(Table3[[#All],[Tot]],MATCH(Table5[[#This Row],[PID]],Table3[[#All],[PID]],0)))</f>
        <v>20.471573902722138</v>
      </c>
      <c r="R1062" s="54">
        <f>IF($C1062="B",INDEX(Batters[[#All],[zScore]],MATCH(Table5[[#This Row],[PID]],Batters[[#All],[PID]],0)),INDEX(Table3[[#All],[zScore]],MATCH(Table5[[#This Row],[PID]],Table3[[#All],[PID]],0)))</f>
        <v>-1.1234394369315557</v>
      </c>
      <c r="S1062" s="60" t="str">
        <f>IF($C1062="B",INDEX(Batters[[#All],[DEM]],MATCH(Table5[[#This Row],[PID]],Batters[[#All],[PID]],0)),INDEX(Table3[[#All],[DEM]],MATCH(Table5[[#This Row],[PID]],Table3[[#All],[PID]],0)))</f>
        <v>-</v>
      </c>
      <c r="T1062" s="64" t="e">
        <f>IF($C1062="B",VLOOKUP($A1062,Bat!$A$4:$AU$1417,46,FALSE),VLOOKUP($A1062,Pit!$A$4:$BD$570,55,FALSE))</f>
        <v>#N/A</v>
      </c>
      <c r="U1062" s="52" t="e">
        <f>IF($C1062="B",VLOOKUP($A1062,Bat!$A$4:$BA$1417,47,FALSE),VLOOKUP($A1062,Pit!$A$4:$BF$570,56,FALSE))</f>
        <v>#N/A</v>
      </c>
      <c r="V1062" s="52" t="e">
        <f>IF($C1062="B",VLOOKUP($A1062,Bat!$A$4:$BA$1417,48,FALSE),VLOOKUP($A1062,Pit!$A$4:$BF$570,57,FALSE))</f>
        <v>#N/A</v>
      </c>
      <c r="W1062" s="52" t="e">
        <f>Table5[[#This Row],[posRnk]]+Table5[[#This Row],[zRnk]]+IF($W$3&lt;&gt;Table5[[#This Row],[Type]],50,0)</f>
        <v>#N/A</v>
      </c>
      <c r="X1062" s="53">
        <f>RANK(Table5[[#This Row],[zScore]],Table5[[#All],[zScore]])</f>
        <v>1058</v>
      </c>
      <c r="Y1062" s="52" t="str">
        <f>IFERROR(INDEX(DraftResults[[#All],[OVR]],MATCH(Table5[[#This Row],[PID]],DraftResults[[#All],[Player ID]],0)),"")</f>
        <v/>
      </c>
      <c r="Z10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2" s="52" t="str">
        <f>IFERROR(INDEX(DraftResults[[#All],[Pick in Round]],MATCH(Table5[[#This Row],[PID]],DraftResults[[#All],[Player ID]],0)),"")</f>
        <v/>
      </c>
      <c r="AB1062" s="52" t="str">
        <f>IFERROR(INDEX(DraftResults[[#All],[Team Name]],MATCH(Table5[[#This Row],[PID]],DraftResults[[#All],[Player ID]],0)),"")</f>
        <v/>
      </c>
      <c r="AC1062" s="52" t="str">
        <f>IF(Table5[[#This Row],[Ovr]]="","",IF(Table5[[#This Row],[cmbList]]="","",Table5[[#This Row],[cmbList]]-Table5[[#This Row],[Ovr]]))</f>
        <v/>
      </c>
      <c r="AD1062" s="56" t="str">
        <f>IF(ISERROR(VLOOKUP($AB1062&amp;"-"&amp;$E1062&amp;" "&amp;F1062,Bonuses!$B$1:$G$1006,4,FALSE)),"",INT(VLOOKUP($AB1062&amp;"-"&amp;$E1062&amp;" "&amp;$F1062,Bonuses!$B$1:$G$1006,4,FALSE)))</f>
        <v/>
      </c>
      <c r="AE10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3" spans="1:31" s="52" customFormat="1" x14ac:dyDescent="0.25">
      <c r="A1063" s="52">
        <v>17897</v>
      </c>
      <c r="B1063" s="52">
        <f>COUNTIF(Table5[PID],A1063)</f>
        <v>1</v>
      </c>
      <c r="C1063" s="52" t="str">
        <f>IF(COUNTIF(Table3[[#All],[PID]],A1063)&gt;0,"P","B")</f>
        <v>P</v>
      </c>
      <c r="D1063" s="61" t="str">
        <f>IF($C1063="B",INDEX(Batters[[#All],[POS]],MATCH(Table5[[#This Row],[PID]],Batters[[#All],[PID]],0)),INDEX(Table3[[#All],[POS]],MATCH(Table5[[#This Row],[PID]],Table3[[#All],[PID]],0)))</f>
        <v>RP</v>
      </c>
      <c r="E1063" s="54" t="str">
        <f>IF($C1063="B",INDEX(Batters[[#All],[First]],MATCH(Table5[[#This Row],[PID]],Batters[[#All],[PID]],0)),INDEX(Table3[[#All],[First]],MATCH(Table5[[#This Row],[PID]],Table3[[#All],[PID]],0)))</f>
        <v>Kees</v>
      </c>
      <c r="F1063" s="52" t="str">
        <f>IF($C1063="B",INDEX(Batters[[#All],[Last]],MATCH(A1063,Batters[[#All],[PID]],0)),INDEX(Table3[[#All],[Last]],MATCH(A1063,Table3[[#All],[PID]],0)))</f>
        <v>Israel</v>
      </c>
      <c r="G1063" s="58">
        <f>IF($C1063="B",INDEX(Batters[[#All],[Age]],MATCH(Table5[[#This Row],[PID]],Batters[[#All],[PID]],0)),INDEX(Table3[[#All],[Age]],MATCH(Table5[[#This Row],[PID]],Table3[[#All],[PID]],0)))</f>
        <v>18</v>
      </c>
      <c r="H1063" s="54" t="str">
        <f>IF($C1063="B",INDEX(Batters[[#All],[B]],MATCH(Table5[[#This Row],[PID]],Batters[[#All],[PID]],0)),INDEX(Table3[[#All],[B]],MATCH(Table5[[#This Row],[PID]],Table3[[#All],[PID]],0)))</f>
        <v>R</v>
      </c>
      <c r="I1063" s="54" t="str">
        <f>IF($C1063="B",INDEX(Batters[[#All],[T]],MATCH(Table5[[#This Row],[PID]],Batters[[#All],[PID]],0)),INDEX(Table3[[#All],[T]],MATCH(Table5[[#This Row],[PID]],Table3[[#All],[PID]],0)))</f>
        <v>R</v>
      </c>
      <c r="J1063" s="54" t="str">
        <f>IF($C1063="B",INDEX(Batters[[#All],[WE]],MATCH(Table5[[#This Row],[PID]],Batters[[#All],[PID]],0)),INDEX(Table3[[#All],[WE]],MATCH(Table5[[#This Row],[PID]],Table3[[#All],[PID]],0)))</f>
        <v>Low</v>
      </c>
      <c r="K1063" s="54" t="str">
        <f>IF($C1063="B",INDEX(Batters[[#All],[INT]],MATCH(Table5[[#This Row],[PID]],Batters[[#All],[PID]],0)),INDEX(Table3[[#All],[INT]],MATCH(Table5[[#This Row],[PID]],Table3[[#All],[PID]],0)))</f>
        <v>Normal</v>
      </c>
      <c r="L1063" s="62">
        <f>IF($C1063="B",INDEX(Batters[[#All],[CON P]],MATCH(Table5[[#This Row],[PID]],Batters[[#All],[PID]],0)),INDEX(Table3[[#All],[STU P]],MATCH(Table5[[#This Row],[PID]],Table3[[#All],[PID]],0)))</f>
        <v>4</v>
      </c>
      <c r="M1063" s="58">
        <f>IF($C1063="B",INDEX(Batters[[#All],[GAP P]],MATCH(Table5[[#This Row],[PID]],Batters[[#All],[PID]],0)),INDEX(Table3[[#All],[MOV P]],MATCH(Table5[[#This Row],[PID]],Table3[[#All],[PID]],0)))</f>
        <v>1</v>
      </c>
      <c r="N1063" s="58">
        <f>IF($C1063="B",INDEX(Batters[[#All],[POW P]],MATCH(Table5[[#This Row],[PID]],Batters[[#All],[PID]],0)),INDEX(Table3[[#All],[CON P]],MATCH(Table5[[#This Row],[PID]],Table3[[#All],[PID]],0)))</f>
        <v>1</v>
      </c>
      <c r="O1063" s="58" t="str">
        <f>IF($C1063="B",INDEX(Batters[[#All],[EYE P]],MATCH(Table5[[#This Row],[PID]],Batters[[#All],[PID]],0)),INDEX(Table3[[#All],[VELO]],MATCH(Table5[[#This Row],[PID]],Table3[[#All],[PID]],0)))</f>
        <v>89-91 Mph</v>
      </c>
      <c r="P1063" s="58">
        <f>IF($C1063="B",INDEX(Batters[[#All],[K P]],MATCH(Table5[[#This Row],[PID]],Batters[[#All],[PID]],0)),INDEX(Table3[[#All],[STM]],MATCH(Table5[[#This Row],[PID]],Table3[[#All],[PID]],0)))</f>
        <v>6</v>
      </c>
      <c r="Q1063" s="63">
        <f>IF($C1063="B",INDEX(Batters[[#All],[Tot]],MATCH(Table5[[#This Row],[PID]],Batters[[#All],[PID]],0)),INDEX(Table3[[#All],[Tot]],MATCH(Table5[[#This Row],[PID]],Table3[[#All],[PID]],0)))</f>
        <v>20.408822864666984</v>
      </c>
      <c r="R1063" s="54">
        <f>IF($C1063="B",INDEX(Batters[[#All],[zScore]],MATCH(Table5[[#This Row],[PID]],Batters[[#All],[PID]],0)),INDEX(Table3[[#All],[zScore]],MATCH(Table5[[#This Row],[PID]],Table3[[#All],[PID]],0)))</f>
        <v>-1.1291939753247868</v>
      </c>
      <c r="S1063" s="60" t="str">
        <f>IF($C1063="B",INDEX(Batters[[#All],[DEM]],MATCH(Table5[[#This Row],[PID]],Batters[[#All],[PID]],0)),INDEX(Table3[[#All],[DEM]],MATCH(Table5[[#This Row],[PID]],Table3[[#All],[PID]],0)))</f>
        <v>$90k</v>
      </c>
      <c r="T1063" s="64" t="e">
        <f>IF($C1063="B",VLOOKUP($A1063,Bat!$A$4:$AU$1417,46,FALSE),VLOOKUP($A1063,Pit!$A$4:$BD$570,55,FALSE))</f>
        <v>#N/A</v>
      </c>
      <c r="U1063" s="52" t="e">
        <f>IF($C1063="B",VLOOKUP($A1063,Bat!$A$4:$BA$1417,47,FALSE),VLOOKUP($A1063,Pit!$A$4:$BF$570,56,FALSE))</f>
        <v>#N/A</v>
      </c>
      <c r="V1063" s="52" t="e">
        <f>IF($C1063="B",VLOOKUP($A1063,Bat!$A$4:$BA$1417,48,FALSE),VLOOKUP($A1063,Pit!$A$4:$BF$570,57,FALSE))</f>
        <v>#N/A</v>
      </c>
      <c r="W1063" s="52" t="e">
        <f>Table5[[#This Row],[posRnk]]+Table5[[#This Row],[zRnk]]+IF($W$3&lt;&gt;Table5[[#This Row],[Type]],50,0)</f>
        <v>#N/A</v>
      </c>
      <c r="X1063" s="53">
        <f>RANK(Table5[[#This Row],[zScore]],Table5[[#All],[zScore]])</f>
        <v>1059</v>
      </c>
      <c r="Y1063" s="52" t="str">
        <f>IFERROR(INDEX(DraftResults[[#All],[OVR]],MATCH(Table5[[#This Row],[PID]],DraftResults[[#All],[Player ID]],0)),"")</f>
        <v/>
      </c>
      <c r="Z10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3" s="52" t="str">
        <f>IFERROR(INDEX(DraftResults[[#All],[Pick in Round]],MATCH(Table5[[#This Row],[PID]],DraftResults[[#All],[Player ID]],0)),"")</f>
        <v/>
      </c>
      <c r="AB1063" s="52" t="str">
        <f>IFERROR(INDEX(DraftResults[[#All],[Team Name]],MATCH(Table5[[#This Row],[PID]],DraftResults[[#All],[Player ID]],0)),"")</f>
        <v/>
      </c>
      <c r="AC1063" s="52" t="str">
        <f>IF(Table5[[#This Row],[Ovr]]="","",IF(Table5[[#This Row],[cmbList]]="","",Table5[[#This Row],[cmbList]]-Table5[[#This Row],[Ovr]]))</f>
        <v/>
      </c>
      <c r="AD1063" s="56" t="str">
        <f>IF(ISERROR(VLOOKUP($AB1063&amp;"-"&amp;$E1063&amp;" "&amp;F1063,Bonuses!$B$1:$G$1006,4,FALSE)),"",INT(VLOOKUP($AB1063&amp;"-"&amp;$E1063&amp;" "&amp;$F1063,Bonuses!$B$1:$G$1006,4,FALSE)))</f>
        <v/>
      </c>
      <c r="AE10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4" spans="1:31" s="52" customFormat="1" x14ac:dyDescent="0.25">
      <c r="A1064" s="52">
        <v>15739</v>
      </c>
      <c r="B1064" s="52">
        <f>COUNTIF(Table5[PID],A1064)</f>
        <v>1</v>
      </c>
      <c r="C1064" s="52" t="str">
        <f>IF(COUNTIF(Table3[[#All],[PID]],A1064)&gt;0,"P","B")</f>
        <v>P</v>
      </c>
      <c r="D1064" s="61" t="str">
        <f>IF($C1064="B",INDEX(Batters[[#All],[POS]],MATCH(Table5[[#This Row],[PID]],Batters[[#All],[PID]],0)),INDEX(Table3[[#All],[POS]],MATCH(Table5[[#This Row],[PID]],Table3[[#All],[PID]],0)))</f>
        <v>RP</v>
      </c>
      <c r="E1064" s="54" t="str">
        <f>IF($C1064="B",INDEX(Batters[[#All],[First]],MATCH(Table5[[#This Row],[PID]],Batters[[#All],[PID]],0)),INDEX(Table3[[#All],[First]],MATCH(Table5[[#This Row],[PID]],Table3[[#All],[PID]],0)))</f>
        <v>Tamotsu</v>
      </c>
      <c r="F1064" s="52" t="str">
        <f>IF($C1064="B",INDEX(Batters[[#All],[Last]],MATCH(A1064,Batters[[#All],[PID]],0)),INDEX(Table3[[#All],[Last]],MATCH(A1064,Table3[[#All],[PID]],0)))</f>
        <v>Sanu</v>
      </c>
      <c r="G1064" s="58">
        <f>IF($C1064="B",INDEX(Batters[[#All],[Age]],MATCH(Table5[[#This Row],[PID]],Batters[[#All],[PID]],0)),INDEX(Table3[[#All],[Age]],MATCH(Table5[[#This Row],[PID]],Table3[[#All],[PID]],0)))</f>
        <v>21</v>
      </c>
      <c r="H1064" s="54" t="str">
        <f>IF($C1064="B",INDEX(Batters[[#All],[B]],MATCH(Table5[[#This Row],[PID]],Batters[[#All],[PID]],0)),INDEX(Table3[[#All],[B]],MATCH(Table5[[#This Row],[PID]],Table3[[#All],[PID]],0)))</f>
        <v>S</v>
      </c>
      <c r="I1064" s="54" t="str">
        <f>IF($C1064="B",INDEX(Batters[[#All],[T]],MATCH(Table5[[#This Row],[PID]],Batters[[#All],[PID]],0)),INDEX(Table3[[#All],[T]],MATCH(Table5[[#This Row],[PID]],Table3[[#All],[PID]],0)))</f>
        <v>R</v>
      </c>
      <c r="J1064" s="54" t="str">
        <f>IF($C1064="B",INDEX(Batters[[#All],[WE]],MATCH(Table5[[#This Row],[PID]],Batters[[#All],[PID]],0)),INDEX(Table3[[#All],[WE]],MATCH(Table5[[#This Row],[PID]],Table3[[#All],[PID]],0)))</f>
        <v>Normal</v>
      </c>
      <c r="K1064" s="54" t="str">
        <f>IF($C1064="B",INDEX(Batters[[#All],[INT]],MATCH(Table5[[#This Row],[PID]],Batters[[#All],[PID]],0)),INDEX(Table3[[#All],[INT]],MATCH(Table5[[#This Row],[PID]],Table3[[#All],[PID]],0)))</f>
        <v>Normal</v>
      </c>
      <c r="L1064" s="62">
        <f>IF($C1064="B",INDEX(Batters[[#All],[CON P]],MATCH(Table5[[#This Row],[PID]],Batters[[#All],[PID]],0)),INDEX(Table3[[#All],[STU P]],MATCH(Table5[[#This Row],[PID]],Table3[[#All],[PID]],0)))</f>
        <v>4</v>
      </c>
      <c r="M1064" s="58">
        <f>IF($C1064="B",INDEX(Batters[[#All],[GAP P]],MATCH(Table5[[#This Row],[PID]],Batters[[#All],[PID]],0)),INDEX(Table3[[#All],[MOV P]],MATCH(Table5[[#This Row],[PID]],Table3[[#All],[PID]],0)))</f>
        <v>2</v>
      </c>
      <c r="N1064" s="58">
        <f>IF($C1064="B",INDEX(Batters[[#All],[POW P]],MATCH(Table5[[#This Row],[PID]],Batters[[#All],[PID]],0)),INDEX(Table3[[#All],[CON P]],MATCH(Table5[[#This Row],[PID]],Table3[[#All],[PID]],0)))</f>
        <v>1</v>
      </c>
      <c r="O1064" s="58" t="str">
        <f>IF($C1064="B",INDEX(Batters[[#All],[EYE P]],MATCH(Table5[[#This Row],[PID]],Batters[[#All],[PID]],0)),INDEX(Table3[[#All],[VELO]],MATCH(Table5[[#This Row],[PID]],Table3[[#All],[PID]],0)))</f>
        <v>86-88 Mph</v>
      </c>
      <c r="P1064" s="58">
        <f>IF($C1064="B",INDEX(Batters[[#All],[K P]],MATCH(Table5[[#This Row],[PID]],Batters[[#All],[PID]],0)),INDEX(Table3[[#All],[STM]],MATCH(Table5[[#This Row],[PID]],Table3[[#All],[PID]],0)))</f>
        <v>9</v>
      </c>
      <c r="Q1064" s="63">
        <f>IF($C1064="B",INDEX(Batters[[#All],[Tot]],MATCH(Table5[[#This Row],[PID]],Batters[[#All],[PID]],0)),INDEX(Table3[[#All],[Tot]],MATCH(Table5[[#This Row],[PID]],Table3[[#All],[PID]],0)))</f>
        <v>20.407649224378556</v>
      </c>
      <c r="R1064" s="54">
        <f>IF($C1064="B",INDEX(Batters[[#All],[zScore]],MATCH(Table5[[#This Row],[PID]],Batters[[#All],[PID]],0)),INDEX(Table3[[#All],[zScore]],MATCH(Table5[[#This Row],[PID]],Table3[[#All],[PID]],0)))</f>
        <v>-1.1293016031554799</v>
      </c>
      <c r="S1064" s="60" t="str">
        <f>IF($C1064="B",INDEX(Batters[[#All],[DEM]],MATCH(Table5[[#This Row],[PID]],Batters[[#All],[PID]],0)),INDEX(Table3[[#All],[DEM]],MATCH(Table5[[#This Row],[PID]],Table3[[#All],[PID]],0)))</f>
        <v>$20k</v>
      </c>
      <c r="T1064" s="64">
        <f>IF($C1064="B",VLOOKUP($A1064,Bat!$A$4:$AU$1417,46,FALSE),VLOOKUP($A1064,Pit!$A$4:$BD$570,55,FALSE))</f>
        <v>0</v>
      </c>
      <c r="U1064" s="52">
        <f>IF($C1064="B",VLOOKUP($A1064,Bat!$A$4:$BA$1417,47,FALSE),VLOOKUP($A1064,Pit!$A$4:$BF$570,56,FALSE))</f>
        <v>0</v>
      </c>
      <c r="V1064" s="52">
        <f>IF($C1064="B",VLOOKUP($A1064,Bat!$A$4:$BA$1417,48,FALSE),VLOOKUP($A1064,Pit!$A$4:$BF$570,57,FALSE))</f>
        <v>0</v>
      </c>
      <c r="W1064" s="52">
        <f>Table5[[#This Row],[posRnk]]+Table5[[#This Row],[zRnk]]+IF($W$3&lt;&gt;Table5[[#This Row],[Type]],50,0)</f>
        <v>1110</v>
      </c>
      <c r="X1064" s="53">
        <f>RANK(Table5[[#This Row],[zScore]],Table5[[#All],[zScore]])</f>
        <v>1060</v>
      </c>
      <c r="Y1064" s="52" t="str">
        <f>IFERROR(INDEX(DraftResults[[#All],[OVR]],MATCH(Table5[[#This Row],[PID]],DraftResults[[#All],[Player ID]],0)),"")</f>
        <v/>
      </c>
      <c r="Z10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4" s="52" t="str">
        <f>IFERROR(INDEX(DraftResults[[#All],[Pick in Round]],MATCH(Table5[[#This Row],[PID]],DraftResults[[#All],[Player ID]],0)),"")</f>
        <v/>
      </c>
      <c r="AB1064" s="52" t="str">
        <f>IFERROR(INDEX(DraftResults[[#All],[Team Name]],MATCH(Table5[[#This Row],[PID]],DraftResults[[#All],[Player ID]],0)),"")</f>
        <v/>
      </c>
      <c r="AC1064" s="52" t="str">
        <f>IF(Table5[[#This Row],[Ovr]]="","",IF(Table5[[#This Row],[cmbList]]="","",Table5[[#This Row],[cmbList]]-Table5[[#This Row],[Ovr]]))</f>
        <v/>
      </c>
      <c r="AD1064" s="56" t="str">
        <f>IF(ISERROR(VLOOKUP($AB1064&amp;"-"&amp;$E1064&amp;" "&amp;F1064,Bonuses!$B$1:$G$1006,4,FALSE)),"",INT(VLOOKUP($AB1064&amp;"-"&amp;$E1064&amp;" "&amp;$F1064,Bonuses!$B$1:$G$1006,4,FALSE)))</f>
        <v/>
      </c>
      <c r="AE10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5" spans="1:31" s="52" customFormat="1" x14ac:dyDescent="0.25">
      <c r="A1065" s="52">
        <v>11999</v>
      </c>
      <c r="B1065" s="52">
        <f>COUNTIF(Table5[PID],A1065)</f>
        <v>1</v>
      </c>
      <c r="C1065" s="52" t="str">
        <f>IF(COUNTIF(Table3[[#All],[PID]],A1065)&gt;0,"P","B")</f>
        <v>P</v>
      </c>
      <c r="D1065" s="61" t="str">
        <f>IF($C1065="B",INDEX(Batters[[#All],[POS]],MATCH(Table5[[#This Row],[PID]],Batters[[#All],[PID]],0)),INDEX(Table3[[#All],[POS]],MATCH(Table5[[#This Row],[PID]],Table3[[#All],[PID]],0)))</f>
        <v>SP</v>
      </c>
      <c r="E1065" s="54" t="str">
        <f>IF($C1065="B",INDEX(Batters[[#All],[First]],MATCH(Table5[[#This Row],[PID]],Batters[[#All],[PID]],0)),INDEX(Table3[[#All],[First]],MATCH(Table5[[#This Row],[PID]],Table3[[#All],[PID]],0)))</f>
        <v>Wayne</v>
      </c>
      <c r="F1065" s="52" t="str">
        <f>IF($C1065="B",INDEX(Batters[[#All],[Last]],MATCH(A1065,Batters[[#All],[PID]],0)),INDEX(Table3[[#All],[Last]],MATCH(A1065,Table3[[#All],[PID]],0)))</f>
        <v>Rice</v>
      </c>
      <c r="G1065" s="58">
        <f>IF($C1065="B",INDEX(Batters[[#All],[Age]],MATCH(Table5[[#This Row],[PID]],Batters[[#All],[PID]],0)),INDEX(Table3[[#All],[Age]],MATCH(Table5[[#This Row],[PID]],Table3[[#All],[PID]],0)))</f>
        <v>21</v>
      </c>
      <c r="H1065" s="54" t="str">
        <f>IF($C1065="B",INDEX(Batters[[#All],[B]],MATCH(Table5[[#This Row],[PID]],Batters[[#All],[PID]],0)),INDEX(Table3[[#All],[B]],MATCH(Table5[[#This Row],[PID]],Table3[[#All],[PID]],0)))</f>
        <v>R</v>
      </c>
      <c r="I1065" s="54" t="str">
        <f>IF($C1065="B",INDEX(Batters[[#All],[T]],MATCH(Table5[[#This Row],[PID]],Batters[[#All],[PID]],0)),INDEX(Table3[[#All],[T]],MATCH(Table5[[#This Row],[PID]],Table3[[#All],[PID]],0)))</f>
        <v>R</v>
      </c>
      <c r="J1065" s="54" t="str">
        <f>IF($C1065="B",INDEX(Batters[[#All],[WE]],MATCH(Table5[[#This Row],[PID]],Batters[[#All],[PID]],0)),INDEX(Table3[[#All],[WE]],MATCH(Table5[[#This Row],[PID]],Table3[[#All],[PID]],0)))</f>
        <v>Normal</v>
      </c>
      <c r="K1065" s="54" t="str">
        <f>IF($C1065="B",INDEX(Batters[[#All],[INT]],MATCH(Table5[[#This Row],[PID]],Batters[[#All],[PID]],0)),INDEX(Table3[[#All],[INT]],MATCH(Table5[[#This Row],[PID]],Table3[[#All],[PID]],0)))</f>
        <v>Normal</v>
      </c>
      <c r="L1065" s="62">
        <f>IF($C1065="B",INDEX(Batters[[#All],[CON P]],MATCH(Table5[[#This Row],[PID]],Batters[[#All],[PID]],0)),INDEX(Table3[[#All],[STU P]],MATCH(Table5[[#This Row],[PID]],Table3[[#All],[PID]],0)))</f>
        <v>4</v>
      </c>
      <c r="M1065" s="58">
        <f>IF($C1065="B",INDEX(Batters[[#All],[GAP P]],MATCH(Table5[[#This Row],[PID]],Batters[[#All],[PID]],0)),INDEX(Table3[[#All],[MOV P]],MATCH(Table5[[#This Row],[PID]],Table3[[#All],[PID]],0)))</f>
        <v>1</v>
      </c>
      <c r="N1065" s="58">
        <f>IF($C1065="B",INDEX(Batters[[#All],[POW P]],MATCH(Table5[[#This Row],[PID]],Batters[[#All],[PID]],0)),INDEX(Table3[[#All],[CON P]],MATCH(Table5[[#This Row],[PID]],Table3[[#All],[PID]],0)))</f>
        <v>2</v>
      </c>
      <c r="O1065" s="58" t="str">
        <f>IF($C1065="B",INDEX(Batters[[#All],[EYE P]],MATCH(Table5[[#This Row],[PID]],Batters[[#All],[PID]],0)),INDEX(Table3[[#All],[VELO]],MATCH(Table5[[#This Row],[PID]],Table3[[#All],[PID]],0)))</f>
        <v>91-93 Mph</v>
      </c>
      <c r="P1065" s="58">
        <f>IF($C1065="B",INDEX(Batters[[#All],[K P]],MATCH(Table5[[#This Row],[PID]],Batters[[#All],[PID]],0)),INDEX(Table3[[#All],[STM]],MATCH(Table5[[#This Row],[PID]],Table3[[#All],[PID]],0)))</f>
        <v>8</v>
      </c>
      <c r="Q1065" s="63">
        <f>IF($C1065="B",INDEX(Batters[[#All],[Tot]],MATCH(Table5[[#This Row],[PID]],Batters[[#All],[PID]],0)),INDEX(Table3[[#All],[Tot]],MATCH(Table5[[#This Row],[PID]],Table3[[#All],[PID]],0)))</f>
        <v>20.406742464330399</v>
      </c>
      <c r="R1065" s="54">
        <f>IF($C1065="B",INDEX(Batters[[#All],[zScore]],MATCH(Table5[[#This Row],[PID]],Batters[[#All],[PID]],0)),INDEX(Table3[[#All],[zScore]],MATCH(Table5[[#This Row],[PID]],Table3[[#All],[PID]],0)))</f>
        <v>-1.1293847569274695</v>
      </c>
      <c r="S1065" s="60" t="str">
        <f>IF($C1065="B",INDEX(Batters[[#All],[DEM]],MATCH(Table5[[#This Row],[PID]],Batters[[#All],[PID]],0)),INDEX(Table3[[#All],[DEM]],MATCH(Table5[[#This Row],[PID]],Table3[[#All],[PID]],0)))</f>
        <v>-</v>
      </c>
      <c r="T1065" s="64">
        <f>IF($C1065="B",VLOOKUP($A1065,Bat!$A$4:$AU$1417,46,FALSE),VLOOKUP($A1065,Pit!$A$4:$BD$570,55,FALSE))</f>
        <v>0</v>
      </c>
      <c r="U1065" s="52">
        <f>IF($C1065="B",VLOOKUP($A1065,Bat!$A$4:$BA$1417,47,FALSE),VLOOKUP($A1065,Pit!$A$4:$BF$570,56,FALSE))</f>
        <v>0</v>
      </c>
      <c r="V1065" s="52">
        <f>IF($C1065="B",VLOOKUP($A1065,Bat!$A$4:$BA$1417,48,FALSE),VLOOKUP($A1065,Pit!$A$4:$BF$570,57,FALSE))</f>
        <v>0</v>
      </c>
      <c r="W1065" s="52">
        <f>Table5[[#This Row],[posRnk]]+Table5[[#This Row],[zRnk]]+IF($W$3&lt;&gt;Table5[[#This Row],[Type]],50,0)</f>
        <v>1111</v>
      </c>
      <c r="X1065" s="53">
        <f>RANK(Table5[[#This Row],[zScore]],Table5[[#All],[zScore]])</f>
        <v>1061</v>
      </c>
      <c r="Y1065" s="52" t="str">
        <f>IFERROR(INDEX(DraftResults[[#All],[OVR]],MATCH(Table5[[#This Row],[PID]],DraftResults[[#All],[Player ID]],0)),"")</f>
        <v/>
      </c>
      <c r="Z10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5" s="52" t="str">
        <f>IFERROR(INDEX(DraftResults[[#All],[Pick in Round]],MATCH(Table5[[#This Row],[PID]],DraftResults[[#All],[Player ID]],0)),"")</f>
        <v/>
      </c>
      <c r="AB1065" s="52" t="str">
        <f>IFERROR(INDEX(DraftResults[[#All],[Team Name]],MATCH(Table5[[#This Row],[PID]],DraftResults[[#All],[Player ID]],0)),"")</f>
        <v/>
      </c>
      <c r="AC1065" s="52" t="str">
        <f>IF(Table5[[#This Row],[Ovr]]="","",IF(Table5[[#This Row],[cmbList]]="","",Table5[[#This Row],[cmbList]]-Table5[[#This Row],[Ovr]]))</f>
        <v/>
      </c>
      <c r="AD1065" s="56" t="str">
        <f>IF(ISERROR(VLOOKUP($AB1065&amp;"-"&amp;$E1065&amp;" "&amp;F1065,Bonuses!$B$1:$G$1006,4,FALSE)),"",INT(VLOOKUP($AB1065&amp;"-"&amp;$E1065&amp;" "&amp;$F1065,Bonuses!$B$1:$G$1006,4,FALSE)))</f>
        <v/>
      </c>
      <c r="AE10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6" spans="1:31" s="52" customFormat="1" x14ac:dyDescent="0.25">
      <c r="A1066" s="52">
        <v>3459</v>
      </c>
      <c r="B1066" s="52">
        <f>COUNTIF(Table5[PID],A1066)</f>
        <v>1</v>
      </c>
      <c r="C1066" s="52" t="str">
        <f>IF(COUNTIF(Table3[[#All],[PID]],A1066)&gt;0,"P","B")</f>
        <v>B</v>
      </c>
      <c r="D1066" s="61" t="str">
        <f>IF($C1066="B",INDEX(Batters[[#All],[POS]],MATCH(Table5[[#This Row],[PID]],Batters[[#All],[PID]],0)),INDEX(Table3[[#All],[POS]],MATCH(Table5[[#This Row],[PID]],Table3[[#All],[PID]],0)))</f>
        <v>C</v>
      </c>
      <c r="E1066" s="54" t="str">
        <f>IF($C1066="B",INDEX(Batters[[#All],[First]],MATCH(Table5[[#This Row],[PID]],Batters[[#All],[PID]],0)),INDEX(Table3[[#All],[First]],MATCH(Table5[[#This Row],[PID]],Table3[[#All],[PID]],0)))</f>
        <v>Charles</v>
      </c>
      <c r="F1066" s="52" t="str">
        <f>IF($C1066="B",INDEX(Batters[[#All],[Last]],MATCH(A1066,Batters[[#All],[PID]],0)),INDEX(Table3[[#All],[Last]],MATCH(A1066,Table3[[#All],[PID]],0)))</f>
        <v>Lavoie</v>
      </c>
      <c r="G1066" s="58">
        <f>IF($C1066="B",INDEX(Batters[[#All],[Age]],MATCH(Table5[[#This Row],[PID]],Batters[[#All],[PID]],0)),INDEX(Table3[[#All],[Age]],MATCH(Table5[[#This Row],[PID]],Table3[[#All],[PID]],0)))</f>
        <v>21</v>
      </c>
      <c r="H1066" s="54" t="str">
        <f>IF($C1066="B",INDEX(Batters[[#All],[B]],MATCH(Table5[[#This Row],[PID]],Batters[[#All],[PID]],0)),INDEX(Table3[[#All],[B]],MATCH(Table5[[#This Row],[PID]],Table3[[#All],[PID]],0)))</f>
        <v>L</v>
      </c>
      <c r="I1066" s="54" t="str">
        <f>IF($C1066="B",INDEX(Batters[[#All],[T]],MATCH(Table5[[#This Row],[PID]],Batters[[#All],[PID]],0)),INDEX(Table3[[#All],[T]],MATCH(Table5[[#This Row],[PID]],Table3[[#All],[PID]],0)))</f>
        <v>R</v>
      </c>
      <c r="J1066" s="54" t="str">
        <f>IF($C1066="B",INDEX(Batters[[#All],[WE]],MATCH(Table5[[#This Row],[PID]],Batters[[#All],[PID]],0)),INDEX(Table3[[#All],[WE]],MATCH(Table5[[#This Row],[PID]],Table3[[#All],[PID]],0)))</f>
        <v>Low</v>
      </c>
      <c r="K1066" s="54" t="str">
        <f>IF($C1066="B",INDEX(Batters[[#All],[INT]],MATCH(Table5[[#This Row],[PID]],Batters[[#All],[PID]],0)),INDEX(Table3[[#All],[INT]],MATCH(Table5[[#This Row],[PID]],Table3[[#All],[PID]],0)))</f>
        <v>High</v>
      </c>
      <c r="L1066" s="62">
        <f>IF($C1066="B",INDEX(Batters[[#All],[CON P]],MATCH(Table5[[#This Row],[PID]],Batters[[#All],[PID]],0)),INDEX(Table3[[#All],[STU P]],MATCH(Table5[[#This Row],[PID]],Table3[[#All],[PID]],0)))</f>
        <v>2</v>
      </c>
      <c r="M1066" s="58">
        <f>IF($C1066="B",INDEX(Batters[[#All],[GAP P]],MATCH(Table5[[#This Row],[PID]],Batters[[#All],[PID]],0)),INDEX(Table3[[#All],[MOV P]],MATCH(Table5[[#This Row],[PID]],Table3[[#All],[PID]],0)))</f>
        <v>4</v>
      </c>
      <c r="N1066" s="58">
        <f>IF($C1066="B",INDEX(Batters[[#All],[POW P]],MATCH(Table5[[#This Row],[PID]],Batters[[#All],[PID]],0)),INDEX(Table3[[#All],[CON P]],MATCH(Table5[[#This Row],[PID]],Table3[[#All],[PID]],0)))</f>
        <v>3</v>
      </c>
      <c r="O1066" s="58">
        <f>IF($C1066="B",INDEX(Batters[[#All],[EYE P]],MATCH(Table5[[#This Row],[PID]],Batters[[#All],[PID]],0)),INDEX(Table3[[#All],[VELO]],MATCH(Table5[[#This Row],[PID]],Table3[[#All],[PID]],0)))</f>
        <v>6</v>
      </c>
      <c r="P1066" s="58">
        <f>IF($C1066="B",INDEX(Batters[[#All],[K P]],MATCH(Table5[[#This Row],[PID]],Batters[[#All],[PID]],0)),INDEX(Table3[[#All],[STM]],MATCH(Table5[[#This Row],[PID]],Table3[[#All],[PID]],0)))</f>
        <v>3</v>
      </c>
      <c r="Q1066" s="63">
        <f>IF($C1066="B",INDEX(Batters[[#All],[Tot]],MATCH(Table5[[#This Row],[PID]],Batters[[#All],[PID]],0)),INDEX(Table3[[#All],[Tot]],MATCH(Table5[[#This Row],[PID]],Table3[[#All],[PID]],0)))</f>
        <v>33.915810891863835</v>
      </c>
      <c r="R1066" s="54">
        <f>IF($C1066="B",INDEX(Batters[[#All],[zScore]],MATCH(Table5[[#This Row],[PID]],Batters[[#All],[PID]],0)),INDEX(Table3[[#All],[zScore]],MATCH(Table5[[#This Row],[PID]],Table3[[#All],[PID]],0)))</f>
        <v>-1.1317444443214388</v>
      </c>
      <c r="S1066" s="60" t="str">
        <f>IF($C1066="B",INDEX(Batters[[#All],[DEM]],MATCH(Table5[[#This Row],[PID]],Batters[[#All],[PID]],0)),INDEX(Table3[[#All],[DEM]],MATCH(Table5[[#This Row],[PID]],Table3[[#All],[PID]],0)))</f>
        <v>-</v>
      </c>
      <c r="T1066" s="64">
        <f>IF($C1066="B",VLOOKUP($A1066,Bat!$A$4:$AU$1417,46,FALSE),VLOOKUP($A1066,Pit!$A$4:$BD$570,55,FALSE))</f>
        <v>0</v>
      </c>
      <c r="U1066" s="52">
        <f>IF($C1066="B",VLOOKUP($A1066,Bat!$A$4:$BA$1417,47,FALSE),VLOOKUP($A1066,Pit!$A$4:$BF$570,56,FALSE))</f>
        <v>0</v>
      </c>
      <c r="V1066" s="52">
        <f>IF($C1066="B",VLOOKUP($A1066,Bat!$A$4:$BA$1417,48,FALSE),VLOOKUP($A1066,Pit!$A$4:$BF$570,57,FALSE))</f>
        <v>0</v>
      </c>
      <c r="W1066" s="52">
        <f>Table5[[#This Row],[posRnk]]+Table5[[#This Row],[zRnk]]+IF($W$3&lt;&gt;Table5[[#This Row],[Type]],50,0)</f>
        <v>1112</v>
      </c>
      <c r="X1066" s="53">
        <f>RANK(Table5[[#This Row],[zScore]],Table5[[#All],[zScore]])</f>
        <v>1062</v>
      </c>
      <c r="Y1066" s="52" t="str">
        <f>IFERROR(INDEX(DraftResults[[#All],[OVR]],MATCH(Table5[[#This Row],[PID]],DraftResults[[#All],[Player ID]],0)),"")</f>
        <v/>
      </c>
      <c r="Z10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6" s="52" t="str">
        <f>IFERROR(INDEX(DraftResults[[#All],[Pick in Round]],MATCH(Table5[[#This Row],[PID]],DraftResults[[#All],[Player ID]],0)),"")</f>
        <v/>
      </c>
      <c r="AB1066" s="52" t="str">
        <f>IFERROR(INDEX(DraftResults[[#All],[Team Name]],MATCH(Table5[[#This Row],[PID]],DraftResults[[#All],[Player ID]],0)),"")</f>
        <v/>
      </c>
      <c r="AC1066" s="52" t="str">
        <f>IF(Table5[[#This Row],[Ovr]]="","",IF(Table5[[#This Row],[cmbList]]="","",Table5[[#This Row],[cmbList]]-Table5[[#This Row],[Ovr]]))</f>
        <v/>
      </c>
      <c r="AD1066" s="56" t="str">
        <f>IF(ISERROR(VLOOKUP($AB1066&amp;"-"&amp;$E1066&amp;" "&amp;F1066,Bonuses!$B$1:$G$1006,4,FALSE)),"",INT(VLOOKUP($AB1066&amp;"-"&amp;$E1066&amp;" "&amp;$F1066,Bonuses!$B$1:$G$1006,4,FALSE)))</f>
        <v/>
      </c>
      <c r="AE10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7" spans="1:31" s="52" customFormat="1" x14ac:dyDescent="0.25">
      <c r="A1067" s="52">
        <v>9256</v>
      </c>
      <c r="B1067" s="52">
        <f>COUNTIF(Table5[PID],A1067)</f>
        <v>1</v>
      </c>
      <c r="C1067" s="52" t="str">
        <f>IF(COUNTIF(Table3[[#All],[PID]],A1067)&gt;0,"P","B")</f>
        <v>P</v>
      </c>
      <c r="D1067" s="61" t="str">
        <f>IF($C1067="B",INDEX(Batters[[#All],[POS]],MATCH(Table5[[#This Row],[PID]],Batters[[#All],[PID]],0)),INDEX(Table3[[#All],[POS]],MATCH(Table5[[#This Row],[PID]],Table3[[#All],[PID]],0)))</f>
        <v>CL</v>
      </c>
      <c r="E1067" s="54" t="str">
        <f>IF($C1067="B",INDEX(Batters[[#All],[First]],MATCH(Table5[[#This Row],[PID]],Batters[[#All],[PID]],0)),INDEX(Table3[[#All],[First]],MATCH(Table5[[#This Row],[PID]],Table3[[#All],[PID]],0)))</f>
        <v>Pedro</v>
      </c>
      <c r="F1067" s="52" t="str">
        <f>IF($C1067="B",INDEX(Batters[[#All],[Last]],MATCH(A1067,Batters[[#All],[PID]],0)),INDEX(Table3[[#All],[Last]],MATCH(A1067,Table3[[#All],[PID]],0)))</f>
        <v>Aguilar</v>
      </c>
      <c r="G1067" s="58">
        <f>IF($C1067="B",INDEX(Batters[[#All],[Age]],MATCH(Table5[[#This Row],[PID]],Batters[[#All],[PID]],0)),INDEX(Table3[[#All],[Age]],MATCH(Table5[[#This Row],[PID]],Table3[[#All],[PID]],0)))</f>
        <v>21</v>
      </c>
      <c r="H1067" s="54" t="str">
        <f>IF($C1067="B",INDEX(Batters[[#All],[B]],MATCH(Table5[[#This Row],[PID]],Batters[[#All],[PID]],0)),INDEX(Table3[[#All],[B]],MATCH(Table5[[#This Row],[PID]],Table3[[#All],[PID]],0)))</f>
        <v>R</v>
      </c>
      <c r="I1067" s="54" t="str">
        <f>IF($C1067="B",INDEX(Batters[[#All],[T]],MATCH(Table5[[#This Row],[PID]],Batters[[#All],[PID]],0)),INDEX(Table3[[#All],[T]],MATCH(Table5[[#This Row],[PID]],Table3[[#All],[PID]],0)))</f>
        <v>R</v>
      </c>
      <c r="J1067" s="54" t="str">
        <f>IF($C1067="B",INDEX(Batters[[#All],[WE]],MATCH(Table5[[#This Row],[PID]],Batters[[#All],[PID]],0)),INDEX(Table3[[#All],[WE]],MATCH(Table5[[#This Row],[PID]],Table3[[#All],[PID]],0)))</f>
        <v>Low</v>
      </c>
      <c r="K1067" s="54" t="str">
        <f>IF($C1067="B",INDEX(Batters[[#All],[INT]],MATCH(Table5[[#This Row],[PID]],Batters[[#All],[PID]],0)),INDEX(Table3[[#All],[INT]],MATCH(Table5[[#This Row],[PID]],Table3[[#All],[PID]],0)))</f>
        <v>Normal</v>
      </c>
      <c r="L1067" s="62">
        <f>IF($C1067="B",INDEX(Batters[[#All],[CON P]],MATCH(Table5[[#This Row],[PID]],Batters[[#All],[PID]],0)),INDEX(Table3[[#All],[STU P]],MATCH(Table5[[#This Row],[PID]],Table3[[#All],[PID]],0)))</f>
        <v>4</v>
      </c>
      <c r="M1067" s="58">
        <f>IF($C1067="B",INDEX(Batters[[#All],[GAP P]],MATCH(Table5[[#This Row],[PID]],Batters[[#All],[PID]],0)),INDEX(Table3[[#All],[MOV P]],MATCH(Table5[[#This Row],[PID]],Table3[[#All],[PID]],0)))</f>
        <v>1</v>
      </c>
      <c r="N1067" s="58">
        <f>IF($C1067="B",INDEX(Batters[[#All],[POW P]],MATCH(Table5[[#This Row],[PID]],Batters[[#All],[PID]],0)),INDEX(Table3[[#All],[CON P]],MATCH(Table5[[#This Row],[PID]],Table3[[#All],[PID]],0)))</f>
        <v>2</v>
      </c>
      <c r="O1067" s="58" t="str">
        <f>IF($C1067="B",INDEX(Batters[[#All],[EYE P]],MATCH(Table5[[#This Row],[PID]],Batters[[#All],[PID]],0)),INDEX(Table3[[#All],[VELO]],MATCH(Table5[[#This Row],[PID]],Table3[[#All],[PID]],0)))</f>
        <v>90-92 Mph</v>
      </c>
      <c r="P1067" s="58">
        <f>IF($C1067="B",INDEX(Batters[[#All],[K P]],MATCH(Table5[[#This Row],[PID]],Batters[[#All],[PID]],0)),INDEX(Table3[[#All],[STM]],MATCH(Table5[[#This Row],[PID]],Table3[[#All],[PID]],0)))</f>
        <v>7</v>
      </c>
      <c r="Q1067" s="63">
        <f>IF($C1067="B",INDEX(Batters[[#All],[Tot]],MATCH(Table5[[#This Row],[PID]],Batters[[#All],[PID]],0)),INDEX(Table3[[#All],[Tot]],MATCH(Table5[[#This Row],[PID]],Table3[[#All],[PID]],0)))</f>
        <v>20.356742464330399</v>
      </c>
      <c r="R1067" s="54">
        <f>IF($C1067="B",INDEX(Batters[[#All],[zScore]],MATCH(Table5[[#This Row],[PID]],Batters[[#All],[PID]],0)),INDEX(Table3[[#All],[zScore]],MATCH(Table5[[#This Row],[PID]],Table3[[#All],[PID]],0)))</f>
        <v>-1.133969970631961</v>
      </c>
      <c r="S1067" s="60" t="str">
        <f>IF($C1067="B",INDEX(Batters[[#All],[DEM]],MATCH(Table5[[#This Row],[PID]],Batters[[#All],[PID]],0)),INDEX(Table3[[#All],[DEM]],MATCH(Table5[[#This Row],[PID]],Table3[[#All],[PID]],0)))</f>
        <v>$20k</v>
      </c>
      <c r="T1067" s="64" t="e">
        <f>IF($C1067="B",VLOOKUP($A1067,Bat!$A$4:$AU$1417,46,FALSE),VLOOKUP($A1067,Pit!$A$4:$BD$570,55,FALSE))</f>
        <v>#N/A</v>
      </c>
      <c r="U1067" s="52" t="e">
        <f>IF($C1067="B",VLOOKUP($A1067,Bat!$A$4:$BA$1417,47,FALSE),VLOOKUP($A1067,Pit!$A$4:$BF$570,56,FALSE))</f>
        <v>#N/A</v>
      </c>
      <c r="V1067" s="52" t="e">
        <f>IF($C1067="B",VLOOKUP($A1067,Bat!$A$4:$BA$1417,48,FALSE),VLOOKUP($A1067,Pit!$A$4:$BF$570,57,FALSE))</f>
        <v>#N/A</v>
      </c>
      <c r="W1067" s="52" t="e">
        <f>Table5[[#This Row],[posRnk]]+Table5[[#This Row],[zRnk]]+IF($W$3&lt;&gt;Table5[[#This Row],[Type]],50,0)</f>
        <v>#N/A</v>
      </c>
      <c r="X1067" s="53">
        <f>RANK(Table5[[#This Row],[zScore]],Table5[[#All],[zScore]])</f>
        <v>1063</v>
      </c>
      <c r="Y1067" s="52" t="str">
        <f>IFERROR(INDEX(DraftResults[[#All],[OVR]],MATCH(Table5[[#This Row],[PID]],DraftResults[[#All],[Player ID]],0)),"")</f>
        <v/>
      </c>
      <c r="Z10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7" s="52" t="str">
        <f>IFERROR(INDEX(DraftResults[[#All],[Pick in Round]],MATCH(Table5[[#This Row],[PID]],DraftResults[[#All],[Player ID]],0)),"")</f>
        <v/>
      </c>
      <c r="AB1067" s="52" t="str">
        <f>IFERROR(INDEX(DraftResults[[#All],[Team Name]],MATCH(Table5[[#This Row],[PID]],DraftResults[[#All],[Player ID]],0)),"")</f>
        <v/>
      </c>
      <c r="AC1067" s="52" t="str">
        <f>IF(Table5[[#This Row],[Ovr]]="","",IF(Table5[[#This Row],[cmbList]]="","",Table5[[#This Row],[cmbList]]-Table5[[#This Row],[Ovr]]))</f>
        <v/>
      </c>
      <c r="AD1067" s="56" t="str">
        <f>IF(ISERROR(VLOOKUP($AB1067&amp;"-"&amp;$E1067&amp;" "&amp;F1067,Bonuses!$B$1:$G$1006,4,FALSE)),"",INT(VLOOKUP($AB1067&amp;"-"&amp;$E1067&amp;" "&amp;$F1067,Bonuses!$B$1:$G$1006,4,FALSE)))</f>
        <v/>
      </c>
      <c r="AE10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8" spans="1:31" s="52" customFormat="1" x14ac:dyDescent="0.25">
      <c r="A1068" s="52">
        <v>8888</v>
      </c>
      <c r="B1068" s="52">
        <f>COUNTIF(Table5[PID],A1068)</f>
        <v>1</v>
      </c>
      <c r="C1068" s="52" t="str">
        <f>IF(COUNTIF(Table3[[#All],[PID]],A1068)&gt;0,"P","B")</f>
        <v>P</v>
      </c>
      <c r="D1068" s="61" t="str">
        <f>IF($C1068="B",INDEX(Batters[[#All],[POS]],MATCH(Table5[[#This Row],[PID]],Batters[[#All],[PID]],0)),INDEX(Table3[[#All],[POS]],MATCH(Table5[[#This Row],[PID]],Table3[[#All],[PID]],0)))</f>
        <v>RP</v>
      </c>
      <c r="E1068" s="54" t="str">
        <f>IF($C1068="B",INDEX(Batters[[#All],[First]],MATCH(Table5[[#This Row],[PID]],Batters[[#All],[PID]],0)),INDEX(Table3[[#All],[First]],MATCH(Table5[[#This Row],[PID]],Table3[[#All],[PID]],0)))</f>
        <v>Jude</v>
      </c>
      <c r="F1068" s="52" t="str">
        <f>IF($C1068="B",INDEX(Batters[[#All],[Last]],MATCH(A1068,Batters[[#All],[PID]],0)),INDEX(Table3[[#All],[Last]],MATCH(A1068,Table3[[#All],[PID]],0)))</f>
        <v>Holmes</v>
      </c>
      <c r="G1068" s="58">
        <f>IF($C1068="B",INDEX(Batters[[#All],[Age]],MATCH(Table5[[#This Row],[PID]],Batters[[#All],[PID]],0)),INDEX(Table3[[#All],[Age]],MATCH(Table5[[#This Row],[PID]],Table3[[#All],[PID]],0)))</f>
        <v>22</v>
      </c>
      <c r="H1068" s="54" t="str">
        <f>IF($C1068="B",INDEX(Batters[[#All],[B]],MATCH(Table5[[#This Row],[PID]],Batters[[#All],[PID]],0)),INDEX(Table3[[#All],[B]],MATCH(Table5[[#This Row],[PID]],Table3[[#All],[PID]],0)))</f>
        <v>R</v>
      </c>
      <c r="I1068" s="54" t="str">
        <f>IF($C1068="B",INDEX(Batters[[#All],[T]],MATCH(Table5[[#This Row],[PID]],Batters[[#All],[PID]],0)),INDEX(Table3[[#All],[T]],MATCH(Table5[[#This Row],[PID]],Table3[[#All],[PID]],0)))</f>
        <v>R</v>
      </c>
      <c r="J1068" s="54" t="str">
        <f>IF($C1068="B",INDEX(Batters[[#All],[WE]],MATCH(Table5[[#This Row],[PID]],Batters[[#All],[PID]],0)),INDEX(Table3[[#All],[WE]],MATCH(Table5[[#This Row],[PID]],Table3[[#All],[PID]],0)))</f>
        <v>Normal</v>
      </c>
      <c r="K1068" s="54" t="str">
        <f>IF($C1068="B",INDEX(Batters[[#All],[INT]],MATCH(Table5[[#This Row],[PID]],Batters[[#All],[PID]],0)),INDEX(Table3[[#All],[INT]],MATCH(Table5[[#This Row],[PID]],Table3[[#All],[PID]],0)))</f>
        <v>Normal</v>
      </c>
      <c r="L1068" s="62">
        <f>IF($C1068="B",INDEX(Batters[[#All],[CON P]],MATCH(Table5[[#This Row],[PID]],Batters[[#All],[PID]],0)),INDEX(Table3[[#All],[STU P]],MATCH(Table5[[#This Row],[PID]],Table3[[#All],[PID]],0)))</f>
        <v>5</v>
      </c>
      <c r="M1068" s="58">
        <f>IF($C1068="B",INDEX(Batters[[#All],[GAP P]],MATCH(Table5[[#This Row],[PID]],Batters[[#All],[PID]],0)),INDEX(Table3[[#All],[MOV P]],MATCH(Table5[[#This Row],[PID]],Table3[[#All],[PID]],0)))</f>
        <v>1</v>
      </c>
      <c r="N1068" s="58">
        <f>IF($C1068="B",INDEX(Batters[[#All],[POW P]],MATCH(Table5[[#This Row],[PID]],Batters[[#All],[PID]],0)),INDEX(Table3[[#All],[CON P]],MATCH(Table5[[#This Row],[PID]],Table3[[#All],[PID]],0)))</f>
        <v>2</v>
      </c>
      <c r="O1068" s="58" t="str">
        <f>IF($C1068="B",INDEX(Batters[[#All],[EYE P]],MATCH(Table5[[#This Row],[PID]],Batters[[#All],[PID]],0)),INDEX(Table3[[#All],[VELO]],MATCH(Table5[[#This Row],[PID]],Table3[[#All],[PID]],0)))</f>
        <v>92-94 Mph</v>
      </c>
      <c r="P1068" s="58">
        <f>IF($C1068="B",INDEX(Batters[[#All],[K P]],MATCH(Table5[[#This Row],[PID]],Batters[[#All],[PID]],0)),INDEX(Table3[[#All],[STM]],MATCH(Table5[[#This Row],[PID]],Table3[[#All],[PID]],0)))</f>
        <v>8</v>
      </c>
      <c r="Q1068" s="63">
        <f>IF($C1068="B",INDEX(Batters[[#All],[Tot]],MATCH(Table5[[#This Row],[PID]],Batters[[#All],[PID]],0)),INDEX(Table3[[#All],[Tot]],MATCH(Table5[[#This Row],[PID]],Table3[[#All],[PID]],0)))</f>
        <v>20.339507219415712</v>
      </c>
      <c r="R1068" s="54">
        <f>IF($C1068="B",INDEX(Batters[[#All],[zScore]],MATCH(Table5[[#This Row],[PID]],Batters[[#All],[PID]],0)),INDEX(Table3[[#All],[zScore]],MATCH(Table5[[#This Row],[PID]],Table3[[#All],[PID]],0)))</f>
        <v>-1.135550516255623</v>
      </c>
      <c r="S1068" s="60" t="str">
        <f>IF($C1068="B",INDEX(Batters[[#All],[DEM]],MATCH(Table5[[#This Row],[PID]],Batters[[#All],[PID]],0)),INDEX(Table3[[#All],[DEM]],MATCH(Table5[[#This Row],[PID]],Table3[[#All],[PID]],0)))</f>
        <v>-</v>
      </c>
      <c r="T1068" s="64">
        <f>IF($C1068="B",VLOOKUP($A1068,Bat!$A$4:$AU$1417,46,FALSE),VLOOKUP($A1068,Pit!$A$4:$BD$570,55,FALSE))</f>
        <v>0</v>
      </c>
      <c r="U1068" s="52">
        <f>IF($C1068="B",VLOOKUP($A1068,Bat!$A$4:$BA$1417,47,FALSE),VLOOKUP($A1068,Pit!$A$4:$BF$570,56,FALSE))</f>
        <v>0</v>
      </c>
      <c r="V1068" s="52">
        <f>IF($C1068="B",VLOOKUP($A1068,Bat!$A$4:$BA$1417,48,FALSE),VLOOKUP($A1068,Pit!$A$4:$BF$570,57,FALSE))</f>
        <v>0</v>
      </c>
      <c r="W1068" s="52">
        <f>Table5[[#This Row],[posRnk]]+Table5[[#This Row],[zRnk]]+IF($W$3&lt;&gt;Table5[[#This Row],[Type]],50,0)</f>
        <v>1114</v>
      </c>
      <c r="X1068" s="53">
        <f>RANK(Table5[[#This Row],[zScore]],Table5[[#All],[zScore]])</f>
        <v>1064</v>
      </c>
      <c r="Y1068" s="52" t="str">
        <f>IFERROR(INDEX(DraftResults[[#All],[OVR]],MATCH(Table5[[#This Row],[PID]],DraftResults[[#All],[Player ID]],0)),"")</f>
        <v/>
      </c>
      <c r="Z10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8" s="52" t="str">
        <f>IFERROR(INDEX(DraftResults[[#All],[Pick in Round]],MATCH(Table5[[#This Row],[PID]],DraftResults[[#All],[Player ID]],0)),"")</f>
        <v/>
      </c>
      <c r="AB1068" s="52" t="str">
        <f>IFERROR(INDEX(DraftResults[[#All],[Team Name]],MATCH(Table5[[#This Row],[PID]],DraftResults[[#All],[Player ID]],0)),"")</f>
        <v/>
      </c>
      <c r="AC1068" s="52" t="str">
        <f>IF(Table5[[#This Row],[Ovr]]="","",IF(Table5[[#This Row],[cmbList]]="","",Table5[[#This Row],[cmbList]]-Table5[[#This Row],[Ovr]]))</f>
        <v/>
      </c>
      <c r="AD1068" s="56" t="str">
        <f>IF(ISERROR(VLOOKUP($AB1068&amp;"-"&amp;$E1068&amp;" "&amp;F1068,Bonuses!$B$1:$G$1006,4,FALSE)),"",INT(VLOOKUP($AB1068&amp;"-"&amp;$E1068&amp;" "&amp;$F1068,Bonuses!$B$1:$G$1006,4,FALSE)))</f>
        <v/>
      </c>
      <c r="AE10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9" spans="1:31" s="52" customFormat="1" x14ac:dyDescent="0.25">
      <c r="A1069" s="52">
        <v>4681</v>
      </c>
      <c r="B1069" s="52">
        <f>COUNTIF(Table5[PID],A1069)</f>
        <v>1</v>
      </c>
      <c r="C1069" s="52" t="str">
        <f>IF(COUNTIF(Table3[[#All],[PID]],A1069)&gt;0,"P","B")</f>
        <v>P</v>
      </c>
      <c r="D1069" s="61" t="str">
        <f>IF($C1069="B",INDEX(Batters[[#All],[POS]],MATCH(Table5[[#This Row],[PID]],Batters[[#All],[PID]],0)),INDEX(Table3[[#All],[POS]],MATCH(Table5[[#This Row],[PID]],Table3[[#All],[PID]],0)))</f>
        <v>RP</v>
      </c>
      <c r="E1069" s="54" t="str">
        <f>IF($C1069="B",INDEX(Batters[[#All],[First]],MATCH(Table5[[#This Row],[PID]],Batters[[#All],[PID]],0)),INDEX(Table3[[#All],[First]],MATCH(Table5[[#This Row],[PID]],Table3[[#All],[PID]],0)))</f>
        <v>Caleb</v>
      </c>
      <c r="F1069" s="52" t="str">
        <f>IF($C1069="B",INDEX(Batters[[#All],[Last]],MATCH(A1069,Batters[[#All],[PID]],0)),INDEX(Table3[[#All],[Last]],MATCH(A1069,Table3[[#All],[PID]],0)))</f>
        <v>Wheeler</v>
      </c>
      <c r="G1069" s="58">
        <f>IF($C1069="B",INDEX(Batters[[#All],[Age]],MATCH(Table5[[#This Row],[PID]],Batters[[#All],[PID]],0)),INDEX(Table3[[#All],[Age]],MATCH(Table5[[#This Row],[PID]],Table3[[#All],[PID]],0)))</f>
        <v>22</v>
      </c>
      <c r="H1069" s="54" t="str">
        <f>IF($C1069="B",INDEX(Batters[[#All],[B]],MATCH(Table5[[#This Row],[PID]],Batters[[#All],[PID]],0)),INDEX(Table3[[#All],[B]],MATCH(Table5[[#This Row],[PID]],Table3[[#All],[PID]],0)))</f>
        <v>L</v>
      </c>
      <c r="I1069" s="54" t="str">
        <f>IF($C1069="B",INDEX(Batters[[#All],[T]],MATCH(Table5[[#This Row],[PID]],Batters[[#All],[PID]],0)),INDEX(Table3[[#All],[T]],MATCH(Table5[[#This Row],[PID]],Table3[[#All],[PID]],0)))</f>
        <v>L</v>
      </c>
      <c r="J1069" s="54" t="str">
        <f>IF($C1069="B",INDEX(Batters[[#All],[WE]],MATCH(Table5[[#This Row],[PID]],Batters[[#All],[PID]],0)),INDEX(Table3[[#All],[WE]],MATCH(Table5[[#This Row],[PID]],Table3[[#All],[PID]],0)))</f>
        <v>Low</v>
      </c>
      <c r="K1069" s="54" t="str">
        <f>IF($C1069="B",INDEX(Batters[[#All],[INT]],MATCH(Table5[[#This Row],[PID]],Batters[[#All],[PID]],0)),INDEX(Table3[[#All],[INT]],MATCH(Table5[[#This Row],[PID]],Table3[[#All],[PID]],0)))</f>
        <v>Normal</v>
      </c>
      <c r="L1069" s="62">
        <f>IF($C1069="B",INDEX(Batters[[#All],[CON P]],MATCH(Table5[[#This Row],[PID]],Batters[[#All],[PID]],0)),INDEX(Table3[[#All],[STU P]],MATCH(Table5[[#This Row],[PID]],Table3[[#All],[PID]],0)))</f>
        <v>4</v>
      </c>
      <c r="M1069" s="58">
        <f>IF($C1069="B",INDEX(Batters[[#All],[GAP P]],MATCH(Table5[[#This Row],[PID]],Batters[[#All],[PID]],0)),INDEX(Table3[[#All],[MOV P]],MATCH(Table5[[#This Row],[PID]],Table3[[#All],[PID]],0)))</f>
        <v>1</v>
      </c>
      <c r="N1069" s="58">
        <f>IF($C1069="B",INDEX(Batters[[#All],[POW P]],MATCH(Table5[[#This Row],[PID]],Batters[[#All],[PID]],0)),INDEX(Table3[[#All],[CON P]],MATCH(Table5[[#This Row],[PID]],Table3[[#All],[PID]],0)))</f>
        <v>2</v>
      </c>
      <c r="O1069" s="58" t="str">
        <f>IF($C1069="B",INDEX(Batters[[#All],[EYE P]],MATCH(Table5[[#This Row],[PID]],Batters[[#All],[PID]],0)),INDEX(Table3[[#All],[VELO]],MATCH(Table5[[#This Row],[PID]],Table3[[#All],[PID]],0)))</f>
        <v>88-90 Mph</v>
      </c>
      <c r="P1069" s="58">
        <f>IF($C1069="B",INDEX(Batters[[#All],[K P]],MATCH(Table5[[#This Row],[PID]],Batters[[#All],[PID]],0)),INDEX(Table3[[#All],[STM]],MATCH(Table5[[#This Row],[PID]],Table3[[#All],[PID]],0)))</f>
        <v>6</v>
      </c>
      <c r="Q1069" s="63">
        <f>IF($C1069="B",INDEX(Batters[[#All],[Tot]],MATCH(Table5[[#This Row],[PID]],Batters[[#All],[PID]],0)),INDEX(Table3[[#All],[Tot]],MATCH(Table5[[#This Row],[PID]],Table3[[#All],[PID]],0)))</f>
        <v>20.331326413102691</v>
      </c>
      <c r="R1069" s="54">
        <f>IF($C1069="B",INDEX(Batters[[#All],[zScore]],MATCH(Table5[[#This Row],[PID]],Batters[[#All],[PID]],0)),INDEX(Table3[[#All],[zScore]],MATCH(Table5[[#This Row],[PID]],Table3[[#All],[PID]],0)))</f>
        <v>-1.1363007311600279</v>
      </c>
      <c r="S1069" s="60" t="str">
        <f>IF($C1069="B",INDEX(Batters[[#All],[DEM]],MATCH(Table5[[#This Row],[PID]],Batters[[#All],[PID]],0)),INDEX(Table3[[#All],[DEM]],MATCH(Table5[[#This Row],[PID]],Table3[[#All],[PID]],0)))</f>
        <v>-</v>
      </c>
      <c r="T1069" s="64" t="e">
        <f>IF($C1069="B",VLOOKUP($A1069,Bat!$A$4:$AU$1417,46,FALSE),VLOOKUP($A1069,Pit!$A$4:$BD$570,55,FALSE))</f>
        <v>#N/A</v>
      </c>
      <c r="U1069" s="52" t="e">
        <f>IF($C1069="B",VLOOKUP($A1069,Bat!$A$4:$BA$1417,47,FALSE),VLOOKUP($A1069,Pit!$A$4:$BF$570,56,FALSE))</f>
        <v>#N/A</v>
      </c>
      <c r="V1069" s="52" t="e">
        <f>IF($C1069="B",VLOOKUP($A1069,Bat!$A$4:$BA$1417,48,FALSE),VLOOKUP($A1069,Pit!$A$4:$BF$570,57,FALSE))</f>
        <v>#N/A</v>
      </c>
      <c r="W1069" s="52" t="e">
        <f>Table5[[#This Row],[posRnk]]+Table5[[#This Row],[zRnk]]+IF($W$3&lt;&gt;Table5[[#This Row],[Type]],50,0)</f>
        <v>#N/A</v>
      </c>
      <c r="X1069" s="53">
        <f>RANK(Table5[[#This Row],[zScore]],Table5[[#All],[zScore]])</f>
        <v>1065</v>
      </c>
      <c r="Y1069" s="52" t="str">
        <f>IFERROR(INDEX(DraftResults[[#All],[OVR]],MATCH(Table5[[#This Row],[PID]],DraftResults[[#All],[Player ID]],0)),"")</f>
        <v/>
      </c>
      <c r="Z10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9" s="52" t="str">
        <f>IFERROR(INDEX(DraftResults[[#All],[Pick in Round]],MATCH(Table5[[#This Row],[PID]],DraftResults[[#All],[Player ID]],0)),"")</f>
        <v/>
      </c>
      <c r="AB1069" s="52" t="str">
        <f>IFERROR(INDEX(DraftResults[[#All],[Team Name]],MATCH(Table5[[#This Row],[PID]],DraftResults[[#All],[Player ID]],0)),"")</f>
        <v/>
      </c>
      <c r="AC1069" s="52" t="str">
        <f>IF(Table5[[#This Row],[Ovr]]="","",IF(Table5[[#This Row],[cmbList]]="","",Table5[[#This Row],[cmbList]]-Table5[[#This Row],[Ovr]]))</f>
        <v/>
      </c>
      <c r="AD1069" s="56" t="str">
        <f>IF(ISERROR(VLOOKUP($AB1069&amp;"-"&amp;$E1069&amp;" "&amp;F1069,Bonuses!$B$1:$G$1006,4,FALSE)),"",INT(VLOOKUP($AB1069&amp;"-"&amp;$E1069&amp;" "&amp;$F1069,Bonuses!$B$1:$G$1006,4,FALSE)))</f>
        <v/>
      </c>
      <c r="AE10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0" spans="1:31" s="52" customFormat="1" x14ac:dyDescent="0.25">
      <c r="A1070" s="52">
        <v>8609</v>
      </c>
      <c r="B1070" s="52">
        <f>COUNTIF(Table5[PID],A1070)</f>
        <v>1</v>
      </c>
      <c r="C1070" s="52" t="str">
        <f>IF(COUNTIF(Table3[[#All],[PID]],A1070)&gt;0,"P","B")</f>
        <v>P</v>
      </c>
      <c r="D1070" s="61" t="str">
        <f>IF($C1070="B",INDEX(Batters[[#All],[POS]],MATCH(Table5[[#This Row],[PID]],Batters[[#All],[PID]],0)),INDEX(Table3[[#All],[POS]],MATCH(Table5[[#This Row],[PID]],Table3[[#All],[PID]],0)))</f>
        <v>SP</v>
      </c>
      <c r="E1070" s="54" t="str">
        <f>IF($C1070="B",INDEX(Batters[[#All],[First]],MATCH(Table5[[#This Row],[PID]],Batters[[#All],[PID]],0)),INDEX(Table3[[#All],[First]],MATCH(Table5[[#This Row],[PID]],Table3[[#All],[PID]],0)))</f>
        <v>Manny</v>
      </c>
      <c r="F1070" s="52" t="str">
        <f>IF($C1070="B",INDEX(Batters[[#All],[Last]],MATCH(A1070,Batters[[#All],[PID]],0)),INDEX(Table3[[#All],[Last]],MATCH(A1070,Table3[[#All],[PID]],0)))</f>
        <v>Puntiel</v>
      </c>
      <c r="G1070" s="58">
        <f>IF($C1070="B",INDEX(Batters[[#All],[Age]],MATCH(Table5[[#This Row],[PID]],Batters[[#All],[PID]],0)),INDEX(Table3[[#All],[Age]],MATCH(Table5[[#This Row],[PID]],Table3[[#All],[PID]],0)))</f>
        <v>21</v>
      </c>
      <c r="H1070" s="54" t="str">
        <f>IF($C1070="B",INDEX(Batters[[#All],[B]],MATCH(Table5[[#This Row],[PID]],Batters[[#All],[PID]],0)),INDEX(Table3[[#All],[B]],MATCH(Table5[[#This Row],[PID]],Table3[[#All],[PID]],0)))</f>
        <v>R</v>
      </c>
      <c r="I1070" s="54" t="str">
        <f>IF($C1070="B",INDEX(Batters[[#All],[T]],MATCH(Table5[[#This Row],[PID]],Batters[[#All],[PID]],0)),INDEX(Table3[[#All],[T]],MATCH(Table5[[#This Row],[PID]],Table3[[#All],[PID]],0)))</f>
        <v>R</v>
      </c>
      <c r="J1070" s="54" t="str">
        <f>IF($C1070="B",INDEX(Batters[[#All],[WE]],MATCH(Table5[[#This Row],[PID]],Batters[[#All],[PID]],0)),INDEX(Table3[[#All],[WE]],MATCH(Table5[[#This Row],[PID]],Table3[[#All],[PID]],0)))</f>
        <v>Normal</v>
      </c>
      <c r="K1070" s="54" t="str">
        <f>IF($C1070="B",INDEX(Batters[[#All],[INT]],MATCH(Table5[[#This Row],[PID]],Batters[[#All],[PID]],0)),INDEX(Table3[[#All],[INT]],MATCH(Table5[[#This Row],[PID]],Table3[[#All],[PID]],0)))</f>
        <v>Normal</v>
      </c>
      <c r="L1070" s="62">
        <f>IF($C1070="B",INDEX(Batters[[#All],[CON P]],MATCH(Table5[[#This Row],[PID]],Batters[[#All],[PID]],0)),INDEX(Table3[[#All],[STU P]],MATCH(Table5[[#This Row],[PID]],Table3[[#All],[PID]],0)))</f>
        <v>4</v>
      </c>
      <c r="M1070" s="58">
        <f>IF($C1070="B",INDEX(Batters[[#All],[GAP P]],MATCH(Table5[[#This Row],[PID]],Batters[[#All],[PID]],0)),INDEX(Table3[[#All],[MOV P]],MATCH(Table5[[#This Row],[PID]],Table3[[#All],[PID]],0)))</f>
        <v>2</v>
      </c>
      <c r="N1070" s="58">
        <f>IF($C1070="B",INDEX(Batters[[#All],[POW P]],MATCH(Table5[[#This Row],[PID]],Batters[[#All],[PID]],0)),INDEX(Table3[[#All],[CON P]],MATCH(Table5[[#This Row],[PID]],Table3[[#All],[PID]],0)))</f>
        <v>1</v>
      </c>
      <c r="O1070" s="58" t="str">
        <f>IF($C1070="B",INDEX(Batters[[#All],[EYE P]],MATCH(Table5[[#This Row],[PID]],Batters[[#All],[PID]],0)),INDEX(Table3[[#All],[VELO]],MATCH(Table5[[#This Row],[PID]],Table3[[#All],[PID]],0)))</f>
        <v>90-92 Mph</v>
      </c>
      <c r="P1070" s="58">
        <f>IF($C1070="B",INDEX(Batters[[#All],[K P]],MATCH(Table5[[#This Row],[PID]],Batters[[#All],[PID]],0)),INDEX(Table3[[#All],[STM]],MATCH(Table5[[#This Row],[PID]],Table3[[#All],[PID]],0)))</f>
        <v>4</v>
      </c>
      <c r="Q1070" s="63">
        <f>IF($C1070="B",INDEX(Batters[[#All],[Tot]],MATCH(Table5[[#This Row],[PID]],Batters[[#All],[PID]],0)),INDEX(Table3[[#All],[Tot]],MATCH(Table5[[#This Row],[PID]],Table3[[#All],[PID]],0)))</f>
        <v>20.307649224378554</v>
      </c>
      <c r="R1070" s="54">
        <f>IF($C1070="B",INDEX(Batters[[#All],[zScore]],MATCH(Table5[[#This Row],[PID]],Batters[[#All],[PID]],0)),INDEX(Table3[[#All],[zScore]],MATCH(Table5[[#This Row],[PID]],Table3[[#All],[PID]],0)))</f>
        <v>-1.1384720305644629</v>
      </c>
      <c r="S1070" s="60" t="str">
        <f>IF($C1070="B",INDEX(Batters[[#All],[DEM]],MATCH(Table5[[#This Row],[PID]],Batters[[#All],[PID]],0)),INDEX(Table3[[#All],[DEM]],MATCH(Table5[[#This Row],[PID]],Table3[[#All],[PID]],0)))</f>
        <v>-</v>
      </c>
      <c r="T1070" s="64">
        <f>IF($C1070="B",VLOOKUP($A1070,Bat!$A$4:$AU$1417,46,FALSE),VLOOKUP($A1070,Pit!$A$4:$BD$570,55,FALSE))</f>
        <v>0</v>
      </c>
      <c r="U1070" s="52">
        <f>IF($C1070="B",VLOOKUP($A1070,Bat!$A$4:$BA$1417,47,FALSE),VLOOKUP($A1070,Pit!$A$4:$BF$570,56,FALSE))</f>
        <v>0</v>
      </c>
      <c r="V1070" s="52">
        <f>IF($C1070="B",VLOOKUP($A1070,Bat!$A$4:$BA$1417,48,FALSE),VLOOKUP($A1070,Pit!$A$4:$BF$570,57,FALSE))</f>
        <v>0</v>
      </c>
      <c r="W1070" s="52">
        <f>Table5[[#This Row],[posRnk]]+Table5[[#This Row],[zRnk]]+IF($W$3&lt;&gt;Table5[[#This Row],[Type]],50,0)</f>
        <v>1116</v>
      </c>
      <c r="X1070" s="53">
        <f>RANK(Table5[[#This Row],[zScore]],Table5[[#All],[zScore]])</f>
        <v>1066</v>
      </c>
      <c r="Y1070" s="52" t="str">
        <f>IFERROR(INDEX(DraftResults[[#All],[OVR]],MATCH(Table5[[#This Row],[PID]],DraftResults[[#All],[Player ID]],0)),"")</f>
        <v/>
      </c>
      <c r="Z10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0" s="52" t="str">
        <f>IFERROR(INDEX(DraftResults[[#All],[Pick in Round]],MATCH(Table5[[#This Row],[PID]],DraftResults[[#All],[Player ID]],0)),"")</f>
        <v/>
      </c>
      <c r="AB1070" s="52" t="str">
        <f>IFERROR(INDEX(DraftResults[[#All],[Team Name]],MATCH(Table5[[#This Row],[PID]],DraftResults[[#All],[Player ID]],0)),"")</f>
        <v/>
      </c>
      <c r="AC1070" s="52" t="str">
        <f>IF(Table5[[#This Row],[Ovr]]="","",IF(Table5[[#This Row],[cmbList]]="","",Table5[[#This Row],[cmbList]]-Table5[[#This Row],[Ovr]]))</f>
        <v/>
      </c>
      <c r="AD1070" s="56" t="str">
        <f>IF(ISERROR(VLOOKUP($AB1070&amp;"-"&amp;$E1070&amp;" "&amp;F1070,Bonuses!$B$1:$G$1006,4,FALSE)),"",INT(VLOOKUP($AB1070&amp;"-"&amp;$E1070&amp;" "&amp;$F1070,Bonuses!$B$1:$G$1006,4,FALSE)))</f>
        <v/>
      </c>
      <c r="AE10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1" spans="1:31" s="52" customFormat="1" x14ac:dyDescent="0.25">
      <c r="A1071" s="52">
        <v>11363</v>
      </c>
      <c r="B1071" s="52">
        <f>COUNTIF(Table5[PID],A1071)</f>
        <v>1</v>
      </c>
      <c r="C1071" s="52" t="str">
        <f>IF(COUNTIF(Table3[[#All],[PID]],A1071)&gt;0,"P","B")</f>
        <v>B</v>
      </c>
      <c r="D1071" s="61" t="str">
        <f>IF($C1071="B",INDEX(Batters[[#All],[POS]],MATCH(Table5[[#This Row],[PID]],Batters[[#All],[PID]],0)),INDEX(Table3[[#All],[POS]],MATCH(Table5[[#This Row],[PID]],Table3[[#All],[PID]],0)))</f>
        <v>2B</v>
      </c>
      <c r="E1071" s="54" t="str">
        <f>IF($C1071="B",INDEX(Batters[[#All],[First]],MATCH(Table5[[#This Row],[PID]],Batters[[#All],[PID]],0)),INDEX(Table3[[#All],[First]],MATCH(Table5[[#This Row],[PID]],Table3[[#All],[PID]],0)))</f>
        <v>Orlando</v>
      </c>
      <c r="F1071" s="52" t="str">
        <f>IF($C1071="B",INDEX(Batters[[#All],[Last]],MATCH(A1071,Batters[[#All],[PID]],0)),INDEX(Table3[[#All],[Last]],MATCH(A1071,Table3[[#All],[PID]],0)))</f>
        <v>Rodríguez</v>
      </c>
      <c r="G1071" s="58">
        <f>IF($C1071="B",INDEX(Batters[[#All],[Age]],MATCH(Table5[[#This Row],[PID]],Batters[[#All],[PID]],0)),INDEX(Table3[[#All],[Age]],MATCH(Table5[[#This Row],[PID]],Table3[[#All],[PID]],0)))</f>
        <v>21</v>
      </c>
      <c r="H1071" s="54" t="str">
        <f>IF($C1071="B",INDEX(Batters[[#All],[B]],MATCH(Table5[[#This Row],[PID]],Batters[[#All],[PID]],0)),INDEX(Table3[[#All],[B]],MATCH(Table5[[#This Row],[PID]],Table3[[#All],[PID]],0)))</f>
        <v>R</v>
      </c>
      <c r="I1071" s="54" t="str">
        <f>IF($C1071="B",INDEX(Batters[[#All],[T]],MATCH(Table5[[#This Row],[PID]],Batters[[#All],[PID]],0)),INDEX(Table3[[#All],[T]],MATCH(Table5[[#This Row],[PID]],Table3[[#All],[PID]],0)))</f>
        <v>R</v>
      </c>
      <c r="J1071" s="54" t="str">
        <f>IF($C1071="B",INDEX(Batters[[#All],[WE]],MATCH(Table5[[#This Row],[PID]],Batters[[#All],[PID]],0)),INDEX(Table3[[#All],[WE]],MATCH(Table5[[#This Row],[PID]],Table3[[#All],[PID]],0)))</f>
        <v>Low</v>
      </c>
      <c r="K1071" s="54" t="str">
        <f>IF($C1071="B",INDEX(Batters[[#All],[INT]],MATCH(Table5[[#This Row],[PID]],Batters[[#All],[PID]],0)),INDEX(Table3[[#All],[INT]],MATCH(Table5[[#This Row],[PID]],Table3[[#All],[PID]],0)))</f>
        <v>Low</v>
      </c>
      <c r="L1071" s="62">
        <f>IF($C1071="B",INDEX(Batters[[#All],[CON P]],MATCH(Table5[[#This Row],[PID]],Batters[[#All],[PID]],0)),INDEX(Table3[[#All],[STU P]],MATCH(Table5[[#This Row],[PID]],Table3[[#All],[PID]],0)))</f>
        <v>3</v>
      </c>
      <c r="M1071" s="58">
        <f>IF($C1071="B",INDEX(Batters[[#All],[GAP P]],MATCH(Table5[[#This Row],[PID]],Batters[[#All],[PID]],0)),INDEX(Table3[[#All],[MOV P]],MATCH(Table5[[#This Row],[PID]],Table3[[#All],[PID]],0)))</f>
        <v>3</v>
      </c>
      <c r="N1071" s="58">
        <f>IF($C1071="B",INDEX(Batters[[#All],[POW P]],MATCH(Table5[[#This Row],[PID]],Batters[[#All],[PID]],0)),INDEX(Table3[[#All],[CON P]],MATCH(Table5[[#This Row],[PID]],Table3[[#All],[PID]],0)))</f>
        <v>2</v>
      </c>
      <c r="O1071" s="58">
        <f>IF($C1071="B",INDEX(Batters[[#All],[EYE P]],MATCH(Table5[[#This Row],[PID]],Batters[[#All],[PID]],0)),INDEX(Table3[[#All],[VELO]],MATCH(Table5[[#This Row],[PID]],Table3[[#All],[PID]],0)))</f>
        <v>4</v>
      </c>
      <c r="P1071" s="58">
        <f>IF($C1071="B",INDEX(Batters[[#All],[K P]],MATCH(Table5[[#This Row],[PID]],Batters[[#All],[PID]],0)),INDEX(Table3[[#All],[STM]],MATCH(Table5[[#This Row],[PID]],Table3[[#All],[PID]],0)))</f>
        <v>4</v>
      </c>
      <c r="Q1071" s="63">
        <f>IF($C1071="B",INDEX(Batters[[#All],[Tot]],MATCH(Table5[[#This Row],[PID]],Batters[[#All],[PID]],0)),INDEX(Table3[[#All],[Tot]],MATCH(Table5[[#This Row],[PID]],Table3[[#All],[PID]],0)))</f>
        <v>33.871732918813393</v>
      </c>
      <c r="R1071" s="54">
        <f>IF($C1071="B",INDEX(Batters[[#All],[zScore]],MATCH(Table5[[#This Row],[PID]],Batters[[#All],[PID]],0)),INDEX(Table3[[#All],[zScore]],MATCH(Table5[[#This Row],[PID]],Table3[[#All],[PID]],0)))</f>
        <v>-1.139499670724083</v>
      </c>
      <c r="S1071" s="60" t="str">
        <f>IF($C1071="B",INDEX(Batters[[#All],[DEM]],MATCH(Table5[[#This Row],[PID]],Batters[[#All],[PID]],0)),INDEX(Table3[[#All],[DEM]],MATCH(Table5[[#This Row],[PID]],Table3[[#All],[PID]],0)))</f>
        <v>-</v>
      </c>
      <c r="T1071" s="64">
        <f>IF($C1071="B",VLOOKUP($A1071,Bat!$A$4:$AU$1417,46,FALSE),VLOOKUP($A1071,Pit!$A$4:$BD$570,55,FALSE))</f>
        <v>0</v>
      </c>
      <c r="U1071" s="52">
        <f>IF($C1071="B",VLOOKUP($A1071,Bat!$A$4:$BA$1417,47,FALSE),VLOOKUP($A1071,Pit!$A$4:$BF$570,56,FALSE))</f>
        <v>0</v>
      </c>
      <c r="V1071" s="52">
        <f>IF($C1071="B",VLOOKUP($A1071,Bat!$A$4:$BA$1417,48,FALSE),VLOOKUP($A1071,Pit!$A$4:$BF$570,57,FALSE))</f>
        <v>0</v>
      </c>
      <c r="W1071" s="52">
        <f>Table5[[#This Row],[posRnk]]+Table5[[#This Row],[zRnk]]+IF($W$3&lt;&gt;Table5[[#This Row],[Type]],50,0)</f>
        <v>1117</v>
      </c>
      <c r="X1071" s="53">
        <f>RANK(Table5[[#This Row],[zScore]],Table5[[#All],[zScore]])</f>
        <v>1067</v>
      </c>
      <c r="Y1071" s="52" t="str">
        <f>IFERROR(INDEX(DraftResults[[#All],[OVR]],MATCH(Table5[[#This Row],[PID]],DraftResults[[#All],[Player ID]],0)),"")</f>
        <v/>
      </c>
      <c r="Z10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1" s="52" t="str">
        <f>IFERROR(INDEX(DraftResults[[#All],[Pick in Round]],MATCH(Table5[[#This Row],[PID]],DraftResults[[#All],[Player ID]],0)),"")</f>
        <v/>
      </c>
      <c r="AB1071" s="52" t="str">
        <f>IFERROR(INDEX(DraftResults[[#All],[Team Name]],MATCH(Table5[[#This Row],[PID]],DraftResults[[#All],[Player ID]],0)),"")</f>
        <v/>
      </c>
      <c r="AC1071" s="52" t="str">
        <f>IF(Table5[[#This Row],[Ovr]]="","",IF(Table5[[#This Row],[cmbList]]="","",Table5[[#This Row],[cmbList]]-Table5[[#This Row],[Ovr]]))</f>
        <v/>
      </c>
      <c r="AD1071" s="56" t="str">
        <f>IF(ISERROR(VLOOKUP($AB1071&amp;"-"&amp;$E1071&amp;" "&amp;F1071,Bonuses!$B$1:$G$1006,4,FALSE)),"",INT(VLOOKUP($AB1071&amp;"-"&amp;$E1071&amp;" "&amp;$F1071,Bonuses!$B$1:$G$1006,4,FALSE)))</f>
        <v/>
      </c>
      <c r="AE10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2" spans="1:31" s="52" customFormat="1" x14ac:dyDescent="0.25">
      <c r="A1072" s="52">
        <v>8915</v>
      </c>
      <c r="B1072" s="52">
        <f>COUNTIF(Table5[PID],A1072)</f>
        <v>1</v>
      </c>
      <c r="C1072" s="52" t="str">
        <f>IF(COUNTIF(Table3[[#All],[PID]],A1072)&gt;0,"P","B")</f>
        <v>P</v>
      </c>
      <c r="D1072" s="61" t="str">
        <f>IF($C1072="B",INDEX(Batters[[#All],[POS]],MATCH(Table5[[#This Row],[PID]],Batters[[#All],[PID]],0)),INDEX(Table3[[#All],[POS]],MATCH(Table5[[#This Row],[PID]],Table3[[#All],[PID]],0)))</f>
        <v>SP</v>
      </c>
      <c r="E1072" s="54" t="str">
        <f>IF($C1072="B",INDEX(Batters[[#All],[First]],MATCH(Table5[[#This Row],[PID]],Batters[[#All],[PID]],0)),INDEX(Table3[[#All],[First]],MATCH(Table5[[#This Row],[PID]],Table3[[#All],[PID]],0)))</f>
        <v>Jorge</v>
      </c>
      <c r="F1072" s="52" t="str">
        <f>IF($C1072="B",INDEX(Batters[[#All],[Last]],MATCH(A1072,Batters[[#All],[PID]],0)),INDEX(Table3[[#All],[Last]],MATCH(A1072,Table3[[#All],[PID]],0)))</f>
        <v>Moody</v>
      </c>
      <c r="G1072" s="58">
        <f>IF($C1072="B",INDEX(Batters[[#All],[Age]],MATCH(Table5[[#This Row],[PID]],Batters[[#All],[PID]],0)),INDEX(Table3[[#All],[Age]],MATCH(Table5[[#This Row],[PID]],Table3[[#All],[PID]],0)))</f>
        <v>22</v>
      </c>
      <c r="H1072" s="54" t="str">
        <f>IF($C1072="B",INDEX(Batters[[#All],[B]],MATCH(Table5[[#This Row],[PID]],Batters[[#All],[PID]],0)),INDEX(Table3[[#All],[B]],MATCH(Table5[[#This Row],[PID]],Table3[[#All],[PID]],0)))</f>
        <v>R</v>
      </c>
      <c r="I1072" s="54" t="str">
        <f>IF($C1072="B",INDEX(Batters[[#All],[T]],MATCH(Table5[[#This Row],[PID]],Batters[[#All],[PID]],0)),INDEX(Table3[[#All],[T]],MATCH(Table5[[#This Row],[PID]],Table3[[#All],[PID]],0)))</f>
        <v>R</v>
      </c>
      <c r="J1072" s="54" t="str">
        <f>IF($C1072="B",INDEX(Batters[[#All],[WE]],MATCH(Table5[[#This Row],[PID]],Batters[[#All],[PID]],0)),INDEX(Table3[[#All],[WE]],MATCH(Table5[[#This Row],[PID]],Table3[[#All],[PID]],0)))</f>
        <v>Normal</v>
      </c>
      <c r="K1072" s="54" t="str">
        <f>IF($C1072="B",INDEX(Batters[[#All],[INT]],MATCH(Table5[[#This Row],[PID]],Batters[[#All],[PID]],0)),INDEX(Table3[[#All],[INT]],MATCH(Table5[[#This Row],[PID]],Table3[[#All],[PID]],0)))</f>
        <v>Low</v>
      </c>
      <c r="L1072" s="62">
        <f>IF($C1072="B",INDEX(Batters[[#All],[CON P]],MATCH(Table5[[#This Row],[PID]],Batters[[#All],[PID]],0)),INDEX(Table3[[#All],[STU P]],MATCH(Table5[[#This Row],[PID]],Table3[[#All],[PID]],0)))</f>
        <v>4</v>
      </c>
      <c r="M1072" s="58">
        <f>IF($C1072="B",INDEX(Batters[[#All],[GAP P]],MATCH(Table5[[#This Row],[PID]],Batters[[#All],[PID]],0)),INDEX(Table3[[#All],[MOV P]],MATCH(Table5[[#This Row],[PID]],Table3[[#All],[PID]],0)))</f>
        <v>1</v>
      </c>
      <c r="N1072" s="58">
        <f>IF($C1072="B",INDEX(Batters[[#All],[POW P]],MATCH(Table5[[#This Row],[PID]],Batters[[#All],[PID]],0)),INDEX(Table3[[#All],[CON P]],MATCH(Table5[[#This Row],[PID]],Table3[[#All],[PID]],0)))</f>
        <v>2</v>
      </c>
      <c r="O1072" s="58" t="str">
        <f>IF($C1072="B",INDEX(Batters[[#All],[EYE P]],MATCH(Table5[[#This Row],[PID]],Batters[[#All],[PID]],0)),INDEX(Table3[[#All],[VELO]],MATCH(Table5[[#This Row],[PID]],Table3[[#All],[PID]],0)))</f>
        <v>94-96 Mph</v>
      </c>
      <c r="P1072" s="58">
        <f>IF($C1072="B",INDEX(Batters[[#All],[K P]],MATCH(Table5[[#This Row],[PID]],Batters[[#All],[PID]],0)),INDEX(Table3[[#All],[STM]],MATCH(Table5[[#This Row],[PID]],Table3[[#All],[PID]],0)))</f>
        <v>6</v>
      </c>
      <c r="Q1072" s="63">
        <f>IF($C1072="B",INDEX(Batters[[#All],[Tot]],MATCH(Table5[[#This Row],[PID]],Batters[[#All],[PID]],0)),INDEX(Table3[[#All],[Tot]],MATCH(Table5[[#This Row],[PID]],Table3[[#All],[PID]],0)))</f>
        <v>20.210711001916533</v>
      </c>
      <c r="R1072" s="54">
        <f>IF($C1072="B",INDEX(Batters[[#All],[zScore]],MATCH(Table5[[#This Row],[PID]],Batters[[#All],[PID]],0)),INDEX(Table3[[#All],[zScore]],MATCH(Table5[[#This Row],[PID]],Table3[[#All],[PID]],0)))</f>
        <v>-1.1473616798869009</v>
      </c>
      <c r="S1072" s="60" t="str">
        <f>IF($C1072="B",INDEX(Batters[[#All],[DEM]],MATCH(Table5[[#This Row],[PID]],Batters[[#All],[PID]],0)),INDEX(Table3[[#All],[DEM]],MATCH(Table5[[#This Row],[PID]],Table3[[#All],[PID]],0)))</f>
        <v>-</v>
      </c>
      <c r="T1072" s="64" t="e">
        <f>IF($C1072="B",VLOOKUP($A1072,Bat!$A$4:$AU$1417,46,FALSE),VLOOKUP($A1072,Pit!$A$4:$BD$570,55,FALSE))</f>
        <v>#N/A</v>
      </c>
      <c r="U1072" s="52" t="e">
        <f>IF($C1072="B",VLOOKUP($A1072,Bat!$A$4:$BA$1417,47,FALSE),VLOOKUP($A1072,Pit!$A$4:$BF$570,56,FALSE))</f>
        <v>#N/A</v>
      </c>
      <c r="V1072" s="52" t="e">
        <f>IF($C1072="B",VLOOKUP($A1072,Bat!$A$4:$BA$1417,48,FALSE),VLOOKUP($A1072,Pit!$A$4:$BF$570,57,FALSE))</f>
        <v>#N/A</v>
      </c>
      <c r="W1072" s="52" t="e">
        <f>Table5[[#This Row],[posRnk]]+Table5[[#This Row],[zRnk]]+IF($W$3&lt;&gt;Table5[[#This Row],[Type]],50,0)</f>
        <v>#N/A</v>
      </c>
      <c r="X1072" s="53">
        <f>RANK(Table5[[#This Row],[zScore]],Table5[[#All],[zScore]])</f>
        <v>1068</v>
      </c>
      <c r="Y1072" s="52" t="str">
        <f>IFERROR(INDEX(DraftResults[[#All],[OVR]],MATCH(Table5[[#This Row],[PID]],DraftResults[[#All],[Player ID]],0)),"")</f>
        <v/>
      </c>
      <c r="Z10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2" s="52" t="str">
        <f>IFERROR(INDEX(DraftResults[[#All],[Pick in Round]],MATCH(Table5[[#This Row],[PID]],DraftResults[[#All],[Player ID]],0)),"")</f>
        <v/>
      </c>
      <c r="AB1072" s="52" t="str">
        <f>IFERROR(INDEX(DraftResults[[#All],[Team Name]],MATCH(Table5[[#This Row],[PID]],DraftResults[[#All],[Player ID]],0)),"")</f>
        <v/>
      </c>
      <c r="AC1072" s="52" t="str">
        <f>IF(Table5[[#This Row],[Ovr]]="","",IF(Table5[[#This Row],[cmbList]]="","",Table5[[#This Row],[cmbList]]-Table5[[#This Row],[Ovr]]))</f>
        <v/>
      </c>
      <c r="AD1072" s="56" t="str">
        <f>IF(ISERROR(VLOOKUP($AB1072&amp;"-"&amp;$E1072&amp;" "&amp;F1072,Bonuses!$B$1:$G$1006,4,FALSE)),"",INT(VLOOKUP($AB1072&amp;"-"&amp;$E1072&amp;" "&amp;$F1072,Bonuses!$B$1:$G$1006,4,FALSE)))</f>
        <v/>
      </c>
      <c r="AE10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3" spans="1:31" s="52" customFormat="1" x14ac:dyDescent="0.25">
      <c r="A1073" s="52">
        <v>12688</v>
      </c>
      <c r="B1073" s="52">
        <f>COUNTIF(Table5[PID],A1073)</f>
        <v>1</v>
      </c>
      <c r="C1073" s="52" t="str">
        <f>IF(COUNTIF(Table3[[#All],[PID]],A1073)&gt;0,"P","B")</f>
        <v>P</v>
      </c>
      <c r="D1073" s="61" t="str">
        <f>IF($C1073="B",INDEX(Batters[[#All],[POS]],MATCH(Table5[[#This Row],[PID]],Batters[[#All],[PID]],0)),INDEX(Table3[[#All],[POS]],MATCH(Table5[[#This Row],[PID]],Table3[[#All],[PID]],0)))</f>
        <v>RP</v>
      </c>
      <c r="E1073" s="54" t="str">
        <f>IF($C1073="B",INDEX(Batters[[#All],[First]],MATCH(Table5[[#This Row],[PID]],Batters[[#All],[PID]],0)),INDEX(Table3[[#All],[First]],MATCH(Table5[[#This Row],[PID]],Table3[[#All],[PID]],0)))</f>
        <v>Tanyu</v>
      </c>
      <c r="F1073" s="52" t="str">
        <f>IF($C1073="B",INDEX(Batters[[#All],[Last]],MATCH(A1073,Batters[[#All],[PID]],0)),INDEX(Table3[[#All],[Last]],MATCH(A1073,Table3[[#All],[PID]],0)))</f>
        <v>Nakai</v>
      </c>
      <c r="G1073" s="58">
        <f>IF($C1073="B",INDEX(Batters[[#All],[Age]],MATCH(Table5[[#This Row],[PID]],Batters[[#All],[PID]],0)),INDEX(Table3[[#All],[Age]],MATCH(Table5[[#This Row],[PID]],Table3[[#All],[PID]],0)))</f>
        <v>21</v>
      </c>
      <c r="H1073" s="54" t="str">
        <f>IF($C1073="B",INDEX(Batters[[#All],[B]],MATCH(Table5[[#This Row],[PID]],Batters[[#All],[PID]],0)),INDEX(Table3[[#All],[B]],MATCH(Table5[[#This Row],[PID]],Table3[[#All],[PID]],0)))</f>
        <v>R</v>
      </c>
      <c r="I1073" s="54" t="str">
        <f>IF($C1073="B",INDEX(Batters[[#All],[T]],MATCH(Table5[[#This Row],[PID]],Batters[[#All],[PID]],0)),INDEX(Table3[[#All],[T]],MATCH(Table5[[#This Row],[PID]],Table3[[#All],[PID]],0)))</f>
        <v>R</v>
      </c>
      <c r="J1073" s="54" t="str">
        <f>IF($C1073="B",INDEX(Batters[[#All],[WE]],MATCH(Table5[[#This Row],[PID]],Batters[[#All],[PID]],0)),INDEX(Table3[[#All],[WE]],MATCH(Table5[[#This Row],[PID]],Table3[[#All],[PID]],0)))</f>
        <v>High</v>
      </c>
      <c r="K1073" s="54" t="str">
        <f>IF($C1073="B",INDEX(Batters[[#All],[INT]],MATCH(Table5[[#This Row],[PID]],Batters[[#All],[PID]],0)),INDEX(Table3[[#All],[INT]],MATCH(Table5[[#This Row],[PID]],Table3[[#All],[PID]],0)))</f>
        <v>Normal</v>
      </c>
      <c r="L1073" s="62">
        <f>IF($C1073="B",INDEX(Batters[[#All],[CON P]],MATCH(Table5[[#This Row],[PID]],Batters[[#All],[PID]],0)),INDEX(Table3[[#All],[STU P]],MATCH(Table5[[#This Row],[PID]],Table3[[#All],[PID]],0)))</f>
        <v>4</v>
      </c>
      <c r="M1073" s="58">
        <f>IF($C1073="B",INDEX(Batters[[#All],[GAP P]],MATCH(Table5[[#This Row],[PID]],Batters[[#All],[PID]],0)),INDEX(Table3[[#All],[MOV P]],MATCH(Table5[[#This Row],[PID]],Table3[[#All],[PID]],0)))</f>
        <v>1</v>
      </c>
      <c r="N1073" s="58">
        <f>IF($C1073="B",INDEX(Batters[[#All],[POW P]],MATCH(Table5[[#This Row],[PID]],Batters[[#All],[PID]],0)),INDEX(Table3[[#All],[CON P]],MATCH(Table5[[#This Row],[PID]],Table3[[#All],[PID]],0)))</f>
        <v>2</v>
      </c>
      <c r="O1073" s="58" t="str">
        <f>IF($C1073="B",INDEX(Batters[[#All],[EYE P]],MATCH(Table5[[#This Row],[PID]],Batters[[#All],[PID]],0)),INDEX(Table3[[#All],[VELO]],MATCH(Table5[[#This Row],[PID]],Table3[[#All],[PID]],0)))</f>
        <v>90-92 Mph</v>
      </c>
      <c r="P1073" s="58">
        <f>IF($C1073="B",INDEX(Batters[[#All],[K P]],MATCH(Table5[[#This Row],[PID]],Batters[[#All],[PID]],0)),INDEX(Table3[[#All],[STM]],MATCH(Table5[[#This Row],[PID]],Table3[[#All],[PID]],0)))</f>
        <v>10</v>
      </c>
      <c r="Q1073" s="63">
        <f>IF($C1073="B",INDEX(Batters[[#All],[Tot]],MATCH(Table5[[#This Row],[PID]],Batters[[#All],[PID]],0)),INDEX(Table3[[#All],[Tot]],MATCH(Table5[[#This Row],[PID]],Table3[[#All],[PID]],0)))</f>
        <v>20.2067424643304</v>
      </c>
      <c r="R1073" s="54">
        <f>IF($C1073="B",INDEX(Batters[[#All],[zScore]],MATCH(Table5[[#This Row],[PID]],Batters[[#All],[PID]],0)),INDEX(Table3[[#All],[zScore]],MATCH(Table5[[#This Row],[PID]],Table3[[#All],[PID]],0)))</f>
        <v>-1.1477256117454353</v>
      </c>
      <c r="S1073" s="60" t="str">
        <f>IF($C1073="B",INDEX(Batters[[#All],[DEM]],MATCH(Table5[[#This Row],[PID]],Batters[[#All],[PID]],0)),INDEX(Table3[[#All],[DEM]],MATCH(Table5[[#This Row],[PID]],Table3[[#All],[PID]],0)))</f>
        <v>-</v>
      </c>
      <c r="T1073" s="64">
        <f>IF($C1073="B",VLOOKUP($A1073,Bat!$A$4:$AU$1417,46,FALSE),VLOOKUP($A1073,Pit!$A$4:$BD$570,55,FALSE))</f>
        <v>0</v>
      </c>
      <c r="U1073" s="52">
        <f>IF($C1073="B",VLOOKUP($A1073,Bat!$A$4:$BA$1417,47,FALSE),VLOOKUP($A1073,Pit!$A$4:$BF$570,56,FALSE))</f>
        <v>0</v>
      </c>
      <c r="V1073" s="52">
        <f>IF($C1073="B",VLOOKUP($A1073,Bat!$A$4:$BA$1417,48,FALSE),VLOOKUP($A1073,Pit!$A$4:$BF$570,57,FALSE))</f>
        <v>0</v>
      </c>
      <c r="W1073" s="52">
        <f>Table5[[#This Row],[posRnk]]+Table5[[#This Row],[zRnk]]+IF($W$3&lt;&gt;Table5[[#This Row],[Type]],50,0)</f>
        <v>1119</v>
      </c>
      <c r="X1073" s="53">
        <f>RANK(Table5[[#This Row],[zScore]],Table5[[#All],[zScore]])</f>
        <v>1069</v>
      </c>
      <c r="Y1073" s="52" t="str">
        <f>IFERROR(INDEX(DraftResults[[#All],[OVR]],MATCH(Table5[[#This Row],[PID]],DraftResults[[#All],[Player ID]],0)),"")</f>
        <v/>
      </c>
      <c r="Z10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3" s="52" t="str">
        <f>IFERROR(INDEX(DraftResults[[#All],[Pick in Round]],MATCH(Table5[[#This Row],[PID]],DraftResults[[#All],[Player ID]],0)),"")</f>
        <v/>
      </c>
      <c r="AB1073" s="52" t="str">
        <f>IFERROR(INDEX(DraftResults[[#All],[Team Name]],MATCH(Table5[[#This Row],[PID]],DraftResults[[#All],[Player ID]],0)),"")</f>
        <v/>
      </c>
      <c r="AC1073" s="52" t="str">
        <f>IF(Table5[[#This Row],[Ovr]]="","",IF(Table5[[#This Row],[cmbList]]="","",Table5[[#This Row],[cmbList]]-Table5[[#This Row],[Ovr]]))</f>
        <v/>
      </c>
      <c r="AD1073" s="56" t="str">
        <f>IF(ISERROR(VLOOKUP($AB1073&amp;"-"&amp;$E1073&amp;" "&amp;F1073,Bonuses!$B$1:$G$1006,4,FALSE)),"",INT(VLOOKUP($AB1073&amp;"-"&amp;$E1073&amp;" "&amp;$F1073,Bonuses!$B$1:$G$1006,4,FALSE)))</f>
        <v/>
      </c>
      <c r="AE10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4" spans="1:31" s="52" customFormat="1" x14ac:dyDescent="0.25">
      <c r="A1074" s="52">
        <v>6062</v>
      </c>
      <c r="B1074" s="52">
        <f>COUNTIF(Table5[PID],A1074)</f>
        <v>1</v>
      </c>
      <c r="C1074" s="52" t="str">
        <f>IF(COUNTIF(Table3[[#All],[PID]],A1074)&gt;0,"P","B")</f>
        <v>P</v>
      </c>
      <c r="D1074" s="61" t="str">
        <f>IF($C1074="B",INDEX(Batters[[#All],[POS]],MATCH(Table5[[#This Row],[PID]],Batters[[#All],[PID]],0)),INDEX(Table3[[#All],[POS]],MATCH(Table5[[#This Row],[PID]],Table3[[#All],[PID]],0)))</f>
        <v>RP</v>
      </c>
      <c r="E1074" s="54" t="str">
        <f>IF($C1074="B",INDEX(Batters[[#All],[First]],MATCH(Table5[[#This Row],[PID]],Batters[[#All],[PID]],0)),INDEX(Table3[[#All],[First]],MATCH(Table5[[#This Row],[PID]],Table3[[#All],[PID]],0)))</f>
        <v>Eugene</v>
      </c>
      <c r="F1074" s="52" t="str">
        <f>IF($C1074="B",INDEX(Batters[[#All],[Last]],MATCH(A1074,Batters[[#All],[PID]],0)),INDEX(Table3[[#All],[Last]],MATCH(A1074,Table3[[#All],[PID]],0)))</f>
        <v>Matthews</v>
      </c>
      <c r="G1074" s="58">
        <f>IF($C1074="B",INDEX(Batters[[#All],[Age]],MATCH(Table5[[#This Row],[PID]],Batters[[#All],[PID]],0)),INDEX(Table3[[#All],[Age]],MATCH(Table5[[#This Row],[PID]],Table3[[#All],[PID]],0)))</f>
        <v>21</v>
      </c>
      <c r="H1074" s="54" t="str">
        <f>IF($C1074="B",INDEX(Batters[[#All],[B]],MATCH(Table5[[#This Row],[PID]],Batters[[#All],[PID]],0)),INDEX(Table3[[#All],[B]],MATCH(Table5[[#This Row],[PID]],Table3[[#All],[PID]],0)))</f>
        <v>L</v>
      </c>
      <c r="I1074" s="54" t="str">
        <f>IF($C1074="B",INDEX(Batters[[#All],[T]],MATCH(Table5[[#This Row],[PID]],Batters[[#All],[PID]],0)),INDEX(Table3[[#All],[T]],MATCH(Table5[[#This Row],[PID]],Table3[[#All],[PID]],0)))</f>
        <v>L</v>
      </c>
      <c r="J1074" s="54" t="str">
        <f>IF($C1074="B",INDEX(Batters[[#All],[WE]],MATCH(Table5[[#This Row],[PID]],Batters[[#All],[PID]],0)),INDEX(Table3[[#All],[WE]],MATCH(Table5[[#This Row],[PID]],Table3[[#All],[PID]],0)))</f>
        <v>Normal</v>
      </c>
      <c r="K1074" s="54" t="str">
        <f>IF($C1074="B",INDEX(Batters[[#All],[INT]],MATCH(Table5[[#This Row],[PID]],Batters[[#All],[PID]],0)),INDEX(Table3[[#All],[INT]],MATCH(Table5[[#This Row],[PID]],Table3[[#All],[PID]],0)))</f>
        <v>High</v>
      </c>
      <c r="L1074" s="62">
        <f>IF($C1074="B",INDEX(Batters[[#All],[CON P]],MATCH(Table5[[#This Row],[PID]],Batters[[#All],[PID]],0)),INDEX(Table3[[#All],[STU P]],MATCH(Table5[[#This Row],[PID]],Table3[[#All],[PID]],0)))</f>
        <v>3</v>
      </c>
      <c r="M1074" s="58">
        <f>IF($C1074="B",INDEX(Batters[[#All],[GAP P]],MATCH(Table5[[#This Row],[PID]],Batters[[#All],[PID]],0)),INDEX(Table3[[#All],[MOV P]],MATCH(Table5[[#This Row],[PID]],Table3[[#All],[PID]],0)))</f>
        <v>1</v>
      </c>
      <c r="N1074" s="58">
        <f>IF($C1074="B",INDEX(Batters[[#All],[POW P]],MATCH(Table5[[#This Row],[PID]],Batters[[#All],[PID]],0)),INDEX(Table3[[#All],[CON P]],MATCH(Table5[[#This Row],[PID]],Table3[[#All],[PID]],0)))</f>
        <v>2</v>
      </c>
      <c r="O1074" s="58" t="str">
        <f>IF($C1074="B",INDEX(Batters[[#All],[EYE P]],MATCH(Table5[[#This Row],[PID]],Batters[[#All],[PID]],0)),INDEX(Table3[[#All],[VELO]],MATCH(Table5[[#This Row],[PID]],Table3[[#All],[PID]],0)))</f>
        <v>86-88 Mph</v>
      </c>
      <c r="P1074" s="58">
        <f>IF($C1074="B",INDEX(Batters[[#All],[K P]],MATCH(Table5[[#This Row],[PID]],Batters[[#All],[PID]],0)),INDEX(Table3[[#All],[STM]],MATCH(Table5[[#This Row],[PID]],Table3[[#All],[PID]],0)))</f>
        <v>2</v>
      </c>
      <c r="Q1074" s="63">
        <f>IF($C1074="B",INDEX(Batters[[#All],[Tot]],MATCH(Table5[[#This Row],[PID]],Batters[[#All],[PID]],0)),INDEX(Table3[[#All],[Tot]],MATCH(Table5[[#This Row],[PID]],Table3[[#All],[PID]],0)))</f>
        <v>17.299014882593706</v>
      </c>
      <c r="R1074" s="54">
        <f>IF($C1074="B",INDEX(Batters[[#All],[zScore]],MATCH(Table5[[#This Row],[PID]],Batters[[#All],[PID]],0)),INDEX(Table3[[#All],[zScore]],MATCH(Table5[[#This Row],[PID]],Table3[[#All],[PID]],0)))</f>
        <v>-1.1477876597086696</v>
      </c>
      <c r="S1074" s="60" t="str">
        <f>IF($C1074="B",INDEX(Batters[[#All],[DEM]],MATCH(Table5[[#This Row],[PID]],Batters[[#All],[PID]],0)),INDEX(Table3[[#All],[DEM]],MATCH(Table5[[#This Row],[PID]],Table3[[#All],[PID]],0)))</f>
        <v>$20k</v>
      </c>
      <c r="T1074" s="64" t="e">
        <f>IF($C1074="B",VLOOKUP($A1074,Bat!$A$4:$AU$1417,46,FALSE),VLOOKUP($A1074,Pit!$A$4:$BD$570,55,FALSE))</f>
        <v>#N/A</v>
      </c>
      <c r="U1074" s="52" t="e">
        <f>IF($C1074="B",VLOOKUP($A1074,Bat!$A$4:$BA$1417,47,FALSE),VLOOKUP($A1074,Pit!$A$4:$BF$570,56,FALSE))</f>
        <v>#N/A</v>
      </c>
      <c r="V1074" s="52" t="e">
        <f>IF($C1074="B",VLOOKUP($A1074,Bat!$A$4:$BA$1417,48,FALSE),VLOOKUP($A1074,Pit!$A$4:$BF$570,57,FALSE))</f>
        <v>#N/A</v>
      </c>
      <c r="W1074" s="52" t="e">
        <f>Table5[[#This Row],[posRnk]]+Table5[[#This Row],[zRnk]]+IF($W$3&lt;&gt;Table5[[#This Row],[Type]],50,0)</f>
        <v>#N/A</v>
      </c>
      <c r="X1074" s="53">
        <f>RANK(Table5[[#This Row],[zScore]],Table5[[#All],[zScore]])</f>
        <v>1070</v>
      </c>
      <c r="Y1074" s="52" t="str">
        <f>IFERROR(INDEX(DraftResults[[#All],[OVR]],MATCH(Table5[[#This Row],[PID]],DraftResults[[#All],[Player ID]],0)),"")</f>
        <v/>
      </c>
      <c r="Z10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4" s="52" t="str">
        <f>IFERROR(INDEX(DraftResults[[#All],[Pick in Round]],MATCH(Table5[[#This Row],[PID]],DraftResults[[#All],[Player ID]],0)),"")</f>
        <v/>
      </c>
      <c r="AB1074" s="52" t="str">
        <f>IFERROR(INDEX(DraftResults[[#All],[Team Name]],MATCH(Table5[[#This Row],[PID]],DraftResults[[#All],[Player ID]],0)),"")</f>
        <v/>
      </c>
      <c r="AC1074" s="52" t="str">
        <f>IF(Table5[[#This Row],[Ovr]]="","",IF(Table5[[#This Row],[cmbList]]="","",Table5[[#This Row],[cmbList]]-Table5[[#This Row],[Ovr]]))</f>
        <v/>
      </c>
      <c r="AD1074" s="56" t="str">
        <f>IF(ISERROR(VLOOKUP($AB1074&amp;"-"&amp;$E1074&amp;" "&amp;F1074,Bonuses!$B$1:$G$1006,4,FALSE)),"",INT(VLOOKUP($AB1074&amp;"-"&amp;$E1074&amp;" "&amp;$F1074,Bonuses!$B$1:$G$1006,4,FALSE)))</f>
        <v/>
      </c>
      <c r="AE10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5" spans="1:31" s="52" customFormat="1" x14ac:dyDescent="0.25">
      <c r="A1075" s="52">
        <v>6404</v>
      </c>
      <c r="B1075" s="52">
        <f>COUNTIF(Table5[PID],A1075)</f>
        <v>1</v>
      </c>
      <c r="C1075" s="52" t="str">
        <f>IF(COUNTIF(Table3[[#All],[PID]],A1075)&gt;0,"P","B")</f>
        <v>B</v>
      </c>
      <c r="D1075" s="61" t="str">
        <f>IF($C1075="B",INDEX(Batters[[#All],[POS]],MATCH(Table5[[#This Row],[PID]],Batters[[#All],[PID]],0)),INDEX(Table3[[#All],[POS]],MATCH(Table5[[#This Row],[PID]],Table3[[#All],[PID]],0)))</f>
        <v>1B</v>
      </c>
      <c r="E1075" s="54" t="str">
        <f>IF($C1075="B",INDEX(Batters[[#All],[First]],MATCH(Table5[[#This Row],[PID]],Batters[[#All],[PID]],0)),INDEX(Table3[[#All],[First]],MATCH(Table5[[#This Row],[PID]],Table3[[#All],[PID]],0)))</f>
        <v>Kawanari</v>
      </c>
      <c r="F1075" s="52" t="str">
        <f>IF($C1075="B",INDEX(Batters[[#All],[Last]],MATCH(A1075,Batters[[#All],[PID]],0)),INDEX(Table3[[#All],[Last]],MATCH(A1075,Table3[[#All],[PID]],0)))</f>
        <v>Iitsuka</v>
      </c>
      <c r="G1075" s="58">
        <f>IF($C1075="B",INDEX(Batters[[#All],[Age]],MATCH(Table5[[#This Row],[PID]],Batters[[#All],[PID]],0)),INDEX(Table3[[#All],[Age]],MATCH(Table5[[#This Row],[PID]],Table3[[#All],[PID]],0)))</f>
        <v>22</v>
      </c>
      <c r="H1075" s="54" t="str">
        <f>IF($C1075="B",INDEX(Batters[[#All],[B]],MATCH(Table5[[#This Row],[PID]],Batters[[#All],[PID]],0)),INDEX(Table3[[#All],[B]],MATCH(Table5[[#This Row],[PID]],Table3[[#All],[PID]],0)))</f>
        <v>R</v>
      </c>
      <c r="I1075" s="54" t="str">
        <f>IF($C1075="B",INDEX(Batters[[#All],[T]],MATCH(Table5[[#This Row],[PID]],Batters[[#All],[PID]],0)),INDEX(Table3[[#All],[T]],MATCH(Table5[[#This Row],[PID]],Table3[[#All],[PID]],0)))</f>
        <v>R</v>
      </c>
      <c r="J1075" s="54" t="str">
        <f>IF($C1075="B",INDEX(Batters[[#All],[WE]],MATCH(Table5[[#This Row],[PID]],Batters[[#All],[PID]],0)),INDEX(Table3[[#All],[WE]],MATCH(Table5[[#This Row],[PID]],Table3[[#All],[PID]],0)))</f>
        <v>Low</v>
      </c>
      <c r="K1075" s="54" t="str">
        <f>IF($C1075="B",INDEX(Batters[[#All],[INT]],MATCH(Table5[[#This Row],[PID]],Batters[[#All],[PID]],0)),INDEX(Table3[[#All],[INT]],MATCH(Table5[[#This Row],[PID]],Table3[[#All],[PID]],0)))</f>
        <v>High</v>
      </c>
      <c r="L1075" s="62">
        <f>IF($C1075="B",INDEX(Batters[[#All],[CON P]],MATCH(Table5[[#This Row],[PID]],Batters[[#All],[PID]],0)),INDEX(Table3[[#All],[STU P]],MATCH(Table5[[#This Row],[PID]],Table3[[#All],[PID]],0)))</f>
        <v>2</v>
      </c>
      <c r="M1075" s="58">
        <f>IF($C1075="B",INDEX(Batters[[#All],[GAP P]],MATCH(Table5[[#This Row],[PID]],Batters[[#All],[PID]],0)),INDEX(Table3[[#All],[MOV P]],MATCH(Table5[[#This Row],[PID]],Table3[[#All],[PID]],0)))</f>
        <v>3</v>
      </c>
      <c r="N1075" s="58">
        <f>IF($C1075="B",INDEX(Batters[[#All],[POW P]],MATCH(Table5[[#This Row],[PID]],Batters[[#All],[PID]],0)),INDEX(Table3[[#All],[CON P]],MATCH(Table5[[#This Row],[PID]],Table3[[#All],[PID]],0)))</f>
        <v>4</v>
      </c>
      <c r="O1075" s="58">
        <f>IF($C1075="B",INDEX(Batters[[#All],[EYE P]],MATCH(Table5[[#This Row],[PID]],Batters[[#All],[PID]],0)),INDEX(Table3[[#All],[VELO]],MATCH(Table5[[#This Row],[PID]],Table3[[#All],[PID]],0)))</f>
        <v>6</v>
      </c>
      <c r="P1075" s="58">
        <f>IF($C1075="B",INDEX(Batters[[#All],[K P]],MATCH(Table5[[#This Row],[PID]],Batters[[#All],[PID]],0)),INDEX(Table3[[#All],[STM]],MATCH(Table5[[#This Row],[PID]],Table3[[#All],[PID]],0)))</f>
        <v>2</v>
      </c>
      <c r="Q1075" s="63">
        <f>IF($C1075="B",INDEX(Batters[[#All],[Tot]],MATCH(Table5[[#This Row],[PID]],Batters[[#All],[PID]],0)),INDEX(Table3[[#All],[Tot]],MATCH(Table5[[#This Row],[PID]],Table3[[#All],[PID]],0)))</f>
        <v>33.822834348361724</v>
      </c>
      <c r="R1075" s="54">
        <f>IF($C1075="B",INDEX(Batters[[#All],[zScore]],MATCH(Table5[[#This Row],[PID]],Batters[[#All],[PID]],0)),INDEX(Table3[[#All],[zScore]],MATCH(Table5[[#This Row],[PID]],Table3[[#All],[PID]],0)))</f>
        <v>-1.1481030492003201</v>
      </c>
      <c r="S1075" s="60" t="str">
        <f>IF($C1075="B",INDEX(Batters[[#All],[DEM]],MATCH(Table5[[#This Row],[PID]],Batters[[#All],[PID]],0)),INDEX(Table3[[#All],[DEM]],MATCH(Table5[[#This Row],[PID]],Table3[[#All],[PID]],0)))</f>
        <v>-</v>
      </c>
      <c r="T1075" s="64">
        <f>IF($C1075="B",VLOOKUP($A1075,Bat!$A$4:$AU$1417,46,FALSE),VLOOKUP($A1075,Pit!$A$4:$BD$570,55,FALSE))</f>
        <v>0</v>
      </c>
      <c r="U1075" s="52">
        <f>IF($C1075="B",VLOOKUP($A1075,Bat!$A$4:$BA$1417,47,FALSE),VLOOKUP($A1075,Pit!$A$4:$BF$570,56,FALSE))</f>
        <v>0</v>
      </c>
      <c r="V1075" s="52">
        <f>IF($C1075="B",VLOOKUP($A1075,Bat!$A$4:$BA$1417,48,FALSE),VLOOKUP($A1075,Pit!$A$4:$BF$570,57,FALSE))</f>
        <v>0</v>
      </c>
      <c r="W1075" s="52">
        <f>Table5[[#This Row],[posRnk]]+Table5[[#This Row],[zRnk]]+IF($W$3&lt;&gt;Table5[[#This Row],[Type]],50,0)</f>
        <v>1121</v>
      </c>
      <c r="X1075" s="53">
        <f>RANK(Table5[[#This Row],[zScore]],Table5[[#All],[zScore]])</f>
        <v>1071</v>
      </c>
      <c r="Y1075" s="52" t="str">
        <f>IFERROR(INDEX(DraftResults[[#All],[OVR]],MATCH(Table5[[#This Row],[PID]],DraftResults[[#All],[Player ID]],0)),"")</f>
        <v/>
      </c>
      <c r="Z10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5" s="52" t="str">
        <f>IFERROR(INDEX(DraftResults[[#All],[Pick in Round]],MATCH(Table5[[#This Row],[PID]],DraftResults[[#All],[Player ID]],0)),"")</f>
        <v/>
      </c>
      <c r="AB1075" s="52" t="str">
        <f>IFERROR(INDEX(DraftResults[[#All],[Team Name]],MATCH(Table5[[#This Row],[PID]],DraftResults[[#All],[Player ID]],0)),"")</f>
        <v/>
      </c>
      <c r="AC1075" s="52" t="str">
        <f>IF(Table5[[#This Row],[Ovr]]="","",IF(Table5[[#This Row],[cmbList]]="","",Table5[[#This Row],[cmbList]]-Table5[[#This Row],[Ovr]]))</f>
        <v/>
      </c>
      <c r="AD1075" s="56" t="str">
        <f>IF(ISERROR(VLOOKUP($AB1075&amp;"-"&amp;$E1075&amp;" "&amp;F1075,Bonuses!$B$1:$G$1006,4,FALSE)),"",INT(VLOOKUP($AB1075&amp;"-"&amp;$E1075&amp;" "&amp;$F1075,Bonuses!$B$1:$G$1006,4,FALSE)))</f>
        <v/>
      </c>
      <c r="AE10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6" spans="1:31" s="52" customFormat="1" x14ac:dyDescent="0.25">
      <c r="A1076" s="52">
        <v>13201</v>
      </c>
      <c r="B1076" s="52">
        <f>COUNTIF(Table5[PID],A1076)</f>
        <v>1</v>
      </c>
      <c r="C1076" s="52" t="str">
        <f>IF(COUNTIF(Table3[[#All],[PID]],A1076)&gt;0,"P","B")</f>
        <v>P</v>
      </c>
      <c r="D1076" s="61" t="str">
        <f>IF($C1076="B",INDEX(Batters[[#All],[POS]],MATCH(Table5[[#This Row],[PID]],Batters[[#All],[PID]],0)),INDEX(Table3[[#All],[POS]],MATCH(Table5[[#This Row],[PID]],Table3[[#All],[PID]],0)))</f>
        <v>RP</v>
      </c>
      <c r="E1076" s="54" t="str">
        <f>IF($C1076="B",INDEX(Batters[[#All],[First]],MATCH(Table5[[#This Row],[PID]],Batters[[#All],[PID]],0)),INDEX(Table3[[#All],[First]],MATCH(Table5[[#This Row],[PID]],Table3[[#All],[PID]],0)))</f>
        <v>Tetsu</v>
      </c>
      <c r="F1076" s="52" t="str">
        <f>IF($C1076="B",INDEX(Batters[[#All],[Last]],MATCH(A1076,Batters[[#All],[PID]],0)),INDEX(Table3[[#All],[Last]],MATCH(A1076,Table3[[#All],[PID]],0)))</f>
        <v>Kikuchi</v>
      </c>
      <c r="G1076" s="58">
        <f>IF($C1076="B",INDEX(Batters[[#All],[Age]],MATCH(Table5[[#This Row],[PID]],Batters[[#All],[PID]],0)),INDEX(Table3[[#All],[Age]],MATCH(Table5[[#This Row],[PID]],Table3[[#All],[PID]],0)))</f>
        <v>22</v>
      </c>
      <c r="H1076" s="54" t="str">
        <f>IF($C1076="B",INDEX(Batters[[#All],[B]],MATCH(Table5[[#This Row],[PID]],Batters[[#All],[PID]],0)),INDEX(Table3[[#All],[B]],MATCH(Table5[[#This Row],[PID]],Table3[[#All],[PID]],0)))</f>
        <v>R</v>
      </c>
      <c r="I1076" s="54" t="str">
        <f>IF($C1076="B",INDEX(Batters[[#All],[T]],MATCH(Table5[[#This Row],[PID]],Batters[[#All],[PID]],0)),INDEX(Table3[[#All],[T]],MATCH(Table5[[#This Row],[PID]],Table3[[#All],[PID]],0)))</f>
        <v>R</v>
      </c>
      <c r="J1076" s="54" t="str">
        <f>IF($C1076="B",INDEX(Batters[[#All],[WE]],MATCH(Table5[[#This Row],[PID]],Batters[[#All],[PID]],0)),INDEX(Table3[[#All],[WE]],MATCH(Table5[[#This Row],[PID]],Table3[[#All],[PID]],0)))</f>
        <v>High</v>
      </c>
      <c r="K1076" s="54" t="str">
        <f>IF($C1076="B",INDEX(Batters[[#All],[INT]],MATCH(Table5[[#This Row],[PID]],Batters[[#All],[PID]],0)),INDEX(Table3[[#All],[INT]],MATCH(Table5[[#This Row],[PID]],Table3[[#All],[PID]],0)))</f>
        <v>High</v>
      </c>
      <c r="L1076" s="62">
        <f>IF($C1076="B",INDEX(Batters[[#All],[CON P]],MATCH(Table5[[#This Row],[PID]],Batters[[#All],[PID]],0)),INDEX(Table3[[#All],[STU P]],MATCH(Table5[[#This Row],[PID]],Table3[[#All],[PID]],0)))</f>
        <v>4</v>
      </c>
      <c r="M1076" s="58">
        <f>IF($C1076="B",INDEX(Batters[[#All],[GAP P]],MATCH(Table5[[#This Row],[PID]],Batters[[#All],[PID]],0)),INDEX(Table3[[#All],[MOV P]],MATCH(Table5[[#This Row],[PID]],Table3[[#All],[PID]],0)))</f>
        <v>2</v>
      </c>
      <c r="N1076" s="58">
        <f>IF($C1076="B",INDEX(Batters[[#All],[POW P]],MATCH(Table5[[#This Row],[PID]],Batters[[#All],[PID]],0)),INDEX(Table3[[#All],[CON P]],MATCH(Table5[[#This Row],[PID]],Table3[[#All],[PID]],0)))</f>
        <v>1</v>
      </c>
      <c r="O1076" s="58" t="str">
        <f>IF($C1076="B",INDEX(Batters[[#All],[EYE P]],MATCH(Table5[[#This Row],[PID]],Batters[[#All],[PID]],0)),INDEX(Table3[[#All],[VELO]],MATCH(Table5[[#This Row],[PID]],Table3[[#All],[PID]],0)))</f>
        <v>90-92 Mph</v>
      </c>
      <c r="P1076" s="58">
        <f>IF($C1076="B",INDEX(Batters[[#All],[K P]],MATCH(Table5[[#This Row],[PID]],Batters[[#All],[PID]],0)),INDEX(Table3[[#All],[STM]],MATCH(Table5[[#This Row],[PID]],Table3[[#All],[PID]],0)))</f>
        <v>6</v>
      </c>
      <c r="Q1076" s="63">
        <f>IF($C1076="B",INDEX(Batters[[#All],[Tot]],MATCH(Table5[[#This Row],[PID]],Batters[[#All],[PID]],0)),INDEX(Table3[[#All],[Tot]],MATCH(Table5[[#This Row],[PID]],Table3[[#All],[PID]],0)))</f>
        <v>20.195815328036225</v>
      </c>
      <c r="R1076" s="54">
        <f>IF($C1076="B",INDEX(Batters[[#All],[zScore]],MATCH(Table5[[#This Row],[PID]],Batters[[#All],[PID]],0)),INDEX(Table3[[#All],[zScore]],MATCH(Table5[[#This Row],[PID]],Table3[[#All],[PID]],0)))</f>
        <v>-1.1487276768471733</v>
      </c>
      <c r="S1076" s="60" t="str">
        <f>IF($C1076="B",INDEX(Batters[[#All],[DEM]],MATCH(Table5[[#This Row],[PID]],Batters[[#All],[PID]],0)),INDEX(Table3[[#All],[DEM]],MATCH(Table5[[#This Row],[PID]],Table3[[#All],[PID]],0)))</f>
        <v>-</v>
      </c>
      <c r="T1076" s="64">
        <f>IF($C1076="B",VLOOKUP($A1076,Bat!$A$4:$AU$1417,46,FALSE),VLOOKUP($A1076,Pit!$A$4:$BD$570,55,FALSE))</f>
        <v>0</v>
      </c>
      <c r="U1076" s="52">
        <f>IF($C1076="B",VLOOKUP($A1076,Bat!$A$4:$BA$1417,47,FALSE),VLOOKUP($A1076,Pit!$A$4:$BF$570,56,FALSE))</f>
        <v>0</v>
      </c>
      <c r="V1076" s="52">
        <f>IF($C1076="B",VLOOKUP($A1076,Bat!$A$4:$BA$1417,48,FALSE),VLOOKUP($A1076,Pit!$A$4:$BF$570,57,FALSE))</f>
        <v>0</v>
      </c>
      <c r="W1076" s="52">
        <f>Table5[[#This Row],[posRnk]]+Table5[[#This Row],[zRnk]]+IF($W$3&lt;&gt;Table5[[#This Row],[Type]],50,0)</f>
        <v>1122</v>
      </c>
      <c r="X1076" s="53">
        <f>RANK(Table5[[#This Row],[zScore]],Table5[[#All],[zScore]])</f>
        <v>1072</v>
      </c>
      <c r="Y1076" s="52" t="str">
        <f>IFERROR(INDEX(DraftResults[[#All],[OVR]],MATCH(Table5[[#This Row],[PID]],DraftResults[[#All],[Player ID]],0)),"")</f>
        <v/>
      </c>
      <c r="Z10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6" s="52" t="str">
        <f>IFERROR(INDEX(DraftResults[[#All],[Pick in Round]],MATCH(Table5[[#This Row],[PID]],DraftResults[[#All],[Player ID]],0)),"")</f>
        <v/>
      </c>
      <c r="AB1076" s="52" t="str">
        <f>IFERROR(INDEX(DraftResults[[#All],[Team Name]],MATCH(Table5[[#This Row],[PID]],DraftResults[[#All],[Player ID]],0)),"")</f>
        <v/>
      </c>
      <c r="AC1076" s="52" t="str">
        <f>IF(Table5[[#This Row],[Ovr]]="","",IF(Table5[[#This Row],[cmbList]]="","",Table5[[#This Row],[cmbList]]-Table5[[#This Row],[Ovr]]))</f>
        <v/>
      </c>
      <c r="AD1076" s="56" t="str">
        <f>IF(ISERROR(VLOOKUP($AB1076&amp;"-"&amp;$E1076&amp;" "&amp;F1076,Bonuses!$B$1:$G$1006,4,FALSE)),"",INT(VLOOKUP($AB1076&amp;"-"&amp;$E1076&amp;" "&amp;$F1076,Bonuses!$B$1:$G$1006,4,FALSE)))</f>
        <v/>
      </c>
      <c r="AE10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7" spans="1:31" s="52" customFormat="1" x14ac:dyDescent="0.25">
      <c r="A1077" s="52">
        <v>2734</v>
      </c>
      <c r="B1077" s="52">
        <f>COUNTIF(Table5[PID],A1077)</f>
        <v>1</v>
      </c>
      <c r="C1077" s="52" t="str">
        <f>IF(COUNTIF(Table3[[#All],[PID]],A1077)&gt;0,"P","B")</f>
        <v>P</v>
      </c>
      <c r="D1077" s="61" t="str">
        <f>IF($C1077="B",INDEX(Batters[[#All],[POS]],MATCH(Table5[[#This Row],[PID]],Batters[[#All],[PID]],0)),INDEX(Table3[[#All],[POS]],MATCH(Table5[[#This Row],[PID]],Table3[[#All],[PID]],0)))</f>
        <v>RP</v>
      </c>
      <c r="E1077" s="54" t="str">
        <f>IF($C1077="B",INDEX(Batters[[#All],[First]],MATCH(Table5[[#This Row],[PID]],Batters[[#All],[PID]],0)),INDEX(Table3[[#All],[First]],MATCH(Table5[[#This Row],[PID]],Table3[[#All],[PID]],0)))</f>
        <v>Sean</v>
      </c>
      <c r="F1077" s="52" t="str">
        <f>IF($C1077="B",INDEX(Batters[[#All],[Last]],MATCH(A1077,Batters[[#All],[PID]],0)),INDEX(Table3[[#All],[Last]],MATCH(A1077,Table3[[#All],[PID]],0)))</f>
        <v>van de Vlugt</v>
      </c>
      <c r="G1077" s="58">
        <f>IF($C1077="B",INDEX(Batters[[#All],[Age]],MATCH(Table5[[#This Row],[PID]],Batters[[#All],[PID]],0)),INDEX(Table3[[#All],[Age]],MATCH(Table5[[#This Row],[PID]],Table3[[#All],[PID]],0)))</f>
        <v>21</v>
      </c>
      <c r="H1077" s="54" t="str">
        <f>IF($C1077="B",INDEX(Batters[[#All],[B]],MATCH(Table5[[#This Row],[PID]],Batters[[#All],[PID]],0)),INDEX(Table3[[#All],[B]],MATCH(Table5[[#This Row],[PID]],Table3[[#All],[PID]],0)))</f>
        <v>R</v>
      </c>
      <c r="I1077" s="54" t="str">
        <f>IF($C1077="B",INDEX(Batters[[#All],[T]],MATCH(Table5[[#This Row],[PID]],Batters[[#All],[PID]],0)),INDEX(Table3[[#All],[T]],MATCH(Table5[[#This Row],[PID]],Table3[[#All],[PID]],0)))</f>
        <v>R</v>
      </c>
      <c r="J1077" s="54" t="str">
        <f>IF($C1077="B",INDEX(Batters[[#All],[WE]],MATCH(Table5[[#This Row],[PID]],Batters[[#All],[PID]],0)),INDEX(Table3[[#All],[WE]],MATCH(Table5[[#This Row],[PID]],Table3[[#All],[PID]],0)))</f>
        <v>Normal</v>
      </c>
      <c r="K1077" s="54" t="str">
        <f>IF($C1077="B",INDEX(Batters[[#All],[INT]],MATCH(Table5[[#This Row],[PID]],Batters[[#All],[PID]],0)),INDEX(Table3[[#All],[INT]],MATCH(Table5[[#This Row],[PID]],Table3[[#All],[PID]],0)))</f>
        <v>Normal</v>
      </c>
      <c r="L1077" s="62">
        <f>IF($C1077="B",INDEX(Batters[[#All],[CON P]],MATCH(Table5[[#This Row],[PID]],Batters[[#All],[PID]],0)),INDEX(Table3[[#All],[STU P]],MATCH(Table5[[#This Row],[PID]],Table3[[#All],[PID]],0)))</f>
        <v>4</v>
      </c>
      <c r="M1077" s="58">
        <f>IF($C1077="B",INDEX(Batters[[#All],[GAP P]],MATCH(Table5[[#This Row],[PID]],Batters[[#All],[PID]],0)),INDEX(Table3[[#All],[MOV P]],MATCH(Table5[[#This Row],[PID]],Table3[[#All],[PID]],0)))</f>
        <v>1</v>
      </c>
      <c r="N1077" s="58">
        <f>IF($C1077="B",INDEX(Batters[[#All],[POW P]],MATCH(Table5[[#This Row],[PID]],Batters[[#All],[PID]],0)),INDEX(Table3[[#All],[CON P]],MATCH(Table5[[#This Row],[PID]],Table3[[#All],[PID]],0)))</f>
        <v>2</v>
      </c>
      <c r="O1077" s="58" t="str">
        <f>IF($C1077="B",INDEX(Batters[[#All],[EYE P]],MATCH(Table5[[#This Row],[PID]],Batters[[#All],[PID]],0)),INDEX(Table3[[#All],[VELO]],MATCH(Table5[[#This Row],[PID]],Table3[[#All],[PID]],0)))</f>
        <v>91-93 Mph</v>
      </c>
      <c r="P1077" s="58">
        <f>IF($C1077="B",INDEX(Batters[[#All],[K P]],MATCH(Table5[[#This Row],[PID]],Batters[[#All],[PID]],0)),INDEX(Table3[[#All],[STM]],MATCH(Table5[[#This Row],[PID]],Table3[[#All],[PID]],0)))</f>
        <v>6</v>
      </c>
      <c r="Q1077" s="63">
        <f>IF($C1077="B",INDEX(Batters[[#All],[Tot]],MATCH(Table5[[#This Row],[PID]],Batters[[#All],[PID]],0)),INDEX(Table3[[#All],[Tot]],MATCH(Table5[[#This Row],[PID]],Table3[[#All],[PID]],0)))</f>
        <v>20.181791221381982</v>
      </c>
      <c r="R1077" s="52">
        <f>IF($C1077="B",INDEX(Batters[[#All],[zScore]],MATCH(Table5[[#This Row],[PID]],Batters[[#All],[PID]],0)),INDEX(Table3[[#All],[zScore]],MATCH(Table5[[#This Row],[PID]],Table3[[#All],[PID]],0)))</f>
        <v>-1.150013747367659</v>
      </c>
      <c r="S1077" s="60" t="str">
        <f>IF($C1077="B",INDEX(Batters[[#All],[DEM]],MATCH(Table5[[#This Row],[PID]],Batters[[#All],[PID]],0)),INDEX(Table3[[#All],[DEM]],MATCH(Table5[[#This Row],[PID]],Table3[[#All],[PID]],0)))</f>
        <v>-</v>
      </c>
      <c r="T1077" s="64" t="e">
        <f>IF($C1077="B",VLOOKUP($A1077,Bat!$A$4:$AU$1417,46,FALSE),VLOOKUP($A1077,Pit!$A$4:$BD$570,55,FALSE))</f>
        <v>#N/A</v>
      </c>
      <c r="U1077" s="52" t="e">
        <f>IF($C1077="B",VLOOKUP($A1077,Bat!$A$4:$BA$1417,47,FALSE),VLOOKUP($A1077,Pit!$A$4:$BF$570,56,FALSE))</f>
        <v>#N/A</v>
      </c>
      <c r="V1077" s="52" t="e">
        <f>IF($C1077="B",VLOOKUP($A1077,Bat!$A$4:$BA$1417,48,FALSE),VLOOKUP($A1077,Pit!$A$4:$BF$570,57,FALSE))</f>
        <v>#N/A</v>
      </c>
      <c r="W1077" s="52" t="e">
        <f>Table5[[#This Row],[posRnk]]+Table5[[#This Row],[zRnk]]+IF($W$3&lt;&gt;Table5[[#This Row],[Type]],50,0)</f>
        <v>#N/A</v>
      </c>
      <c r="X1077" s="53">
        <f>RANK(Table5[[#This Row],[zScore]],Table5[[#All],[zScore]])</f>
        <v>1073</v>
      </c>
      <c r="Y1077" s="52" t="str">
        <f>IFERROR(INDEX(DraftResults[[#All],[OVR]],MATCH(Table5[[#This Row],[PID]],DraftResults[[#All],[Player ID]],0)),"")</f>
        <v/>
      </c>
      <c r="Z10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7" s="52" t="str">
        <f>IFERROR(INDEX(DraftResults[[#All],[Pick in Round]],MATCH(Table5[[#This Row],[PID]],DraftResults[[#All],[Player ID]],0)),"")</f>
        <v/>
      </c>
      <c r="AB1077" s="52" t="str">
        <f>IFERROR(INDEX(DraftResults[[#All],[Team Name]],MATCH(Table5[[#This Row],[PID]],DraftResults[[#All],[Player ID]],0)),"")</f>
        <v/>
      </c>
      <c r="AC1077" s="52" t="str">
        <f>IF(Table5[[#This Row],[Ovr]]="","",IF(Table5[[#This Row],[cmbList]]="","",Table5[[#This Row],[cmbList]]-Table5[[#This Row],[Ovr]]))</f>
        <v/>
      </c>
      <c r="AD1077" s="56" t="str">
        <f>IF(ISERROR(VLOOKUP($AB1077&amp;"-"&amp;$E1077&amp;" "&amp;F1077,Bonuses!$B$1:$G$1006,4,FALSE)),"",INT(VLOOKUP($AB1077&amp;"-"&amp;$E1077&amp;" "&amp;$F1077,Bonuses!$B$1:$G$1006,4,FALSE)))</f>
        <v/>
      </c>
      <c r="AE10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8" spans="1:31" s="52" customFormat="1" x14ac:dyDescent="0.25">
      <c r="A1078" s="52">
        <v>17615</v>
      </c>
      <c r="B1078" s="52">
        <f>COUNTIF(Table5[PID],A1078)</f>
        <v>1</v>
      </c>
      <c r="C1078" s="52" t="str">
        <f>IF(COUNTIF(Table3[[#All],[PID]],A1078)&gt;0,"P","B")</f>
        <v>P</v>
      </c>
      <c r="D1078" s="61" t="str">
        <f>IF($C1078="B",INDEX(Batters[[#All],[POS]],MATCH(Table5[[#This Row],[PID]],Batters[[#All],[PID]],0)),INDEX(Table3[[#All],[POS]],MATCH(Table5[[#This Row],[PID]],Table3[[#All],[PID]],0)))</f>
        <v>RP</v>
      </c>
      <c r="E1078" s="54" t="str">
        <f>IF($C1078="B",INDEX(Batters[[#All],[First]],MATCH(Table5[[#This Row],[PID]],Batters[[#All],[PID]],0)),INDEX(Table3[[#All],[First]],MATCH(Table5[[#This Row],[PID]],Table3[[#All],[PID]],0)))</f>
        <v>Dave</v>
      </c>
      <c r="F1078" s="52" t="str">
        <f>IF($C1078="B",INDEX(Batters[[#All],[Last]],MATCH(A1078,Batters[[#All],[PID]],0)),INDEX(Table3[[#All],[Last]],MATCH(A1078,Table3[[#All],[PID]],0)))</f>
        <v>Reed</v>
      </c>
      <c r="G1078" s="58">
        <f>IF($C1078="B",INDEX(Batters[[#All],[Age]],MATCH(Table5[[#This Row],[PID]],Batters[[#All],[PID]],0)),INDEX(Table3[[#All],[Age]],MATCH(Table5[[#This Row],[PID]],Table3[[#All],[PID]],0)))</f>
        <v>18</v>
      </c>
      <c r="H1078" s="54" t="str">
        <f>IF($C1078="B",INDEX(Batters[[#All],[B]],MATCH(Table5[[#This Row],[PID]],Batters[[#All],[PID]],0)),INDEX(Table3[[#All],[B]],MATCH(Table5[[#This Row],[PID]],Table3[[#All],[PID]],0)))</f>
        <v>R</v>
      </c>
      <c r="I1078" s="54" t="str">
        <f>IF($C1078="B",INDEX(Batters[[#All],[T]],MATCH(Table5[[#This Row],[PID]],Batters[[#All],[PID]],0)),INDEX(Table3[[#All],[T]],MATCH(Table5[[#This Row],[PID]],Table3[[#All],[PID]],0)))</f>
        <v>R</v>
      </c>
      <c r="J1078" s="54" t="str">
        <f>IF($C1078="B",INDEX(Batters[[#All],[WE]],MATCH(Table5[[#This Row],[PID]],Batters[[#All],[PID]],0)),INDEX(Table3[[#All],[WE]],MATCH(Table5[[#This Row],[PID]],Table3[[#All],[PID]],0)))</f>
        <v>Normal</v>
      </c>
      <c r="K1078" s="54" t="str">
        <f>IF($C1078="B",INDEX(Batters[[#All],[INT]],MATCH(Table5[[#This Row],[PID]],Batters[[#All],[PID]],0)),INDEX(Table3[[#All],[INT]],MATCH(Table5[[#This Row],[PID]],Table3[[#All],[PID]],0)))</f>
        <v>Normal</v>
      </c>
      <c r="L1078" s="62">
        <f>IF($C1078="B",INDEX(Batters[[#All],[CON P]],MATCH(Table5[[#This Row],[PID]],Batters[[#All],[PID]],0)),INDEX(Table3[[#All],[STU P]],MATCH(Table5[[#This Row],[PID]],Table3[[#All],[PID]],0)))</f>
        <v>4</v>
      </c>
      <c r="M1078" s="58">
        <f>IF($C1078="B",INDEX(Batters[[#All],[GAP P]],MATCH(Table5[[#This Row],[PID]],Batters[[#All],[PID]],0)),INDEX(Table3[[#All],[MOV P]],MATCH(Table5[[#This Row],[PID]],Table3[[#All],[PID]],0)))</f>
        <v>1</v>
      </c>
      <c r="N1078" s="58">
        <f>IF($C1078="B",INDEX(Batters[[#All],[POW P]],MATCH(Table5[[#This Row],[PID]],Batters[[#All],[PID]],0)),INDEX(Table3[[#All],[CON P]],MATCH(Table5[[#This Row],[PID]],Table3[[#All],[PID]],0)))</f>
        <v>1</v>
      </c>
      <c r="O1078" s="58" t="str">
        <f>IF($C1078="B",INDEX(Batters[[#All],[EYE P]],MATCH(Table5[[#This Row],[PID]],Batters[[#All],[PID]],0)),INDEX(Table3[[#All],[VELO]],MATCH(Table5[[#This Row],[PID]],Table3[[#All],[PID]],0)))</f>
        <v>89-91 Mph</v>
      </c>
      <c r="P1078" s="58">
        <f>IF($C1078="B",INDEX(Batters[[#All],[K P]],MATCH(Table5[[#This Row],[PID]],Batters[[#All],[PID]],0)),INDEX(Table3[[#All],[STM]],MATCH(Table5[[#This Row],[PID]],Table3[[#All],[PID]],0)))</f>
        <v>4</v>
      </c>
      <c r="Q1078" s="63">
        <f>IF($C1078="B",INDEX(Batters[[#All],[Tot]],MATCH(Table5[[#This Row],[PID]],Batters[[#All],[PID]],0)),INDEX(Table3[[#All],[Tot]],MATCH(Table5[[#This Row],[PID]],Table3[[#All],[PID]],0)))</f>
        <v>20.132314586085784</v>
      </c>
      <c r="R1078" s="54">
        <f>IF($C1078="B",INDEX(Batters[[#All],[zScore]],MATCH(Table5[[#This Row],[PID]],Batters[[#All],[PID]],0)),INDEX(Table3[[#All],[zScore]],MATCH(Table5[[#This Row],[PID]],Table3[[#All],[PID]],0)))</f>
        <v>-1.154550966291904</v>
      </c>
      <c r="S1078" s="60" t="str">
        <f>IF($C1078="B",INDEX(Batters[[#All],[DEM]],MATCH(Table5[[#This Row],[PID]],Batters[[#All],[PID]],0)),INDEX(Table3[[#All],[DEM]],MATCH(Table5[[#This Row],[PID]],Table3[[#All],[PID]],0)))</f>
        <v>$80k</v>
      </c>
      <c r="T1078" s="64" t="e">
        <f>IF($C1078="B",VLOOKUP($A1078,Bat!$A$4:$AU$1417,46,FALSE),VLOOKUP($A1078,Pit!$A$4:$BD$570,55,FALSE))</f>
        <v>#N/A</v>
      </c>
      <c r="U1078" s="52" t="e">
        <f>IF($C1078="B",VLOOKUP($A1078,Bat!$A$4:$BA$1417,47,FALSE),VLOOKUP($A1078,Pit!$A$4:$BF$570,56,FALSE))</f>
        <v>#N/A</v>
      </c>
      <c r="V1078" s="52" t="e">
        <f>IF($C1078="B",VLOOKUP($A1078,Bat!$A$4:$BA$1417,48,FALSE),VLOOKUP($A1078,Pit!$A$4:$BF$570,57,FALSE))</f>
        <v>#N/A</v>
      </c>
      <c r="W1078" s="52" t="e">
        <f>Table5[[#This Row],[posRnk]]+Table5[[#This Row],[zRnk]]+IF($W$3&lt;&gt;Table5[[#This Row],[Type]],50,0)</f>
        <v>#N/A</v>
      </c>
      <c r="X1078" s="53">
        <f>RANK(Table5[[#This Row],[zScore]],Table5[[#All],[zScore]])</f>
        <v>1074</v>
      </c>
      <c r="Y1078" s="52" t="str">
        <f>IFERROR(INDEX(DraftResults[[#All],[OVR]],MATCH(Table5[[#This Row],[PID]],DraftResults[[#All],[Player ID]],0)),"")</f>
        <v/>
      </c>
      <c r="Z10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8" s="52" t="str">
        <f>IFERROR(INDEX(DraftResults[[#All],[Pick in Round]],MATCH(Table5[[#This Row],[PID]],DraftResults[[#All],[Player ID]],0)),"")</f>
        <v/>
      </c>
      <c r="AB1078" s="52" t="str">
        <f>IFERROR(INDEX(DraftResults[[#All],[Team Name]],MATCH(Table5[[#This Row],[PID]],DraftResults[[#All],[Player ID]],0)),"")</f>
        <v/>
      </c>
      <c r="AC1078" s="52" t="str">
        <f>IF(Table5[[#This Row],[Ovr]]="","",IF(Table5[[#This Row],[cmbList]]="","",Table5[[#This Row],[cmbList]]-Table5[[#This Row],[Ovr]]))</f>
        <v/>
      </c>
      <c r="AD1078" s="56" t="str">
        <f>IF(ISERROR(VLOOKUP($AB1078&amp;"-"&amp;$E1078&amp;" "&amp;F1078,Bonuses!$B$1:$G$1006,4,FALSE)),"",INT(VLOOKUP($AB1078&amp;"-"&amp;$E1078&amp;" "&amp;$F1078,Bonuses!$B$1:$G$1006,4,FALSE)))</f>
        <v/>
      </c>
      <c r="AE10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9" spans="1:31" s="52" customFormat="1" x14ac:dyDescent="0.25">
      <c r="A1079" s="52">
        <v>15591</v>
      </c>
      <c r="B1079" s="52">
        <f>COUNTIF(Table5[PID],A1079)</f>
        <v>1</v>
      </c>
      <c r="C1079" s="52" t="str">
        <f>IF(COUNTIF(Table3[[#All],[PID]],A1079)&gt;0,"P","B")</f>
        <v>P</v>
      </c>
      <c r="D1079" s="61" t="str">
        <f>IF($C1079="B",INDEX(Batters[[#All],[POS]],MATCH(Table5[[#This Row],[PID]],Batters[[#All],[PID]],0)),INDEX(Table3[[#All],[POS]],MATCH(Table5[[#This Row],[PID]],Table3[[#All],[PID]],0)))</f>
        <v>RP</v>
      </c>
      <c r="E1079" s="54" t="str">
        <f>IF($C1079="B",INDEX(Batters[[#All],[First]],MATCH(Table5[[#This Row],[PID]],Batters[[#All],[PID]],0)),INDEX(Table3[[#All],[First]],MATCH(Table5[[#This Row],[PID]],Table3[[#All],[PID]],0)))</f>
        <v>Petro</v>
      </c>
      <c r="F1079" s="52" t="str">
        <f>IF($C1079="B",INDEX(Batters[[#All],[Last]],MATCH(A1079,Batters[[#All],[PID]],0)),INDEX(Table3[[#All],[Last]],MATCH(A1079,Table3[[#All],[PID]],0)))</f>
        <v>Buys</v>
      </c>
      <c r="G1079" s="58">
        <f>IF($C1079="B",INDEX(Batters[[#All],[Age]],MATCH(Table5[[#This Row],[PID]],Batters[[#All],[PID]],0)),INDEX(Table3[[#All],[Age]],MATCH(Table5[[#This Row],[PID]],Table3[[#All],[PID]],0)))</f>
        <v>18</v>
      </c>
      <c r="H1079" s="54" t="str">
        <f>IF($C1079="B",INDEX(Batters[[#All],[B]],MATCH(Table5[[#This Row],[PID]],Batters[[#All],[PID]],0)),INDEX(Table3[[#All],[B]],MATCH(Table5[[#This Row],[PID]],Table3[[#All],[PID]],0)))</f>
        <v>L</v>
      </c>
      <c r="I1079" s="54" t="str">
        <f>IF($C1079="B",INDEX(Batters[[#All],[T]],MATCH(Table5[[#This Row],[PID]],Batters[[#All],[PID]],0)),INDEX(Table3[[#All],[T]],MATCH(Table5[[#This Row],[PID]],Table3[[#All],[PID]],0)))</f>
        <v>R</v>
      </c>
      <c r="J1079" s="54" t="str">
        <f>IF($C1079="B",INDEX(Batters[[#All],[WE]],MATCH(Table5[[#This Row],[PID]],Batters[[#All],[PID]],0)),INDEX(Table3[[#All],[WE]],MATCH(Table5[[#This Row],[PID]],Table3[[#All],[PID]],0)))</f>
        <v>Normal</v>
      </c>
      <c r="K1079" s="54" t="str">
        <f>IF($C1079="B",INDEX(Batters[[#All],[INT]],MATCH(Table5[[#This Row],[PID]],Batters[[#All],[PID]],0)),INDEX(Table3[[#All],[INT]],MATCH(Table5[[#This Row],[PID]],Table3[[#All],[PID]],0)))</f>
        <v>Normal</v>
      </c>
      <c r="L1079" s="62">
        <f>IF($C1079="B",INDEX(Batters[[#All],[CON P]],MATCH(Table5[[#This Row],[PID]],Batters[[#All],[PID]],0)),INDEX(Table3[[#All],[STU P]],MATCH(Table5[[#This Row],[PID]],Table3[[#All],[PID]],0)))</f>
        <v>4</v>
      </c>
      <c r="M1079" s="58">
        <f>IF($C1079="B",INDEX(Batters[[#All],[GAP P]],MATCH(Table5[[#This Row],[PID]],Batters[[#All],[PID]],0)),INDEX(Table3[[#All],[MOV P]],MATCH(Table5[[#This Row],[PID]],Table3[[#All],[PID]],0)))</f>
        <v>1</v>
      </c>
      <c r="N1079" s="58">
        <f>IF($C1079="B",INDEX(Batters[[#All],[POW P]],MATCH(Table5[[#This Row],[PID]],Batters[[#All],[PID]],0)),INDEX(Table3[[#All],[CON P]],MATCH(Table5[[#This Row],[PID]],Table3[[#All],[PID]],0)))</f>
        <v>2</v>
      </c>
      <c r="O1079" s="58" t="str">
        <f>IF($C1079="B",INDEX(Batters[[#All],[EYE P]],MATCH(Table5[[#This Row],[PID]],Batters[[#All],[PID]],0)),INDEX(Table3[[#All],[VELO]],MATCH(Table5[[#This Row],[PID]],Table3[[#All],[PID]],0)))</f>
        <v>85-87 Mph</v>
      </c>
      <c r="P1079" s="58">
        <f>IF($C1079="B",INDEX(Batters[[#All],[K P]],MATCH(Table5[[#This Row],[PID]],Batters[[#All],[PID]],0)),INDEX(Table3[[#All],[STM]],MATCH(Table5[[#This Row],[PID]],Table3[[#All],[PID]],0)))</f>
        <v>6</v>
      </c>
      <c r="Q1079" s="63">
        <f>IF($C1079="B",INDEX(Batters[[#All],[Tot]],MATCH(Table5[[#This Row],[PID]],Batters[[#All],[PID]],0)),INDEX(Table3[[#All],[Tot]],MATCH(Table5[[#This Row],[PID]],Table3[[#All],[PID]],0)))</f>
        <v>20.100366139720709</v>
      </c>
      <c r="R1079" s="54">
        <f>IF($C1079="B",INDEX(Batters[[#All],[zScore]],MATCH(Table5[[#This Row],[PID]],Batters[[#All],[PID]],0)),INDEX(Table3[[#All],[zScore]],MATCH(Table5[[#This Row],[PID]],Table3[[#All],[PID]],0)))</f>
        <v>-1.157480775374111</v>
      </c>
      <c r="S1079" s="60" t="str">
        <f>IF($C1079="B",INDEX(Batters[[#All],[DEM]],MATCH(Table5[[#This Row],[PID]],Batters[[#All],[PID]],0)),INDEX(Table3[[#All],[DEM]],MATCH(Table5[[#This Row],[PID]],Table3[[#All],[PID]],0)))</f>
        <v>$65k</v>
      </c>
      <c r="T1079" s="64" t="e">
        <f>IF($C1079="B",VLOOKUP($A1079,Bat!$A$4:$AU$1417,46,FALSE),VLOOKUP($A1079,Pit!$A$4:$BD$570,55,FALSE))</f>
        <v>#N/A</v>
      </c>
      <c r="U1079" s="52" t="e">
        <f>IF($C1079="B",VLOOKUP($A1079,Bat!$A$4:$BA$1417,47,FALSE),VLOOKUP($A1079,Pit!$A$4:$BF$570,56,FALSE))</f>
        <v>#N/A</v>
      </c>
      <c r="V1079" s="52" t="e">
        <f>IF($C1079="B",VLOOKUP($A1079,Bat!$A$4:$BA$1417,48,FALSE),VLOOKUP($A1079,Pit!$A$4:$BF$570,57,FALSE))</f>
        <v>#N/A</v>
      </c>
      <c r="W1079" s="52" t="e">
        <f>Table5[[#This Row],[posRnk]]+Table5[[#This Row],[zRnk]]+IF($W$3&lt;&gt;Table5[[#This Row],[Type]],50,0)</f>
        <v>#N/A</v>
      </c>
      <c r="X1079" s="53">
        <f>RANK(Table5[[#This Row],[zScore]],Table5[[#All],[zScore]])</f>
        <v>1075</v>
      </c>
      <c r="Y1079" s="52" t="str">
        <f>IFERROR(INDEX(DraftResults[[#All],[OVR]],MATCH(Table5[[#This Row],[PID]],DraftResults[[#All],[Player ID]],0)),"")</f>
        <v/>
      </c>
      <c r="Z10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9" s="52" t="str">
        <f>IFERROR(INDEX(DraftResults[[#All],[Pick in Round]],MATCH(Table5[[#This Row],[PID]],DraftResults[[#All],[Player ID]],0)),"")</f>
        <v/>
      </c>
      <c r="AB1079" s="52" t="str">
        <f>IFERROR(INDEX(DraftResults[[#All],[Team Name]],MATCH(Table5[[#This Row],[PID]],DraftResults[[#All],[Player ID]],0)),"")</f>
        <v/>
      </c>
      <c r="AC1079" s="52" t="str">
        <f>IF(Table5[[#This Row],[Ovr]]="","",IF(Table5[[#This Row],[cmbList]]="","",Table5[[#This Row],[cmbList]]-Table5[[#This Row],[Ovr]]))</f>
        <v/>
      </c>
      <c r="AD1079" s="56" t="str">
        <f>IF(ISERROR(VLOOKUP($AB1079&amp;"-"&amp;$E1079&amp;" "&amp;F1079,Bonuses!$B$1:$G$1006,4,FALSE)),"",INT(VLOOKUP($AB1079&amp;"-"&amp;$E1079&amp;" "&amp;$F1079,Bonuses!$B$1:$G$1006,4,FALSE)))</f>
        <v/>
      </c>
      <c r="AE10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0" spans="1:31" s="52" customFormat="1" x14ac:dyDescent="0.25">
      <c r="A1080" s="52">
        <v>9570</v>
      </c>
      <c r="B1080" s="57">
        <f>COUNTIF(Table5[PID],A1080)</f>
        <v>1</v>
      </c>
      <c r="C1080" s="57" t="str">
        <f>IF(COUNTIF(Table3[[#All],[PID]],A1080)&gt;0,"P","B")</f>
        <v>B</v>
      </c>
      <c r="D1080" s="61" t="str">
        <f>IF($C1080="B",INDEX(Batters[[#All],[POS]],MATCH(Table5[[#This Row],[PID]],Batters[[#All],[PID]],0)),INDEX(Table3[[#All],[POS]],MATCH(Table5[[#This Row],[PID]],Table3[[#All],[PID]],0)))</f>
        <v>RF</v>
      </c>
      <c r="E1080" s="54" t="str">
        <f>IF($C1080="B",INDEX(Batters[[#All],[First]],MATCH(Table5[[#This Row],[PID]],Batters[[#All],[PID]],0)),INDEX(Table3[[#All],[First]],MATCH(Table5[[#This Row],[PID]],Table3[[#All],[PID]],0)))</f>
        <v>Aaron</v>
      </c>
      <c r="F1080" s="52" t="str">
        <f>IF($C1080="B",INDEX(Batters[[#All],[Last]],MATCH(A1080,Batters[[#All],[PID]],0)),INDEX(Table3[[#All],[Last]],MATCH(A1080,Table3[[#All],[PID]],0)))</f>
        <v>Perkins</v>
      </c>
      <c r="G1080" s="58">
        <f>IF($C1080="B",INDEX(Batters[[#All],[Age]],MATCH(Table5[[#This Row],[PID]],Batters[[#All],[PID]],0)),INDEX(Table3[[#All],[Age]],MATCH(Table5[[#This Row],[PID]],Table3[[#All],[PID]],0)))</f>
        <v>21</v>
      </c>
      <c r="H1080" s="54" t="str">
        <f>IF($C1080="B",INDEX(Batters[[#All],[B]],MATCH(Table5[[#This Row],[PID]],Batters[[#All],[PID]],0)),INDEX(Table3[[#All],[B]],MATCH(Table5[[#This Row],[PID]],Table3[[#All],[PID]],0)))</f>
        <v>L</v>
      </c>
      <c r="I1080" s="54" t="str">
        <f>IF($C1080="B",INDEX(Batters[[#All],[T]],MATCH(Table5[[#This Row],[PID]],Batters[[#All],[PID]],0)),INDEX(Table3[[#All],[T]],MATCH(Table5[[#This Row],[PID]],Table3[[#All],[PID]],0)))</f>
        <v>R</v>
      </c>
      <c r="J1080" s="54" t="str">
        <f>IF($C1080="B",INDEX(Batters[[#All],[WE]],MATCH(Table5[[#This Row],[PID]],Batters[[#All],[PID]],0)),INDEX(Table3[[#All],[WE]],MATCH(Table5[[#This Row],[PID]],Table3[[#All],[PID]],0)))</f>
        <v>Normal</v>
      </c>
      <c r="K1080" s="54" t="str">
        <f>IF($C1080="B",INDEX(Batters[[#All],[INT]],MATCH(Table5[[#This Row],[PID]],Batters[[#All],[PID]],0)),INDEX(Table3[[#All],[INT]],MATCH(Table5[[#This Row],[PID]],Table3[[#All],[PID]],0)))</f>
        <v>Normal</v>
      </c>
      <c r="L1080" s="62">
        <f>IF($C1080="B",INDEX(Batters[[#All],[CON P]],MATCH(Table5[[#This Row],[PID]],Batters[[#All],[PID]],0)),INDEX(Table3[[#All],[STU P]],MATCH(Table5[[#This Row],[PID]],Table3[[#All],[PID]],0)))</f>
        <v>3</v>
      </c>
      <c r="M1080" s="58">
        <f>IF($C1080="B",INDEX(Batters[[#All],[GAP P]],MATCH(Table5[[#This Row],[PID]],Batters[[#All],[PID]],0)),INDEX(Table3[[#All],[MOV P]],MATCH(Table5[[#This Row],[PID]],Table3[[#All],[PID]],0)))</f>
        <v>2</v>
      </c>
      <c r="N1080" s="58">
        <f>IF($C1080="B",INDEX(Batters[[#All],[POW P]],MATCH(Table5[[#This Row],[PID]],Batters[[#All],[PID]],0)),INDEX(Table3[[#All],[CON P]],MATCH(Table5[[#This Row],[PID]],Table3[[#All],[PID]],0)))</f>
        <v>3</v>
      </c>
      <c r="O1080" s="58">
        <f>IF($C1080="B",INDEX(Batters[[#All],[EYE P]],MATCH(Table5[[#This Row],[PID]],Batters[[#All],[PID]],0)),INDEX(Table3[[#All],[VELO]],MATCH(Table5[[#This Row],[PID]],Table3[[#All],[PID]],0)))</f>
        <v>3</v>
      </c>
      <c r="P1080" s="58">
        <f>IF($C1080="B",INDEX(Batters[[#All],[K P]],MATCH(Table5[[#This Row],[PID]],Batters[[#All],[PID]],0)),INDEX(Table3[[#All],[STM]],MATCH(Table5[[#This Row],[PID]],Table3[[#All],[PID]],0)))</f>
        <v>4</v>
      </c>
      <c r="Q1080" s="63">
        <f>IF($C1080="B",INDEX(Batters[[#All],[Tot]],MATCH(Table5[[#This Row],[PID]],Batters[[#All],[PID]],0)),INDEX(Table3[[#All],[Tot]],MATCH(Table5[[#This Row],[PID]],Table3[[#All],[PID]],0)))</f>
        <v>33.765160748597964</v>
      </c>
      <c r="R1080" s="54">
        <f>IF($C1080="B",INDEX(Batters[[#All],[zScore]],MATCH(Table5[[#This Row],[PID]],Batters[[#All],[PID]],0)),INDEX(Table3[[#All],[zScore]],MATCH(Table5[[#This Row],[PID]],Table3[[#All],[PID]],0)))</f>
        <v>-1.1582503357625129</v>
      </c>
      <c r="S1080" s="60" t="str">
        <f>IF($C1080="B",INDEX(Batters[[#All],[DEM]],MATCH(Table5[[#This Row],[PID]],Batters[[#All],[PID]],0)),INDEX(Table3[[#All],[DEM]],MATCH(Table5[[#This Row],[PID]],Table3[[#All],[PID]],0)))</f>
        <v>-</v>
      </c>
      <c r="T1080" s="64">
        <f>IF($C1080="B",VLOOKUP($A1080,Bat!$A$4:$AU$1417,46,FALSE),VLOOKUP($A1080,Pit!$A$4:$BD$570,55,FALSE))</f>
        <v>0</v>
      </c>
      <c r="U1080" s="52">
        <f>IF($C1080="B",VLOOKUP($A1080,Bat!$A$4:$BA$1417,47,FALSE),VLOOKUP($A1080,Pit!$A$4:$BF$570,56,FALSE))</f>
        <v>0</v>
      </c>
      <c r="V1080" s="52">
        <f>IF($C1080="B",VLOOKUP($A1080,Bat!$A$4:$BA$1417,48,FALSE),VLOOKUP($A1080,Pit!$A$4:$BF$570,57,FALSE))</f>
        <v>0</v>
      </c>
      <c r="W1080" s="52">
        <f>Table5[[#This Row],[posRnk]]+Table5[[#This Row],[zRnk]]+IF($W$3&lt;&gt;Table5[[#This Row],[Type]],50,0)</f>
        <v>1126</v>
      </c>
      <c r="X1080" s="53">
        <f>RANK(Table5[[#This Row],[zScore]],Table5[[#All],[zScore]])</f>
        <v>1076</v>
      </c>
      <c r="Y1080" s="52" t="str">
        <f>IFERROR(INDEX(DraftResults[[#All],[OVR]],MATCH(Table5[[#This Row],[PID]],DraftResults[[#All],[Player ID]],0)),"")</f>
        <v/>
      </c>
      <c r="Z10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0" s="52" t="str">
        <f>IFERROR(INDEX(DraftResults[[#All],[Pick in Round]],MATCH(Table5[[#This Row],[PID]],DraftResults[[#All],[Player ID]],0)),"")</f>
        <v/>
      </c>
      <c r="AB1080" s="52" t="str">
        <f>IFERROR(INDEX(DraftResults[[#All],[Team Name]],MATCH(Table5[[#This Row],[PID]],DraftResults[[#All],[Player ID]],0)),"")</f>
        <v/>
      </c>
      <c r="AC1080" s="52" t="str">
        <f>IF(Table5[[#This Row],[Ovr]]="","",IF(Table5[[#This Row],[cmbList]]="","",Table5[[#This Row],[cmbList]]-Table5[[#This Row],[Ovr]]))</f>
        <v/>
      </c>
      <c r="AD1080" s="56" t="str">
        <f>IF(ISERROR(VLOOKUP($AB1080&amp;"-"&amp;$E1080&amp;" "&amp;F1080,Bonuses!$B$1:$G$1006,4,FALSE)),"",INT(VLOOKUP($AB1080&amp;"-"&amp;$E1080&amp;" "&amp;$F1080,Bonuses!$B$1:$G$1006,4,FALSE)))</f>
        <v/>
      </c>
      <c r="AE10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1" spans="1:31" s="52" customFormat="1" x14ac:dyDescent="0.25">
      <c r="A1081" s="52">
        <v>8884</v>
      </c>
      <c r="B1081" s="52">
        <f>COUNTIF(Table5[PID],A1081)</f>
        <v>1</v>
      </c>
      <c r="C1081" s="52" t="str">
        <f>IF(COUNTIF(Table3[[#All],[PID]],A1081)&gt;0,"P","B")</f>
        <v>P</v>
      </c>
      <c r="D1081" s="61" t="str">
        <f>IF($C1081="B",INDEX(Batters[[#All],[POS]],MATCH(Table5[[#This Row],[PID]],Batters[[#All],[PID]],0)),INDEX(Table3[[#All],[POS]],MATCH(Table5[[#This Row],[PID]],Table3[[#All],[PID]],0)))</f>
        <v>RP</v>
      </c>
      <c r="E1081" s="54" t="str">
        <f>IF($C1081="B",INDEX(Batters[[#All],[First]],MATCH(Table5[[#This Row],[PID]],Batters[[#All],[PID]],0)),INDEX(Table3[[#All],[First]],MATCH(Table5[[#This Row],[PID]],Table3[[#All],[PID]],0)))</f>
        <v>Paul</v>
      </c>
      <c r="F1081" s="52" t="str">
        <f>IF($C1081="B",INDEX(Batters[[#All],[Last]],MATCH(A1081,Batters[[#All],[PID]],0)),INDEX(Table3[[#All],[Last]],MATCH(A1081,Table3[[#All],[PID]],0)))</f>
        <v>Deangelo</v>
      </c>
      <c r="G1081" s="58">
        <f>IF($C1081="B",INDEX(Batters[[#All],[Age]],MATCH(Table5[[#This Row],[PID]],Batters[[#All],[PID]],0)),INDEX(Table3[[#All],[Age]],MATCH(Table5[[#This Row],[PID]],Table3[[#All],[PID]],0)))</f>
        <v>18</v>
      </c>
      <c r="H1081" s="54" t="str">
        <f>IF($C1081="B",INDEX(Batters[[#All],[B]],MATCH(Table5[[#This Row],[PID]],Batters[[#All],[PID]],0)),INDEX(Table3[[#All],[B]],MATCH(Table5[[#This Row],[PID]],Table3[[#All],[PID]],0)))</f>
        <v>R</v>
      </c>
      <c r="I1081" s="54" t="str">
        <f>IF($C1081="B",INDEX(Batters[[#All],[T]],MATCH(Table5[[#This Row],[PID]],Batters[[#All],[PID]],0)),INDEX(Table3[[#All],[T]],MATCH(Table5[[#This Row],[PID]],Table3[[#All],[PID]],0)))</f>
        <v>R</v>
      </c>
      <c r="J1081" s="54" t="str">
        <f>IF($C1081="B",INDEX(Batters[[#All],[WE]],MATCH(Table5[[#This Row],[PID]],Batters[[#All],[PID]],0)),INDEX(Table3[[#All],[WE]],MATCH(Table5[[#This Row],[PID]],Table3[[#All],[PID]],0)))</f>
        <v>Normal</v>
      </c>
      <c r="K1081" s="54" t="str">
        <f>IF($C1081="B",INDEX(Batters[[#All],[INT]],MATCH(Table5[[#This Row],[PID]],Batters[[#All],[PID]],0)),INDEX(Table3[[#All],[INT]],MATCH(Table5[[#This Row],[PID]],Table3[[#All],[PID]],0)))</f>
        <v>Normal</v>
      </c>
      <c r="L1081" s="62">
        <f>IF($C1081="B",INDEX(Batters[[#All],[CON P]],MATCH(Table5[[#This Row],[PID]],Batters[[#All],[PID]],0)),INDEX(Table3[[#All],[STU P]],MATCH(Table5[[#This Row],[PID]],Table3[[#All],[PID]],0)))</f>
        <v>3</v>
      </c>
      <c r="M1081" s="58">
        <f>IF($C1081="B",INDEX(Batters[[#All],[GAP P]],MATCH(Table5[[#This Row],[PID]],Batters[[#All],[PID]],0)),INDEX(Table3[[#All],[MOV P]],MATCH(Table5[[#This Row],[PID]],Table3[[#All],[PID]],0)))</f>
        <v>1</v>
      </c>
      <c r="N1081" s="58">
        <f>IF($C1081="B",INDEX(Batters[[#All],[POW P]],MATCH(Table5[[#This Row],[PID]],Batters[[#All],[PID]],0)),INDEX(Table3[[#All],[CON P]],MATCH(Table5[[#This Row],[PID]],Table3[[#All],[PID]],0)))</f>
        <v>2</v>
      </c>
      <c r="O1081" s="58" t="str">
        <f>IF($C1081="B",INDEX(Batters[[#All],[EYE P]],MATCH(Table5[[#This Row],[PID]],Batters[[#All],[PID]],0)),INDEX(Table3[[#All],[VELO]],MATCH(Table5[[#This Row],[PID]],Table3[[#All],[PID]],0)))</f>
        <v>87-89 Mph</v>
      </c>
      <c r="P1081" s="58">
        <f>IF($C1081="B",INDEX(Batters[[#All],[K P]],MATCH(Table5[[#This Row],[PID]],Batters[[#All],[PID]],0)),INDEX(Table3[[#All],[STM]],MATCH(Table5[[#This Row],[PID]],Table3[[#All],[PID]],0)))</f>
        <v>3</v>
      </c>
      <c r="Q1081" s="63">
        <f>IF($C1081="B",INDEX(Batters[[#All],[Tot]],MATCH(Table5[[#This Row],[PID]],Batters[[#All],[PID]],0)),INDEX(Table3[[#All],[Tot]],MATCH(Table5[[#This Row],[PID]],Table3[[#All],[PID]],0)))</f>
        <v>20.087270175439581</v>
      </c>
      <c r="R1081" s="54">
        <f>IF($C1081="B",INDEX(Batters[[#All],[zScore]],MATCH(Table5[[#This Row],[PID]],Batters[[#All],[PID]],0)),INDEX(Table3[[#All],[zScore]],MATCH(Table5[[#This Row],[PID]],Table3[[#All],[PID]],0)))</f>
        <v>-1.1586817312720181</v>
      </c>
      <c r="S1081" s="60" t="str">
        <f>IF($C1081="B",INDEX(Batters[[#All],[DEM]],MATCH(Table5[[#This Row],[PID]],Batters[[#All],[PID]],0)),INDEX(Table3[[#All],[DEM]],MATCH(Table5[[#This Row],[PID]],Table3[[#All],[PID]],0)))</f>
        <v>$1.9m</v>
      </c>
      <c r="T1081" s="64" t="e">
        <f>IF($C1081="B",VLOOKUP($A1081,Bat!$A$4:$AU$1417,46,FALSE),VLOOKUP($A1081,Pit!$A$4:$BD$570,55,FALSE))</f>
        <v>#N/A</v>
      </c>
      <c r="U1081" s="52" t="e">
        <f>IF($C1081="B",VLOOKUP($A1081,Bat!$A$4:$BA$1417,47,FALSE),VLOOKUP($A1081,Pit!$A$4:$BF$570,56,FALSE))</f>
        <v>#N/A</v>
      </c>
      <c r="V1081" s="52" t="e">
        <f>IF($C1081="B",VLOOKUP($A1081,Bat!$A$4:$BA$1417,48,FALSE),VLOOKUP($A1081,Pit!$A$4:$BF$570,57,FALSE))</f>
        <v>#N/A</v>
      </c>
      <c r="W1081" s="52" t="e">
        <f>Table5[[#This Row],[posRnk]]+Table5[[#This Row],[zRnk]]+IF($W$3&lt;&gt;Table5[[#This Row],[Type]],50,0)</f>
        <v>#N/A</v>
      </c>
      <c r="X1081" s="53">
        <f>RANK(Table5[[#This Row],[zScore]],Table5[[#All],[zScore]])</f>
        <v>1077</v>
      </c>
      <c r="Y1081" s="52" t="str">
        <f>IFERROR(INDEX(DraftResults[[#All],[OVR]],MATCH(Table5[[#This Row],[PID]],DraftResults[[#All],[Player ID]],0)),"")</f>
        <v/>
      </c>
      <c r="Z10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1" s="52" t="str">
        <f>IFERROR(INDEX(DraftResults[[#All],[Pick in Round]],MATCH(Table5[[#This Row],[PID]],DraftResults[[#All],[Player ID]],0)),"")</f>
        <v/>
      </c>
      <c r="AB1081" s="52" t="str">
        <f>IFERROR(INDEX(DraftResults[[#All],[Team Name]],MATCH(Table5[[#This Row],[PID]],DraftResults[[#All],[Player ID]],0)),"")</f>
        <v/>
      </c>
      <c r="AC1081" s="52" t="str">
        <f>IF(Table5[[#This Row],[Ovr]]="","",IF(Table5[[#This Row],[cmbList]]="","",Table5[[#This Row],[cmbList]]-Table5[[#This Row],[Ovr]]))</f>
        <v/>
      </c>
      <c r="AD1081" s="56" t="str">
        <f>IF(ISERROR(VLOOKUP($AB1081&amp;"-"&amp;$E1081&amp;" "&amp;F1081,Bonuses!$B$1:$G$1006,4,FALSE)),"",INT(VLOOKUP($AB1081&amp;"-"&amp;$E1081&amp;" "&amp;$F1081,Bonuses!$B$1:$G$1006,4,FALSE)))</f>
        <v/>
      </c>
      <c r="AE10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2" spans="1:31" s="52" customFormat="1" x14ac:dyDescent="0.25">
      <c r="A1082" s="52">
        <v>17838</v>
      </c>
      <c r="B1082" s="52">
        <f>COUNTIF(Table5[PID],A1082)</f>
        <v>1</v>
      </c>
      <c r="C1082" s="52" t="str">
        <f>IF(COUNTIF(Table3[[#All],[PID]],A1082)&gt;0,"P","B")</f>
        <v>P</v>
      </c>
      <c r="D1082" s="61" t="str">
        <f>IF($C1082="B",INDEX(Batters[[#All],[POS]],MATCH(Table5[[#This Row],[PID]],Batters[[#All],[PID]],0)),INDEX(Table3[[#All],[POS]],MATCH(Table5[[#This Row],[PID]],Table3[[#All],[PID]],0)))</f>
        <v>RP</v>
      </c>
      <c r="E1082" s="54" t="str">
        <f>IF($C1082="B",INDEX(Batters[[#All],[First]],MATCH(Table5[[#This Row],[PID]],Batters[[#All],[PID]],0)),INDEX(Table3[[#All],[First]],MATCH(Table5[[#This Row],[PID]],Table3[[#All],[PID]],0)))</f>
        <v>Rubén</v>
      </c>
      <c r="F1082" s="52" t="str">
        <f>IF($C1082="B",INDEX(Batters[[#All],[Last]],MATCH(A1082,Batters[[#All],[PID]],0)),INDEX(Table3[[#All],[Last]],MATCH(A1082,Table3[[#All],[PID]],0)))</f>
        <v>Echevarría</v>
      </c>
      <c r="G1082" s="58">
        <f>IF($C1082="B",INDEX(Batters[[#All],[Age]],MATCH(Table5[[#This Row],[PID]],Batters[[#All],[PID]],0)),INDEX(Table3[[#All],[Age]],MATCH(Table5[[#This Row],[PID]],Table3[[#All],[PID]],0)))</f>
        <v>18</v>
      </c>
      <c r="H1082" s="54" t="str">
        <f>IF($C1082="B",INDEX(Batters[[#All],[B]],MATCH(Table5[[#This Row],[PID]],Batters[[#All],[PID]],0)),INDEX(Table3[[#All],[B]],MATCH(Table5[[#This Row],[PID]],Table3[[#All],[PID]],0)))</f>
        <v>R</v>
      </c>
      <c r="I1082" s="54" t="str">
        <f>IF($C1082="B",INDEX(Batters[[#All],[T]],MATCH(Table5[[#This Row],[PID]],Batters[[#All],[PID]],0)),INDEX(Table3[[#All],[T]],MATCH(Table5[[#This Row],[PID]],Table3[[#All],[PID]],0)))</f>
        <v>R</v>
      </c>
      <c r="J1082" s="54" t="str">
        <f>IF($C1082="B",INDEX(Batters[[#All],[WE]],MATCH(Table5[[#This Row],[PID]],Batters[[#All],[PID]],0)),INDEX(Table3[[#All],[WE]],MATCH(Table5[[#This Row],[PID]],Table3[[#All],[PID]],0)))</f>
        <v>Normal</v>
      </c>
      <c r="K1082" s="54" t="str">
        <f>IF($C1082="B",INDEX(Batters[[#All],[INT]],MATCH(Table5[[#This Row],[PID]],Batters[[#All],[PID]],0)),INDEX(Table3[[#All],[INT]],MATCH(Table5[[#This Row],[PID]],Table3[[#All],[PID]],0)))</f>
        <v>Low</v>
      </c>
      <c r="L1082" s="62">
        <f>IF($C1082="B",INDEX(Batters[[#All],[CON P]],MATCH(Table5[[#This Row],[PID]],Batters[[#All],[PID]],0)),INDEX(Table3[[#All],[STU P]],MATCH(Table5[[#This Row],[PID]],Table3[[#All],[PID]],0)))</f>
        <v>2</v>
      </c>
      <c r="M1082" s="58">
        <f>IF($C1082="B",INDEX(Batters[[#All],[GAP P]],MATCH(Table5[[#This Row],[PID]],Batters[[#All],[PID]],0)),INDEX(Table3[[#All],[MOV P]],MATCH(Table5[[#This Row],[PID]],Table3[[#All],[PID]],0)))</f>
        <v>1</v>
      </c>
      <c r="N1082" s="58">
        <f>IF($C1082="B",INDEX(Batters[[#All],[POW P]],MATCH(Table5[[#This Row],[PID]],Batters[[#All],[PID]],0)),INDEX(Table3[[#All],[CON P]],MATCH(Table5[[#This Row],[PID]],Table3[[#All],[PID]],0)))</f>
        <v>2</v>
      </c>
      <c r="O1082" s="58" t="str">
        <f>IF($C1082="B",INDEX(Batters[[#All],[EYE P]],MATCH(Table5[[#This Row],[PID]],Batters[[#All],[PID]],0)),INDEX(Table3[[#All],[VELO]],MATCH(Table5[[#This Row],[PID]],Table3[[#All],[PID]],0)))</f>
        <v>87-89 Mph</v>
      </c>
      <c r="P1082" s="58">
        <f>IF($C1082="B",INDEX(Batters[[#All],[K P]],MATCH(Table5[[#This Row],[PID]],Batters[[#All],[PID]],0)),INDEX(Table3[[#All],[STM]],MATCH(Table5[[#This Row],[PID]],Table3[[#All],[PID]],0)))</f>
        <v>5</v>
      </c>
      <c r="Q1082" s="63">
        <f>IF($C1082="B",INDEX(Batters[[#All],[Tot]],MATCH(Table5[[#This Row],[PID]],Batters[[#All],[PID]],0)),INDEX(Table3[[#All],[Tot]],MATCH(Table5[[#This Row],[PID]],Table3[[#All],[PID]],0)))</f>
        <v>17.165647438585093</v>
      </c>
      <c r="R1082" s="54">
        <f>IF($C1082="B",INDEX(Batters[[#All],[zScore]],MATCH(Table5[[#This Row],[PID]],Batters[[#All],[PID]],0)),INDEX(Table3[[#All],[zScore]],MATCH(Table5[[#This Row],[PID]],Table3[[#All],[PID]],0)))</f>
        <v>-1.1594763294806036</v>
      </c>
      <c r="S1082" s="60" t="str">
        <f>IF($C1082="B",INDEX(Batters[[#All],[DEM]],MATCH(Table5[[#This Row],[PID]],Batters[[#All],[PID]],0)),INDEX(Table3[[#All],[DEM]],MATCH(Table5[[#This Row],[PID]],Table3[[#All],[PID]],0)))</f>
        <v>$38k</v>
      </c>
      <c r="T1082" s="64" t="e">
        <f>IF($C1082="B",VLOOKUP($A1082,Bat!$A$4:$AU$1417,46,FALSE),VLOOKUP($A1082,Pit!$A$4:$BD$570,55,FALSE))</f>
        <v>#N/A</v>
      </c>
      <c r="U1082" s="52" t="e">
        <f>IF($C1082="B",VLOOKUP($A1082,Bat!$A$4:$BA$1417,47,FALSE),VLOOKUP($A1082,Pit!$A$4:$BF$570,56,FALSE))</f>
        <v>#N/A</v>
      </c>
      <c r="V1082" s="52" t="e">
        <f>IF($C1082="B",VLOOKUP($A1082,Bat!$A$4:$BA$1417,48,FALSE),VLOOKUP($A1082,Pit!$A$4:$BF$570,57,FALSE))</f>
        <v>#N/A</v>
      </c>
      <c r="W1082" s="52" t="e">
        <f>Table5[[#This Row],[posRnk]]+Table5[[#This Row],[zRnk]]+IF($W$3&lt;&gt;Table5[[#This Row],[Type]],50,0)</f>
        <v>#N/A</v>
      </c>
      <c r="X1082" s="53">
        <f>RANK(Table5[[#This Row],[zScore]],Table5[[#All],[zScore]])</f>
        <v>1078</v>
      </c>
      <c r="Y1082" s="52" t="str">
        <f>IFERROR(INDEX(DraftResults[[#All],[OVR]],MATCH(Table5[[#This Row],[PID]],DraftResults[[#All],[Player ID]],0)),"")</f>
        <v/>
      </c>
      <c r="Z10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2" s="52" t="str">
        <f>IFERROR(INDEX(DraftResults[[#All],[Pick in Round]],MATCH(Table5[[#This Row],[PID]],DraftResults[[#All],[Player ID]],0)),"")</f>
        <v/>
      </c>
      <c r="AB1082" s="52" t="str">
        <f>IFERROR(INDEX(DraftResults[[#All],[Team Name]],MATCH(Table5[[#This Row],[PID]],DraftResults[[#All],[Player ID]],0)),"")</f>
        <v/>
      </c>
      <c r="AC1082" s="52" t="str">
        <f>IF(Table5[[#This Row],[Ovr]]="","",IF(Table5[[#This Row],[cmbList]]="","",Table5[[#This Row],[cmbList]]-Table5[[#This Row],[Ovr]]))</f>
        <v/>
      </c>
      <c r="AD1082" s="56" t="str">
        <f>IF(ISERROR(VLOOKUP($AB1082&amp;"-"&amp;$E1082&amp;" "&amp;F1082,Bonuses!$B$1:$G$1006,4,FALSE)),"",INT(VLOOKUP($AB1082&amp;"-"&amp;$E1082&amp;" "&amp;$F1082,Bonuses!$B$1:$G$1006,4,FALSE)))</f>
        <v/>
      </c>
      <c r="AE10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3" spans="1:31" s="52" customFormat="1" x14ac:dyDescent="0.25">
      <c r="A1083" s="52">
        <v>18050</v>
      </c>
      <c r="B1083" s="52">
        <f>COUNTIF(Table5[PID],A1083)</f>
        <v>1</v>
      </c>
      <c r="C1083" s="52" t="str">
        <f>IF(COUNTIF(Table3[[#All],[PID]],A1083)&gt;0,"P","B")</f>
        <v>P</v>
      </c>
      <c r="D1083" s="61" t="str">
        <f>IF($C1083="B",INDEX(Batters[[#All],[POS]],MATCH(Table5[[#This Row],[PID]],Batters[[#All],[PID]],0)),INDEX(Table3[[#All],[POS]],MATCH(Table5[[#This Row],[PID]],Table3[[#All],[PID]],0)))</f>
        <v>SP</v>
      </c>
      <c r="E1083" s="54" t="str">
        <f>IF($C1083="B",INDEX(Batters[[#All],[First]],MATCH(Table5[[#This Row],[PID]],Batters[[#All],[PID]],0)),INDEX(Table3[[#All],[First]],MATCH(Table5[[#This Row],[PID]],Table3[[#All],[PID]],0)))</f>
        <v>Donald</v>
      </c>
      <c r="F1083" s="52" t="str">
        <f>IF($C1083="B",INDEX(Batters[[#All],[Last]],MATCH(A1083,Batters[[#All],[PID]],0)),INDEX(Table3[[#All],[Last]],MATCH(A1083,Table3[[#All],[PID]],0)))</f>
        <v>Hamilton</v>
      </c>
      <c r="G1083" s="58">
        <f>IF($C1083="B",INDEX(Batters[[#All],[Age]],MATCH(Table5[[#This Row],[PID]],Batters[[#All],[PID]],0)),INDEX(Table3[[#All],[Age]],MATCH(Table5[[#This Row],[PID]],Table3[[#All],[PID]],0)))</f>
        <v>21</v>
      </c>
      <c r="H1083" s="54" t="str">
        <f>IF($C1083="B",INDEX(Batters[[#All],[B]],MATCH(Table5[[#This Row],[PID]],Batters[[#All],[PID]],0)),INDEX(Table3[[#All],[B]],MATCH(Table5[[#This Row],[PID]],Table3[[#All],[PID]],0)))</f>
        <v>L</v>
      </c>
      <c r="I1083" s="54" t="str">
        <f>IF($C1083="B",INDEX(Batters[[#All],[T]],MATCH(Table5[[#This Row],[PID]],Batters[[#All],[PID]],0)),INDEX(Table3[[#All],[T]],MATCH(Table5[[#This Row],[PID]],Table3[[#All],[PID]],0)))</f>
        <v>L</v>
      </c>
      <c r="J1083" s="54" t="str">
        <f>IF($C1083="B",INDEX(Batters[[#All],[WE]],MATCH(Table5[[#This Row],[PID]],Batters[[#All],[PID]],0)),INDEX(Table3[[#All],[WE]],MATCH(Table5[[#This Row],[PID]],Table3[[#All],[PID]],0)))</f>
        <v>Low</v>
      </c>
      <c r="K1083" s="54" t="str">
        <f>IF($C1083="B",INDEX(Batters[[#All],[INT]],MATCH(Table5[[#This Row],[PID]],Batters[[#All],[PID]],0)),INDEX(Table3[[#All],[INT]],MATCH(Table5[[#This Row],[PID]],Table3[[#All],[PID]],0)))</f>
        <v>Low</v>
      </c>
      <c r="L1083" s="62">
        <f>IF($C1083="B",INDEX(Batters[[#All],[CON P]],MATCH(Table5[[#This Row],[PID]],Batters[[#All],[PID]],0)),INDEX(Table3[[#All],[STU P]],MATCH(Table5[[#This Row],[PID]],Table3[[#All],[PID]],0)))</f>
        <v>4</v>
      </c>
      <c r="M1083" s="58">
        <f>IF($C1083="B",INDEX(Batters[[#All],[GAP P]],MATCH(Table5[[#This Row],[PID]],Batters[[#All],[PID]],0)),INDEX(Table3[[#All],[MOV P]],MATCH(Table5[[#This Row],[PID]],Table3[[#All],[PID]],0)))</f>
        <v>1</v>
      </c>
      <c r="N1083" s="58">
        <f>IF($C1083="B",INDEX(Batters[[#All],[POW P]],MATCH(Table5[[#This Row],[PID]],Batters[[#All],[PID]],0)),INDEX(Table3[[#All],[CON P]],MATCH(Table5[[#This Row],[PID]],Table3[[#All],[PID]],0)))</f>
        <v>2</v>
      </c>
      <c r="O1083" s="58" t="str">
        <f>IF($C1083="B",INDEX(Batters[[#All],[EYE P]],MATCH(Table5[[#This Row],[PID]],Batters[[#All],[PID]],0)),INDEX(Table3[[#All],[VELO]],MATCH(Table5[[#This Row],[PID]],Table3[[#All],[PID]],0)))</f>
        <v>89-91 Mph</v>
      </c>
      <c r="P1083" s="58">
        <f>IF($C1083="B",INDEX(Batters[[#All],[K P]],MATCH(Table5[[#This Row],[PID]],Batters[[#All],[PID]],0)),INDEX(Table3[[#All],[STM]],MATCH(Table5[[#This Row],[PID]],Table3[[#All],[PID]],0)))</f>
        <v>9</v>
      </c>
      <c r="Q1083" s="63">
        <f>IF($C1083="B",INDEX(Batters[[#All],[Tot]],MATCH(Table5[[#This Row],[PID]],Batters[[#All],[PID]],0)),INDEX(Table3[[#All],[Tot]],MATCH(Table5[[#This Row],[PID]],Table3[[#All],[PID]],0)))</f>
        <v>20.056742464330398</v>
      </c>
      <c r="R1083" s="54">
        <f>IF($C1083="B",INDEX(Batters[[#All],[zScore]],MATCH(Table5[[#This Row],[PID]],Batters[[#All],[PID]],0)),INDEX(Table3[[#All],[zScore]],MATCH(Table5[[#This Row],[PID]],Table3[[#All],[PID]],0)))</f>
        <v>-1.1614812528589098</v>
      </c>
      <c r="S1083" s="60" t="str">
        <f>IF($C1083="B",INDEX(Batters[[#All],[DEM]],MATCH(Table5[[#This Row],[PID]],Batters[[#All],[PID]],0)),INDEX(Table3[[#All],[DEM]],MATCH(Table5[[#This Row],[PID]],Table3[[#All],[PID]],0)))</f>
        <v>$20k</v>
      </c>
      <c r="T1083" s="64" t="e">
        <f>IF($C1083="B",VLOOKUP($A1083,Bat!$A$4:$AU$1417,46,FALSE),VLOOKUP($A1083,Pit!$A$4:$BD$570,55,FALSE))</f>
        <v>#N/A</v>
      </c>
      <c r="U1083" s="52" t="e">
        <f>IF($C1083="B",VLOOKUP($A1083,Bat!$A$4:$BA$1417,47,FALSE),VLOOKUP($A1083,Pit!$A$4:$BF$570,56,FALSE))</f>
        <v>#N/A</v>
      </c>
      <c r="V1083" s="52" t="e">
        <f>IF($C1083="B",VLOOKUP($A1083,Bat!$A$4:$BA$1417,48,FALSE),VLOOKUP($A1083,Pit!$A$4:$BF$570,57,FALSE))</f>
        <v>#N/A</v>
      </c>
      <c r="W1083" s="52" t="e">
        <f>Table5[[#This Row],[posRnk]]+Table5[[#This Row],[zRnk]]+IF($W$3&lt;&gt;Table5[[#This Row],[Type]],50,0)</f>
        <v>#N/A</v>
      </c>
      <c r="X1083" s="53">
        <f>RANK(Table5[[#This Row],[zScore]],Table5[[#All],[zScore]])</f>
        <v>1079</v>
      </c>
      <c r="Y1083" s="52" t="str">
        <f>IFERROR(INDEX(DraftResults[[#All],[OVR]],MATCH(Table5[[#This Row],[PID]],DraftResults[[#All],[Player ID]],0)),"")</f>
        <v/>
      </c>
      <c r="Z10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3" s="52" t="str">
        <f>IFERROR(INDEX(DraftResults[[#All],[Pick in Round]],MATCH(Table5[[#This Row],[PID]],DraftResults[[#All],[Player ID]],0)),"")</f>
        <v/>
      </c>
      <c r="AB1083" s="52" t="str">
        <f>IFERROR(INDEX(DraftResults[[#All],[Team Name]],MATCH(Table5[[#This Row],[PID]],DraftResults[[#All],[Player ID]],0)),"")</f>
        <v/>
      </c>
      <c r="AC1083" s="52" t="str">
        <f>IF(Table5[[#This Row],[Ovr]]="","",IF(Table5[[#This Row],[cmbList]]="","",Table5[[#This Row],[cmbList]]-Table5[[#This Row],[Ovr]]))</f>
        <v/>
      </c>
      <c r="AD1083" s="56" t="str">
        <f>IF(ISERROR(VLOOKUP($AB1083&amp;"-"&amp;$E1083&amp;" "&amp;F1083,Bonuses!$B$1:$G$1006,4,FALSE)),"",INT(VLOOKUP($AB1083&amp;"-"&amp;$E1083&amp;" "&amp;$F1083,Bonuses!$B$1:$G$1006,4,FALSE)))</f>
        <v/>
      </c>
      <c r="AE10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4" spans="1:31" s="52" customFormat="1" x14ac:dyDescent="0.25">
      <c r="A1084" s="52">
        <v>17816</v>
      </c>
      <c r="B1084" s="52">
        <f>COUNTIF(Table5[PID],A1084)</f>
        <v>1</v>
      </c>
      <c r="C1084" s="52" t="str">
        <f>IF(COUNTIF(Table3[[#All],[PID]],A1084)&gt;0,"P","B")</f>
        <v>P</v>
      </c>
      <c r="D1084" s="61" t="str">
        <f>IF($C1084="B",INDEX(Batters[[#All],[POS]],MATCH(Table5[[#This Row],[PID]],Batters[[#All],[PID]],0)),INDEX(Table3[[#All],[POS]],MATCH(Table5[[#This Row],[PID]],Table3[[#All],[PID]],0)))</f>
        <v>RP</v>
      </c>
      <c r="E1084" s="54" t="str">
        <f>IF($C1084="B",INDEX(Batters[[#All],[First]],MATCH(Table5[[#This Row],[PID]],Batters[[#All],[PID]],0)),INDEX(Table3[[#All],[First]],MATCH(Table5[[#This Row],[PID]],Table3[[#All],[PID]],0)))</f>
        <v>Ryuichi</v>
      </c>
      <c r="F1084" s="52" t="str">
        <f>IF($C1084="B",INDEX(Batters[[#All],[Last]],MATCH(A1084,Batters[[#All],[PID]],0)),INDEX(Table3[[#All],[Last]],MATCH(A1084,Table3[[#All],[PID]],0)))</f>
        <v>Yokoyama</v>
      </c>
      <c r="G1084" s="58">
        <f>IF($C1084="B",INDEX(Batters[[#All],[Age]],MATCH(Table5[[#This Row],[PID]],Batters[[#All],[PID]],0)),INDEX(Table3[[#All],[Age]],MATCH(Table5[[#This Row],[PID]],Table3[[#All],[PID]],0)))</f>
        <v>21</v>
      </c>
      <c r="H1084" s="54" t="str">
        <f>IF($C1084="B",INDEX(Batters[[#All],[B]],MATCH(Table5[[#This Row],[PID]],Batters[[#All],[PID]],0)),INDEX(Table3[[#All],[B]],MATCH(Table5[[#This Row],[PID]],Table3[[#All],[PID]],0)))</f>
        <v>R</v>
      </c>
      <c r="I1084" s="54" t="str">
        <f>IF($C1084="B",INDEX(Batters[[#All],[T]],MATCH(Table5[[#This Row],[PID]],Batters[[#All],[PID]],0)),INDEX(Table3[[#All],[T]],MATCH(Table5[[#This Row],[PID]],Table3[[#All],[PID]],0)))</f>
        <v>L</v>
      </c>
      <c r="J1084" s="54" t="str">
        <f>IF($C1084="B",INDEX(Batters[[#All],[WE]],MATCH(Table5[[#This Row],[PID]],Batters[[#All],[PID]],0)),INDEX(Table3[[#All],[WE]],MATCH(Table5[[#This Row],[PID]],Table3[[#All],[PID]],0)))</f>
        <v>High</v>
      </c>
      <c r="K1084" s="54" t="str">
        <f>IF($C1084="B",INDEX(Batters[[#All],[INT]],MATCH(Table5[[#This Row],[PID]],Batters[[#All],[PID]],0)),INDEX(Table3[[#All],[INT]],MATCH(Table5[[#This Row],[PID]],Table3[[#All],[PID]],0)))</f>
        <v>Normal</v>
      </c>
      <c r="L1084" s="62">
        <f>IF($C1084="B",INDEX(Batters[[#All],[CON P]],MATCH(Table5[[#This Row],[PID]],Batters[[#All],[PID]],0)),INDEX(Table3[[#All],[STU P]],MATCH(Table5[[#This Row],[PID]],Table3[[#All],[PID]],0)))</f>
        <v>4</v>
      </c>
      <c r="M1084" s="58">
        <f>IF($C1084="B",INDEX(Batters[[#All],[GAP P]],MATCH(Table5[[#This Row],[PID]],Batters[[#All],[PID]],0)),INDEX(Table3[[#All],[MOV P]],MATCH(Table5[[#This Row],[PID]],Table3[[#All],[PID]],0)))</f>
        <v>1</v>
      </c>
      <c r="N1084" s="58">
        <f>IF($C1084="B",INDEX(Batters[[#All],[POW P]],MATCH(Table5[[#This Row],[PID]],Batters[[#All],[PID]],0)),INDEX(Table3[[#All],[CON P]],MATCH(Table5[[#This Row],[PID]],Table3[[#All],[PID]],0)))</f>
        <v>2</v>
      </c>
      <c r="O1084" s="58" t="str">
        <f>IF($C1084="B",INDEX(Batters[[#All],[EYE P]],MATCH(Table5[[#This Row],[PID]],Batters[[#All],[PID]],0)),INDEX(Table3[[#All],[VELO]],MATCH(Table5[[#This Row],[PID]],Table3[[#All],[PID]],0)))</f>
        <v>88-90 Mph</v>
      </c>
      <c r="P1084" s="58">
        <f>IF($C1084="B",INDEX(Batters[[#All],[K P]],MATCH(Table5[[#This Row],[PID]],Batters[[#All],[PID]],0)),INDEX(Table3[[#All],[STM]],MATCH(Table5[[#This Row],[PID]],Table3[[#All],[PID]],0)))</f>
        <v>7</v>
      </c>
      <c r="Q1084" s="63">
        <f>IF($C1084="B",INDEX(Batters[[#All],[Tot]],MATCH(Table5[[#This Row],[PID]],Batters[[#All],[PID]],0)),INDEX(Table3[[#All],[Tot]],MATCH(Table5[[#This Row],[PID]],Table3[[#All],[PID]],0)))</f>
        <v>20.019144842443055</v>
      </c>
      <c r="R1084" s="54">
        <f>IF($C1084="B",INDEX(Batters[[#All],[zScore]],MATCH(Table5[[#This Row],[PID]],Batters[[#All],[PID]],0)),INDEX(Table3[[#All],[zScore]],MATCH(Table5[[#This Row],[PID]],Table3[[#All],[PID]],0)))</f>
        <v>-1.1649291154815926</v>
      </c>
      <c r="S1084" s="60" t="str">
        <f>IF($C1084="B",INDEX(Batters[[#All],[DEM]],MATCH(Table5[[#This Row],[PID]],Batters[[#All],[PID]],0)),INDEX(Table3[[#All],[DEM]],MATCH(Table5[[#This Row],[PID]],Table3[[#All],[PID]],0)))</f>
        <v>-</v>
      </c>
      <c r="T1084" s="64">
        <f>IF($C1084="B",VLOOKUP($A1084,Bat!$A$4:$AU$1417,46,FALSE),VLOOKUP($A1084,Pit!$A$4:$BD$570,55,FALSE))</f>
        <v>0</v>
      </c>
      <c r="U1084" s="52">
        <f>IF($C1084="B",VLOOKUP($A1084,Bat!$A$4:$BA$1417,47,FALSE),VLOOKUP($A1084,Pit!$A$4:$BF$570,56,FALSE))</f>
        <v>0</v>
      </c>
      <c r="V1084" s="52">
        <f>IF($C1084="B",VLOOKUP($A1084,Bat!$A$4:$BA$1417,48,FALSE),VLOOKUP($A1084,Pit!$A$4:$BF$570,57,FALSE))</f>
        <v>0</v>
      </c>
      <c r="W1084" s="52">
        <f>Table5[[#This Row],[posRnk]]+Table5[[#This Row],[zRnk]]+IF($W$3&lt;&gt;Table5[[#This Row],[Type]],50,0)</f>
        <v>1130</v>
      </c>
      <c r="X1084" s="53">
        <f>RANK(Table5[[#This Row],[zScore]],Table5[[#All],[zScore]])</f>
        <v>1080</v>
      </c>
      <c r="Y1084" s="52" t="str">
        <f>IFERROR(INDEX(DraftResults[[#All],[OVR]],MATCH(Table5[[#This Row],[PID]],DraftResults[[#All],[Player ID]],0)),"")</f>
        <v/>
      </c>
      <c r="Z10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4" s="52" t="str">
        <f>IFERROR(INDEX(DraftResults[[#All],[Pick in Round]],MATCH(Table5[[#This Row],[PID]],DraftResults[[#All],[Player ID]],0)),"")</f>
        <v/>
      </c>
      <c r="AB1084" s="52" t="str">
        <f>IFERROR(INDEX(DraftResults[[#All],[Team Name]],MATCH(Table5[[#This Row],[PID]],DraftResults[[#All],[Player ID]],0)),"")</f>
        <v/>
      </c>
      <c r="AC1084" s="52" t="str">
        <f>IF(Table5[[#This Row],[Ovr]]="","",IF(Table5[[#This Row],[cmbList]]="","",Table5[[#This Row],[cmbList]]-Table5[[#This Row],[Ovr]]))</f>
        <v/>
      </c>
      <c r="AD1084" s="56" t="str">
        <f>IF(ISERROR(VLOOKUP($AB1084&amp;"-"&amp;$E1084&amp;" "&amp;F1084,Bonuses!$B$1:$G$1006,4,FALSE)),"",INT(VLOOKUP($AB1084&amp;"-"&amp;$E1084&amp;" "&amp;$F1084,Bonuses!$B$1:$G$1006,4,FALSE)))</f>
        <v/>
      </c>
      <c r="AE10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5" spans="1:31" s="52" customFormat="1" x14ac:dyDescent="0.25">
      <c r="A1085" s="52">
        <v>12949</v>
      </c>
      <c r="B1085" s="52">
        <f>COUNTIF(Table5[PID],A1085)</f>
        <v>1</v>
      </c>
      <c r="C1085" s="52" t="str">
        <f>IF(COUNTIF(Table3[[#All],[PID]],A1085)&gt;0,"P","B")</f>
        <v>P</v>
      </c>
      <c r="D1085" s="61" t="str">
        <f>IF($C1085="B",INDEX(Batters[[#All],[POS]],MATCH(Table5[[#This Row],[PID]],Batters[[#All],[PID]],0)),INDEX(Table3[[#All],[POS]],MATCH(Table5[[#This Row],[PID]],Table3[[#All],[PID]],0)))</f>
        <v>RP</v>
      </c>
      <c r="E1085" s="54" t="str">
        <f>IF($C1085="B",INDEX(Batters[[#All],[First]],MATCH(Table5[[#This Row],[PID]],Batters[[#All],[PID]],0)),INDEX(Table3[[#All],[First]],MATCH(Table5[[#This Row],[PID]],Table3[[#All],[PID]],0)))</f>
        <v>Logan</v>
      </c>
      <c r="F1085" s="52" t="str">
        <f>IF($C1085="B",INDEX(Batters[[#All],[Last]],MATCH(A1085,Batters[[#All],[PID]],0)),INDEX(Table3[[#All],[Last]],MATCH(A1085,Table3[[#All],[PID]],0)))</f>
        <v>Aspinwall</v>
      </c>
      <c r="G1085" s="58">
        <f>IF($C1085="B",INDEX(Batters[[#All],[Age]],MATCH(Table5[[#This Row],[PID]],Batters[[#All],[PID]],0)),INDEX(Table3[[#All],[Age]],MATCH(Table5[[#This Row],[PID]],Table3[[#All],[PID]],0)))</f>
        <v>21</v>
      </c>
      <c r="H1085" s="54" t="str">
        <f>IF($C1085="B",INDEX(Batters[[#All],[B]],MATCH(Table5[[#This Row],[PID]],Batters[[#All],[PID]],0)),INDEX(Table3[[#All],[B]],MATCH(Table5[[#This Row],[PID]],Table3[[#All],[PID]],0)))</f>
        <v>S</v>
      </c>
      <c r="I1085" s="54" t="str">
        <f>IF($C1085="B",INDEX(Batters[[#All],[T]],MATCH(Table5[[#This Row],[PID]],Batters[[#All],[PID]],0)),INDEX(Table3[[#All],[T]],MATCH(Table5[[#This Row],[PID]],Table3[[#All],[PID]],0)))</f>
        <v>R</v>
      </c>
      <c r="J1085" s="54" t="str">
        <f>IF($C1085="B",INDEX(Batters[[#All],[WE]],MATCH(Table5[[#This Row],[PID]],Batters[[#All],[PID]],0)),INDEX(Table3[[#All],[WE]],MATCH(Table5[[#This Row],[PID]],Table3[[#All],[PID]],0)))</f>
        <v>Normal</v>
      </c>
      <c r="K1085" s="54" t="str">
        <f>IF($C1085="B",INDEX(Batters[[#All],[INT]],MATCH(Table5[[#This Row],[PID]],Batters[[#All],[PID]],0)),INDEX(Table3[[#All],[INT]],MATCH(Table5[[#This Row],[PID]],Table3[[#All],[PID]],0)))</f>
        <v>Normal</v>
      </c>
      <c r="L1085" s="62">
        <f>IF($C1085="B",INDEX(Batters[[#All],[CON P]],MATCH(Table5[[#This Row],[PID]],Batters[[#All],[PID]],0)),INDEX(Table3[[#All],[STU P]],MATCH(Table5[[#This Row],[PID]],Table3[[#All],[PID]],0)))</f>
        <v>4</v>
      </c>
      <c r="M1085" s="58">
        <f>IF($C1085="B",INDEX(Batters[[#All],[GAP P]],MATCH(Table5[[#This Row],[PID]],Batters[[#All],[PID]],0)),INDEX(Table3[[#All],[MOV P]],MATCH(Table5[[#This Row],[PID]],Table3[[#All],[PID]],0)))</f>
        <v>1</v>
      </c>
      <c r="N1085" s="58">
        <f>IF($C1085="B",INDEX(Batters[[#All],[POW P]],MATCH(Table5[[#This Row],[PID]],Batters[[#All],[PID]],0)),INDEX(Table3[[#All],[CON P]],MATCH(Table5[[#This Row],[PID]],Table3[[#All],[PID]],0)))</f>
        <v>2</v>
      </c>
      <c r="O1085" s="58" t="str">
        <f>IF($C1085="B",INDEX(Batters[[#All],[EYE P]],MATCH(Table5[[#This Row],[PID]],Batters[[#All],[PID]],0)),INDEX(Table3[[#All],[VELO]],MATCH(Table5[[#This Row],[PID]],Table3[[#All],[PID]],0)))</f>
        <v>88-90 Mph</v>
      </c>
      <c r="P1085" s="58">
        <f>IF($C1085="B",INDEX(Batters[[#All],[K P]],MATCH(Table5[[#This Row],[PID]],Batters[[#All],[PID]],0)),INDEX(Table3[[#All],[STM]],MATCH(Table5[[#This Row],[PID]],Table3[[#All],[PID]],0)))</f>
        <v>10</v>
      </c>
      <c r="Q1085" s="63">
        <f>IF($C1085="B",INDEX(Batters[[#All],[Tot]],MATCH(Table5[[#This Row],[PID]],Batters[[#All],[PID]],0)),INDEX(Table3[[#All],[Tot]],MATCH(Table5[[#This Row],[PID]],Table3[[#All],[PID]],0)))</f>
        <v>19.906742464330399</v>
      </c>
      <c r="R1085" s="54">
        <f>IF($C1085="B",INDEX(Batters[[#All],[zScore]],MATCH(Table5[[#This Row],[PID]],Batters[[#All],[PID]],0)),INDEX(Table3[[#All],[zScore]],MATCH(Table5[[#This Row],[PID]],Table3[[#All],[PID]],0)))</f>
        <v>-1.1752368939723841</v>
      </c>
      <c r="S1085" s="60" t="str">
        <f>IF($C1085="B",INDEX(Batters[[#All],[DEM]],MATCH(Table5[[#This Row],[PID]],Batters[[#All],[PID]],0)),INDEX(Table3[[#All],[DEM]],MATCH(Table5[[#This Row],[PID]],Table3[[#All],[PID]],0)))</f>
        <v>$20k</v>
      </c>
      <c r="T1085" s="64" t="e">
        <f>IF($C1085="B",VLOOKUP($A1085,Bat!$A$4:$AU$1417,46,FALSE),VLOOKUP($A1085,Pit!$A$4:$BD$570,55,FALSE))</f>
        <v>#N/A</v>
      </c>
      <c r="U1085" s="52" t="e">
        <f>IF($C1085="B",VLOOKUP($A1085,Bat!$A$4:$BA$1417,47,FALSE),VLOOKUP($A1085,Pit!$A$4:$BF$570,56,FALSE))</f>
        <v>#N/A</v>
      </c>
      <c r="V1085" s="52" t="e">
        <f>IF($C1085="B",VLOOKUP($A1085,Bat!$A$4:$BA$1417,48,FALSE),VLOOKUP($A1085,Pit!$A$4:$BF$570,57,FALSE))</f>
        <v>#N/A</v>
      </c>
      <c r="W1085" s="52" t="e">
        <f>Table5[[#This Row],[posRnk]]+Table5[[#This Row],[zRnk]]+IF($W$3&lt;&gt;Table5[[#This Row],[Type]],50,0)</f>
        <v>#N/A</v>
      </c>
      <c r="X1085" s="53">
        <f>RANK(Table5[[#This Row],[zScore]],Table5[[#All],[zScore]])</f>
        <v>1081</v>
      </c>
      <c r="Y1085" s="52" t="str">
        <f>IFERROR(INDEX(DraftResults[[#All],[OVR]],MATCH(Table5[[#This Row],[PID]],DraftResults[[#All],[Player ID]],0)),"")</f>
        <v/>
      </c>
      <c r="Z10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5" s="52" t="str">
        <f>IFERROR(INDEX(DraftResults[[#All],[Pick in Round]],MATCH(Table5[[#This Row],[PID]],DraftResults[[#All],[Player ID]],0)),"")</f>
        <v/>
      </c>
      <c r="AB1085" s="52" t="str">
        <f>IFERROR(INDEX(DraftResults[[#All],[Team Name]],MATCH(Table5[[#This Row],[PID]],DraftResults[[#All],[Player ID]],0)),"")</f>
        <v/>
      </c>
      <c r="AC1085" s="52" t="str">
        <f>IF(Table5[[#This Row],[Ovr]]="","",IF(Table5[[#This Row],[cmbList]]="","",Table5[[#This Row],[cmbList]]-Table5[[#This Row],[Ovr]]))</f>
        <v/>
      </c>
      <c r="AD1085" s="56" t="str">
        <f>IF(ISERROR(VLOOKUP($AB1085&amp;"-"&amp;$E1085&amp;" "&amp;F1085,Bonuses!$B$1:$G$1006,4,FALSE)),"",INT(VLOOKUP($AB1085&amp;"-"&amp;$E1085&amp;" "&amp;$F1085,Bonuses!$B$1:$G$1006,4,FALSE)))</f>
        <v/>
      </c>
      <c r="AE10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6" spans="1:31" s="52" customFormat="1" x14ac:dyDescent="0.25">
      <c r="A1086" s="52">
        <v>4469</v>
      </c>
      <c r="B1086" s="52">
        <f>COUNTIF(Table5[PID],A1086)</f>
        <v>1</v>
      </c>
      <c r="C1086" s="52" t="str">
        <f>IF(COUNTIF(Table3[[#All],[PID]],A1086)&gt;0,"P","B")</f>
        <v>P</v>
      </c>
      <c r="D1086" s="61" t="str">
        <f>IF($C1086="B",INDEX(Batters[[#All],[POS]],MATCH(Table5[[#This Row],[PID]],Batters[[#All],[PID]],0)),INDEX(Table3[[#All],[POS]],MATCH(Table5[[#This Row],[PID]],Table3[[#All],[PID]],0)))</f>
        <v>RP</v>
      </c>
      <c r="E1086" s="54" t="str">
        <f>IF($C1086="B",INDEX(Batters[[#All],[First]],MATCH(Table5[[#This Row],[PID]],Batters[[#All],[PID]],0)),INDEX(Table3[[#All],[First]],MATCH(Table5[[#This Row],[PID]],Table3[[#All],[PID]],0)))</f>
        <v>Nathan</v>
      </c>
      <c r="F1086" s="52" t="str">
        <f>IF($C1086="B",INDEX(Batters[[#All],[Last]],MATCH(A1086,Batters[[#All],[PID]],0)),INDEX(Table3[[#All],[Last]],MATCH(A1086,Table3[[#All],[PID]],0)))</f>
        <v>Kramer</v>
      </c>
      <c r="G1086" s="58">
        <f>IF($C1086="B",INDEX(Batters[[#All],[Age]],MATCH(Table5[[#This Row],[PID]],Batters[[#All],[PID]],0)),INDEX(Table3[[#All],[Age]],MATCH(Table5[[#This Row],[PID]],Table3[[#All],[PID]],0)))</f>
        <v>20</v>
      </c>
      <c r="H1086" s="54" t="str">
        <f>IF($C1086="B",INDEX(Batters[[#All],[B]],MATCH(Table5[[#This Row],[PID]],Batters[[#All],[PID]],0)),INDEX(Table3[[#All],[B]],MATCH(Table5[[#This Row],[PID]],Table3[[#All],[PID]],0)))</f>
        <v>R</v>
      </c>
      <c r="I1086" s="54" t="str">
        <f>IF($C1086="B",INDEX(Batters[[#All],[T]],MATCH(Table5[[#This Row],[PID]],Batters[[#All],[PID]],0)),INDEX(Table3[[#All],[T]],MATCH(Table5[[#This Row],[PID]],Table3[[#All],[PID]],0)))</f>
        <v>R</v>
      </c>
      <c r="J1086" s="54" t="str">
        <f>IF($C1086="B",INDEX(Batters[[#All],[WE]],MATCH(Table5[[#This Row],[PID]],Batters[[#All],[PID]],0)),INDEX(Table3[[#All],[WE]],MATCH(Table5[[#This Row],[PID]],Table3[[#All],[PID]],0)))</f>
        <v>High</v>
      </c>
      <c r="K1086" s="54" t="str">
        <f>IF($C1086="B",INDEX(Batters[[#All],[INT]],MATCH(Table5[[#This Row],[PID]],Batters[[#All],[PID]],0)),INDEX(Table3[[#All],[INT]],MATCH(Table5[[#This Row],[PID]],Table3[[#All],[PID]],0)))</f>
        <v>Low</v>
      </c>
      <c r="L1086" s="62">
        <f>IF($C1086="B",INDEX(Batters[[#All],[CON P]],MATCH(Table5[[#This Row],[PID]],Batters[[#All],[PID]],0)),INDEX(Table3[[#All],[STU P]],MATCH(Table5[[#This Row],[PID]],Table3[[#All],[PID]],0)))</f>
        <v>4</v>
      </c>
      <c r="M1086" s="58">
        <f>IF($C1086="B",INDEX(Batters[[#All],[GAP P]],MATCH(Table5[[#This Row],[PID]],Batters[[#All],[PID]],0)),INDEX(Table3[[#All],[MOV P]],MATCH(Table5[[#This Row],[PID]],Table3[[#All],[PID]],0)))</f>
        <v>1</v>
      </c>
      <c r="N1086" s="58">
        <f>IF($C1086="B",INDEX(Batters[[#All],[POW P]],MATCH(Table5[[#This Row],[PID]],Batters[[#All],[PID]],0)),INDEX(Table3[[#All],[CON P]],MATCH(Table5[[#This Row],[PID]],Table3[[#All],[PID]],0)))</f>
        <v>2</v>
      </c>
      <c r="O1086" s="58" t="str">
        <f>IF($C1086="B",INDEX(Batters[[#All],[EYE P]],MATCH(Table5[[#This Row],[PID]],Batters[[#All],[PID]],0)),INDEX(Table3[[#All],[VELO]],MATCH(Table5[[#This Row],[PID]],Table3[[#All],[PID]],0)))</f>
        <v>87-89 Mph</v>
      </c>
      <c r="P1086" s="58">
        <f>IF($C1086="B",INDEX(Batters[[#All],[K P]],MATCH(Table5[[#This Row],[PID]],Batters[[#All],[PID]],0)),INDEX(Table3[[#All],[STM]],MATCH(Table5[[#This Row],[PID]],Table3[[#All],[PID]],0)))</f>
        <v>7</v>
      </c>
      <c r="Q1086" s="63">
        <f>IF($C1086="B",INDEX(Batters[[#All],[Tot]],MATCH(Table5[[#This Row],[PID]],Batters[[#All],[PID]],0)),INDEX(Table3[[#All],[Tot]],MATCH(Table5[[#This Row],[PID]],Table3[[#All],[PID]],0)))</f>
        <v>19.906742464330399</v>
      </c>
      <c r="R1086" s="54">
        <f>IF($C1086="B",INDEX(Batters[[#All],[zScore]],MATCH(Table5[[#This Row],[PID]],Batters[[#All],[PID]],0)),INDEX(Table3[[#All],[zScore]],MATCH(Table5[[#This Row],[PID]],Table3[[#All],[PID]],0)))</f>
        <v>-1.1752368939723841</v>
      </c>
      <c r="S1086" s="60" t="str">
        <f>IF($C1086="B",INDEX(Batters[[#All],[DEM]],MATCH(Table5[[#This Row],[PID]],Batters[[#All],[PID]],0)),INDEX(Table3[[#All],[DEM]],MATCH(Table5[[#This Row],[PID]],Table3[[#All],[PID]],0)))</f>
        <v>-</v>
      </c>
      <c r="T1086" s="64" t="e">
        <f>IF($C1086="B",VLOOKUP($A1086,Bat!$A$4:$AU$1417,46,FALSE),VLOOKUP($A1086,Pit!$A$4:$BD$570,55,FALSE))</f>
        <v>#N/A</v>
      </c>
      <c r="U1086" s="52" t="e">
        <f>IF($C1086="B",VLOOKUP($A1086,Bat!$A$4:$BA$1417,47,FALSE),VLOOKUP($A1086,Pit!$A$4:$BF$570,56,FALSE))</f>
        <v>#N/A</v>
      </c>
      <c r="V1086" s="52" t="e">
        <f>IF($C1086="B",VLOOKUP($A1086,Bat!$A$4:$BA$1417,48,FALSE),VLOOKUP($A1086,Pit!$A$4:$BF$570,57,FALSE))</f>
        <v>#N/A</v>
      </c>
      <c r="W1086" s="52" t="e">
        <f>Table5[[#This Row],[posRnk]]+Table5[[#This Row],[zRnk]]+IF($W$3&lt;&gt;Table5[[#This Row],[Type]],50,0)</f>
        <v>#N/A</v>
      </c>
      <c r="X1086" s="53">
        <f>RANK(Table5[[#This Row],[zScore]],Table5[[#All],[zScore]])</f>
        <v>1081</v>
      </c>
      <c r="Y1086" s="52" t="str">
        <f>IFERROR(INDEX(DraftResults[[#All],[OVR]],MATCH(Table5[[#This Row],[PID]],DraftResults[[#All],[Player ID]],0)),"")</f>
        <v/>
      </c>
      <c r="Z10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6" s="52" t="str">
        <f>IFERROR(INDEX(DraftResults[[#All],[Pick in Round]],MATCH(Table5[[#This Row],[PID]],DraftResults[[#All],[Player ID]],0)),"")</f>
        <v/>
      </c>
      <c r="AB1086" s="52" t="str">
        <f>IFERROR(INDEX(DraftResults[[#All],[Team Name]],MATCH(Table5[[#This Row],[PID]],DraftResults[[#All],[Player ID]],0)),"")</f>
        <v/>
      </c>
      <c r="AC1086" s="52" t="str">
        <f>IF(Table5[[#This Row],[Ovr]]="","",IF(Table5[[#This Row],[cmbList]]="","",Table5[[#This Row],[cmbList]]-Table5[[#This Row],[Ovr]]))</f>
        <v/>
      </c>
      <c r="AD1086" s="56" t="str">
        <f>IF(ISERROR(VLOOKUP($AB1086&amp;"-"&amp;$E1086&amp;" "&amp;F1086,Bonuses!$B$1:$G$1006,4,FALSE)),"",INT(VLOOKUP($AB1086&amp;"-"&amp;$E1086&amp;" "&amp;$F1086,Bonuses!$B$1:$G$1006,4,FALSE)))</f>
        <v/>
      </c>
      <c r="AE10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7" spans="1:31" s="52" customFormat="1" x14ac:dyDescent="0.25">
      <c r="A1087" s="52">
        <v>9088</v>
      </c>
      <c r="B1087" s="52">
        <f>COUNTIF(Table5[PID],A1087)</f>
        <v>1</v>
      </c>
      <c r="C1087" s="52" t="str">
        <f>IF(COUNTIF(Table3[[#All],[PID]],A1087)&gt;0,"P","B")</f>
        <v>P</v>
      </c>
      <c r="D1087" s="61" t="str">
        <f>IF($C1087="B",INDEX(Batters[[#All],[POS]],MATCH(Table5[[#This Row],[PID]],Batters[[#All],[PID]],0)),INDEX(Table3[[#All],[POS]],MATCH(Table5[[#This Row],[PID]],Table3[[#All],[PID]],0)))</f>
        <v>RP</v>
      </c>
      <c r="E1087" s="54" t="str">
        <f>IF($C1087="B",INDEX(Batters[[#All],[First]],MATCH(Table5[[#This Row],[PID]],Batters[[#All],[PID]],0)),INDEX(Table3[[#All],[First]],MATCH(Table5[[#This Row],[PID]],Table3[[#All],[PID]],0)))</f>
        <v>Ben</v>
      </c>
      <c r="F1087" s="52" t="str">
        <f>IF($C1087="B",INDEX(Batters[[#All],[Last]],MATCH(A1087,Batters[[#All],[PID]],0)),INDEX(Table3[[#All],[Last]],MATCH(A1087,Table3[[#All],[PID]],0)))</f>
        <v>Reid</v>
      </c>
      <c r="G1087" s="58">
        <f>IF($C1087="B",INDEX(Batters[[#All],[Age]],MATCH(Table5[[#This Row],[PID]],Batters[[#All],[PID]],0)),INDEX(Table3[[#All],[Age]],MATCH(Table5[[#This Row],[PID]],Table3[[#All],[PID]],0)))</f>
        <v>21</v>
      </c>
      <c r="H1087" s="54" t="str">
        <f>IF($C1087="B",INDEX(Batters[[#All],[B]],MATCH(Table5[[#This Row],[PID]],Batters[[#All],[PID]],0)),INDEX(Table3[[#All],[B]],MATCH(Table5[[#This Row],[PID]],Table3[[#All],[PID]],0)))</f>
        <v>L</v>
      </c>
      <c r="I1087" s="54" t="str">
        <f>IF($C1087="B",INDEX(Batters[[#All],[T]],MATCH(Table5[[#This Row],[PID]],Batters[[#All],[PID]],0)),INDEX(Table3[[#All],[T]],MATCH(Table5[[#This Row],[PID]],Table3[[#All],[PID]],0)))</f>
        <v>L</v>
      </c>
      <c r="J1087" s="54" t="str">
        <f>IF($C1087="B",INDEX(Batters[[#All],[WE]],MATCH(Table5[[#This Row],[PID]],Batters[[#All],[PID]],0)),INDEX(Table3[[#All],[WE]],MATCH(Table5[[#This Row],[PID]],Table3[[#All],[PID]],0)))</f>
        <v>High</v>
      </c>
      <c r="K1087" s="54" t="str">
        <f>IF($C1087="B",INDEX(Batters[[#All],[INT]],MATCH(Table5[[#This Row],[PID]],Batters[[#All],[PID]],0)),INDEX(Table3[[#All],[INT]],MATCH(Table5[[#This Row],[PID]],Table3[[#All],[PID]],0)))</f>
        <v>Low</v>
      </c>
      <c r="L1087" s="62">
        <f>IF($C1087="B",INDEX(Batters[[#All],[CON P]],MATCH(Table5[[#This Row],[PID]],Batters[[#All],[PID]],0)),INDEX(Table3[[#All],[STU P]],MATCH(Table5[[#This Row],[PID]],Table3[[#All],[PID]],0)))</f>
        <v>4</v>
      </c>
      <c r="M1087" s="58">
        <f>IF($C1087="B",INDEX(Batters[[#All],[GAP P]],MATCH(Table5[[#This Row],[PID]],Batters[[#All],[PID]],0)),INDEX(Table3[[#All],[MOV P]],MATCH(Table5[[#This Row],[PID]],Table3[[#All],[PID]],0)))</f>
        <v>1</v>
      </c>
      <c r="N1087" s="58">
        <f>IF($C1087="B",INDEX(Batters[[#All],[POW P]],MATCH(Table5[[#This Row],[PID]],Batters[[#All],[PID]],0)),INDEX(Table3[[#All],[CON P]],MATCH(Table5[[#This Row],[PID]],Table3[[#All],[PID]],0)))</f>
        <v>2</v>
      </c>
      <c r="O1087" s="58" t="str">
        <f>IF($C1087="B",INDEX(Batters[[#All],[EYE P]],MATCH(Table5[[#This Row],[PID]],Batters[[#All],[PID]],0)),INDEX(Table3[[#All],[VELO]],MATCH(Table5[[#This Row],[PID]],Table3[[#All],[PID]],0)))</f>
        <v>87-89 Mph</v>
      </c>
      <c r="P1087" s="58">
        <f>IF($C1087="B",INDEX(Batters[[#All],[K P]],MATCH(Table5[[#This Row],[PID]],Batters[[#All],[PID]],0)),INDEX(Table3[[#All],[STM]],MATCH(Table5[[#This Row],[PID]],Table3[[#All],[PID]],0)))</f>
        <v>9</v>
      </c>
      <c r="Q1087" s="63">
        <f>IF($C1087="B",INDEX(Batters[[#All],[Tot]],MATCH(Table5[[#This Row],[PID]],Batters[[#All],[PID]],0)),INDEX(Table3[[#All],[Tot]],MATCH(Table5[[#This Row],[PID]],Table3[[#All],[PID]],0)))</f>
        <v>19.906742464330399</v>
      </c>
      <c r="R1087" s="54">
        <f>IF($C1087="B",INDEX(Batters[[#All],[zScore]],MATCH(Table5[[#This Row],[PID]],Batters[[#All],[PID]],0)),INDEX(Table3[[#All],[zScore]],MATCH(Table5[[#This Row],[PID]],Table3[[#All],[PID]],0)))</f>
        <v>-1.1752368939723841</v>
      </c>
      <c r="S1087" s="60" t="str">
        <f>IF($C1087="B",INDEX(Batters[[#All],[DEM]],MATCH(Table5[[#This Row],[PID]],Batters[[#All],[PID]],0)),INDEX(Table3[[#All],[DEM]],MATCH(Table5[[#This Row],[PID]],Table3[[#All],[PID]],0)))</f>
        <v>-</v>
      </c>
      <c r="T1087" s="64" t="e">
        <f>IF($C1087="B",VLOOKUP($A1087,Bat!$A$4:$AU$1417,46,FALSE),VLOOKUP($A1087,Pit!$A$4:$BD$570,55,FALSE))</f>
        <v>#N/A</v>
      </c>
      <c r="U1087" s="52" t="e">
        <f>IF($C1087="B",VLOOKUP($A1087,Bat!$A$4:$BA$1417,47,FALSE),VLOOKUP($A1087,Pit!$A$4:$BF$570,56,FALSE))</f>
        <v>#N/A</v>
      </c>
      <c r="V1087" s="52" t="e">
        <f>IF($C1087="B",VLOOKUP($A1087,Bat!$A$4:$BA$1417,48,FALSE),VLOOKUP($A1087,Pit!$A$4:$BF$570,57,FALSE))</f>
        <v>#N/A</v>
      </c>
      <c r="W1087" s="52" t="e">
        <f>Table5[[#This Row],[posRnk]]+Table5[[#This Row],[zRnk]]+IF($W$3&lt;&gt;Table5[[#This Row],[Type]],50,0)</f>
        <v>#N/A</v>
      </c>
      <c r="X1087" s="53">
        <f>RANK(Table5[[#This Row],[zScore]],Table5[[#All],[zScore]])</f>
        <v>1081</v>
      </c>
      <c r="Y1087" s="52" t="str">
        <f>IFERROR(INDEX(DraftResults[[#All],[OVR]],MATCH(Table5[[#This Row],[PID]],DraftResults[[#All],[Player ID]],0)),"")</f>
        <v/>
      </c>
      <c r="Z10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7" s="52" t="str">
        <f>IFERROR(INDEX(DraftResults[[#All],[Pick in Round]],MATCH(Table5[[#This Row],[PID]],DraftResults[[#All],[Player ID]],0)),"")</f>
        <v/>
      </c>
      <c r="AB1087" s="52" t="str">
        <f>IFERROR(INDEX(DraftResults[[#All],[Team Name]],MATCH(Table5[[#This Row],[PID]],DraftResults[[#All],[Player ID]],0)),"")</f>
        <v/>
      </c>
      <c r="AC1087" s="52" t="str">
        <f>IF(Table5[[#This Row],[Ovr]]="","",IF(Table5[[#This Row],[cmbList]]="","",Table5[[#This Row],[cmbList]]-Table5[[#This Row],[Ovr]]))</f>
        <v/>
      </c>
      <c r="AD1087" s="56" t="str">
        <f>IF(ISERROR(VLOOKUP($AB1087&amp;"-"&amp;$E1087&amp;" "&amp;F1087,Bonuses!$B$1:$G$1006,4,FALSE)),"",INT(VLOOKUP($AB1087&amp;"-"&amp;$E1087&amp;" "&amp;$F1087,Bonuses!$B$1:$G$1006,4,FALSE)))</f>
        <v/>
      </c>
      <c r="AE10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8" spans="1:31" s="52" customFormat="1" x14ac:dyDescent="0.25">
      <c r="A1088" s="52">
        <v>8565</v>
      </c>
      <c r="B1088" s="52">
        <f>COUNTIF(Table5[PID],A1088)</f>
        <v>1</v>
      </c>
      <c r="C1088" s="52" t="str">
        <f>IF(COUNTIF(Table3[[#All],[PID]],A1088)&gt;0,"P","B")</f>
        <v>P</v>
      </c>
      <c r="D1088" s="61" t="str">
        <f>IF($C1088="B",INDEX(Batters[[#All],[POS]],MATCH(Table5[[#This Row],[PID]],Batters[[#All],[PID]],0)),INDEX(Table3[[#All],[POS]],MATCH(Table5[[#This Row],[PID]],Table3[[#All],[PID]],0)))</f>
        <v>RP</v>
      </c>
      <c r="E1088" s="54" t="str">
        <f>IF($C1088="B",INDEX(Batters[[#All],[First]],MATCH(Table5[[#This Row],[PID]],Batters[[#All],[PID]],0)),INDEX(Table3[[#All],[First]],MATCH(Table5[[#This Row],[PID]],Table3[[#All],[PID]],0)))</f>
        <v>Bill</v>
      </c>
      <c r="F1088" s="52" t="str">
        <f>IF($C1088="B",INDEX(Batters[[#All],[Last]],MATCH(A1088,Batters[[#All],[PID]],0)),INDEX(Table3[[#All],[Last]],MATCH(A1088,Table3[[#All],[PID]],0)))</f>
        <v>George</v>
      </c>
      <c r="G1088" s="58">
        <f>IF($C1088="B",INDEX(Batters[[#All],[Age]],MATCH(Table5[[#This Row],[PID]],Batters[[#All],[PID]],0)),INDEX(Table3[[#All],[Age]],MATCH(Table5[[#This Row],[PID]],Table3[[#All],[PID]],0)))</f>
        <v>22</v>
      </c>
      <c r="H1088" s="54" t="str">
        <f>IF($C1088="B",INDEX(Batters[[#All],[B]],MATCH(Table5[[#This Row],[PID]],Batters[[#All],[PID]],0)),INDEX(Table3[[#All],[B]],MATCH(Table5[[#This Row],[PID]],Table3[[#All],[PID]],0)))</f>
        <v>R</v>
      </c>
      <c r="I1088" s="54" t="str">
        <f>IF($C1088="B",INDEX(Batters[[#All],[T]],MATCH(Table5[[#This Row],[PID]],Batters[[#All],[PID]],0)),INDEX(Table3[[#All],[T]],MATCH(Table5[[#This Row],[PID]],Table3[[#All],[PID]],0)))</f>
        <v>R</v>
      </c>
      <c r="J1088" s="54" t="str">
        <f>IF($C1088="B",INDEX(Batters[[#All],[WE]],MATCH(Table5[[#This Row],[PID]],Batters[[#All],[PID]],0)),INDEX(Table3[[#All],[WE]],MATCH(Table5[[#This Row],[PID]],Table3[[#All],[PID]],0)))</f>
        <v>Normal</v>
      </c>
      <c r="K1088" s="54" t="str">
        <f>IF($C1088="B",INDEX(Batters[[#All],[INT]],MATCH(Table5[[#This Row],[PID]],Batters[[#All],[PID]],0)),INDEX(Table3[[#All],[INT]],MATCH(Table5[[#This Row],[PID]],Table3[[#All],[PID]],0)))</f>
        <v>Normal</v>
      </c>
      <c r="L1088" s="62">
        <f>IF($C1088="B",INDEX(Batters[[#All],[CON P]],MATCH(Table5[[#This Row],[PID]],Batters[[#All],[PID]],0)),INDEX(Table3[[#All],[STU P]],MATCH(Table5[[#This Row],[PID]],Table3[[#All],[PID]],0)))</f>
        <v>4</v>
      </c>
      <c r="M1088" s="58">
        <f>IF($C1088="B",INDEX(Batters[[#All],[GAP P]],MATCH(Table5[[#This Row],[PID]],Batters[[#All],[PID]],0)),INDEX(Table3[[#All],[MOV P]],MATCH(Table5[[#This Row],[PID]],Table3[[#All],[PID]],0)))</f>
        <v>1</v>
      </c>
      <c r="N1088" s="58">
        <f>IF($C1088="B",INDEX(Batters[[#All],[POW P]],MATCH(Table5[[#This Row],[PID]],Batters[[#All],[PID]],0)),INDEX(Table3[[#All],[CON P]],MATCH(Table5[[#This Row],[PID]],Table3[[#All],[PID]],0)))</f>
        <v>2</v>
      </c>
      <c r="O1088" s="58" t="str">
        <f>IF($C1088="B",INDEX(Batters[[#All],[EYE P]],MATCH(Table5[[#This Row],[PID]],Batters[[#All],[PID]],0)),INDEX(Table3[[#All],[VELO]],MATCH(Table5[[#This Row],[PID]],Table3[[#All],[PID]],0)))</f>
        <v>87-89 Mph</v>
      </c>
      <c r="P1088" s="58">
        <f>IF($C1088="B",INDEX(Batters[[#All],[K P]],MATCH(Table5[[#This Row],[PID]],Batters[[#All],[PID]],0)),INDEX(Table3[[#All],[STM]],MATCH(Table5[[#This Row],[PID]],Table3[[#All],[PID]],0)))</f>
        <v>2</v>
      </c>
      <c r="Q1088" s="63">
        <f>IF($C1088="B",INDEX(Batters[[#All],[Tot]],MATCH(Table5[[#This Row],[PID]],Batters[[#All],[PID]],0)),INDEX(Table3[[#All],[Tot]],MATCH(Table5[[#This Row],[PID]],Table3[[#All],[PID]],0)))</f>
        <v>19.869946248664164</v>
      </c>
      <c r="R1088" s="54">
        <f>IF($C1088="B",INDEX(Batters[[#All],[zScore]],MATCH(Table5[[#This Row],[PID]],Batters[[#All],[PID]],0)),INDEX(Table3[[#All],[zScore]],MATCH(Table5[[#This Row],[PID]],Table3[[#All],[PID]],0)))</f>
        <v>-1.178611264219309</v>
      </c>
      <c r="S1088" s="60" t="str">
        <f>IF($C1088="B",INDEX(Batters[[#All],[DEM]],MATCH(Table5[[#This Row],[PID]],Batters[[#All],[PID]],0)),INDEX(Table3[[#All],[DEM]],MATCH(Table5[[#This Row],[PID]],Table3[[#All],[PID]],0)))</f>
        <v>-</v>
      </c>
      <c r="T1088" s="64" t="e">
        <f>IF($C1088="B",VLOOKUP($A1088,Bat!$A$4:$AU$1417,46,FALSE),VLOOKUP($A1088,Pit!$A$4:$BD$570,55,FALSE))</f>
        <v>#N/A</v>
      </c>
      <c r="U1088" s="52" t="e">
        <f>IF($C1088="B",VLOOKUP($A1088,Bat!$A$4:$BA$1417,47,FALSE),VLOOKUP($A1088,Pit!$A$4:$BF$570,56,FALSE))</f>
        <v>#N/A</v>
      </c>
      <c r="V1088" s="52" t="e">
        <f>IF($C1088="B",VLOOKUP($A1088,Bat!$A$4:$BA$1417,48,FALSE),VLOOKUP($A1088,Pit!$A$4:$BF$570,57,FALSE))</f>
        <v>#N/A</v>
      </c>
      <c r="W1088" s="52" t="e">
        <f>Table5[[#This Row],[posRnk]]+Table5[[#This Row],[zRnk]]+IF($W$3&lt;&gt;Table5[[#This Row],[Type]],50,0)</f>
        <v>#N/A</v>
      </c>
      <c r="X1088" s="53">
        <f>RANK(Table5[[#This Row],[zScore]],Table5[[#All],[zScore]])</f>
        <v>1084</v>
      </c>
      <c r="Y1088" s="52" t="str">
        <f>IFERROR(INDEX(DraftResults[[#All],[OVR]],MATCH(Table5[[#This Row],[PID]],DraftResults[[#All],[Player ID]],0)),"")</f>
        <v/>
      </c>
      <c r="Z10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8" s="52" t="str">
        <f>IFERROR(INDEX(DraftResults[[#All],[Pick in Round]],MATCH(Table5[[#This Row],[PID]],DraftResults[[#All],[Player ID]],0)),"")</f>
        <v/>
      </c>
      <c r="AB1088" s="52" t="str">
        <f>IFERROR(INDEX(DraftResults[[#All],[Team Name]],MATCH(Table5[[#This Row],[PID]],DraftResults[[#All],[Player ID]],0)),"")</f>
        <v/>
      </c>
      <c r="AC1088" s="52" t="str">
        <f>IF(Table5[[#This Row],[Ovr]]="","",IF(Table5[[#This Row],[cmbList]]="","",Table5[[#This Row],[cmbList]]-Table5[[#This Row],[Ovr]]))</f>
        <v/>
      </c>
      <c r="AD1088" s="56" t="str">
        <f>IF(ISERROR(VLOOKUP($AB1088&amp;"-"&amp;$E1088&amp;" "&amp;F1088,Bonuses!$B$1:$G$1006,4,FALSE)),"",INT(VLOOKUP($AB1088&amp;"-"&amp;$E1088&amp;" "&amp;$F1088,Bonuses!$B$1:$G$1006,4,FALSE)))</f>
        <v/>
      </c>
      <c r="AE10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9" spans="1:31" s="52" customFormat="1" x14ac:dyDescent="0.25">
      <c r="A1089" s="52">
        <v>18068</v>
      </c>
      <c r="B1089" s="52">
        <f>COUNTIF(Table5[PID],A1089)</f>
        <v>1</v>
      </c>
      <c r="C1089" s="52" t="str">
        <f>IF(COUNTIF(Table3[[#All],[PID]],A1089)&gt;0,"P","B")</f>
        <v>P</v>
      </c>
      <c r="D1089" s="61" t="str">
        <f>IF($C1089="B",INDEX(Batters[[#All],[POS]],MATCH(Table5[[#This Row],[PID]],Batters[[#All],[PID]],0)),INDEX(Table3[[#All],[POS]],MATCH(Table5[[#This Row],[PID]],Table3[[#All],[PID]],0)))</f>
        <v>SP</v>
      </c>
      <c r="E1089" s="54" t="str">
        <f>IF($C1089="B",INDEX(Batters[[#All],[First]],MATCH(Table5[[#This Row],[PID]],Batters[[#All],[PID]],0)),INDEX(Table3[[#All],[First]],MATCH(Table5[[#This Row],[PID]],Table3[[#All],[PID]],0)))</f>
        <v>Dave</v>
      </c>
      <c r="F1089" s="52" t="str">
        <f>IF($C1089="B",INDEX(Batters[[#All],[Last]],MATCH(A1089,Batters[[#All],[PID]],0)),INDEX(Table3[[#All],[Last]],MATCH(A1089,Table3[[#All],[PID]],0)))</f>
        <v>Daniels</v>
      </c>
      <c r="G1089" s="58">
        <f>IF($C1089="B",INDEX(Batters[[#All],[Age]],MATCH(Table5[[#This Row],[PID]],Batters[[#All],[PID]],0)),INDEX(Table3[[#All],[Age]],MATCH(Table5[[#This Row],[PID]],Table3[[#All],[PID]],0)))</f>
        <v>22</v>
      </c>
      <c r="H1089" s="54" t="str">
        <f>IF($C1089="B",INDEX(Batters[[#All],[B]],MATCH(Table5[[#This Row],[PID]],Batters[[#All],[PID]],0)),INDEX(Table3[[#All],[B]],MATCH(Table5[[#This Row],[PID]],Table3[[#All],[PID]],0)))</f>
        <v>R</v>
      </c>
      <c r="I1089" s="54" t="str">
        <f>IF($C1089="B",INDEX(Batters[[#All],[T]],MATCH(Table5[[#This Row],[PID]],Batters[[#All],[PID]],0)),INDEX(Table3[[#All],[T]],MATCH(Table5[[#This Row],[PID]],Table3[[#All],[PID]],0)))</f>
        <v>R</v>
      </c>
      <c r="J1089" s="54" t="str">
        <f>IF($C1089="B",INDEX(Batters[[#All],[WE]],MATCH(Table5[[#This Row],[PID]],Batters[[#All],[PID]],0)),INDEX(Table3[[#All],[WE]],MATCH(Table5[[#This Row],[PID]],Table3[[#All],[PID]],0)))</f>
        <v>Normal</v>
      </c>
      <c r="K1089" s="54" t="str">
        <f>IF($C1089="B",INDEX(Batters[[#All],[INT]],MATCH(Table5[[#This Row],[PID]],Batters[[#All],[PID]],0)),INDEX(Table3[[#All],[INT]],MATCH(Table5[[#This Row],[PID]],Table3[[#All],[PID]],0)))</f>
        <v>Low</v>
      </c>
      <c r="L1089" s="62">
        <f>IF($C1089="B",INDEX(Batters[[#All],[CON P]],MATCH(Table5[[#This Row],[PID]],Batters[[#All],[PID]],0)),INDEX(Table3[[#All],[STU P]],MATCH(Table5[[#This Row],[PID]],Table3[[#All],[PID]],0)))</f>
        <v>4</v>
      </c>
      <c r="M1089" s="58">
        <f>IF($C1089="B",INDEX(Batters[[#All],[GAP P]],MATCH(Table5[[#This Row],[PID]],Batters[[#All],[PID]],0)),INDEX(Table3[[#All],[MOV P]],MATCH(Table5[[#This Row],[PID]],Table3[[#All],[PID]],0)))</f>
        <v>1</v>
      </c>
      <c r="N1089" s="58">
        <f>IF($C1089="B",INDEX(Batters[[#All],[POW P]],MATCH(Table5[[#This Row],[PID]],Batters[[#All],[PID]],0)),INDEX(Table3[[#All],[CON P]],MATCH(Table5[[#This Row],[PID]],Table3[[#All],[PID]],0)))</f>
        <v>2</v>
      </c>
      <c r="O1089" s="58" t="str">
        <f>IF($C1089="B",INDEX(Batters[[#All],[EYE P]],MATCH(Table5[[#This Row],[PID]],Batters[[#All],[PID]],0)),INDEX(Table3[[#All],[VELO]],MATCH(Table5[[#This Row],[PID]],Table3[[#All],[PID]],0)))</f>
        <v>90-92 Mph</v>
      </c>
      <c r="P1089" s="58">
        <f>IF($C1089="B",INDEX(Batters[[#All],[K P]],MATCH(Table5[[#This Row],[PID]],Batters[[#All],[PID]],0)),INDEX(Table3[[#All],[STM]],MATCH(Table5[[#This Row],[PID]],Table3[[#All],[PID]],0)))</f>
        <v>5</v>
      </c>
      <c r="Q1089" s="63">
        <f>IF($C1089="B",INDEX(Batters[[#All],[Tot]],MATCH(Table5[[#This Row],[PID]],Batters[[#All],[PID]],0)),INDEX(Table3[[#All],[Tot]],MATCH(Table5[[#This Row],[PID]],Table3[[#All],[PID]],0)))</f>
        <v>19.796573902722141</v>
      </c>
      <c r="R1089" s="54">
        <f>IF($C1089="B",INDEX(Batters[[#All],[zScore]],MATCH(Table5[[#This Row],[PID]],Batters[[#All],[PID]],0)),INDEX(Table3[[#All],[zScore]],MATCH(Table5[[#This Row],[PID]],Table3[[#All],[PID]],0)))</f>
        <v>-1.18533982194219</v>
      </c>
      <c r="S1089" s="60" t="str">
        <f>IF($C1089="B",INDEX(Batters[[#All],[DEM]],MATCH(Table5[[#This Row],[PID]],Batters[[#All],[PID]],0)),INDEX(Table3[[#All],[DEM]],MATCH(Table5[[#This Row],[PID]],Table3[[#All],[PID]],0)))</f>
        <v>-</v>
      </c>
      <c r="T1089" s="64" t="e">
        <f>IF($C1089="B",VLOOKUP($A1089,Bat!$A$4:$AU$1417,46,FALSE),VLOOKUP($A1089,Pit!$A$4:$BD$570,55,FALSE))</f>
        <v>#N/A</v>
      </c>
      <c r="U1089" s="52" t="e">
        <f>IF($C1089="B",VLOOKUP($A1089,Bat!$A$4:$BA$1417,47,FALSE),VLOOKUP($A1089,Pit!$A$4:$BF$570,56,FALSE))</f>
        <v>#N/A</v>
      </c>
      <c r="V1089" s="52" t="e">
        <f>IF($C1089="B",VLOOKUP($A1089,Bat!$A$4:$BA$1417,48,FALSE),VLOOKUP($A1089,Pit!$A$4:$BF$570,57,FALSE))</f>
        <v>#N/A</v>
      </c>
      <c r="W1089" s="52" t="e">
        <f>Table5[[#This Row],[posRnk]]+Table5[[#This Row],[zRnk]]+IF($W$3&lt;&gt;Table5[[#This Row],[Type]],50,0)</f>
        <v>#N/A</v>
      </c>
      <c r="X1089" s="53">
        <f>RANK(Table5[[#This Row],[zScore]],Table5[[#All],[zScore]])</f>
        <v>1085</v>
      </c>
      <c r="Y1089" s="52" t="str">
        <f>IFERROR(INDEX(DraftResults[[#All],[OVR]],MATCH(Table5[[#This Row],[PID]],DraftResults[[#All],[Player ID]],0)),"")</f>
        <v/>
      </c>
      <c r="Z10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9" s="52" t="str">
        <f>IFERROR(INDEX(DraftResults[[#All],[Pick in Round]],MATCH(Table5[[#This Row],[PID]],DraftResults[[#All],[Player ID]],0)),"")</f>
        <v/>
      </c>
      <c r="AB1089" s="52" t="str">
        <f>IFERROR(INDEX(DraftResults[[#All],[Team Name]],MATCH(Table5[[#This Row],[PID]],DraftResults[[#All],[Player ID]],0)),"")</f>
        <v/>
      </c>
      <c r="AC1089" s="52" t="str">
        <f>IF(Table5[[#This Row],[Ovr]]="","",IF(Table5[[#This Row],[cmbList]]="","",Table5[[#This Row],[cmbList]]-Table5[[#This Row],[Ovr]]))</f>
        <v/>
      </c>
      <c r="AD1089" s="56" t="str">
        <f>IF(ISERROR(VLOOKUP($AB1089&amp;"-"&amp;$E1089&amp;" "&amp;F1089,Bonuses!$B$1:$G$1006,4,FALSE)),"",INT(VLOOKUP($AB1089&amp;"-"&amp;$E1089&amp;" "&amp;$F1089,Bonuses!$B$1:$G$1006,4,FALSE)))</f>
        <v/>
      </c>
      <c r="AE10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0" spans="1:31" s="52" customFormat="1" x14ac:dyDescent="0.25">
      <c r="A1090" s="52">
        <v>8200</v>
      </c>
      <c r="B1090" s="52">
        <f>COUNTIF(Table5[PID],A1090)</f>
        <v>1</v>
      </c>
      <c r="C1090" s="52" t="str">
        <f>IF(COUNTIF(Table3[[#All],[PID]],A1090)&gt;0,"P","B")</f>
        <v>B</v>
      </c>
      <c r="D1090" s="61" t="str">
        <f>IF($C1090="B",INDEX(Batters[[#All],[POS]],MATCH(Table5[[#This Row],[PID]],Batters[[#All],[PID]],0)),INDEX(Table3[[#All],[POS]],MATCH(Table5[[#This Row],[PID]],Table3[[#All],[PID]],0)))</f>
        <v>C</v>
      </c>
      <c r="E1090" s="54" t="str">
        <f>IF($C1090="B",INDEX(Batters[[#All],[First]],MATCH(Table5[[#This Row],[PID]],Batters[[#All],[PID]],0)),INDEX(Table3[[#All],[First]],MATCH(Table5[[#This Row],[PID]],Table3[[#All],[PID]],0)))</f>
        <v>Nathan</v>
      </c>
      <c r="F1090" s="52" t="str">
        <f>IF($C1090="B",INDEX(Batters[[#All],[Last]],MATCH(A1090,Batters[[#All],[PID]],0)),INDEX(Table3[[#All],[Last]],MATCH(A1090,Table3[[#All],[PID]],0)))</f>
        <v>Jenkins</v>
      </c>
      <c r="G1090" s="58">
        <f>IF($C1090="B",INDEX(Batters[[#All],[Age]],MATCH(Table5[[#This Row],[PID]],Batters[[#All],[PID]],0)),INDEX(Table3[[#All],[Age]],MATCH(Table5[[#This Row],[PID]],Table3[[#All],[PID]],0)))</f>
        <v>18</v>
      </c>
      <c r="H1090" s="54" t="str">
        <f>IF($C1090="B",INDEX(Batters[[#All],[B]],MATCH(Table5[[#This Row],[PID]],Batters[[#All],[PID]],0)),INDEX(Table3[[#All],[B]],MATCH(Table5[[#This Row],[PID]],Table3[[#All],[PID]],0)))</f>
        <v>R</v>
      </c>
      <c r="I1090" s="54" t="str">
        <f>IF($C1090="B",INDEX(Batters[[#All],[T]],MATCH(Table5[[#This Row],[PID]],Batters[[#All],[PID]],0)),INDEX(Table3[[#All],[T]],MATCH(Table5[[#This Row],[PID]],Table3[[#All],[PID]],0)))</f>
        <v>R</v>
      </c>
      <c r="J1090" s="54" t="str">
        <f>IF($C1090="B",INDEX(Batters[[#All],[WE]],MATCH(Table5[[#This Row],[PID]],Batters[[#All],[PID]],0)),INDEX(Table3[[#All],[WE]],MATCH(Table5[[#This Row],[PID]],Table3[[#All],[PID]],0)))</f>
        <v>Low</v>
      </c>
      <c r="K1090" s="54" t="str">
        <f>IF($C1090="B",INDEX(Batters[[#All],[INT]],MATCH(Table5[[#This Row],[PID]],Batters[[#All],[PID]],0)),INDEX(Table3[[#All],[INT]],MATCH(Table5[[#This Row],[PID]],Table3[[#All],[PID]],0)))</f>
        <v>Normal</v>
      </c>
      <c r="L1090" s="62">
        <f>IF($C1090="B",INDEX(Batters[[#All],[CON P]],MATCH(Table5[[#This Row],[PID]],Batters[[#All],[PID]],0)),INDEX(Table3[[#All],[STU P]],MATCH(Table5[[#This Row],[PID]],Table3[[#All],[PID]],0)))</f>
        <v>2</v>
      </c>
      <c r="M1090" s="58">
        <f>IF($C1090="B",INDEX(Batters[[#All],[GAP P]],MATCH(Table5[[#This Row],[PID]],Batters[[#All],[PID]],0)),INDEX(Table3[[#All],[MOV P]],MATCH(Table5[[#This Row],[PID]],Table3[[#All],[PID]],0)))</f>
        <v>2</v>
      </c>
      <c r="N1090" s="58">
        <f>IF($C1090="B",INDEX(Batters[[#All],[POW P]],MATCH(Table5[[#This Row],[PID]],Batters[[#All],[PID]],0)),INDEX(Table3[[#All],[CON P]],MATCH(Table5[[#This Row],[PID]],Table3[[#All],[PID]],0)))</f>
        <v>3</v>
      </c>
      <c r="O1090" s="58">
        <f>IF($C1090="B",INDEX(Batters[[#All],[EYE P]],MATCH(Table5[[#This Row],[PID]],Batters[[#All],[PID]],0)),INDEX(Table3[[#All],[VELO]],MATCH(Table5[[#This Row],[PID]],Table3[[#All],[PID]],0)))</f>
        <v>3</v>
      </c>
      <c r="P1090" s="58">
        <f>IF($C1090="B",INDEX(Batters[[#All],[K P]],MATCH(Table5[[#This Row],[PID]],Batters[[#All],[PID]],0)),INDEX(Table3[[#All],[STM]],MATCH(Table5[[#This Row],[PID]],Table3[[#All],[PID]],0)))</f>
        <v>2</v>
      </c>
      <c r="Q1090" s="63">
        <f>IF($C1090="B",INDEX(Batters[[#All],[Tot]],MATCH(Table5[[#This Row],[PID]],Batters[[#All],[PID]],0)),INDEX(Table3[[#All],[Tot]],MATCH(Table5[[#This Row],[PID]],Table3[[#All],[PID]],0)))</f>
        <v>33.597841340953892</v>
      </c>
      <c r="R1090" s="54">
        <f>IF($C1090="B",INDEX(Batters[[#All],[zScore]],MATCH(Table5[[#This Row],[PID]],Batters[[#All],[PID]],0)),INDEX(Table3[[#All],[zScore]],MATCH(Table5[[#This Row],[PID]],Table3[[#All],[PID]],0)))</f>
        <v>-1.1876890734819432</v>
      </c>
      <c r="S1090" s="60" t="str">
        <f>IF($C1090="B",INDEX(Batters[[#All],[DEM]],MATCH(Table5[[#This Row],[PID]],Batters[[#All],[PID]],0)),INDEX(Table3[[#All],[DEM]],MATCH(Table5[[#This Row],[PID]],Table3[[#All],[PID]],0)))</f>
        <v>$75k</v>
      </c>
      <c r="T1090" s="64">
        <f>IF($C1090="B",VLOOKUP($A1090,Bat!$A$4:$AU$1417,46,FALSE),VLOOKUP($A1090,Pit!$A$4:$BD$570,55,FALSE))</f>
        <v>0</v>
      </c>
      <c r="U1090" s="52">
        <f>IF($C1090="B",VLOOKUP($A1090,Bat!$A$4:$BA$1417,47,FALSE),VLOOKUP($A1090,Pit!$A$4:$BF$570,56,FALSE))</f>
        <v>0</v>
      </c>
      <c r="V1090" s="52">
        <f>IF($C1090="B",VLOOKUP($A1090,Bat!$A$4:$BA$1417,48,FALSE),VLOOKUP($A1090,Pit!$A$4:$BF$570,57,FALSE))</f>
        <v>0</v>
      </c>
      <c r="W1090" s="52">
        <f>Table5[[#This Row],[posRnk]]+Table5[[#This Row],[zRnk]]+IF($W$3&lt;&gt;Table5[[#This Row],[Type]],50,0)</f>
        <v>1136</v>
      </c>
      <c r="X1090" s="53">
        <f>RANK(Table5[[#This Row],[zScore]],Table5[[#All],[zScore]])</f>
        <v>1086</v>
      </c>
      <c r="Y1090" s="52" t="str">
        <f>IFERROR(INDEX(DraftResults[[#All],[OVR]],MATCH(Table5[[#This Row],[PID]],DraftResults[[#All],[Player ID]],0)),"")</f>
        <v/>
      </c>
      <c r="Z10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0" s="52" t="str">
        <f>IFERROR(INDEX(DraftResults[[#All],[Pick in Round]],MATCH(Table5[[#This Row],[PID]],DraftResults[[#All],[Player ID]],0)),"")</f>
        <v/>
      </c>
      <c r="AB1090" s="52" t="str">
        <f>IFERROR(INDEX(DraftResults[[#All],[Team Name]],MATCH(Table5[[#This Row],[PID]],DraftResults[[#All],[Player ID]],0)),"")</f>
        <v/>
      </c>
      <c r="AC1090" s="52" t="str">
        <f>IF(Table5[[#This Row],[Ovr]]="","",IF(Table5[[#This Row],[cmbList]]="","",Table5[[#This Row],[cmbList]]-Table5[[#This Row],[Ovr]]))</f>
        <v/>
      </c>
      <c r="AD1090" s="56" t="str">
        <f>IF(ISERROR(VLOOKUP($AB1090&amp;"-"&amp;$E1090&amp;" "&amp;F1090,Bonuses!$B$1:$G$1006,4,FALSE)),"",INT(VLOOKUP($AB1090&amp;"-"&amp;$E1090&amp;" "&amp;$F1090,Bonuses!$B$1:$G$1006,4,FALSE)))</f>
        <v/>
      </c>
      <c r="AE10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1" spans="1:31" s="52" customFormat="1" x14ac:dyDescent="0.25">
      <c r="A1091" s="52">
        <v>4825</v>
      </c>
      <c r="B1091" s="52">
        <f>COUNTIF(Table5[PID],A1091)</f>
        <v>1</v>
      </c>
      <c r="C1091" s="52" t="str">
        <f>IF(COUNTIF(Table3[[#All],[PID]],A1091)&gt;0,"P","B")</f>
        <v>P</v>
      </c>
      <c r="D1091" s="61" t="str">
        <f>IF($C1091="B",INDEX(Batters[[#All],[POS]],MATCH(Table5[[#This Row],[PID]],Batters[[#All],[PID]],0)),INDEX(Table3[[#All],[POS]],MATCH(Table5[[#This Row],[PID]],Table3[[#All],[PID]],0)))</f>
        <v>RP</v>
      </c>
      <c r="E1091" s="54" t="str">
        <f>IF($C1091="B",INDEX(Batters[[#All],[First]],MATCH(Table5[[#This Row],[PID]],Batters[[#All],[PID]],0)),INDEX(Table3[[#All],[First]],MATCH(Table5[[#This Row],[PID]],Table3[[#All],[PID]],0)))</f>
        <v>Kent</v>
      </c>
      <c r="F1091" s="52" t="str">
        <f>IF($C1091="B",INDEX(Batters[[#All],[Last]],MATCH(A1091,Batters[[#All],[PID]],0)),INDEX(Table3[[#All],[Last]],MATCH(A1091,Table3[[#All],[PID]],0)))</f>
        <v>Davis</v>
      </c>
      <c r="G1091" s="58">
        <f>IF($C1091="B",INDEX(Batters[[#All],[Age]],MATCH(Table5[[#This Row],[PID]],Batters[[#All],[PID]],0)),INDEX(Table3[[#All],[Age]],MATCH(Table5[[#This Row],[PID]],Table3[[#All],[PID]],0)))</f>
        <v>21</v>
      </c>
      <c r="H1091" s="54" t="str">
        <f>IF($C1091="B",INDEX(Batters[[#All],[B]],MATCH(Table5[[#This Row],[PID]],Batters[[#All],[PID]],0)),INDEX(Table3[[#All],[B]],MATCH(Table5[[#This Row],[PID]],Table3[[#All],[PID]],0)))</f>
        <v>R</v>
      </c>
      <c r="I1091" s="54" t="str">
        <f>IF($C1091="B",INDEX(Batters[[#All],[T]],MATCH(Table5[[#This Row],[PID]],Batters[[#All],[PID]],0)),INDEX(Table3[[#All],[T]],MATCH(Table5[[#This Row],[PID]],Table3[[#All],[PID]],0)))</f>
        <v>R</v>
      </c>
      <c r="J1091" s="54" t="str">
        <f>IF($C1091="B",INDEX(Batters[[#All],[WE]],MATCH(Table5[[#This Row],[PID]],Batters[[#All],[PID]],0)),INDEX(Table3[[#All],[WE]],MATCH(Table5[[#This Row],[PID]],Table3[[#All],[PID]],0)))</f>
        <v>Low</v>
      </c>
      <c r="K1091" s="54" t="str">
        <f>IF($C1091="B",INDEX(Batters[[#All],[INT]],MATCH(Table5[[#This Row],[PID]],Batters[[#All],[PID]],0)),INDEX(Table3[[#All],[INT]],MATCH(Table5[[#This Row],[PID]],Table3[[#All],[PID]],0)))</f>
        <v>Normal</v>
      </c>
      <c r="L1091" s="62">
        <f>IF($C1091="B",INDEX(Batters[[#All],[CON P]],MATCH(Table5[[#This Row],[PID]],Batters[[#All],[PID]],0)),INDEX(Table3[[#All],[STU P]],MATCH(Table5[[#This Row],[PID]],Table3[[#All],[PID]],0)))</f>
        <v>2</v>
      </c>
      <c r="M1091" s="58">
        <f>IF($C1091="B",INDEX(Batters[[#All],[GAP P]],MATCH(Table5[[#This Row],[PID]],Batters[[#All],[PID]],0)),INDEX(Table3[[#All],[MOV P]],MATCH(Table5[[#This Row],[PID]],Table3[[#All],[PID]],0)))</f>
        <v>2</v>
      </c>
      <c r="N1091" s="58">
        <f>IF($C1091="B",INDEX(Batters[[#All],[POW P]],MATCH(Table5[[#This Row],[PID]],Batters[[#All],[PID]],0)),INDEX(Table3[[#All],[CON P]],MATCH(Table5[[#This Row],[PID]],Table3[[#All],[PID]],0)))</f>
        <v>2</v>
      </c>
      <c r="O1091" s="58" t="str">
        <f>IF($C1091="B",INDEX(Batters[[#All],[EYE P]],MATCH(Table5[[#This Row],[PID]],Batters[[#All],[PID]],0)),INDEX(Table3[[#All],[VELO]],MATCH(Table5[[#This Row],[PID]],Table3[[#All],[PID]],0)))</f>
        <v>85-87 Mph</v>
      </c>
      <c r="P1091" s="58">
        <f>IF($C1091="B",INDEX(Batters[[#All],[K P]],MATCH(Table5[[#This Row],[PID]],Batters[[#All],[PID]],0)),INDEX(Table3[[#All],[STM]],MATCH(Table5[[#This Row],[PID]],Table3[[#All],[PID]],0)))</f>
        <v>9</v>
      </c>
      <c r="Q1091" s="63">
        <f>IF($C1091="B",INDEX(Batters[[#All],[Tot]],MATCH(Table5[[#This Row],[PID]],Batters[[#All],[PID]],0)),INDEX(Table3[[#All],[Tot]],MATCH(Table5[[#This Row],[PID]],Table3[[#All],[PID]],0)))</f>
        <v>16.801478296401314</v>
      </c>
      <c r="R1091" s="54">
        <f>IF($C1091="B",INDEX(Batters[[#All],[zScore]],MATCH(Table5[[#This Row],[PID]],Batters[[#All],[PID]],0)),INDEX(Table3[[#All],[zScore]],MATCH(Table5[[#This Row],[PID]],Table3[[#All],[PID]],0)))</f>
        <v>-1.1913930605520919</v>
      </c>
      <c r="S1091" s="60" t="str">
        <f>IF($C1091="B",INDEX(Batters[[#All],[DEM]],MATCH(Table5[[#This Row],[PID]],Batters[[#All],[PID]],0)),INDEX(Table3[[#All],[DEM]],MATCH(Table5[[#This Row],[PID]],Table3[[#All],[PID]],0)))</f>
        <v>-</v>
      </c>
      <c r="T1091" s="64" t="e">
        <f>IF($C1091="B",VLOOKUP($A1091,Bat!$A$4:$AU$1417,46,FALSE),VLOOKUP($A1091,Pit!$A$4:$BD$570,55,FALSE))</f>
        <v>#N/A</v>
      </c>
      <c r="U1091" s="52" t="e">
        <f>IF($C1091="B",VLOOKUP($A1091,Bat!$A$4:$BA$1417,47,FALSE),VLOOKUP($A1091,Pit!$A$4:$BF$570,56,FALSE))</f>
        <v>#N/A</v>
      </c>
      <c r="V1091" s="52" t="e">
        <f>IF($C1091="B",VLOOKUP($A1091,Bat!$A$4:$BA$1417,48,FALSE),VLOOKUP($A1091,Pit!$A$4:$BF$570,57,FALSE))</f>
        <v>#N/A</v>
      </c>
      <c r="W1091" s="52" t="e">
        <f>Table5[[#This Row],[posRnk]]+Table5[[#This Row],[zRnk]]+IF($W$3&lt;&gt;Table5[[#This Row],[Type]],50,0)</f>
        <v>#N/A</v>
      </c>
      <c r="X1091" s="53">
        <f>RANK(Table5[[#This Row],[zScore]],Table5[[#All],[zScore]])</f>
        <v>1087</v>
      </c>
      <c r="Y1091" s="52" t="str">
        <f>IFERROR(INDEX(DraftResults[[#All],[OVR]],MATCH(Table5[[#This Row],[PID]],DraftResults[[#All],[Player ID]],0)),"")</f>
        <v/>
      </c>
      <c r="Z10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1" s="52" t="str">
        <f>IFERROR(INDEX(DraftResults[[#All],[Pick in Round]],MATCH(Table5[[#This Row],[PID]],DraftResults[[#All],[Player ID]],0)),"")</f>
        <v/>
      </c>
      <c r="AB1091" s="52" t="str">
        <f>IFERROR(INDEX(DraftResults[[#All],[Team Name]],MATCH(Table5[[#This Row],[PID]],DraftResults[[#All],[Player ID]],0)),"")</f>
        <v/>
      </c>
      <c r="AC1091" s="52" t="str">
        <f>IF(Table5[[#This Row],[Ovr]]="","",IF(Table5[[#This Row],[cmbList]]="","",Table5[[#This Row],[cmbList]]-Table5[[#This Row],[Ovr]]))</f>
        <v/>
      </c>
      <c r="AD1091" s="56" t="str">
        <f>IF(ISERROR(VLOOKUP($AB1091&amp;"-"&amp;$E1091&amp;" "&amp;F1091,Bonuses!$B$1:$G$1006,4,FALSE)),"",INT(VLOOKUP($AB1091&amp;"-"&amp;$E1091&amp;" "&amp;$F1091,Bonuses!$B$1:$G$1006,4,FALSE)))</f>
        <v/>
      </c>
      <c r="AE10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2" spans="1:31" s="52" customFormat="1" x14ac:dyDescent="0.25">
      <c r="A1092" s="52">
        <v>12182</v>
      </c>
      <c r="B1092" s="52">
        <f>COUNTIF(Table5[PID],A1092)</f>
        <v>1</v>
      </c>
      <c r="C1092" s="52" t="str">
        <f>IF(COUNTIF(Table3[[#All],[PID]],A1092)&gt;0,"P","B")</f>
        <v>P</v>
      </c>
      <c r="D1092" s="61" t="str">
        <f>IF($C1092="B",INDEX(Batters[[#All],[POS]],MATCH(Table5[[#This Row],[PID]],Batters[[#All],[PID]],0)),INDEX(Table3[[#All],[POS]],MATCH(Table5[[#This Row],[PID]],Table3[[#All],[PID]],0)))</f>
        <v>RP</v>
      </c>
      <c r="E1092" s="54" t="str">
        <f>IF($C1092="B",INDEX(Batters[[#All],[First]],MATCH(Table5[[#This Row],[PID]],Batters[[#All],[PID]],0)),INDEX(Table3[[#All],[First]],MATCH(Table5[[#This Row],[PID]],Table3[[#All],[PID]],0)))</f>
        <v>Liam</v>
      </c>
      <c r="F1092" s="52" t="str">
        <f>IF($C1092="B",INDEX(Batters[[#All],[Last]],MATCH(A1092,Batters[[#All],[PID]],0)),INDEX(Table3[[#All],[Last]],MATCH(A1092,Table3[[#All],[PID]],0)))</f>
        <v>Pew</v>
      </c>
      <c r="G1092" s="58">
        <f>IF($C1092="B",INDEX(Batters[[#All],[Age]],MATCH(Table5[[#This Row],[PID]],Batters[[#All],[PID]],0)),INDEX(Table3[[#All],[Age]],MATCH(Table5[[#This Row],[PID]],Table3[[#All],[PID]],0)))</f>
        <v>21</v>
      </c>
      <c r="H1092" s="54" t="str">
        <f>IF($C1092="B",INDEX(Batters[[#All],[B]],MATCH(Table5[[#This Row],[PID]],Batters[[#All],[PID]],0)),INDEX(Table3[[#All],[B]],MATCH(Table5[[#This Row],[PID]],Table3[[#All],[PID]],0)))</f>
        <v>L</v>
      </c>
      <c r="I1092" s="54" t="str">
        <f>IF($C1092="B",INDEX(Batters[[#All],[T]],MATCH(Table5[[#This Row],[PID]],Batters[[#All],[PID]],0)),INDEX(Table3[[#All],[T]],MATCH(Table5[[#This Row],[PID]],Table3[[#All],[PID]],0)))</f>
        <v>L</v>
      </c>
      <c r="J1092" s="54" t="str">
        <f>IF($C1092="B",INDEX(Batters[[#All],[WE]],MATCH(Table5[[#This Row],[PID]],Batters[[#All],[PID]],0)),INDEX(Table3[[#All],[WE]],MATCH(Table5[[#This Row],[PID]],Table3[[#All],[PID]],0)))</f>
        <v>Low</v>
      </c>
      <c r="K1092" s="54" t="str">
        <f>IF($C1092="B",INDEX(Batters[[#All],[INT]],MATCH(Table5[[#This Row],[PID]],Batters[[#All],[PID]],0)),INDEX(Table3[[#All],[INT]],MATCH(Table5[[#This Row],[PID]],Table3[[#All],[PID]],0)))</f>
        <v>Normal</v>
      </c>
      <c r="L1092" s="62">
        <f>IF($C1092="B",INDEX(Batters[[#All],[CON P]],MATCH(Table5[[#This Row],[PID]],Batters[[#All],[PID]],0)),INDEX(Table3[[#All],[STU P]],MATCH(Table5[[#This Row],[PID]],Table3[[#All],[PID]],0)))</f>
        <v>3</v>
      </c>
      <c r="M1092" s="58">
        <f>IF($C1092="B",INDEX(Batters[[#All],[GAP P]],MATCH(Table5[[#This Row],[PID]],Batters[[#All],[PID]],0)),INDEX(Table3[[#All],[MOV P]],MATCH(Table5[[#This Row],[PID]],Table3[[#All],[PID]],0)))</f>
        <v>1</v>
      </c>
      <c r="N1092" s="58">
        <f>IF($C1092="B",INDEX(Batters[[#All],[POW P]],MATCH(Table5[[#This Row],[PID]],Batters[[#All],[PID]],0)),INDEX(Table3[[#All],[CON P]],MATCH(Table5[[#This Row],[PID]],Table3[[#All],[PID]],0)))</f>
        <v>2</v>
      </c>
      <c r="O1092" s="58" t="str">
        <f>IF($C1092="B",INDEX(Batters[[#All],[EYE P]],MATCH(Table5[[#This Row],[PID]],Batters[[#All],[PID]],0)),INDEX(Table3[[#All],[VELO]],MATCH(Table5[[#This Row],[PID]],Table3[[#All],[PID]],0)))</f>
        <v>85-87 Mph</v>
      </c>
      <c r="P1092" s="58">
        <f>IF($C1092="B",INDEX(Batters[[#All],[K P]],MATCH(Table5[[#This Row],[PID]],Batters[[#All],[PID]],0)),INDEX(Table3[[#All],[STM]],MATCH(Table5[[#This Row],[PID]],Table3[[#All],[PID]],0)))</f>
        <v>10</v>
      </c>
      <c r="Q1092" s="63">
        <f>IF($C1092="B",INDEX(Batters[[#All],[Tot]],MATCH(Table5[[#This Row],[PID]],Batters[[#All],[PID]],0)),INDEX(Table3[[#All],[Tot]],MATCH(Table5[[#This Row],[PID]],Table3[[#All],[PID]],0)))</f>
        <v>16.750278823782843</v>
      </c>
      <c r="R1092" s="54">
        <f>IF($C1092="B",INDEX(Batters[[#All],[zScore]],MATCH(Table5[[#This Row],[PID]],Batters[[#All],[PID]],0)),INDEX(Table3[[#All],[zScore]],MATCH(Table5[[#This Row],[PID]],Table3[[#All],[PID]],0)))</f>
        <v>-1.195880315536868</v>
      </c>
      <c r="S1092" s="60" t="str">
        <f>IF($C1092="B",INDEX(Batters[[#All],[DEM]],MATCH(Table5[[#This Row],[PID]],Batters[[#All],[PID]],0)),INDEX(Table3[[#All],[DEM]],MATCH(Table5[[#This Row],[PID]],Table3[[#All],[PID]],0)))</f>
        <v>-</v>
      </c>
      <c r="T1092" s="64" t="e">
        <f>IF($C1092="B",VLOOKUP($A1092,Bat!$A$4:$AU$1417,46,FALSE),VLOOKUP($A1092,Pit!$A$4:$BD$570,55,FALSE))</f>
        <v>#N/A</v>
      </c>
      <c r="U1092" s="52" t="e">
        <f>IF($C1092="B",VLOOKUP($A1092,Bat!$A$4:$BA$1417,47,FALSE),VLOOKUP($A1092,Pit!$A$4:$BF$570,56,FALSE))</f>
        <v>#N/A</v>
      </c>
      <c r="V1092" s="52" t="e">
        <f>IF($C1092="B",VLOOKUP($A1092,Bat!$A$4:$BA$1417,48,FALSE),VLOOKUP($A1092,Pit!$A$4:$BF$570,57,FALSE))</f>
        <v>#N/A</v>
      </c>
      <c r="W1092" s="52" t="e">
        <f>Table5[[#This Row],[posRnk]]+Table5[[#This Row],[zRnk]]+IF($W$3&lt;&gt;Table5[[#This Row],[Type]],50,0)</f>
        <v>#N/A</v>
      </c>
      <c r="X1092" s="53">
        <f>RANK(Table5[[#This Row],[zScore]],Table5[[#All],[zScore]])</f>
        <v>1088</v>
      </c>
      <c r="Y1092" s="52" t="str">
        <f>IFERROR(INDEX(DraftResults[[#All],[OVR]],MATCH(Table5[[#This Row],[PID]],DraftResults[[#All],[Player ID]],0)),"")</f>
        <v/>
      </c>
      <c r="Z10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2" s="52" t="str">
        <f>IFERROR(INDEX(DraftResults[[#All],[Pick in Round]],MATCH(Table5[[#This Row],[PID]],DraftResults[[#All],[Player ID]],0)),"")</f>
        <v/>
      </c>
      <c r="AB1092" s="52" t="str">
        <f>IFERROR(INDEX(DraftResults[[#All],[Team Name]],MATCH(Table5[[#This Row],[PID]],DraftResults[[#All],[Player ID]],0)),"")</f>
        <v/>
      </c>
      <c r="AC1092" s="52" t="str">
        <f>IF(Table5[[#This Row],[Ovr]]="","",IF(Table5[[#This Row],[cmbList]]="","",Table5[[#This Row],[cmbList]]-Table5[[#This Row],[Ovr]]))</f>
        <v/>
      </c>
      <c r="AD1092" s="56" t="str">
        <f>IF(ISERROR(VLOOKUP($AB1092&amp;"-"&amp;$E1092&amp;" "&amp;F1092,Bonuses!$B$1:$G$1006,4,FALSE)),"",INT(VLOOKUP($AB1092&amp;"-"&amp;$E1092&amp;" "&amp;$F1092,Bonuses!$B$1:$G$1006,4,FALSE)))</f>
        <v/>
      </c>
      <c r="AE10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3" spans="1:31" s="52" customFormat="1" x14ac:dyDescent="0.25">
      <c r="A1093" s="52">
        <v>12218</v>
      </c>
      <c r="B1093" s="52">
        <f>COUNTIF(Table5[PID],A1093)</f>
        <v>1</v>
      </c>
      <c r="C1093" s="52" t="str">
        <f>IF(COUNTIF(Table3[[#All],[PID]],A1093)&gt;0,"P","B")</f>
        <v>P</v>
      </c>
      <c r="D1093" s="61" t="str">
        <f>IF($C1093="B",INDEX(Batters[[#All],[POS]],MATCH(Table5[[#This Row],[PID]],Batters[[#All],[PID]],0)),INDEX(Table3[[#All],[POS]],MATCH(Table5[[#This Row],[PID]],Table3[[#All],[PID]],0)))</f>
        <v>RP</v>
      </c>
      <c r="E1093" s="54" t="str">
        <f>IF($C1093="B",INDEX(Batters[[#All],[First]],MATCH(Table5[[#This Row],[PID]],Batters[[#All],[PID]],0)),INDEX(Table3[[#All],[First]],MATCH(Table5[[#This Row],[PID]],Table3[[#All],[PID]],0)))</f>
        <v>Larry</v>
      </c>
      <c r="F1093" s="52" t="str">
        <f>IF($C1093="B",INDEX(Batters[[#All],[Last]],MATCH(A1093,Batters[[#All],[PID]],0)),INDEX(Table3[[#All],[Last]],MATCH(A1093,Table3[[#All],[PID]],0)))</f>
        <v>O'Connor</v>
      </c>
      <c r="G1093" s="58">
        <f>IF($C1093="B",INDEX(Batters[[#All],[Age]],MATCH(Table5[[#This Row],[PID]],Batters[[#All],[PID]],0)),INDEX(Table3[[#All],[Age]],MATCH(Table5[[#This Row],[PID]],Table3[[#All],[PID]],0)))</f>
        <v>21</v>
      </c>
      <c r="H1093" s="54" t="str">
        <f>IF($C1093="B",INDEX(Batters[[#All],[B]],MATCH(Table5[[#This Row],[PID]],Batters[[#All],[PID]],0)),INDEX(Table3[[#All],[B]],MATCH(Table5[[#This Row],[PID]],Table3[[#All],[PID]],0)))</f>
        <v>S</v>
      </c>
      <c r="I1093" s="54" t="str">
        <f>IF($C1093="B",INDEX(Batters[[#All],[T]],MATCH(Table5[[#This Row],[PID]],Batters[[#All],[PID]],0)),INDEX(Table3[[#All],[T]],MATCH(Table5[[#This Row],[PID]],Table3[[#All],[PID]],0)))</f>
        <v>R</v>
      </c>
      <c r="J1093" s="54" t="str">
        <f>IF($C1093="B",INDEX(Batters[[#All],[WE]],MATCH(Table5[[#This Row],[PID]],Batters[[#All],[PID]],0)),INDEX(Table3[[#All],[WE]],MATCH(Table5[[#This Row],[PID]],Table3[[#All],[PID]],0)))</f>
        <v>Low</v>
      </c>
      <c r="K1093" s="54" t="str">
        <f>IF($C1093="B",INDEX(Batters[[#All],[INT]],MATCH(Table5[[#This Row],[PID]],Batters[[#All],[PID]],0)),INDEX(Table3[[#All],[INT]],MATCH(Table5[[#This Row],[PID]],Table3[[#All],[PID]],0)))</f>
        <v>Normal</v>
      </c>
      <c r="L1093" s="62">
        <f>IF($C1093="B",INDEX(Batters[[#All],[CON P]],MATCH(Table5[[#This Row],[PID]],Batters[[#All],[PID]],0)),INDEX(Table3[[#All],[STU P]],MATCH(Table5[[#This Row],[PID]],Table3[[#All],[PID]],0)))</f>
        <v>4</v>
      </c>
      <c r="M1093" s="58">
        <f>IF($C1093="B",INDEX(Batters[[#All],[GAP P]],MATCH(Table5[[#This Row],[PID]],Batters[[#All],[PID]],0)),INDEX(Table3[[#All],[MOV P]],MATCH(Table5[[#This Row],[PID]],Table3[[#All],[PID]],0)))</f>
        <v>1</v>
      </c>
      <c r="N1093" s="58">
        <f>IF($C1093="B",INDEX(Batters[[#All],[POW P]],MATCH(Table5[[#This Row],[PID]],Batters[[#All],[PID]],0)),INDEX(Table3[[#All],[CON P]],MATCH(Table5[[#This Row],[PID]],Table3[[#All],[PID]],0)))</f>
        <v>2</v>
      </c>
      <c r="O1093" s="58" t="str">
        <f>IF($C1093="B",INDEX(Batters[[#All],[EYE P]],MATCH(Table5[[#This Row],[PID]],Batters[[#All],[PID]],0)),INDEX(Table3[[#All],[VELO]],MATCH(Table5[[#This Row],[PID]],Table3[[#All],[PID]],0)))</f>
        <v>91-93 Mph</v>
      </c>
      <c r="P1093" s="58">
        <f>IF($C1093="B",INDEX(Batters[[#All],[K P]],MATCH(Table5[[#This Row],[PID]],Batters[[#All],[PID]],0)),INDEX(Table3[[#All],[STM]],MATCH(Table5[[#This Row],[PID]],Table3[[#All],[PID]],0)))</f>
        <v>8</v>
      </c>
      <c r="Q1093" s="63">
        <f>IF($C1093="B",INDEX(Batters[[#All],[Tot]],MATCH(Table5[[#This Row],[PID]],Batters[[#All],[PID]],0)),INDEX(Table3[[#All],[Tot]],MATCH(Table5[[#This Row],[PID]],Table3[[#All],[PID]],0)))</f>
        <v>19.606742464330399</v>
      </c>
      <c r="R1093" s="54">
        <f>IF($C1093="B",INDEX(Batters[[#All],[zScore]],MATCH(Table5[[#This Row],[PID]],Batters[[#All],[PID]],0)),INDEX(Table3[[#All],[zScore]],MATCH(Table5[[#This Row],[PID]],Table3[[#All],[PID]],0)))</f>
        <v>-1.2027481761993328</v>
      </c>
      <c r="S1093" s="60" t="str">
        <f>IF($C1093="B",INDEX(Batters[[#All],[DEM]],MATCH(Table5[[#This Row],[PID]],Batters[[#All],[PID]],0)),INDEX(Table3[[#All],[DEM]],MATCH(Table5[[#This Row],[PID]],Table3[[#All],[PID]],0)))</f>
        <v>$20k</v>
      </c>
      <c r="T1093" s="64" t="e">
        <f>IF($C1093="B",VLOOKUP($A1093,Bat!$A$4:$AU$1417,46,FALSE),VLOOKUP($A1093,Pit!$A$4:$BD$570,55,FALSE))</f>
        <v>#N/A</v>
      </c>
      <c r="U1093" s="52" t="e">
        <f>IF($C1093="B",VLOOKUP($A1093,Bat!$A$4:$BA$1417,47,FALSE),VLOOKUP($A1093,Pit!$A$4:$BF$570,56,FALSE))</f>
        <v>#N/A</v>
      </c>
      <c r="V1093" s="52" t="e">
        <f>IF($C1093="B",VLOOKUP($A1093,Bat!$A$4:$BA$1417,48,FALSE),VLOOKUP($A1093,Pit!$A$4:$BF$570,57,FALSE))</f>
        <v>#N/A</v>
      </c>
      <c r="W1093" s="52" t="e">
        <f>Table5[[#This Row],[posRnk]]+Table5[[#This Row],[zRnk]]+IF($W$3&lt;&gt;Table5[[#This Row],[Type]],50,0)</f>
        <v>#N/A</v>
      </c>
      <c r="X1093" s="53">
        <f>RANK(Table5[[#This Row],[zScore]],Table5[[#All],[zScore]])</f>
        <v>1089</v>
      </c>
      <c r="Y1093" s="52" t="str">
        <f>IFERROR(INDEX(DraftResults[[#All],[OVR]],MATCH(Table5[[#This Row],[PID]],DraftResults[[#All],[Player ID]],0)),"")</f>
        <v/>
      </c>
      <c r="Z10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3" s="52" t="str">
        <f>IFERROR(INDEX(DraftResults[[#All],[Pick in Round]],MATCH(Table5[[#This Row],[PID]],DraftResults[[#All],[Player ID]],0)),"")</f>
        <v/>
      </c>
      <c r="AB1093" s="52" t="str">
        <f>IFERROR(INDEX(DraftResults[[#All],[Team Name]],MATCH(Table5[[#This Row],[PID]],DraftResults[[#All],[Player ID]],0)),"")</f>
        <v/>
      </c>
      <c r="AC1093" s="52" t="str">
        <f>IF(Table5[[#This Row],[Ovr]]="","",IF(Table5[[#This Row],[cmbList]]="","",Table5[[#This Row],[cmbList]]-Table5[[#This Row],[Ovr]]))</f>
        <v/>
      </c>
      <c r="AD1093" s="56" t="str">
        <f>IF(ISERROR(VLOOKUP($AB1093&amp;"-"&amp;$E1093&amp;" "&amp;F1093,Bonuses!$B$1:$G$1006,4,FALSE)),"",INT(VLOOKUP($AB1093&amp;"-"&amp;$E1093&amp;" "&amp;$F1093,Bonuses!$B$1:$G$1006,4,FALSE)))</f>
        <v/>
      </c>
      <c r="AE10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4" spans="1:31" s="52" customFormat="1" x14ac:dyDescent="0.25">
      <c r="A1094" s="52">
        <v>9694</v>
      </c>
      <c r="B1094" s="52">
        <f>COUNTIF(Table5[PID],A1094)</f>
        <v>1</v>
      </c>
      <c r="C1094" s="52" t="str">
        <f>IF(COUNTIF(Table3[[#All],[PID]],A1094)&gt;0,"P","B")</f>
        <v>P</v>
      </c>
      <c r="D1094" s="61" t="str">
        <f>IF($C1094="B",INDEX(Batters[[#All],[POS]],MATCH(Table5[[#This Row],[PID]],Batters[[#All],[PID]],0)),INDEX(Table3[[#All],[POS]],MATCH(Table5[[#This Row],[PID]],Table3[[#All],[PID]],0)))</f>
        <v>RP</v>
      </c>
      <c r="E1094" s="54" t="str">
        <f>IF($C1094="B",INDEX(Batters[[#All],[First]],MATCH(Table5[[#This Row],[PID]],Batters[[#All],[PID]],0)),INDEX(Table3[[#All],[First]],MATCH(Table5[[#This Row],[PID]],Table3[[#All],[PID]],0)))</f>
        <v>Bryan</v>
      </c>
      <c r="F1094" s="52" t="str">
        <f>IF($C1094="B",INDEX(Batters[[#All],[Last]],MATCH(A1094,Batters[[#All],[PID]],0)),INDEX(Table3[[#All],[Last]],MATCH(A1094,Table3[[#All],[PID]],0)))</f>
        <v>Taylor</v>
      </c>
      <c r="G1094" s="58">
        <f>IF($C1094="B",INDEX(Batters[[#All],[Age]],MATCH(Table5[[#This Row],[PID]],Batters[[#All],[PID]],0)),INDEX(Table3[[#All],[Age]],MATCH(Table5[[#This Row],[PID]],Table3[[#All],[PID]],0)))</f>
        <v>21</v>
      </c>
      <c r="H1094" s="54" t="str">
        <f>IF($C1094="B",INDEX(Batters[[#All],[B]],MATCH(Table5[[#This Row],[PID]],Batters[[#All],[PID]],0)),INDEX(Table3[[#All],[B]],MATCH(Table5[[#This Row],[PID]],Table3[[#All],[PID]],0)))</f>
        <v>L</v>
      </c>
      <c r="I1094" s="54" t="str">
        <f>IF($C1094="B",INDEX(Batters[[#All],[T]],MATCH(Table5[[#This Row],[PID]],Batters[[#All],[PID]],0)),INDEX(Table3[[#All],[T]],MATCH(Table5[[#This Row],[PID]],Table3[[#All],[PID]],0)))</f>
        <v>L</v>
      </c>
      <c r="J1094" s="54" t="str">
        <f>IF($C1094="B",INDEX(Batters[[#All],[WE]],MATCH(Table5[[#This Row],[PID]],Batters[[#All],[PID]],0)),INDEX(Table3[[#All],[WE]],MATCH(Table5[[#This Row],[PID]],Table3[[#All],[PID]],0)))</f>
        <v>Low</v>
      </c>
      <c r="K1094" s="54" t="str">
        <f>IF($C1094="B",INDEX(Batters[[#All],[INT]],MATCH(Table5[[#This Row],[PID]],Batters[[#All],[PID]],0)),INDEX(Table3[[#All],[INT]],MATCH(Table5[[#This Row],[PID]],Table3[[#All],[PID]],0)))</f>
        <v>Normal</v>
      </c>
      <c r="L1094" s="62">
        <f>IF($C1094="B",INDEX(Batters[[#All],[CON P]],MATCH(Table5[[#This Row],[PID]],Batters[[#All],[PID]],0)),INDEX(Table3[[#All],[STU P]],MATCH(Table5[[#This Row],[PID]],Table3[[#All],[PID]],0)))</f>
        <v>4</v>
      </c>
      <c r="M1094" s="58">
        <f>IF($C1094="B",INDEX(Batters[[#All],[GAP P]],MATCH(Table5[[#This Row],[PID]],Batters[[#All],[PID]],0)),INDEX(Table3[[#All],[MOV P]],MATCH(Table5[[#This Row],[PID]],Table3[[#All],[PID]],0)))</f>
        <v>1</v>
      </c>
      <c r="N1094" s="58">
        <f>IF($C1094="B",INDEX(Batters[[#All],[POW P]],MATCH(Table5[[#This Row],[PID]],Batters[[#All],[PID]],0)),INDEX(Table3[[#All],[CON P]],MATCH(Table5[[#This Row],[PID]],Table3[[#All],[PID]],0)))</f>
        <v>2</v>
      </c>
      <c r="O1094" s="58" t="str">
        <f>IF($C1094="B",INDEX(Batters[[#All],[EYE P]],MATCH(Table5[[#This Row],[PID]],Batters[[#All],[PID]],0)),INDEX(Table3[[#All],[VELO]],MATCH(Table5[[#This Row],[PID]],Table3[[#All],[PID]],0)))</f>
        <v>88-90 Mph</v>
      </c>
      <c r="P1094" s="58">
        <f>IF($C1094="B",INDEX(Batters[[#All],[K P]],MATCH(Table5[[#This Row],[PID]],Batters[[#All],[PID]],0)),INDEX(Table3[[#All],[STM]],MATCH(Table5[[#This Row],[PID]],Table3[[#All],[PID]],0)))</f>
        <v>8</v>
      </c>
      <c r="Q1094" s="63">
        <f>IF($C1094="B",INDEX(Batters[[#All],[Tot]],MATCH(Table5[[#This Row],[PID]],Batters[[#All],[PID]],0)),INDEX(Table3[[#All],[Tot]],MATCH(Table5[[#This Row],[PID]],Table3[[#All],[PID]],0)))</f>
        <v>19.606742464330399</v>
      </c>
      <c r="R1094" s="54">
        <f>IF($C1094="B",INDEX(Batters[[#All],[zScore]],MATCH(Table5[[#This Row],[PID]],Batters[[#All],[PID]],0)),INDEX(Table3[[#All],[zScore]],MATCH(Table5[[#This Row],[PID]],Table3[[#All],[PID]],0)))</f>
        <v>-1.2027481761993328</v>
      </c>
      <c r="S1094" s="60" t="str">
        <f>IF($C1094="B",INDEX(Batters[[#All],[DEM]],MATCH(Table5[[#This Row],[PID]],Batters[[#All],[PID]],0)),INDEX(Table3[[#All],[DEM]],MATCH(Table5[[#This Row],[PID]],Table3[[#All],[PID]],0)))</f>
        <v>$20k</v>
      </c>
      <c r="T1094" s="64" t="e">
        <f>IF($C1094="B",VLOOKUP($A1094,Bat!$A$4:$AU$1417,46,FALSE),VLOOKUP($A1094,Pit!$A$4:$BD$570,55,FALSE))</f>
        <v>#N/A</v>
      </c>
      <c r="U1094" s="52" t="e">
        <f>IF($C1094="B",VLOOKUP($A1094,Bat!$A$4:$BA$1417,47,FALSE),VLOOKUP($A1094,Pit!$A$4:$BF$570,56,FALSE))</f>
        <v>#N/A</v>
      </c>
      <c r="V1094" s="52" t="e">
        <f>IF($C1094="B",VLOOKUP($A1094,Bat!$A$4:$BA$1417,48,FALSE),VLOOKUP($A1094,Pit!$A$4:$BF$570,57,FALSE))</f>
        <v>#N/A</v>
      </c>
      <c r="W1094" s="52" t="e">
        <f>Table5[[#This Row],[posRnk]]+Table5[[#This Row],[zRnk]]+IF($W$3&lt;&gt;Table5[[#This Row],[Type]],50,0)</f>
        <v>#N/A</v>
      </c>
      <c r="X1094" s="53">
        <f>RANK(Table5[[#This Row],[zScore]],Table5[[#All],[zScore]])</f>
        <v>1089</v>
      </c>
      <c r="Y1094" s="52" t="str">
        <f>IFERROR(INDEX(DraftResults[[#All],[OVR]],MATCH(Table5[[#This Row],[PID]],DraftResults[[#All],[Player ID]],0)),"")</f>
        <v/>
      </c>
      <c r="Z10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4" s="52" t="str">
        <f>IFERROR(INDEX(DraftResults[[#All],[Pick in Round]],MATCH(Table5[[#This Row],[PID]],DraftResults[[#All],[Player ID]],0)),"")</f>
        <v/>
      </c>
      <c r="AB1094" s="52" t="str">
        <f>IFERROR(INDEX(DraftResults[[#All],[Team Name]],MATCH(Table5[[#This Row],[PID]],DraftResults[[#All],[Player ID]],0)),"")</f>
        <v/>
      </c>
      <c r="AC1094" s="52" t="str">
        <f>IF(Table5[[#This Row],[Ovr]]="","",IF(Table5[[#This Row],[cmbList]]="","",Table5[[#This Row],[cmbList]]-Table5[[#This Row],[Ovr]]))</f>
        <v/>
      </c>
      <c r="AD1094" s="56" t="str">
        <f>IF(ISERROR(VLOOKUP($AB1094&amp;"-"&amp;$E1094&amp;" "&amp;F1094,Bonuses!$B$1:$G$1006,4,FALSE)),"",INT(VLOOKUP($AB1094&amp;"-"&amp;$E1094&amp;" "&amp;$F1094,Bonuses!$B$1:$G$1006,4,FALSE)))</f>
        <v/>
      </c>
      <c r="AE10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5" spans="1:31" s="52" customFormat="1" x14ac:dyDescent="0.25">
      <c r="A1095" s="52">
        <v>18045</v>
      </c>
      <c r="B1095" s="52">
        <f>COUNTIF(Table5[PID],A1095)</f>
        <v>1</v>
      </c>
      <c r="C1095" s="52" t="str">
        <f>IF(COUNTIF(Table3[[#All],[PID]],A1095)&gt;0,"P","B")</f>
        <v>B</v>
      </c>
      <c r="D1095" s="61" t="str">
        <f>IF($C1095="B",INDEX(Batters[[#All],[POS]],MATCH(Table5[[#This Row],[PID]],Batters[[#All],[PID]],0)),INDEX(Table3[[#All],[POS]],MATCH(Table5[[#This Row],[PID]],Table3[[#All],[PID]],0)))</f>
        <v>C</v>
      </c>
      <c r="E1095" s="54" t="str">
        <f>IF($C1095="B",INDEX(Batters[[#All],[First]],MATCH(Table5[[#This Row],[PID]],Batters[[#All],[PID]],0)),INDEX(Table3[[#All],[First]],MATCH(Table5[[#This Row],[PID]],Table3[[#All],[PID]],0)))</f>
        <v>Aurelio</v>
      </c>
      <c r="F1095" s="52" t="str">
        <f>IF($C1095="B",INDEX(Batters[[#All],[Last]],MATCH(A1095,Batters[[#All],[PID]],0)),INDEX(Table3[[#All],[Last]],MATCH(A1095,Table3[[#All],[PID]],0)))</f>
        <v>Martínez</v>
      </c>
      <c r="G1095" s="58">
        <f>IF($C1095="B",INDEX(Batters[[#All],[Age]],MATCH(Table5[[#This Row],[PID]],Batters[[#All],[PID]],0)),INDEX(Table3[[#All],[Age]],MATCH(Table5[[#This Row],[PID]],Table3[[#All],[PID]],0)))</f>
        <v>21</v>
      </c>
      <c r="H1095" s="54" t="str">
        <f>IF($C1095="B",INDEX(Batters[[#All],[B]],MATCH(Table5[[#This Row],[PID]],Batters[[#All],[PID]],0)),INDEX(Table3[[#All],[B]],MATCH(Table5[[#This Row],[PID]],Table3[[#All],[PID]],0)))</f>
        <v>R</v>
      </c>
      <c r="I1095" s="54" t="str">
        <f>IF($C1095="B",INDEX(Batters[[#All],[T]],MATCH(Table5[[#This Row],[PID]],Batters[[#All],[PID]],0)),INDEX(Table3[[#All],[T]],MATCH(Table5[[#This Row],[PID]],Table3[[#All],[PID]],0)))</f>
        <v>R</v>
      </c>
      <c r="J1095" s="54" t="str">
        <f>IF($C1095="B",INDEX(Batters[[#All],[WE]],MATCH(Table5[[#This Row],[PID]],Batters[[#All],[PID]],0)),INDEX(Table3[[#All],[WE]],MATCH(Table5[[#This Row],[PID]],Table3[[#All],[PID]],0)))</f>
        <v>Normal</v>
      </c>
      <c r="K1095" s="54" t="str">
        <f>IF($C1095="B",INDEX(Batters[[#All],[INT]],MATCH(Table5[[#This Row],[PID]],Batters[[#All],[PID]],0)),INDEX(Table3[[#All],[INT]],MATCH(Table5[[#This Row],[PID]],Table3[[#All],[PID]],0)))</f>
        <v>Normal</v>
      </c>
      <c r="L1095" s="62">
        <f>IF($C1095="B",INDEX(Batters[[#All],[CON P]],MATCH(Table5[[#This Row],[PID]],Batters[[#All],[PID]],0)),INDEX(Table3[[#All],[STU P]],MATCH(Table5[[#This Row],[PID]],Table3[[#All],[PID]],0)))</f>
        <v>2</v>
      </c>
      <c r="M1095" s="58">
        <f>IF($C1095="B",INDEX(Batters[[#All],[GAP P]],MATCH(Table5[[#This Row],[PID]],Batters[[#All],[PID]],0)),INDEX(Table3[[#All],[MOV P]],MATCH(Table5[[#This Row],[PID]],Table3[[#All],[PID]],0)))</f>
        <v>4</v>
      </c>
      <c r="N1095" s="58">
        <f>IF($C1095="B",INDEX(Batters[[#All],[POW P]],MATCH(Table5[[#This Row],[PID]],Batters[[#All],[PID]],0)),INDEX(Table3[[#All],[CON P]],MATCH(Table5[[#This Row],[PID]],Table3[[#All],[PID]],0)))</f>
        <v>3</v>
      </c>
      <c r="O1095" s="58">
        <f>IF($C1095="B",INDEX(Batters[[#All],[EYE P]],MATCH(Table5[[#This Row],[PID]],Batters[[#All],[PID]],0)),INDEX(Table3[[#All],[VELO]],MATCH(Table5[[#This Row],[PID]],Table3[[#All],[PID]],0)))</f>
        <v>5</v>
      </c>
      <c r="P1095" s="58">
        <f>IF($C1095="B",INDEX(Batters[[#All],[K P]],MATCH(Table5[[#This Row],[PID]],Batters[[#All],[PID]],0)),INDEX(Table3[[#All],[STM]],MATCH(Table5[[#This Row],[PID]],Table3[[#All],[PID]],0)))</f>
        <v>2</v>
      </c>
      <c r="Q1095" s="63">
        <f>IF($C1095="B",INDEX(Batters[[#All],[Tot]],MATCH(Table5[[#This Row],[PID]],Batters[[#All],[PID]],0)),INDEX(Table3[[#All],[Tot]],MATCH(Table5[[#This Row],[PID]],Table3[[#All],[PID]],0)))</f>
        <v>33.490384594995547</v>
      </c>
      <c r="R1095" s="54">
        <f>IF($C1095="B",INDEX(Batters[[#All],[zScore]],MATCH(Table5[[#This Row],[PID]],Batters[[#All],[PID]],0)),INDEX(Table3[[#All],[zScore]],MATCH(Table5[[#This Row],[PID]],Table3[[#All],[PID]],0)))</f>
        <v>-1.2065953737431803</v>
      </c>
      <c r="S1095" s="60" t="str">
        <f>IF($C1095="B",INDEX(Batters[[#All],[DEM]],MATCH(Table5[[#This Row],[PID]],Batters[[#All],[PID]],0)),INDEX(Table3[[#All],[DEM]],MATCH(Table5[[#This Row],[PID]],Table3[[#All],[PID]],0)))</f>
        <v>-</v>
      </c>
      <c r="T1095" s="64">
        <f>IF($C1095="B",VLOOKUP($A1095,Bat!$A$4:$AU$1417,46,FALSE),VLOOKUP($A1095,Pit!$A$4:$BD$570,55,FALSE))</f>
        <v>0</v>
      </c>
      <c r="U1095" s="52">
        <f>IF($C1095="B",VLOOKUP($A1095,Bat!$A$4:$BA$1417,47,FALSE),VLOOKUP($A1095,Pit!$A$4:$BF$570,56,FALSE))</f>
        <v>0</v>
      </c>
      <c r="V1095" s="52">
        <f>IF($C1095="B",VLOOKUP($A1095,Bat!$A$4:$BA$1417,48,FALSE),VLOOKUP($A1095,Pit!$A$4:$BF$570,57,FALSE))</f>
        <v>0</v>
      </c>
      <c r="W1095" s="52">
        <f>Table5[[#This Row],[posRnk]]+Table5[[#This Row],[zRnk]]+IF($W$3&lt;&gt;Table5[[#This Row],[Type]],50,0)</f>
        <v>1141</v>
      </c>
      <c r="X1095" s="53">
        <f>RANK(Table5[[#This Row],[zScore]],Table5[[#All],[zScore]])</f>
        <v>1091</v>
      </c>
      <c r="Y1095" s="52" t="str">
        <f>IFERROR(INDEX(DraftResults[[#All],[OVR]],MATCH(Table5[[#This Row],[PID]],DraftResults[[#All],[Player ID]],0)),"")</f>
        <v/>
      </c>
      <c r="Z10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5" s="52" t="str">
        <f>IFERROR(INDEX(DraftResults[[#All],[Pick in Round]],MATCH(Table5[[#This Row],[PID]],DraftResults[[#All],[Player ID]],0)),"")</f>
        <v/>
      </c>
      <c r="AB1095" s="52" t="str">
        <f>IFERROR(INDEX(DraftResults[[#All],[Team Name]],MATCH(Table5[[#This Row],[PID]],DraftResults[[#All],[Player ID]],0)),"")</f>
        <v/>
      </c>
      <c r="AC1095" s="52" t="str">
        <f>IF(Table5[[#This Row],[Ovr]]="","",IF(Table5[[#This Row],[cmbList]]="","",Table5[[#This Row],[cmbList]]-Table5[[#This Row],[Ovr]]))</f>
        <v/>
      </c>
      <c r="AD1095" s="56" t="str">
        <f>IF(ISERROR(VLOOKUP($AB1095&amp;"-"&amp;$E1095&amp;" "&amp;F1095,Bonuses!$B$1:$G$1006,4,FALSE)),"",INT(VLOOKUP($AB1095&amp;"-"&amp;$E1095&amp;" "&amp;$F1095,Bonuses!$B$1:$G$1006,4,FALSE)))</f>
        <v/>
      </c>
      <c r="AE10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6" spans="1:31" s="52" customFormat="1" x14ac:dyDescent="0.25">
      <c r="A1096" s="52">
        <v>13416</v>
      </c>
      <c r="B1096" s="52">
        <f>COUNTIF(Table5[PID],A1096)</f>
        <v>1</v>
      </c>
      <c r="C1096" s="52" t="str">
        <f>IF(COUNTIF(Table3[[#All],[PID]],A1096)&gt;0,"P","B")</f>
        <v>P</v>
      </c>
      <c r="D1096" s="61" t="str">
        <f>IF($C1096="B",INDEX(Batters[[#All],[POS]],MATCH(Table5[[#This Row],[PID]],Batters[[#All],[PID]],0)),INDEX(Table3[[#All],[POS]],MATCH(Table5[[#This Row],[PID]],Table3[[#All],[PID]],0)))</f>
        <v>RP</v>
      </c>
      <c r="E1096" s="54" t="str">
        <f>IF($C1096="B",INDEX(Batters[[#All],[First]],MATCH(Table5[[#This Row],[PID]],Batters[[#All],[PID]],0)),INDEX(Table3[[#All],[First]],MATCH(Table5[[#This Row],[PID]],Table3[[#All],[PID]],0)))</f>
        <v>Ogai</v>
      </c>
      <c r="F1096" s="52" t="str">
        <f>IF($C1096="B",INDEX(Batters[[#All],[Last]],MATCH(A1096,Batters[[#All],[PID]],0)),INDEX(Table3[[#All],[Last]],MATCH(A1096,Table3[[#All],[PID]],0)))</f>
        <v>Ogawa</v>
      </c>
      <c r="G1096" s="58">
        <f>IF($C1096="B",INDEX(Batters[[#All],[Age]],MATCH(Table5[[#This Row],[PID]],Batters[[#All],[PID]],0)),INDEX(Table3[[#All],[Age]],MATCH(Table5[[#This Row],[PID]],Table3[[#All],[PID]],0)))</f>
        <v>21</v>
      </c>
      <c r="H1096" s="54" t="str">
        <f>IF($C1096="B",INDEX(Batters[[#All],[B]],MATCH(Table5[[#This Row],[PID]],Batters[[#All],[PID]],0)),INDEX(Table3[[#All],[B]],MATCH(Table5[[#This Row],[PID]],Table3[[#All],[PID]],0)))</f>
        <v>L</v>
      </c>
      <c r="I1096" s="54" t="str">
        <f>IF($C1096="B",INDEX(Batters[[#All],[T]],MATCH(Table5[[#This Row],[PID]],Batters[[#All],[PID]],0)),INDEX(Table3[[#All],[T]],MATCH(Table5[[#This Row],[PID]],Table3[[#All],[PID]],0)))</f>
        <v>L</v>
      </c>
      <c r="J1096" s="54" t="str">
        <f>IF($C1096="B",INDEX(Batters[[#All],[WE]],MATCH(Table5[[#This Row],[PID]],Batters[[#All],[PID]],0)),INDEX(Table3[[#All],[WE]],MATCH(Table5[[#This Row],[PID]],Table3[[#All],[PID]],0)))</f>
        <v>Normal</v>
      </c>
      <c r="K1096" s="54" t="str">
        <f>IF($C1096="B",INDEX(Batters[[#All],[INT]],MATCH(Table5[[#This Row],[PID]],Batters[[#All],[PID]],0)),INDEX(Table3[[#All],[INT]],MATCH(Table5[[#This Row],[PID]],Table3[[#All],[PID]],0)))</f>
        <v>Normal</v>
      </c>
      <c r="L1096" s="62">
        <f>IF($C1096="B",INDEX(Batters[[#All],[CON P]],MATCH(Table5[[#This Row],[PID]],Batters[[#All],[PID]],0)),INDEX(Table3[[#All],[STU P]],MATCH(Table5[[#This Row],[PID]],Table3[[#All],[PID]],0)))</f>
        <v>3</v>
      </c>
      <c r="M1096" s="58">
        <f>IF($C1096="B",INDEX(Batters[[#All],[GAP P]],MATCH(Table5[[#This Row],[PID]],Batters[[#All],[PID]],0)),INDEX(Table3[[#All],[MOV P]],MATCH(Table5[[#This Row],[PID]],Table3[[#All],[PID]],0)))</f>
        <v>1</v>
      </c>
      <c r="N1096" s="58">
        <f>IF($C1096="B",INDEX(Batters[[#All],[POW P]],MATCH(Table5[[#This Row],[PID]],Batters[[#All],[PID]],0)),INDEX(Table3[[#All],[CON P]],MATCH(Table5[[#This Row],[PID]],Table3[[#All],[PID]],0)))</f>
        <v>2</v>
      </c>
      <c r="O1096" s="58" t="str">
        <f>IF($C1096="B",INDEX(Batters[[#All],[EYE P]],MATCH(Table5[[#This Row],[PID]],Batters[[#All],[PID]],0)),INDEX(Table3[[#All],[VELO]],MATCH(Table5[[#This Row],[PID]],Table3[[#All],[PID]],0)))</f>
        <v>85-87 Mph</v>
      </c>
      <c r="P1096" s="58">
        <f>IF($C1096="B",INDEX(Batters[[#All],[K P]],MATCH(Table5[[#This Row],[PID]],Batters[[#All],[PID]],0)),INDEX(Table3[[#All],[STM]],MATCH(Table5[[#This Row],[PID]],Table3[[#All],[PID]],0)))</f>
        <v>1</v>
      </c>
      <c r="Q1096" s="63">
        <f>IF($C1096="B",INDEX(Batters[[#All],[Tot]],MATCH(Table5[[#This Row],[PID]],Batters[[#All],[PID]],0)),INDEX(Table3[[#All],[Tot]],MATCH(Table5[[#This Row],[PID]],Table3[[#All],[PID]],0)))</f>
        <v>16.626645528840374</v>
      </c>
      <c r="R1096" s="54">
        <f>IF($C1096="B",INDEX(Batters[[#All],[zScore]],MATCH(Table5[[#This Row],[PID]],Batters[[#All],[PID]],0)),INDEX(Table3[[#All],[zScore]],MATCH(Table5[[#This Row],[PID]],Table3[[#All],[PID]],0)))</f>
        <v>-1.2067158591595328</v>
      </c>
      <c r="S1096" s="60" t="str">
        <f>IF($C1096="B",INDEX(Batters[[#All],[DEM]],MATCH(Table5[[#This Row],[PID]],Batters[[#All],[PID]],0)),INDEX(Table3[[#All],[DEM]],MATCH(Table5[[#This Row],[PID]],Table3[[#All],[PID]],0)))</f>
        <v>$20k</v>
      </c>
      <c r="T1096" s="64" t="e">
        <f>IF($C1096="B",VLOOKUP($A1096,Bat!$A$4:$AU$1417,46,FALSE),VLOOKUP($A1096,Pit!$A$4:$BD$570,55,FALSE))</f>
        <v>#N/A</v>
      </c>
      <c r="U1096" s="52" t="e">
        <f>IF($C1096="B",VLOOKUP($A1096,Bat!$A$4:$BA$1417,47,FALSE),VLOOKUP($A1096,Pit!$A$4:$BF$570,56,FALSE))</f>
        <v>#N/A</v>
      </c>
      <c r="V1096" s="52" t="e">
        <f>IF($C1096="B",VLOOKUP($A1096,Bat!$A$4:$BA$1417,48,FALSE),VLOOKUP($A1096,Pit!$A$4:$BF$570,57,FALSE))</f>
        <v>#N/A</v>
      </c>
      <c r="W1096" s="52" t="e">
        <f>Table5[[#This Row],[posRnk]]+Table5[[#This Row],[zRnk]]+IF($W$3&lt;&gt;Table5[[#This Row],[Type]],50,0)</f>
        <v>#N/A</v>
      </c>
      <c r="X1096" s="53">
        <f>RANK(Table5[[#This Row],[zScore]],Table5[[#All],[zScore]])</f>
        <v>1092</v>
      </c>
      <c r="Y1096" s="52" t="str">
        <f>IFERROR(INDEX(DraftResults[[#All],[OVR]],MATCH(Table5[[#This Row],[PID]],DraftResults[[#All],[Player ID]],0)),"")</f>
        <v/>
      </c>
      <c r="Z10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6" s="52" t="str">
        <f>IFERROR(INDEX(DraftResults[[#All],[Pick in Round]],MATCH(Table5[[#This Row],[PID]],DraftResults[[#All],[Player ID]],0)),"")</f>
        <v/>
      </c>
      <c r="AB1096" s="52" t="str">
        <f>IFERROR(INDEX(DraftResults[[#All],[Team Name]],MATCH(Table5[[#This Row],[PID]],DraftResults[[#All],[Player ID]],0)),"")</f>
        <v/>
      </c>
      <c r="AC1096" s="52" t="str">
        <f>IF(Table5[[#This Row],[Ovr]]="","",IF(Table5[[#This Row],[cmbList]]="","",Table5[[#This Row],[cmbList]]-Table5[[#This Row],[Ovr]]))</f>
        <v/>
      </c>
      <c r="AD1096" s="56" t="str">
        <f>IF(ISERROR(VLOOKUP($AB1096&amp;"-"&amp;$E1096&amp;" "&amp;F1096,Bonuses!$B$1:$G$1006,4,FALSE)),"",INT(VLOOKUP($AB1096&amp;"-"&amp;$E1096&amp;" "&amp;$F1096,Bonuses!$B$1:$G$1006,4,FALSE)))</f>
        <v/>
      </c>
      <c r="AE10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7" spans="1:31" s="52" customFormat="1" x14ac:dyDescent="0.25">
      <c r="A1097" s="52">
        <v>6953</v>
      </c>
      <c r="B1097" s="52">
        <f>COUNTIF(Table5[PID],A1097)</f>
        <v>1</v>
      </c>
      <c r="C1097" s="52" t="str">
        <f>IF(COUNTIF(Table3[[#All],[PID]],A1097)&gt;0,"P","B")</f>
        <v>P</v>
      </c>
      <c r="D1097" s="61" t="str">
        <f>IF($C1097="B",INDEX(Batters[[#All],[POS]],MATCH(Table5[[#This Row],[PID]],Batters[[#All],[PID]],0)),INDEX(Table3[[#All],[POS]],MATCH(Table5[[#This Row],[PID]],Table3[[#All],[PID]],0)))</f>
        <v>RP</v>
      </c>
      <c r="E1097" s="54" t="str">
        <f>IF($C1097="B",INDEX(Batters[[#All],[First]],MATCH(Table5[[#This Row],[PID]],Batters[[#All],[PID]],0)),INDEX(Table3[[#All],[First]],MATCH(Table5[[#This Row],[PID]],Table3[[#All],[PID]],0)))</f>
        <v>Takahashi</v>
      </c>
      <c r="F1097" s="52" t="str">
        <f>IF($C1097="B",INDEX(Batters[[#All],[Last]],MATCH(A1097,Batters[[#All],[PID]],0)),INDEX(Table3[[#All],[Last]],MATCH(A1097,Table3[[#All],[PID]],0)))</f>
        <v>Yoshida</v>
      </c>
      <c r="G1097" s="58">
        <f>IF($C1097="B",INDEX(Batters[[#All],[Age]],MATCH(Table5[[#This Row],[PID]],Batters[[#All],[PID]],0)),INDEX(Table3[[#All],[Age]],MATCH(Table5[[#This Row],[PID]],Table3[[#All],[PID]],0)))</f>
        <v>21</v>
      </c>
      <c r="H1097" s="54" t="str">
        <f>IF($C1097="B",INDEX(Batters[[#All],[B]],MATCH(Table5[[#This Row],[PID]],Batters[[#All],[PID]],0)),INDEX(Table3[[#All],[B]],MATCH(Table5[[#This Row],[PID]],Table3[[#All],[PID]],0)))</f>
        <v>R</v>
      </c>
      <c r="I1097" s="54" t="str">
        <f>IF($C1097="B",INDEX(Batters[[#All],[T]],MATCH(Table5[[#This Row],[PID]],Batters[[#All],[PID]],0)),INDEX(Table3[[#All],[T]],MATCH(Table5[[#This Row],[PID]],Table3[[#All],[PID]],0)))</f>
        <v>R</v>
      </c>
      <c r="J1097" s="54" t="str">
        <f>IF($C1097="B",INDEX(Batters[[#All],[WE]],MATCH(Table5[[#This Row],[PID]],Batters[[#All],[PID]],0)),INDEX(Table3[[#All],[WE]],MATCH(Table5[[#This Row],[PID]],Table3[[#All],[PID]],0)))</f>
        <v>Low</v>
      </c>
      <c r="K1097" s="54" t="str">
        <f>IF($C1097="B",INDEX(Batters[[#All],[INT]],MATCH(Table5[[#This Row],[PID]],Batters[[#All],[PID]],0)),INDEX(Table3[[#All],[INT]],MATCH(Table5[[#This Row],[PID]],Table3[[#All],[PID]],0)))</f>
        <v>Normal</v>
      </c>
      <c r="L1097" s="62">
        <f>IF($C1097="B",INDEX(Batters[[#All],[CON P]],MATCH(Table5[[#This Row],[PID]],Batters[[#All],[PID]],0)),INDEX(Table3[[#All],[STU P]],MATCH(Table5[[#This Row],[PID]],Table3[[#All],[PID]],0)))</f>
        <v>4</v>
      </c>
      <c r="M1097" s="58">
        <f>IF($C1097="B",INDEX(Batters[[#All],[GAP P]],MATCH(Table5[[#This Row],[PID]],Batters[[#All],[PID]],0)),INDEX(Table3[[#All],[MOV P]],MATCH(Table5[[#This Row],[PID]],Table3[[#All],[PID]],0)))</f>
        <v>1</v>
      </c>
      <c r="N1097" s="58">
        <f>IF($C1097="B",INDEX(Batters[[#All],[POW P]],MATCH(Table5[[#This Row],[PID]],Batters[[#All],[PID]],0)),INDEX(Table3[[#All],[CON P]],MATCH(Table5[[#This Row],[PID]],Table3[[#All],[PID]],0)))</f>
        <v>2</v>
      </c>
      <c r="O1097" s="58" t="str">
        <f>IF($C1097="B",INDEX(Batters[[#All],[EYE P]],MATCH(Table5[[#This Row],[PID]],Batters[[#All],[PID]],0)),INDEX(Table3[[#All],[VELO]],MATCH(Table5[[#This Row],[PID]],Table3[[#All],[PID]],0)))</f>
        <v>89-91 Mph</v>
      </c>
      <c r="P1097" s="58">
        <f>IF($C1097="B",INDEX(Batters[[#All],[K P]],MATCH(Table5[[#This Row],[PID]],Batters[[#All],[PID]],0)),INDEX(Table3[[#All],[STM]],MATCH(Table5[[#This Row],[PID]],Table3[[#All],[PID]],0)))</f>
        <v>8</v>
      </c>
      <c r="Q1097" s="63">
        <f>IF($C1097="B",INDEX(Batters[[#All],[Tot]],MATCH(Table5[[#This Row],[PID]],Batters[[#All],[PID]],0)),INDEX(Table3[[#All],[Tot]],MATCH(Table5[[#This Row],[PID]],Table3[[#All],[PID]],0)))</f>
        <v>19.544144842443053</v>
      </c>
      <c r="R1097" s="54">
        <f>IF($C1097="B",INDEX(Batters[[#All],[zScore]],MATCH(Table5[[#This Row],[PID]],Batters[[#All],[PID]],0)),INDEX(Table3[[#All],[zScore]],MATCH(Table5[[#This Row],[PID]],Table3[[#All],[PID]],0)))</f>
        <v>-1.2084886456742614</v>
      </c>
      <c r="S1097" s="60" t="str">
        <f>IF($C1097="B",INDEX(Batters[[#All],[DEM]],MATCH(Table5[[#This Row],[PID]],Batters[[#All],[PID]],0)),INDEX(Table3[[#All],[DEM]],MATCH(Table5[[#This Row],[PID]],Table3[[#All],[PID]],0)))</f>
        <v>-</v>
      </c>
      <c r="T1097" s="64" t="e">
        <f>IF($C1097="B",VLOOKUP($A1097,Bat!$A$4:$AU$1417,46,FALSE),VLOOKUP($A1097,Pit!$A$4:$BD$570,55,FALSE))</f>
        <v>#N/A</v>
      </c>
      <c r="U1097" s="52" t="e">
        <f>IF($C1097="B",VLOOKUP($A1097,Bat!$A$4:$BA$1417,47,FALSE),VLOOKUP($A1097,Pit!$A$4:$BF$570,56,FALSE))</f>
        <v>#N/A</v>
      </c>
      <c r="V1097" s="52" t="e">
        <f>IF($C1097="B",VLOOKUP($A1097,Bat!$A$4:$BA$1417,48,FALSE),VLOOKUP($A1097,Pit!$A$4:$BF$570,57,FALSE))</f>
        <v>#N/A</v>
      </c>
      <c r="W1097" s="52" t="e">
        <f>Table5[[#This Row],[posRnk]]+Table5[[#This Row],[zRnk]]+IF($W$3&lt;&gt;Table5[[#This Row],[Type]],50,0)</f>
        <v>#N/A</v>
      </c>
      <c r="X1097" s="53">
        <f>RANK(Table5[[#This Row],[zScore]],Table5[[#All],[zScore]])</f>
        <v>1093</v>
      </c>
      <c r="Y1097" s="52" t="str">
        <f>IFERROR(INDEX(DraftResults[[#All],[OVR]],MATCH(Table5[[#This Row],[PID]],DraftResults[[#All],[Player ID]],0)),"")</f>
        <v/>
      </c>
      <c r="Z10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7" s="52" t="str">
        <f>IFERROR(INDEX(DraftResults[[#All],[Pick in Round]],MATCH(Table5[[#This Row],[PID]],DraftResults[[#All],[Player ID]],0)),"")</f>
        <v/>
      </c>
      <c r="AB1097" s="52" t="str">
        <f>IFERROR(INDEX(DraftResults[[#All],[Team Name]],MATCH(Table5[[#This Row],[PID]],DraftResults[[#All],[Player ID]],0)),"")</f>
        <v/>
      </c>
      <c r="AC1097" s="52" t="str">
        <f>IF(Table5[[#This Row],[Ovr]]="","",IF(Table5[[#This Row],[cmbList]]="","",Table5[[#This Row],[cmbList]]-Table5[[#This Row],[Ovr]]))</f>
        <v/>
      </c>
      <c r="AD1097" s="56" t="str">
        <f>IF(ISERROR(VLOOKUP($AB1097&amp;"-"&amp;$E1097&amp;" "&amp;F1097,Bonuses!$B$1:$G$1006,4,FALSE)),"",INT(VLOOKUP($AB1097&amp;"-"&amp;$E1097&amp;" "&amp;$F1097,Bonuses!$B$1:$G$1006,4,FALSE)))</f>
        <v/>
      </c>
      <c r="AE10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8" spans="1:31" s="52" customFormat="1" x14ac:dyDescent="0.25">
      <c r="A1098" s="52">
        <v>9845</v>
      </c>
      <c r="B1098" s="52">
        <f>COUNTIF(Table5[PID],A1098)</f>
        <v>1</v>
      </c>
      <c r="C1098" s="52" t="str">
        <f>IF(COUNTIF(Table3[[#All],[PID]],A1098)&gt;0,"P","B")</f>
        <v>P</v>
      </c>
      <c r="D1098" s="61" t="str">
        <f>IF($C1098="B",INDEX(Batters[[#All],[POS]],MATCH(Table5[[#This Row],[PID]],Batters[[#All],[PID]],0)),INDEX(Table3[[#All],[POS]],MATCH(Table5[[#This Row],[PID]],Table3[[#All],[PID]],0)))</f>
        <v>RP</v>
      </c>
      <c r="E1098" s="54" t="str">
        <f>IF($C1098="B",INDEX(Batters[[#All],[First]],MATCH(Table5[[#This Row],[PID]],Batters[[#All],[PID]],0)),INDEX(Table3[[#All],[First]],MATCH(Table5[[#This Row],[PID]],Table3[[#All],[PID]],0)))</f>
        <v>Mike</v>
      </c>
      <c r="F1098" s="52" t="str">
        <f>IF($C1098="B",INDEX(Batters[[#All],[Last]],MATCH(A1098,Batters[[#All],[PID]],0)),INDEX(Table3[[#All],[Last]],MATCH(A1098,Table3[[#All],[PID]],0)))</f>
        <v>Roberts</v>
      </c>
      <c r="G1098" s="58">
        <f>IF($C1098="B",INDEX(Batters[[#All],[Age]],MATCH(Table5[[#This Row],[PID]],Batters[[#All],[PID]],0)),INDEX(Table3[[#All],[Age]],MATCH(Table5[[#This Row],[PID]],Table3[[#All],[PID]],0)))</f>
        <v>21</v>
      </c>
      <c r="H1098" s="54" t="str">
        <f>IF($C1098="B",INDEX(Batters[[#All],[B]],MATCH(Table5[[#This Row],[PID]],Batters[[#All],[PID]],0)),INDEX(Table3[[#All],[B]],MATCH(Table5[[#This Row],[PID]],Table3[[#All],[PID]],0)))</f>
        <v>R</v>
      </c>
      <c r="I1098" s="54" t="str">
        <f>IF($C1098="B",INDEX(Batters[[#All],[T]],MATCH(Table5[[#This Row],[PID]],Batters[[#All],[PID]],0)),INDEX(Table3[[#All],[T]],MATCH(Table5[[#This Row],[PID]],Table3[[#All],[PID]],0)))</f>
        <v>R</v>
      </c>
      <c r="J1098" s="54" t="str">
        <f>IF($C1098="B",INDEX(Batters[[#All],[WE]],MATCH(Table5[[#This Row],[PID]],Batters[[#All],[PID]],0)),INDEX(Table3[[#All],[WE]],MATCH(Table5[[#This Row],[PID]],Table3[[#All],[PID]],0)))</f>
        <v>High</v>
      </c>
      <c r="K1098" s="54" t="str">
        <f>IF($C1098="B",INDEX(Batters[[#All],[INT]],MATCH(Table5[[#This Row],[PID]],Batters[[#All],[PID]],0)),INDEX(Table3[[#All],[INT]],MATCH(Table5[[#This Row],[PID]],Table3[[#All],[PID]],0)))</f>
        <v>Normal</v>
      </c>
      <c r="L1098" s="62">
        <f>IF($C1098="B",INDEX(Batters[[#All],[CON P]],MATCH(Table5[[#This Row],[PID]],Batters[[#All],[PID]],0)),INDEX(Table3[[#All],[STU P]],MATCH(Table5[[#This Row],[PID]],Table3[[#All],[PID]],0)))</f>
        <v>4</v>
      </c>
      <c r="M1098" s="58">
        <f>IF($C1098="B",INDEX(Batters[[#All],[GAP P]],MATCH(Table5[[#This Row],[PID]],Batters[[#All],[PID]],0)),INDEX(Table3[[#All],[MOV P]],MATCH(Table5[[#This Row],[PID]],Table3[[#All],[PID]],0)))</f>
        <v>2</v>
      </c>
      <c r="N1098" s="58">
        <f>IF($C1098="B",INDEX(Batters[[#All],[POW P]],MATCH(Table5[[#This Row],[PID]],Batters[[#All],[PID]],0)),INDEX(Table3[[#All],[CON P]],MATCH(Table5[[#This Row],[PID]],Table3[[#All],[PID]],0)))</f>
        <v>1</v>
      </c>
      <c r="O1098" s="58" t="str">
        <f>IF($C1098="B",INDEX(Batters[[#All],[EYE P]],MATCH(Table5[[#This Row],[PID]],Batters[[#All],[PID]],0)),INDEX(Table3[[#All],[VELO]],MATCH(Table5[[#This Row],[PID]],Table3[[#All],[PID]],0)))</f>
        <v>89-91 Mph</v>
      </c>
      <c r="P1098" s="58">
        <f>IF($C1098="B",INDEX(Batters[[#All],[K P]],MATCH(Table5[[#This Row],[PID]],Batters[[#All],[PID]],0)),INDEX(Table3[[#All],[STM]],MATCH(Table5[[#This Row],[PID]],Table3[[#All],[PID]],0)))</f>
        <v>6</v>
      </c>
      <c r="Q1098" s="63">
        <f>IF($C1098="B",INDEX(Batters[[#All],[Tot]],MATCH(Table5[[#This Row],[PID]],Batters[[#All],[PID]],0)),INDEX(Table3[[#All],[Tot]],MATCH(Table5[[#This Row],[PID]],Table3[[#All],[PID]],0)))</f>
        <v>19.482241335053079</v>
      </c>
      <c r="R1098" s="54">
        <f>IF($C1098="B",INDEX(Batters[[#All],[zScore]],MATCH(Table5[[#This Row],[PID]],Batters[[#All],[PID]],0)),INDEX(Table3[[#All],[zScore]],MATCH(Table5[[#This Row],[PID]],Table3[[#All],[PID]],0)))</f>
        <v>-1.2141654618830733</v>
      </c>
      <c r="S1098" s="60" t="str">
        <f>IF($C1098="B",INDEX(Batters[[#All],[DEM]],MATCH(Table5[[#This Row],[PID]],Batters[[#All],[PID]],0)),INDEX(Table3[[#All],[DEM]],MATCH(Table5[[#This Row],[PID]],Table3[[#All],[PID]],0)))</f>
        <v>-</v>
      </c>
      <c r="T1098" s="64">
        <f>IF($C1098="B",VLOOKUP($A1098,Bat!$A$4:$AU$1417,46,FALSE),VLOOKUP($A1098,Pit!$A$4:$BD$570,55,FALSE))</f>
        <v>0</v>
      </c>
      <c r="U1098" s="52">
        <f>IF($C1098="B",VLOOKUP($A1098,Bat!$A$4:$BA$1417,47,FALSE),VLOOKUP($A1098,Pit!$A$4:$BF$570,56,FALSE))</f>
        <v>0</v>
      </c>
      <c r="V1098" s="52">
        <f>IF($C1098="B",VLOOKUP($A1098,Bat!$A$4:$BA$1417,48,FALSE),VLOOKUP($A1098,Pit!$A$4:$BF$570,57,FALSE))</f>
        <v>0</v>
      </c>
      <c r="W1098" s="52">
        <f>Table5[[#This Row],[posRnk]]+Table5[[#This Row],[zRnk]]+IF($W$3&lt;&gt;Table5[[#This Row],[Type]],50,0)</f>
        <v>1144</v>
      </c>
      <c r="X1098" s="53">
        <f>RANK(Table5[[#This Row],[zScore]],Table5[[#All],[zScore]])</f>
        <v>1094</v>
      </c>
      <c r="Y1098" s="52" t="str">
        <f>IFERROR(INDEX(DraftResults[[#All],[OVR]],MATCH(Table5[[#This Row],[PID]],DraftResults[[#All],[Player ID]],0)),"")</f>
        <v/>
      </c>
      <c r="Z10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8" s="52" t="str">
        <f>IFERROR(INDEX(DraftResults[[#All],[Pick in Round]],MATCH(Table5[[#This Row],[PID]],DraftResults[[#All],[Player ID]],0)),"")</f>
        <v/>
      </c>
      <c r="AB1098" s="52" t="str">
        <f>IFERROR(INDEX(DraftResults[[#All],[Team Name]],MATCH(Table5[[#This Row],[PID]],DraftResults[[#All],[Player ID]],0)),"")</f>
        <v/>
      </c>
      <c r="AC1098" s="52" t="str">
        <f>IF(Table5[[#This Row],[Ovr]]="","",IF(Table5[[#This Row],[cmbList]]="","",Table5[[#This Row],[cmbList]]-Table5[[#This Row],[Ovr]]))</f>
        <v/>
      </c>
      <c r="AD1098" s="56" t="str">
        <f>IF(ISERROR(VLOOKUP($AB1098&amp;"-"&amp;$E1098&amp;" "&amp;F1098,Bonuses!$B$1:$G$1006,4,FALSE)),"",INT(VLOOKUP($AB1098&amp;"-"&amp;$E1098&amp;" "&amp;$F1098,Bonuses!$B$1:$G$1006,4,FALSE)))</f>
        <v/>
      </c>
      <c r="AE10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9" spans="1:31" s="52" customFormat="1" x14ac:dyDescent="0.25">
      <c r="A1099" s="52">
        <v>17634</v>
      </c>
      <c r="B1099" s="52">
        <f>COUNTIF(Table5[PID],A1099)</f>
        <v>1</v>
      </c>
      <c r="C1099" s="52" t="str">
        <f>IF(COUNTIF(Table3[[#All],[PID]],A1099)&gt;0,"P","B")</f>
        <v>P</v>
      </c>
      <c r="D1099" s="61" t="str">
        <f>IF($C1099="B",INDEX(Batters[[#All],[POS]],MATCH(Table5[[#This Row],[PID]],Batters[[#All],[PID]],0)),INDEX(Table3[[#All],[POS]],MATCH(Table5[[#This Row],[PID]],Table3[[#All],[PID]],0)))</f>
        <v>RP</v>
      </c>
      <c r="E1099" s="54" t="str">
        <f>IF($C1099="B",INDEX(Batters[[#All],[First]],MATCH(Table5[[#This Row],[PID]],Batters[[#All],[PID]],0)),INDEX(Table3[[#All],[First]],MATCH(Table5[[#This Row],[PID]],Table3[[#All],[PID]],0)))</f>
        <v>José</v>
      </c>
      <c r="F1099" s="52" t="str">
        <f>IF($C1099="B",INDEX(Batters[[#All],[Last]],MATCH(A1099,Batters[[#All],[PID]],0)),INDEX(Table3[[#All],[Last]],MATCH(A1099,Table3[[#All],[PID]],0)))</f>
        <v>Ramos</v>
      </c>
      <c r="G1099" s="58">
        <f>IF($C1099="B",INDEX(Batters[[#All],[Age]],MATCH(Table5[[#This Row],[PID]],Batters[[#All],[PID]],0)),INDEX(Table3[[#All],[Age]],MATCH(Table5[[#This Row],[PID]],Table3[[#All],[PID]],0)))</f>
        <v>18</v>
      </c>
      <c r="H1099" s="54" t="str">
        <f>IF($C1099="B",INDEX(Batters[[#All],[B]],MATCH(Table5[[#This Row],[PID]],Batters[[#All],[PID]],0)),INDEX(Table3[[#All],[B]],MATCH(Table5[[#This Row],[PID]],Table3[[#All],[PID]],0)))</f>
        <v>S</v>
      </c>
      <c r="I1099" s="54" t="str">
        <f>IF($C1099="B",INDEX(Batters[[#All],[T]],MATCH(Table5[[#This Row],[PID]],Batters[[#All],[PID]],0)),INDEX(Table3[[#All],[T]],MATCH(Table5[[#This Row],[PID]],Table3[[#All],[PID]],0)))</f>
        <v>R</v>
      </c>
      <c r="J1099" s="54" t="str">
        <f>IF($C1099="B",INDEX(Batters[[#All],[WE]],MATCH(Table5[[#This Row],[PID]],Batters[[#All],[PID]],0)),INDEX(Table3[[#All],[WE]],MATCH(Table5[[#This Row],[PID]],Table3[[#All],[PID]],0)))</f>
        <v>Low</v>
      </c>
      <c r="K1099" s="54" t="str">
        <f>IF($C1099="B",INDEX(Batters[[#All],[INT]],MATCH(Table5[[#This Row],[PID]],Batters[[#All],[PID]],0)),INDEX(Table3[[#All],[INT]],MATCH(Table5[[#This Row],[PID]],Table3[[#All],[PID]],0)))</f>
        <v>Normal</v>
      </c>
      <c r="L1099" s="62">
        <f>IF($C1099="B",INDEX(Batters[[#All],[CON P]],MATCH(Table5[[#This Row],[PID]],Batters[[#All],[PID]],0)),INDEX(Table3[[#All],[STU P]],MATCH(Table5[[#This Row],[PID]],Table3[[#All],[PID]],0)))</f>
        <v>4</v>
      </c>
      <c r="M1099" s="58">
        <f>IF($C1099="B",INDEX(Batters[[#All],[GAP P]],MATCH(Table5[[#This Row],[PID]],Batters[[#All],[PID]],0)),INDEX(Table3[[#All],[MOV P]],MATCH(Table5[[#This Row],[PID]],Table3[[#All],[PID]],0)))</f>
        <v>2</v>
      </c>
      <c r="N1099" s="58">
        <f>IF($C1099="B",INDEX(Batters[[#All],[POW P]],MATCH(Table5[[#This Row],[PID]],Batters[[#All],[PID]],0)),INDEX(Table3[[#All],[CON P]],MATCH(Table5[[#This Row],[PID]],Table3[[#All],[PID]],0)))</f>
        <v>1</v>
      </c>
      <c r="O1099" s="58" t="str">
        <f>IF($C1099="B",INDEX(Batters[[#All],[EYE P]],MATCH(Table5[[#This Row],[PID]],Batters[[#All],[PID]],0)),INDEX(Table3[[#All],[VELO]],MATCH(Table5[[#This Row],[PID]],Table3[[#All],[PID]],0)))</f>
        <v>85-87 Mph</v>
      </c>
      <c r="P1099" s="58">
        <f>IF($C1099="B",INDEX(Batters[[#All],[K P]],MATCH(Table5[[#This Row],[PID]],Batters[[#All],[PID]],0)),INDEX(Table3[[#All],[STM]],MATCH(Table5[[#This Row],[PID]],Table3[[#All],[PID]],0)))</f>
        <v>3</v>
      </c>
      <c r="Q1099" s="63">
        <f>IF($C1099="B",INDEX(Batters[[#All],[Tot]],MATCH(Table5[[#This Row],[PID]],Batters[[#All],[PID]],0)),INDEX(Table3[[#All],[Tot]],MATCH(Table5[[#This Row],[PID]],Table3[[#All],[PID]],0)))</f>
        <v>19.477749979085722</v>
      </c>
      <c r="R1099" s="54">
        <f>IF($C1099="B",INDEX(Batters[[#All],[zScore]],MATCH(Table5[[#This Row],[PID]],Batters[[#All],[PID]],0)),INDEX(Table3[[#All],[zScore]],MATCH(Table5[[#This Row],[PID]],Table3[[#All],[PID]],0)))</f>
        <v>-1.2145773384217389</v>
      </c>
      <c r="S1099" s="60" t="str">
        <f>IF($C1099="B",INDEX(Batters[[#All],[DEM]],MATCH(Table5[[#This Row],[PID]],Batters[[#All],[PID]],0)),INDEX(Table3[[#All],[DEM]],MATCH(Table5[[#This Row],[PID]],Table3[[#All],[PID]],0)))</f>
        <v>$65k</v>
      </c>
      <c r="T1099" s="64" t="e">
        <f>IF($C1099="B",VLOOKUP($A1099,Bat!$A$4:$AU$1417,46,FALSE),VLOOKUP($A1099,Pit!$A$4:$BD$570,55,FALSE))</f>
        <v>#N/A</v>
      </c>
      <c r="U1099" s="52" t="e">
        <f>IF($C1099="B",VLOOKUP($A1099,Bat!$A$4:$BA$1417,47,FALSE),VLOOKUP($A1099,Pit!$A$4:$BF$570,56,FALSE))</f>
        <v>#N/A</v>
      </c>
      <c r="V1099" s="52" t="e">
        <f>IF($C1099="B",VLOOKUP($A1099,Bat!$A$4:$BA$1417,48,FALSE),VLOOKUP($A1099,Pit!$A$4:$BF$570,57,FALSE))</f>
        <v>#N/A</v>
      </c>
      <c r="W1099" s="52" t="e">
        <f>Table5[[#This Row],[posRnk]]+Table5[[#This Row],[zRnk]]+IF($W$3&lt;&gt;Table5[[#This Row],[Type]],50,0)</f>
        <v>#N/A</v>
      </c>
      <c r="X1099" s="53">
        <f>RANK(Table5[[#This Row],[zScore]],Table5[[#All],[zScore]])</f>
        <v>1095</v>
      </c>
      <c r="Y1099" s="52" t="str">
        <f>IFERROR(INDEX(DraftResults[[#All],[OVR]],MATCH(Table5[[#This Row],[PID]],DraftResults[[#All],[Player ID]],0)),"")</f>
        <v/>
      </c>
      <c r="Z10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9" s="52" t="str">
        <f>IFERROR(INDEX(DraftResults[[#All],[Pick in Round]],MATCH(Table5[[#This Row],[PID]],DraftResults[[#All],[Player ID]],0)),"")</f>
        <v/>
      </c>
      <c r="AB1099" s="52" t="str">
        <f>IFERROR(INDEX(DraftResults[[#All],[Team Name]],MATCH(Table5[[#This Row],[PID]],DraftResults[[#All],[Player ID]],0)),"")</f>
        <v/>
      </c>
      <c r="AC1099" s="52" t="str">
        <f>IF(Table5[[#This Row],[Ovr]]="","",IF(Table5[[#This Row],[cmbList]]="","",Table5[[#This Row],[cmbList]]-Table5[[#This Row],[Ovr]]))</f>
        <v/>
      </c>
      <c r="AD1099" s="56" t="str">
        <f>IF(ISERROR(VLOOKUP($AB1099&amp;"-"&amp;$E1099&amp;" "&amp;F1099,Bonuses!$B$1:$G$1006,4,FALSE)),"",INT(VLOOKUP($AB1099&amp;"-"&amp;$E1099&amp;" "&amp;$F1099,Bonuses!$B$1:$G$1006,4,FALSE)))</f>
        <v/>
      </c>
      <c r="AE10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0" spans="1:31" s="52" customFormat="1" x14ac:dyDescent="0.25">
      <c r="A1100" s="52">
        <v>12927</v>
      </c>
      <c r="B1100" s="52">
        <f>COUNTIF(Table5[PID],A1100)</f>
        <v>1</v>
      </c>
      <c r="C1100" s="52" t="str">
        <f>IF(COUNTIF(Table3[[#All],[PID]],A1100)&gt;0,"P","B")</f>
        <v>B</v>
      </c>
      <c r="D1100" s="61" t="str">
        <f>IF($C1100="B",INDEX(Batters[[#All],[POS]],MATCH(Table5[[#This Row],[PID]],Batters[[#All],[PID]],0)),INDEX(Table3[[#All],[POS]],MATCH(Table5[[#This Row],[PID]],Table3[[#All],[PID]],0)))</f>
        <v>CF</v>
      </c>
      <c r="E1100" s="54" t="str">
        <f>IF($C1100="B",INDEX(Batters[[#All],[First]],MATCH(Table5[[#This Row],[PID]],Batters[[#All],[PID]],0)),INDEX(Table3[[#All],[First]],MATCH(Table5[[#This Row],[PID]],Table3[[#All],[PID]],0)))</f>
        <v>António</v>
      </c>
      <c r="F1100" s="52" t="str">
        <f>IF($C1100="B",INDEX(Batters[[#All],[Last]],MATCH(A1100,Batters[[#All],[PID]],0)),INDEX(Table3[[#All],[Last]],MATCH(A1100,Table3[[#All],[PID]],0)))</f>
        <v>Cháves</v>
      </c>
      <c r="G1100" s="58">
        <f>IF($C1100="B",INDEX(Batters[[#All],[Age]],MATCH(Table5[[#This Row],[PID]],Batters[[#All],[PID]],0)),INDEX(Table3[[#All],[Age]],MATCH(Table5[[#This Row],[PID]],Table3[[#All],[PID]],0)))</f>
        <v>21</v>
      </c>
      <c r="H1100" s="54" t="str">
        <f>IF($C1100="B",INDEX(Batters[[#All],[B]],MATCH(Table5[[#This Row],[PID]],Batters[[#All],[PID]],0)),INDEX(Table3[[#All],[B]],MATCH(Table5[[#This Row],[PID]],Table3[[#All],[PID]],0)))</f>
        <v>S</v>
      </c>
      <c r="I1100" s="54" t="str">
        <f>IF($C1100="B",INDEX(Batters[[#All],[T]],MATCH(Table5[[#This Row],[PID]],Batters[[#All],[PID]],0)),INDEX(Table3[[#All],[T]],MATCH(Table5[[#This Row],[PID]],Table3[[#All],[PID]],0)))</f>
        <v>L</v>
      </c>
      <c r="J1100" s="54" t="str">
        <f>IF($C1100="B",INDEX(Batters[[#All],[WE]],MATCH(Table5[[#This Row],[PID]],Batters[[#All],[PID]],0)),INDEX(Table3[[#All],[WE]],MATCH(Table5[[#This Row],[PID]],Table3[[#All],[PID]],0)))</f>
        <v>High</v>
      </c>
      <c r="K1100" s="54" t="str">
        <f>IF($C1100="B",INDEX(Batters[[#All],[INT]],MATCH(Table5[[#This Row],[PID]],Batters[[#All],[PID]],0)),INDEX(Table3[[#All],[INT]],MATCH(Table5[[#This Row],[PID]],Table3[[#All],[PID]],0)))</f>
        <v>Normal</v>
      </c>
      <c r="L1100" s="62">
        <f>IF($C1100="B",INDEX(Batters[[#All],[CON P]],MATCH(Table5[[#This Row],[PID]],Batters[[#All],[PID]],0)),INDEX(Table3[[#All],[STU P]],MATCH(Table5[[#This Row],[PID]],Table3[[#All],[PID]],0)))</f>
        <v>2</v>
      </c>
      <c r="M1100" s="58">
        <f>IF($C1100="B",INDEX(Batters[[#All],[GAP P]],MATCH(Table5[[#This Row],[PID]],Batters[[#All],[PID]],0)),INDEX(Table3[[#All],[MOV P]],MATCH(Table5[[#This Row],[PID]],Table3[[#All],[PID]],0)))</f>
        <v>2</v>
      </c>
      <c r="N1100" s="58">
        <f>IF($C1100="B",INDEX(Batters[[#All],[POW P]],MATCH(Table5[[#This Row],[PID]],Batters[[#All],[PID]],0)),INDEX(Table3[[#All],[CON P]],MATCH(Table5[[#This Row],[PID]],Table3[[#All],[PID]],0)))</f>
        <v>3</v>
      </c>
      <c r="O1100" s="58">
        <f>IF($C1100="B",INDEX(Batters[[#All],[EYE P]],MATCH(Table5[[#This Row],[PID]],Batters[[#All],[PID]],0)),INDEX(Table3[[#All],[VELO]],MATCH(Table5[[#This Row],[PID]],Table3[[#All],[PID]],0)))</f>
        <v>5</v>
      </c>
      <c r="P1100" s="58">
        <f>IF($C1100="B",INDEX(Batters[[#All],[K P]],MATCH(Table5[[#This Row],[PID]],Batters[[#All],[PID]],0)),INDEX(Table3[[#All],[STM]],MATCH(Table5[[#This Row],[PID]],Table3[[#All],[PID]],0)))</f>
        <v>3</v>
      </c>
      <c r="Q1100" s="63">
        <f>IF($C1100="B",INDEX(Batters[[#All],[Tot]],MATCH(Table5[[#This Row],[PID]],Batters[[#All],[PID]],0)),INDEX(Table3[[#All],[Tot]],MATCH(Table5[[#This Row],[PID]],Table3[[#All],[PID]],0)))</f>
        <v>33.437447850285956</v>
      </c>
      <c r="R1100" s="54">
        <f>IF($C1100="B",INDEX(Batters[[#All],[zScore]],MATCH(Table5[[#This Row],[PID]],Batters[[#All],[PID]],0)),INDEX(Table3[[#All],[zScore]],MATCH(Table5[[#This Row],[PID]],Table3[[#All],[PID]],0)))</f>
        <v>-1.2159092421411677</v>
      </c>
      <c r="S1100" s="60" t="str">
        <f>IF($C1100="B",INDEX(Batters[[#All],[DEM]],MATCH(Table5[[#This Row],[PID]],Batters[[#All],[PID]],0)),INDEX(Table3[[#All],[DEM]],MATCH(Table5[[#This Row],[PID]],Table3[[#All],[PID]],0)))</f>
        <v>-</v>
      </c>
      <c r="T1100" s="64">
        <f>IF($C1100="B",VLOOKUP($A1100,Bat!$A$4:$AU$1417,46,FALSE),VLOOKUP($A1100,Pit!$A$4:$BD$570,55,FALSE))</f>
        <v>0</v>
      </c>
      <c r="U1100" s="52">
        <f>IF($C1100="B",VLOOKUP($A1100,Bat!$A$4:$BA$1417,47,FALSE),VLOOKUP($A1100,Pit!$A$4:$BF$570,56,FALSE))</f>
        <v>0</v>
      </c>
      <c r="V1100" s="52">
        <f>IF($C1100="B",VLOOKUP($A1100,Bat!$A$4:$BA$1417,48,FALSE),VLOOKUP($A1100,Pit!$A$4:$BF$570,57,FALSE))</f>
        <v>0</v>
      </c>
      <c r="W1100" s="52">
        <f>Table5[[#This Row],[posRnk]]+Table5[[#This Row],[zRnk]]+IF($W$3&lt;&gt;Table5[[#This Row],[Type]],50,0)</f>
        <v>1146</v>
      </c>
      <c r="X1100" s="53">
        <f>RANK(Table5[[#This Row],[zScore]],Table5[[#All],[zScore]])</f>
        <v>1096</v>
      </c>
      <c r="Y1100" s="52" t="str">
        <f>IFERROR(INDEX(DraftResults[[#All],[OVR]],MATCH(Table5[[#This Row],[PID]],DraftResults[[#All],[Player ID]],0)),"")</f>
        <v/>
      </c>
      <c r="Z11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0" s="52" t="str">
        <f>IFERROR(INDEX(DraftResults[[#All],[Pick in Round]],MATCH(Table5[[#This Row],[PID]],DraftResults[[#All],[Player ID]],0)),"")</f>
        <v/>
      </c>
      <c r="AB1100" s="52" t="str">
        <f>IFERROR(INDEX(DraftResults[[#All],[Team Name]],MATCH(Table5[[#This Row],[PID]],DraftResults[[#All],[Player ID]],0)),"")</f>
        <v/>
      </c>
      <c r="AC1100" s="52" t="str">
        <f>IF(Table5[[#This Row],[Ovr]]="","",IF(Table5[[#This Row],[cmbList]]="","",Table5[[#This Row],[cmbList]]-Table5[[#This Row],[Ovr]]))</f>
        <v/>
      </c>
      <c r="AD1100" s="56" t="str">
        <f>IF(ISERROR(VLOOKUP($AB1100&amp;"-"&amp;$E1100&amp;" "&amp;F1100,Bonuses!$B$1:$G$1006,4,FALSE)),"",INT(VLOOKUP($AB1100&amp;"-"&amp;$E1100&amp;" "&amp;$F1100,Bonuses!$B$1:$G$1006,4,FALSE)))</f>
        <v/>
      </c>
      <c r="AE11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1" spans="1:31" s="52" customFormat="1" x14ac:dyDescent="0.25">
      <c r="A1101" s="52">
        <v>9751</v>
      </c>
      <c r="B1101" s="52">
        <f>COUNTIF(Table5[PID],A1101)</f>
        <v>1</v>
      </c>
      <c r="C1101" s="52" t="str">
        <f>IF(COUNTIF(Table3[[#All],[PID]],A1101)&gt;0,"P","B")</f>
        <v>P</v>
      </c>
      <c r="D1101" s="61" t="str">
        <f>IF($C1101="B",INDEX(Batters[[#All],[POS]],MATCH(Table5[[#This Row],[PID]],Batters[[#All],[PID]],0)),INDEX(Table3[[#All],[POS]],MATCH(Table5[[#This Row],[PID]],Table3[[#All],[PID]],0)))</f>
        <v>RP</v>
      </c>
      <c r="E1101" s="54" t="str">
        <f>IF($C1101="B",INDEX(Batters[[#All],[First]],MATCH(Table5[[#This Row],[PID]],Batters[[#All],[PID]],0)),INDEX(Table3[[#All],[First]],MATCH(Table5[[#This Row],[PID]],Table3[[#All],[PID]],0)))</f>
        <v>John</v>
      </c>
      <c r="F1101" s="52" t="str">
        <f>IF($C1101="B",INDEX(Batters[[#All],[Last]],MATCH(A1101,Batters[[#All],[PID]],0)),INDEX(Table3[[#All],[Last]],MATCH(A1101,Table3[[#All],[PID]],0)))</f>
        <v>Bonilla</v>
      </c>
      <c r="G1101" s="58">
        <f>IF($C1101="B",INDEX(Batters[[#All],[Age]],MATCH(Table5[[#This Row],[PID]],Batters[[#All],[PID]],0)),INDEX(Table3[[#All],[Age]],MATCH(Table5[[#This Row],[PID]],Table3[[#All],[PID]],0)))</f>
        <v>21</v>
      </c>
      <c r="H1101" s="54" t="str">
        <f>IF($C1101="B",INDEX(Batters[[#All],[B]],MATCH(Table5[[#This Row],[PID]],Batters[[#All],[PID]],0)),INDEX(Table3[[#All],[B]],MATCH(Table5[[#This Row],[PID]],Table3[[#All],[PID]],0)))</f>
        <v>L</v>
      </c>
      <c r="I1101" s="54" t="str">
        <f>IF($C1101="B",INDEX(Batters[[#All],[T]],MATCH(Table5[[#This Row],[PID]],Batters[[#All],[PID]],0)),INDEX(Table3[[#All],[T]],MATCH(Table5[[#This Row],[PID]],Table3[[#All],[PID]],0)))</f>
        <v>L</v>
      </c>
      <c r="J1101" s="54" t="str">
        <f>IF($C1101="B",INDEX(Batters[[#All],[WE]],MATCH(Table5[[#This Row],[PID]],Batters[[#All],[PID]],0)),INDEX(Table3[[#All],[WE]],MATCH(Table5[[#This Row],[PID]],Table3[[#All],[PID]],0)))</f>
        <v>Normal</v>
      </c>
      <c r="K1101" s="54" t="str">
        <f>IF($C1101="B",INDEX(Batters[[#All],[INT]],MATCH(Table5[[#This Row],[PID]],Batters[[#All],[PID]],0)),INDEX(Table3[[#All],[INT]],MATCH(Table5[[#This Row],[PID]],Table3[[#All],[PID]],0)))</f>
        <v>Normal</v>
      </c>
      <c r="L1101" s="62">
        <f>IF($C1101="B",INDEX(Batters[[#All],[CON P]],MATCH(Table5[[#This Row],[PID]],Batters[[#All],[PID]],0)),INDEX(Table3[[#All],[STU P]],MATCH(Table5[[#This Row],[PID]],Table3[[#All],[PID]],0)))</f>
        <v>3</v>
      </c>
      <c r="M1101" s="58">
        <f>IF($C1101="B",INDEX(Batters[[#All],[GAP P]],MATCH(Table5[[#This Row],[PID]],Batters[[#All],[PID]],0)),INDEX(Table3[[#All],[MOV P]],MATCH(Table5[[#This Row],[PID]],Table3[[#All],[PID]],0)))</f>
        <v>2</v>
      </c>
      <c r="N1101" s="58">
        <f>IF($C1101="B",INDEX(Batters[[#All],[POW P]],MATCH(Table5[[#This Row],[PID]],Batters[[#All],[PID]],0)),INDEX(Table3[[#All],[CON P]],MATCH(Table5[[#This Row],[PID]],Table3[[#All],[PID]],0)))</f>
        <v>2</v>
      </c>
      <c r="O1101" s="58" t="str">
        <f>IF($C1101="B",INDEX(Batters[[#All],[EYE P]],MATCH(Table5[[#This Row],[PID]],Batters[[#All],[PID]],0)),INDEX(Table3[[#All],[VELO]],MATCH(Table5[[#This Row],[PID]],Table3[[#All],[PID]],0)))</f>
        <v>89-91 Mph</v>
      </c>
      <c r="P1101" s="58">
        <f>IF($C1101="B",INDEX(Batters[[#All],[K P]],MATCH(Table5[[#This Row],[PID]],Batters[[#All],[PID]],0)),INDEX(Table3[[#All],[STM]],MATCH(Table5[[#This Row],[PID]],Table3[[#All],[PID]],0)))</f>
        <v>9</v>
      </c>
      <c r="Q1101" s="63">
        <f>IF($C1101="B",INDEX(Batters[[#All],[Tot]],MATCH(Table5[[#This Row],[PID]],Batters[[#All],[PID]],0)),INDEX(Table3[[#All],[Tot]],MATCH(Table5[[#This Row],[PID]],Table3[[#All],[PID]],0)))</f>
        <v>19.460636646034057</v>
      </c>
      <c r="R1101" s="54">
        <f>IF($C1101="B",INDEX(Batters[[#All],[zScore]],MATCH(Table5[[#This Row],[PID]],Batters[[#All],[PID]],0)),INDEX(Table3[[#All],[zScore]],MATCH(Table5[[#This Row],[PID]],Table3[[#All],[PID]],0)))</f>
        <v>-1.2161467042064993</v>
      </c>
      <c r="S1101" s="60" t="str">
        <f>IF($C1101="B",INDEX(Batters[[#All],[DEM]],MATCH(Table5[[#This Row],[PID]],Batters[[#All],[PID]],0)),INDEX(Table3[[#All],[DEM]],MATCH(Table5[[#This Row],[PID]],Table3[[#All],[PID]],0)))</f>
        <v>-</v>
      </c>
      <c r="T1101" s="64" t="e">
        <f>IF($C1101="B",VLOOKUP($A1101,Bat!$A$4:$AU$1417,46,FALSE),VLOOKUP($A1101,Pit!$A$4:$BD$570,55,FALSE))</f>
        <v>#N/A</v>
      </c>
      <c r="U1101" s="52" t="e">
        <f>IF($C1101="B",VLOOKUP($A1101,Bat!$A$4:$BA$1417,47,FALSE),VLOOKUP($A1101,Pit!$A$4:$BF$570,56,FALSE))</f>
        <v>#N/A</v>
      </c>
      <c r="V1101" s="52" t="e">
        <f>IF($C1101="B",VLOOKUP($A1101,Bat!$A$4:$BA$1417,48,FALSE),VLOOKUP($A1101,Pit!$A$4:$BF$570,57,FALSE))</f>
        <v>#N/A</v>
      </c>
      <c r="W1101" s="52" t="e">
        <f>Table5[[#This Row],[posRnk]]+Table5[[#This Row],[zRnk]]+IF($W$3&lt;&gt;Table5[[#This Row],[Type]],50,0)</f>
        <v>#N/A</v>
      </c>
      <c r="X1101" s="53">
        <f>RANK(Table5[[#This Row],[zScore]],Table5[[#All],[zScore]])</f>
        <v>1097</v>
      </c>
      <c r="Y1101" s="52" t="str">
        <f>IFERROR(INDEX(DraftResults[[#All],[OVR]],MATCH(Table5[[#This Row],[PID]],DraftResults[[#All],[Player ID]],0)),"")</f>
        <v/>
      </c>
      <c r="Z11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1" s="52" t="str">
        <f>IFERROR(INDEX(DraftResults[[#All],[Pick in Round]],MATCH(Table5[[#This Row],[PID]],DraftResults[[#All],[Player ID]],0)),"")</f>
        <v/>
      </c>
      <c r="AB1101" s="52" t="str">
        <f>IFERROR(INDEX(DraftResults[[#All],[Team Name]],MATCH(Table5[[#This Row],[PID]],DraftResults[[#All],[Player ID]],0)),"")</f>
        <v/>
      </c>
      <c r="AC1101" s="52" t="str">
        <f>IF(Table5[[#This Row],[Ovr]]="","",IF(Table5[[#This Row],[cmbList]]="","",Table5[[#This Row],[cmbList]]-Table5[[#This Row],[Ovr]]))</f>
        <v/>
      </c>
      <c r="AD1101" s="56" t="str">
        <f>IF(ISERROR(VLOOKUP($AB1101&amp;"-"&amp;$E1101&amp;" "&amp;F1101,Bonuses!$B$1:$G$1006,4,FALSE)),"",INT(VLOOKUP($AB1101&amp;"-"&amp;$E1101&amp;" "&amp;$F1101,Bonuses!$B$1:$G$1006,4,FALSE)))</f>
        <v/>
      </c>
      <c r="AE11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2" spans="1:31" s="52" customFormat="1" x14ac:dyDescent="0.25">
      <c r="A1102" s="52">
        <v>11754</v>
      </c>
      <c r="B1102" s="52">
        <f>COUNTIF(Table5[PID],A1102)</f>
        <v>1</v>
      </c>
      <c r="C1102" s="52" t="str">
        <f>IF(COUNTIF(Table3[[#All],[PID]],A1102)&gt;0,"P","B")</f>
        <v>P</v>
      </c>
      <c r="D1102" s="61" t="str">
        <f>IF($C1102="B",INDEX(Batters[[#All],[POS]],MATCH(Table5[[#This Row],[PID]],Batters[[#All],[PID]],0)),INDEX(Table3[[#All],[POS]],MATCH(Table5[[#This Row],[PID]],Table3[[#All],[PID]],0)))</f>
        <v>RP</v>
      </c>
      <c r="E1102" s="54" t="str">
        <f>IF($C1102="B",INDEX(Batters[[#All],[First]],MATCH(Table5[[#This Row],[PID]],Batters[[#All],[PID]],0)),INDEX(Table3[[#All],[First]],MATCH(Table5[[#This Row],[PID]],Table3[[#All],[PID]],0)))</f>
        <v>Ebbe</v>
      </c>
      <c r="F1102" s="52" t="str">
        <f>IF($C1102="B",INDEX(Batters[[#All],[Last]],MATCH(A1102,Batters[[#All],[PID]],0)),INDEX(Table3[[#All],[Last]],MATCH(A1102,Table3[[#All],[PID]],0)))</f>
        <v>Steijnis</v>
      </c>
      <c r="G1102" s="58">
        <f>IF($C1102="B",INDEX(Batters[[#All],[Age]],MATCH(Table5[[#This Row],[PID]],Batters[[#All],[PID]],0)),INDEX(Table3[[#All],[Age]],MATCH(Table5[[#This Row],[PID]],Table3[[#All],[PID]],0)))</f>
        <v>21</v>
      </c>
      <c r="H1102" s="54" t="str">
        <f>IF($C1102="B",INDEX(Batters[[#All],[B]],MATCH(Table5[[#This Row],[PID]],Batters[[#All],[PID]],0)),INDEX(Table3[[#All],[B]],MATCH(Table5[[#This Row],[PID]],Table3[[#All],[PID]],0)))</f>
        <v>L</v>
      </c>
      <c r="I1102" s="54" t="str">
        <f>IF($C1102="B",INDEX(Batters[[#All],[T]],MATCH(Table5[[#This Row],[PID]],Batters[[#All],[PID]],0)),INDEX(Table3[[#All],[T]],MATCH(Table5[[#This Row],[PID]],Table3[[#All],[PID]],0)))</f>
        <v>L</v>
      </c>
      <c r="J1102" s="54" t="str">
        <f>IF($C1102="B",INDEX(Batters[[#All],[WE]],MATCH(Table5[[#This Row],[PID]],Batters[[#All],[PID]],0)),INDEX(Table3[[#All],[WE]],MATCH(Table5[[#This Row],[PID]],Table3[[#All],[PID]],0)))</f>
        <v>Low</v>
      </c>
      <c r="K1102" s="54" t="str">
        <f>IF($C1102="B",INDEX(Batters[[#All],[INT]],MATCH(Table5[[#This Row],[PID]],Batters[[#All],[PID]],0)),INDEX(Table3[[#All],[INT]],MATCH(Table5[[#This Row],[PID]],Table3[[#All],[PID]],0)))</f>
        <v>Normal</v>
      </c>
      <c r="L1102" s="62">
        <f>IF($C1102="B",INDEX(Batters[[#All],[CON P]],MATCH(Table5[[#This Row],[PID]],Batters[[#All],[PID]],0)),INDEX(Table3[[#All],[STU P]],MATCH(Table5[[#This Row],[PID]],Table3[[#All],[PID]],0)))</f>
        <v>4</v>
      </c>
      <c r="M1102" s="58">
        <f>IF($C1102="B",INDEX(Batters[[#All],[GAP P]],MATCH(Table5[[#This Row],[PID]],Batters[[#All],[PID]],0)),INDEX(Table3[[#All],[MOV P]],MATCH(Table5[[#This Row],[PID]],Table3[[#All],[PID]],0)))</f>
        <v>1</v>
      </c>
      <c r="N1102" s="58">
        <f>IF($C1102="B",INDEX(Batters[[#All],[POW P]],MATCH(Table5[[#This Row],[PID]],Batters[[#All],[PID]],0)),INDEX(Table3[[#All],[CON P]],MATCH(Table5[[#This Row],[PID]],Table3[[#All],[PID]],0)))</f>
        <v>2</v>
      </c>
      <c r="O1102" s="58" t="str">
        <f>IF($C1102="B",INDEX(Batters[[#All],[EYE P]],MATCH(Table5[[#This Row],[PID]],Batters[[#All],[PID]],0)),INDEX(Table3[[#All],[VELO]],MATCH(Table5[[#This Row],[PID]],Table3[[#All],[PID]],0)))</f>
        <v>88-90 Mph</v>
      </c>
      <c r="P1102" s="58">
        <f>IF($C1102="B",INDEX(Batters[[#All],[K P]],MATCH(Table5[[#This Row],[PID]],Batters[[#All],[PID]],0)),INDEX(Table3[[#All],[STM]],MATCH(Table5[[#This Row],[PID]],Table3[[#All],[PID]],0)))</f>
        <v>8</v>
      </c>
      <c r="Q1102" s="63">
        <f>IF($C1102="B",INDEX(Batters[[#All],[Tot]],MATCH(Table5[[#This Row],[PID]],Batters[[#All],[PID]],0)),INDEX(Table3[[#All],[Tot]],MATCH(Table5[[#This Row],[PID]],Table3[[#All],[PID]],0)))</f>
        <v>19.456742464330397</v>
      </c>
      <c r="R1102" s="54">
        <f>IF($C1102="B",INDEX(Batters[[#All],[zScore]],MATCH(Table5[[#This Row],[PID]],Batters[[#All],[PID]],0)),INDEX(Table3[[#All],[zScore]],MATCH(Table5[[#This Row],[PID]],Table3[[#All],[PID]],0)))</f>
        <v>-1.2165038173128073</v>
      </c>
      <c r="S1102" s="60" t="str">
        <f>IF($C1102="B",INDEX(Batters[[#All],[DEM]],MATCH(Table5[[#This Row],[PID]],Batters[[#All],[PID]],0)),INDEX(Table3[[#All],[DEM]],MATCH(Table5[[#This Row],[PID]],Table3[[#All],[PID]],0)))</f>
        <v>-</v>
      </c>
      <c r="T1102" s="64" t="e">
        <f>IF($C1102="B",VLOOKUP($A1102,Bat!$A$4:$AU$1417,46,FALSE),VLOOKUP($A1102,Pit!$A$4:$BD$570,55,FALSE))</f>
        <v>#N/A</v>
      </c>
      <c r="U1102" s="52" t="e">
        <f>IF($C1102="B",VLOOKUP($A1102,Bat!$A$4:$BA$1417,47,FALSE),VLOOKUP($A1102,Pit!$A$4:$BF$570,56,FALSE))</f>
        <v>#N/A</v>
      </c>
      <c r="V1102" s="52" t="e">
        <f>IF($C1102="B",VLOOKUP($A1102,Bat!$A$4:$BA$1417,48,FALSE),VLOOKUP($A1102,Pit!$A$4:$BF$570,57,FALSE))</f>
        <v>#N/A</v>
      </c>
      <c r="W1102" s="52" t="e">
        <f>Table5[[#This Row],[posRnk]]+Table5[[#This Row],[zRnk]]+IF($W$3&lt;&gt;Table5[[#This Row],[Type]],50,0)</f>
        <v>#N/A</v>
      </c>
      <c r="X1102" s="53">
        <f>RANK(Table5[[#This Row],[zScore]],Table5[[#All],[zScore]])</f>
        <v>1098</v>
      </c>
      <c r="Y1102" s="52" t="str">
        <f>IFERROR(INDEX(DraftResults[[#All],[OVR]],MATCH(Table5[[#This Row],[PID]],DraftResults[[#All],[Player ID]],0)),"")</f>
        <v/>
      </c>
      <c r="Z11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2" s="52" t="str">
        <f>IFERROR(INDEX(DraftResults[[#All],[Pick in Round]],MATCH(Table5[[#This Row],[PID]],DraftResults[[#All],[Player ID]],0)),"")</f>
        <v/>
      </c>
      <c r="AB1102" s="52" t="str">
        <f>IFERROR(INDEX(DraftResults[[#All],[Team Name]],MATCH(Table5[[#This Row],[PID]],DraftResults[[#All],[Player ID]],0)),"")</f>
        <v/>
      </c>
      <c r="AC1102" s="52" t="str">
        <f>IF(Table5[[#This Row],[Ovr]]="","",IF(Table5[[#This Row],[cmbList]]="","",Table5[[#This Row],[cmbList]]-Table5[[#This Row],[Ovr]]))</f>
        <v/>
      </c>
      <c r="AD1102" s="56" t="str">
        <f>IF(ISERROR(VLOOKUP($AB1102&amp;"-"&amp;$E1102&amp;" "&amp;F1102,Bonuses!$B$1:$G$1006,4,FALSE)),"",INT(VLOOKUP($AB1102&amp;"-"&amp;$E1102&amp;" "&amp;$F1102,Bonuses!$B$1:$G$1006,4,FALSE)))</f>
        <v/>
      </c>
      <c r="AE11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3" spans="1:31" s="52" customFormat="1" x14ac:dyDescent="0.25">
      <c r="A1103" s="52">
        <v>17778</v>
      </c>
      <c r="B1103" s="52">
        <f>COUNTIF(Table5[PID],A1103)</f>
        <v>1</v>
      </c>
      <c r="C1103" s="52" t="str">
        <f>IF(COUNTIF(Table3[[#All],[PID]],A1103)&gt;0,"P","B")</f>
        <v>P</v>
      </c>
      <c r="D1103" s="61" t="str">
        <f>IF($C1103="B",INDEX(Batters[[#All],[POS]],MATCH(Table5[[#This Row],[PID]],Batters[[#All],[PID]],0)),INDEX(Table3[[#All],[POS]],MATCH(Table5[[#This Row],[PID]],Table3[[#All],[PID]],0)))</f>
        <v>RP</v>
      </c>
      <c r="E1103" s="54" t="str">
        <f>IF($C1103="B",INDEX(Batters[[#All],[First]],MATCH(Table5[[#This Row],[PID]],Batters[[#All],[PID]],0)),INDEX(Table3[[#All],[First]],MATCH(Table5[[#This Row],[PID]],Table3[[#All],[PID]],0)))</f>
        <v>Daniel</v>
      </c>
      <c r="F1103" s="52" t="str">
        <f>IF($C1103="B",INDEX(Batters[[#All],[Last]],MATCH(A1103,Batters[[#All],[PID]],0)),INDEX(Table3[[#All],[Last]],MATCH(A1103,Table3[[#All],[PID]],0)))</f>
        <v>Kenneil</v>
      </c>
      <c r="G1103" s="58">
        <f>IF($C1103="B",INDEX(Batters[[#All],[Age]],MATCH(Table5[[#This Row],[PID]],Batters[[#All],[PID]],0)),INDEX(Table3[[#All],[Age]],MATCH(Table5[[#This Row],[PID]],Table3[[#All],[PID]],0)))</f>
        <v>21</v>
      </c>
      <c r="H1103" s="54" t="str">
        <f>IF($C1103="B",INDEX(Batters[[#All],[B]],MATCH(Table5[[#This Row],[PID]],Batters[[#All],[PID]],0)),INDEX(Table3[[#All],[B]],MATCH(Table5[[#This Row],[PID]],Table3[[#All],[PID]],0)))</f>
        <v>L</v>
      </c>
      <c r="I1103" s="54" t="str">
        <f>IF($C1103="B",INDEX(Batters[[#All],[T]],MATCH(Table5[[#This Row],[PID]],Batters[[#All],[PID]],0)),INDEX(Table3[[#All],[T]],MATCH(Table5[[#This Row],[PID]],Table3[[#All],[PID]],0)))</f>
        <v>R</v>
      </c>
      <c r="J1103" s="54" t="str">
        <f>IF($C1103="B",INDEX(Batters[[#All],[WE]],MATCH(Table5[[#This Row],[PID]],Batters[[#All],[PID]],0)),INDEX(Table3[[#All],[WE]],MATCH(Table5[[#This Row],[PID]],Table3[[#All],[PID]],0)))</f>
        <v>Low</v>
      </c>
      <c r="K1103" s="54" t="str">
        <f>IF($C1103="B",INDEX(Batters[[#All],[INT]],MATCH(Table5[[#This Row],[PID]],Batters[[#All],[PID]],0)),INDEX(Table3[[#All],[INT]],MATCH(Table5[[#This Row],[PID]],Table3[[#All],[PID]],0)))</f>
        <v>Normal</v>
      </c>
      <c r="L1103" s="62">
        <f>IF($C1103="B",INDEX(Batters[[#All],[CON P]],MATCH(Table5[[#This Row],[PID]],Batters[[#All],[PID]],0)),INDEX(Table3[[#All],[STU P]],MATCH(Table5[[#This Row],[PID]],Table3[[#All],[PID]],0)))</f>
        <v>5</v>
      </c>
      <c r="M1103" s="58">
        <f>IF($C1103="B",INDEX(Batters[[#All],[GAP P]],MATCH(Table5[[#This Row],[PID]],Batters[[#All],[PID]],0)),INDEX(Table3[[#All],[MOV P]],MATCH(Table5[[#This Row],[PID]],Table3[[#All],[PID]],0)))</f>
        <v>1</v>
      </c>
      <c r="N1103" s="58">
        <f>IF($C1103="B",INDEX(Batters[[#All],[POW P]],MATCH(Table5[[#This Row],[PID]],Batters[[#All],[PID]],0)),INDEX(Table3[[#All],[CON P]],MATCH(Table5[[#This Row],[PID]],Table3[[#All],[PID]],0)))</f>
        <v>1</v>
      </c>
      <c r="O1103" s="58" t="str">
        <f>IF($C1103="B",INDEX(Batters[[#All],[EYE P]],MATCH(Table5[[#This Row],[PID]],Batters[[#All],[PID]],0)),INDEX(Table3[[#All],[VELO]],MATCH(Table5[[#This Row],[PID]],Table3[[#All],[PID]],0)))</f>
        <v>89-91 Mph</v>
      </c>
      <c r="P1103" s="58">
        <f>IF($C1103="B",INDEX(Batters[[#All],[K P]],MATCH(Table5[[#This Row],[PID]],Batters[[#All],[PID]],0)),INDEX(Table3[[#All],[STM]],MATCH(Table5[[#This Row],[PID]],Table3[[#All],[PID]],0)))</f>
        <v>7</v>
      </c>
      <c r="Q1103" s="63">
        <f>IF($C1103="B",INDEX(Batters[[#All],[Tot]],MATCH(Table5[[#This Row],[PID]],Batters[[#All],[PID]],0)),INDEX(Table3[[#All],[Tot]],MATCH(Table5[[#This Row],[PID]],Table3[[#All],[PID]],0)))</f>
        <v>19.404157633431669</v>
      </c>
      <c r="R1103" s="54">
        <f>IF($C1103="B",INDEX(Batters[[#All],[zScore]],MATCH(Table5[[#This Row],[PID]],Batters[[#All],[PID]],0)),INDEX(Table3[[#All],[zScore]],MATCH(Table5[[#This Row],[PID]],Table3[[#All],[PID]],0)))</f>
        <v>-1.2213260710585114</v>
      </c>
      <c r="S1103" s="60" t="str">
        <f>IF($C1103="B",INDEX(Batters[[#All],[DEM]],MATCH(Table5[[#This Row],[PID]],Batters[[#All],[PID]],0)),INDEX(Table3[[#All],[DEM]],MATCH(Table5[[#This Row],[PID]],Table3[[#All],[PID]],0)))</f>
        <v>$38k</v>
      </c>
      <c r="T1103" s="64" t="e">
        <f>IF($C1103="B",VLOOKUP($A1103,Bat!$A$4:$AU$1417,46,FALSE),VLOOKUP($A1103,Pit!$A$4:$BD$570,55,FALSE))</f>
        <v>#N/A</v>
      </c>
      <c r="U1103" s="52" t="e">
        <f>IF($C1103="B",VLOOKUP($A1103,Bat!$A$4:$BA$1417,47,FALSE),VLOOKUP($A1103,Pit!$A$4:$BF$570,56,FALSE))</f>
        <v>#N/A</v>
      </c>
      <c r="V1103" s="52" t="e">
        <f>IF($C1103="B",VLOOKUP($A1103,Bat!$A$4:$BA$1417,48,FALSE),VLOOKUP($A1103,Pit!$A$4:$BF$570,57,FALSE))</f>
        <v>#N/A</v>
      </c>
      <c r="W1103" s="52" t="e">
        <f>Table5[[#This Row],[posRnk]]+Table5[[#This Row],[zRnk]]+IF($W$3&lt;&gt;Table5[[#This Row],[Type]],50,0)</f>
        <v>#N/A</v>
      </c>
      <c r="X1103" s="53">
        <f>RANK(Table5[[#This Row],[zScore]],Table5[[#All],[zScore]])</f>
        <v>1099</v>
      </c>
      <c r="Y1103" s="52" t="str">
        <f>IFERROR(INDEX(DraftResults[[#All],[OVR]],MATCH(Table5[[#This Row],[PID]],DraftResults[[#All],[Player ID]],0)),"")</f>
        <v/>
      </c>
      <c r="Z11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3" s="52" t="str">
        <f>IFERROR(INDEX(DraftResults[[#All],[Pick in Round]],MATCH(Table5[[#This Row],[PID]],DraftResults[[#All],[Player ID]],0)),"")</f>
        <v/>
      </c>
      <c r="AB1103" s="52" t="str">
        <f>IFERROR(INDEX(DraftResults[[#All],[Team Name]],MATCH(Table5[[#This Row],[PID]],DraftResults[[#All],[Player ID]],0)),"")</f>
        <v/>
      </c>
      <c r="AC1103" s="52" t="str">
        <f>IF(Table5[[#This Row],[Ovr]]="","",IF(Table5[[#This Row],[cmbList]]="","",Table5[[#This Row],[cmbList]]-Table5[[#This Row],[Ovr]]))</f>
        <v/>
      </c>
      <c r="AD1103" s="56" t="str">
        <f>IF(ISERROR(VLOOKUP($AB1103&amp;"-"&amp;$E1103&amp;" "&amp;F1103,Bonuses!$B$1:$G$1006,4,FALSE)),"",INT(VLOOKUP($AB1103&amp;"-"&amp;$E1103&amp;" "&amp;$F1103,Bonuses!$B$1:$G$1006,4,FALSE)))</f>
        <v/>
      </c>
      <c r="AE11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4" spans="1:31" s="52" customFormat="1" x14ac:dyDescent="0.25">
      <c r="A1104" s="52">
        <v>12257</v>
      </c>
      <c r="B1104" s="52">
        <f>COUNTIF(Table5[PID],A1104)</f>
        <v>1</v>
      </c>
      <c r="C1104" s="52" t="str">
        <f>IF(COUNTIF(Table3[[#All],[PID]],A1104)&gt;0,"P","B")</f>
        <v>B</v>
      </c>
      <c r="D1104" s="61" t="str">
        <f>IF($C1104="B",INDEX(Batters[[#All],[POS]],MATCH(Table5[[#This Row],[PID]],Batters[[#All],[PID]],0)),INDEX(Table3[[#All],[POS]],MATCH(Table5[[#This Row],[PID]],Table3[[#All],[PID]],0)))</f>
        <v>LF</v>
      </c>
      <c r="E1104" s="54" t="str">
        <f>IF($C1104="B",INDEX(Batters[[#All],[First]],MATCH(Table5[[#This Row],[PID]],Batters[[#All],[PID]],0)),INDEX(Table3[[#All],[First]],MATCH(Table5[[#This Row],[PID]],Table3[[#All],[PID]],0)))</f>
        <v>Mo</v>
      </c>
      <c r="F1104" s="52" t="str">
        <f>IF($C1104="B",INDEX(Batters[[#All],[Last]],MATCH(A1104,Batters[[#All],[PID]],0)),INDEX(Table3[[#All],[Last]],MATCH(A1104,Table3[[#All],[PID]],0)))</f>
        <v>Blenkin</v>
      </c>
      <c r="G1104" s="58">
        <f>IF($C1104="B",INDEX(Batters[[#All],[Age]],MATCH(Table5[[#This Row],[PID]],Batters[[#All],[PID]],0)),INDEX(Table3[[#All],[Age]],MATCH(Table5[[#This Row],[PID]],Table3[[#All],[PID]],0)))</f>
        <v>22</v>
      </c>
      <c r="H1104" s="54" t="str">
        <f>IF($C1104="B",INDEX(Batters[[#All],[B]],MATCH(Table5[[#This Row],[PID]],Batters[[#All],[PID]],0)),INDEX(Table3[[#All],[B]],MATCH(Table5[[#This Row],[PID]],Table3[[#All],[PID]],0)))</f>
        <v>R</v>
      </c>
      <c r="I1104" s="54" t="str">
        <f>IF($C1104="B",INDEX(Batters[[#All],[T]],MATCH(Table5[[#This Row],[PID]],Batters[[#All],[PID]],0)),INDEX(Table3[[#All],[T]],MATCH(Table5[[#This Row],[PID]],Table3[[#All],[PID]],0)))</f>
        <v>R</v>
      </c>
      <c r="J1104" s="54" t="str">
        <f>IF($C1104="B",INDEX(Batters[[#All],[WE]],MATCH(Table5[[#This Row],[PID]],Batters[[#All],[PID]],0)),INDEX(Table3[[#All],[WE]],MATCH(Table5[[#This Row],[PID]],Table3[[#All],[PID]],0)))</f>
        <v>High</v>
      </c>
      <c r="K1104" s="54" t="str">
        <f>IF($C1104="B",INDEX(Batters[[#All],[INT]],MATCH(Table5[[#This Row],[PID]],Batters[[#All],[PID]],0)),INDEX(Table3[[#All],[INT]],MATCH(Table5[[#This Row],[PID]],Table3[[#All],[PID]],0)))</f>
        <v>High</v>
      </c>
      <c r="L1104" s="62">
        <f>IF($C1104="B",INDEX(Batters[[#All],[CON P]],MATCH(Table5[[#This Row],[PID]],Batters[[#All],[PID]],0)),INDEX(Table3[[#All],[STU P]],MATCH(Table5[[#This Row],[PID]],Table3[[#All],[PID]],0)))</f>
        <v>3</v>
      </c>
      <c r="M1104" s="58">
        <f>IF($C1104="B",INDEX(Batters[[#All],[GAP P]],MATCH(Table5[[#This Row],[PID]],Batters[[#All],[PID]],0)),INDEX(Table3[[#All],[MOV P]],MATCH(Table5[[#This Row],[PID]],Table3[[#All],[PID]],0)))</f>
        <v>2</v>
      </c>
      <c r="N1104" s="58">
        <f>IF($C1104="B",INDEX(Batters[[#All],[POW P]],MATCH(Table5[[#This Row],[PID]],Batters[[#All],[PID]],0)),INDEX(Table3[[#All],[CON P]],MATCH(Table5[[#This Row],[PID]],Table3[[#All],[PID]],0)))</f>
        <v>2</v>
      </c>
      <c r="O1104" s="58">
        <f>IF($C1104="B",INDEX(Batters[[#All],[EYE P]],MATCH(Table5[[#This Row],[PID]],Batters[[#All],[PID]],0)),INDEX(Table3[[#All],[VELO]],MATCH(Table5[[#This Row],[PID]],Table3[[#All],[PID]],0)))</f>
        <v>3</v>
      </c>
      <c r="P1104" s="58">
        <f>IF($C1104="B",INDEX(Batters[[#All],[K P]],MATCH(Table5[[#This Row],[PID]],Batters[[#All],[PID]],0)),INDEX(Table3[[#All],[STM]],MATCH(Table5[[#This Row],[PID]],Table3[[#All],[PID]],0)))</f>
        <v>4</v>
      </c>
      <c r="Q1104" s="63">
        <f>IF($C1104="B",INDEX(Batters[[#All],[Tot]],MATCH(Table5[[#This Row],[PID]],Batters[[#All],[PID]],0)),INDEX(Table3[[#All],[Tot]],MATCH(Table5[[#This Row],[PID]],Table3[[#All],[PID]],0)))</f>
        <v>33.390503031237394</v>
      </c>
      <c r="R1104" s="54">
        <f>IF($C1104="B",INDEX(Batters[[#All],[zScore]],MATCH(Table5[[#This Row],[PID]],Batters[[#All],[PID]],0)),INDEX(Table3[[#All],[zScore]],MATCH(Table5[[#This Row],[PID]],Table3[[#All],[PID]],0)))</f>
        <v>-1.2241688710432528</v>
      </c>
      <c r="S1104" s="60" t="str">
        <f>IF($C1104="B",INDEX(Batters[[#All],[DEM]],MATCH(Table5[[#This Row],[PID]],Batters[[#All],[PID]],0)),INDEX(Table3[[#All],[DEM]],MATCH(Table5[[#This Row],[PID]],Table3[[#All],[PID]],0)))</f>
        <v>-</v>
      </c>
      <c r="T1104" s="64">
        <f>IF($C1104="B",VLOOKUP($A1104,Bat!$A$4:$AU$1417,46,FALSE),VLOOKUP($A1104,Pit!$A$4:$BD$570,55,FALSE))</f>
        <v>0</v>
      </c>
      <c r="U1104" s="52">
        <f>IF($C1104="B",VLOOKUP($A1104,Bat!$A$4:$BA$1417,47,FALSE),VLOOKUP($A1104,Pit!$A$4:$BF$570,56,FALSE))</f>
        <v>0</v>
      </c>
      <c r="V1104" s="52">
        <f>IF($C1104="B",VLOOKUP($A1104,Bat!$A$4:$BA$1417,48,FALSE),VLOOKUP($A1104,Pit!$A$4:$BF$570,57,FALSE))</f>
        <v>0</v>
      </c>
      <c r="W1104" s="52">
        <f>Table5[[#This Row],[posRnk]]+Table5[[#This Row],[zRnk]]+IF($W$3&lt;&gt;Table5[[#This Row],[Type]],50,0)</f>
        <v>1150</v>
      </c>
      <c r="X1104" s="53">
        <f>RANK(Table5[[#This Row],[zScore]],Table5[[#All],[zScore]])</f>
        <v>1100</v>
      </c>
      <c r="Y1104" s="52" t="str">
        <f>IFERROR(INDEX(DraftResults[[#All],[OVR]],MATCH(Table5[[#This Row],[PID]],DraftResults[[#All],[Player ID]],0)),"")</f>
        <v/>
      </c>
      <c r="Z11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4" s="52" t="str">
        <f>IFERROR(INDEX(DraftResults[[#All],[Pick in Round]],MATCH(Table5[[#This Row],[PID]],DraftResults[[#All],[Player ID]],0)),"")</f>
        <v/>
      </c>
      <c r="AB1104" s="52" t="str">
        <f>IFERROR(INDEX(DraftResults[[#All],[Team Name]],MATCH(Table5[[#This Row],[PID]],DraftResults[[#All],[Player ID]],0)),"")</f>
        <v/>
      </c>
      <c r="AC1104" s="52" t="str">
        <f>IF(Table5[[#This Row],[Ovr]]="","",IF(Table5[[#This Row],[cmbList]]="","",Table5[[#This Row],[cmbList]]-Table5[[#This Row],[Ovr]]))</f>
        <v/>
      </c>
      <c r="AD1104" s="56" t="str">
        <f>IF(ISERROR(VLOOKUP($AB1104&amp;"-"&amp;$E1104&amp;" "&amp;F1104,Bonuses!$B$1:$G$1006,4,FALSE)),"",INT(VLOOKUP($AB1104&amp;"-"&amp;$E1104&amp;" "&amp;$F1104,Bonuses!$B$1:$G$1006,4,FALSE)))</f>
        <v/>
      </c>
      <c r="AE11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5" spans="1:31" s="52" customFormat="1" x14ac:dyDescent="0.25">
      <c r="A1105" s="52">
        <v>9771</v>
      </c>
      <c r="B1105" s="52">
        <f>COUNTIF(Table5[PID],A1105)</f>
        <v>1</v>
      </c>
      <c r="C1105" s="52" t="str">
        <f>IF(COUNTIF(Table3[[#All],[PID]],A1105)&gt;0,"P","B")</f>
        <v>P</v>
      </c>
      <c r="D1105" s="61" t="str">
        <f>IF($C1105="B",INDEX(Batters[[#All],[POS]],MATCH(Table5[[#This Row],[PID]],Batters[[#All],[PID]],0)),INDEX(Table3[[#All],[POS]],MATCH(Table5[[#This Row],[PID]],Table3[[#All],[PID]],0)))</f>
        <v>RP</v>
      </c>
      <c r="E1105" s="54" t="str">
        <f>IF($C1105="B",INDEX(Batters[[#All],[First]],MATCH(Table5[[#This Row],[PID]],Batters[[#All],[PID]],0)),INDEX(Table3[[#All],[First]],MATCH(Table5[[#This Row],[PID]],Table3[[#All],[PID]],0)))</f>
        <v>Ronald</v>
      </c>
      <c r="F1105" s="52" t="str">
        <f>IF($C1105="B",INDEX(Batters[[#All],[Last]],MATCH(A1105,Batters[[#All],[PID]],0)),INDEX(Table3[[#All],[Last]],MATCH(A1105,Table3[[#All],[PID]],0)))</f>
        <v>Harrison</v>
      </c>
      <c r="G1105" s="58">
        <f>IF($C1105="B",INDEX(Batters[[#All],[Age]],MATCH(Table5[[#This Row],[PID]],Batters[[#All],[PID]],0)),INDEX(Table3[[#All],[Age]],MATCH(Table5[[#This Row],[PID]],Table3[[#All],[PID]],0)))</f>
        <v>22</v>
      </c>
      <c r="H1105" s="54" t="str">
        <f>IF($C1105="B",INDEX(Batters[[#All],[B]],MATCH(Table5[[#This Row],[PID]],Batters[[#All],[PID]],0)),INDEX(Table3[[#All],[B]],MATCH(Table5[[#This Row],[PID]],Table3[[#All],[PID]],0)))</f>
        <v>R</v>
      </c>
      <c r="I1105" s="54" t="str">
        <f>IF($C1105="B",INDEX(Batters[[#All],[T]],MATCH(Table5[[#This Row],[PID]],Batters[[#All],[PID]],0)),INDEX(Table3[[#All],[T]],MATCH(Table5[[#This Row],[PID]],Table3[[#All],[PID]],0)))</f>
        <v>L</v>
      </c>
      <c r="J1105" s="54" t="str">
        <f>IF($C1105="B",INDEX(Batters[[#All],[WE]],MATCH(Table5[[#This Row],[PID]],Batters[[#All],[PID]],0)),INDEX(Table3[[#All],[WE]],MATCH(Table5[[#This Row],[PID]],Table3[[#All],[PID]],0)))</f>
        <v>Low</v>
      </c>
      <c r="K1105" s="54" t="str">
        <f>IF($C1105="B",INDEX(Batters[[#All],[INT]],MATCH(Table5[[#This Row],[PID]],Batters[[#All],[PID]],0)),INDEX(Table3[[#All],[INT]],MATCH(Table5[[#This Row],[PID]],Table3[[#All],[PID]],0)))</f>
        <v>Normal</v>
      </c>
      <c r="L1105" s="62">
        <f>IF($C1105="B",INDEX(Batters[[#All],[CON P]],MATCH(Table5[[#This Row],[PID]],Batters[[#All],[PID]],0)),INDEX(Table3[[#All],[STU P]],MATCH(Table5[[#This Row],[PID]],Table3[[#All],[PID]],0)))</f>
        <v>5</v>
      </c>
      <c r="M1105" s="58">
        <f>IF($C1105="B",INDEX(Batters[[#All],[GAP P]],MATCH(Table5[[#This Row],[PID]],Batters[[#All],[PID]],0)),INDEX(Table3[[#All],[MOV P]],MATCH(Table5[[#This Row],[PID]],Table3[[#All],[PID]],0)))</f>
        <v>1</v>
      </c>
      <c r="N1105" s="58">
        <f>IF($C1105="B",INDEX(Batters[[#All],[POW P]],MATCH(Table5[[#This Row],[PID]],Batters[[#All],[PID]],0)),INDEX(Table3[[#All],[CON P]],MATCH(Table5[[#This Row],[PID]],Table3[[#All],[PID]],0)))</f>
        <v>2</v>
      </c>
      <c r="O1105" s="58" t="str">
        <f>IF($C1105="B",INDEX(Batters[[#All],[EYE P]],MATCH(Table5[[#This Row],[PID]],Batters[[#All],[PID]],0)),INDEX(Table3[[#All],[VELO]],MATCH(Table5[[#This Row],[PID]],Table3[[#All],[PID]],0)))</f>
        <v>91-93 Mph</v>
      </c>
      <c r="P1105" s="58">
        <f>IF($C1105="B",INDEX(Batters[[#All],[K P]],MATCH(Table5[[#This Row],[PID]],Batters[[#All],[PID]],0)),INDEX(Table3[[#All],[STM]],MATCH(Table5[[#This Row],[PID]],Table3[[#All],[PID]],0)))</f>
        <v>4</v>
      </c>
      <c r="Q1105" s="63">
        <f>IF($C1105="B",INDEX(Batters[[#All],[Tot]],MATCH(Table5[[#This Row],[PID]],Batters[[#All],[PID]],0)),INDEX(Table3[[#All],[Tot]],MATCH(Table5[[#This Row],[PID]],Table3[[#All],[PID]],0)))</f>
        <v>19.205564117651949</v>
      </c>
      <c r="R1105" s="54">
        <f>IF($C1105="B",INDEX(Batters[[#All],[zScore]],MATCH(Table5[[#This Row],[PID]],Batters[[#All],[PID]],0)),INDEX(Table3[[#All],[zScore]],MATCH(Table5[[#This Row],[PID]],Table3[[#All],[PID]],0)))</f>
        <v>-1.2395379452620376</v>
      </c>
      <c r="S1105" s="60" t="str">
        <f>IF($C1105="B",INDEX(Batters[[#All],[DEM]],MATCH(Table5[[#This Row],[PID]],Batters[[#All],[PID]],0)),INDEX(Table3[[#All],[DEM]],MATCH(Table5[[#This Row],[PID]],Table3[[#All],[PID]],0)))</f>
        <v>-</v>
      </c>
      <c r="T1105" s="64" t="e">
        <f>IF($C1105="B",VLOOKUP($A1105,Bat!$A$4:$AU$1417,46,FALSE),VLOOKUP($A1105,Pit!$A$4:$BD$570,55,FALSE))</f>
        <v>#N/A</v>
      </c>
      <c r="U1105" s="52" t="e">
        <f>IF($C1105="B",VLOOKUP($A1105,Bat!$A$4:$BA$1417,47,FALSE),VLOOKUP($A1105,Pit!$A$4:$BF$570,56,FALSE))</f>
        <v>#N/A</v>
      </c>
      <c r="V1105" s="52" t="e">
        <f>IF($C1105="B",VLOOKUP($A1105,Bat!$A$4:$BA$1417,48,FALSE),VLOOKUP($A1105,Pit!$A$4:$BF$570,57,FALSE))</f>
        <v>#N/A</v>
      </c>
      <c r="W1105" s="52" t="e">
        <f>Table5[[#This Row],[posRnk]]+Table5[[#This Row],[zRnk]]+IF($W$3&lt;&gt;Table5[[#This Row],[Type]],50,0)</f>
        <v>#N/A</v>
      </c>
      <c r="X1105" s="53">
        <f>RANK(Table5[[#This Row],[zScore]],Table5[[#All],[zScore]])</f>
        <v>1101</v>
      </c>
      <c r="Y1105" s="52" t="str">
        <f>IFERROR(INDEX(DraftResults[[#All],[OVR]],MATCH(Table5[[#This Row],[PID]],DraftResults[[#All],[Player ID]],0)),"")</f>
        <v/>
      </c>
      <c r="Z11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5" s="52" t="str">
        <f>IFERROR(INDEX(DraftResults[[#All],[Pick in Round]],MATCH(Table5[[#This Row],[PID]],DraftResults[[#All],[Player ID]],0)),"")</f>
        <v/>
      </c>
      <c r="AB1105" s="52" t="str">
        <f>IFERROR(INDEX(DraftResults[[#All],[Team Name]],MATCH(Table5[[#This Row],[PID]],DraftResults[[#All],[Player ID]],0)),"")</f>
        <v/>
      </c>
      <c r="AC1105" s="52" t="str">
        <f>IF(Table5[[#This Row],[Ovr]]="","",IF(Table5[[#This Row],[cmbList]]="","",Table5[[#This Row],[cmbList]]-Table5[[#This Row],[Ovr]]))</f>
        <v/>
      </c>
      <c r="AD1105" s="56" t="str">
        <f>IF(ISERROR(VLOOKUP($AB1105&amp;"-"&amp;$E1105&amp;" "&amp;F1105,Bonuses!$B$1:$G$1006,4,FALSE)),"",INT(VLOOKUP($AB1105&amp;"-"&amp;$E1105&amp;" "&amp;$F1105,Bonuses!$B$1:$G$1006,4,FALSE)))</f>
        <v/>
      </c>
      <c r="AE11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6" spans="1:31" s="52" customFormat="1" x14ac:dyDescent="0.25">
      <c r="A1106" s="52">
        <v>7163</v>
      </c>
      <c r="B1106" s="52">
        <f>COUNTIF(Table5[PID],A1106)</f>
        <v>1</v>
      </c>
      <c r="C1106" s="52" t="str">
        <f>IF(COUNTIF(Table3[[#All],[PID]],A1106)&gt;0,"P","B")</f>
        <v>P</v>
      </c>
      <c r="D1106" s="61" t="str">
        <f>IF($C1106="B",INDEX(Batters[[#All],[POS]],MATCH(Table5[[#This Row],[PID]],Batters[[#All],[PID]],0)),INDEX(Table3[[#All],[POS]],MATCH(Table5[[#This Row],[PID]],Table3[[#All],[PID]],0)))</f>
        <v>RP</v>
      </c>
      <c r="E1106" s="54" t="str">
        <f>IF($C1106="B",INDEX(Batters[[#All],[First]],MATCH(Table5[[#This Row],[PID]],Batters[[#All],[PID]],0)),INDEX(Table3[[#All],[First]],MATCH(Table5[[#This Row],[PID]],Table3[[#All],[PID]],0)))</f>
        <v>Ramón</v>
      </c>
      <c r="F1106" s="52" t="str">
        <f>IF($C1106="B",INDEX(Batters[[#All],[Last]],MATCH(A1106,Batters[[#All],[PID]],0)),INDEX(Table3[[#All],[Last]],MATCH(A1106,Table3[[#All],[PID]],0)))</f>
        <v>López</v>
      </c>
      <c r="G1106" s="58">
        <f>IF($C1106="B",INDEX(Batters[[#All],[Age]],MATCH(Table5[[#This Row],[PID]],Batters[[#All],[PID]],0)),INDEX(Table3[[#All],[Age]],MATCH(Table5[[#This Row],[PID]],Table3[[#All],[PID]],0)))</f>
        <v>21</v>
      </c>
      <c r="H1106" s="54" t="str">
        <f>IF($C1106="B",INDEX(Batters[[#All],[B]],MATCH(Table5[[#This Row],[PID]],Batters[[#All],[PID]],0)),INDEX(Table3[[#All],[B]],MATCH(Table5[[#This Row],[PID]],Table3[[#All],[PID]],0)))</f>
        <v>L</v>
      </c>
      <c r="I1106" s="54" t="str">
        <f>IF($C1106="B",INDEX(Batters[[#All],[T]],MATCH(Table5[[#This Row],[PID]],Batters[[#All],[PID]],0)),INDEX(Table3[[#All],[T]],MATCH(Table5[[#This Row],[PID]],Table3[[#All],[PID]],0)))</f>
        <v>L</v>
      </c>
      <c r="J1106" s="54" t="str">
        <f>IF($C1106="B",INDEX(Batters[[#All],[WE]],MATCH(Table5[[#This Row],[PID]],Batters[[#All],[PID]],0)),INDEX(Table3[[#All],[WE]],MATCH(Table5[[#This Row],[PID]],Table3[[#All],[PID]],0)))</f>
        <v>Normal</v>
      </c>
      <c r="K1106" s="54" t="str">
        <f>IF($C1106="B",INDEX(Batters[[#All],[INT]],MATCH(Table5[[#This Row],[PID]],Batters[[#All],[PID]],0)),INDEX(Table3[[#All],[INT]],MATCH(Table5[[#This Row],[PID]],Table3[[#All],[PID]],0)))</f>
        <v>Normal</v>
      </c>
      <c r="L1106" s="62">
        <f>IF($C1106="B",INDEX(Batters[[#All],[CON P]],MATCH(Table5[[#This Row],[PID]],Batters[[#All],[PID]],0)),INDEX(Table3[[#All],[STU P]],MATCH(Table5[[#This Row],[PID]],Table3[[#All],[PID]],0)))</f>
        <v>4</v>
      </c>
      <c r="M1106" s="58">
        <f>IF($C1106="B",INDEX(Batters[[#All],[GAP P]],MATCH(Table5[[#This Row],[PID]],Batters[[#All],[PID]],0)),INDEX(Table3[[#All],[MOV P]],MATCH(Table5[[#This Row],[PID]],Table3[[#All],[PID]],0)))</f>
        <v>1</v>
      </c>
      <c r="N1106" s="58">
        <f>IF($C1106="B",INDEX(Batters[[#All],[POW P]],MATCH(Table5[[#This Row],[PID]],Batters[[#All],[PID]],0)),INDEX(Table3[[#All],[CON P]],MATCH(Table5[[#This Row],[PID]],Table3[[#All],[PID]],0)))</f>
        <v>2</v>
      </c>
      <c r="O1106" s="58" t="str">
        <f>IF($C1106="B",INDEX(Batters[[#All],[EYE P]],MATCH(Table5[[#This Row],[PID]],Batters[[#All],[PID]],0)),INDEX(Table3[[#All],[VELO]],MATCH(Table5[[#This Row],[PID]],Table3[[#All],[PID]],0)))</f>
        <v>90-92 Mph</v>
      </c>
      <c r="P1106" s="58">
        <f>IF($C1106="B",INDEX(Batters[[#All],[K P]],MATCH(Table5[[#This Row],[PID]],Batters[[#All],[PID]],0)),INDEX(Table3[[#All],[STM]],MATCH(Table5[[#This Row],[PID]],Table3[[#All],[PID]],0)))</f>
        <v>3</v>
      </c>
      <c r="Q1106" s="63">
        <f>IF($C1106="B",INDEX(Batters[[#All],[Tot]],MATCH(Table5[[#This Row],[PID]],Batters[[#All],[PID]],0)),INDEX(Table3[[#All],[Tot]],MATCH(Table5[[#This Row],[PID]],Table3[[#All],[PID]],0)))</f>
        <v>19.194437600320903</v>
      </c>
      <c r="R1106" s="54">
        <f>IF($C1106="B",INDEX(Batters[[#All],[zScore]],MATCH(Table5[[#This Row],[PID]],Batters[[#All],[PID]],0)),INDEX(Table3[[#All],[zScore]],MATCH(Table5[[#This Row],[PID]],Table3[[#All],[PID]],0)))</f>
        <v>-1.2405582944570293</v>
      </c>
      <c r="S1106" s="60" t="str">
        <f>IF($C1106="B",INDEX(Batters[[#All],[DEM]],MATCH(Table5[[#This Row],[PID]],Batters[[#All],[PID]],0)),INDEX(Table3[[#All],[DEM]],MATCH(Table5[[#This Row],[PID]],Table3[[#All],[PID]],0)))</f>
        <v>-</v>
      </c>
      <c r="T1106" s="64" t="e">
        <f>IF($C1106="B",VLOOKUP($A1106,Bat!$A$4:$AU$1417,46,FALSE),VLOOKUP($A1106,Pit!$A$4:$BD$570,55,FALSE))</f>
        <v>#N/A</v>
      </c>
      <c r="U1106" s="52" t="e">
        <f>IF($C1106="B",VLOOKUP($A1106,Bat!$A$4:$BA$1417,47,FALSE),VLOOKUP($A1106,Pit!$A$4:$BF$570,56,FALSE))</f>
        <v>#N/A</v>
      </c>
      <c r="V1106" s="52" t="e">
        <f>IF($C1106="B",VLOOKUP($A1106,Bat!$A$4:$BA$1417,48,FALSE),VLOOKUP($A1106,Pit!$A$4:$BF$570,57,FALSE))</f>
        <v>#N/A</v>
      </c>
      <c r="W1106" s="52" t="e">
        <f>Table5[[#This Row],[posRnk]]+Table5[[#This Row],[zRnk]]+IF($W$3&lt;&gt;Table5[[#This Row],[Type]],50,0)</f>
        <v>#N/A</v>
      </c>
      <c r="X1106" s="53">
        <f>RANK(Table5[[#This Row],[zScore]],Table5[[#All],[zScore]])</f>
        <v>1102</v>
      </c>
      <c r="Y1106" s="52" t="str">
        <f>IFERROR(INDEX(DraftResults[[#All],[OVR]],MATCH(Table5[[#This Row],[PID]],DraftResults[[#All],[Player ID]],0)),"")</f>
        <v/>
      </c>
      <c r="Z11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6" s="52" t="str">
        <f>IFERROR(INDEX(DraftResults[[#All],[Pick in Round]],MATCH(Table5[[#This Row],[PID]],DraftResults[[#All],[Player ID]],0)),"")</f>
        <v/>
      </c>
      <c r="AB1106" s="52" t="str">
        <f>IFERROR(INDEX(DraftResults[[#All],[Team Name]],MATCH(Table5[[#This Row],[PID]],DraftResults[[#All],[Player ID]],0)),"")</f>
        <v/>
      </c>
      <c r="AC1106" s="52" t="str">
        <f>IF(Table5[[#This Row],[Ovr]]="","",IF(Table5[[#This Row],[cmbList]]="","",Table5[[#This Row],[cmbList]]-Table5[[#This Row],[Ovr]]))</f>
        <v/>
      </c>
      <c r="AD1106" s="56" t="str">
        <f>IF(ISERROR(VLOOKUP($AB1106&amp;"-"&amp;$E1106&amp;" "&amp;F1106,Bonuses!$B$1:$G$1006,4,FALSE)),"",INT(VLOOKUP($AB1106&amp;"-"&amp;$E1106&amp;" "&amp;$F1106,Bonuses!$B$1:$G$1006,4,FALSE)))</f>
        <v/>
      </c>
      <c r="AE11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7" spans="1:31" s="52" customFormat="1" x14ac:dyDescent="0.25">
      <c r="A1107" s="52">
        <v>12079</v>
      </c>
      <c r="B1107" s="52">
        <f>COUNTIF(Table5[PID],A1107)</f>
        <v>1</v>
      </c>
      <c r="C1107" s="52" t="str">
        <f>IF(COUNTIF(Table3[[#All],[PID]],A1107)&gt;0,"P","B")</f>
        <v>B</v>
      </c>
      <c r="D1107" s="61" t="str">
        <f>IF($C1107="B",INDEX(Batters[[#All],[POS]],MATCH(Table5[[#This Row],[PID]],Batters[[#All],[PID]],0)),INDEX(Table3[[#All],[POS]],MATCH(Table5[[#This Row],[PID]],Table3[[#All],[PID]],0)))</f>
        <v>1B</v>
      </c>
      <c r="E1107" s="54" t="str">
        <f>IF($C1107="B",INDEX(Batters[[#All],[First]],MATCH(Table5[[#This Row],[PID]],Batters[[#All],[PID]],0)),INDEX(Table3[[#All],[First]],MATCH(Table5[[#This Row],[PID]],Table3[[#All],[PID]],0)))</f>
        <v>Masamichi</v>
      </c>
      <c r="F1107" s="52" t="str">
        <f>IF($C1107="B",INDEX(Batters[[#All],[Last]],MATCH(A1107,Batters[[#All],[PID]],0)),INDEX(Table3[[#All],[Last]],MATCH(A1107,Table3[[#All],[PID]],0)))</f>
        <v>Ojima</v>
      </c>
      <c r="G1107" s="58">
        <f>IF($C1107="B",INDEX(Batters[[#All],[Age]],MATCH(Table5[[#This Row],[PID]],Batters[[#All],[PID]],0)),INDEX(Table3[[#All],[Age]],MATCH(Table5[[#This Row],[PID]],Table3[[#All],[PID]],0)))</f>
        <v>21</v>
      </c>
      <c r="H1107" s="54" t="str">
        <f>IF($C1107="B",INDEX(Batters[[#All],[B]],MATCH(Table5[[#This Row],[PID]],Batters[[#All],[PID]],0)),INDEX(Table3[[#All],[B]],MATCH(Table5[[#This Row],[PID]],Table3[[#All],[PID]],0)))</f>
        <v>R</v>
      </c>
      <c r="I1107" s="54" t="str">
        <f>IF($C1107="B",INDEX(Batters[[#All],[T]],MATCH(Table5[[#This Row],[PID]],Batters[[#All],[PID]],0)),INDEX(Table3[[#All],[T]],MATCH(Table5[[#This Row],[PID]],Table3[[#All],[PID]],0)))</f>
        <v>R</v>
      </c>
      <c r="J1107" s="54" t="str">
        <f>IF($C1107="B",INDEX(Batters[[#All],[WE]],MATCH(Table5[[#This Row],[PID]],Batters[[#All],[PID]],0)),INDEX(Table3[[#All],[WE]],MATCH(Table5[[#This Row],[PID]],Table3[[#All],[PID]],0)))</f>
        <v>High</v>
      </c>
      <c r="K1107" s="54" t="str">
        <f>IF($C1107="B",INDEX(Batters[[#All],[INT]],MATCH(Table5[[#This Row],[PID]],Batters[[#All],[PID]],0)),INDEX(Table3[[#All],[INT]],MATCH(Table5[[#This Row],[PID]],Table3[[#All],[PID]],0)))</f>
        <v>Normal</v>
      </c>
      <c r="L1107" s="62">
        <f>IF($C1107="B",INDEX(Batters[[#All],[CON P]],MATCH(Table5[[#This Row],[PID]],Batters[[#All],[PID]],0)),INDEX(Table3[[#All],[STU P]],MATCH(Table5[[#This Row],[PID]],Table3[[#All],[PID]],0)))</f>
        <v>2</v>
      </c>
      <c r="M1107" s="58">
        <f>IF($C1107="B",INDEX(Batters[[#All],[GAP P]],MATCH(Table5[[#This Row],[PID]],Batters[[#All],[PID]],0)),INDEX(Table3[[#All],[MOV P]],MATCH(Table5[[#This Row],[PID]],Table3[[#All],[PID]],0)))</f>
        <v>3</v>
      </c>
      <c r="N1107" s="58">
        <f>IF($C1107="B",INDEX(Batters[[#All],[POW P]],MATCH(Table5[[#This Row],[PID]],Batters[[#All],[PID]],0)),INDEX(Table3[[#All],[CON P]],MATCH(Table5[[#This Row],[PID]],Table3[[#All],[PID]],0)))</f>
        <v>3</v>
      </c>
      <c r="O1107" s="58">
        <f>IF($C1107="B",INDEX(Batters[[#All],[EYE P]],MATCH(Table5[[#This Row],[PID]],Batters[[#All],[PID]],0)),INDEX(Table3[[#All],[VELO]],MATCH(Table5[[#This Row],[PID]],Table3[[#All],[PID]],0)))</f>
        <v>6</v>
      </c>
      <c r="P1107" s="58">
        <f>IF($C1107="B",INDEX(Batters[[#All],[K P]],MATCH(Table5[[#This Row],[PID]],Batters[[#All],[PID]],0)),INDEX(Table3[[#All],[STM]],MATCH(Table5[[#This Row],[PID]],Table3[[#All],[PID]],0)))</f>
        <v>2</v>
      </c>
      <c r="Q1107" s="63">
        <f>IF($C1107="B",INDEX(Batters[[#All],[Tot]],MATCH(Table5[[#This Row],[PID]],Batters[[#All],[PID]],0)),INDEX(Table3[[#All],[Tot]],MATCH(Table5[[#This Row],[PID]],Table3[[#All],[PID]],0)))</f>
        <v>33.288151594687037</v>
      </c>
      <c r="R1107" s="54">
        <f>IF($C1107="B",INDEX(Batters[[#All],[zScore]],MATCH(Table5[[#This Row],[PID]],Batters[[#All],[PID]],0)),INDEX(Table3[[#All],[zScore]],MATCH(Table5[[#This Row],[PID]],Table3[[#All],[PID]],0)))</f>
        <v>-1.2421769260455897</v>
      </c>
      <c r="S1107" s="60" t="str">
        <f>IF($C1107="B",INDEX(Batters[[#All],[DEM]],MATCH(Table5[[#This Row],[PID]],Batters[[#All],[PID]],0)),INDEX(Table3[[#All],[DEM]],MATCH(Table5[[#This Row],[PID]],Table3[[#All],[PID]],0)))</f>
        <v>-</v>
      </c>
      <c r="T1107" s="64">
        <f>IF($C1107="B",VLOOKUP($A1107,Bat!$A$4:$AU$1417,46,FALSE),VLOOKUP($A1107,Pit!$A$4:$BD$570,55,FALSE))</f>
        <v>0</v>
      </c>
      <c r="U1107" s="52">
        <f>IF($C1107="B",VLOOKUP($A1107,Bat!$A$4:$BA$1417,47,FALSE),VLOOKUP($A1107,Pit!$A$4:$BF$570,56,FALSE))</f>
        <v>0</v>
      </c>
      <c r="V1107" s="52">
        <f>IF($C1107="B",VLOOKUP($A1107,Bat!$A$4:$BA$1417,48,FALSE),VLOOKUP($A1107,Pit!$A$4:$BF$570,57,FALSE))</f>
        <v>0</v>
      </c>
      <c r="W1107" s="52">
        <f>Table5[[#This Row],[posRnk]]+Table5[[#This Row],[zRnk]]+IF($W$3&lt;&gt;Table5[[#This Row],[Type]],50,0)</f>
        <v>1153</v>
      </c>
      <c r="X1107" s="53">
        <f>RANK(Table5[[#This Row],[zScore]],Table5[[#All],[zScore]])</f>
        <v>1103</v>
      </c>
      <c r="Y1107" s="52" t="str">
        <f>IFERROR(INDEX(DraftResults[[#All],[OVR]],MATCH(Table5[[#This Row],[PID]],DraftResults[[#All],[Player ID]],0)),"")</f>
        <v/>
      </c>
      <c r="Z11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7" s="52" t="str">
        <f>IFERROR(INDEX(DraftResults[[#All],[Pick in Round]],MATCH(Table5[[#This Row],[PID]],DraftResults[[#All],[Player ID]],0)),"")</f>
        <v/>
      </c>
      <c r="AB1107" s="52" t="str">
        <f>IFERROR(INDEX(DraftResults[[#All],[Team Name]],MATCH(Table5[[#This Row],[PID]],DraftResults[[#All],[Player ID]],0)),"")</f>
        <v/>
      </c>
      <c r="AC1107" s="52" t="str">
        <f>IF(Table5[[#This Row],[Ovr]]="","",IF(Table5[[#This Row],[cmbList]]="","",Table5[[#This Row],[cmbList]]-Table5[[#This Row],[Ovr]]))</f>
        <v/>
      </c>
      <c r="AD1107" s="56" t="str">
        <f>IF(ISERROR(VLOOKUP($AB1107&amp;"-"&amp;$E1107&amp;" "&amp;F1107,Bonuses!$B$1:$G$1006,4,FALSE)),"",INT(VLOOKUP($AB1107&amp;"-"&amp;$E1107&amp;" "&amp;$F1107,Bonuses!$B$1:$G$1006,4,FALSE)))</f>
        <v/>
      </c>
      <c r="AE11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8" spans="1:31" s="52" customFormat="1" x14ac:dyDescent="0.25">
      <c r="A1108" s="52">
        <v>11211</v>
      </c>
      <c r="B1108" s="52">
        <f>COUNTIF(Table5[PID],A1108)</f>
        <v>1</v>
      </c>
      <c r="C1108" s="52" t="str">
        <f>IF(COUNTIF(Table3[[#All],[PID]],A1108)&gt;0,"P","B")</f>
        <v>P</v>
      </c>
      <c r="D1108" s="61" t="str">
        <f>IF($C1108="B",INDEX(Batters[[#All],[POS]],MATCH(Table5[[#This Row],[PID]],Batters[[#All],[PID]],0)),INDEX(Table3[[#All],[POS]],MATCH(Table5[[#This Row],[PID]],Table3[[#All],[PID]],0)))</f>
        <v>RP</v>
      </c>
      <c r="E1108" s="54" t="str">
        <f>IF($C1108="B",INDEX(Batters[[#All],[First]],MATCH(Table5[[#This Row],[PID]],Batters[[#All],[PID]],0)),INDEX(Table3[[#All],[First]],MATCH(Table5[[#This Row],[PID]],Table3[[#All],[PID]],0)))</f>
        <v>Masaaki</v>
      </c>
      <c r="F1108" s="52" t="str">
        <f>IF($C1108="B",INDEX(Batters[[#All],[Last]],MATCH(A1108,Batters[[#All],[PID]],0)),INDEX(Table3[[#All],[Last]],MATCH(A1108,Table3[[#All],[PID]],0)))</f>
        <v>Yoshida</v>
      </c>
      <c r="G1108" s="58">
        <f>IF($C1108="B",INDEX(Batters[[#All],[Age]],MATCH(Table5[[#This Row],[PID]],Batters[[#All],[PID]],0)),INDEX(Table3[[#All],[Age]],MATCH(Table5[[#This Row],[PID]],Table3[[#All],[PID]],0)))</f>
        <v>18</v>
      </c>
      <c r="H1108" s="54" t="str">
        <f>IF($C1108="B",INDEX(Batters[[#All],[B]],MATCH(Table5[[#This Row],[PID]],Batters[[#All],[PID]],0)),INDEX(Table3[[#All],[B]],MATCH(Table5[[#This Row],[PID]],Table3[[#All],[PID]],0)))</f>
        <v>S</v>
      </c>
      <c r="I1108" s="54" t="str">
        <f>IF($C1108="B",INDEX(Batters[[#All],[T]],MATCH(Table5[[#This Row],[PID]],Batters[[#All],[PID]],0)),INDEX(Table3[[#All],[T]],MATCH(Table5[[#This Row],[PID]],Table3[[#All],[PID]],0)))</f>
        <v>R</v>
      </c>
      <c r="J1108" s="54" t="str">
        <f>IF($C1108="B",INDEX(Batters[[#All],[WE]],MATCH(Table5[[#This Row],[PID]],Batters[[#All],[PID]],0)),INDEX(Table3[[#All],[WE]],MATCH(Table5[[#This Row],[PID]],Table3[[#All],[PID]],0)))</f>
        <v>Low</v>
      </c>
      <c r="K1108" s="54" t="str">
        <f>IF($C1108="B",INDEX(Batters[[#All],[INT]],MATCH(Table5[[#This Row],[PID]],Batters[[#All],[PID]],0)),INDEX(Table3[[#All],[INT]],MATCH(Table5[[#This Row],[PID]],Table3[[#All],[PID]],0)))</f>
        <v>Normal</v>
      </c>
      <c r="L1108" s="62">
        <f>IF($C1108="B",INDEX(Batters[[#All],[CON P]],MATCH(Table5[[#This Row],[PID]],Batters[[#All],[PID]],0)),INDEX(Table3[[#All],[STU P]],MATCH(Table5[[#This Row],[PID]],Table3[[#All],[PID]],0)))</f>
        <v>4</v>
      </c>
      <c r="M1108" s="58">
        <f>IF($C1108="B",INDEX(Batters[[#All],[GAP P]],MATCH(Table5[[#This Row],[PID]],Batters[[#All],[PID]],0)),INDEX(Table3[[#All],[MOV P]],MATCH(Table5[[#This Row],[PID]],Table3[[#All],[PID]],0)))</f>
        <v>1</v>
      </c>
      <c r="N1108" s="58">
        <f>IF($C1108="B",INDEX(Batters[[#All],[POW P]],MATCH(Table5[[#This Row],[PID]],Batters[[#All],[PID]],0)),INDEX(Table3[[#All],[CON P]],MATCH(Table5[[#This Row],[PID]],Table3[[#All],[PID]],0)))</f>
        <v>2</v>
      </c>
      <c r="O1108" s="58" t="str">
        <f>IF($C1108="B",INDEX(Batters[[#All],[EYE P]],MATCH(Table5[[#This Row],[PID]],Batters[[#All],[PID]],0)),INDEX(Table3[[#All],[VELO]],MATCH(Table5[[#This Row],[PID]],Table3[[#All],[PID]],0)))</f>
        <v>87-89 Mph</v>
      </c>
      <c r="P1108" s="58">
        <f>IF($C1108="B",INDEX(Batters[[#All],[K P]],MATCH(Table5[[#This Row],[PID]],Batters[[#All],[PID]],0)),INDEX(Table3[[#All],[STM]],MATCH(Table5[[#This Row],[PID]],Table3[[#All],[PID]],0)))</f>
        <v>3</v>
      </c>
      <c r="Q1108" s="63">
        <f>IF($C1108="B",INDEX(Batters[[#All],[Tot]],MATCH(Table5[[#This Row],[PID]],Batters[[#All],[PID]],0)),INDEX(Table3[[#All],[Tot]],MATCH(Table5[[#This Row],[PID]],Table3[[#All],[PID]],0)))</f>
        <v>19.161913989457137</v>
      </c>
      <c r="R1108" s="54">
        <f>IF($C1108="B",INDEX(Batters[[#All],[zScore]],MATCH(Table5[[#This Row],[PID]],Batters[[#All],[PID]],0)),INDEX(Table3[[#All],[zScore]],MATCH(Table5[[#This Row],[PID]],Table3[[#All],[PID]],0)))</f>
        <v>-1.2435408485820709</v>
      </c>
      <c r="S1108" s="60" t="str">
        <f>IF($C1108="B",INDEX(Batters[[#All],[DEM]],MATCH(Table5[[#This Row],[PID]],Batters[[#All],[PID]],0)),INDEX(Table3[[#All],[DEM]],MATCH(Table5[[#This Row],[PID]],Table3[[#All],[PID]],0)))</f>
        <v>$65k</v>
      </c>
      <c r="T1108" s="64" t="e">
        <f>IF($C1108="B",VLOOKUP($A1108,Bat!$A$4:$AU$1417,46,FALSE),VLOOKUP($A1108,Pit!$A$4:$BD$570,55,FALSE))</f>
        <v>#N/A</v>
      </c>
      <c r="U1108" s="52" t="e">
        <f>IF($C1108="B",VLOOKUP($A1108,Bat!$A$4:$BA$1417,47,FALSE),VLOOKUP($A1108,Pit!$A$4:$BF$570,56,FALSE))</f>
        <v>#N/A</v>
      </c>
      <c r="V1108" s="52" t="e">
        <f>IF($C1108="B",VLOOKUP($A1108,Bat!$A$4:$BA$1417,48,FALSE),VLOOKUP($A1108,Pit!$A$4:$BF$570,57,FALSE))</f>
        <v>#N/A</v>
      </c>
      <c r="W1108" s="52" t="e">
        <f>Table5[[#This Row],[posRnk]]+Table5[[#This Row],[zRnk]]+IF($W$3&lt;&gt;Table5[[#This Row],[Type]],50,0)</f>
        <v>#N/A</v>
      </c>
      <c r="X1108" s="53">
        <f>RANK(Table5[[#This Row],[zScore]],Table5[[#All],[zScore]])</f>
        <v>1104</v>
      </c>
      <c r="Y1108" s="52" t="str">
        <f>IFERROR(INDEX(DraftResults[[#All],[OVR]],MATCH(Table5[[#This Row],[PID]],DraftResults[[#All],[Player ID]],0)),"")</f>
        <v/>
      </c>
      <c r="Z11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8" s="52" t="str">
        <f>IFERROR(INDEX(DraftResults[[#All],[Pick in Round]],MATCH(Table5[[#This Row],[PID]],DraftResults[[#All],[Player ID]],0)),"")</f>
        <v/>
      </c>
      <c r="AB1108" s="52" t="str">
        <f>IFERROR(INDEX(DraftResults[[#All],[Team Name]],MATCH(Table5[[#This Row],[PID]],DraftResults[[#All],[Player ID]],0)),"")</f>
        <v/>
      </c>
      <c r="AC1108" s="52" t="str">
        <f>IF(Table5[[#This Row],[Ovr]]="","",IF(Table5[[#This Row],[cmbList]]="","",Table5[[#This Row],[cmbList]]-Table5[[#This Row],[Ovr]]))</f>
        <v/>
      </c>
      <c r="AD1108" s="56" t="str">
        <f>IF(ISERROR(VLOOKUP($AB1108&amp;"-"&amp;$E1108&amp;" "&amp;F1108,Bonuses!$B$1:$G$1006,4,FALSE)),"",INT(VLOOKUP($AB1108&amp;"-"&amp;$E1108&amp;" "&amp;$F1108,Bonuses!$B$1:$G$1006,4,FALSE)))</f>
        <v/>
      </c>
      <c r="AE11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9" spans="1:31" s="52" customFormat="1" x14ac:dyDescent="0.25">
      <c r="A1109" s="52">
        <v>5821</v>
      </c>
      <c r="B1109" s="52">
        <f>COUNTIF(Table5[PID],A1109)</f>
        <v>1</v>
      </c>
      <c r="C1109" s="52" t="str">
        <f>IF(COUNTIF(Table3[[#All],[PID]],A1109)&gt;0,"P","B")</f>
        <v>P</v>
      </c>
      <c r="D1109" s="61" t="str">
        <f>IF($C1109="B",INDEX(Batters[[#All],[POS]],MATCH(Table5[[#This Row],[PID]],Batters[[#All],[PID]],0)),INDEX(Table3[[#All],[POS]],MATCH(Table5[[#This Row],[PID]],Table3[[#All],[PID]],0)))</f>
        <v>RP</v>
      </c>
      <c r="E1109" s="54" t="str">
        <f>IF($C1109="B",INDEX(Batters[[#All],[First]],MATCH(Table5[[#This Row],[PID]],Batters[[#All],[PID]],0)),INDEX(Table3[[#All],[First]],MATCH(Table5[[#This Row],[PID]],Table3[[#All],[PID]],0)))</f>
        <v>Rob</v>
      </c>
      <c r="F1109" s="52" t="str">
        <f>IF($C1109="B",INDEX(Batters[[#All],[Last]],MATCH(A1109,Batters[[#All],[PID]],0)),INDEX(Table3[[#All],[Last]],MATCH(A1109,Table3[[#All],[PID]],0)))</f>
        <v>Carr</v>
      </c>
      <c r="G1109" s="58">
        <f>IF($C1109="B",INDEX(Batters[[#All],[Age]],MATCH(Table5[[#This Row],[PID]],Batters[[#All],[PID]],0)),INDEX(Table3[[#All],[Age]],MATCH(Table5[[#This Row],[PID]],Table3[[#All],[PID]],0)))</f>
        <v>21</v>
      </c>
      <c r="H1109" s="54" t="str">
        <f>IF($C1109="B",INDEX(Batters[[#All],[B]],MATCH(Table5[[#This Row],[PID]],Batters[[#All],[PID]],0)),INDEX(Table3[[#All],[B]],MATCH(Table5[[#This Row],[PID]],Table3[[#All],[PID]],0)))</f>
        <v>L</v>
      </c>
      <c r="I1109" s="54" t="str">
        <f>IF($C1109="B",INDEX(Batters[[#All],[T]],MATCH(Table5[[#This Row],[PID]],Batters[[#All],[PID]],0)),INDEX(Table3[[#All],[T]],MATCH(Table5[[#This Row],[PID]],Table3[[#All],[PID]],0)))</f>
        <v>R</v>
      </c>
      <c r="J1109" s="54" t="str">
        <f>IF($C1109="B",INDEX(Batters[[#All],[WE]],MATCH(Table5[[#This Row],[PID]],Batters[[#All],[PID]],0)),INDEX(Table3[[#All],[WE]],MATCH(Table5[[#This Row],[PID]],Table3[[#All],[PID]],0)))</f>
        <v>Low</v>
      </c>
      <c r="K1109" s="54" t="str">
        <f>IF($C1109="B",INDEX(Batters[[#All],[INT]],MATCH(Table5[[#This Row],[PID]],Batters[[#All],[PID]],0)),INDEX(Table3[[#All],[INT]],MATCH(Table5[[#This Row],[PID]],Table3[[#All],[PID]],0)))</f>
        <v>Normal</v>
      </c>
      <c r="L1109" s="62">
        <f>IF($C1109="B",INDEX(Batters[[#All],[CON P]],MATCH(Table5[[#This Row],[PID]],Batters[[#All],[PID]],0)),INDEX(Table3[[#All],[STU P]],MATCH(Table5[[#This Row],[PID]],Table3[[#All],[PID]],0)))</f>
        <v>3</v>
      </c>
      <c r="M1109" s="58">
        <f>IF($C1109="B",INDEX(Batters[[#All],[GAP P]],MATCH(Table5[[#This Row],[PID]],Batters[[#All],[PID]],0)),INDEX(Table3[[#All],[MOV P]],MATCH(Table5[[#This Row],[PID]],Table3[[#All],[PID]],0)))</f>
        <v>2</v>
      </c>
      <c r="N1109" s="58">
        <f>IF($C1109="B",INDEX(Batters[[#All],[POW P]],MATCH(Table5[[#This Row],[PID]],Batters[[#All],[PID]],0)),INDEX(Table3[[#All],[CON P]],MATCH(Table5[[#This Row],[PID]],Table3[[#All],[PID]],0)))</f>
        <v>2</v>
      </c>
      <c r="O1109" s="58" t="str">
        <f>IF($C1109="B",INDEX(Batters[[#All],[EYE P]],MATCH(Table5[[#This Row],[PID]],Batters[[#All],[PID]],0)),INDEX(Table3[[#All],[VELO]],MATCH(Table5[[#This Row],[PID]],Table3[[#All],[PID]],0)))</f>
        <v>87-89 Mph</v>
      </c>
      <c r="P1109" s="58">
        <f>IF($C1109="B",INDEX(Batters[[#All],[K P]],MATCH(Table5[[#This Row],[PID]],Batters[[#All],[PID]],0)),INDEX(Table3[[#All],[STM]],MATCH(Table5[[#This Row],[PID]],Table3[[#All],[PID]],0)))</f>
        <v>8</v>
      </c>
      <c r="Q1109" s="63">
        <f>IF($C1109="B",INDEX(Batters[[#All],[Tot]],MATCH(Table5[[#This Row],[PID]],Batters[[#All],[PID]],0)),INDEX(Table3[[#All],[Tot]],MATCH(Table5[[#This Row],[PID]],Table3[[#All],[PID]],0)))</f>
        <v>19.160636646034057</v>
      </c>
      <c r="R1109" s="54">
        <f>IF($C1109="B",INDEX(Batters[[#All],[zScore]],MATCH(Table5[[#This Row],[PID]],Batters[[#All],[PID]],0)),INDEX(Table3[[#All],[zScore]],MATCH(Table5[[#This Row],[PID]],Table3[[#All],[PID]],0)))</f>
        <v>-1.243657986433448</v>
      </c>
      <c r="S1109" s="60" t="str">
        <f>IF($C1109="B",INDEX(Batters[[#All],[DEM]],MATCH(Table5[[#This Row],[PID]],Batters[[#All],[PID]],0)),INDEX(Table3[[#All],[DEM]],MATCH(Table5[[#This Row],[PID]],Table3[[#All],[PID]],0)))</f>
        <v>$20k</v>
      </c>
      <c r="T1109" s="64" t="e">
        <f>IF($C1109="B",VLOOKUP($A1109,Bat!$A$4:$AU$1417,46,FALSE),VLOOKUP($A1109,Pit!$A$4:$BD$570,55,FALSE))</f>
        <v>#N/A</v>
      </c>
      <c r="U1109" s="52" t="e">
        <f>IF($C1109="B",VLOOKUP($A1109,Bat!$A$4:$BA$1417,47,FALSE),VLOOKUP($A1109,Pit!$A$4:$BF$570,56,FALSE))</f>
        <v>#N/A</v>
      </c>
      <c r="V1109" s="52" t="e">
        <f>IF($C1109="B",VLOOKUP($A1109,Bat!$A$4:$BA$1417,48,FALSE),VLOOKUP($A1109,Pit!$A$4:$BF$570,57,FALSE))</f>
        <v>#N/A</v>
      </c>
      <c r="W1109" s="52" t="e">
        <f>Table5[[#This Row],[posRnk]]+Table5[[#This Row],[zRnk]]+IF($W$3&lt;&gt;Table5[[#This Row],[Type]],50,0)</f>
        <v>#N/A</v>
      </c>
      <c r="X1109" s="53">
        <f>RANK(Table5[[#This Row],[zScore]],Table5[[#All],[zScore]])</f>
        <v>1105</v>
      </c>
      <c r="Y1109" s="52" t="str">
        <f>IFERROR(INDEX(DraftResults[[#All],[OVR]],MATCH(Table5[[#This Row],[PID]],DraftResults[[#All],[Player ID]],0)),"")</f>
        <v/>
      </c>
      <c r="Z11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9" s="52" t="str">
        <f>IFERROR(INDEX(DraftResults[[#All],[Pick in Round]],MATCH(Table5[[#This Row],[PID]],DraftResults[[#All],[Player ID]],0)),"")</f>
        <v/>
      </c>
      <c r="AB1109" s="52" t="str">
        <f>IFERROR(INDEX(DraftResults[[#All],[Team Name]],MATCH(Table5[[#This Row],[PID]],DraftResults[[#All],[Player ID]],0)),"")</f>
        <v/>
      </c>
      <c r="AC1109" s="52" t="str">
        <f>IF(Table5[[#This Row],[Ovr]]="","",IF(Table5[[#This Row],[cmbList]]="","",Table5[[#This Row],[cmbList]]-Table5[[#This Row],[Ovr]]))</f>
        <v/>
      </c>
      <c r="AD1109" s="56" t="str">
        <f>IF(ISERROR(VLOOKUP($AB1109&amp;"-"&amp;$E1109&amp;" "&amp;F1109,Bonuses!$B$1:$G$1006,4,FALSE)),"",INT(VLOOKUP($AB1109&amp;"-"&amp;$E1109&amp;" "&amp;$F1109,Bonuses!$B$1:$G$1006,4,FALSE)))</f>
        <v/>
      </c>
      <c r="AE11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0" spans="1:31" s="52" customFormat="1" x14ac:dyDescent="0.25">
      <c r="A1110" s="52">
        <v>17969</v>
      </c>
      <c r="B1110" s="52">
        <f>COUNTIF(Table5[PID],A1110)</f>
        <v>1</v>
      </c>
      <c r="C1110" s="52" t="str">
        <f>IF(COUNTIF(Table3[[#All],[PID]],A1110)&gt;0,"P","B")</f>
        <v>P</v>
      </c>
      <c r="D1110" s="61" t="str">
        <f>IF($C1110="B",INDEX(Batters[[#All],[POS]],MATCH(Table5[[#This Row],[PID]],Batters[[#All],[PID]],0)),INDEX(Table3[[#All],[POS]],MATCH(Table5[[#This Row],[PID]],Table3[[#All],[PID]],0)))</f>
        <v>RP</v>
      </c>
      <c r="E1110" s="54" t="str">
        <f>IF($C1110="B",INDEX(Batters[[#All],[First]],MATCH(Table5[[#This Row],[PID]],Batters[[#All],[PID]],0)),INDEX(Table3[[#All],[First]],MATCH(Table5[[#This Row],[PID]],Table3[[#All],[PID]],0)))</f>
        <v>Juan</v>
      </c>
      <c r="F1110" s="52" t="str">
        <f>IF($C1110="B",INDEX(Batters[[#All],[Last]],MATCH(A1110,Batters[[#All],[PID]],0)),INDEX(Table3[[#All],[Last]],MATCH(A1110,Table3[[#All],[PID]],0)))</f>
        <v>Castro</v>
      </c>
      <c r="G1110" s="58">
        <f>IF($C1110="B",INDEX(Batters[[#All],[Age]],MATCH(Table5[[#This Row],[PID]],Batters[[#All],[PID]],0)),INDEX(Table3[[#All],[Age]],MATCH(Table5[[#This Row],[PID]],Table3[[#All],[PID]],0)))</f>
        <v>21</v>
      </c>
      <c r="H1110" s="54" t="str">
        <f>IF($C1110="B",INDEX(Batters[[#All],[B]],MATCH(Table5[[#This Row],[PID]],Batters[[#All],[PID]],0)),INDEX(Table3[[#All],[B]],MATCH(Table5[[#This Row],[PID]],Table3[[#All],[PID]],0)))</f>
        <v>R</v>
      </c>
      <c r="I1110" s="54" t="str">
        <f>IF($C1110="B",INDEX(Batters[[#All],[T]],MATCH(Table5[[#This Row],[PID]],Batters[[#All],[PID]],0)),INDEX(Table3[[#All],[T]],MATCH(Table5[[#This Row],[PID]],Table3[[#All],[PID]],0)))</f>
        <v>R</v>
      </c>
      <c r="J1110" s="54" t="str">
        <f>IF($C1110="B",INDEX(Batters[[#All],[WE]],MATCH(Table5[[#This Row],[PID]],Batters[[#All],[PID]],0)),INDEX(Table3[[#All],[WE]],MATCH(Table5[[#This Row],[PID]],Table3[[#All],[PID]],0)))</f>
        <v>Low</v>
      </c>
      <c r="K1110" s="54" t="str">
        <f>IF($C1110="B",INDEX(Batters[[#All],[INT]],MATCH(Table5[[#This Row],[PID]],Batters[[#All],[PID]],0)),INDEX(Table3[[#All],[INT]],MATCH(Table5[[#This Row],[PID]],Table3[[#All],[PID]],0)))</f>
        <v>Normal</v>
      </c>
      <c r="L1110" s="62">
        <f>IF($C1110="B",INDEX(Batters[[#All],[CON P]],MATCH(Table5[[#This Row],[PID]],Batters[[#All],[PID]],0)),INDEX(Table3[[#All],[STU P]],MATCH(Table5[[#This Row],[PID]],Table3[[#All],[PID]],0)))</f>
        <v>3</v>
      </c>
      <c r="M1110" s="58">
        <f>IF($C1110="B",INDEX(Batters[[#All],[GAP P]],MATCH(Table5[[#This Row],[PID]],Batters[[#All],[PID]],0)),INDEX(Table3[[#All],[MOV P]],MATCH(Table5[[#This Row],[PID]],Table3[[#All],[PID]],0)))</f>
        <v>2</v>
      </c>
      <c r="N1110" s="58">
        <f>IF($C1110="B",INDEX(Batters[[#All],[POW P]],MATCH(Table5[[#This Row],[PID]],Batters[[#All],[PID]],0)),INDEX(Table3[[#All],[CON P]],MATCH(Table5[[#This Row],[PID]],Table3[[#All],[PID]],0)))</f>
        <v>2</v>
      </c>
      <c r="O1110" s="58" t="str">
        <f>IF($C1110="B",INDEX(Batters[[#All],[EYE P]],MATCH(Table5[[#This Row],[PID]],Batters[[#All],[PID]],0)),INDEX(Table3[[#All],[VELO]],MATCH(Table5[[#This Row],[PID]],Table3[[#All],[PID]],0)))</f>
        <v>90-92 Mph</v>
      </c>
      <c r="P1110" s="58">
        <f>IF($C1110="B",INDEX(Batters[[#All],[K P]],MATCH(Table5[[#This Row],[PID]],Batters[[#All],[PID]],0)),INDEX(Table3[[#All],[STM]],MATCH(Table5[[#This Row],[PID]],Table3[[#All],[PID]],0)))</f>
        <v>8</v>
      </c>
      <c r="Q1110" s="63">
        <f>IF($C1110="B",INDEX(Batters[[#All],[Tot]],MATCH(Table5[[#This Row],[PID]],Batters[[#All],[PID]],0)),INDEX(Table3[[#All],[Tot]],MATCH(Table5[[#This Row],[PID]],Table3[[#All],[PID]],0)))</f>
        <v>19.160636646034057</v>
      </c>
      <c r="R1110" s="54">
        <f>IF($C1110="B",INDEX(Batters[[#All],[zScore]],MATCH(Table5[[#This Row],[PID]],Batters[[#All],[PID]],0)),INDEX(Table3[[#All],[zScore]],MATCH(Table5[[#This Row],[PID]],Table3[[#All],[PID]],0)))</f>
        <v>-1.243657986433448</v>
      </c>
      <c r="S1110" s="60" t="str">
        <f>IF($C1110="B",INDEX(Batters[[#All],[DEM]],MATCH(Table5[[#This Row],[PID]],Batters[[#All],[PID]],0)),INDEX(Table3[[#All],[DEM]],MATCH(Table5[[#This Row],[PID]],Table3[[#All],[PID]],0)))</f>
        <v>-</v>
      </c>
      <c r="T1110" s="64" t="e">
        <f>IF($C1110="B",VLOOKUP($A1110,Bat!$A$4:$AU$1417,46,FALSE),VLOOKUP($A1110,Pit!$A$4:$BD$570,55,FALSE))</f>
        <v>#N/A</v>
      </c>
      <c r="U1110" s="52" t="e">
        <f>IF($C1110="B",VLOOKUP($A1110,Bat!$A$4:$BA$1417,47,FALSE),VLOOKUP($A1110,Pit!$A$4:$BF$570,56,FALSE))</f>
        <v>#N/A</v>
      </c>
      <c r="V1110" s="52" t="e">
        <f>IF($C1110="B",VLOOKUP($A1110,Bat!$A$4:$BA$1417,48,FALSE),VLOOKUP($A1110,Pit!$A$4:$BF$570,57,FALSE))</f>
        <v>#N/A</v>
      </c>
      <c r="W1110" s="52" t="e">
        <f>Table5[[#This Row],[posRnk]]+Table5[[#This Row],[zRnk]]+IF($W$3&lt;&gt;Table5[[#This Row],[Type]],50,0)</f>
        <v>#N/A</v>
      </c>
      <c r="X1110" s="53">
        <f>RANK(Table5[[#This Row],[zScore]],Table5[[#All],[zScore]])</f>
        <v>1105</v>
      </c>
      <c r="Y1110" s="52" t="str">
        <f>IFERROR(INDEX(DraftResults[[#All],[OVR]],MATCH(Table5[[#This Row],[PID]],DraftResults[[#All],[Player ID]],0)),"")</f>
        <v/>
      </c>
      <c r="Z11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0" s="52" t="str">
        <f>IFERROR(INDEX(DraftResults[[#All],[Pick in Round]],MATCH(Table5[[#This Row],[PID]],DraftResults[[#All],[Player ID]],0)),"")</f>
        <v/>
      </c>
      <c r="AB1110" s="52" t="str">
        <f>IFERROR(INDEX(DraftResults[[#All],[Team Name]],MATCH(Table5[[#This Row],[PID]],DraftResults[[#All],[Player ID]],0)),"")</f>
        <v/>
      </c>
      <c r="AC1110" s="52" t="str">
        <f>IF(Table5[[#This Row],[Ovr]]="","",IF(Table5[[#This Row],[cmbList]]="","",Table5[[#This Row],[cmbList]]-Table5[[#This Row],[Ovr]]))</f>
        <v/>
      </c>
      <c r="AD1110" s="56" t="str">
        <f>IF(ISERROR(VLOOKUP($AB1110&amp;"-"&amp;$E1110&amp;" "&amp;F1110,Bonuses!$B$1:$G$1006,4,FALSE)),"",INT(VLOOKUP($AB1110&amp;"-"&amp;$E1110&amp;" "&amp;$F1110,Bonuses!$B$1:$G$1006,4,FALSE)))</f>
        <v/>
      </c>
      <c r="AE11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1" spans="1:31" s="52" customFormat="1" x14ac:dyDescent="0.25">
      <c r="A1111" s="52">
        <v>9505</v>
      </c>
      <c r="B1111" s="52">
        <f>COUNTIF(Table5[PID],A1111)</f>
        <v>1</v>
      </c>
      <c r="C1111" s="52" t="str">
        <f>IF(COUNTIF(Table3[[#All],[PID]],A1111)&gt;0,"P","B")</f>
        <v>P</v>
      </c>
      <c r="D1111" s="61" t="str">
        <f>IF($C1111="B",INDEX(Batters[[#All],[POS]],MATCH(Table5[[#This Row],[PID]],Batters[[#All],[PID]],0)),INDEX(Table3[[#All],[POS]],MATCH(Table5[[#This Row],[PID]],Table3[[#All],[PID]],0)))</f>
        <v>RP</v>
      </c>
      <c r="E1111" s="54" t="str">
        <f>IF($C1111="B",INDEX(Batters[[#All],[First]],MATCH(Table5[[#This Row],[PID]],Batters[[#All],[PID]],0)),INDEX(Table3[[#All],[First]],MATCH(Table5[[#This Row],[PID]],Table3[[#All],[PID]],0)))</f>
        <v>Max</v>
      </c>
      <c r="F1111" s="52" t="str">
        <f>IF($C1111="B",INDEX(Batters[[#All],[Last]],MATCH(A1111,Batters[[#All],[PID]],0)),INDEX(Table3[[#All],[Last]],MATCH(A1111,Table3[[#All],[PID]],0)))</f>
        <v>Moore</v>
      </c>
      <c r="G1111" s="58">
        <f>IF($C1111="B",INDEX(Batters[[#All],[Age]],MATCH(Table5[[#This Row],[PID]],Batters[[#All],[PID]],0)),INDEX(Table3[[#All],[Age]],MATCH(Table5[[#This Row],[PID]],Table3[[#All],[PID]],0)))</f>
        <v>21</v>
      </c>
      <c r="H1111" s="54" t="str">
        <f>IF($C1111="B",INDEX(Batters[[#All],[B]],MATCH(Table5[[#This Row],[PID]],Batters[[#All],[PID]],0)),INDEX(Table3[[#All],[B]],MATCH(Table5[[#This Row],[PID]],Table3[[#All],[PID]],0)))</f>
        <v>L</v>
      </c>
      <c r="I1111" s="54" t="str">
        <f>IF($C1111="B",INDEX(Batters[[#All],[T]],MATCH(Table5[[#This Row],[PID]],Batters[[#All],[PID]],0)),INDEX(Table3[[#All],[T]],MATCH(Table5[[#This Row],[PID]],Table3[[#All],[PID]],0)))</f>
        <v>L</v>
      </c>
      <c r="J1111" s="54" t="str">
        <f>IF($C1111="B",INDEX(Batters[[#All],[WE]],MATCH(Table5[[#This Row],[PID]],Batters[[#All],[PID]],0)),INDEX(Table3[[#All],[WE]],MATCH(Table5[[#This Row],[PID]],Table3[[#All],[PID]],0)))</f>
        <v>Low</v>
      </c>
      <c r="K1111" s="54" t="str">
        <f>IF($C1111="B",INDEX(Batters[[#All],[INT]],MATCH(Table5[[#This Row],[PID]],Batters[[#All],[PID]],0)),INDEX(Table3[[#All],[INT]],MATCH(Table5[[#This Row],[PID]],Table3[[#All],[PID]],0)))</f>
        <v>Low</v>
      </c>
      <c r="L1111" s="62">
        <f>IF($C1111="B",INDEX(Batters[[#All],[CON P]],MATCH(Table5[[#This Row],[PID]],Batters[[#All],[PID]],0)),INDEX(Table3[[#All],[STU P]],MATCH(Table5[[#This Row],[PID]],Table3[[#All],[PID]],0)))</f>
        <v>4</v>
      </c>
      <c r="M1111" s="58">
        <f>IF($C1111="B",INDEX(Batters[[#All],[GAP P]],MATCH(Table5[[#This Row],[PID]],Batters[[#All],[PID]],0)),INDEX(Table3[[#All],[MOV P]],MATCH(Table5[[#This Row],[PID]],Table3[[#All],[PID]],0)))</f>
        <v>1</v>
      </c>
      <c r="N1111" s="58">
        <f>IF($C1111="B",INDEX(Batters[[#All],[POW P]],MATCH(Table5[[#This Row],[PID]],Batters[[#All],[PID]],0)),INDEX(Table3[[#All],[CON P]],MATCH(Table5[[#This Row],[PID]],Table3[[#All],[PID]],0)))</f>
        <v>2</v>
      </c>
      <c r="O1111" s="58" t="str">
        <f>IF($C1111="B",INDEX(Batters[[#All],[EYE P]],MATCH(Table5[[#This Row],[PID]],Batters[[#All],[PID]],0)),INDEX(Table3[[#All],[VELO]],MATCH(Table5[[#This Row],[PID]],Table3[[#All],[PID]],0)))</f>
        <v>87-89 Mph</v>
      </c>
      <c r="P1111" s="58">
        <f>IF($C1111="B",INDEX(Batters[[#All],[K P]],MATCH(Table5[[#This Row],[PID]],Batters[[#All],[PID]],0)),INDEX(Table3[[#All],[STM]],MATCH(Table5[[#This Row],[PID]],Table3[[#All],[PID]],0)))</f>
        <v>4</v>
      </c>
      <c r="Q1111" s="63">
        <f>IF($C1111="B",INDEX(Batters[[#All],[Tot]],MATCH(Table5[[#This Row],[PID]],Batters[[#All],[PID]],0)),INDEX(Table3[[#All],[Tot]],MATCH(Table5[[#This Row],[PID]],Table3[[#All],[PID]],0)))</f>
        <v>19.136405341113878</v>
      </c>
      <c r="R1111" s="54">
        <f>IF($C1111="B",INDEX(Batters[[#All],[zScore]],MATCH(Table5[[#This Row],[PID]],Batters[[#All],[PID]],0)),INDEX(Table3[[#All],[zScore]],MATCH(Table5[[#This Row],[PID]],Table3[[#All],[PID]],0)))</f>
        <v>-1.2458801006614022</v>
      </c>
      <c r="S1111" s="60" t="str">
        <f>IF($C1111="B",INDEX(Batters[[#All],[DEM]],MATCH(Table5[[#This Row],[PID]],Batters[[#All],[PID]],0)),INDEX(Table3[[#All],[DEM]],MATCH(Table5[[#This Row],[PID]],Table3[[#All],[PID]],0)))</f>
        <v>-</v>
      </c>
      <c r="T1111" s="64" t="e">
        <f>IF($C1111="B",VLOOKUP($A1111,Bat!$A$4:$AU$1417,46,FALSE),VLOOKUP($A1111,Pit!$A$4:$BD$570,55,FALSE))</f>
        <v>#N/A</v>
      </c>
      <c r="U1111" s="52" t="e">
        <f>IF($C1111="B",VLOOKUP($A1111,Bat!$A$4:$BA$1417,47,FALSE),VLOOKUP($A1111,Pit!$A$4:$BF$570,56,FALSE))</f>
        <v>#N/A</v>
      </c>
      <c r="V1111" s="52" t="e">
        <f>IF($C1111="B",VLOOKUP($A1111,Bat!$A$4:$BA$1417,48,FALSE),VLOOKUP($A1111,Pit!$A$4:$BF$570,57,FALSE))</f>
        <v>#N/A</v>
      </c>
      <c r="W1111" s="52" t="e">
        <f>Table5[[#This Row],[posRnk]]+Table5[[#This Row],[zRnk]]+IF($W$3&lt;&gt;Table5[[#This Row],[Type]],50,0)</f>
        <v>#N/A</v>
      </c>
      <c r="X1111" s="53">
        <f>RANK(Table5[[#This Row],[zScore]],Table5[[#All],[zScore]])</f>
        <v>1107</v>
      </c>
      <c r="Y1111" s="52" t="str">
        <f>IFERROR(INDEX(DraftResults[[#All],[OVR]],MATCH(Table5[[#This Row],[PID]],DraftResults[[#All],[Player ID]],0)),"")</f>
        <v/>
      </c>
      <c r="Z11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1" s="52" t="str">
        <f>IFERROR(INDEX(DraftResults[[#All],[Pick in Round]],MATCH(Table5[[#This Row],[PID]],DraftResults[[#All],[Player ID]],0)),"")</f>
        <v/>
      </c>
      <c r="AB1111" s="52" t="str">
        <f>IFERROR(INDEX(DraftResults[[#All],[Team Name]],MATCH(Table5[[#This Row],[PID]],DraftResults[[#All],[Player ID]],0)),"")</f>
        <v/>
      </c>
      <c r="AC1111" s="52" t="str">
        <f>IF(Table5[[#This Row],[Ovr]]="","",IF(Table5[[#This Row],[cmbList]]="","",Table5[[#This Row],[cmbList]]-Table5[[#This Row],[Ovr]]))</f>
        <v/>
      </c>
      <c r="AD1111" s="56" t="str">
        <f>IF(ISERROR(VLOOKUP($AB1111&amp;"-"&amp;$E1111&amp;" "&amp;F1111,Bonuses!$B$1:$G$1006,4,FALSE)),"",INT(VLOOKUP($AB1111&amp;"-"&amp;$E1111&amp;" "&amp;$F1111,Bonuses!$B$1:$G$1006,4,FALSE)))</f>
        <v/>
      </c>
      <c r="AE11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2" spans="1:31" s="52" customFormat="1" x14ac:dyDescent="0.25">
      <c r="A1112" s="52">
        <v>10491</v>
      </c>
      <c r="B1112" s="52">
        <f>COUNTIF(Table5[PID],A1112)</f>
        <v>1</v>
      </c>
      <c r="C1112" s="52" t="str">
        <f>IF(COUNTIF(Table3[[#All],[PID]],A1112)&gt;0,"P","B")</f>
        <v>P</v>
      </c>
      <c r="D1112" s="61" t="str">
        <f>IF($C1112="B",INDEX(Batters[[#All],[POS]],MATCH(Table5[[#This Row],[PID]],Batters[[#All],[PID]],0)),INDEX(Table3[[#All],[POS]],MATCH(Table5[[#This Row],[PID]],Table3[[#All],[PID]],0)))</f>
        <v>RP</v>
      </c>
      <c r="E1112" s="54" t="str">
        <f>IF($C1112="B",INDEX(Batters[[#All],[First]],MATCH(Table5[[#This Row],[PID]],Batters[[#All],[PID]],0)),INDEX(Table3[[#All],[First]],MATCH(Table5[[#This Row],[PID]],Table3[[#All],[PID]],0)))</f>
        <v>Junior</v>
      </c>
      <c r="F1112" s="52" t="str">
        <f>IF($C1112="B",INDEX(Batters[[#All],[Last]],MATCH(A1112,Batters[[#All],[PID]],0)),INDEX(Table3[[#All],[Last]],MATCH(A1112,Table3[[#All],[PID]],0)))</f>
        <v>Rodríguez</v>
      </c>
      <c r="G1112" s="58">
        <f>IF($C1112="B",INDEX(Batters[[#All],[Age]],MATCH(Table5[[#This Row],[PID]],Batters[[#All],[PID]],0)),INDEX(Table3[[#All],[Age]],MATCH(Table5[[#This Row],[PID]],Table3[[#All],[PID]],0)))</f>
        <v>21</v>
      </c>
      <c r="H1112" s="54" t="str">
        <f>IF($C1112="B",INDEX(Batters[[#All],[B]],MATCH(Table5[[#This Row],[PID]],Batters[[#All],[PID]],0)),INDEX(Table3[[#All],[B]],MATCH(Table5[[#This Row],[PID]],Table3[[#All],[PID]],0)))</f>
        <v>R</v>
      </c>
      <c r="I1112" s="54" t="str">
        <f>IF($C1112="B",INDEX(Batters[[#All],[T]],MATCH(Table5[[#This Row],[PID]],Batters[[#All],[PID]],0)),INDEX(Table3[[#All],[T]],MATCH(Table5[[#This Row],[PID]],Table3[[#All],[PID]],0)))</f>
        <v>R</v>
      </c>
      <c r="J1112" s="54" t="str">
        <f>IF($C1112="B",INDEX(Batters[[#All],[WE]],MATCH(Table5[[#This Row],[PID]],Batters[[#All],[PID]],0)),INDEX(Table3[[#All],[WE]],MATCH(Table5[[#This Row],[PID]],Table3[[#All],[PID]],0)))</f>
        <v>Low</v>
      </c>
      <c r="K1112" s="54" t="str">
        <f>IF($C1112="B",INDEX(Batters[[#All],[INT]],MATCH(Table5[[#This Row],[PID]],Batters[[#All],[PID]],0)),INDEX(Table3[[#All],[INT]],MATCH(Table5[[#This Row],[PID]],Table3[[#All],[PID]],0)))</f>
        <v>Low</v>
      </c>
      <c r="L1112" s="62">
        <f>IF($C1112="B",INDEX(Batters[[#All],[CON P]],MATCH(Table5[[#This Row],[PID]],Batters[[#All],[PID]],0)),INDEX(Table3[[#All],[STU P]],MATCH(Table5[[#This Row],[PID]],Table3[[#All],[PID]],0)))</f>
        <v>4</v>
      </c>
      <c r="M1112" s="58">
        <f>IF($C1112="B",INDEX(Batters[[#All],[GAP P]],MATCH(Table5[[#This Row],[PID]],Batters[[#All],[PID]],0)),INDEX(Table3[[#All],[MOV P]],MATCH(Table5[[#This Row],[PID]],Table3[[#All],[PID]],0)))</f>
        <v>2</v>
      </c>
      <c r="N1112" s="58">
        <f>IF($C1112="B",INDEX(Batters[[#All],[POW P]],MATCH(Table5[[#This Row],[PID]],Batters[[#All],[PID]],0)),INDEX(Table3[[#All],[CON P]],MATCH(Table5[[#This Row],[PID]],Table3[[#All],[PID]],0)))</f>
        <v>1</v>
      </c>
      <c r="O1112" s="58" t="str">
        <f>IF($C1112="B",INDEX(Batters[[#All],[EYE P]],MATCH(Table5[[#This Row],[PID]],Batters[[#All],[PID]],0)),INDEX(Table3[[#All],[VELO]],MATCH(Table5[[#This Row],[PID]],Table3[[#All],[PID]],0)))</f>
        <v>89-91 Mph</v>
      </c>
      <c r="P1112" s="58">
        <f>IF($C1112="B",INDEX(Batters[[#All],[K P]],MATCH(Table5[[#This Row],[PID]],Batters[[#All],[PID]],0)),INDEX(Table3[[#All],[STM]],MATCH(Table5[[#This Row],[PID]],Table3[[#All],[PID]],0)))</f>
        <v>7</v>
      </c>
      <c r="Q1112" s="63">
        <f>IF($C1112="B",INDEX(Batters[[#All],[Tot]],MATCH(Table5[[#This Row],[PID]],Batters[[#All],[PID]],0)),INDEX(Table3[[#All],[Tot]],MATCH(Table5[[#This Row],[PID]],Table3[[#All],[PID]],0)))</f>
        <v>19.118965471849307</v>
      </c>
      <c r="R1112" s="54">
        <f>IF($C1112="B",INDEX(Batters[[#All],[zScore]],MATCH(Table5[[#This Row],[PID]],Batters[[#All],[PID]],0)),INDEX(Table3[[#All],[zScore]],MATCH(Table5[[#This Row],[PID]],Table3[[#All],[PID]],0)))</f>
        <v>-1.2474794112125311</v>
      </c>
      <c r="S1112" s="60" t="str">
        <f>IF($C1112="B",INDEX(Batters[[#All],[DEM]],MATCH(Table5[[#This Row],[PID]],Batters[[#All],[PID]],0)),INDEX(Table3[[#All],[DEM]],MATCH(Table5[[#This Row],[PID]],Table3[[#All],[PID]],0)))</f>
        <v>$20k</v>
      </c>
      <c r="T1112" s="64" t="e">
        <f>IF($C1112="B",VLOOKUP($A1112,Bat!$A$4:$AU$1417,46,FALSE),VLOOKUP($A1112,Pit!$A$4:$BD$570,55,FALSE))</f>
        <v>#N/A</v>
      </c>
      <c r="U1112" s="52" t="e">
        <f>IF($C1112="B",VLOOKUP($A1112,Bat!$A$4:$BA$1417,47,FALSE),VLOOKUP($A1112,Pit!$A$4:$BF$570,56,FALSE))</f>
        <v>#N/A</v>
      </c>
      <c r="V1112" s="52" t="e">
        <f>IF($C1112="B",VLOOKUP($A1112,Bat!$A$4:$BA$1417,48,FALSE),VLOOKUP($A1112,Pit!$A$4:$BF$570,57,FALSE))</f>
        <v>#N/A</v>
      </c>
      <c r="W1112" s="52" t="e">
        <f>Table5[[#This Row],[posRnk]]+Table5[[#This Row],[zRnk]]+IF($W$3&lt;&gt;Table5[[#This Row],[Type]],50,0)</f>
        <v>#N/A</v>
      </c>
      <c r="X1112" s="53">
        <f>RANK(Table5[[#This Row],[zScore]],Table5[[#All],[zScore]])</f>
        <v>1108</v>
      </c>
      <c r="Y1112" s="52" t="str">
        <f>IFERROR(INDEX(DraftResults[[#All],[OVR]],MATCH(Table5[[#This Row],[PID]],DraftResults[[#All],[Player ID]],0)),"")</f>
        <v/>
      </c>
      <c r="Z11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2" s="52" t="str">
        <f>IFERROR(INDEX(DraftResults[[#All],[Pick in Round]],MATCH(Table5[[#This Row],[PID]],DraftResults[[#All],[Player ID]],0)),"")</f>
        <v/>
      </c>
      <c r="AB1112" s="52" t="str">
        <f>IFERROR(INDEX(DraftResults[[#All],[Team Name]],MATCH(Table5[[#This Row],[PID]],DraftResults[[#All],[Player ID]],0)),"")</f>
        <v/>
      </c>
      <c r="AC1112" s="52" t="str">
        <f>IF(Table5[[#This Row],[Ovr]]="","",IF(Table5[[#This Row],[cmbList]]="","",Table5[[#This Row],[cmbList]]-Table5[[#This Row],[Ovr]]))</f>
        <v/>
      </c>
      <c r="AD1112" s="56" t="str">
        <f>IF(ISERROR(VLOOKUP($AB1112&amp;"-"&amp;$E1112&amp;" "&amp;F1112,Bonuses!$B$1:$G$1006,4,FALSE)),"",INT(VLOOKUP($AB1112&amp;"-"&amp;$E1112&amp;" "&amp;$F1112,Bonuses!$B$1:$G$1006,4,FALSE)))</f>
        <v/>
      </c>
      <c r="AE11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3" spans="1:31" s="52" customFormat="1" x14ac:dyDescent="0.25">
      <c r="A1113" s="52">
        <v>16308</v>
      </c>
      <c r="B1113" s="52">
        <f>COUNTIF(Table5[PID],A1113)</f>
        <v>1</v>
      </c>
      <c r="C1113" s="52" t="str">
        <f>IF(COUNTIF(Table3[[#All],[PID]],A1113)&gt;0,"P","B")</f>
        <v>P</v>
      </c>
      <c r="D1113" s="61" t="str">
        <f>IF($C1113="B",INDEX(Batters[[#All],[POS]],MATCH(Table5[[#This Row],[PID]],Batters[[#All],[PID]],0)),INDEX(Table3[[#All],[POS]],MATCH(Table5[[#This Row],[PID]],Table3[[#All],[PID]],0)))</f>
        <v>RP</v>
      </c>
      <c r="E1113" s="54" t="str">
        <f>IF($C1113="B",INDEX(Batters[[#All],[First]],MATCH(Table5[[#This Row],[PID]],Batters[[#All],[PID]],0)),INDEX(Table3[[#All],[First]],MATCH(Table5[[#This Row],[PID]],Table3[[#All],[PID]],0)))</f>
        <v>Iván</v>
      </c>
      <c r="F1113" s="52" t="str">
        <f>IF($C1113="B",INDEX(Batters[[#All],[Last]],MATCH(A1113,Batters[[#All],[PID]],0)),INDEX(Table3[[#All],[Last]],MATCH(A1113,Table3[[#All],[PID]],0)))</f>
        <v>Guerrero</v>
      </c>
      <c r="G1113" s="58">
        <f>IF($C1113="B",INDEX(Batters[[#All],[Age]],MATCH(Table5[[#This Row],[PID]],Batters[[#All],[PID]],0)),INDEX(Table3[[#All],[Age]],MATCH(Table5[[#This Row],[PID]],Table3[[#All],[PID]],0)))</f>
        <v>21</v>
      </c>
      <c r="H1113" s="54" t="str">
        <f>IF($C1113="B",INDEX(Batters[[#All],[B]],MATCH(Table5[[#This Row],[PID]],Batters[[#All],[PID]],0)),INDEX(Table3[[#All],[B]],MATCH(Table5[[#This Row],[PID]],Table3[[#All],[PID]],0)))</f>
        <v>L</v>
      </c>
      <c r="I1113" s="54" t="str">
        <f>IF($C1113="B",INDEX(Batters[[#All],[T]],MATCH(Table5[[#This Row],[PID]],Batters[[#All],[PID]],0)),INDEX(Table3[[#All],[T]],MATCH(Table5[[#This Row],[PID]],Table3[[#All],[PID]],0)))</f>
        <v>L</v>
      </c>
      <c r="J1113" s="54" t="str">
        <f>IF($C1113="B",INDEX(Batters[[#All],[WE]],MATCH(Table5[[#This Row],[PID]],Batters[[#All],[PID]],0)),INDEX(Table3[[#All],[WE]],MATCH(Table5[[#This Row],[PID]],Table3[[#All],[PID]],0)))</f>
        <v>Normal</v>
      </c>
      <c r="K1113" s="54" t="str">
        <f>IF($C1113="B",INDEX(Batters[[#All],[INT]],MATCH(Table5[[#This Row],[PID]],Batters[[#All],[PID]],0)),INDEX(Table3[[#All],[INT]],MATCH(Table5[[#This Row],[PID]],Table3[[#All],[PID]],0)))</f>
        <v>High</v>
      </c>
      <c r="L1113" s="62">
        <f>IF($C1113="B",INDEX(Batters[[#All],[CON P]],MATCH(Table5[[#This Row],[PID]],Batters[[#All],[PID]],0)),INDEX(Table3[[#All],[STU P]],MATCH(Table5[[#This Row],[PID]],Table3[[#All],[PID]],0)))</f>
        <v>4</v>
      </c>
      <c r="M1113" s="58">
        <f>IF($C1113="B",INDEX(Batters[[#All],[GAP P]],MATCH(Table5[[#This Row],[PID]],Batters[[#All],[PID]],0)),INDEX(Table3[[#All],[MOV P]],MATCH(Table5[[#This Row],[PID]],Table3[[#All],[PID]],0)))</f>
        <v>2</v>
      </c>
      <c r="N1113" s="58">
        <f>IF($C1113="B",INDEX(Batters[[#All],[POW P]],MATCH(Table5[[#This Row],[PID]],Batters[[#All],[PID]],0)),INDEX(Table3[[#All],[CON P]],MATCH(Table5[[#This Row],[PID]],Table3[[#All],[PID]],0)))</f>
        <v>2</v>
      </c>
      <c r="O1113" s="58" t="str">
        <f>IF($C1113="B",INDEX(Batters[[#All],[EYE P]],MATCH(Table5[[#This Row],[PID]],Batters[[#All],[PID]],0)),INDEX(Table3[[#All],[VELO]],MATCH(Table5[[#This Row],[PID]],Table3[[#All],[PID]],0)))</f>
        <v>86-88 Mph</v>
      </c>
      <c r="P1113" s="58">
        <f>IF($C1113="B",INDEX(Batters[[#All],[K P]],MATCH(Table5[[#This Row],[PID]],Batters[[#All],[PID]],0)),INDEX(Table3[[#All],[STM]],MATCH(Table5[[#This Row],[PID]],Table3[[#All],[PID]],0)))</f>
        <v>6</v>
      </c>
      <c r="Q1113" s="63">
        <f>IF($C1113="B",INDEX(Batters[[#All],[Tot]],MATCH(Table5[[#This Row],[PID]],Batters[[#All],[PID]],0)),INDEX(Table3[[#All],[Tot]],MATCH(Table5[[#This Row],[PID]],Table3[[#All],[PID]],0)))</f>
        <v>19.093008979921485</v>
      </c>
      <c r="R1113" s="54">
        <f>IF($C1113="B",INDEX(Batters[[#All],[zScore]],MATCH(Table5[[#This Row],[PID]],Batters[[#All],[PID]],0)),INDEX(Table3[[#All],[zScore]],MATCH(Table5[[#This Row],[PID]],Table3[[#All],[PID]],0)))</f>
        <v>-1.2498597324626906</v>
      </c>
      <c r="S1113" s="60" t="str">
        <f>IF($C1113="B",INDEX(Batters[[#All],[DEM]],MATCH(Table5[[#This Row],[PID]],Batters[[#All],[PID]],0)),INDEX(Table3[[#All],[DEM]],MATCH(Table5[[#This Row],[PID]],Table3[[#All],[PID]],0)))</f>
        <v>-</v>
      </c>
      <c r="T1113" s="64" t="e">
        <f>IF($C1113="B",VLOOKUP($A1113,Bat!$A$4:$AU$1417,46,FALSE),VLOOKUP($A1113,Pit!$A$4:$BD$570,55,FALSE))</f>
        <v>#N/A</v>
      </c>
      <c r="U1113" s="52" t="e">
        <f>IF($C1113="B",VLOOKUP($A1113,Bat!$A$4:$BA$1417,47,FALSE),VLOOKUP($A1113,Pit!$A$4:$BF$570,56,FALSE))</f>
        <v>#N/A</v>
      </c>
      <c r="V1113" s="52" t="e">
        <f>IF($C1113="B",VLOOKUP($A1113,Bat!$A$4:$BA$1417,48,FALSE),VLOOKUP($A1113,Pit!$A$4:$BF$570,57,FALSE))</f>
        <v>#N/A</v>
      </c>
      <c r="W1113" s="52" t="e">
        <f>Table5[[#This Row],[posRnk]]+Table5[[#This Row],[zRnk]]+IF($W$3&lt;&gt;Table5[[#This Row],[Type]],50,0)</f>
        <v>#N/A</v>
      </c>
      <c r="X1113" s="53">
        <f>RANK(Table5[[#This Row],[zScore]],Table5[[#All],[zScore]])</f>
        <v>1109</v>
      </c>
      <c r="Y1113" s="52" t="str">
        <f>IFERROR(INDEX(DraftResults[[#All],[OVR]],MATCH(Table5[[#This Row],[PID]],DraftResults[[#All],[Player ID]],0)),"")</f>
        <v/>
      </c>
      <c r="Z11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3" s="52" t="str">
        <f>IFERROR(INDEX(DraftResults[[#All],[Pick in Round]],MATCH(Table5[[#This Row],[PID]],DraftResults[[#All],[Player ID]],0)),"")</f>
        <v/>
      </c>
      <c r="AB1113" s="52" t="str">
        <f>IFERROR(INDEX(DraftResults[[#All],[Team Name]],MATCH(Table5[[#This Row],[PID]],DraftResults[[#All],[Player ID]],0)),"")</f>
        <v/>
      </c>
      <c r="AC1113" s="52" t="str">
        <f>IF(Table5[[#This Row],[Ovr]]="","",IF(Table5[[#This Row],[cmbList]]="","",Table5[[#This Row],[cmbList]]-Table5[[#This Row],[Ovr]]))</f>
        <v/>
      </c>
      <c r="AD1113" s="56" t="str">
        <f>IF(ISERROR(VLOOKUP($AB1113&amp;"-"&amp;$E1113&amp;" "&amp;F1113,Bonuses!$B$1:$G$1006,4,FALSE)),"",INT(VLOOKUP($AB1113&amp;"-"&amp;$E1113&amp;" "&amp;$F1113,Bonuses!$B$1:$G$1006,4,FALSE)))</f>
        <v/>
      </c>
      <c r="AE11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4" spans="1:31" s="52" customFormat="1" x14ac:dyDescent="0.25">
      <c r="A1114" s="52">
        <v>18044</v>
      </c>
      <c r="B1114" s="52">
        <f>COUNTIF(Table5[PID],A1114)</f>
        <v>1</v>
      </c>
      <c r="C1114" s="52" t="str">
        <f>IF(COUNTIF(Table3[[#All],[PID]],A1114)&gt;0,"P","B")</f>
        <v>B</v>
      </c>
      <c r="D1114" s="61" t="str">
        <f>IF($C1114="B",INDEX(Batters[[#All],[POS]],MATCH(Table5[[#This Row],[PID]],Batters[[#All],[PID]],0)),INDEX(Table3[[#All],[POS]],MATCH(Table5[[#This Row],[PID]],Table3[[#All],[PID]],0)))</f>
        <v>C</v>
      </c>
      <c r="E1114" s="54" t="str">
        <f>IF($C1114="B",INDEX(Batters[[#All],[First]],MATCH(Table5[[#This Row],[PID]],Batters[[#All],[PID]],0)),INDEX(Table3[[#All],[First]],MATCH(Table5[[#This Row],[PID]],Table3[[#All],[PID]],0)))</f>
        <v>Francisco</v>
      </c>
      <c r="F1114" s="52" t="str">
        <f>IF($C1114="B",INDEX(Batters[[#All],[Last]],MATCH(A1114,Batters[[#All],[PID]],0)),INDEX(Table3[[#All],[Last]],MATCH(A1114,Table3[[#All],[PID]],0)))</f>
        <v>Dávila</v>
      </c>
      <c r="G1114" s="58">
        <f>IF($C1114="B",INDEX(Batters[[#All],[Age]],MATCH(Table5[[#This Row],[PID]],Batters[[#All],[PID]],0)),INDEX(Table3[[#All],[Age]],MATCH(Table5[[#This Row],[PID]],Table3[[#All],[PID]],0)))</f>
        <v>21</v>
      </c>
      <c r="H1114" s="54" t="str">
        <f>IF($C1114="B",INDEX(Batters[[#All],[B]],MATCH(Table5[[#This Row],[PID]],Batters[[#All],[PID]],0)),INDEX(Table3[[#All],[B]],MATCH(Table5[[#This Row],[PID]],Table3[[#All],[PID]],0)))</f>
        <v>R</v>
      </c>
      <c r="I1114" s="54" t="str">
        <f>IF($C1114="B",INDEX(Batters[[#All],[T]],MATCH(Table5[[#This Row],[PID]],Batters[[#All],[PID]],0)),INDEX(Table3[[#All],[T]],MATCH(Table5[[#This Row],[PID]],Table3[[#All],[PID]],0)))</f>
        <v>R</v>
      </c>
      <c r="J1114" s="54" t="str">
        <f>IF($C1114="B",INDEX(Batters[[#All],[WE]],MATCH(Table5[[#This Row],[PID]],Batters[[#All],[PID]],0)),INDEX(Table3[[#All],[WE]],MATCH(Table5[[#This Row],[PID]],Table3[[#All],[PID]],0)))</f>
        <v>Low</v>
      </c>
      <c r="K1114" s="54" t="str">
        <f>IF($C1114="B",INDEX(Batters[[#All],[INT]],MATCH(Table5[[#This Row],[PID]],Batters[[#All],[PID]],0)),INDEX(Table3[[#All],[INT]],MATCH(Table5[[#This Row],[PID]],Table3[[#All],[PID]],0)))</f>
        <v>Normal</v>
      </c>
      <c r="L1114" s="62">
        <f>IF($C1114="B",INDEX(Batters[[#All],[CON P]],MATCH(Table5[[#This Row],[PID]],Batters[[#All],[PID]],0)),INDEX(Table3[[#All],[STU P]],MATCH(Table5[[#This Row],[PID]],Table3[[#All],[PID]],0)))</f>
        <v>2</v>
      </c>
      <c r="M1114" s="58">
        <f>IF($C1114="B",INDEX(Batters[[#All],[GAP P]],MATCH(Table5[[#This Row],[PID]],Batters[[#All],[PID]],0)),INDEX(Table3[[#All],[MOV P]],MATCH(Table5[[#This Row],[PID]],Table3[[#All],[PID]],0)))</f>
        <v>3</v>
      </c>
      <c r="N1114" s="58">
        <f>IF($C1114="B",INDEX(Batters[[#All],[POW P]],MATCH(Table5[[#This Row],[PID]],Batters[[#All],[PID]],0)),INDEX(Table3[[#All],[CON P]],MATCH(Table5[[#This Row],[PID]],Table3[[#All],[PID]],0)))</f>
        <v>3</v>
      </c>
      <c r="O1114" s="58">
        <f>IF($C1114="B",INDEX(Batters[[#All],[EYE P]],MATCH(Table5[[#This Row],[PID]],Batters[[#All],[PID]],0)),INDEX(Table3[[#All],[VELO]],MATCH(Table5[[#This Row],[PID]],Table3[[#All],[PID]],0)))</f>
        <v>5</v>
      </c>
      <c r="P1114" s="58">
        <f>IF($C1114="B",INDEX(Batters[[#All],[K P]],MATCH(Table5[[#This Row],[PID]],Batters[[#All],[PID]],0)),INDEX(Table3[[#All],[STM]],MATCH(Table5[[#This Row],[PID]],Table3[[#All],[PID]],0)))</f>
        <v>3</v>
      </c>
      <c r="Q1114" s="63">
        <f>IF($C1114="B",INDEX(Batters[[#All],[Tot]],MATCH(Table5[[#This Row],[PID]],Batters[[#All],[PID]],0)),INDEX(Table3[[#All],[Tot]],MATCH(Table5[[#This Row],[PID]],Table3[[#All],[PID]],0)))</f>
        <v>33.202756129414233</v>
      </c>
      <c r="R1114" s="54">
        <f>IF($C1114="B",INDEX(Batters[[#All],[zScore]],MATCH(Table5[[#This Row],[PID]],Batters[[#All],[PID]],0)),INDEX(Table3[[#All],[zScore]],MATCH(Table5[[#This Row],[PID]],Table3[[#All],[PID]],0)))</f>
        <v>-1.2572016905961703</v>
      </c>
      <c r="S1114" s="60" t="str">
        <f>IF($C1114="B",INDEX(Batters[[#All],[DEM]],MATCH(Table5[[#This Row],[PID]],Batters[[#All],[PID]],0)),INDEX(Table3[[#All],[DEM]],MATCH(Table5[[#This Row],[PID]],Table3[[#All],[PID]],0)))</f>
        <v>-</v>
      </c>
      <c r="T1114" s="64">
        <f>IF($C1114="B",VLOOKUP($A1114,Bat!$A$4:$AU$1417,46,FALSE),VLOOKUP($A1114,Pit!$A$4:$BD$570,55,FALSE))</f>
        <v>0</v>
      </c>
      <c r="U1114" s="52">
        <f>IF($C1114="B",VLOOKUP($A1114,Bat!$A$4:$BA$1417,47,FALSE),VLOOKUP($A1114,Pit!$A$4:$BF$570,56,FALSE))</f>
        <v>0</v>
      </c>
      <c r="V1114" s="52">
        <f>IF($C1114="B",VLOOKUP($A1114,Bat!$A$4:$BA$1417,48,FALSE),VLOOKUP($A1114,Pit!$A$4:$BF$570,57,FALSE))</f>
        <v>0</v>
      </c>
      <c r="W1114" s="52">
        <f>Table5[[#This Row],[posRnk]]+Table5[[#This Row],[zRnk]]+IF($W$3&lt;&gt;Table5[[#This Row],[Type]],50,0)</f>
        <v>1160</v>
      </c>
      <c r="X1114" s="53">
        <f>RANK(Table5[[#This Row],[zScore]],Table5[[#All],[zScore]])</f>
        <v>1110</v>
      </c>
      <c r="Y1114" s="52" t="str">
        <f>IFERROR(INDEX(DraftResults[[#All],[OVR]],MATCH(Table5[[#This Row],[PID]],DraftResults[[#All],[Player ID]],0)),"")</f>
        <v/>
      </c>
      <c r="Z11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4" s="52" t="str">
        <f>IFERROR(INDEX(DraftResults[[#All],[Pick in Round]],MATCH(Table5[[#This Row],[PID]],DraftResults[[#All],[Player ID]],0)),"")</f>
        <v/>
      </c>
      <c r="AB1114" s="52" t="str">
        <f>IFERROR(INDEX(DraftResults[[#All],[Team Name]],MATCH(Table5[[#This Row],[PID]],DraftResults[[#All],[Player ID]],0)),"")</f>
        <v/>
      </c>
      <c r="AC1114" s="52" t="str">
        <f>IF(Table5[[#This Row],[Ovr]]="","",IF(Table5[[#This Row],[cmbList]]="","",Table5[[#This Row],[cmbList]]-Table5[[#This Row],[Ovr]]))</f>
        <v/>
      </c>
      <c r="AD1114" s="56" t="str">
        <f>IF(ISERROR(VLOOKUP($AB1114&amp;"-"&amp;$E1114&amp;" "&amp;F1114,Bonuses!$B$1:$G$1006,4,FALSE)),"",INT(VLOOKUP($AB1114&amp;"-"&amp;$E1114&amp;" "&amp;$F1114,Bonuses!$B$1:$G$1006,4,FALSE)))</f>
        <v/>
      </c>
      <c r="AE11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5" spans="1:31" s="52" customFormat="1" x14ac:dyDescent="0.25">
      <c r="A1115" s="52">
        <v>11781</v>
      </c>
      <c r="B1115" s="52">
        <f>COUNTIF(Table5[PID],A1115)</f>
        <v>1</v>
      </c>
      <c r="C1115" s="52" t="str">
        <f>IF(COUNTIF(Table3[[#All],[PID]],A1115)&gt;0,"P","B")</f>
        <v>P</v>
      </c>
      <c r="D1115" s="61" t="str">
        <f>IF($C1115="B",INDEX(Batters[[#All],[POS]],MATCH(Table5[[#This Row],[PID]],Batters[[#All],[PID]],0)),INDEX(Table3[[#All],[POS]],MATCH(Table5[[#This Row],[PID]],Table3[[#All],[PID]],0)))</f>
        <v>RP</v>
      </c>
      <c r="E1115" s="54" t="str">
        <f>IF($C1115="B",INDEX(Batters[[#All],[First]],MATCH(Table5[[#This Row],[PID]],Batters[[#All],[PID]],0)),INDEX(Table3[[#All],[First]],MATCH(Table5[[#This Row],[PID]],Table3[[#All],[PID]],0)))</f>
        <v>Martín</v>
      </c>
      <c r="F1115" s="52" t="str">
        <f>IF($C1115="B",INDEX(Batters[[#All],[Last]],MATCH(A1115,Batters[[#All],[PID]],0)),INDEX(Table3[[#All],[Last]],MATCH(A1115,Table3[[#All],[PID]],0)))</f>
        <v>López</v>
      </c>
      <c r="G1115" s="58">
        <f>IF($C1115="B",INDEX(Batters[[#All],[Age]],MATCH(Table5[[#This Row],[PID]],Batters[[#All],[PID]],0)),INDEX(Table3[[#All],[Age]],MATCH(Table5[[#This Row],[PID]],Table3[[#All],[PID]],0)))</f>
        <v>21</v>
      </c>
      <c r="H1115" s="54" t="str">
        <f>IF($C1115="B",INDEX(Batters[[#All],[B]],MATCH(Table5[[#This Row],[PID]],Batters[[#All],[PID]],0)),INDEX(Table3[[#All],[B]],MATCH(Table5[[#This Row],[PID]],Table3[[#All],[PID]],0)))</f>
        <v>L</v>
      </c>
      <c r="I1115" s="54" t="str">
        <f>IF($C1115="B",INDEX(Batters[[#All],[T]],MATCH(Table5[[#This Row],[PID]],Batters[[#All],[PID]],0)),INDEX(Table3[[#All],[T]],MATCH(Table5[[#This Row],[PID]],Table3[[#All],[PID]],0)))</f>
        <v>R</v>
      </c>
      <c r="J1115" s="54" t="str">
        <f>IF($C1115="B",INDEX(Batters[[#All],[WE]],MATCH(Table5[[#This Row],[PID]],Batters[[#All],[PID]],0)),INDEX(Table3[[#All],[WE]],MATCH(Table5[[#This Row],[PID]],Table3[[#All],[PID]],0)))</f>
        <v>Low</v>
      </c>
      <c r="K1115" s="54" t="str">
        <f>IF($C1115="B",INDEX(Batters[[#All],[INT]],MATCH(Table5[[#This Row],[PID]],Batters[[#All],[PID]],0)),INDEX(Table3[[#All],[INT]],MATCH(Table5[[#This Row],[PID]],Table3[[#All],[PID]],0)))</f>
        <v>Normal</v>
      </c>
      <c r="L1115" s="62">
        <f>IF($C1115="B",INDEX(Batters[[#All],[CON P]],MATCH(Table5[[#This Row],[PID]],Batters[[#All],[PID]],0)),INDEX(Table3[[#All],[STU P]],MATCH(Table5[[#This Row],[PID]],Table3[[#All],[PID]],0)))</f>
        <v>3</v>
      </c>
      <c r="M1115" s="58">
        <f>IF($C1115="B",INDEX(Batters[[#All],[GAP P]],MATCH(Table5[[#This Row],[PID]],Batters[[#All],[PID]],0)),INDEX(Table3[[#All],[MOV P]],MATCH(Table5[[#This Row],[PID]],Table3[[#All],[PID]],0)))</f>
        <v>1</v>
      </c>
      <c r="N1115" s="58">
        <f>IF($C1115="B",INDEX(Batters[[#All],[POW P]],MATCH(Table5[[#This Row],[PID]],Batters[[#All],[PID]],0)),INDEX(Table3[[#All],[CON P]],MATCH(Table5[[#This Row],[PID]],Table3[[#All],[PID]],0)))</f>
        <v>2</v>
      </c>
      <c r="O1115" s="58" t="str">
        <f>IF($C1115="B",INDEX(Batters[[#All],[EYE P]],MATCH(Table5[[#This Row],[PID]],Batters[[#All],[PID]],0)),INDEX(Table3[[#All],[VELO]],MATCH(Table5[[#This Row],[PID]],Table3[[#All],[PID]],0)))</f>
        <v>89-91 Mph</v>
      </c>
      <c r="P1115" s="58">
        <f>IF($C1115="B",INDEX(Batters[[#All],[K P]],MATCH(Table5[[#This Row],[PID]],Batters[[#All],[PID]],0)),INDEX(Table3[[#All],[STM]],MATCH(Table5[[#This Row],[PID]],Table3[[#All],[PID]],0)))</f>
        <v>6</v>
      </c>
      <c r="Q1115" s="63">
        <f>IF($C1115="B",INDEX(Batters[[#All],[Tot]],MATCH(Table5[[#This Row],[PID]],Batters[[#All],[PID]],0)),INDEX(Table3[[#All],[Tot]],MATCH(Table5[[#This Row],[PID]],Table3[[#All],[PID]],0)))</f>
        <v>16.047345585173812</v>
      </c>
      <c r="R1115" s="54">
        <f>IF($C1115="B",INDEX(Batters[[#All],[zScore]],MATCH(Table5[[#This Row],[PID]],Batters[[#All],[PID]],0)),INDEX(Table3[[#All],[zScore]],MATCH(Table5[[#This Row],[PID]],Table3[[#All],[PID]],0)))</f>
        <v>-1.2574872133738428</v>
      </c>
      <c r="S1115" s="60" t="str">
        <f>IF($C1115="B",INDEX(Batters[[#All],[DEM]],MATCH(Table5[[#This Row],[PID]],Batters[[#All],[PID]],0)),INDEX(Table3[[#All],[DEM]],MATCH(Table5[[#This Row],[PID]],Table3[[#All],[PID]],0)))</f>
        <v>-</v>
      </c>
      <c r="T1115" s="64" t="e">
        <f>IF($C1115="B",VLOOKUP($A1115,Bat!$A$4:$AU$1417,46,FALSE),VLOOKUP($A1115,Pit!$A$4:$BD$570,55,FALSE))</f>
        <v>#N/A</v>
      </c>
      <c r="U1115" s="52" t="e">
        <f>IF($C1115="B",VLOOKUP($A1115,Bat!$A$4:$BA$1417,47,FALSE),VLOOKUP($A1115,Pit!$A$4:$BF$570,56,FALSE))</f>
        <v>#N/A</v>
      </c>
      <c r="V1115" s="52" t="e">
        <f>IF($C1115="B",VLOOKUP($A1115,Bat!$A$4:$BA$1417,48,FALSE),VLOOKUP($A1115,Pit!$A$4:$BF$570,57,FALSE))</f>
        <v>#N/A</v>
      </c>
      <c r="W1115" s="52" t="e">
        <f>Table5[[#This Row],[posRnk]]+Table5[[#This Row],[zRnk]]+IF($W$3&lt;&gt;Table5[[#This Row],[Type]],50,0)</f>
        <v>#N/A</v>
      </c>
      <c r="X1115" s="53">
        <f>RANK(Table5[[#This Row],[zScore]],Table5[[#All],[zScore]])</f>
        <v>1111</v>
      </c>
      <c r="Y1115" s="52" t="str">
        <f>IFERROR(INDEX(DraftResults[[#All],[OVR]],MATCH(Table5[[#This Row],[PID]],DraftResults[[#All],[Player ID]],0)),"")</f>
        <v/>
      </c>
      <c r="Z11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5" s="52" t="str">
        <f>IFERROR(INDEX(DraftResults[[#All],[Pick in Round]],MATCH(Table5[[#This Row],[PID]],DraftResults[[#All],[Player ID]],0)),"")</f>
        <v/>
      </c>
      <c r="AB1115" s="52" t="str">
        <f>IFERROR(INDEX(DraftResults[[#All],[Team Name]],MATCH(Table5[[#This Row],[PID]],DraftResults[[#All],[Player ID]],0)),"")</f>
        <v/>
      </c>
      <c r="AC1115" s="52" t="str">
        <f>IF(Table5[[#This Row],[Ovr]]="","",IF(Table5[[#This Row],[cmbList]]="","",Table5[[#This Row],[cmbList]]-Table5[[#This Row],[Ovr]]))</f>
        <v/>
      </c>
      <c r="AD1115" s="56" t="str">
        <f>IF(ISERROR(VLOOKUP($AB1115&amp;"-"&amp;$E1115&amp;" "&amp;F1115,Bonuses!$B$1:$G$1006,4,FALSE)),"",INT(VLOOKUP($AB1115&amp;"-"&amp;$E1115&amp;" "&amp;$F1115,Bonuses!$B$1:$G$1006,4,FALSE)))</f>
        <v/>
      </c>
      <c r="AE11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6" spans="1:31" s="52" customFormat="1" x14ac:dyDescent="0.25">
      <c r="A1116" s="52">
        <v>12968</v>
      </c>
      <c r="B1116" s="52">
        <f>COUNTIF(Table5[PID],A1116)</f>
        <v>1</v>
      </c>
      <c r="C1116" s="52" t="str">
        <f>IF(COUNTIF(Table3[[#All],[PID]],A1116)&gt;0,"P","B")</f>
        <v>P</v>
      </c>
      <c r="D1116" s="61" t="str">
        <f>IF($C1116="B",INDEX(Batters[[#All],[POS]],MATCH(Table5[[#This Row],[PID]],Batters[[#All],[PID]],0)),INDEX(Table3[[#All],[POS]],MATCH(Table5[[#This Row],[PID]],Table3[[#All],[PID]],0)))</f>
        <v>RP</v>
      </c>
      <c r="E1116" s="54" t="str">
        <f>IF($C1116="B",INDEX(Batters[[#All],[First]],MATCH(Table5[[#This Row],[PID]],Batters[[#All],[PID]],0)),INDEX(Table3[[#All],[First]],MATCH(Table5[[#This Row],[PID]],Table3[[#All],[PID]],0)))</f>
        <v>Marihito</v>
      </c>
      <c r="F1116" s="52" t="str">
        <f>IF($C1116="B",INDEX(Batters[[#All],[Last]],MATCH(A1116,Batters[[#All],[PID]],0)),INDEX(Table3[[#All],[Last]],MATCH(A1116,Table3[[#All],[PID]],0)))</f>
        <v>Kouki</v>
      </c>
      <c r="G1116" s="58">
        <f>IF($C1116="B",INDEX(Batters[[#All],[Age]],MATCH(Table5[[#This Row],[PID]],Batters[[#All],[PID]],0)),INDEX(Table3[[#All],[Age]],MATCH(Table5[[#This Row],[PID]],Table3[[#All],[PID]],0)))</f>
        <v>21</v>
      </c>
      <c r="H1116" s="54" t="str">
        <f>IF($C1116="B",INDEX(Batters[[#All],[B]],MATCH(Table5[[#This Row],[PID]],Batters[[#All],[PID]],0)),INDEX(Table3[[#All],[B]],MATCH(Table5[[#This Row],[PID]],Table3[[#All],[PID]],0)))</f>
        <v>L</v>
      </c>
      <c r="I1116" s="54" t="str">
        <f>IF($C1116="B",INDEX(Batters[[#All],[T]],MATCH(Table5[[#This Row],[PID]],Batters[[#All],[PID]],0)),INDEX(Table3[[#All],[T]],MATCH(Table5[[#This Row],[PID]],Table3[[#All],[PID]],0)))</f>
        <v>L</v>
      </c>
      <c r="J1116" s="54" t="str">
        <f>IF($C1116="B",INDEX(Batters[[#All],[WE]],MATCH(Table5[[#This Row],[PID]],Batters[[#All],[PID]],0)),INDEX(Table3[[#All],[WE]],MATCH(Table5[[#This Row],[PID]],Table3[[#All],[PID]],0)))</f>
        <v>Normal</v>
      </c>
      <c r="K1116" s="54" t="str">
        <f>IF($C1116="B",INDEX(Batters[[#All],[INT]],MATCH(Table5[[#This Row],[PID]],Batters[[#All],[PID]],0)),INDEX(Table3[[#All],[INT]],MATCH(Table5[[#This Row],[PID]],Table3[[#All],[PID]],0)))</f>
        <v>Normal</v>
      </c>
      <c r="L1116" s="62">
        <f>IF($C1116="B",INDEX(Batters[[#All],[CON P]],MATCH(Table5[[#This Row],[PID]],Batters[[#All],[PID]],0)),INDEX(Table3[[#All],[STU P]],MATCH(Table5[[#This Row],[PID]],Table3[[#All],[PID]],0)))</f>
        <v>4</v>
      </c>
      <c r="M1116" s="58">
        <f>IF($C1116="B",INDEX(Batters[[#All],[GAP P]],MATCH(Table5[[#This Row],[PID]],Batters[[#All],[PID]],0)),INDEX(Table3[[#All],[MOV P]],MATCH(Table5[[#This Row],[PID]],Table3[[#All],[PID]],0)))</f>
        <v>2</v>
      </c>
      <c r="N1116" s="58">
        <f>IF($C1116="B",INDEX(Batters[[#All],[POW P]],MATCH(Table5[[#This Row],[PID]],Batters[[#All],[PID]],0)),INDEX(Table3[[#All],[CON P]],MATCH(Table5[[#This Row],[PID]],Table3[[#All],[PID]],0)))</f>
        <v>1</v>
      </c>
      <c r="O1116" s="58" t="str">
        <f>IF($C1116="B",INDEX(Batters[[#All],[EYE P]],MATCH(Table5[[#This Row],[PID]],Batters[[#All],[PID]],0)),INDEX(Table3[[#All],[VELO]],MATCH(Table5[[#This Row],[PID]],Table3[[#All],[PID]],0)))</f>
        <v>89-91 Mph</v>
      </c>
      <c r="P1116" s="58">
        <f>IF($C1116="B",INDEX(Batters[[#All],[K P]],MATCH(Table5[[#This Row],[PID]],Batters[[#All],[PID]],0)),INDEX(Table3[[#All],[STM]],MATCH(Table5[[#This Row],[PID]],Table3[[#All],[PID]],0)))</f>
        <v>7</v>
      </c>
      <c r="Q1116" s="63">
        <f>IF($C1116="B",INDEX(Batters[[#All],[Tot]],MATCH(Table5[[#This Row],[PID]],Batters[[#All],[PID]],0)),INDEX(Table3[[#All],[Tot]],MATCH(Table5[[#This Row],[PID]],Table3[[#All],[PID]],0)))</f>
        <v>19.008051815135321</v>
      </c>
      <c r="R1116" s="54">
        <f>IF($C1116="B",INDEX(Batters[[#All],[zScore]],MATCH(Table5[[#This Row],[PID]],Batters[[#All],[PID]],0)),INDEX(Table3[[#All],[zScore]],MATCH(Table5[[#This Row],[PID]],Table3[[#All],[PID]],0)))</f>
        <v>-1.2576506675881358</v>
      </c>
      <c r="S1116" s="60" t="str">
        <f>IF($C1116="B",INDEX(Batters[[#All],[DEM]],MATCH(Table5[[#This Row],[PID]],Batters[[#All],[PID]],0)),INDEX(Table3[[#All],[DEM]],MATCH(Table5[[#This Row],[PID]],Table3[[#All],[PID]],0)))</f>
        <v>-</v>
      </c>
      <c r="T1116" s="64" t="e">
        <f>IF($C1116="B",VLOOKUP($A1116,Bat!$A$4:$AU$1417,46,FALSE),VLOOKUP($A1116,Pit!$A$4:$BD$570,55,FALSE))</f>
        <v>#N/A</v>
      </c>
      <c r="U1116" s="52" t="e">
        <f>IF($C1116="B",VLOOKUP($A1116,Bat!$A$4:$BA$1417,47,FALSE),VLOOKUP($A1116,Pit!$A$4:$BF$570,56,FALSE))</f>
        <v>#N/A</v>
      </c>
      <c r="V1116" s="52" t="e">
        <f>IF($C1116="B",VLOOKUP($A1116,Bat!$A$4:$BA$1417,48,FALSE),VLOOKUP($A1116,Pit!$A$4:$BF$570,57,FALSE))</f>
        <v>#N/A</v>
      </c>
      <c r="W1116" s="52" t="e">
        <f>Table5[[#This Row],[posRnk]]+Table5[[#This Row],[zRnk]]+IF($W$3&lt;&gt;Table5[[#This Row],[Type]],50,0)</f>
        <v>#N/A</v>
      </c>
      <c r="X1116" s="53">
        <f>RANK(Table5[[#This Row],[zScore]],Table5[[#All],[zScore]])</f>
        <v>1112</v>
      </c>
      <c r="Y1116" s="52" t="str">
        <f>IFERROR(INDEX(DraftResults[[#All],[OVR]],MATCH(Table5[[#This Row],[PID]],DraftResults[[#All],[Player ID]],0)),"")</f>
        <v/>
      </c>
      <c r="Z11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6" s="52" t="str">
        <f>IFERROR(INDEX(DraftResults[[#All],[Pick in Round]],MATCH(Table5[[#This Row],[PID]],DraftResults[[#All],[Player ID]],0)),"")</f>
        <v/>
      </c>
      <c r="AB1116" s="52" t="str">
        <f>IFERROR(INDEX(DraftResults[[#All],[Team Name]],MATCH(Table5[[#This Row],[PID]],DraftResults[[#All],[Player ID]],0)),"")</f>
        <v/>
      </c>
      <c r="AC1116" s="52" t="str">
        <f>IF(Table5[[#This Row],[Ovr]]="","",IF(Table5[[#This Row],[cmbList]]="","",Table5[[#This Row],[cmbList]]-Table5[[#This Row],[Ovr]]))</f>
        <v/>
      </c>
      <c r="AD1116" s="56" t="str">
        <f>IF(ISERROR(VLOOKUP($AB1116&amp;"-"&amp;$E1116&amp;" "&amp;F1116,Bonuses!$B$1:$G$1006,4,FALSE)),"",INT(VLOOKUP($AB1116&amp;"-"&amp;$E1116&amp;" "&amp;$F1116,Bonuses!$B$1:$G$1006,4,FALSE)))</f>
        <v/>
      </c>
      <c r="AE11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7" spans="1:31" s="52" customFormat="1" x14ac:dyDescent="0.25">
      <c r="A1117" s="52">
        <v>7777</v>
      </c>
      <c r="B1117" s="52">
        <f>COUNTIF(Table5[PID],A1117)</f>
        <v>1</v>
      </c>
      <c r="C1117" s="52" t="str">
        <f>IF(COUNTIF(Table3[[#All],[PID]],A1117)&gt;0,"P","B")</f>
        <v>P</v>
      </c>
      <c r="D1117" s="61" t="str">
        <f>IF($C1117="B",INDEX(Batters[[#All],[POS]],MATCH(Table5[[#This Row],[PID]],Batters[[#All],[PID]],0)),INDEX(Table3[[#All],[POS]],MATCH(Table5[[#This Row],[PID]],Table3[[#All],[PID]],0)))</f>
        <v>RP</v>
      </c>
      <c r="E1117" s="54" t="str">
        <f>IF($C1117="B",INDEX(Batters[[#All],[First]],MATCH(Table5[[#This Row],[PID]],Batters[[#All],[PID]],0)),INDEX(Table3[[#All],[First]],MATCH(Table5[[#This Row],[PID]],Table3[[#All],[PID]],0)))</f>
        <v>Bob</v>
      </c>
      <c r="F1117" s="52" t="str">
        <f>IF($C1117="B",INDEX(Batters[[#All],[Last]],MATCH(A1117,Batters[[#All],[PID]],0)),INDEX(Table3[[#All],[Last]],MATCH(A1117,Table3[[#All],[PID]],0)))</f>
        <v>Smith</v>
      </c>
      <c r="G1117" s="58">
        <f>IF($C1117="B",INDEX(Batters[[#All],[Age]],MATCH(Table5[[#This Row],[PID]],Batters[[#All],[PID]],0)),INDEX(Table3[[#All],[Age]],MATCH(Table5[[#This Row],[PID]],Table3[[#All],[PID]],0)))</f>
        <v>21</v>
      </c>
      <c r="H1117" s="54" t="str">
        <f>IF($C1117="B",INDEX(Batters[[#All],[B]],MATCH(Table5[[#This Row],[PID]],Batters[[#All],[PID]],0)),INDEX(Table3[[#All],[B]],MATCH(Table5[[#This Row],[PID]],Table3[[#All],[PID]],0)))</f>
        <v>R</v>
      </c>
      <c r="I1117" s="54" t="str">
        <f>IF($C1117="B",INDEX(Batters[[#All],[T]],MATCH(Table5[[#This Row],[PID]],Batters[[#All],[PID]],0)),INDEX(Table3[[#All],[T]],MATCH(Table5[[#This Row],[PID]],Table3[[#All],[PID]],0)))</f>
        <v>R</v>
      </c>
      <c r="J1117" s="54" t="str">
        <f>IF($C1117="B",INDEX(Batters[[#All],[WE]],MATCH(Table5[[#This Row],[PID]],Batters[[#All],[PID]],0)),INDEX(Table3[[#All],[WE]],MATCH(Table5[[#This Row],[PID]],Table3[[#All],[PID]],0)))</f>
        <v>Low</v>
      </c>
      <c r="K1117" s="54" t="str">
        <f>IF($C1117="B",INDEX(Batters[[#All],[INT]],MATCH(Table5[[#This Row],[PID]],Batters[[#All],[PID]],0)),INDEX(Table3[[#All],[INT]],MATCH(Table5[[#This Row],[PID]],Table3[[#All],[PID]],0)))</f>
        <v>High</v>
      </c>
      <c r="L1117" s="62">
        <f>IF($C1117="B",INDEX(Batters[[#All],[CON P]],MATCH(Table5[[#This Row],[PID]],Batters[[#All],[PID]],0)),INDEX(Table3[[#All],[STU P]],MATCH(Table5[[#This Row],[PID]],Table3[[#All],[PID]],0)))</f>
        <v>2</v>
      </c>
      <c r="M1117" s="58">
        <f>IF($C1117="B",INDEX(Batters[[#All],[GAP P]],MATCH(Table5[[#This Row],[PID]],Batters[[#All],[PID]],0)),INDEX(Table3[[#All],[MOV P]],MATCH(Table5[[#This Row],[PID]],Table3[[#All],[PID]],0)))</f>
        <v>1</v>
      </c>
      <c r="N1117" s="58">
        <f>IF($C1117="B",INDEX(Batters[[#All],[POW P]],MATCH(Table5[[#This Row],[PID]],Batters[[#All],[PID]],0)),INDEX(Table3[[#All],[CON P]],MATCH(Table5[[#This Row],[PID]],Table3[[#All],[PID]],0)))</f>
        <v>2</v>
      </c>
      <c r="O1117" s="58" t="str">
        <f>IF($C1117="B",INDEX(Batters[[#All],[EYE P]],MATCH(Table5[[#This Row],[PID]],Batters[[#All],[PID]],0)),INDEX(Table3[[#All],[VELO]],MATCH(Table5[[#This Row],[PID]],Table3[[#All],[PID]],0)))</f>
        <v>83-85 Mph</v>
      </c>
      <c r="P1117" s="58">
        <f>IF($C1117="B",INDEX(Batters[[#All],[K P]],MATCH(Table5[[#This Row],[PID]],Batters[[#All],[PID]],0)),INDEX(Table3[[#All],[STM]],MATCH(Table5[[#This Row],[PID]],Table3[[#All],[PID]],0)))</f>
        <v>6</v>
      </c>
      <c r="Q1117" s="63">
        <f>IF($C1117="B",INDEX(Batters[[#All],[Tot]],MATCH(Table5[[#This Row],[PID]],Batters[[#All],[PID]],0)),INDEX(Table3[[#All],[Tot]],MATCH(Table5[[#This Row],[PID]],Table3[[#All],[PID]],0)))</f>
        <v>15.961609954069075</v>
      </c>
      <c r="R1117" s="54">
        <f>IF($C1117="B",INDEX(Batters[[#All],[zScore]],MATCH(Table5[[#This Row],[PID]],Batters[[#All],[PID]],0)),INDEX(Table3[[#All],[zScore]],MATCH(Table5[[#This Row],[PID]],Table3[[#All],[PID]],0)))</f>
        <v>-1.2650013071402861</v>
      </c>
      <c r="S1117" s="60" t="str">
        <f>IF($C1117="B",INDEX(Batters[[#All],[DEM]],MATCH(Table5[[#This Row],[PID]],Batters[[#All],[PID]],0)),INDEX(Table3[[#All],[DEM]],MATCH(Table5[[#This Row],[PID]],Table3[[#All],[PID]],0)))</f>
        <v>-</v>
      </c>
      <c r="T1117" s="64" t="e">
        <f>IF($C1117="B",VLOOKUP($A1117,Bat!$A$4:$AU$1417,46,FALSE),VLOOKUP($A1117,Pit!$A$4:$BD$570,55,FALSE))</f>
        <v>#N/A</v>
      </c>
      <c r="U1117" s="52" t="e">
        <f>IF($C1117="B",VLOOKUP($A1117,Bat!$A$4:$BA$1417,47,FALSE),VLOOKUP($A1117,Pit!$A$4:$BF$570,56,FALSE))</f>
        <v>#N/A</v>
      </c>
      <c r="V1117" s="52" t="e">
        <f>IF($C1117="B",VLOOKUP($A1117,Bat!$A$4:$BA$1417,48,FALSE),VLOOKUP($A1117,Pit!$A$4:$BF$570,57,FALSE))</f>
        <v>#N/A</v>
      </c>
      <c r="W1117" s="52" t="e">
        <f>Table5[[#This Row],[posRnk]]+Table5[[#This Row],[zRnk]]+IF($W$3&lt;&gt;Table5[[#This Row],[Type]],50,0)</f>
        <v>#N/A</v>
      </c>
      <c r="X1117" s="53">
        <f>RANK(Table5[[#This Row],[zScore]],Table5[[#All],[zScore]])</f>
        <v>1113</v>
      </c>
      <c r="Y1117" s="52" t="str">
        <f>IFERROR(INDEX(DraftResults[[#All],[OVR]],MATCH(Table5[[#This Row],[PID]],DraftResults[[#All],[Player ID]],0)),"")</f>
        <v/>
      </c>
      <c r="Z11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7" s="52" t="str">
        <f>IFERROR(INDEX(DraftResults[[#All],[Pick in Round]],MATCH(Table5[[#This Row],[PID]],DraftResults[[#All],[Player ID]],0)),"")</f>
        <v/>
      </c>
      <c r="AB1117" s="52" t="str">
        <f>IFERROR(INDEX(DraftResults[[#All],[Team Name]],MATCH(Table5[[#This Row],[PID]],DraftResults[[#All],[Player ID]],0)),"")</f>
        <v/>
      </c>
      <c r="AC1117" s="52" t="str">
        <f>IF(Table5[[#This Row],[Ovr]]="","",IF(Table5[[#This Row],[cmbList]]="","",Table5[[#This Row],[cmbList]]-Table5[[#This Row],[Ovr]]))</f>
        <v/>
      </c>
      <c r="AD1117" s="56" t="str">
        <f>IF(ISERROR(VLOOKUP($AB1117&amp;"-"&amp;$E1117&amp;" "&amp;F1117,Bonuses!$B$1:$G$1006,4,FALSE)),"",INT(VLOOKUP($AB1117&amp;"-"&amp;$E1117&amp;" "&amp;$F1117,Bonuses!$B$1:$G$1006,4,FALSE)))</f>
        <v/>
      </c>
      <c r="AE11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8" spans="1:31" s="52" customFormat="1" x14ac:dyDescent="0.25">
      <c r="A1118" s="52">
        <v>12425</v>
      </c>
      <c r="B1118" s="52">
        <f>COUNTIF(Table5[PID],A1118)</f>
        <v>1</v>
      </c>
      <c r="C1118" s="52" t="str">
        <f>IF(COUNTIF(Table3[[#All],[PID]],A1118)&gt;0,"P","B")</f>
        <v>P</v>
      </c>
      <c r="D1118" s="61" t="str">
        <f>IF($C1118="B",INDEX(Batters[[#All],[POS]],MATCH(Table5[[#This Row],[PID]],Batters[[#All],[PID]],0)),INDEX(Table3[[#All],[POS]],MATCH(Table5[[#This Row],[PID]],Table3[[#All],[PID]],0)))</f>
        <v>RP</v>
      </c>
      <c r="E1118" s="54" t="str">
        <f>IF($C1118="B",INDEX(Batters[[#All],[First]],MATCH(Table5[[#This Row],[PID]],Batters[[#All],[PID]],0)),INDEX(Table3[[#All],[First]],MATCH(Table5[[#This Row],[PID]],Table3[[#All],[PID]],0)))</f>
        <v>Kiyomitsu</v>
      </c>
      <c r="F1118" s="52" t="str">
        <f>IF($C1118="B",INDEX(Batters[[#All],[Last]],MATCH(A1118,Batters[[#All],[PID]],0)),INDEX(Table3[[#All],[Last]],MATCH(A1118,Table3[[#All],[PID]],0)))</f>
        <v>Endo</v>
      </c>
      <c r="G1118" s="58">
        <f>IF($C1118="B",INDEX(Batters[[#All],[Age]],MATCH(Table5[[#This Row],[PID]],Batters[[#All],[PID]],0)),INDEX(Table3[[#All],[Age]],MATCH(Table5[[#This Row],[PID]],Table3[[#All],[PID]],0)))</f>
        <v>22</v>
      </c>
      <c r="H1118" s="54" t="str">
        <f>IF($C1118="B",INDEX(Batters[[#All],[B]],MATCH(Table5[[#This Row],[PID]],Batters[[#All],[PID]],0)),INDEX(Table3[[#All],[B]],MATCH(Table5[[#This Row],[PID]],Table3[[#All],[PID]],0)))</f>
        <v>R</v>
      </c>
      <c r="I1118" s="54" t="str">
        <f>IF($C1118="B",INDEX(Batters[[#All],[T]],MATCH(Table5[[#This Row],[PID]],Batters[[#All],[PID]],0)),INDEX(Table3[[#All],[T]],MATCH(Table5[[#This Row],[PID]],Table3[[#All],[PID]],0)))</f>
        <v>R</v>
      </c>
      <c r="J1118" s="54" t="str">
        <f>IF($C1118="B",INDEX(Batters[[#All],[WE]],MATCH(Table5[[#This Row],[PID]],Batters[[#All],[PID]],0)),INDEX(Table3[[#All],[WE]],MATCH(Table5[[#This Row],[PID]],Table3[[#All],[PID]],0)))</f>
        <v>High</v>
      </c>
      <c r="K1118" s="54" t="str">
        <f>IF($C1118="B",INDEX(Batters[[#All],[INT]],MATCH(Table5[[#This Row],[PID]],Batters[[#All],[PID]],0)),INDEX(Table3[[#All],[INT]],MATCH(Table5[[#This Row],[PID]],Table3[[#All],[PID]],0)))</f>
        <v>Normal</v>
      </c>
      <c r="L1118" s="62">
        <f>IF($C1118="B",INDEX(Batters[[#All],[CON P]],MATCH(Table5[[#This Row],[PID]],Batters[[#All],[PID]],0)),INDEX(Table3[[#All],[STU P]],MATCH(Table5[[#This Row],[PID]],Table3[[#All],[PID]],0)))</f>
        <v>3</v>
      </c>
      <c r="M1118" s="58">
        <f>IF($C1118="B",INDEX(Batters[[#All],[GAP P]],MATCH(Table5[[#This Row],[PID]],Batters[[#All],[PID]],0)),INDEX(Table3[[#All],[MOV P]],MATCH(Table5[[#This Row],[PID]],Table3[[#All],[PID]],0)))</f>
        <v>1</v>
      </c>
      <c r="N1118" s="58">
        <f>IF($C1118="B",INDEX(Batters[[#All],[POW P]],MATCH(Table5[[#This Row],[PID]],Batters[[#All],[PID]],0)),INDEX(Table3[[#All],[CON P]],MATCH(Table5[[#This Row],[PID]],Table3[[#All],[PID]],0)))</f>
        <v>2</v>
      </c>
      <c r="O1118" s="58" t="str">
        <f>IF($C1118="B",INDEX(Batters[[#All],[EYE P]],MATCH(Table5[[#This Row],[PID]],Batters[[#All],[PID]],0)),INDEX(Table3[[#All],[VELO]],MATCH(Table5[[#This Row],[PID]],Table3[[#All],[PID]],0)))</f>
        <v>89-91 Mph</v>
      </c>
      <c r="P1118" s="58">
        <f>IF($C1118="B",INDEX(Batters[[#All],[K P]],MATCH(Table5[[#This Row],[PID]],Batters[[#All],[PID]],0)),INDEX(Table3[[#All],[STM]],MATCH(Table5[[#This Row],[PID]],Table3[[#All],[PID]],0)))</f>
        <v>8</v>
      </c>
      <c r="Q1118" s="63">
        <f>IF($C1118="B",INDEX(Batters[[#All],[Tot]],MATCH(Table5[[#This Row],[PID]],Batters[[#All],[PID]],0)),INDEX(Table3[[#All],[Tot]],MATCH(Table5[[#This Row],[PID]],Table3[[#All],[PID]],0)))</f>
        <v>15.861380087357755</v>
      </c>
      <c r="R1118" s="54">
        <f>IF($C1118="B",INDEX(Batters[[#All],[zScore]],MATCH(Table5[[#This Row],[PID]],Batters[[#All],[PID]],0)),INDEX(Table3[[#All],[zScore]],MATCH(Table5[[#This Row],[PID]],Table3[[#All],[PID]],0)))</f>
        <v>-1.2737857134246109</v>
      </c>
      <c r="S1118" s="60" t="str">
        <f>IF($C1118="B",INDEX(Batters[[#All],[DEM]],MATCH(Table5[[#This Row],[PID]],Batters[[#All],[PID]],0)),INDEX(Table3[[#All],[DEM]],MATCH(Table5[[#This Row],[PID]],Table3[[#All],[PID]],0)))</f>
        <v>-</v>
      </c>
      <c r="T1118" s="64" t="e">
        <f>IF($C1118="B",VLOOKUP($A1118,Bat!$A$4:$AU$1417,46,FALSE),VLOOKUP($A1118,Pit!$A$4:$BD$570,55,FALSE))</f>
        <v>#N/A</v>
      </c>
      <c r="U1118" s="52" t="e">
        <f>IF($C1118="B",VLOOKUP($A1118,Bat!$A$4:$BA$1417,47,FALSE),VLOOKUP($A1118,Pit!$A$4:$BF$570,56,FALSE))</f>
        <v>#N/A</v>
      </c>
      <c r="V1118" s="52" t="e">
        <f>IF($C1118="B",VLOOKUP($A1118,Bat!$A$4:$BA$1417,48,FALSE),VLOOKUP($A1118,Pit!$A$4:$BF$570,57,FALSE))</f>
        <v>#N/A</v>
      </c>
      <c r="W1118" s="52" t="e">
        <f>Table5[[#This Row],[posRnk]]+Table5[[#This Row],[zRnk]]+IF($W$3&lt;&gt;Table5[[#This Row],[Type]],50,0)</f>
        <v>#N/A</v>
      </c>
      <c r="X1118" s="53">
        <f>RANK(Table5[[#This Row],[zScore]],Table5[[#All],[zScore]])</f>
        <v>1114</v>
      </c>
      <c r="Y1118" s="52" t="str">
        <f>IFERROR(INDEX(DraftResults[[#All],[OVR]],MATCH(Table5[[#This Row],[PID]],DraftResults[[#All],[Player ID]],0)),"")</f>
        <v/>
      </c>
      <c r="Z11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8" s="52" t="str">
        <f>IFERROR(INDEX(DraftResults[[#All],[Pick in Round]],MATCH(Table5[[#This Row],[PID]],DraftResults[[#All],[Player ID]],0)),"")</f>
        <v/>
      </c>
      <c r="AB1118" s="52" t="str">
        <f>IFERROR(INDEX(DraftResults[[#All],[Team Name]],MATCH(Table5[[#This Row],[PID]],DraftResults[[#All],[Player ID]],0)),"")</f>
        <v/>
      </c>
      <c r="AC1118" s="52" t="str">
        <f>IF(Table5[[#This Row],[Ovr]]="","",IF(Table5[[#This Row],[cmbList]]="","",Table5[[#This Row],[cmbList]]-Table5[[#This Row],[Ovr]]))</f>
        <v/>
      </c>
      <c r="AD1118" s="56" t="str">
        <f>IF(ISERROR(VLOOKUP($AB1118&amp;"-"&amp;$E1118&amp;" "&amp;F1118,Bonuses!$B$1:$G$1006,4,FALSE)),"",INT(VLOOKUP($AB1118&amp;"-"&amp;$E1118&amp;" "&amp;$F1118,Bonuses!$B$1:$G$1006,4,FALSE)))</f>
        <v/>
      </c>
      <c r="AE11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9" spans="1:31" s="52" customFormat="1" x14ac:dyDescent="0.25">
      <c r="A1119" s="52">
        <v>3079</v>
      </c>
      <c r="B1119" s="52">
        <f>COUNTIF(Table5[PID],A1119)</f>
        <v>1</v>
      </c>
      <c r="C1119" s="52" t="str">
        <f>IF(COUNTIF(Table3[[#All],[PID]],A1119)&gt;0,"P","B")</f>
        <v>P</v>
      </c>
      <c r="D1119" s="61" t="str">
        <f>IF($C1119="B",INDEX(Batters[[#All],[POS]],MATCH(Table5[[#This Row],[PID]],Batters[[#All],[PID]],0)),INDEX(Table3[[#All],[POS]],MATCH(Table5[[#This Row],[PID]],Table3[[#All],[PID]],0)))</f>
        <v>RP</v>
      </c>
      <c r="E1119" s="54" t="str">
        <f>IF($C1119="B",INDEX(Batters[[#All],[First]],MATCH(Table5[[#This Row],[PID]],Batters[[#All],[PID]],0)),INDEX(Table3[[#All],[First]],MATCH(Table5[[#This Row],[PID]],Table3[[#All],[PID]],0)))</f>
        <v>Ewan</v>
      </c>
      <c r="F1119" s="52" t="str">
        <f>IF($C1119="B",INDEX(Batters[[#All],[Last]],MATCH(A1119,Batters[[#All],[PID]],0)),INDEX(Table3[[#All],[Last]],MATCH(A1119,Table3[[#All],[PID]],0)))</f>
        <v>Backhouse</v>
      </c>
      <c r="G1119" s="58">
        <f>IF($C1119="B",INDEX(Batters[[#All],[Age]],MATCH(Table5[[#This Row],[PID]],Batters[[#All],[PID]],0)),INDEX(Table3[[#All],[Age]],MATCH(Table5[[#This Row],[PID]],Table3[[#All],[PID]],0)))</f>
        <v>21</v>
      </c>
      <c r="H1119" s="54" t="str">
        <f>IF($C1119="B",INDEX(Batters[[#All],[B]],MATCH(Table5[[#This Row],[PID]],Batters[[#All],[PID]],0)),INDEX(Table3[[#All],[B]],MATCH(Table5[[#This Row],[PID]],Table3[[#All],[PID]],0)))</f>
        <v>R</v>
      </c>
      <c r="I1119" s="54" t="str">
        <f>IF($C1119="B",INDEX(Batters[[#All],[T]],MATCH(Table5[[#This Row],[PID]],Batters[[#All],[PID]],0)),INDEX(Table3[[#All],[T]],MATCH(Table5[[#This Row],[PID]],Table3[[#All],[PID]],0)))</f>
        <v>R</v>
      </c>
      <c r="J1119" s="54" t="str">
        <f>IF($C1119="B",INDEX(Batters[[#All],[WE]],MATCH(Table5[[#This Row],[PID]],Batters[[#All],[PID]],0)),INDEX(Table3[[#All],[WE]],MATCH(Table5[[#This Row],[PID]],Table3[[#All],[PID]],0)))</f>
        <v>Normal</v>
      </c>
      <c r="K1119" s="54" t="str">
        <f>IF($C1119="B",INDEX(Batters[[#All],[INT]],MATCH(Table5[[#This Row],[PID]],Batters[[#All],[PID]],0)),INDEX(Table3[[#All],[INT]],MATCH(Table5[[#This Row],[PID]],Table3[[#All],[PID]],0)))</f>
        <v>Normal</v>
      </c>
      <c r="L1119" s="62">
        <f>IF($C1119="B",INDEX(Batters[[#All],[CON P]],MATCH(Table5[[#This Row],[PID]],Batters[[#All],[PID]],0)),INDEX(Table3[[#All],[STU P]],MATCH(Table5[[#This Row],[PID]],Table3[[#All],[PID]],0)))</f>
        <v>4</v>
      </c>
      <c r="M1119" s="58">
        <f>IF($C1119="B",INDEX(Batters[[#All],[GAP P]],MATCH(Table5[[#This Row],[PID]],Batters[[#All],[PID]],0)),INDEX(Table3[[#All],[MOV P]],MATCH(Table5[[#This Row],[PID]],Table3[[#All],[PID]],0)))</f>
        <v>1</v>
      </c>
      <c r="N1119" s="58">
        <f>IF($C1119="B",INDEX(Batters[[#All],[POW P]],MATCH(Table5[[#This Row],[PID]],Batters[[#All],[PID]],0)),INDEX(Table3[[#All],[CON P]],MATCH(Table5[[#This Row],[PID]],Table3[[#All],[PID]],0)))</f>
        <v>2</v>
      </c>
      <c r="O1119" s="58" t="str">
        <f>IF($C1119="B",INDEX(Batters[[#All],[EYE P]],MATCH(Table5[[#This Row],[PID]],Batters[[#All],[PID]],0)),INDEX(Table3[[#All],[VELO]],MATCH(Table5[[#This Row],[PID]],Table3[[#All],[PID]],0)))</f>
        <v>92-94 Mph</v>
      </c>
      <c r="P1119" s="58">
        <f>IF($C1119="B",INDEX(Batters[[#All],[K P]],MATCH(Table5[[#This Row],[PID]],Batters[[#All],[PID]],0)),INDEX(Table3[[#All],[STM]],MATCH(Table5[[#This Row],[PID]],Table3[[#All],[PID]],0)))</f>
        <v>3</v>
      </c>
      <c r="Q1119" s="63">
        <f>IF($C1119="B",INDEX(Batters[[#All],[Tot]],MATCH(Table5[[#This Row],[PID]],Batters[[#All],[PID]],0)),INDEX(Table3[[#All],[Tot]],MATCH(Table5[[#This Row],[PID]],Table3[[#All],[PID]],0)))</f>
        <v>18.823396692770626</v>
      </c>
      <c r="R1119" s="54">
        <f>IF($C1119="B",INDEX(Batters[[#All],[zScore]],MATCH(Table5[[#This Row],[PID]],Batters[[#All],[PID]],0)),INDEX(Table3[[#All],[zScore]],MATCH(Table5[[#This Row],[PID]],Table3[[#All],[PID]],0)))</f>
        <v>-1.2745843315415588</v>
      </c>
      <c r="S1119" s="60" t="str">
        <f>IF($C1119="B",INDEX(Batters[[#All],[DEM]],MATCH(Table5[[#This Row],[PID]],Batters[[#All],[PID]],0)),INDEX(Table3[[#All],[DEM]],MATCH(Table5[[#This Row],[PID]],Table3[[#All],[PID]],0)))</f>
        <v>-</v>
      </c>
      <c r="T1119" s="64" t="e">
        <f>IF($C1119="B",VLOOKUP($A1119,Bat!$A$4:$AU$1417,46,FALSE),VLOOKUP($A1119,Pit!$A$4:$BD$570,55,FALSE))</f>
        <v>#N/A</v>
      </c>
      <c r="U1119" s="52" t="e">
        <f>IF($C1119="B",VLOOKUP($A1119,Bat!$A$4:$BA$1417,47,FALSE),VLOOKUP($A1119,Pit!$A$4:$BF$570,56,FALSE))</f>
        <v>#N/A</v>
      </c>
      <c r="V1119" s="52" t="e">
        <f>IF($C1119="B",VLOOKUP($A1119,Bat!$A$4:$BA$1417,48,FALSE),VLOOKUP($A1119,Pit!$A$4:$BF$570,57,FALSE))</f>
        <v>#N/A</v>
      </c>
      <c r="W1119" s="52" t="e">
        <f>Table5[[#This Row],[posRnk]]+Table5[[#This Row],[zRnk]]+IF($W$3&lt;&gt;Table5[[#This Row],[Type]],50,0)</f>
        <v>#N/A</v>
      </c>
      <c r="X1119" s="53">
        <f>RANK(Table5[[#This Row],[zScore]],Table5[[#All],[zScore]])</f>
        <v>1115</v>
      </c>
      <c r="Y1119" s="52" t="str">
        <f>IFERROR(INDEX(DraftResults[[#All],[OVR]],MATCH(Table5[[#This Row],[PID]],DraftResults[[#All],[Player ID]],0)),"")</f>
        <v/>
      </c>
      <c r="Z11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9" s="52" t="str">
        <f>IFERROR(INDEX(DraftResults[[#All],[Pick in Round]],MATCH(Table5[[#This Row],[PID]],DraftResults[[#All],[Player ID]],0)),"")</f>
        <v/>
      </c>
      <c r="AB1119" s="52" t="str">
        <f>IFERROR(INDEX(DraftResults[[#All],[Team Name]],MATCH(Table5[[#This Row],[PID]],DraftResults[[#All],[Player ID]],0)),"")</f>
        <v/>
      </c>
      <c r="AC1119" s="52" t="str">
        <f>IF(Table5[[#This Row],[Ovr]]="","",IF(Table5[[#This Row],[cmbList]]="","",Table5[[#This Row],[cmbList]]-Table5[[#This Row],[Ovr]]))</f>
        <v/>
      </c>
      <c r="AD1119" s="56" t="str">
        <f>IF(ISERROR(VLOOKUP($AB1119&amp;"-"&amp;$E1119&amp;" "&amp;F1119,Bonuses!$B$1:$G$1006,4,FALSE)),"",INT(VLOOKUP($AB1119&amp;"-"&amp;$E1119&amp;" "&amp;$F1119,Bonuses!$B$1:$G$1006,4,FALSE)))</f>
        <v/>
      </c>
      <c r="AE11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0" spans="1:31" s="52" customFormat="1" x14ac:dyDescent="0.25">
      <c r="A1120" s="52">
        <v>12764</v>
      </c>
      <c r="B1120" s="52">
        <f>COUNTIF(Table5[PID],A1120)</f>
        <v>1</v>
      </c>
      <c r="C1120" s="52" t="str">
        <f>IF(COUNTIF(Table3[[#All],[PID]],A1120)&gt;0,"P","B")</f>
        <v>P</v>
      </c>
      <c r="D1120" s="61" t="str">
        <f>IF($C1120="B",INDEX(Batters[[#All],[POS]],MATCH(Table5[[#This Row],[PID]],Batters[[#All],[PID]],0)),INDEX(Table3[[#All],[POS]],MATCH(Table5[[#This Row],[PID]],Table3[[#All],[PID]],0)))</f>
        <v>RP</v>
      </c>
      <c r="E1120" s="54" t="str">
        <f>IF($C1120="B",INDEX(Batters[[#All],[First]],MATCH(Table5[[#This Row],[PID]],Batters[[#All],[PID]],0)),INDEX(Table3[[#All],[First]],MATCH(Table5[[#This Row],[PID]],Table3[[#All],[PID]],0)))</f>
        <v>Atsushi</v>
      </c>
      <c r="F1120" s="52" t="str">
        <f>IF($C1120="B",INDEX(Batters[[#All],[Last]],MATCH(A1120,Batters[[#All],[PID]],0)),INDEX(Table3[[#All],[Last]],MATCH(A1120,Table3[[#All],[PID]],0)))</f>
        <v>Yamada</v>
      </c>
      <c r="G1120" s="58">
        <f>IF($C1120="B",INDEX(Batters[[#All],[Age]],MATCH(Table5[[#This Row],[PID]],Batters[[#All],[PID]],0)),INDEX(Table3[[#All],[Age]],MATCH(Table5[[#This Row],[PID]],Table3[[#All],[PID]],0)))</f>
        <v>21</v>
      </c>
      <c r="H1120" s="54" t="str">
        <f>IF($C1120="B",INDEX(Batters[[#All],[B]],MATCH(Table5[[#This Row],[PID]],Batters[[#All],[PID]],0)),INDEX(Table3[[#All],[B]],MATCH(Table5[[#This Row],[PID]],Table3[[#All],[PID]],0)))</f>
        <v>R</v>
      </c>
      <c r="I1120" s="54" t="str">
        <f>IF($C1120="B",INDEX(Batters[[#All],[T]],MATCH(Table5[[#This Row],[PID]],Batters[[#All],[PID]],0)),INDEX(Table3[[#All],[T]],MATCH(Table5[[#This Row],[PID]],Table3[[#All],[PID]],0)))</f>
        <v>R</v>
      </c>
      <c r="J1120" s="54" t="str">
        <f>IF($C1120="B",INDEX(Batters[[#All],[WE]],MATCH(Table5[[#This Row],[PID]],Batters[[#All],[PID]],0)),INDEX(Table3[[#All],[WE]],MATCH(Table5[[#This Row],[PID]],Table3[[#All],[PID]],0)))</f>
        <v>Normal</v>
      </c>
      <c r="K1120" s="54" t="str">
        <f>IF($C1120="B",INDEX(Batters[[#All],[INT]],MATCH(Table5[[#This Row],[PID]],Batters[[#All],[PID]],0)),INDEX(Table3[[#All],[INT]],MATCH(Table5[[#This Row],[PID]],Table3[[#All],[PID]],0)))</f>
        <v>Normal</v>
      </c>
      <c r="L1120" s="62">
        <f>IF($C1120="B",INDEX(Batters[[#All],[CON P]],MATCH(Table5[[#This Row],[PID]],Batters[[#All],[PID]],0)),INDEX(Table3[[#All],[STU P]],MATCH(Table5[[#This Row],[PID]],Table3[[#All],[PID]],0)))</f>
        <v>4</v>
      </c>
      <c r="M1120" s="58">
        <f>IF($C1120="B",INDEX(Batters[[#All],[GAP P]],MATCH(Table5[[#This Row],[PID]],Batters[[#All],[PID]],0)),INDEX(Table3[[#All],[MOV P]],MATCH(Table5[[#This Row],[PID]],Table3[[#All],[PID]],0)))</f>
        <v>1</v>
      </c>
      <c r="N1120" s="58">
        <f>IF($C1120="B",INDEX(Batters[[#All],[POW P]],MATCH(Table5[[#This Row],[PID]],Batters[[#All],[PID]],0)),INDEX(Table3[[#All],[CON P]],MATCH(Table5[[#This Row],[PID]],Table3[[#All],[PID]],0)))</f>
        <v>2</v>
      </c>
      <c r="O1120" s="58" t="str">
        <f>IF($C1120="B",INDEX(Batters[[#All],[EYE P]],MATCH(Table5[[#This Row],[PID]],Batters[[#All],[PID]],0)),INDEX(Table3[[#All],[VELO]],MATCH(Table5[[#This Row],[PID]],Table3[[#All],[PID]],0)))</f>
        <v>90-92 Mph</v>
      </c>
      <c r="P1120" s="58">
        <f>IF($C1120="B",INDEX(Batters[[#All],[K P]],MATCH(Table5[[#This Row],[PID]],Batters[[#All],[PID]],0)),INDEX(Table3[[#All],[STM]],MATCH(Table5[[#This Row],[PID]],Table3[[#All],[PID]],0)))</f>
        <v>3</v>
      </c>
      <c r="Q1120" s="63">
        <f>IF($C1120="B",INDEX(Batters[[#All],[Tot]],MATCH(Table5[[#This Row],[PID]],Batters[[#All],[PID]],0)),INDEX(Table3[[#All],[Tot]],MATCH(Table5[[#This Row],[PID]],Table3[[#All],[PID]],0)))</f>
        <v>18.78640534111388</v>
      </c>
      <c r="R1120" s="54">
        <f>IF($C1120="B",INDEX(Batters[[#All],[zScore]],MATCH(Table5[[#This Row],[PID]],Batters[[#All],[PID]],0)),INDEX(Table3[[#All],[zScore]],MATCH(Table5[[#This Row],[PID]],Table3[[#All],[PID]],0)))</f>
        <v>-1.277976596592842</v>
      </c>
      <c r="S1120" s="60" t="str">
        <f>IF($C1120="B",INDEX(Batters[[#All],[DEM]],MATCH(Table5[[#This Row],[PID]],Batters[[#All],[PID]],0)),INDEX(Table3[[#All],[DEM]],MATCH(Table5[[#This Row],[PID]],Table3[[#All],[PID]],0)))</f>
        <v>-</v>
      </c>
      <c r="T1120" s="64" t="e">
        <f>IF($C1120="B",VLOOKUP($A1120,Bat!$A$4:$AU$1417,46,FALSE),VLOOKUP($A1120,Pit!$A$4:$BD$570,55,FALSE))</f>
        <v>#N/A</v>
      </c>
      <c r="U1120" s="52" t="e">
        <f>IF($C1120="B",VLOOKUP($A1120,Bat!$A$4:$BA$1417,47,FALSE),VLOOKUP($A1120,Pit!$A$4:$BF$570,56,FALSE))</f>
        <v>#N/A</v>
      </c>
      <c r="V1120" s="52" t="e">
        <f>IF($C1120="B",VLOOKUP($A1120,Bat!$A$4:$BA$1417,48,FALSE),VLOOKUP($A1120,Pit!$A$4:$BF$570,57,FALSE))</f>
        <v>#N/A</v>
      </c>
      <c r="W1120" s="52" t="e">
        <f>Table5[[#This Row],[posRnk]]+Table5[[#This Row],[zRnk]]+IF($W$3&lt;&gt;Table5[[#This Row],[Type]],50,0)</f>
        <v>#N/A</v>
      </c>
      <c r="X1120" s="53">
        <f>RANK(Table5[[#This Row],[zScore]],Table5[[#All],[zScore]])</f>
        <v>1116</v>
      </c>
      <c r="Y1120" s="52" t="str">
        <f>IFERROR(INDEX(DraftResults[[#All],[OVR]],MATCH(Table5[[#This Row],[PID]],DraftResults[[#All],[Player ID]],0)),"")</f>
        <v/>
      </c>
      <c r="Z11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0" s="52" t="str">
        <f>IFERROR(INDEX(DraftResults[[#All],[Pick in Round]],MATCH(Table5[[#This Row],[PID]],DraftResults[[#All],[Player ID]],0)),"")</f>
        <v/>
      </c>
      <c r="AB1120" s="52" t="str">
        <f>IFERROR(INDEX(DraftResults[[#All],[Team Name]],MATCH(Table5[[#This Row],[PID]],DraftResults[[#All],[Player ID]],0)),"")</f>
        <v/>
      </c>
      <c r="AC1120" s="52" t="str">
        <f>IF(Table5[[#This Row],[Ovr]]="","",IF(Table5[[#This Row],[cmbList]]="","",Table5[[#This Row],[cmbList]]-Table5[[#This Row],[Ovr]]))</f>
        <v/>
      </c>
      <c r="AD1120" s="56" t="str">
        <f>IF(ISERROR(VLOOKUP($AB1120&amp;"-"&amp;$E1120&amp;" "&amp;F1120,Bonuses!$B$1:$G$1006,4,FALSE)),"",INT(VLOOKUP($AB1120&amp;"-"&amp;$E1120&amp;" "&amp;$F1120,Bonuses!$B$1:$G$1006,4,FALSE)))</f>
        <v/>
      </c>
      <c r="AE11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1" spans="1:31" s="52" customFormat="1" x14ac:dyDescent="0.25">
      <c r="A1121" s="52">
        <v>11900</v>
      </c>
      <c r="B1121" s="52">
        <f>COUNTIF(Table5[PID],A1121)</f>
        <v>1</v>
      </c>
      <c r="C1121" s="52" t="str">
        <f>IF(COUNTIF(Table3[[#All],[PID]],A1121)&gt;0,"P","B")</f>
        <v>B</v>
      </c>
      <c r="D1121" s="61" t="str">
        <f>IF($C1121="B",INDEX(Batters[[#All],[POS]],MATCH(Table5[[#This Row],[PID]],Batters[[#All],[PID]],0)),INDEX(Table3[[#All],[POS]],MATCH(Table5[[#This Row],[PID]],Table3[[#All],[PID]],0)))</f>
        <v>1B</v>
      </c>
      <c r="E1121" s="54" t="str">
        <f>IF($C1121="B",INDEX(Batters[[#All],[First]],MATCH(Table5[[#This Row],[PID]],Batters[[#All],[PID]],0)),INDEX(Table3[[#All],[First]],MATCH(Table5[[#This Row],[PID]],Table3[[#All],[PID]],0)))</f>
        <v>Bert</v>
      </c>
      <c r="F1121" s="52" t="str">
        <f>IF($C1121="B",INDEX(Batters[[#All],[Last]],MATCH(A1121,Batters[[#All],[PID]],0)),INDEX(Table3[[#All],[Last]],MATCH(A1121,Table3[[#All],[PID]],0)))</f>
        <v>López</v>
      </c>
      <c r="G1121" s="58">
        <f>IF($C1121="B",INDEX(Batters[[#All],[Age]],MATCH(Table5[[#This Row],[PID]],Batters[[#All],[PID]],0)),INDEX(Table3[[#All],[Age]],MATCH(Table5[[#This Row],[PID]],Table3[[#All],[PID]],0)))</f>
        <v>21</v>
      </c>
      <c r="H1121" s="54" t="str">
        <f>IF($C1121="B",INDEX(Batters[[#All],[B]],MATCH(Table5[[#This Row],[PID]],Batters[[#All],[PID]],0)),INDEX(Table3[[#All],[B]],MATCH(Table5[[#This Row],[PID]],Table3[[#All],[PID]],0)))</f>
        <v>R</v>
      </c>
      <c r="I1121" s="54" t="str">
        <f>IF($C1121="B",INDEX(Batters[[#All],[T]],MATCH(Table5[[#This Row],[PID]],Batters[[#All],[PID]],0)),INDEX(Table3[[#All],[T]],MATCH(Table5[[#This Row],[PID]],Table3[[#All],[PID]],0)))</f>
        <v>R</v>
      </c>
      <c r="J1121" s="54" t="str">
        <f>IF($C1121="B",INDEX(Batters[[#All],[WE]],MATCH(Table5[[#This Row],[PID]],Batters[[#All],[PID]],0)),INDEX(Table3[[#All],[WE]],MATCH(Table5[[#This Row],[PID]],Table3[[#All],[PID]],0)))</f>
        <v>Low</v>
      </c>
      <c r="K1121" s="54" t="str">
        <f>IF($C1121="B",INDEX(Batters[[#All],[INT]],MATCH(Table5[[#This Row],[PID]],Batters[[#All],[PID]],0)),INDEX(Table3[[#All],[INT]],MATCH(Table5[[#This Row],[PID]],Table3[[#All],[PID]],0)))</f>
        <v>Normal</v>
      </c>
      <c r="L1121" s="62">
        <f>IF($C1121="B",INDEX(Batters[[#All],[CON P]],MATCH(Table5[[#This Row],[PID]],Batters[[#All],[PID]],0)),INDEX(Table3[[#All],[STU P]],MATCH(Table5[[#This Row],[PID]],Table3[[#All],[PID]],0)))</f>
        <v>3</v>
      </c>
      <c r="M1121" s="58">
        <f>IF($C1121="B",INDEX(Batters[[#All],[GAP P]],MATCH(Table5[[#This Row],[PID]],Batters[[#All],[PID]],0)),INDEX(Table3[[#All],[MOV P]],MATCH(Table5[[#This Row],[PID]],Table3[[#All],[PID]],0)))</f>
        <v>2</v>
      </c>
      <c r="N1121" s="58">
        <f>IF($C1121="B",INDEX(Batters[[#All],[POW P]],MATCH(Table5[[#This Row],[PID]],Batters[[#All],[PID]],0)),INDEX(Table3[[#All],[CON P]],MATCH(Table5[[#This Row],[PID]],Table3[[#All],[PID]],0)))</f>
        <v>2</v>
      </c>
      <c r="O1121" s="58">
        <f>IF($C1121="B",INDEX(Batters[[#All],[EYE P]],MATCH(Table5[[#This Row],[PID]],Batters[[#All],[PID]],0)),INDEX(Table3[[#All],[VELO]],MATCH(Table5[[#This Row],[PID]],Table3[[#All],[PID]],0)))</f>
        <v>4</v>
      </c>
      <c r="P1121" s="58">
        <f>IF($C1121="B",INDEX(Batters[[#All],[K P]],MATCH(Table5[[#This Row],[PID]],Batters[[#All],[PID]],0)),INDEX(Table3[[#All],[STM]],MATCH(Table5[[#This Row],[PID]],Table3[[#All],[PID]],0)))</f>
        <v>3</v>
      </c>
      <c r="Q1121" s="63">
        <f>IF($C1121="B",INDEX(Batters[[#All],[Tot]],MATCH(Table5[[#This Row],[PID]],Batters[[#All],[PID]],0)),INDEX(Table3[[#All],[Tot]],MATCH(Table5[[#This Row],[PID]],Table3[[#All],[PID]],0)))</f>
        <v>33.069710663640365</v>
      </c>
      <c r="R1121" s="54">
        <f>IF($C1121="B",INDEX(Batters[[#All],[zScore]],MATCH(Table5[[#This Row],[PID]],Batters[[#All],[PID]],0)),INDEX(Table3[[#All],[zScore]],MATCH(Table5[[#This Row],[PID]],Table3[[#All],[PID]],0)))</f>
        <v>-1.2806101560385539</v>
      </c>
      <c r="S1121" s="60" t="str">
        <f>IF($C1121="B",INDEX(Batters[[#All],[DEM]],MATCH(Table5[[#This Row],[PID]],Batters[[#All],[PID]],0)),INDEX(Table3[[#All],[DEM]],MATCH(Table5[[#This Row],[PID]],Table3[[#All],[PID]],0)))</f>
        <v>-</v>
      </c>
      <c r="T1121" s="64">
        <f>IF($C1121="B",VLOOKUP($A1121,Bat!$A$4:$AU$1417,46,FALSE),VLOOKUP($A1121,Pit!$A$4:$BD$570,55,FALSE))</f>
        <v>0</v>
      </c>
      <c r="U1121" s="52">
        <f>IF($C1121="B",VLOOKUP($A1121,Bat!$A$4:$BA$1417,47,FALSE),VLOOKUP($A1121,Pit!$A$4:$BF$570,56,FALSE))</f>
        <v>0</v>
      </c>
      <c r="V1121" s="52">
        <f>IF($C1121="B",VLOOKUP($A1121,Bat!$A$4:$BA$1417,48,FALSE),VLOOKUP($A1121,Pit!$A$4:$BF$570,57,FALSE))</f>
        <v>0</v>
      </c>
      <c r="W1121" s="52">
        <f>Table5[[#This Row],[posRnk]]+Table5[[#This Row],[zRnk]]+IF($W$3&lt;&gt;Table5[[#This Row],[Type]],50,0)</f>
        <v>1167</v>
      </c>
      <c r="X1121" s="53">
        <f>RANK(Table5[[#This Row],[zScore]],Table5[[#All],[zScore]])</f>
        <v>1117</v>
      </c>
      <c r="Y1121" s="52" t="str">
        <f>IFERROR(INDEX(DraftResults[[#All],[OVR]],MATCH(Table5[[#This Row],[PID]],DraftResults[[#All],[Player ID]],0)),"")</f>
        <v/>
      </c>
      <c r="Z11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1" s="52" t="str">
        <f>IFERROR(INDEX(DraftResults[[#All],[Pick in Round]],MATCH(Table5[[#This Row],[PID]],DraftResults[[#All],[Player ID]],0)),"")</f>
        <v/>
      </c>
      <c r="AB1121" s="52" t="str">
        <f>IFERROR(INDEX(DraftResults[[#All],[Team Name]],MATCH(Table5[[#This Row],[PID]],DraftResults[[#All],[Player ID]],0)),"")</f>
        <v/>
      </c>
      <c r="AC1121" s="52" t="str">
        <f>IF(Table5[[#This Row],[Ovr]]="","",IF(Table5[[#This Row],[cmbList]]="","",Table5[[#This Row],[cmbList]]-Table5[[#This Row],[Ovr]]))</f>
        <v/>
      </c>
      <c r="AD1121" s="56" t="str">
        <f>IF(ISERROR(VLOOKUP($AB1121&amp;"-"&amp;$E1121&amp;" "&amp;F1121,Bonuses!$B$1:$G$1006,4,FALSE)),"",INT(VLOOKUP($AB1121&amp;"-"&amp;$E1121&amp;" "&amp;$F1121,Bonuses!$B$1:$G$1006,4,FALSE)))</f>
        <v/>
      </c>
      <c r="AE11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2" spans="1:31" s="52" customFormat="1" x14ac:dyDescent="0.25">
      <c r="A1122" s="52">
        <v>7167</v>
      </c>
      <c r="B1122" s="52">
        <f>COUNTIF(Table5[PID],A1122)</f>
        <v>1</v>
      </c>
      <c r="C1122" s="52" t="str">
        <f>IF(COUNTIF(Table3[[#All],[PID]],A1122)&gt;0,"P","B")</f>
        <v>P</v>
      </c>
      <c r="D1122" s="61" t="str">
        <f>IF($C1122="B",INDEX(Batters[[#All],[POS]],MATCH(Table5[[#This Row],[PID]],Batters[[#All],[PID]],0)),INDEX(Table3[[#All],[POS]],MATCH(Table5[[#This Row],[PID]],Table3[[#All],[PID]],0)))</f>
        <v>RP</v>
      </c>
      <c r="E1122" s="54" t="str">
        <f>IF($C1122="B",INDEX(Batters[[#All],[First]],MATCH(Table5[[#This Row],[PID]],Batters[[#All],[PID]],0)),INDEX(Table3[[#All],[First]],MATCH(Table5[[#This Row],[PID]],Table3[[#All],[PID]],0)))</f>
        <v>Jeff</v>
      </c>
      <c r="F1122" s="52" t="str">
        <f>IF($C1122="B",INDEX(Batters[[#All],[Last]],MATCH(A1122,Batters[[#All],[PID]],0)),INDEX(Table3[[#All],[Last]],MATCH(A1122,Table3[[#All],[PID]],0)))</f>
        <v>Kavanaugh</v>
      </c>
      <c r="G1122" s="58">
        <f>IF($C1122="B",INDEX(Batters[[#All],[Age]],MATCH(Table5[[#This Row],[PID]],Batters[[#All],[PID]],0)),INDEX(Table3[[#All],[Age]],MATCH(Table5[[#This Row],[PID]],Table3[[#All],[PID]],0)))</f>
        <v>22</v>
      </c>
      <c r="H1122" s="54" t="str">
        <f>IF($C1122="B",INDEX(Batters[[#All],[B]],MATCH(Table5[[#This Row],[PID]],Batters[[#All],[PID]],0)),INDEX(Table3[[#All],[B]],MATCH(Table5[[#This Row],[PID]],Table3[[#All],[PID]],0)))</f>
        <v>R</v>
      </c>
      <c r="I1122" s="54" t="str">
        <f>IF($C1122="B",INDEX(Batters[[#All],[T]],MATCH(Table5[[#This Row],[PID]],Batters[[#All],[PID]],0)),INDEX(Table3[[#All],[T]],MATCH(Table5[[#This Row],[PID]],Table3[[#All],[PID]],0)))</f>
        <v>R</v>
      </c>
      <c r="J1122" s="54" t="str">
        <f>IF($C1122="B",INDEX(Batters[[#All],[WE]],MATCH(Table5[[#This Row],[PID]],Batters[[#All],[PID]],0)),INDEX(Table3[[#All],[WE]],MATCH(Table5[[#This Row],[PID]],Table3[[#All],[PID]],0)))</f>
        <v>High</v>
      </c>
      <c r="K1122" s="54" t="str">
        <f>IF($C1122="B",INDEX(Batters[[#All],[INT]],MATCH(Table5[[#This Row],[PID]],Batters[[#All],[PID]],0)),INDEX(Table3[[#All],[INT]],MATCH(Table5[[#This Row],[PID]],Table3[[#All],[PID]],0)))</f>
        <v>Normal</v>
      </c>
      <c r="L1122" s="62">
        <f>IF($C1122="B",INDEX(Batters[[#All],[CON P]],MATCH(Table5[[#This Row],[PID]],Batters[[#All],[PID]],0)),INDEX(Table3[[#All],[STU P]],MATCH(Table5[[#This Row],[PID]],Table3[[#All],[PID]],0)))</f>
        <v>3</v>
      </c>
      <c r="M1122" s="58">
        <f>IF($C1122="B",INDEX(Batters[[#All],[GAP P]],MATCH(Table5[[#This Row],[PID]],Batters[[#All],[PID]],0)),INDEX(Table3[[#All],[MOV P]],MATCH(Table5[[#This Row],[PID]],Table3[[#All],[PID]],0)))</f>
        <v>1</v>
      </c>
      <c r="N1122" s="58">
        <f>IF($C1122="B",INDEX(Batters[[#All],[POW P]],MATCH(Table5[[#This Row],[PID]],Batters[[#All],[PID]],0)),INDEX(Table3[[#All],[CON P]],MATCH(Table5[[#This Row],[PID]],Table3[[#All],[PID]],0)))</f>
        <v>2</v>
      </c>
      <c r="O1122" s="58" t="str">
        <f>IF($C1122="B",INDEX(Batters[[#All],[EYE P]],MATCH(Table5[[#This Row],[PID]],Batters[[#All],[PID]],0)),INDEX(Table3[[#All],[VELO]],MATCH(Table5[[#This Row],[PID]],Table3[[#All],[PID]],0)))</f>
        <v>90-92 Mph</v>
      </c>
      <c r="P1122" s="58">
        <f>IF($C1122="B",INDEX(Batters[[#All],[K P]],MATCH(Table5[[#This Row],[PID]],Batters[[#All],[PID]],0)),INDEX(Table3[[#All],[STM]],MATCH(Table5[[#This Row],[PID]],Table3[[#All],[PID]],0)))</f>
        <v>8</v>
      </c>
      <c r="Q1122" s="63">
        <f>IF($C1122="B",INDEX(Batters[[#All],[Tot]],MATCH(Table5[[#This Row],[PID]],Batters[[#All],[PID]],0)),INDEX(Table3[[#All],[Tot]],MATCH(Table5[[#This Row],[PID]],Table3[[#All],[PID]],0)))</f>
        <v>15.750318352259587</v>
      </c>
      <c r="R1122" s="54">
        <f>IF($C1122="B",INDEX(Batters[[#All],[zScore]],MATCH(Table5[[#This Row],[PID]],Batters[[#All],[PID]],0)),INDEX(Table3[[#All],[zScore]],MATCH(Table5[[#This Row],[PID]],Table3[[#All],[PID]],0)))</f>
        <v>-1.2835194528353826</v>
      </c>
      <c r="S1122" s="60" t="str">
        <f>IF($C1122="B",INDEX(Batters[[#All],[DEM]],MATCH(Table5[[#This Row],[PID]],Batters[[#All],[PID]],0)),INDEX(Table3[[#All],[DEM]],MATCH(Table5[[#This Row],[PID]],Table3[[#All],[PID]],0)))</f>
        <v>-</v>
      </c>
      <c r="T1122" s="64" t="e">
        <f>IF($C1122="B",VLOOKUP($A1122,Bat!$A$4:$AU$1417,46,FALSE),VLOOKUP($A1122,Pit!$A$4:$BD$570,55,FALSE))</f>
        <v>#N/A</v>
      </c>
      <c r="U1122" s="52" t="e">
        <f>IF($C1122="B",VLOOKUP($A1122,Bat!$A$4:$BA$1417,47,FALSE),VLOOKUP($A1122,Pit!$A$4:$BF$570,56,FALSE))</f>
        <v>#N/A</v>
      </c>
      <c r="V1122" s="52" t="e">
        <f>IF($C1122="B",VLOOKUP($A1122,Bat!$A$4:$BA$1417,48,FALSE),VLOOKUP($A1122,Pit!$A$4:$BF$570,57,FALSE))</f>
        <v>#N/A</v>
      </c>
      <c r="W1122" s="52" t="e">
        <f>Table5[[#This Row],[posRnk]]+Table5[[#This Row],[zRnk]]+IF($W$3&lt;&gt;Table5[[#This Row],[Type]],50,0)</f>
        <v>#N/A</v>
      </c>
      <c r="X1122" s="53">
        <f>RANK(Table5[[#This Row],[zScore]],Table5[[#All],[zScore]])</f>
        <v>1118</v>
      </c>
      <c r="Y1122" s="52" t="str">
        <f>IFERROR(INDEX(DraftResults[[#All],[OVR]],MATCH(Table5[[#This Row],[PID]],DraftResults[[#All],[Player ID]],0)),"")</f>
        <v/>
      </c>
      <c r="Z11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2" s="52" t="str">
        <f>IFERROR(INDEX(DraftResults[[#All],[Pick in Round]],MATCH(Table5[[#This Row],[PID]],DraftResults[[#All],[Player ID]],0)),"")</f>
        <v/>
      </c>
      <c r="AB1122" s="52" t="str">
        <f>IFERROR(INDEX(DraftResults[[#All],[Team Name]],MATCH(Table5[[#This Row],[PID]],DraftResults[[#All],[Player ID]],0)),"")</f>
        <v/>
      </c>
      <c r="AC1122" s="52" t="str">
        <f>IF(Table5[[#This Row],[Ovr]]="","",IF(Table5[[#This Row],[cmbList]]="","",Table5[[#This Row],[cmbList]]-Table5[[#This Row],[Ovr]]))</f>
        <v/>
      </c>
      <c r="AD1122" s="56" t="str">
        <f>IF(ISERROR(VLOOKUP($AB1122&amp;"-"&amp;$E1122&amp;" "&amp;F1122,Bonuses!$B$1:$G$1006,4,FALSE)),"",INT(VLOOKUP($AB1122&amp;"-"&amp;$E1122&amp;" "&amp;$F1122,Bonuses!$B$1:$G$1006,4,FALSE)))</f>
        <v/>
      </c>
      <c r="AE11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3" spans="1:31" s="52" customFormat="1" x14ac:dyDescent="0.25">
      <c r="A1123" s="52">
        <v>6944</v>
      </c>
      <c r="B1123" s="52">
        <f>COUNTIF(Table5[PID],A1123)</f>
        <v>1</v>
      </c>
      <c r="C1123" s="52" t="str">
        <f>IF(COUNTIF(Table3[[#All],[PID]],A1123)&gt;0,"P","B")</f>
        <v>B</v>
      </c>
      <c r="D1123" s="61" t="str">
        <f>IF($C1123="B",INDEX(Batters[[#All],[POS]],MATCH(Table5[[#This Row],[PID]],Batters[[#All],[PID]],0)),INDEX(Table3[[#All],[POS]],MATCH(Table5[[#This Row],[PID]],Table3[[#All],[PID]],0)))</f>
        <v>C</v>
      </c>
      <c r="E1123" s="54" t="str">
        <f>IF($C1123="B",INDEX(Batters[[#All],[First]],MATCH(Table5[[#This Row],[PID]],Batters[[#All],[PID]],0)),INDEX(Table3[[#All],[First]],MATCH(Table5[[#This Row],[PID]],Table3[[#All],[PID]],0)))</f>
        <v>Gunner</v>
      </c>
      <c r="F1123" s="52" t="str">
        <f>IF($C1123="B",INDEX(Batters[[#All],[Last]],MATCH(A1123,Batters[[#All],[PID]],0)),INDEX(Table3[[#All],[Last]],MATCH(A1123,Table3[[#All],[PID]],0)))</f>
        <v>Garrett</v>
      </c>
      <c r="G1123" s="58">
        <f>IF($C1123="B",INDEX(Batters[[#All],[Age]],MATCH(Table5[[#This Row],[PID]],Batters[[#All],[PID]],0)),INDEX(Table3[[#All],[Age]],MATCH(Table5[[#This Row],[PID]],Table3[[#All],[PID]],0)))</f>
        <v>21</v>
      </c>
      <c r="H1123" s="54" t="str">
        <f>IF($C1123="B",INDEX(Batters[[#All],[B]],MATCH(Table5[[#This Row],[PID]],Batters[[#All],[PID]],0)),INDEX(Table3[[#All],[B]],MATCH(Table5[[#This Row],[PID]],Table3[[#All],[PID]],0)))</f>
        <v>R</v>
      </c>
      <c r="I1123" s="54" t="str">
        <f>IF($C1123="B",INDEX(Batters[[#All],[T]],MATCH(Table5[[#This Row],[PID]],Batters[[#All],[PID]],0)),INDEX(Table3[[#All],[T]],MATCH(Table5[[#This Row],[PID]],Table3[[#All],[PID]],0)))</f>
        <v>R</v>
      </c>
      <c r="J1123" s="54" t="str">
        <f>IF($C1123="B",INDEX(Batters[[#All],[WE]],MATCH(Table5[[#This Row],[PID]],Batters[[#All],[PID]],0)),INDEX(Table3[[#All],[WE]],MATCH(Table5[[#This Row],[PID]],Table3[[#All],[PID]],0)))</f>
        <v>Low</v>
      </c>
      <c r="K1123" s="54" t="str">
        <f>IF($C1123="B",INDEX(Batters[[#All],[INT]],MATCH(Table5[[#This Row],[PID]],Batters[[#All],[PID]],0)),INDEX(Table3[[#All],[INT]],MATCH(Table5[[#This Row],[PID]],Table3[[#All],[PID]],0)))</f>
        <v>Normal</v>
      </c>
      <c r="L1123" s="62">
        <f>IF($C1123="B",INDEX(Batters[[#All],[CON P]],MATCH(Table5[[#This Row],[PID]],Batters[[#All],[PID]],0)),INDEX(Table3[[#All],[STU P]],MATCH(Table5[[#This Row],[PID]],Table3[[#All],[PID]],0)))</f>
        <v>2</v>
      </c>
      <c r="M1123" s="58">
        <f>IF($C1123="B",INDEX(Batters[[#All],[GAP P]],MATCH(Table5[[#This Row],[PID]],Batters[[#All],[PID]],0)),INDEX(Table3[[#All],[MOV P]],MATCH(Table5[[#This Row],[PID]],Table3[[#All],[PID]],0)))</f>
        <v>4</v>
      </c>
      <c r="N1123" s="58">
        <f>IF($C1123="B",INDEX(Batters[[#All],[POW P]],MATCH(Table5[[#This Row],[PID]],Batters[[#All],[PID]],0)),INDEX(Table3[[#All],[CON P]],MATCH(Table5[[#This Row],[PID]],Table3[[#All],[PID]],0)))</f>
        <v>4</v>
      </c>
      <c r="O1123" s="58">
        <f>IF($C1123="B",INDEX(Batters[[#All],[EYE P]],MATCH(Table5[[#This Row],[PID]],Batters[[#All],[PID]],0)),INDEX(Table3[[#All],[VELO]],MATCH(Table5[[#This Row],[PID]],Table3[[#All],[PID]],0)))</f>
        <v>5</v>
      </c>
      <c r="P1123" s="58">
        <f>IF($C1123="B",INDEX(Batters[[#All],[K P]],MATCH(Table5[[#This Row],[PID]],Batters[[#All],[PID]],0)),INDEX(Table3[[#All],[STM]],MATCH(Table5[[#This Row],[PID]],Table3[[#All],[PID]],0)))</f>
        <v>2</v>
      </c>
      <c r="Q1123" s="63">
        <f>IF($C1123="B",INDEX(Batters[[#All],[Tot]],MATCH(Table5[[#This Row],[PID]],Batters[[#All],[PID]],0)),INDEX(Table3[[#All],[Tot]],MATCH(Table5[[#This Row],[PID]],Table3[[#All],[PID]],0)))</f>
        <v>33.046867187229722</v>
      </c>
      <c r="R1123" s="54">
        <f>IF($C1123="B",INDEX(Batters[[#All],[zScore]],MATCH(Table5[[#This Row],[PID]],Batters[[#All],[PID]],0)),INDEX(Table3[[#All],[zScore]],MATCH(Table5[[#This Row],[PID]],Table3[[#All],[PID]],0)))</f>
        <v>-1.284629313888332</v>
      </c>
      <c r="S1123" s="60" t="str">
        <f>IF($C1123="B",INDEX(Batters[[#All],[DEM]],MATCH(Table5[[#This Row],[PID]],Batters[[#All],[PID]],0)),INDEX(Table3[[#All],[DEM]],MATCH(Table5[[#This Row],[PID]],Table3[[#All],[PID]],0)))</f>
        <v>-</v>
      </c>
      <c r="T1123" s="64">
        <f>IF($C1123="B",VLOOKUP($A1123,Bat!$A$4:$AU$1417,46,FALSE),VLOOKUP($A1123,Pit!$A$4:$BD$570,55,FALSE))</f>
        <v>0</v>
      </c>
      <c r="U1123" s="52">
        <f>IF($C1123="B",VLOOKUP($A1123,Bat!$A$4:$BA$1417,47,FALSE),VLOOKUP($A1123,Pit!$A$4:$BF$570,56,FALSE))</f>
        <v>0</v>
      </c>
      <c r="V1123" s="52">
        <f>IF($C1123="B",VLOOKUP($A1123,Bat!$A$4:$BA$1417,48,FALSE),VLOOKUP($A1123,Pit!$A$4:$BF$570,57,FALSE))</f>
        <v>0</v>
      </c>
      <c r="W1123" s="52">
        <f>Table5[[#This Row],[posRnk]]+Table5[[#This Row],[zRnk]]+IF($W$3&lt;&gt;Table5[[#This Row],[Type]],50,0)</f>
        <v>1169</v>
      </c>
      <c r="X1123" s="53">
        <f>RANK(Table5[[#This Row],[zScore]],Table5[[#All],[zScore]])</f>
        <v>1119</v>
      </c>
      <c r="Y1123" s="52" t="str">
        <f>IFERROR(INDEX(DraftResults[[#All],[OVR]],MATCH(Table5[[#This Row],[PID]],DraftResults[[#All],[Player ID]],0)),"")</f>
        <v/>
      </c>
      <c r="Z11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3" s="52" t="str">
        <f>IFERROR(INDEX(DraftResults[[#All],[Pick in Round]],MATCH(Table5[[#This Row],[PID]],DraftResults[[#All],[Player ID]],0)),"")</f>
        <v/>
      </c>
      <c r="AB1123" s="52" t="str">
        <f>IFERROR(INDEX(DraftResults[[#All],[Team Name]],MATCH(Table5[[#This Row],[PID]],DraftResults[[#All],[Player ID]],0)),"")</f>
        <v/>
      </c>
      <c r="AC1123" s="52" t="str">
        <f>IF(Table5[[#This Row],[Ovr]]="","",IF(Table5[[#This Row],[cmbList]]="","",Table5[[#This Row],[cmbList]]-Table5[[#This Row],[Ovr]]))</f>
        <v/>
      </c>
      <c r="AD1123" s="56" t="str">
        <f>IF(ISERROR(VLOOKUP($AB1123&amp;"-"&amp;$E1123&amp;" "&amp;F1123,Bonuses!$B$1:$G$1006,4,FALSE)),"",INT(VLOOKUP($AB1123&amp;"-"&amp;$E1123&amp;" "&amp;$F1123,Bonuses!$B$1:$G$1006,4,FALSE)))</f>
        <v/>
      </c>
      <c r="AE11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4" spans="1:31" s="52" customFormat="1" x14ac:dyDescent="0.25">
      <c r="A1124" s="52">
        <v>11912</v>
      </c>
      <c r="B1124" s="52">
        <f>COUNTIF(Table5[PID],A1124)</f>
        <v>1</v>
      </c>
      <c r="C1124" s="52" t="str">
        <f>IF(COUNTIF(Table3[[#All],[PID]],A1124)&gt;0,"P","B")</f>
        <v>P</v>
      </c>
      <c r="D1124" s="61" t="str">
        <f>IF($C1124="B",INDEX(Batters[[#All],[POS]],MATCH(Table5[[#This Row],[PID]],Batters[[#All],[PID]],0)),INDEX(Table3[[#All],[POS]],MATCH(Table5[[#This Row],[PID]],Table3[[#All],[PID]],0)))</f>
        <v>RP</v>
      </c>
      <c r="E1124" s="54" t="str">
        <f>IF($C1124="B",INDEX(Batters[[#All],[First]],MATCH(Table5[[#This Row],[PID]],Batters[[#All],[PID]],0)),INDEX(Table3[[#All],[First]],MATCH(Table5[[#This Row],[PID]],Table3[[#All],[PID]],0)))</f>
        <v>Eric</v>
      </c>
      <c r="F1124" s="52" t="str">
        <f>IF($C1124="B",INDEX(Batters[[#All],[Last]],MATCH(A1124,Batters[[#All],[PID]],0)),INDEX(Table3[[#All],[Last]],MATCH(A1124,Table3[[#All],[PID]],0)))</f>
        <v>Abrams</v>
      </c>
      <c r="G1124" s="58">
        <f>IF($C1124="B",INDEX(Batters[[#All],[Age]],MATCH(Table5[[#This Row],[PID]],Batters[[#All],[PID]],0)),INDEX(Table3[[#All],[Age]],MATCH(Table5[[#This Row],[PID]],Table3[[#All],[PID]],0)))</f>
        <v>21</v>
      </c>
      <c r="H1124" s="54" t="str">
        <f>IF($C1124="B",INDEX(Batters[[#All],[B]],MATCH(Table5[[#This Row],[PID]],Batters[[#All],[PID]],0)),INDEX(Table3[[#All],[B]],MATCH(Table5[[#This Row],[PID]],Table3[[#All],[PID]],0)))</f>
        <v>R</v>
      </c>
      <c r="I1124" s="54" t="str">
        <f>IF($C1124="B",INDEX(Batters[[#All],[T]],MATCH(Table5[[#This Row],[PID]],Batters[[#All],[PID]],0)),INDEX(Table3[[#All],[T]],MATCH(Table5[[#This Row],[PID]],Table3[[#All],[PID]],0)))</f>
        <v>R</v>
      </c>
      <c r="J1124" s="54" t="str">
        <f>IF($C1124="B",INDEX(Batters[[#All],[WE]],MATCH(Table5[[#This Row],[PID]],Batters[[#All],[PID]],0)),INDEX(Table3[[#All],[WE]],MATCH(Table5[[#This Row],[PID]],Table3[[#All],[PID]],0)))</f>
        <v>Normal</v>
      </c>
      <c r="K1124" s="54" t="str">
        <f>IF($C1124="B",INDEX(Batters[[#All],[INT]],MATCH(Table5[[#This Row],[PID]],Batters[[#All],[PID]],0)),INDEX(Table3[[#All],[INT]],MATCH(Table5[[#This Row],[PID]],Table3[[#All],[PID]],0)))</f>
        <v>Low</v>
      </c>
      <c r="L1124" s="62">
        <f>IF($C1124="B",INDEX(Batters[[#All],[CON P]],MATCH(Table5[[#This Row],[PID]],Batters[[#All],[PID]],0)),INDEX(Table3[[#All],[STU P]],MATCH(Table5[[#This Row],[PID]],Table3[[#All],[PID]],0)))</f>
        <v>3</v>
      </c>
      <c r="M1124" s="58">
        <f>IF($C1124="B",INDEX(Batters[[#All],[GAP P]],MATCH(Table5[[#This Row],[PID]],Batters[[#All],[PID]],0)),INDEX(Table3[[#All],[MOV P]],MATCH(Table5[[#This Row],[PID]],Table3[[#All],[PID]],0)))</f>
        <v>2</v>
      </c>
      <c r="N1124" s="58">
        <f>IF($C1124="B",INDEX(Batters[[#All],[POW P]],MATCH(Table5[[#This Row],[PID]],Batters[[#All],[PID]],0)),INDEX(Table3[[#All],[CON P]],MATCH(Table5[[#This Row],[PID]],Table3[[#All],[PID]],0)))</f>
        <v>2</v>
      </c>
      <c r="O1124" s="58" t="str">
        <f>IF($C1124="B",INDEX(Batters[[#All],[EYE P]],MATCH(Table5[[#This Row],[PID]],Batters[[#All],[PID]],0)),INDEX(Table3[[#All],[VELO]],MATCH(Table5[[#This Row],[PID]],Table3[[#All],[PID]],0)))</f>
        <v>90-92 Mph</v>
      </c>
      <c r="P1124" s="58">
        <f>IF($C1124="B",INDEX(Batters[[#All],[K P]],MATCH(Table5[[#This Row],[PID]],Batters[[#All],[PID]],0)),INDEX(Table3[[#All],[STM]],MATCH(Table5[[#This Row],[PID]],Table3[[#All],[PID]],0)))</f>
        <v>2</v>
      </c>
      <c r="Q1124" s="63">
        <f>IF($C1124="B",INDEX(Batters[[#All],[Tot]],MATCH(Table5[[#This Row],[PID]],Batters[[#All],[PID]],0)),INDEX(Table3[[#All],[Tot]],MATCH(Table5[[#This Row],[PID]],Table3[[#All],[PID]],0)))</f>
        <v>18.583645721282636</v>
      </c>
      <c r="R1124" s="54">
        <f>IF($C1124="B",INDEX(Batters[[#All],[zScore]],MATCH(Table5[[#This Row],[PID]],Batters[[#All],[PID]],0)),INDEX(Table3[[#All],[zScore]],MATCH(Table5[[#This Row],[PID]],Table3[[#All],[PID]],0)))</f>
        <v>-1.296570520344196</v>
      </c>
      <c r="S1124" s="60" t="str">
        <f>IF($C1124="B",INDEX(Batters[[#All],[DEM]],MATCH(Table5[[#This Row],[PID]],Batters[[#All],[PID]],0)),INDEX(Table3[[#All],[DEM]],MATCH(Table5[[#This Row],[PID]],Table3[[#All],[PID]],0)))</f>
        <v>-</v>
      </c>
      <c r="T1124" s="64" t="e">
        <f>IF($C1124="B",VLOOKUP($A1124,Bat!$A$4:$AU$1417,46,FALSE),VLOOKUP($A1124,Pit!$A$4:$BD$570,55,FALSE))</f>
        <v>#N/A</v>
      </c>
      <c r="U1124" s="52" t="e">
        <f>IF($C1124="B",VLOOKUP($A1124,Bat!$A$4:$BA$1417,47,FALSE),VLOOKUP($A1124,Pit!$A$4:$BF$570,56,FALSE))</f>
        <v>#N/A</v>
      </c>
      <c r="V1124" s="52" t="e">
        <f>IF($C1124="B",VLOOKUP($A1124,Bat!$A$4:$BA$1417,48,FALSE),VLOOKUP($A1124,Pit!$A$4:$BF$570,57,FALSE))</f>
        <v>#N/A</v>
      </c>
      <c r="W1124" s="52" t="e">
        <f>Table5[[#This Row],[posRnk]]+Table5[[#This Row],[zRnk]]+IF($W$3&lt;&gt;Table5[[#This Row],[Type]],50,0)</f>
        <v>#N/A</v>
      </c>
      <c r="X1124" s="53">
        <f>RANK(Table5[[#This Row],[zScore]],Table5[[#All],[zScore]])</f>
        <v>1120</v>
      </c>
      <c r="Y1124" s="52" t="str">
        <f>IFERROR(INDEX(DraftResults[[#All],[OVR]],MATCH(Table5[[#This Row],[PID]],DraftResults[[#All],[Player ID]],0)),"")</f>
        <v/>
      </c>
      <c r="Z11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4" s="52" t="str">
        <f>IFERROR(INDEX(DraftResults[[#All],[Pick in Round]],MATCH(Table5[[#This Row],[PID]],DraftResults[[#All],[Player ID]],0)),"")</f>
        <v/>
      </c>
      <c r="AB1124" s="52" t="str">
        <f>IFERROR(INDEX(DraftResults[[#All],[Team Name]],MATCH(Table5[[#This Row],[PID]],DraftResults[[#All],[Player ID]],0)),"")</f>
        <v/>
      </c>
      <c r="AC1124" s="52" t="str">
        <f>IF(Table5[[#This Row],[Ovr]]="","",IF(Table5[[#This Row],[cmbList]]="","",Table5[[#This Row],[cmbList]]-Table5[[#This Row],[Ovr]]))</f>
        <v/>
      </c>
      <c r="AD1124" s="56" t="str">
        <f>IF(ISERROR(VLOOKUP($AB1124&amp;"-"&amp;$E1124&amp;" "&amp;F1124,Bonuses!$B$1:$G$1006,4,FALSE)),"",INT(VLOOKUP($AB1124&amp;"-"&amp;$E1124&amp;" "&amp;$F1124,Bonuses!$B$1:$G$1006,4,FALSE)))</f>
        <v/>
      </c>
      <c r="AE11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5" spans="1:31" s="52" customFormat="1" x14ac:dyDescent="0.25">
      <c r="A1125" s="52">
        <v>11357</v>
      </c>
      <c r="B1125" s="52">
        <f>COUNTIF(Table5[PID],A1125)</f>
        <v>1</v>
      </c>
      <c r="C1125" s="52" t="str">
        <f>IF(COUNTIF(Table3[[#All],[PID]],A1125)&gt;0,"P","B")</f>
        <v>P</v>
      </c>
      <c r="D1125" s="61" t="str">
        <f>IF($C1125="B",INDEX(Batters[[#All],[POS]],MATCH(Table5[[#This Row],[PID]],Batters[[#All],[PID]],0)),INDEX(Table3[[#All],[POS]],MATCH(Table5[[#This Row],[PID]],Table3[[#All],[PID]],0)))</f>
        <v>RP</v>
      </c>
      <c r="E1125" s="54" t="str">
        <f>IF($C1125="B",INDEX(Batters[[#All],[First]],MATCH(Table5[[#This Row],[PID]],Batters[[#All],[PID]],0)),INDEX(Table3[[#All],[First]],MATCH(Table5[[#This Row],[PID]],Table3[[#All],[PID]],0)))</f>
        <v>Pete</v>
      </c>
      <c r="F1125" s="52" t="str">
        <f>IF($C1125="B",INDEX(Batters[[#All],[Last]],MATCH(A1125,Batters[[#All],[PID]],0)),INDEX(Table3[[#All],[Last]],MATCH(A1125,Table3[[#All],[PID]],0)))</f>
        <v>Miller</v>
      </c>
      <c r="G1125" s="58">
        <f>IF($C1125="B",INDEX(Batters[[#All],[Age]],MATCH(Table5[[#This Row],[PID]],Batters[[#All],[PID]],0)),INDEX(Table3[[#All],[Age]],MATCH(Table5[[#This Row],[PID]],Table3[[#All],[PID]],0)))</f>
        <v>22</v>
      </c>
      <c r="H1125" s="54" t="str">
        <f>IF($C1125="B",INDEX(Batters[[#All],[B]],MATCH(Table5[[#This Row],[PID]],Batters[[#All],[PID]],0)),INDEX(Table3[[#All],[B]],MATCH(Table5[[#This Row],[PID]],Table3[[#All],[PID]],0)))</f>
        <v>R</v>
      </c>
      <c r="I1125" s="54" t="str">
        <f>IF($C1125="B",INDEX(Batters[[#All],[T]],MATCH(Table5[[#This Row],[PID]],Batters[[#All],[PID]],0)),INDEX(Table3[[#All],[T]],MATCH(Table5[[#This Row],[PID]],Table3[[#All],[PID]],0)))</f>
        <v>R</v>
      </c>
      <c r="J1125" s="54" t="str">
        <f>IF($C1125="B",INDEX(Batters[[#All],[WE]],MATCH(Table5[[#This Row],[PID]],Batters[[#All],[PID]],0)),INDEX(Table3[[#All],[WE]],MATCH(Table5[[#This Row],[PID]],Table3[[#All],[PID]],0)))</f>
        <v>Normal</v>
      </c>
      <c r="K1125" s="54" t="str">
        <f>IF($C1125="B",INDEX(Batters[[#All],[INT]],MATCH(Table5[[#This Row],[PID]],Batters[[#All],[PID]],0)),INDEX(Table3[[#All],[INT]],MATCH(Table5[[#This Row],[PID]],Table3[[#All],[PID]],0)))</f>
        <v>Normal</v>
      </c>
      <c r="L1125" s="62">
        <f>IF($C1125="B",INDEX(Batters[[#All],[CON P]],MATCH(Table5[[#This Row],[PID]],Batters[[#All],[PID]],0)),INDEX(Table3[[#All],[STU P]],MATCH(Table5[[#This Row],[PID]],Table3[[#All],[PID]],0)))</f>
        <v>3</v>
      </c>
      <c r="M1125" s="58">
        <f>IF($C1125="B",INDEX(Batters[[#All],[GAP P]],MATCH(Table5[[#This Row],[PID]],Batters[[#All],[PID]],0)),INDEX(Table3[[#All],[MOV P]],MATCH(Table5[[#This Row],[PID]],Table3[[#All],[PID]],0)))</f>
        <v>1</v>
      </c>
      <c r="N1125" s="58">
        <f>IF($C1125="B",INDEX(Batters[[#All],[POW P]],MATCH(Table5[[#This Row],[PID]],Batters[[#All],[PID]],0)),INDEX(Table3[[#All],[CON P]],MATCH(Table5[[#This Row],[PID]],Table3[[#All],[PID]],0)))</f>
        <v>2</v>
      </c>
      <c r="O1125" s="58" t="str">
        <f>IF($C1125="B",INDEX(Batters[[#All],[EYE P]],MATCH(Table5[[#This Row],[PID]],Batters[[#All],[PID]],0)),INDEX(Table3[[#All],[VELO]],MATCH(Table5[[#This Row],[PID]],Table3[[#All],[PID]],0)))</f>
        <v>88-90 Mph</v>
      </c>
      <c r="P1125" s="58">
        <f>IF($C1125="B",INDEX(Batters[[#All],[K P]],MATCH(Table5[[#This Row],[PID]],Batters[[#All],[PID]],0)),INDEX(Table3[[#All],[STM]],MATCH(Table5[[#This Row],[PID]],Table3[[#All],[PID]],0)))</f>
        <v>9</v>
      </c>
      <c r="Q1125" s="63">
        <f>IF($C1125="B",INDEX(Batters[[#All],[Tot]],MATCH(Table5[[#This Row],[PID]],Batters[[#All],[PID]],0)),INDEX(Table3[[#All],[Tot]],MATCH(Table5[[#This Row],[PID]],Table3[[#All],[PID]],0)))</f>
        <v>15.561380087357755</v>
      </c>
      <c r="R1125" s="54">
        <f>IF($C1125="B",INDEX(Batters[[#All],[zScore]],MATCH(Table5[[#This Row],[PID]],Batters[[#All],[PID]],0)),INDEX(Table3[[#All],[zScore]],MATCH(Table5[[#This Row],[PID]],Table3[[#All],[PID]],0)))</f>
        <v>-1.3000784939277281</v>
      </c>
      <c r="S1125" s="60" t="str">
        <f>IF($C1125="B",INDEX(Batters[[#All],[DEM]],MATCH(Table5[[#This Row],[PID]],Batters[[#All],[PID]],0)),INDEX(Table3[[#All],[DEM]],MATCH(Table5[[#This Row],[PID]],Table3[[#All],[PID]],0)))</f>
        <v>-</v>
      </c>
      <c r="T1125" s="64" t="e">
        <f>IF($C1125="B",VLOOKUP($A1125,Bat!$A$4:$AU$1417,46,FALSE),VLOOKUP($A1125,Pit!$A$4:$BD$570,55,FALSE))</f>
        <v>#N/A</v>
      </c>
      <c r="U1125" s="52" t="e">
        <f>IF($C1125="B",VLOOKUP($A1125,Bat!$A$4:$BA$1417,47,FALSE),VLOOKUP($A1125,Pit!$A$4:$BF$570,56,FALSE))</f>
        <v>#N/A</v>
      </c>
      <c r="V1125" s="52" t="e">
        <f>IF($C1125="B",VLOOKUP($A1125,Bat!$A$4:$BA$1417,48,FALSE),VLOOKUP($A1125,Pit!$A$4:$BF$570,57,FALSE))</f>
        <v>#N/A</v>
      </c>
      <c r="W1125" s="52" t="e">
        <f>Table5[[#This Row],[posRnk]]+Table5[[#This Row],[zRnk]]+IF($W$3&lt;&gt;Table5[[#This Row],[Type]],50,0)</f>
        <v>#N/A</v>
      </c>
      <c r="X1125" s="53">
        <f>RANK(Table5[[#This Row],[zScore]],Table5[[#All],[zScore]])</f>
        <v>1121</v>
      </c>
      <c r="Y1125" s="52" t="str">
        <f>IFERROR(INDEX(DraftResults[[#All],[OVR]],MATCH(Table5[[#This Row],[PID]],DraftResults[[#All],[Player ID]],0)),"")</f>
        <v/>
      </c>
      <c r="Z11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5" s="52" t="str">
        <f>IFERROR(INDEX(DraftResults[[#All],[Pick in Round]],MATCH(Table5[[#This Row],[PID]],DraftResults[[#All],[Player ID]],0)),"")</f>
        <v/>
      </c>
      <c r="AB1125" s="52" t="str">
        <f>IFERROR(INDEX(DraftResults[[#All],[Team Name]],MATCH(Table5[[#This Row],[PID]],DraftResults[[#All],[Player ID]],0)),"")</f>
        <v/>
      </c>
      <c r="AC1125" s="52" t="str">
        <f>IF(Table5[[#This Row],[Ovr]]="","",IF(Table5[[#This Row],[cmbList]]="","",Table5[[#This Row],[cmbList]]-Table5[[#This Row],[Ovr]]))</f>
        <v/>
      </c>
      <c r="AD1125" s="56" t="str">
        <f>IF(ISERROR(VLOOKUP($AB1125&amp;"-"&amp;$E1125&amp;" "&amp;F1125,Bonuses!$B$1:$G$1006,4,FALSE)),"",INT(VLOOKUP($AB1125&amp;"-"&amp;$E1125&amp;" "&amp;$F1125,Bonuses!$B$1:$G$1006,4,FALSE)))</f>
        <v/>
      </c>
      <c r="AE11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6" spans="1:31" s="52" customFormat="1" x14ac:dyDescent="0.25">
      <c r="A1126" s="52">
        <v>8864</v>
      </c>
      <c r="B1126" s="52">
        <f>COUNTIF(Table5[PID],A1126)</f>
        <v>1</v>
      </c>
      <c r="C1126" s="52" t="str">
        <f>IF(COUNTIF(Table3[[#All],[PID]],A1126)&gt;0,"P","B")</f>
        <v>B</v>
      </c>
      <c r="D1126" s="61" t="str">
        <f>IF($C1126="B",INDEX(Batters[[#All],[POS]],MATCH(Table5[[#This Row],[PID]],Batters[[#All],[PID]],0)),INDEX(Table3[[#All],[POS]],MATCH(Table5[[#This Row],[PID]],Table3[[#All],[PID]],0)))</f>
        <v>C</v>
      </c>
      <c r="E1126" s="54" t="str">
        <f>IF($C1126="B",INDEX(Batters[[#All],[First]],MATCH(Table5[[#This Row],[PID]],Batters[[#All],[PID]],0)),INDEX(Table3[[#All],[First]],MATCH(Table5[[#This Row],[PID]],Table3[[#All],[PID]],0)))</f>
        <v>Jerry</v>
      </c>
      <c r="F1126" s="52" t="str">
        <f>IF($C1126="B",INDEX(Batters[[#All],[Last]],MATCH(A1126,Batters[[#All],[PID]],0)),INDEX(Table3[[#All],[Last]],MATCH(A1126,Table3[[#All],[PID]],0)))</f>
        <v>Manush</v>
      </c>
      <c r="G1126" s="58">
        <f>IF($C1126="B",INDEX(Batters[[#All],[Age]],MATCH(Table5[[#This Row],[PID]],Batters[[#All],[PID]],0)),INDEX(Table3[[#All],[Age]],MATCH(Table5[[#This Row],[PID]],Table3[[#All],[PID]],0)))</f>
        <v>22</v>
      </c>
      <c r="H1126" s="54" t="str">
        <f>IF($C1126="B",INDEX(Batters[[#All],[B]],MATCH(Table5[[#This Row],[PID]],Batters[[#All],[PID]],0)),INDEX(Table3[[#All],[B]],MATCH(Table5[[#This Row],[PID]],Table3[[#All],[PID]],0)))</f>
        <v>R</v>
      </c>
      <c r="I1126" s="54" t="str">
        <f>IF($C1126="B",INDEX(Batters[[#All],[T]],MATCH(Table5[[#This Row],[PID]],Batters[[#All],[PID]],0)),INDEX(Table3[[#All],[T]],MATCH(Table5[[#This Row],[PID]],Table3[[#All],[PID]],0)))</f>
        <v>R</v>
      </c>
      <c r="J1126" s="54" t="str">
        <f>IF($C1126="B",INDEX(Batters[[#All],[WE]],MATCH(Table5[[#This Row],[PID]],Batters[[#All],[PID]],0)),INDEX(Table3[[#All],[WE]],MATCH(Table5[[#This Row],[PID]],Table3[[#All],[PID]],0)))</f>
        <v>Normal</v>
      </c>
      <c r="K1126" s="54" t="str">
        <f>IF($C1126="B",INDEX(Batters[[#All],[INT]],MATCH(Table5[[#This Row],[PID]],Batters[[#All],[PID]],0)),INDEX(Table3[[#All],[INT]],MATCH(Table5[[#This Row],[PID]],Table3[[#All],[PID]],0)))</f>
        <v>Normal</v>
      </c>
      <c r="L1126" s="62">
        <f>IF($C1126="B",INDEX(Batters[[#All],[CON P]],MATCH(Table5[[#This Row],[PID]],Batters[[#All],[PID]],0)),INDEX(Table3[[#All],[STU P]],MATCH(Table5[[#This Row],[PID]],Table3[[#All],[PID]],0)))</f>
        <v>2</v>
      </c>
      <c r="M1126" s="58">
        <f>IF($C1126="B",INDEX(Batters[[#All],[GAP P]],MATCH(Table5[[#This Row],[PID]],Batters[[#All],[PID]],0)),INDEX(Table3[[#All],[MOV P]],MATCH(Table5[[#This Row],[PID]],Table3[[#All],[PID]],0)))</f>
        <v>3</v>
      </c>
      <c r="N1126" s="58">
        <f>IF($C1126="B",INDEX(Batters[[#All],[POW P]],MATCH(Table5[[#This Row],[PID]],Batters[[#All],[PID]],0)),INDEX(Table3[[#All],[CON P]],MATCH(Table5[[#This Row],[PID]],Table3[[#All],[PID]],0)))</f>
        <v>3</v>
      </c>
      <c r="O1126" s="58">
        <f>IF($C1126="B",INDEX(Batters[[#All],[EYE P]],MATCH(Table5[[#This Row],[PID]],Batters[[#All],[PID]],0)),INDEX(Table3[[#All],[VELO]],MATCH(Table5[[#This Row],[PID]],Table3[[#All],[PID]],0)))</f>
        <v>5</v>
      </c>
      <c r="P1126" s="58">
        <f>IF($C1126="B",INDEX(Batters[[#All],[K P]],MATCH(Table5[[#This Row],[PID]],Batters[[#All],[PID]],0)),INDEX(Table3[[#All],[STM]],MATCH(Table5[[#This Row],[PID]],Table3[[#All],[PID]],0)))</f>
        <v>2</v>
      </c>
      <c r="Q1126" s="63">
        <f>IF($C1126="B",INDEX(Batters[[#All],[Tot]],MATCH(Table5[[#This Row],[PID]],Batters[[#All],[PID]],0)),INDEX(Table3[[#All],[Tot]],MATCH(Table5[[#This Row],[PID]],Table3[[#All],[PID]],0)))</f>
        <v>32.950049131936325</v>
      </c>
      <c r="R1126" s="54">
        <f>IF($C1126="B",INDEX(Batters[[#All],[zScore]],MATCH(Table5[[#This Row],[PID]],Batters[[#All],[PID]],0)),INDEX(Table3[[#All],[zScore]],MATCH(Table5[[#This Row],[PID]],Table3[[#All],[PID]],0)))</f>
        <v>-1.3016638072350373</v>
      </c>
      <c r="S1126" s="60" t="str">
        <f>IF($C1126="B",INDEX(Batters[[#All],[DEM]],MATCH(Table5[[#This Row],[PID]],Batters[[#All],[PID]],0)),INDEX(Table3[[#All],[DEM]],MATCH(Table5[[#This Row],[PID]],Table3[[#All],[PID]],0)))</f>
        <v>-</v>
      </c>
      <c r="T1126" s="64">
        <f>IF($C1126="B",VLOOKUP($A1126,Bat!$A$4:$AU$1417,46,FALSE),VLOOKUP($A1126,Pit!$A$4:$BD$570,55,FALSE))</f>
        <v>0</v>
      </c>
      <c r="U1126" s="52">
        <f>IF($C1126="B",VLOOKUP($A1126,Bat!$A$4:$BA$1417,47,FALSE),VLOOKUP($A1126,Pit!$A$4:$BF$570,56,FALSE))</f>
        <v>0</v>
      </c>
      <c r="V1126" s="52">
        <f>IF($C1126="B",VLOOKUP($A1126,Bat!$A$4:$BA$1417,48,FALSE),VLOOKUP($A1126,Pit!$A$4:$BF$570,57,FALSE))</f>
        <v>0</v>
      </c>
      <c r="W1126" s="52">
        <f>Table5[[#This Row],[posRnk]]+Table5[[#This Row],[zRnk]]+IF($W$3&lt;&gt;Table5[[#This Row],[Type]],50,0)</f>
        <v>1172</v>
      </c>
      <c r="X1126" s="53">
        <f>RANK(Table5[[#This Row],[zScore]],Table5[[#All],[zScore]])</f>
        <v>1122</v>
      </c>
      <c r="Y1126" s="52" t="str">
        <f>IFERROR(INDEX(DraftResults[[#All],[OVR]],MATCH(Table5[[#This Row],[PID]],DraftResults[[#All],[Player ID]],0)),"")</f>
        <v/>
      </c>
      <c r="Z11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6" s="52" t="str">
        <f>IFERROR(INDEX(DraftResults[[#All],[Pick in Round]],MATCH(Table5[[#This Row],[PID]],DraftResults[[#All],[Player ID]],0)),"")</f>
        <v/>
      </c>
      <c r="AB1126" s="52" t="str">
        <f>IFERROR(INDEX(DraftResults[[#All],[Team Name]],MATCH(Table5[[#This Row],[PID]],DraftResults[[#All],[Player ID]],0)),"")</f>
        <v/>
      </c>
      <c r="AC1126" s="52" t="str">
        <f>IF(Table5[[#This Row],[Ovr]]="","",IF(Table5[[#This Row],[cmbList]]="","",Table5[[#This Row],[cmbList]]-Table5[[#This Row],[Ovr]]))</f>
        <v/>
      </c>
      <c r="AD1126" s="56" t="str">
        <f>IF(ISERROR(VLOOKUP($AB1126&amp;"-"&amp;$E1126&amp;" "&amp;F1126,Bonuses!$B$1:$G$1006,4,FALSE)),"",INT(VLOOKUP($AB1126&amp;"-"&amp;$E1126&amp;" "&amp;$F1126,Bonuses!$B$1:$G$1006,4,FALSE)))</f>
        <v/>
      </c>
      <c r="AE11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7" spans="1:31" s="52" customFormat="1" x14ac:dyDescent="0.25">
      <c r="A1127" s="52">
        <v>18062</v>
      </c>
      <c r="B1127" s="52">
        <f>COUNTIF(Table5[PID],A1127)</f>
        <v>1</v>
      </c>
      <c r="C1127" s="52" t="str">
        <f>IF(COUNTIF(Table3[[#All],[PID]],A1127)&gt;0,"P","B")</f>
        <v>B</v>
      </c>
      <c r="D1127" s="61" t="str">
        <f>IF($C1127="B",INDEX(Batters[[#All],[POS]],MATCH(Table5[[#This Row],[PID]],Batters[[#All],[PID]],0)),INDEX(Table3[[#All],[POS]],MATCH(Table5[[#This Row],[PID]],Table3[[#All],[PID]],0)))</f>
        <v>C</v>
      </c>
      <c r="E1127" s="54" t="str">
        <f>IF($C1127="B",INDEX(Batters[[#All],[First]],MATCH(Table5[[#This Row],[PID]],Batters[[#All],[PID]],0)),INDEX(Table3[[#All],[First]],MATCH(Table5[[#This Row],[PID]],Table3[[#All],[PID]],0)))</f>
        <v>Vicente</v>
      </c>
      <c r="F1127" s="52" t="str">
        <f>IF($C1127="B",INDEX(Batters[[#All],[Last]],MATCH(A1127,Batters[[#All],[PID]],0)),INDEX(Table3[[#All],[Last]],MATCH(A1127,Table3[[#All],[PID]],0)))</f>
        <v>Morales</v>
      </c>
      <c r="G1127" s="58">
        <f>IF($C1127="B",INDEX(Batters[[#All],[Age]],MATCH(Table5[[#This Row],[PID]],Batters[[#All],[PID]],0)),INDEX(Table3[[#All],[Age]],MATCH(Table5[[#This Row],[PID]],Table3[[#All],[PID]],0)))</f>
        <v>22</v>
      </c>
      <c r="H1127" s="54" t="str">
        <f>IF($C1127="B",INDEX(Batters[[#All],[B]],MATCH(Table5[[#This Row],[PID]],Batters[[#All],[PID]],0)),INDEX(Table3[[#All],[B]],MATCH(Table5[[#This Row],[PID]],Table3[[#All],[PID]],0)))</f>
        <v>R</v>
      </c>
      <c r="I1127" s="54" t="str">
        <f>IF($C1127="B",INDEX(Batters[[#All],[T]],MATCH(Table5[[#This Row],[PID]],Batters[[#All],[PID]],0)),INDEX(Table3[[#All],[T]],MATCH(Table5[[#This Row],[PID]],Table3[[#All],[PID]],0)))</f>
        <v>R</v>
      </c>
      <c r="J1127" s="54" t="str">
        <f>IF($C1127="B",INDEX(Batters[[#All],[WE]],MATCH(Table5[[#This Row],[PID]],Batters[[#All],[PID]],0)),INDEX(Table3[[#All],[WE]],MATCH(Table5[[#This Row],[PID]],Table3[[#All],[PID]],0)))</f>
        <v>Low</v>
      </c>
      <c r="K1127" s="54" t="str">
        <f>IF($C1127="B",INDEX(Batters[[#All],[INT]],MATCH(Table5[[#This Row],[PID]],Batters[[#All],[PID]],0)),INDEX(Table3[[#All],[INT]],MATCH(Table5[[#This Row],[PID]],Table3[[#All],[PID]],0)))</f>
        <v>Low</v>
      </c>
      <c r="L1127" s="62">
        <f>IF($C1127="B",INDEX(Batters[[#All],[CON P]],MATCH(Table5[[#This Row],[PID]],Batters[[#All],[PID]],0)),INDEX(Table3[[#All],[STU P]],MATCH(Table5[[#This Row],[PID]],Table3[[#All],[PID]],0)))</f>
        <v>2</v>
      </c>
      <c r="M1127" s="58">
        <f>IF($C1127="B",INDEX(Batters[[#All],[GAP P]],MATCH(Table5[[#This Row],[PID]],Batters[[#All],[PID]],0)),INDEX(Table3[[#All],[MOV P]],MATCH(Table5[[#This Row],[PID]],Table3[[#All],[PID]],0)))</f>
        <v>3</v>
      </c>
      <c r="N1127" s="58">
        <f>IF($C1127="B",INDEX(Batters[[#All],[POW P]],MATCH(Table5[[#This Row],[PID]],Batters[[#All],[PID]],0)),INDEX(Table3[[#All],[CON P]],MATCH(Table5[[#This Row],[PID]],Table3[[#All],[PID]],0)))</f>
        <v>3</v>
      </c>
      <c r="O1127" s="58">
        <f>IF($C1127="B",INDEX(Batters[[#All],[EYE P]],MATCH(Table5[[#This Row],[PID]],Batters[[#All],[PID]],0)),INDEX(Table3[[#All],[VELO]],MATCH(Table5[[#This Row],[PID]],Table3[[#All],[PID]],0)))</f>
        <v>5</v>
      </c>
      <c r="P1127" s="58">
        <f>IF($C1127="B",INDEX(Batters[[#All],[K P]],MATCH(Table5[[#This Row],[PID]],Batters[[#All],[PID]],0)),INDEX(Table3[[#All],[STM]],MATCH(Table5[[#This Row],[PID]],Table3[[#All],[PID]],0)))</f>
        <v>3</v>
      </c>
      <c r="Q1127" s="63">
        <f>IF($C1127="B",INDEX(Batters[[#All],[Tot]],MATCH(Table5[[#This Row],[PID]],Batters[[#All],[PID]],0)),INDEX(Table3[[#All],[Tot]],MATCH(Table5[[#This Row],[PID]],Table3[[#All],[PID]],0)))</f>
        <v>32.907862117376098</v>
      </c>
      <c r="R1127" s="54">
        <f>IF($C1127="B",INDEX(Batters[[#All],[zScore]],MATCH(Table5[[#This Row],[PID]],Batters[[#All],[PID]],0)),INDEX(Table3[[#All],[zScore]],MATCH(Table5[[#This Row],[PID]],Table3[[#All],[PID]],0)))</f>
        <v>-1.3090863320592119</v>
      </c>
      <c r="S1127" s="60" t="str">
        <f>IF($C1127="B",INDEX(Batters[[#All],[DEM]],MATCH(Table5[[#This Row],[PID]],Batters[[#All],[PID]],0)),INDEX(Table3[[#All],[DEM]],MATCH(Table5[[#This Row],[PID]],Table3[[#All],[PID]],0)))</f>
        <v>-</v>
      </c>
      <c r="T1127" s="64">
        <f>IF($C1127="B",VLOOKUP($A1127,Bat!$A$4:$AU$1417,46,FALSE),VLOOKUP($A1127,Pit!$A$4:$BD$570,55,FALSE))</f>
        <v>0</v>
      </c>
      <c r="U1127" s="52">
        <f>IF($C1127="B",VLOOKUP($A1127,Bat!$A$4:$BA$1417,47,FALSE),VLOOKUP($A1127,Pit!$A$4:$BF$570,56,FALSE))</f>
        <v>0</v>
      </c>
      <c r="V1127" s="52">
        <f>IF($C1127="B",VLOOKUP($A1127,Bat!$A$4:$BA$1417,48,FALSE),VLOOKUP($A1127,Pit!$A$4:$BF$570,57,FALSE))</f>
        <v>0</v>
      </c>
      <c r="W1127" s="52">
        <f>Table5[[#This Row],[posRnk]]+Table5[[#This Row],[zRnk]]+IF($W$3&lt;&gt;Table5[[#This Row],[Type]],50,0)</f>
        <v>1173</v>
      </c>
      <c r="X1127" s="53">
        <f>RANK(Table5[[#This Row],[zScore]],Table5[[#All],[zScore]])</f>
        <v>1123</v>
      </c>
      <c r="Y1127" s="52" t="str">
        <f>IFERROR(INDEX(DraftResults[[#All],[OVR]],MATCH(Table5[[#This Row],[PID]],DraftResults[[#All],[Player ID]],0)),"")</f>
        <v/>
      </c>
      <c r="Z11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7" s="52" t="str">
        <f>IFERROR(INDEX(DraftResults[[#All],[Pick in Round]],MATCH(Table5[[#This Row],[PID]],DraftResults[[#All],[Player ID]],0)),"")</f>
        <v/>
      </c>
      <c r="AB1127" s="52" t="str">
        <f>IFERROR(INDEX(DraftResults[[#All],[Team Name]],MATCH(Table5[[#This Row],[PID]],DraftResults[[#All],[Player ID]],0)),"")</f>
        <v/>
      </c>
      <c r="AC1127" s="52" t="str">
        <f>IF(Table5[[#This Row],[Ovr]]="","",IF(Table5[[#This Row],[cmbList]]="","",Table5[[#This Row],[cmbList]]-Table5[[#This Row],[Ovr]]))</f>
        <v/>
      </c>
      <c r="AD1127" s="56" t="str">
        <f>IF(ISERROR(VLOOKUP($AB1127&amp;"-"&amp;$E1127&amp;" "&amp;F1127,Bonuses!$B$1:$G$1006,4,FALSE)),"",INT(VLOOKUP($AB1127&amp;"-"&amp;$E1127&amp;" "&amp;$F1127,Bonuses!$B$1:$G$1006,4,FALSE)))</f>
        <v/>
      </c>
      <c r="AE11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8" spans="1:31" s="52" customFormat="1" x14ac:dyDescent="0.25">
      <c r="A1128" s="52">
        <v>13022</v>
      </c>
      <c r="B1128" s="52">
        <f>COUNTIF(Table5[PID],A1128)</f>
        <v>1</v>
      </c>
      <c r="C1128" s="52" t="str">
        <f>IF(COUNTIF(Table3[[#All],[PID]],A1128)&gt;0,"P","B")</f>
        <v>P</v>
      </c>
      <c r="D1128" s="61" t="str">
        <f>IF($C1128="B",INDEX(Batters[[#All],[POS]],MATCH(Table5[[#This Row],[PID]],Batters[[#All],[PID]],0)),INDEX(Table3[[#All],[POS]],MATCH(Table5[[#This Row],[PID]],Table3[[#All],[PID]],0)))</f>
        <v>RP</v>
      </c>
      <c r="E1128" s="54" t="str">
        <f>IF($C1128="B",INDEX(Batters[[#All],[First]],MATCH(Table5[[#This Row],[PID]],Batters[[#All],[PID]],0)),INDEX(Table3[[#All],[First]],MATCH(Table5[[#This Row],[PID]],Table3[[#All],[PID]],0)))</f>
        <v>Kagehisa</v>
      </c>
      <c r="F1128" s="52" t="str">
        <f>IF($C1128="B",INDEX(Batters[[#All],[Last]],MATCH(A1128,Batters[[#All],[PID]],0)),INDEX(Table3[[#All],[Last]],MATCH(A1128,Table3[[#All],[PID]],0)))</f>
        <v>Sakei</v>
      </c>
      <c r="G1128" s="58">
        <f>IF($C1128="B",INDEX(Batters[[#All],[Age]],MATCH(Table5[[#This Row],[PID]],Batters[[#All],[PID]],0)),INDEX(Table3[[#All],[Age]],MATCH(Table5[[#This Row],[PID]],Table3[[#All],[PID]],0)))</f>
        <v>22</v>
      </c>
      <c r="H1128" s="54" t="str">
        <f>IF($C1128="B",INDEX(Batters[[#All],[B]],MATCH(Table5[[#This Row],[PID]],Batters[[#All],[PID]],0)),INDEX(Table3[[#All],[B]],MATCH(Table5[[#This Row],[PID]],Table3[[#All],[PID]],0)))</f>
        <v>S</v>
      </c>
      <c r="I1128" s="54" t="str">
        <f>IF($C1128="B",INDEX(Batters[[#All],[T]],MATCH(Table5[[#This Row],[PID]],Batters[[#All],[PID]],0)),INDEX(Table3[[#All],[T]],MATCH(Table5[[#This Row],[PID]],Table3[[#All],[PID]],0)))</f>
        <v>R</v>
      </c>
      <c r="J1128" s="54" t="str">
        <f>IF($C1128="B",INDEX(Batters[[#All],[WE]],MATCH(Table5[[#This Row],[PID]],Batters[[#All],[PID]],0)),INDEX(Table3[[#All],[WE]],MATCH(Table5[[#This Row],[PID]],Table3[[#All],[PID]],0)))</f>
        <v>Normal</v>
      </c>
      <c r="K1128" s="54" t="str">
        <f>IF($C1128="B",INDEX(Batters[[#All],[INT]],MATCH(Table5[[#This Row],[PID]],Batters[[#All],[PID]],0)),INDEX(Table3[[#All],[INT]],MATCH(Table5[[#This Row],[PID]],Table3[[#All],[PID]],0)))</f>
        <v>Normal</v>
      </c>
      <c r="L1128" s="62">
        <f>IF($C1128="B",INDEX(Batters[[#All],[CON P]],MATCH(Table5[[#This Row],[PID]],Batters[[#All],[PID]],0)),INDEX(Table3[[#All],[STU P]],MATCH(Table5[[#This Row],[PID]],Table3[[#All],[PID]],0)))</f>
        <v>4</v>
      </c>
      <c r="M1128" s="58">
        <f>IF($C1128="B",INDEX(Batters[[#All],[GAP P]],MATCH(Table5[[#This Row],[PID]],Batters[[#All],[PID]],0)),INDEX(Table3[[#All],[MOV P]],MATCH(Table5[[#This Row],[PID]],Table3[[#All],[PID]],0)))</f>
        <v>2</v>
      </c>
      <c r="N1128" s="58">
        <f>IF($C1128="B",INDEX(Batters[[#All],[POW P]],MATCH(Table5[[#This Row],[PID]],Batters[[#All],[PID]],0)),INDEX(Table3[[#All],[CON P]],MATCH(Table5[[#This Row],[PID]],Table3[[#All],[PID]],0)))</f>
        <v>1</v>
      </c>
      <c r="O1128" s="58" t="str">
        <f>IF($C1128="B",INDEX(Batters[[#All],[EYE P]],MATCH(Table5[[#This Row],[PID]],Batters[[#All],[PID]],0)),INDEX(Table3[[#All],[VELO]],MATCH(Table5[[#This Row],[PID]],Table3[[#All],[PID]],0)))</f>
        <v>91-93 Mph</v>
      </c>
      <c r="P1128" s="58">
        <f>IF($C1128="B",INDEX(Batters[[#All],[K P]],MATCH(Table5[[#This Row],[PID]],Batters[[#All],[PID]],0)),INDEX(Table3[[#All],[STM]],MATCH(Table5[[#This Row],[PID]],Table3[[#All],[PID]],0)))</f>
        <v>3</v>
      </c>
      <c r="Q1128" s="63">
        <f>IF($C1128="B",INDEX(Batters[[#All],[Tot]],MATCH(Table5[[#This Row],[PID]],Batters[[#All],[PID]],0)),INDEX(Table3[[#All],[Tot]],MATCH(Table5[[#This Row],[PID]],Table3[[#All],[PID]],0)))</f>
        <v>18.40750854991359</v>
      </c>
      <c r="R1128" s="54">
        <f>IF($C1128="B",INDEX(Batters[[#All],[zScore]],MATCH(Table5[[#This Row],[PID]],Batters[[#All],[PID]],0)),INDEX(Table3[[#All],[zScore]],MATCH(Table5[[#This Row],[PID]],Table3[[#All],[PID]],0)))</f>
        <v>-1.3127230517848303</v>
      </c>
      <c r="S1128" s="60" t="str">
        <f>IF($C1128="B",INDEX(Batters[[#All],[DEM]],MATCH(Table5[[#This Row],[PID]],Batters[[#All],[PID]],0)),INDEX(Table3[[#All],[DEM]],MATCH(Table5[[#This Row],[PID]],Table3[[#All],[PID]],0)))</f>
        <v>-</v>
      </c>
      <c r="T1128" s="64" t="e">
        <f>IF($C1128="B",VLOOKUP($A1128,Bat!$A$4:$AU$1417,46,FALSE),VLOOKUP($A1128,Pit!$A$4:$BD$570,55,FALSE))</f>
        <v>#N/A</v>
      </c>
      <c r="U1128" s="52" t="e">
        <f>IF($C1128="B",VLOOKUP($A1128,Bat!$A$4:$BA$1417,47,FALSE),VLOOKUP($A1128,Pit!$A$4:$BF$570,56,FALSE))</f>
        <v>#N/A</v>
      </c>
      <c r="V1128" s="52" t="e">
        <f>IF($C1128="B",VLOOKUP($A1128,Bat!$A$4:$BA$1417,48,FALSE),VLOOKUP($A1128,Pit!$A$4:$BF$570,57,FALSE))</f>
        <v>#N/A</v>
      </c>
      <c r="W1128" s="52" t="e">
        <f>Table5[[#This Row],[posRnk]]+Table5[[#This Row],[zRnk]]+IF($W$3&lt;&gt;Table5[[#This Row],[Type]],50,0)</f>
        <v>#N/A</v>
      </c>
      <c r="X1128" s="53">
        <f>RANK(Table5[[#This Row],[zScore]],Table5[[#All],[zScore]])</f>
        <v>1124</v>
      </c>
      <c r="Y1128" s="52" t="str">
        <f>IFERROR(INDEX(DraftResults[[#All],[OVR]],MATCH(Table5[[#This Row],[PID]],DraftResults[[#All],[Player ID]],0)),"")</f>
        <v/>
      </c>
      <c r="Z11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8" s="52" t="str">
        <f>IFERROR(INDEX(DraftResults[[#All],[Pick in Round]],MATCH(Table5[[#This Row],[PID]],DraftResults[[#All],[Player ID]],0)),"")</f>
        <v/>
      </c>
      <c r="AB1128" s="52" t="str">
        <f>IFERROR(INDEX(DraftResults[[#All],[Team Name]],MATCH(Table5[[#This Row],[PID]],DraftResults[[#All],[Player ID]],0)),"")</f>
        <v/>
      </c>
      <c r="AC1128" s="52" t="str">
        <f>IF(Table5[[#This Row],[Ovr]]="","",IF(Table5[[#This Row],[cmbList]]="","",Table5[[#This Row],[cmbList]]-Table5[[#This Row],[Ovr]]))</f>
        <v/>
      </c>
      <c r="AD1128" s="56" t="str">
        <f>IF(ISERROR(VLOOKUP($AB1128&amp;"-"&amp;$E1128&amp;" "&amp;F1128,Bonuses!$B$1:$G$1006,4,FALSE)),"",INT(VLOOKUP($AB1128&amp;"-"&amp;$E1128&amp;" "&amp;$F1128,Bonuses!$B$1:$G$1006,4,FALSE)))</f>
        <v/>
      </c>
      <c r="AE11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9" spans="1:31" s="52" customFormat="1" x14ac:dyDescent="0.25">
      <c r="A1129" s="52">
        <v>6402</v>
      </c>
      <c r="B1129" s="52">
        <f>COUNTIF(Table5[PID],A1129)</f>
        <v>1</v>
      </c>
      <c r="C1129" s="52" t="str">
        <f>IF(COUNTIF(Table3[[#All],[PID]],A1129)&gt;0,"P","B")</f>
        <v>P</v>
      </c>
      <c r="D1129" s="61" t="str">
        <f>IF($C1129="B",INDEX(Batters[[#All],[POS]],MATCH(Table5[[#This Row],[PID]],Batters[[#All],[PID]],0)),INDEX(Table3[[#All],[POS]],MATCH(Table5[[#This Row],[PID]],Table3[[#All],[PID]],0)))</f>
        <v>RP</v>
      </c>
      <c r="E1129" s="54" t="str">
        <f>IF($C1129="B",INDEX(Batters[[#All],[First]],MATCH(Table5[[#This Row],[PID]],Batters[[#All],[PID]],0)),INDEX(Table3[[#All],[First]],MATCH(Table5[[#This Row],[PID]],Table3[[#All],[PID]],0)))</f>
        <v>Esteban</v>
      </c>
      <c r="F1129" s="52" t="str">
        <f>IF($C1129="B",INDEX(Batters[[#All],[Last]],MATCH(A1129,Batters[[#All],[PID]],0)),INDEX(Table3[[#All],[Last]],MATCH(A1129,Table3[[#All],[PID]],0)))</f>
        <v>Barrera</v>
      </c>
      <c r="G1129" s="58">
        <f>IF($C1129="B",INDEX(Batters[[#All],[Age]],MATCH(Table5[[#This Row],[PID]],Batters[[#All],[PID]],0)),INDEX(Table3[[#All],[Age]],MATCH(Table5[[#This Row],[PID]],Table3[[#All],[PID]],0)))</f>
        <v>21</v>
      </c>
      <c r="H1129" s="54" t="str">
        <f>IF($C1129="B",INDEX(Batters[[#All],[B]],MATCH(Table5[[#This Row],[PID]],Batters[[#All],[PID]],0)),INDEX(Table3[[#All],[B]],MATCH(Table5[[#This Row],[PID]],Table3[[#All],[PID]],0)))</f>
        <v>R</v>
      </c>
      <c r="I1129" s="54" t="str">
        <f>IF($C1129="B",INDEX(Batters[[#All],[T]],MATCH(Table5[[#This Row],[PID]],Batters[[#All],[PID]],0)),INDEX(Table3[[#All],[T]],MATCH(Table5[[#This Row],[PID]],Table3[[#All],[PID]],0)))</f>
        <v>R</v>
      </c>
      <c r="J1129" s="54" t="str">
        <f>IF($C1129="B",INDEX(Batters[[#All],[WE]],MATCH(Table5[[#This Row],[PID]],Batters[[#All],[PID]],0)),INDEX(Table3[[#All],[WE]],MATCH(Table5[[#This Row],[PID]],Table3[[#All],[PID]],0)))</f>
        <v>Low</v>
      </c>
      <c r="K1129" s="54" t="str">
        <f>IF($C1129="B",INDEX(Batters[[#All],[INT]],MATCH(Table5[[#This Row],[PID]],Batters[[#All],[PID]],0)),INDEX(Table3[[#All],[INT]],MATCH(Table5[[#This Row],[PID]],Table3[[#All],[PID]],0)))</f>
        <v>Normal</v>
      </c>
      <c r="L1129" s="62">
        <f>IF($C1129="B",INDEX(Batters[[#All],[CON P]],MATCH(Table5[[#This Row],[PID]],Batters[[#All],[PID]],0)),INDEX(Table3[[#All],[STU P]],MATCH(Table5[[#This Row],[PID]],Table3[[#All],[PID]],0)))</f>
        <v>4</v>
      </c>
      <c r="M1129" s="58">
        <f>IF($C1129="B",INDEX(Batters[[#All],[GAP P]],MATCH(Table5[[#This Row],[PID]],Batters[[#All],[PID]],0)),INDEX(Table3[[#All],[MOV P]],MATCH(Table5[[#This Row],[PID]],Table3[[#All],[PID]],0)))</f>
        <v>1</v>
      </c>
      <c r="N1129" s="58">
        <f>IF($C1129="B",INDEX(Batters[[#All],[POW P]],MATCH(Table5[[#This Row],[PID]],Batters[[#All],[PID]],0)),INDEX(Table3[[#All],[CON P]],MATCH(Table5[[#This Row],[PID]],Table3[[#All],[PID]],0)))</f>
        <v>2</v>
      </c>
      <c r="O1129" s="58" t="str">
        <f>IF($C1129="B",INDEX(Batters[[#All],[EYE P]],MATCH(Table5[[#This Row],[PID]],Batters[[#All],[PID]],0)),INDEX(Table3[[#All],[VELO]],MATCH(Table5[[#This Row],[PID]],Table3[[#All],[PID]],0)))</f>
        <v>91-93 Mph</v>
      </c>
      <c r="P1129" s="58">
        <f>IF($C1129="B",INDEX(Batters[[#All],[K P]],MATCH(Table5[[#This Row],[PID]],Batters[[#All],[PID]],0)),INDEX(Table3[[#All],[STM]],MATCH(Table5[[#This Row],[PID]],Table3[[#All],[PID]],0)))</f>
        <v>2</v>
      </c>
      <c r="Q1129" s="63">
        <f>IF($C1129="B",INDEX(Batters[[#All],[Tot]],MATCH(Table5[[#This Row],[PID]],Batters[[#All],[PID]],0)),INDEX(Table3[[#All],[Tot]],MATCH(Table5[[#This Row],[PID]],Table3[[#All],[PID]],0)))</f>
        <v>18.373396692770626</v>
      </c>
      <c r="R1129" s="54">
        <f>IF($C1129="B",INDEX(Batters[[#All],[zScore]],MATCH(Table5[[#This Row],[PID]],Batters[[#All],[PID]],0)),INDEX(Table3[[#All],[zScore]],MATCH(Table5[[#This Row],[PID]],Table3[[#All],[PID]],0)))</f>
        <v>-1.3158512548819816</v>
      </c>
      <c r="S1129" s="60" t="str">
        <f>IF($C1129="B",INDEX(Batters[[#All],[DEM]],MATCH(Table5[[#This Row],[PID]],Batters[[#All],[PID]],0)),INDEX(Table3[[#All],[DEM]],MATCH(Table5[[#This Row],[PID]],Table3[[#All],[PID]],0)))</f>
        <v>-</v>
      </c>
      <c r="T1129" s="64" t="e">
        <f>IF($C1129="B",VLOOKUP($A1129,Bat!$A$4:$AU$1417,46,FALSE),VLOOKUP($A1129,Pit!$A$4:$BD$570,55,FALSE))</f>
        <v>#N/A</v>
      </c>
      <c r="U1129" s="52" t="e">
        <f>IF($C1129="B",VLOOKUP($A1129,Bat!$A$4:$BA$1417,47,FALSE),VLOOKUP($A1129,Pit!$A$4:$BF$570,56,FALSE))</f>
        <v>#N/A</v>
      </c>
      <c r="V1129" s="52" t="e">
        <f>IF($C1129="B",VLOOKUP($A1129,Bat!$A$4:$BA$1417,48,FALSE),VLOOKUP($A1129,Pit!$A$4:$BF$570,57,FALSE))</f>
        <v>#N/A</v>
      </c>
      <c r="W1129" s="52" t="e">
        <f>Table5[[#This Row],[posRnk]]+Table5[[#This Row],[zRnk]]+IF($W$3&lt;&gt;Table5[[#This Row],[Type]],50,0)</f>
        <v>#N/A</v>
      </c>
      <c r="X1129" s="53">
        <f>RANK(Table5[[#This Row],[zScore]],Table5[[#All],[zScore]])</f>
        <v>1125</v>
      </c>
      <c r="Y1129" s="52" t="str">
        <f>IFERROR(INDEX(DraftResults[[#All],[OVR]],MATCH(Table5[[#This Row],[PID]],DraftResults[[#All],[Player ID]],0)),"")</f>
        <v/>
      </c>
      <c r="Z11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9" s="52" t="str">
        <f>IFERROR(INDEX(DraftResults[[#All],[Pick in Round]],MATCH(Table5[[#This Row],[PID]],DraftResults[[#All],[Player ID]],0)),"")</f>
        <v/>
      </c>
      <c r="AB1129" s="52" t="str">
        <f>IFERROR(INDEX(DraftResults[[#All],[Team Name]],MATCH(Table5[[#This Row],[PID]],DraftResults[[#All],[Player ID]],0)),"")</f>
        <v/>
      </c>
      <c r="AC1129" s="52" t="str">
        <f>IF(Table5[[#This Row],[Ovr]]="","",IF(Table5[[#This Row],[cmbList]]="","",Table5[[#This Row],[cmbList]]-Table5[[#This Row],[Ovr]]))</f>
        <v/>
      </c>
      <c r="AD1129" s="56" t="str">
        <f>IF(ISERROR(VLOOKUP($AB1129&amp;"-"&amp;$E1129&amp;" "&amp;F1129,Bonuses!$B$1:$G$1006,4,FALSE)),"",INT(VLOOKUP($AB1129&amp;"-"&amp;$E1129&amp;" "&amp;$F1129,Bonuses!$B$1:$G$1006,4,FALSE)))</f>
        <v/>
      </c>
      <c r="AE11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0" spans="1:31" s="52" customFormat="1" x14ac:dyDescent="0.25">
      <c r="A1130" s="52">
        <v>17989</v>
      </c>
      <c r="B1130" s="57">
        <f>COUNTIF(Table5[PID],A1130)</f>
        <v>1</v>
      </c>
      <c r="C1130" s="57" t="str">
        <f>IF(COUNTIF(Table3[[#All],[PID]],A1130)&gt;0,"P","B")</f>
        <v>B</v>
      </c>
      <c r="D1130" s="61" t="str">
        <f>IF($C1130="B",INDEX(Batters[[#All],[POS]],MATCH(Table5[[#This Row],[PID]],Batters[[#All],[PID]],0)),INDEX(Table3[[#All],[POS]],MATCH(Table5[[#This Row],[PID]],Table3[[#All],[PID]],0)))</f>
        <v>RF</v>
      </c>
      <c r="E1130" s="54" t="str">
        <f>IF($C1130="B",INDEX(Batters[[#All],[First]],MATCH(Table5[[#This Row],[PID]],Batters[[#All],[PID]],0)),INDEX(Table3[[#All],[First]],MATCH(Table5[[#This Row],[PID]],Table3[[#All],[PID]],0)))</f>
        <v>Rob</v>
      </c>
      <c r="F1130" s="52" t="str">
        <f>IF($C1130="B",INDEX(Batters[[#All],[Last]],MATCH(A1130,Batters[[#All],[PID]],0)),INDEX(Table3[[#All],[Last]],MATCH(A1130,Table3[[#All],[PID]],0)))</f>
        <v>Dale</v>
      </c>
      <c r="G1130" s="58">
        <f>IF($C1130="B",INDEX(Batters[[#All],[Age]],MATCH(Table5[[#This Row],[PID]],Batters[[#All],[PID]],0)),INDEX(Table3[[#All],[Age]],MATCH(Table5[[#This Row],[PID]],Table3[[#All],[PID]],0)))</f>
        <v>20</v>
      </c>
      <c r="H1130" s="54" t="str">
        <f>IF($C1130="B",INDEX(Batters[[#All],[B]],MATCH(Table5[[#This Row],[PID]],Batters[[#All],[PID]],0)),INDEX(Table3[[#All],[B]],MATCH(Table5[[#This Row],[PID]],Table3[[#All],[PID]],0)))</f>
        <v>R</v>
      </c>
      <c r="I1130" s="54" t="str">
        <f>IF($C1130="B",INDEX(Batters[[#All],[T]],MATCH(Table5[[#This Row],[PID]],Batters[[#All],[PID]],0)),INDEX(Table3[[#All],[T]],MATCH(Table5[[#This Row],[PID]],Table3[[#All],[PID]],0)))</f>
        <v>R</v>
      </c>
      <c r="J1130" s="54" t="str">
        <f>IF($C1130="B",INDEX(Batters[[#All],[WE]],MATCH(Table5[[#This Row],[PID]],Batters[[#All],[PID]],0)),INDEX(Table3[[#All],[WE]],MATCH(Table5[[#This Row],[PID]],Table3[[#All],[PID]],0)))</f>
        <v>High</v>
      </c>
      <c r="K1130" s="54" t="str">
        <f>IF($C1130="B",INDEX(Batters[[#All],[INT]],MATCH(Table5[[#This Row],[PID]],Batters[[#All],[PID]],0)),INDEX(Table3[[#All],[INT]],MATCH(Table5[[#This Row],[PID]],Table3[[#All],[PID]],0)))</f>
        <v>Normal</v>
      </c>
      <c r="L1130" s="62">
        <f>IF($C1130="B",INDEX(Batters[[#All],[CON P]],MATCH(Table5[[#This Row],[PID]],Batters[[#All],[PID]],0)),INDEX(Table3[[#All],[STU P]],MATCH(Table5[[#This Row],[PID]],Table3[[#All],[PID]],0)))</f>
        <v>2</v>
      </c>
      <c r="M1130" s="58">
        <f>IF($C1130="B",INDEX(Batters[[#All],[GAP P]],MATCH(Table5[[#This Row],[PID]],Batters[[#All],[PID]],0)),INDEX(Table3[[#All],[MOV P]],MATCH(Table5[[#This Row],[PID]],Table3[[#All],[PID]],0)))</f>
        <v>5</v>
      </c>
      <c r="N1130" s="58">
        <f>IF($C1130="B",INDEX(Batters[[#All],[POW P]],MATCH(Table5[[#This Row],[PID]],Batters[[#All],[PID]],0)),INDEX(Table3[[#All],[CON P]],MATCH(Table5[[#This Row],[PID]],Table3[[#All],[PID]],0)))</f>
        <v>4</v>
      </c>
      <c r="O1130" s="58">
        <f>IF($C1130="B",INDEX(Batters[[#All],[EYE P]],MATCH(Table5[[#This Row],[PID]],Batters[[#All],[PID]],0)),INDEX(Table3[[#All],[VELO]],MATCH(Table5[[#This Row],[PID]],Table3[[#All],[PID]],0)))</f>
        <v>4</v>
      </c>
      <c r="P1130" s="58">
        <f>IF($C1130="B",INDEX(Batters[[#All],[K P]],MATCH(Table5[[#This Row],[PID]],Batters[[#All],[PID]],0)),INDEX(Table3[[#All],[STM]],MATCH(Table5[[#This Row],[PID]],Table3[[#All],[PID]],0)))</f>
        <v>1</v>
      </c>
      <c r="Q1130" s="63">
        <f>IF($C1130="B",INDEX(Batters[[#All],[Tot]],MATCH(Table5[[#This Row],[PID]],Batters[[#All],[PID]],0)),INDEX(Table3[[#All],[Tot]],MATCH(Table5[[#This Row],[PID]],Table3[[#All],[PID]],0)))</f>
        <v>32.85915944578587</v>
      </c>
      <c r="R1130" s="54">
        <f>IF($C1130="B",INDEX(Batters[[#All],[zScore]],MATCH(Table5[[#This Row],[PID]],Batters[[#All],[PID]],0)),INDEX(Table3[[#All],[zScore]],MATCH(Table5[[#This Row],[PID]],Table3[[#All],[PID]],0)))</f>
        <v>-1.3176552434327817</v>
      </c>
      <c r="S1130" s="60" t="str">
        <f>IF($C1130="B",INDEX(Batters[[#All],[DEM]],MATCH(Table5[[#This Row],[PID]],Batters[[#All],[PID]],0)),INDEX(Table3[[#All],[DEM]],MATCH(Table5[[#This Row],[PID]],Table3[[#All],[PID]],0)))</f>
        <v>-</v>
      </c>
      <c r="T1130" s="64">
        <f>IF($C1130="B",VLOOKUP($A1130,Bat!$A$4:$AU$1417,46,FALSE),VLOOKUP($A1130,Pit!$A$4:$BD$570,55,FALSE))</f>
        <v>0</v>
      </c>
      <c r="U1130" s="52">
        <f>IF($C1130="B",VLOOKUP($A1130,Bat!$A$4:$BA$1417,47,FALSE),VLOOKUP($A1130,Pit!$A$4:$BF$570,56,FALSE))</f>
        <v>0</v>
      </c>
      <c r="V1130" s="52">
        <f>IF($C1130="B",VLOOKUP($A1130,Bat!$A$4:$BA$1417,48,FALSE),VLOOKUP($A1130,Pit!$A$4:$BF$570,57,FALSE))</f>
        <v>0</v>
      </c>
      <c r="W1130" s="52">
        <f>Table5[[#This Row],[posRnk]]+Table5[[#This Row],[zRnk]]+IF($W$3&lt;&gt;Table5[[#This Row],[Type]],50,0)</f>
        <v>1176</v>
      </c>
      <c r="X1130" s="53">
        <f>RANK(Table5[[#This Row],[zScore]],Table5[[#All],[zScore]])</f>
        <v>1126</v>
      </c>
      <c r="Y1130" s="52" t="str">
        <f>IFERROR(INDEX(DraftResults[[#All],[OVR]],MATCH(Table5[[#This Row],[PID]],DraftResults[[#All],[Player ID]],0)),"")</f>
        <v/>
      </c>
      <c r="Z11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0" s="52" t="str">
        <f>IFERROR(INDEX(DraftResults[[#All],[Pick in Round]],MATCH(Table5[[#This Row],[PID]],DraftResults[[#All],[Player ID]],0)),"")</f>
        <v/>
      </c>
      <c r="AB1130" s="52" t="str">
        <f>IFERROR(INDEX(DraftResults[[#All],[Team Name]],MATCH(Table5[[#This Row],[PID]],DraftResults[[#All],[Player ID]],0)),"")</f>
        <v/>
      </c>
      <c r="AC1130" s="52" t="str">
        <f>IF(Table5[[#This Row],[Ovr]]="","",IF(Table5[[#This Row],[cmbList]]="","",Table5[[#This Row],[cmbList]]-Table5[[#This Row],[Ovr]]))</f>
        <v/>
      </c>
      <c r="AD1130" s="56" t="str">
        <f>IF(ISERROR(VLOOKUP($AB1130&amp;"-"&amp;$E1130&amp;" "&amp;F1130,Bonuses!$B$1:$G$1006,4,FALSE)),"",INT(VLOOKUP($AB1130&amp;"-"&amp;$E1130&amp;" "&amp;$F1130,Bonuses!$B$1:$G$1006,4,FALSE)))</f>
        <v/>
      </c>
      <c r="AE11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1" spans="1:31" s="52" customFormat="1" x14ac:dyDescent="0.25">
      <c r="A1131" s="52">
        <v>12967</v>
      </c>
      <c r="B1131" s="52">
        <f>COUNTIF(Table5[PID],A1131)</f>
        <v>1</v>
      </c>
      <c r="C1131" s="52" t="str">
        <f>IF(COUNTIF(Table3[[#All],[PID]],A1131)&gt;0,"P","B")</f>
        <v>B</v>
      </c>
      <c r="D1131" s="61" t="str">
        <f>IF($C1131="B",INDEX(Batters[[#All],[POS]],MATCH(Table5[[#This Row],[PID]],Batters[[#All],[PID]],0)),INDEX(Table3[[#All],[POS]],MATCH(Table5[[#This Row],[PID]],Table3[[#All],[PID]],0)))</f>
        <v>C</v>
      </c>
      <c r="E1131" s="54" t="str">
        <f>IF($C1131="B",INDEX(Batters[[#All],[First]],MATCH(Table5[[#This Row],[PID]],Batters[[#All],[PID]],0)),INDEX(Table3[[#All],[First]],MATCH(Table5[[#This Row],[PID]],Table3[[#All],[PID]],0)))</f>
        <v>Ryutaro</v>
      </c>
      <c r="F1131" s="52" t="str">
        <f>IF($C1131="B",INDEX(Batters[[#All],[Last]],MATCH(A1131,Batters[[#All],[PID]],0)),INDEX(Table3[[#All],[Last]],MATCH(A1131,Table3[[#All],[PID]],0)))</f>
        <v>Maeda</v>
      </c>
      <c r="G1131" s="58">
        <f>IF($C1131="B",INDEX(Batters[[#All],[Age]],MATCH(Table5[[#This Row],[PID]],Batters[[#All],[PID]],0)),INDEX(Table3[[#All],[Age]],MATCH(Table5[[#This Row],[PID]],Table3[[#All],[PID]],0)))</f>
        <v>20</v>
      </c>
      <c r="H1131" s="54" t="str">
        <f>IF($C1131="B",INDEX(Batters[[#All],[B]],MATCH(Table5[[#This Row],[PID]],Batters[[#All],[PID]],0)),INDEX(Table3[[#All],[B]],MATCH(Table5[[#This Row],[PID]],Table3[[#All],[PID]],0)))</f>
        <v>R</v>
      </c>
      <c r="I1131" s="54" t="str">
        <f>IF($C1131="B",INDEX(Batters[[#All],[T]],MATCH(Table5[[#This Row],[PID]],Batters[[#All],[PID]],0)),INDEX(Table3[[#All],[T]],MATCH(Table5[[#This Row],[PID]],Table3[[#All],[PID]],0)))</f>
        <v>R</v>
      </c>
      <c r="J1131" s="54" t="str">
        <f>IF($C1131="B",INDEX(Batters[[#All],[WE]],MATCH(Table5[[#This Row],[PID]],Batters[[#All],[PID]],0)),INDEX(Table3[[#All],[WE]],MATCH(Table5[[#This Row],[PID]],Table3[[#All],[PID]],0)))</f>
        <v>Low</v>
      </c>
      <c r="K1131" s="54" t="str">
        <f>IF($C1131="B",INDEX(Batters[[#All],[INT]],MATCH(Table5[[#This Row],[PID]],Batters[[#All],[PID]],0)),INDEX(Table3[[#All],[INT]],MATCH(Table5[[#This Row],[PID]],Table3[[#All],[PID]],0)))</f>
        <v>Normal</v>
      </c>
      <c r="L1131" s="62">
        <f>IF($C1131="B",INDEX(Batters[[#All],[CON P]],MATCH(Table5[[#This Row],[PID]],Batters[[#All],[PID]],0)),INDEX(Table3[[#All],[STU P]],MATCH(Table5[[#This Row],[PID]],Table3[[#All],[PID]],0)))</f>
        <v>2</v>
      </c>
      <c r="M1131" s="58">
        <f>IF($C1131="B",INDEX(Batters[[#All],[GAP P]],MATCH(Table5[[#This Row],[PID]],Batters[[#All],[PID]],0)),INDEX(Table3[[#All],[MOV P]],MATCH(Table5[[#This Row],[PID]],Table3[[#All],[PID]],0)))</f>
        <v>4</v>
      </c>
      <c r="N1131" s="58">
        <f>IF($C1131="B",INDEX(Batters[[#All],[POW P]],MATCH(Table5[[#This Row],[PID]],Batters[[#All],[PID]],0)),INDEX(Table3[[#All],[CON P]],MATCH(Table5[[#This Row],[PID]],Table3[[#All],[PID]],0)))</f>
        <v>4</v>
      </c>
      <c r="O1131" s="58">
        <f>IF($C1131="B",INDEX(Batters[[#All],[EYE P]],MATCH(Table5[[#This Row],[PID]],Batters[[#All],[PID]],0)),INDEX(Table3[[#All],[VELO]],MATCH(Table5[[#This Row],[PID]],Table3[[#All],[PID]],0)))</f>
        <v>5</v>
      </c>
      <c r="P1131" s="58">
        <f>IF($C1131="B",INDEX(Batters[[#All],[K P]],MATCH(Table5[[#This Row],[PID]],Batters[[#All],[PID]],0)),INDEX(Table3[[#All],[STM]],MATCH(Table5[[#This Row],[PID]],Table3[[#All],[PID]],0)))</f>
        <v>2</v>
      </c>
      <c r="Q1131" s="63">
        <f>IF($C1131="B",INDEX(Batters[[#All],[Tot]],MATCH(Table5[[#This Row],[PID]],Batters[[#All],[PID]],0)),INDEX(Table3[[#All],[Tot]],MATCH(Table5[[#This Row],[PID]],Table3[[#All],[PID]],0)))</f>
        <v>32.845428672684754</v>
      </c>
      <c r="R1131" s="54">
        <f>IF($C1131="B",INDEX(Batters[[#All],[zScore]],MATCH(Table5[[#This Row],[PID]],Batters[[#All],[PID]],0)),INDEX(Table3[[#All],[zScore]],MATCH(Table5[[#This Row],[PID]],Table3[[#All],[PID]],0)))</f>
        <v>-1.3200710817010395</v>
      </c>
      <c r="S1131" s="60" t="str">
        <f>IF($C1131="B",INDEX(Batters[[#All],[DEM]],MATCH(Table5[[#This Row],[PID]],Batters[[#All],[PID]],0)),INDEX(Table3[[#All],[DEM]],MATCH(Table5[[#This Row],[PID]],Table3[[#All],[PID]],0)))</f>
        <v>-</v>
      </c>
      <c r="T1131" s="64">
        <f>IF($C1131="B",VLOOKUP($A1131,Bat!$A$4:$AU$1417,46,FALSE),VLOOKUP($A1131,Pit!$A$4:$BD$570,55,FALSE))</f>
        <v>0</v>
      </c>
      <c r="U1131" s="52">
        <f>IF($C1131="B",VLOOKUP($A1131,Bat!$A$4:$BA$1417,47,FALSE),VLOOKUP($A1131,Pit!$A$4:$BF$570,56,FALSE))</f>
        <v>0</v>
      </c>
      <c r="V1131" s="52">
        <f>IF($C1131="B",VLOOKUP($A1131,Bat!$A$4:$BA$1417,48,FALSE),VLOOKUP($A1131,Pit!$A$4:$BF$570,57,FALSE))</f>
        <v>0</v>
      </c>
      <c r="W1131" s="52">
        <f>Table5[[#This Row],[posRnk]]+Table5[[#This Row],[zRnk]]+IF($W$3&lt;&gt;Table5[[#This Row],[Type]],50,0)</f>
        <v>1177</v>
      </c>
      <c r="X1131" s="53">
        <f>RANK(Table5[[#This Row],[zScore]],Table5[[#All],[zScore]])</f>
        <v>1127</v>
      </c>
      <c r="Y1131" s="52" t="str">
        <f>IFERROR(INDEX(DraftResults[[#All],[OVR]],MATCH(Table5[[#This Row],[PID]],DraftResults[[#All],[Player ID]],0)),"")</f>
        <v/>
      </c>
      <c r="Z11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1" s="52" t="str">
        <f>IFERROR(INDEX(DraftResults[[#All],[Pick in Round]],MATCH(Table5[[#This Row],[PID]],DraftResults[[#All],[Player ID]],0)),"")</f>
        <v/>
      </c>
      <c r="AB1131" s="52" t="str">
        <f>IFERROR(INDEX(DraftResults[[#All],[Team Name]],MATCH(Table5[[#This Row],[PID]],DraftResults[[#All],[Player ID]],0)),"")</f>
        <v/>
      </c>
      <c r="AC1131" s="52" t="str">
        <f>IF(Table5[[#This Row],[Ovr]]="","",IF(Table5[[#This Row],[cmbList]]="","",Table5[[#This Row],[cmbList]]-Table5[[#This Row],[Ovr]]))</f>
        <v/>
      </c>
      <c r="AD1131" s="56" t="str">
        <f>IF(ISERROR(VLOOKUP($AB1131&amp;"-"&amp;$E1131&amp;" "&amp;F1131,Bonuses!$B$1:$G$1006,4,FALSE)),"",INT(VLOOKUP($AB1131&amp;"-"&amp;$E1131&amp;" "&amp;$F1131,Bonuses!$B$1:$G$1006,4,FALSE)))</f>
        <v/>
      </c>
      <c r="AE11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2" spans="1:31" s="52" customFormat="1" x14ac:dyDescent="0.25">
      <c r="A1132" s="52">
        <v>11367</v>
      </c>
      <c r="B1132" s="52">
        <f>COUNTIF(Table5[PID],A1132)</f>
        <v>1</v>
      </c>
      <c r="C1132" s="52" t="str">
        <f>IF(COUNTIF(Table3[[#All],[PID]],A1132)&gt;0,"P","B")</f>
        <v>P</v>
      </c>
      <c r="D1132" s="61" t="str">
        <f>IF($C1132="B",INDEX(Batters[[#All],[POS]],MATCH(Table5[[#This Row],[PID]],Batters[[#All],[PID]],0)),INDEX(Table3[[#All],[POS]],MATCH(Table5[[#This Row],[PID]],Table3[[#All],[PID]],0)))</f>
        <v>RP</v>
      </c>
      <c r="E1132" s="54" t="str">
        <f>IF($C1132="B",INDEX(Batters[[#All],[First]],MATCH(Table5[[#This Row],[PID]],Batters[[#All],[PID]],0)),INDEX(Table3[[#All],[First]],MATCH(Table5[[#This Row],[PID]],Table3[[#All],[PID]],0)))</f>
        <v>Tulio</v>
      </c>
      <c r="F1132" s="52" t="str">
        <f>IF($C1132="B",INDEX(Batters[[#All],[Last]],MATCH(A1132,Batters[[#All],[PID]],0)),INDEX(Table3[[#All],[Last]],MATCH(A1132,Table3[[#All],[PID]],0)))</f>
        <v>Santana</v>
      </c>
      <c r="G1132" s="58">
        <f>IF($C1132="B",INDEX(Batters[[#All],[Age]],MATCH(Table5[[#This Row],[PID]],Batters[[#All],[PID]],0)),INDEX(Table3[[#All],[Age]],MATCH(Table5[[#This Row],[PID]],Table3[[#All],[PID]],0)))</f>
        <v>22</v>
      </c>
      <c r="H1132" s="54" t="str">
        <f>IF($C1132="B",INDEX(Batters[[#All],[B]],MATCH(Table5[[#This Row],[PID]],Batters[[#All],[PID]],0)),INDEX(Table3[[#All],[B]],MATCH(Table5[[#This Row],[PID]],Table3[[#All],[PID]],0)))</f>
        <v>L</v>
      </c>
      <c r="I1132" s="54" t="str">
        <f>IF($C1132="B",INDEX(Batters[[#All],[T]],MATCH(Table5[[#This Row],[PID]],Batters[[#All],[PID]],0)),INDEX(Table3[[#All],[T]],MATCH(Table5[[#This Row],[PID]],Table3[[#All],[PID]],0)))</f>
        <v>L</v>
      </c>
      <c r="J1132" s="54" t="str">
        <f>IF($C1132="B",INDEX(Batters[[#All],[WE]],MATCH(Table5[[#This Row],[PID]],Batters[[#All],[PID]],0)),INDEX(Table3[[#All],[WE]],MATCH(Table5[[#This Row],[PID]],Table3[[#All],[PID]],0)))</f>
        <v>Normal</v>
      </c>
      <c r="K1132" s="54" t="str">
        <f>IF($C1132="B",INDEX(Batters[[#All],[INT]],MATCH(Table5[[#This Row],[PID]],Batters[[#All],[PID]],0)),INDEX(Table3[[#All],[INT]],MATCH(Table5[[#This Row],[PID]],Table3[[#All],[PID]],0)))</f>
        <v>Normal</v>
      </c>
      <c r="L1132" s="62">
        <f>IF($C1132="B",INDEX(Batters[[#All],[CON P]],MATCH(Table5[[#This Row],[PID]],Batters[[#All],[PID]],0)),INDEX(Table3[[#All],[STU P]],MATCH(Table5[[#This Row],[PID]],Table3[[#All],[PID]],0)))</f>
        <v>4</v>
      </c>
      <c r="M1132" s="58">
        <f>IF($C1132="B",INDEX(Batters[[#All],[GAP P]],MATCH(Table5[[#This Row],[PID]],Batters[[#All],[PID]],0)),INDEX(Table3[[#All],[MOV P]],MATCH(Table5[[#This Row],[PID]],Table3[[#All],[PID]],0)))</f>
        <v>2</v>
      </c>
      <c r="N1132" s="58">
        <f>IF($C1132="B",INDEX(Batters[[#All],[POW P]],MATCH(Table5[[#This Row],[PID]],Batters[[#All],[PID]],0)),INDEX(Table3[[#All],[CON P]],MATCH(Table5[[#This Row],[PID]],Table3[[#All],[PID]],0)))</f>
        <v>2</v>
      </c>
      <c r="O1132" s="58" t="str">
        <f>IF($C1132="B",INDEX(Batters[[#All],[EYE P]],MATCH(Table5[[#This Row],[PID]],Batters[[#All],[PID]],0)),INDEX(Table3[[#All],[VELO]],MATCH(Table5[[#This Row],[PID]],Table3[[#All],[PID]],0)))</f>
        <v>90-92 Mph</v>
      </c>
      <c r="P1132" s="58">
        <f>IF($C1132="B",INDEX(Batters[[#All],[K P]],MATCH(Table5[[#This Row],[PID]],Batters[[#All],[PID]],0)),INDEX(Table3[[#All],[STM]],MATCH(Table5[[#This Row],[PID]],Table3[[#All],[PID]],0)))</f>
        <v>2</v>
      </c>
      <c r="Q1132" s="63">
        <f>IF($C1132="B",INDEX(Batters[[#All],[Tot]],MATCH(Table5[[#This Row],[PID]],Batters[[#All],[PID]],0)),INDEX(Table3[[#All],[Tot]],MATCH(Table5[[#This Row],[PID]],Table3[[#All],[PID]],0)))</f>
        <v>18.295280886956931</v>
      </c>
      <c r="R1132" s="54">
        <f>IF($C1132="B",INDEX(Batters[[#All],[zScore]],MATCH(Table5[[#This Row],[PID]],Batters[[#All],[PID]],0)),INDEX(Table3[[#All],[zScore]],MATCH(Table5[[#This Row],[PID]],Table3[[#All],[PID]],0)))</f>
        <v>-1.3230148081490687</v>
      </c>
      <c r="S1132" s="60" t="str">
        <f>IF($C1132="B",INDEX(Batters[[#All],[DEM]],MATCH(Table5[[#This Row],[PID]],Batters[[#All],[PID]],0)),INDEX(Table3[[#All],[DEM]],MATCH(Table5[[#This Row],[PID]],Table3[[#All],[PID]],0)))</f>
        <v>-</v>
      </c>
      <c r="T1132" s="64" t="e">
        <f>IF($C1132="B",VLOOKUP($A1132,Bat!$A$4:$AU$1417,46,FALSE),VLOOKUP($A1132,Pit!$A$4:$BD$570,55,FALSE))</f>
        <v>#N/A</v>
      </c>
      <c r="U1132" s="52" t="e">
        <f>IF($C1132="B",VLOOKUP($A1132,Bat!$A$4:$BA$1417,47,FALSE),VLOOKUP($A1132,Pit!$A$4:$BF$570,56,FALSE))</f>
        <v>#N/A</v>
      </c>
      <c r="V1132" s="52" t="e">
        <f>IF($C1132="B",VLOOKUP($A1132,Bat!$A$4:$BA$1417,48,FALSE),VLOOKUP($A1132,Pit!$A$4:$BF$570,57,FALSE))</f>
        <v>#N/A</v>
      </c>
      <c r="W1132" s="52" t="e">
        <f>Table5[[#This Row],[posRnk]]+Table5[[#This Row],[zRnk]]+IF($W$3&lt;&gt;Table5[[#This Row],[Type]],50,0)</f>
        <v>#N/A</v>
      </c>
      <c r="X1132" s="53">
        <f>RANK(Table5[[#This Row],[zScore]],Table5[[#All],[zScore]])</f>
        <v>1128</v>
      </c>
      <c r="Y1132" s="52" t="str">
        <f>IFERROR(INDEX(DraftResults[[#All],[OVR]],MATCH(Table5[[#This Row],[PID]],DraftResults[[#All],[Player ID]],0)),"")</f>
        <v/>
      </c>
      <c r="Z11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2" s="52" t="str">
        <f>IFERROR(INDEX(DraftResults[[#All],[Pick in Round]],MATCH(Table5[[#This Row],[PID]],DraftResults[[#All],[Player ID]],0)),"")</f>
        <v/>
      </c>
      <c r="AB1132" s="52" t="str">
        <f>IFERROR(INDEX(DraftResults[[#All],[Team Name]],MATCH(Table5[[#This Row],[PID]],DraftResults[[#All],[Player ID]],0)),"")</f>
        <v/>
      </c>
      <c r="AC1132" s="52" t="str">
        <f>IF(Table5[[#This Row],[Ovr]]="","",IF(Table5[[#This Row],[cmbList]]="","",Table5[[#This Row],[cmbList]]-Table5[[#This Row],[Ovr]]))</f>
        <v/>
      </c>
      <c r="AD1132" s="56" t="str">
        <f>IF(ISERROR(VLOOKUP($AB1132&amp;"-"&amp;$E1132&amp;" "&amp;F1132,Bonuses!$B$1:$G$1006,4,FALSE)),"",INT(VLOOKUP($AB1132&amp;"-"&amp;$E1132&amp;" "&amp;$F1132,Bonuses!$B$1:$G$1006,4,FALSE)))</f>
        <v/>
      </c>
      <c r="AE11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3" spans="1:31" s="52" customFormat="1" x14ac:dyDescent="0.25">
      <c r="A1133" s="52">
        <v>7470</v>
      </c>
      <c r="B1133" s="52">
        <f>COUNTIF(Table5[PID],A1133)</f>
        <v>1</v>
      </c>
      <c r="C1133" s="52" t="str">
        <f>IF(COUNTIF(Table3[[#All],[PID]],A1133)&gt;0,"P","B")</f>
        <v>P</v>
      </c>
      <c r="D1133" s="61" t="str">
        <f>IF($C1133="B",INDEX(Batters[[#All],[POS]],MATCH(Table5[[#This Row],[PID]],Batters[[#All],[PID]],0)),INDEX(Table3[[#All],[POS]],MATCH(Table5[[#This Row],[PID]],Table3[[#All],[PID]],0)))</f>
        <v>RP</v>
      </c>
      <c r="E1133" s="54" t="str">
        <f>IF($C1133="B",INDEX(Batters[[#All],[First]],MATCH(Table5[[#This Row],[PID]],Batters[[#All],[PID]],0)),INDEX(Table3[[#All],[First]],MATCH(Table5[[#This Row],[PID]],Table3[[#All],[PID]],0)))</f>
        <v>Juan</v>
      </c>
      <c r="F1133" s="52" t="str">
        <f>IF($C1133="B",INDEX(Batters[[#All],[Last]],MATCH(A1133,Batters[[#All],[PID]],0)),INDEX(Table3[[#All],[Last]],MATCH(A1133,Table3[[#All],[PID]],0)))</f>
        <v>Barrera</v>
      </c>
      <c r="G1133" s="58">
        <f>IF($C1133="B",INDEX(Batters[[#All],[Age]],MATCH(Table5[[#This Row],[PID]],Batters[[#All],[PID]],0)),INDEX(Table3[[#All],[Age]],MATCH(Table5[[#This Row],[PID]],Table3[[#All],[PID]],0)))</f>
        <v>18</v>
      </c>
      <c r="H1133" s="54" t="str">
        <f>IF($C1133="B",INDEX(Batters[[#All],[B]],MATCH(Table5[[#This Row],[PID]],Batters[[#All],[PID]],0)),INDEX(Table3[[#All],[B]],MATCH(Table5[[#This Row],[PID]],Table3[[#All],[PID]],0)))</f>
        <v>L</v>
      </c>
      <c r="I1133" s="54" t="str">
        <f>IF($C1133="B",INDEX(Batters[[#All],[T]],MATCH(Table5[[#This Row],[PID]],Batters[[#All],[PID]],0)),INDEX(Table3[[#All],[T]],MATCH(Table5[[#This Row],[PID]],Table3[[#All],[PID]],0)))</f>
        <v>L</v>
      </c>
      <c r="J1133" s="54" t="str">
        <f>IF($C1133="B",INDEX(Batters[[#All],[WE]],MATCH(Table5[[#This Row],[PID]],Batters[[#All],[PID]],0)),INDEX(Table3[[#All],[WE]],MATCH(Table5[[#This Row],[PID]],Table3[[#All],[PID]],0)))</f>
        <v>Normal</v>
      </c>
      <c r="K1133" s="54" t="str">
        <f>IF($C1133="B",INDEX(Batters[[#All],[INT]],MATCH(Table5[[#This Row],[PID]],Batters[[#All],[PID]],0)),INDEX(Table3[[#All],[INT]],MATCH(Table5[[#This Row],[PID]],Table3[[#All],[PID]],0)))</f>
        <v>Normal</v>
      </c>
      <c r="L1133" s="62">
        <f>IF($C1133="B",INDEX(Batters[[#All],[CON P]],MATCH(Table5[[#This Row],[PID]],Batters[[#All],[PID]],0)),INDEX(Table3[[#All],[STU P]],MATCH(Table5[[#This Row],[PID]],Table3[[#All],[PID]],0)))</f>
        <v>4</v>
      </c>
      <c r="M1133" s="58">
        <f>IF($C1133="B",INDEX(Batters[[#All],[GAP P]],MATCH(Table5[[#This Row],[PID]],Batters[[#All],[PID]],0)),INDEX(Table3[[#All],[MOV P]],MATCH(Table5[[#This Row],[PID]],Table3[[#All],[PID]],0)))</f>
        <v>1</v>
      </c>
      <c r="N1133" s="58">
        <f>IF($C1133="B",INDEX(Batters[[#All],[POW P]],MATCH(Table5[[#This Row],[PID]],Batters[[#All],[PID]],0)),INDEX(Table3[[#All],[CON P]],MATCH(Table5[[#This Row],[PID]],Table3[[#All],[PID]],0)))</f>
        <v>2</v>
      </c>
      <c r="O1133" s="58" t="str">
        <f>IF($C1133="B",INDEX(Batters[[#All],[EYE P]],MATCH(Table5[[#This Row],[PID]],Batters[[#All],[PID]],0)),INDEX(Table3[[#All],[VELO]],MATCH(Table5[[#This Row],[PID]],Table3[[#All],[PID]],0)))</f>
        <v>86-88 Mph</v>
      </c>
      <c r="P1133" s="58">
        <f>IF($C1133="B",INDEX(Batters[[#All],[K P]],MATCH(Table5[[#This Row],[PID]],Batters[[#All],[PID]],0)),INDEX(Table3[[#All],[STM]],MATCH(Table5[[#This Row],[PID]],Table3[[#All],[PID]],0)))</f>
        <v>8</v>
      </c>
      <c r="Q1133" s="63">
        <f>IF($C1133="B",INDEX(Batters[[#All],[Tot]],MATCH(Table5[[#This Row],[PID]],Batters[[#All],[PID]],0)),INDEX(Table3[[#All],[Tot]],MATCH(Table5[[#This Row],[PID]],Table3[[#All],[PID]],0)))</f>
        <v>18.274413989457138</v>
      </c>
      <c r="R1133" s="54">
        <f>IF($C1133="B",INDEX(Batters[[#All],[zScore]],MATCH(Table5[[#This Row],[PID]],Batters[[#All],[PID]],0)),INDEX(Table3[[#All],[zScore]],MATCH(Table5[[#This Row],[PID]],Table3[[#All],[PID]],0)))</f>
        <v>-1.324928391836794</v>
      </c>
      <c r="S1133" s="60" t="str">
        <f>IF($C1133="B",INDEX(Batters[[#All],[DEM]],MATCH(Table5[[#This Row],[PID]],Batters[[#All],[PID]],0)),INDEX(Table3[[#All],[DEM]],MATCH(Table5[[#This Row],[PID]],Table3[[#All],[PID]],0)))</f>
        <v>$75k</v>
      </c>
      <c r="T1133" s="64" t="e">
        <f>IF($C1133="B",VLOOKUP($A1133,Bat!$A$4:$AU$1417,46,FALSE),VLOOKUP($A1133,Pit!$A$4:$BD$570,55,FALSE))</f>
        <v>#N/A</v>
      </c>
      <c r="U1133" s="52" t="e">
        <f>IF($C1133="B",VLOOKUP($A1133,Bat!$A$4:$BA$1417,47,FALSE),VLOOKUP($A1133,Pit!$A$4:$BF$570,56,FALSE))</f>
        <v>#N/A</v>
      </c>
      <c r="V1133" s="52" t="e">
        <f>IF($C1133="B",VLOOKUP($A1133,Bat!$A$4:$BA$1417,48,FALSE),VLOOKUP($A1133,Pit!$A$4:$BF$570,57,FALSE))</f>
        <v>#N/A</v>
      </c>
      <c r="W1133" s="52" t="e">
        <f>Table5[[#This Row],[posRnk]]+Table5[[#This Row],[zRnk]]+IF($W$3&lt;&gt;Table5[[#This Row],[Type]],50,0)</f>
        <v>#N/A</v>
      </c>
      <c r="X1133" s="53">
        <f>RANK(Table5[[#This Row],[zScore]],Table5[[#All],[zScore]])</f>
        <v>1129</v>
      </c>
      <c r="Y1133" s="52" t="str">
        <f>IFERROR(INDEX(DraftResults[[#All],[OVR]],MATCH(Table5[[#This Row],[PID]],DraftResults[[#All],[Player ID]],0)),"")</f>
        <v/>
      </c>
      <c r="Z11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3" s="52" t="str">
        <f>IFERROR(INDEX(DraftResults[[#All],[Pick in Round]],MATCH(Table5[[#This Row],[PID]],DraftResults[[#All],[Player ID]],0)),"")</f>
        <v/>
      </c>
      <c r="AB1133" s="52" t="str">
        <f>IFERROR(INDEX(DraftResults[[#All],[Team Name]],MATCH(Table5[[#This Row],[PID]],DraftResults[[#All],[Player ID]],0)),"")</f>
        <v/>
      </c>
      <c r="AC1133" s="52" t="str">
        <f>IF(Table5[[#This Row],[Ovr]]="","",IF(Table5[[#This Row],[cmbList]]="","",Table5[[#This Row],[cmbList]]-Table5[[#This Row],[Ovr]]))</f>
        <v/>
      </c>
      <c r="AD1133" s="56" t="str">
        <f>IF(ISERROR(VLOOKUP($AB1133&amp;"-"&amp;$E1133&amp;" "&amp;F1133,Bonuses!$B$1:$G$1006,4,FALSE)),"",INT(VLOOKUP($AB1133&amp;"-"&amp;$E1133&amp;" "&amp;$F1133,Bonuses!$B$1:$G$1006,4,FALSE)))</f>
        <v/>
      </c>
      <c r="AE11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4" spans="1:31" s="52" customFormat="1" x14ac:dyDescent="0.25">
      <c r="A1134" s="52">
        <v>6846</v>
      </c>
      <c r="B1134" s="52">
        <f>COUNTIF(Table5[PID],A1134)</f>
        <v>1</v>
      </c>
      <c r="C1134" s="52" t="str">
        <f>IF(COUNTIF(Table3[[#All],[PID]],A1134)&gt;0,"P","B")</f>
        <v>P</v>
      </c>
      <c r="D1134" s="61" t="str">
        <f>IF($C1134="B",INDEX(Batters[[#All],[POS]],MATCH(Table5[[#This Row],[PID]],Batters[[#All],[PID]],0)),INDEX(Table3[[#All],[POS]],MATCH(Table5[[#This Row],[PID]],Table3[[#All],[PID]],0)))</f>
        <v>RP</v>
      </c>
      <c r="E1134" s="54" t="str">
        <f>IF($C1134="B",INDEX(Batters[[#All],[First]],MATCH(Table5[[#This Row],[PID]],Batters[[#All],[PID]],0)),INDEX(Table3[[#All],[First]],MATCH(Table5[[#This Row],[PID]],Table3[[#All],[PID]],0)))</f>
        <v>Reinaart</v>
      </c>
      <c r="F1134" s="52" t="str">
        <f>IF($C1134="B",INDEX(Batters[[#All],[Last]],MATCH(A1134,Batters[[#All],[PID]],0)),INDEX(Table3[[#All],[Last]],MATCH(A1134,Table3[[#All],[PID]],0)))</f>
        <v>Wuilink</v>
      </c>
      <c r="G1134" s="58">
        <f>IF($C1134="B",INDEX(Batters[[#All],[Age]],MATCH(Table5[[#This Row],[PID]],Batters[[#All],[PID]],0)),INDEX(Table3[[#All],[Age]],MATCH(Table5[[#This Row],[PID]],Table3[[#All],[PID]],0)))</f>
        <v>21</v>
      </c>
      <c r="H1134" s="54" t="str">
        <f>IF($C1134="B",INDEX(Batters[[#All],[B]],MATCH(Table5[[#This Row],[PID]],Batters[[#All],[PID]],0)),INDEX(Table3[[#All],[B]],MATCH(Table5[[#This Row],[PID]],Table3[[#All],[PID]],0)))</f>
        <v>L</v>
      </c>
      <c r="I1134" s="54" t="str">
        <f>IF($C1134="B",INDEX(Batters[[#All],[T]],MATCH(Table5[[#This Row],[PID]],Batters[[#All],[PID]],0)),INDEX(Table3[[#All],[T]],MATCH(Table5[[#This Row],[PID]],Table3[[#All],[PID]],0)))</f>
        <v>L</v>
      </c>
      <c r="J1134" s="54" t="str">
        <f>IF($C1134="B",INDEX(Batters[[#All],[WE]],MATCH(Table5[[#This Row],[PID]],Batters[[#All],[PID]],0)),INDEX(Table3[[#All],[WE]],MATCH(Table5[[#This Row],[PID]],Table3[[#All],[PID]],0)))</f>
        <v>Low</v>
      </c>
      <c r="K1134" s="54" t="str">
        <f>IF($C1134="B",INDEX(Batters[[#All],[INT]],MATCH(Table5[[#This Row],[PID]],Batters[[#All],[PID]],0)),INDEX(Table3[[#All],[INT]],MATCH(Table5[[#This Row],[PID]],Table3[[#All],[PID]],0)))</f>
        <v>Normal</v>
      </c>
      <c r="L1134" s="62">
        <f>IF($C1134="B",INDEX(Batters[[#All],[CON P]],MATCH(Table5[[#This Row],[PID]],Batters[[#All],[PID]],0)),INDEX(Table3[[#All],[STU P]],MATCH(Table5[[#This Row],[PID]],Table3[[#All],[PID]],0)))</f>
        <v>3</v>
      </c>
      <c r="M1134" s="58">
        <f>IF($C1134="B",INDEX(Batters[[#All],[GAP P]],MATCH(Table5[[#This Row],[PID]],Batters[[#All],[PID]],0)),INDEX(Table3[[#All],[MOV P]],MATCH(Table5[[#This Row],[PID]],Table3[[#All],[PID]],0)))</f>
        <v>1</v>
      </c>
      <c r="N1134" s="58">
        <f>IF($C1134="B",INDEX(Batters[[#All],[POW P]],MATCH(Table5[[#This Row],[PID]],Batters[[#All],[PID]],0)),INDEX(Table3[[#All],[CON P]],MATCH(Table5[[#This Row],[PID]],Table3[[#All],[PID]],0)))</f>
        <v>2</v>
      </c>
      <c r="O1134" s="58" t="str">
        <f>IF($C1134="B",INDEX(Batters[[#All],[EYE P]],MATCH(Table5[[#This Row],[PID]],Batters[[#All],[PID]],0)),INDEX(Table3[[#All],[VELO]],MATCH(Table5[[#This Row],[PID]],Table3[[#All],[PID]],0)))</f>
        <v>88-90 Mph</v>
      </c>
      <c r="P1134" s="58">
        <f>IF($C1134="B",INDEX(Batters[[#All],[K P]],MATCH(Table5[[#This Row],[PID]],Batters[[#All],[PID]],0)),INDEX(Table3[[#All],[STM]],MATCH(Table5[[#This Row],[PID]],Table3[[#All],[PID]],0)))</f>
        <v>9</v>
      </c>
      <c r="Q1134" s="63">
        <f>IF($C1134="B",INDEX(Batters[[#All],[Tot]],MATCH(Table5[[#This Row],[PID]],Batters[[#All],[PID]],0)),INDEX(Table3[[#All],[Tot]],MATCH(Table5[[#This Row],[PID]],Table3[[#All],[PID]],0)))</f>
        <v>15.261380087357754</v>
      </c>
      <c r="R1134" s="54">
        <f>IF($C1134="B",INDEX(Batters[[#All],[zScore]],MATCH(Table5[[#This Row],[PID]],Batters[[#All],[PID]],0)),INDEX(Table3[[#All],[zScore]],MATCH(Table5[[#This Row],[PID]],Table3[[#All],[PID]],0)))</f>
        <v>-1.3263712744308451</v>
      </c>
      <c r="S1134" s="60" t="str">
        <f>IF($C1134="B",INDEX(Batters[[#All],[DEM]],MATCH(Table5[[#This Row],[PID]],Batters[[#All],[PID]],0)),INDEX(Table3[[#All],[DEM]],MATCH(Table5[[#This Row],[PID]],Table3[[#All],[PID]],0)))</f>
        <v>$20k</v>
      </c>
      <c r="T1134" s="64" t="e">
        <f>IF($C1134="B",VLOOKUP($A1134,Bat!$A$4:$AU$1417,46,FALSE),VLOOKUP($A1134,Pit!$A$4:$BD$570,55,FALSE))</f>
        <v>#N/A</v>
      </c>
      <c r="U1134" s="52" t="e">
        <f>IF($C1134="B",VLOOKUP($A1134,Bat!$A$4:$BA$1417,47,FALSE),VLOOKUP($A1134,Pit!$A$4:$BF$570,56,FALSE))</f>
        <v>#N/A</v>
      </c>
      <c r="V1134" s="52" t="e">
        <f>IF($C1134="B",VLOOKUP($A1134,Bat!$A$4:$BA$1417,48,FALSE),VLOOKUP($A1134,Pit!$A$4:$BF$570,57,FALSE))</f>
        <v>#N/A</v>
      </c>
      <c r="W1134" s="52" t="e">
        <f>Table5[[#This Row],[posRnk]]+Table5[[#This Row],[zRnk]]+IF($W$3&lt;&gt;Table5[[#This Row],[Type]],50,0)</f>
        <v>#N/A</v>
      </c>
      <c r="X1134" s="53">
        <f>RANK(Table5[[#This Row],[zScore]],Table5[[#All],[zScore]])</f>
        <v>1130</v>
      </c>
      <c r="Y1134" s="52" t="str">
        <f>IFERROR(INDEX(DraftResults[[#All],[OVR]],MATCH(Table5[[#This Row],[PID]],DraftResults[[#All],[Player ID]],0)),"")</f>
        <v/>
      </c>
      <c r="Z11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4" s="52" t="str">
        <f>IFERROR(INDEX(DraftResults[[#All],[Pick in Round]],MATCH(Table5[[#This Row],[PID]],DraftResults[[#All],[Player ID]],0)),"")</f>
        <v/>
      </c>
      <c r="AB1134" s="52" t="str">
        <f>IFERROR(INDEX(DraftResults[[#All],[Team Name]],MATCH(Table5[[#This Row],[PID]],DraftResults[[#All],[Player ID]],0)),"")</f>
        <v/>
      </c>
      <c r="AC1134" s="52" t="str">
        <f>IF(Table5[[#This Row],[Ovr]]="","",IF(Table5[[#This Row],[cmbList]]="","",Table5[[#This Row],[cmbList]]-Table5[[#This Row],[Ovr]]))</f>
        <v/>
      </c>
      <c r="AD1134" s="56" t="str">
        <f>IF(ISERROR(VLOOKUP($AB1134&amp;"-"&amp;$E1134&amp;" "&amp;F1134,Bonuses!$B$1:$G$1006,4,FALSE)),"",INT(VLOOKUP($AB1134&amp;"-"&amp;$E1134&amp;" "&amp;$F1134,Bonuses!$B$1:$G$1006,4,FALSE)))</f>
        <v/>
      </c>
      <c r="AE11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5" spans="1:31" s="52" customFormat="1" x14ac:dyDescent="0.25">
      <c r="A1135" s="52">
        <v>12628</v>
      </c>
      <c r="B1135" s="52">
        <f>COUNTIF(Table5[PID],A1135)</f>
        <v>1</v>
      </c>
      <c r="C1135" s="52" t="str">
        <f>IF(COUNTIF(Table3[[#All],[PID]],A1135)&gt;0,"P","B")</f>
        <v>P</v>
      </c>
      <c r="D1135" s="61" t="str">
        <f>IF($C1135="B",INDEX(Batters[[#All],[POS]],MATCH(Table5[[#This Row],[PID]],Batters[[#All],[PID]],0)),INDEX(Table3[[#All],[POS]],MATCH(Table5[[#This Row],[PID]],Table3[[#All],[PID]],0)))</f>
        <v>RP</v>
      </c>
      <c r="E1135" s="54" t="str">
        <f>IF($C1135="B",INDEX(Batters[[#All],[First]],MATCH(Table5[[#This Row],[PID]],Batters[[#All],[PID]],0)),INDEX(Table3[[#All],[First]],MATCH(Table5[[#This Row],[PID]],Table3[[#All],[PID]],0)))</f>
        <v>Rafael</v>
      </c>
      <c r="F1135" s="52" t="str">
        <f>IF($C1135="B",INDEX(Batters[[#All],[Last]],MATCH(A1135,Batters[[#All],[PID]],0)),INDEX(Table3[[#All],[Last]],MATCH(A1135,Table3[[#All],[PID]],0)))</f>
        <v>Rivera</v>
      </c>
      <c r="G1135" s="58">
        <f>IF($C1135="B",INDEX(Batters[[#All],[Age]],MATCH(Table5[[#This Row],[PID]],Batters[[#All],[PID]],0)),INDEX(Table3[[#All],[Age]],MATCH(Table5[[#This Row],[PID]],Table3[[#All],[PID]],0)))</f>
        <v>21</v>
      </c>
      <c r="H1135" s="54" t="str">
        <f>IF($C1135="B",INDEX(Batters[[#All],[B]],MATCH(Table5[[#This Row],[PID]],Batters[[#All],[PID]],0)),INDEX(Table3[[#All],[B]],MATCH(Table5[[#This Row],[PID]],Table3[[#All],[PID]],0)))</f>
        <v>R</v>
      </c>
      <c r="I1135" s="54" t="str">
        <f>IF($C1135="B",INDEX(Batters[[#All],[T]],MATCH(Table5[[#This Row],[PID]],Batters[[#All],[PID]],0)),INDEX(Table3[[#All],[T]],MATCH(Table5[[#This Row],[PID]],Table3[[#All],[PID]],0)))</f>
        <v>R</v>
      </c>
      <c r="J1135" s="54" t="str">
        <f>IF($C1135="B",INDEX(Batters[[#All],[WE]],MATCH(Table5[[#This Row],[PID]],Batters[[#All],[PID]],0)),INDEX(Table3[[#All],[WE]],MATCH(Table5[[#This Row],[PID]],Table3[[#All],[PID]],0)))</f>
        <v>Normal</v>
      </c>
      <c r="K1135" s="54" t="str">
        <f>IF($C1135="B",INDEX(Batters[[#All],[INT]],MATCH(Table5[[#This Row],[PID]],Batters[[#All],[PID]],0)),INDEX(Table3[[#All],[INT]],MATCH(Table5[[#This Row],[PID]],Table3[[#All],[PID]],0)))</f>
        <v>Low</v>
      </c>
      <c r="L1135" s="62">
        <f>IF($C1135="B",INDEX(Batters[[#All],[CON P]],MATCH(Table5[[#This Row],[PID]],Batters[[#All],[PID]],0)),INDEX(Table3[[#All],[STU P]],MATCH(Table5[[#This Row],[PID]],Table3[[#All],[PID]],0)))</f>
        <v>4</v>
      </c>
      <c r="M1135" s="58">
        <f>IF($C1135="B",INDEX(Batters[[#All],[GAP P]],MATCH(Table5[[#This Row],[PID]],Batters[[#All],[PID]],0)),INDEX(Table3[[#All],[MOV P]],MATCH(Table5[[#This Row],[PID]],Table3[[#All],[PID]],0)))</f>
        <v>2</v>
      </c>
      <c r="N1135" s="58">
        <f>IF($C1135="B",INDEX(Batters[[#All],[POW P]],MATCH(Table5[[#This Row],[PID]],Batters[[#All],[PID]],0)),INDEX(Table3[[#All],[CON P]],MATCH(Table5[[#This Row],[PID]],Table3[[#All],[PID]],0)))</f>
        <v>1</v>
      </c>
      <c r="O1135" s="58" t="str">
        <f>IF($C1135="B",INDEX(Batters[[#All],[EYE P]],MATCH(Table5[[#This Row],[PID]],Batters[[#All],[PID]],0)),INDEX(Table3[[#All],[VELO]],MATCH(Table5[[#This Row],[PID]],Table3[[#All],[PID]],0)))</f>
        <v>87-89 Mph</v>
      </c>
      <c r="P1135" s="58">
        <f>IF($C1135="B",INDEX(Batters[[#All],[K P]],MATCH(Table5[[#This Row],[PID]],Batters[[#All],[PID]],0)),INDEX(Table3[[#All],[STM]],MATCH(Table5[[#This Row],[PID]],Table3[[#All],[PID]],0)))</f>
        <v>8</v>
      </c>
      <c r="Q1135" s="63">
        <f>IF($C1135="B",INDEX(Batters[[#All],[Tot]],MATCH(Table5[[#This Row],[PID]],Batters[[#All],[PID]],0)),INDEX(Table3[[#All],[Tot]],MATCH(Table5[[#This Row],[PID]],Table3[[#All],[PID]],0)))</f>
        <v>18.20805181513532</v>
      </c>
      <c r="R1135" s="54">
        <f>IF($C1135="B",INDEX(Batters[[#All],[zScore]],MATCH(Table5[[#This Row],[PID]],Batters[[#All],[PID]],0)),INDEX(Table3[[#All],[zScore]],MATCH(Table5[[#This Row],[PID]],Table3[[#All],[PID]],0)))</f>
        <v>-1.3310140868599989</v>
      </c>
      <c r="S1135" s="60" t="str">
        <f>IF($C1135="B",INDEX(Batters[[#All],[DEM]],MATCH(Table5[[#This Row],[PID]],Batters[[#All],[PID]],0)),INDEX(Table3[[#All],[DEM]],MATCH(Table5[[#This Row],[PID]],Table3[[#All],[PID]],0)))</f>
        <v>$20k</v>
      </c>
      <c r="T1135" s="64" t="e">
        <f>IF($C1135="B",VLOOKUP($A1135,Bat!$A$4:$AU$1417,46,FALSE),VLOOKUP($A1135,Pit!$A$4:$BD$570,55,FALSE))</f>
        <v>#N/A</v>
      </c>
      <c r="U1135" s="52" t="e">
        <f>IF($C1135="B",VLOOKUP($A1135,Bat!$A$4:$BA$1417,47,FALSE),VLOOKUP($A1135,Pit!$A$4:$BF$570,56,FALSE))</f>
        <v>#N/A</v>
      </c>
      <c r="V1135" s="52" t="e">
        <f>IF($C1135="B",VLOOKUP($A1135,Bat!$A$4:$BA$1417,48,FALSE),VLOOKUP($A1135,Pit!$A$4:$BF$570,57,FALSE))</f>
        <v>#N/A</v>
      </c>
      <c r="W1135" s="52" t="e">
        <f>Table5[[#This Row],[posRnk]]+Table5[[#This Row],[zRnk]]+IF($W$3&lt;&gt;Table5[[#This Row],[Type]],50,0)</f>
        <v>#N/A</v>
      </c>
      <c r="X1135" s="53">
        <f>RANK(Table5[[#This Row],[zScore]],Table5[[#All],[zScore]])</f>
        <v>1131</v>
      </c>
      <c r="Y1135" s="52" t="str">
        <f>IFERROR(INDEX(DraftResults[[#All],[OVR]],MATCH(Table5[[#This Row],[PID]],DraftResults[[#All],[Player ID]],0)),"")</f>
        <v/>
      </c>
      <c r="Z11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5" s="52" t="str">
        <f>IFERROR(INDEX(DraftResults[[#All],[Pick in Round]],MATCH(Table5[[#This Row],[PID]],DraftResults[[#All],[Player ID]],0)),"")</f>
        <v/>
      </c>
      <c r="AB1135" s="52" t="str">
        <f>IFERROR(INDEX(DraftResults[[#All],[Team Name]],MATCH(Table5[[#This Row],[PID]],DraftResults[[#All],[Player ID]],0)),"")</f>
        <v/>
      </c>
      <c r="AC1135" s="52" t="str">
        <f>IF(Table5[[#This Row],[Ovr]]="","",IF(Table5[[#This Row],[cmbList]]="","",Table5[[#This Row],[cmbList]]-Table5[[#This Row],[Ovr]]))</f>
        <v/>
      </c>
      <c r="AD1135" s="56" t="str">
        <f>IF(ISERROR(VLOOKUP($AB1135&amp;"-"&amp;$E1135&amp;" "&amp;F1135,Bonuses!$B$1:$G$1006,4,FALSE)),"",INT(VLOOKUP($AB1135&amp;"-"&amp;$E1135&amp;" "&amp;$F1135,Bonuses!$B$1:$G$1006,4,FALSE)))</f>
        <v/>
      </c>
      <c r="AE11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6" spans="1:31" s="52" customFormat="1" x14ac:dyDescent="0.25">
      <c r="A1136" s="52">
        <v>10533</v>
      </c>
      <c r="B1136" s="52">
        <f>COUNTIF(Table5[PID],A1136)</f>
        <v>1</v>
      </c>
      <c r="C1136" s="52" t="str">
        <f>IF(COUNTIF(Table3[[#All],[PID]],A1136)&gt;0,"P","B")</f>
        <v>B</v>
      </c>
      <c r="D1136" s="61" t="str">
        <f>IF($C1136="B",INDEX(Batters[[#All],[POS]],MATCH(Table5[[#This Row],[PID]],Batters[[#All],[PID]],0)),INDEX(Table3[[#All],[POS]],MATCH(Table5[[#This Row],[PID]],Table3[[#All],[PID]],0)))</f>
        <v>C</v>
      </c>
      <c r="E1136" s="54" t="str">
        <f>IF($C1136="B",INDEX(Batters[[#All],[First]],MATCH(Table5[[#This Row],[PID]],Batters[[#All],[PID]],0)),INDEX(Table3[[#All],[First]],MATCH(Table5[[#This Row],[PID]],Table3[[#All],[PID]],0)))</f>
        <v>Tom</v>
      </c>
      <c r="F1136" s="52" t="str">
        <f>IF($C1136="B",INDEX(Batters[[#All],[Last]],MATCH(A1136,Batters[[#All],[PID]],0)),INDEX(Table3[[#All],[Last]],MATCH(A1136,Table3[[#All],[PID]],0)))</f>
        <v>Duffy</v>
      </c>
      <c r="G1136" s="58">
        <f>IF($C1136="B",INDEX(Batters[[#All],[Age]],MATCH(Table5[[#This Row],[PID]],Batters[[#All],[PID]],0)),INDEX(Table3[[#All],[Age]],MATCH(Table5[[#This Row],[PID]],Table3[[#All],[PID]],0)))</f>
        <v>21</v>
      </c>
      <c r="H1136" s="54" t="str">
        <f>IF($C1136="B",INDEX(Batters[[#All],[B]],MATCH(Table5[[#This Row],[PID]],Batters[[#All],[PID]],0)),INDEX(Table3[[#All],[B]],MATCH(Table5[[#This Row],[PID]],Table3[[#All],[PID]],0)))</f>
        <v>R</v>
      </c>
      <c r="I1136" s="54" t="str">
        <f>IF($C1136="B",INDEX(Batters[[#All],[T]],MATCH(Table5[[#This Row],[PID]],Batters[[#All],[PID]],0)),INDEX(Table3[[#All],[T]],MATCH(Table5[[#This Row],[PID]],Table3[[#All],[PID]],0)))</f>
        <v>R</v>
      </c>
      <c r="J1136" s="54" t="str">
        <f>IF($C1136="B",INDEX(Batters[[#All],[WE]],MATCH(Table5[[#This Row],[PID]],Batters[[#All],[PID]],0)),INDEX(Table3[[#All],[WE]],MATCH(Table5[[#This Row],[PID]],Table3[[#All],[PID]],0)))</f>
        <v>Normal</v>
      </c>
      <c r="K1136" s="54" t="str">
        <f>IF($C1136="B",INDEX(Batters[[#All],[INT]],MATCH(Table5[[#This Row],[PID]],Batters[[#All],[PID]],0)),INDEX(Table3[[#All],[INT]],MATCH(Table5[[#This Row],[PID]],Table3[[#All],[PID]],0)))</f>
        <v>Normal</v>
      </c>
      <c r="L1136" s="62">
        <f>IF($C1136="B",INDEX(Batters[[#All],[CON P]],MATCH(Table5[[#This Row],[PID]],Batters[[#All],[PID]],0)),INDEX(Table3[[#All],[STU P]],MATCH(Table5[[#This Row],[PID]],Table3[[#All],[PID]],0)))</f>
        <v>2</v>
      </c>
      <c r="M1136" s="58">
        <f>IF($C1136="B",INDEX(Batters[[#All],[GAP P]],MATCH(Table5[[#This Row],[PID]],Batters[[#All],[PID]],0)),INDEX(Table3[[#All],[MOV P]],MATCH(Table5[[#This Row],[PID]],Table3[[#All],[PID]],0)))</f>
        <v>4</v>
      </c>
      <c r="N1136" s="58">
        <f>IF($C1136="B",INDEX(Batters[[#All],[POW P]],MATCH(Table5[[#This Row],[PID]],Batters[[#All],[PID]],0)),INDEX(Table3[[#All],[CON P]],MATCH(Table5[[#This Row],[PID]],Table3[[#All],[PID]],0)))</f>
        <v>3</v>
      </c>
      <c r="O1136" s="58">
        <f>IF($C1136="B",INDEX(Batters[[#All],[EYE P]],MATCH(Table5[[#This Row],[PID]],Batters[[#All],[PID]],0)),INDEX(Table3[[#All],[VELO]],MATCH(Table5[[#This Row],[PID]],Table3[[#All],[PID]],0)))</f>
        <v>5</v>
      </c>
      <c r="P1136" s="58">
        <f>IF($C1136="B",INDEX(Batters[[#All],[K P]],MATCH(Table5[[#This Row],[PID]],Batters[[#All],[PID]],0)),INDEX(Table3[[#All],[STM]],MATCH(Table5[[#This Row],[PID]],Table3[[#All],[PID]],0)))</f>
        <v>3</v>
      </c>
      <c r="Q1136" s="63">
        <f>IF($C1136="B",INDEX(Batters[[#All],[Tot]],MATCH(Table5[[#This Row],[PID]],Batters[[#All],[PID]],0)),INDEX(Table3[[#All],[Tot]],MATCH(Table5[[#This Row],[PID]],Table3[[#All],[PID]],0)))</f>
        <v>32.779551627801503</v>
      </c>
      <c r="R1136" s="54">
        <f>IF($C1136="B",INDEX(Batters[[#All],[zScore]],MATCH(Table5[[#This Row],[PID]],Batters[[#All],[PID]],0)),INDEX(Table3[[#All],[zScore]],MATCH(Table5[[#This Row],[PID]],Table3[[#All],[PID]],0)))</f>
        <v>-1.3316617099094217</v>
      </c>
      <c r="S1136" s="60" t="str">
        <f>IF($C1136="B",INDEX(Batters[[#All],[DEM]],MATCH(Table5[[#This Row],[PID]],Batters[[#All],[PID]],0)),INDEX(Table3[[#All],[DEM]],MATCH(Table5[[#This Row],[PID]],Table3[[#All],[PID]],0)))</f>
        <v>$39k</v>
      </c>
      <c r="T1136" s="64">
        <f>IF($C1136="B",VLOOKUP($A1136,Bat!$A$4:$AU$1417,46,FALSE),VLOOKUP($A1136,Pit!$A$4:$BD$570,55,FALSE))</f>
        <v>0</v>
      </c>
      <c r="U1136" s="52">
        <f>IF($C1136="B",VLOOKUP($A1136,Bat!$A$4:$BA$1417,47,FALSE),VLOOKUP($A1136,Pit!$A$4:$BF$570,56,FALSE))</f>
        <v>0</v>
      </c>
      <c r="V1136" s="52">
        <f>IF($C1136="B",VLOOKUP($A1136,Bat!$A$4:$BA$1417,48,FALSE),VLOOKUP($A1136,Pit!$A$4:$BF$570,57,FALSE))</f>
        <v>0</v>
      </c>
      <c r="W1136" s="52">
        <f>Table5[[#This Row],[posRnk]]+Table5[[#This Row],[zRnk]]+IF($W$3&lt;&gt;Table5[[#This Row],[Type]],50,0)</f>
        <v>1182</v>
      </c>
      <c r="X1136" s="53">
        <f>RANK(Table5[[#This Row],[zScore]],Table5[[#All],[zScore]])</f>
        <v>1132</v>
      </c>
      <c r="Y1136" s="52" t="str">
        <f>IFERROR(INDEX(DraftResults[[#All],[OVR]],MATCH(Table5[[#This Row],[PID]],DraftResults[[#All],[Player ID]],0)),"")</f>
        <v/>
      </c>
      <c r="Z11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6" s="52" t="str">
        <f>IFERROR(INDEX(DraftResults[[#All],[Pick in Round]],MATCH(Table5[[#This Row],[PID]],DraftResults[[#All],[Player ID]],0)),"")</f>
        <v/>
      </c>
      <c r="AB1136" s="52" t="str">
        <f>IFERROR(INDEX(DraftResults[[#All],[Team Name]],MATCH(Table5[[#This Row],[PID]],DraftResults[[#All],[Player ID]],0)),"")</f>
        <v/>
      </c>
      <c r="AC1136" s="52" t="str">
        <f>IF(Table5[[#This Row],[Ovr]]="","",IF(Table5[[#This Row],[cmbList]]="","",Table5[[#This Row],[cmbList]]-Table5[[#This Row],[Ovr]]))</f>
        <v/>
      </c>
      <c r="AD1136" s="56" t="str">
        <f>IF(ISERROR(VLOOKUP($AB1136&amp;"-"&amp;$E1136&amp;" "&amp;F1136,Bonuses!$B$1:$G$1006,4,FALSE)),"",INT(VLOOKUP($AB1136&amp;"-"&amp;$E1136&amp;" "&amp;$F1136,Bonuses!$B$1:$G$1006,4,FALSE)))</f>
        <v/>
      </c>
      <c r="AE11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7" spans="1:31" s="52" customFormat="1" x14ac:dyDescent="0.25">
      <c r="A1137" s="52">
        <v>9723</v>
      </c>
      <c r="B1137" s="52">
        <f>COUNTIF(Table5[PID],A1137)</f>
        <v>1</v>
      </c>
      <c r="C1137" s="52" t="str">
        <f>IF(COUNTIF(Table3[[#All],[PID]],A1137)&gt;0,"P","B")</f>
        <v>B</v>
      </c>
      <c r="D1137" s="61" t="str">
        <f>IF($C1137="B",INDEX(Batters[[#All],[POS]],MATCH(Table5[[#This Row],[PID]],Batters[[#All],[PID]],0)),INDEX(Table3[[#All],[POS]],MATCH(Table5[[#This Row],[PID]],Table3[[#All],[PID]],0)))</f>
        <v>1B</v>
      </c>
      <c r="E1137" s="54" t="str">
        <f>IF($C1137="B",INDEX(Batters[[#All],[First]],MATCH(Table5[[#This Row],[PID]],Batters[[#All],[PID]],0)),INDEX(Table3[[#All],[First]],MATCH(Table5[[#This Row],[PID]],Table3[[#All],[PID]],0)))</f>
        <v>Gary</v>
      </c>
      <c r="F1137" s="52" t="str">
        <f>IF($C1137="B",INDEX(Batters[[#All],[Last]],MATCH(A1137,Batters[[#All],[PID]],0)),INDEX(Table3[[#All],[Last]],MATCH(A1137,Table3[[#All],[PID]],0)))</f>
        <v>Burke</v>
      </c>
      <c r="G1137" s="58">
        <f>IF($C1137="B",INDEX(Batters[[#All],[Age]],MATCH(Table5[[#This Row],[PID]],Batters[[#All],[PID]],0)),INDEX(Table3[[#All],[Age]],MATCH(Table5[[#This Row],[PID]],Table3[[#All],[PID]],0)))</f>
        <v>22</v>
      </c>
      <c r="H1137" s="54" t="str">
        <f>IF($C1137="B",INDEX(Batters[[#All],[B]],MATCH(Table5[[#This Row],[PID]],Batters[[#All],[PID]],0)),INDEX(Table3[[#All],[B]],MATCH(Table5[[#This Row],[PID]],Table3[[#All],[PID]],0)))</f>
        <v>L</v>
      </c>
      <c r="I1137" s="54" t="str">
        <f>IF($C1137="B",INDEX(Batters[[#All],[T]],MATCH(Table5[[#This Row],[PID]],Batters[[#All],[PID]],0)),INDEX(Table3[[#All],[T]],MATCH(Table5[[#This Row],[PID]],Table3[[#All],[PID]],0)))</f>
        <v>L</v>
      </c>
      <c r="J1137" s="54" t="str">
        <f>IF($C1137="B",INDEX(Batters[[#All],[WE]],MATCH(Table5[[#This Row],[PID]],Batters[[#All],[PID]],0)),INDEX(Table3[[#All],[WE]],MATCH(Table5[[#This Row],[PID]],Table3[[#All],[PID]],0)))</f>
        <v>Normal</v>
      </c>
      <c r="K1137" s="54" t="str">
        <f>IF($C1137="B",INDEX(Batters[[#All],[INT]],MATCH(Table5[[#This Row],[PID]],Batters[[#All],[PID]],0)),INDEX(Table3[[#All],[INT]],MATCH(Table5[[#This Row],[PID]],Table3[[#All],[PID]],0)))</f>
        <v>Normal</v>
      </c>
      <c r="L1137" s="62">
        <f>IF($C1137="B",INDEX(Batters[[#All],[CON P]],MATCH(Table5[[#This Row],[PID]],Batters[[#All],[PID]],0)),INDEX(Table3[[#All],[STU P]],MATCH(Table5[[#This Row],[PID]],Table3[[#All],[PID]],0)))</f>
        <v>2</v>
      </c>
      <c r="M1137" s="58">
        <f>IF($C1137="B",INDEX(Batters[[#All],[GAP P]],MATCH(Table5[[#This Row],[PID]],Batters[[#All],[PID]],0)),INDEX(Table3[[#All],[MOV P]],MATCH(Table5[[#This Row],[PID]],Table3[[#All],[PID]],0)))</f>
        <v>3</v>
      </c>
      <c r="N1137" s="58">
        <f>IF($C1137="B",INDEX(Batters[[#All],[POW P]],MATCH(Table5[[#This Row],[PID]],Batters[[#All],[PID]],0)),INDEX(Table3[[#All],[CON P]],MATCH(Table5[[#This Row],[PID]],Table3[[#All],[PID]],0)))</f>
        <v>4</v>
      </c>
      <c r="O1137" s="58">
        <f>IF($C1137="B",INDEX(Batters[[#All],[EYE P]],MATCH(Table5[[#This Row],[PID]],Batters[[#All],[PID]],0)),INDEX(Table3[[#All],[VELO]],MATCH(Table5[[#This Row],[PID]],Table3[[#All],[PID]],0)))</f>
        <v>5</v>
      </c>
      <c r="P1137" s="58">
        <f>IF($C1137="B",INDEX(Batters[[#All],[K P]],MATCH(Table5[[#This Row],[PID]],Batters[[#All],[PID]],0)),INDEX(Table3[[#All],[STM]],MATCH(Table5[[#This Row],[PID]],Table3[[#All],[PID]],0)))</f>
        <v>2</v>
      </c>
      <c r="Q1137" s="63">
        <f>IF($C1137="B",INDEX(Batters[[#All],[Tot]],MATCH(Table5[[#This Row],[PID]],Batters[[#All],[PID]],0)),INDEX(Table3[[#All],[Tot]],MATCH(Table5[[#This Row],[PID]],Table3[[#All],[PID]],0)))</f>
        <v>32.691681072261268</v>
      </c>
      <c r="R1137" s="54">
        <f>IF($C1137="B",INDEX(Batters[[#All],[zScore]],MATCH(Table5[[#This Row],[PID]],Batters[[#All],[PID]],0)),INDEX(Table3[[#All],[zScore]],MATCH(Table5[[#This Row],[PID]],Table3[[#All],[PID]],0)))</f>
        <v>-1.3471219501423559</v>
      </c>
      <c r="S1137" s="60" t="str">
        <f>IF($C1137="B",INDEX(Batters[[#All],[DEM]],MATCH(Table5[[#This Row],[PID]],Batters[[#All],[PID]],0)),INDEX(Table3[[#All],[DEM]],MATCH(Table5[[#This Row],[PID]],Table3[[#All],[PID]],0)))</f>
        <v>-</v>
      </c>
      <c r="T1137" s="64">
        <f>IF($C1137="B",VLOOKUP($A1137,Bat!$A$4:$AU$1417,46,FALSE),VLOOKUP($A1137,Pit!$A$4:$BD$570,55,FALSE))</f>
        <v>0</v>
      </c>
      <c r="U1137" s="52">
        <f>IF($C1137="B",VLOOKUP($A1137,Bat!$A$4:$BA$1417,47,FALSE),VLOOKUP($A1137,Pit!$A$4:$BF$570,56,FALSE))</f>
        <v>0</v>
      </c>
      <c r="V1137" s="52">
        <f>IF($C1137="B",VLOOKUP($A1137,Bat!$A$4:$BA$1417,48,FALSE),VLOOKUP($A1137,Pit!$A$4:$BF$570,57,FALSE))</f>
        <v>0</v>
      </c>
      <c r="W1137" s="52">
        <f>Table5[[#This Row],[posRnk]]+Table5[[#This Row],[zRnk]]+IF($W$3&lt;&gt;Table5[[#This Row],[Type]],50,0)</f>
        <v>1183</v>
      </c>
      <c r="X1137" s="53">
        <f>RANK(Table5[[#This Row],[zScore]],Table5[[#All],[zScore]])</f>
        <v>1133</v>
      </c>
      <c r="Y1137" s="52" t="str">
        <f>IFERROR(INDEX(DraftResults[[#All],[OVR]],MATCH(Table5[[#This Row],[PID]],DraftResults[[#All],[Player ID]],0)),"")</f>
        <v/>
      </c>
      <c r="Z11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7" s="52" t="str">
        <f>IFERROR(INDEX(DraftResults[[#All],[Pick in Round]],MATCH(Table5[[#This Row],[PID]],DraftResults[[#All],[Player ID]],0)),"")</f>
        <v/>
      </c>
      <c r="AB1137" s="52" t="str">
        <f>IFERROR(INDEX(DraftResults[[#All],[Team Name]],MATCH(Table5[[#This Row],[PID]],DraftResults[[#All],[Player ID]],0)),"")</f>
        <v/>
      </c>
      <c r="AC1137" s="52" t="str">
        <f>IF(Table5[[#This Row],[Ovr]]="","",IF(Table5[[#This Row],[cmbList]]="","",Table5[[#This Row],[cmbList]]-Table5[[#This Row],[Ovr]]))</f>
        <v/>
      </c>
      <c r="AD1137" s="56" t="str">
        <f>IF(ISERROR(VLOOKUP($AB1137&amp;"-"&amp;$E1137&amp;" "&amp;F1137,Bonuses!$B$1:$G$1006,4,FALSE)),"",INT(VLOOKUP($AB1137&amp;"-"&amp;$E1137&amp;" "&amp;$F1137,Bonuses!$B$1:$G$1006,4,FALSE)))</f>
        <v/>
      </c>
      <c r="AE11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8" spans="1:31" s="52" customFormat="1" x14ac:dyDescent="0.25">
      <c r="A1138" s="52">
        <v>8119</v>
      </c>
      <c r="B1138" s="52">
        <f>COUNTIF(Table5[PID],A1138)</f>
        <v>1</v>
      </c>
      <c r="C1138" s="52" t="str">
        <f>IF(COUNTIF(Table3[[#All],[PID]],A1138)&gt;0,"P","B")</f>
        <v>P</v>
      </c>
      <c r="D1138" s="61" t="str">
        <f>IF($C1138="B",INDEX(Batters[[#All],[POS]],MATCH(Table5[[#This Row],[PID]],Batters[[#All],[PID]],0)),INDEX(Table3[[#All],[POS]],MATCH(Table5[[#This Row],[PID]],Table3[[#All],[PID]],0)))</f>
        <v>RP</v>
      </c>
      <c r="E1138" s="54" t="str">
        <f>IF($C1138="B",INDEX(Batters[[#All],[First]],MATCH(Table5[[#This Row],[PID]],Batters[[#All],[PID]],0)),INDEX(Table3[[#All],[First]],MATCH(Table5[[#This Row],[PID]],Table3[[#All],[PID]],0)))</f>
        <v>Larry</v>
      </c>
      <c r="F1138" s="52" t="str">
        <f>IF($C1138="B",INDEX(Batters[[#All],[Last]],MATCH(A1138,Batters[[#All],[PID]],0)),INDEX(Table3[[#All],[Last]],MATCH(A1138,Table3[[#All],[PID]],0)))</f>
        <v>Conway</v>
      </c>
      <c r="G1138" s="58">
        <f>IF($C1138="B",INDEX(Batters[[#All],[Age]],MATCH(Table5[[#This Row],[PID]],Batters[[#All],[PID]],0)),INDEX(Table3[[#All],[Age]],MATCH(Table5[[#This Row],[PID]],Table3[[#All],[PID]],0)))</f>
        <v>18</v>
      </c>
      <c r="H1138" s="54" t="str">
        <f>IF($C1138="B",INDEX(Batters[[#All],[B]],MATCH(Table5[[#This Row],[PID]],Batters[[#All],[PID]],0)),INDEX(Table3[[#All],[B]],MATCH(Table5[[#This Row],[PID]],Table3[[#All],[PID]],0)))</f>
        <v>R</v>
      </c>
      <c r="I1138" s="54" t="str">
        <f>IF($C1138="B",INDEX(Batters[[#All],[T]],MATCH(Table5[[#This Row],[PID]],Batters[[#All],[PID]],0)),INDEX(Table3[[#All],[T]],MATCH(Table5[[#This Row],[PID]],Table3[[#All],[PID]],0)))</f>
        <v>R</v>
      </c>
      <c r="J1138" s="54" t="str">
        <f>IF($C1138="B",INDEX(Batters[[#All],[WE]],MATCH(Table5[[#This Row],[PID]],Batters[[#All],[PID]],0)),INDEX(Table3[[#All],[WE]],MATCH(Table5[[#This Row],[PID]],Table3[[#All],[PID]],0)))</f>
        <v>Low</v>
      </c>
      <c r="K1138" s="54" t="str">
        <f>IF($C1138="B",INDEX(Batters[[#All],[INT]],MATCH(Table5[[#This Row],[PID]],Batters[[#All],[PID]],0)),INDEX(Table3[[#All],[INT]],MATCH(Table5[[#This Row],[PID]],Table3[[#All],[PID]],0)))</f>
        <v>Normal</v>
      </c>
      <c r="L1138" s="62">
        <f>IF($C1138="B",INDEX(Batters[[#All],[CON P]],MATCH(Table5[[#This Row],[PID]],Batters[[#All],[PID]],0)),INDEX(Table3[[#All],[STU P]],MATCH(Table5[[#This Row],[PID]],Table3[[#All],[PID]],0)))</f>
        <v>4</v>
      </c>
      <c r="M1138" s="58">
        <f>IF($C1138="B",INDEX(Batters[[#All],[GAP P]],MATCH(Table5[[#This Row],[PID]],Batters[[#All],[PID]],0)),INDEX(Table3[[#All],[MOV P]],MATCH(Table5[[#This Row],[PID]],Table3[[#All],[PID]],0)))</f>
        <v>1</v>
      </c>
      <c r="N1138" s="58">
        <f>IF($C1138="B",INDEX(Batters[[#All],[POW P]],MATCH(Table5[[#This Row],[PID]],Batters[[#All],[PID]],0)),INDEX(Table3[[#All],[CON P]],MATCH(Table5[[#This Row],[PID]],Table3[[#All],[PID]],0)))</f>
        <v>2</v>
      </c>
      <c r="O1138" s="58" t="str">
        <f>IF($C1138="B",INDEX(Batters[[#All],[EYE P]],MATCH(Table5[[#This Row],[PID]],Batters[[#All],[PID]],0)),INDEX(Table3[[#All],[VELO]],MATCH(Table5[[#This Row],[PID]],Table3[[#All],[PID]],0)))</f>
        <v>88-90 Mph</v>
      </c>
      <c r="P1138" s="58">
        <f>IF($C1138="B",INDEX(Batters[[#All],[K P]],MATCH(Table5[[#This Row],[PID]],Batters[[#All],[PID]],0)),INDEX(Table3[[#All],[STM]],MATCH(Table5[[#This Row],[PID]],Table3[[#All],[PID]],0)))</f>
        <v>3</v>
      </c>
      <c r="Q1138" s="63">
        <f>IF($C1138="B",INDEX(Batters[[#All],[Tot]],MATCH(Table5[[#This Row],[PID]],Batters[[#All],[PID]],0)),INDEX(Table3[[#All],[Tot]],MATCH(Table5[[#This Row],[PID]],Table3[[#All],[PID]],0)))</f>
        <v>18.011405341113878</v>
      </c>
      <c r="R1138" s="54">
        <f>IF($C1138="B",INDEX(Batters[[#All],[zScore]],MATCH(Table5[[#This Row],[PID]],Batters[[#All],[PID]],0)),INDEX(Table3[[#All],[zScore]],MATCH(Table5[[#This Row],[PID]],Table3[[#All],[PID]],0)))</f>
        <v>-1.3490474090124598</v>
      </c>
      <c r="S1138" s="60" t="str">
        <f>IF($C1138="B",INDEX(Batters[[#All],[DEM]],MATCH(Table5[[#This Row],[PID]],Batters[[#All],[PID]],0)),INDEX(Table3[[#All],[DEM]],MATCH(Table5[[#This Row],[PID]],Table3[[#All],[PID]],0)))</f>
        <v>$70k</v>
      </c>
      <c r="T1138" s="64" t="e">
        <f>IF($C1138="B",VLOOKUP($A1138,Bat!$A$4:$AU$1417,46,FALSE),VLOOKUP($A1138,Pit!$A$4:$BD$570,55,FALSE))</f>
        <v>#N/A</v>
      </c>
      <c r="U1138" s="52" t="e">
        <f>IF($C1138="B",VLOOKUP($A1138,Bat!$A$4:$BA$1417,47,FALSE),VLOOKUP($A1138,Pit!$A$4:$BF$570,56,FALSE))</f>
        <v>#N/A</v>
      </c>
      <c r="V1138" s="52" t="e">
        <f>IF($C1138="B",VLOOKUP($A1138,Bat!$A$4:$BA$1417,48,FALSE),VLOOKUP($A1138,Pit!$A$4:$BF$570,57,FALSE))</f>
        <v>#N/A</v>
      </c>
      <c r="W1138" s="52" t="e">
        <f>Table5[[#This Row],[posRnk]]+Table5[[#This Row],[zRnk]]+IF($W$3&lt;&gt;Table5[[#This Row],[Type]],50,0)</f>
        <v>#N/A</v>
      </c>
      <c r="X1138" s="53">
        <f>RANK(Table5[[#This Row],[zScore]],Table5[[#All],[zScore]])</f>
        <v>1134</v>
      </c>
      <c r="Y1138" s="52" t="str">
        <f>IFERROR(INDEX(DraftResults[[#All],[OVR]],MATCH(Table5[[#This Row],[PID]],DraftResults[[#All],[Player ID]],0)),"")</f>
        <v/>
      </c>
      <c r="Z11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8" s="52" t="str">
        <f>IFERROR(INDEX(DraftResults[[#All],[Pick in Round]],MATCH(Table5[[#This Row],[PID]],DraftResults[[#All],[Player ID]],0)),"")</f>
        <v/>
      </c>
      <c r="AB1138" s="52" t="str">
        <f>IFERROR(INDEX(DraftResults[[#All],[Team Name]],MATCH(Table5[[#This Row],[PID]],DraftResults[[#All],[Player ID]],0)),"")</f>
        <v/>
      </c>
      <c r="AC1138" s="52" t="str">
        <f>IF(Table5[[#This Row],[Ovr]]="","",IF(Table5[[#This Row],[cmbList]]="","",Table5[[#This Row],[cmbList]]-Table5[[#This Row],[Ovr]]))</f>
        <v/>
      </c>
      <c r="AD1138" s="56" t="str">
        <f>IF(ISERROR(VLOOKUP($AB1138&amp;"-"&amp;$E1138&amp;" "&amp;F1138,Bonuses!$B$1:$G$1006,4,FALSE)),"",INT(VLOOKUP($AB1138&amp;"-"&amp;$E1138&amp;" "&amp;$F1138,Bonuses!$B$1:$G$1006,4,FALSE)))</f>
        <v/>
      </c>
      <c r="AE11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9" spans="1:31" s="52" customFormat="1" x14ac:dyDescent="0.25">
      <c r="A1139" s="52">
        <v>13337</v>
      </c>
      <c r="B1139" s="52">
        <f>COUNTIF(Table5[PID],A1139)</f>
        <v>1</v>
      </c>
      <c r="C1139" s="52" t="str">
        <f>IF(COUNTIF(Table3[[#All],[PID]],A1139)&gt;0,"P","B")</f>
        <v>B</v>
      </c>
      <c r="D1139" s="61" t="str">
        <f>IF($C1139="B",INDEX(Batters[[#All],[POS]],MATCH(Table5[[#This Row],[PID]],Batters[[#All],[PID]],0)),INDEX(Table3[[#All],[POS]],MATCH(Table5[[#This Row],[PID]],Table3[[#All],[PID]],0)))</f>
        <v>1B</v>
      </c>
      <c r="E1139" s="54" t="str">
        <f>IF($C1139="B",INDEX(Batters[[#All],[First]],MATCH(Table5[[#This Row],[PID]],Batters[[#All],[PID]],0)),INDEX(Table3[[#All],[First]],MATCH(Table5[[#This Row],[PID]],Table3[[#All],[PID]],0)))</f>
        <v>Susumu</v>
      </c>
      <c r="F1139" s="52" t="str">
        <f>IF($C1139="B",INDEX(Batters[[#All],[Last]],MATCH(A1139,Batters[[#All],[PID]],0)),INDEX(Table3[[#All],[Last]],MATCH(A1139,Table3[[#All],[PID]],0)))</f>
        <v>Oshima</v>
      </c>
      <c r="G1139" s="58">
        <f>IF($C1139="B",INDEX(Batters[[#All],[Age]],MATCH(Table5[[#This Row],[PID]],Batters[[#All],[PID]],0)),INDEX(Table3[[#All],[Age]],MATCH(Table5[[#This Row],[PID]],Table3[[#All],[PID]],0)))</f>
        <v>22</v>
      </c>
      <c r="H1139" s="54" t="str">
        <f>IF($C1139="B",INDEX(Batters[[#All],[B]],MATCH(Table5[[#This Row],[PID]],Batters[[#All],[PID]],0)),INDEX(Table3[[#All],[B]],MATCH(Table5[[#This Row],[PID]],Table3[[#All],[PID]],0)))</f>
        <v>L</v>
      </c>
      <c r="I1139" s="54" t="str">
        <f>IF($C1139="B",INDEX(Batters[[#All],[T]],MATCH(Table5[[#This Row],[PID]],Batters[[#All],[PID]],0)),INDEX(Table3[[#All],[T]],MATCH(Table5[[#This Row],[PID]],Table3[[#All],[PID]],0)))</f>
        <v>R</v>
      </c>
      <c r="J1139" s="54" t="str">
        <f>IF($C1139="B",INDEX(Batters[[#All],[WE]],MATCH(Table5[[#This Row],[PID]],Batters[[#All],[PID]],0)),INDEX(Table3[[#All],[WE]],MATCH(Table5[[#This Row],[PID]],Table3[[#All],[PID]],0)))</f>
        <v>Normal</v>
      </c>
      <c r="K1139" s="54" t="str">
        <f>IF($C1139="B",INDEX(Batters[[#All],[INT]],MATCH(Table5[[#This Row],[PID]],Batters[[#All],[PID]],0)),INDEX(Table3[[#All],[INT]],MATCH(Table5[[#This Row],[PID]],Table3[[#All],[PID]],0)))</f>
        <v>Normal</v>
      </c>
      <c r="L1139" s="62">
        <f>IF($C1139="B",INDEX(Batters[[#All],[CON P]],MATCH(Table5[[#This Row],[PID]],Batters[[#All],[PID]],0)),INDEX(Table3[[#All],[STU P]],MATCH(Table5[[#This Row],[PID]],Table3[[#All],[PID]],0)))</f>
        <v>2</v>
      </c>
      <c r="M1139" s="58">
        <f>IF($C1139="B",INDEX(Batters[[#All],[GAP P]],MATCH(Table5[[#This Row],[PID]],Batters[[#All],[PID]],0)),INDEX(Table3[[#All],[MOV P]],MATCH(Table5[[#This Row],[PID]],Table3[[#All],[PID]],0)))</f>
        <v>4</v>
      </c>
      <c r="N1139" s="58">
        <f>IF($C1139="B",INDEX(Batters[[#All],[POW P]],MATCH(Table5[[#This Row],[PID]],Batters[[#All],[PID]],0)),INDEX(Table3[[#All],[CON P]],MATCH(Table5[[#This Row],[PID]],Table3[[#All],[PID]],0)))</f>
        <v>3</v>
      </c>
      <c r="O1139" s="58">
        <f>IF($C1139="B",INDEX(Batters[[#All],[EYE P]],MATCH(Table5[[#This Row],[PID]],Batters[[#All],[PID]],0)),INDEX(Table3[[#All],[VELO]],MATCH(Table5[[#This Row],[PID]],Table3[[#All],[PID]],0)))</f>
        <v>5</v>
      </c>
      <c r="P1139" s="58">
        <f>IF($C1139="B",INDEX(Batters[[#All],[K P]],MATCH(Table5[[#This Row],[PID]],Batters[[#All],[PID]],0)),INDEX(Table3[[#All],[STM]],MATCH(Table5[[#This Row],[PID]],Table3[[#All],[PID]],0)))</f>
        <v>3</v>
      </c>
      <c r="Q1139" s="63">
        <f>IF($C1139="B",INDEX(Batters[[#All],[Tot]],MATCH(Table5[[#This Row],[PID]],Batters[[#All],[PID]],0)),INDEX(Table3[[#All],[Tot]],MATCH(Table5[[#This Row],[PID]],Table3[[#All],[PID]],0)))</f>
        <v>32.676020821327221</v>
      </c>
      <c r="R1139" s="54">
        <f>IF($C1139="B",INDEX(Batters[[#All],[zScore]],MATCH(Table5[[#This Row],[PID]],Batters[[#All],[PID]],0)),INDEX(Table3[[#All],[zScore]],MATCH(Table5[[#This Row],[PID]],Table3[[#All],[PID]],0)))</f>
        <v>-1.3498772672114228</v>
      </c>
      <c r="S1139" s="60" t="str">
        <f>IF($C1139="B",INDEX(Batters[[#All],[DEM]],MATCH(Table5[[#This Row],[PID]],Batters[[#All],[PID]],0)),INDEX(Table3[[#All],[DEM]],MATCH(Table5[[#This Row],[PID]],Table3[[#All],[PID]],0)))</f>
        <v>-</v>
      </c>
      <c r="T1139" s="64">
        <f>IF($C1139="B",VLOOKUP($A1139,Bat!$A$4:$AU$1417,46,FALSE),VLOOKUP($A1139,Pit!$A$4:$BD$570,55,FALSE))</f>
        <v>0</v>
      </c>
      <c r="U1139" s="52">
        <f>IF($C1139="B",VLOOKUP($A1139,Bat!$A$4:$BA$1417,47,FALSE),VLOOKUP($A1139,Pit!$A$4:$BF$570,56,FALSE))</f>
        <v>0</v>
      </c>
      <c r="V1139" s="52">
        <f>IF($C1139="B",VLOOKUP($A1139,Bat!$A$4:$BA$1417,48,FALSE),VLOOKUP($A1139,Pit!$A$4:$BF$570,57,FALSE))</f>
        <v>0</v>
      </c>
      <c r="W1139" s="52">
        <f>Table5[[#This Row],[posRnk]]+Table5[[#This Row],[zRnk]]+IF($W$3&lt;&gt;Table5[[#This Row],[Type]],50,0)</f>
        <v>1185</v>
      </c>
      <c r="X1139" s="53">
        <f>RANK(Table5[[#This Row],[zScore]],Table5[[#All],[zScore]])</f>
        <v>1135</v>
      </c>
      <c r="Y1139" s="52" t="str">
        <f>IFERROR(INDEX(DraftResults[[#All],[OVR]],MATCH(Table5[[#This Row],[PID]],DraftResults[[#All],[Player ID]],0)),"")</f>
        <v/>
      </c>
      <c r="Z11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9" s="52" t="str">
        <f>IFERROR(INDEX(DraftResults[[#All],[Pick in Round]],MATCH(Table5[[#This Row],[PID]],DraftResults[[#All],[Player ID]],0)),"")</f>
        <v/>
      </c>
      <c r="AB1139" s="52" t="str">
        <f>IFERROR(INDEX(DraftResults[[#All],[Team Name]],MATCH(Table5[[#This Row],[PID]],DraftResults[[#All],[Player ID]],0)),"")</f>
        <v/>
      </c>
      <c r="AC1139" s="52" t="str">
        <f>IF(Table5[[#This Row],[Ovr]]="","",IF(Table5[[#This Row],[cmbList]]="","",Table5[[#This Row],[cmbList]]-Table5[[#This Row],[Ovr]]))</f>
        <v/>
      </c>
      <c r="AD1139" s="56" t="str">
        <f>IF(ISERROR(VLOOKUP($AB1139&amp;"-"&amp;$E1139&amp;" "&amp;F1139,Bonuses!$B$1:$G$1006,4,FALSE)),"",INT(VLOOKUP($AB1139&amp;"-"&amp;$E1139&amp;" "&amp;$F1139,Bonuses!$B$1:$G$1006,4,FALSE)))</f>
        <v/>
      </c>
      <c r="AE11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0" spans="1:31" s="52" customFormat="1" x14ac:dyDescent="0.25">
      <c r="A1140" s="52">
        <v>13329</v>
      </c>
      <c r="B1140" s="52">
        <f>COUNTIF(Table5[PID],A1140)</f>
        <v>1</v>
      </c>
      <c r="C1140" s="52" t="str">
        <f>IF(COUNTIF(Table3[[#All],[PID]],A1140)&gt;0,"P","B")</f>
        <v>B</v>
      </c>
      <c r="D1140" s="61" t="str">
        <f>IF($C1140="B",INDEX(Batters[[#All],[POS]],MATCH(Table5[[#This Row],[PID]],Batters[[#All],[PID]],0)),INDEX(Table3[[#All],[POS]],MATCH(Table5[[#This Row],[PID]],Table3[[#All],[PID]],0)))</f>
        <v>CF</v>
      </c>
      <c r="E1140" s="54" t="str">
        <f>IF($C1140="B",INDEX(Batters[[#All],[First]],MATCH(Table5[[#This Row],[PID]],Batters[[#All],[PID]],0)),INDEX(Table3[[#All],[First]],MATCH(Table5[[#This Row],[PID]],Table3[[#All],[PID]],0)))</f>
        <v>Tom</v>
      </c>
      <c r="F1140" s="52" t="str">
        <f>IF($C1140="B",INDEX(Batters[[#All],[Last]],MATCH(A1140,Batters[[#All],[PID]],0)),INDEX(Table3[[#All],[Last]],MATCH(A1140,Table3[[#All],[PID]],0)))</f>
        <v>Gane</v>
      </c>
      <c r="G1140" s="58">
        <f>IF($C1140="B",INDEX(Batters[[#All],[Age]],MATCH(Table5[[#This Row],[PID]],Batters[[#All],[PID]],0)),INDEX(Table3[[#All],[Age]],MATCH(Table5[[#This Row],[PID]],Table3[[#All],[PID]],0)))</f>
        <v>22</v>
      </c>
      <c r="H1140" s="54" t="str">
        <f>IF($C1140="B",INDEX(Batters[[#All],[B]],MATCH(Table5[[#This Row],[PID]],Batters[[#All],[PID]],0)),INDEX(Table3[[#All],[B]],MATCH(Table5[[#This Row],[PID]],Table3[[#All],[PID]],0)))</f>
        <v>S</v>
      </c>
      <c r="I1140" s="54" t="str">
        <f>IF($C1140="B",INDEX(Batters[[#All],[T]],MATCH(Table5[[#This Row],[PID]],Batters[[#All],[PID]],0)),INDEX(Table3[[#All],[T]],MATCH(Table5[[#This Row],[PID]],Table3[[#All],[PID]],0)))</f>
        <v>R</v>
      </c>
      <c r="J1140" s="54" t="str">
        <f>IF($C1140="B",INDEX(Batters[[#All],[WE]],MATCH(Table5[[#This Row],[PID]],Batters[[#All],[PID]],0)),INDEX(Table3[[#All],[WE]],MATCH(Table5[[#This Row],[PID]],Table3[[#All],[PID]],0)))</f>
        <v>Normal</v>
      </c>
      <c r="K1140" s="54" t="str">
        <f>IF($C1140="B",INDEX(Batters[[#All],[INT]],MATCH(Table5[[#This Row],[PID]],Batters[[#All],[PID]],0)),INDEX(Table3[[#All],[INT]],MATCH(Table5[[#This Row],[PID]],Table3[[#All],[PID]],0)))</f>
        <v>Low</v>
      </c>
      <c r="L1140" s="62">
        <f>IF($C1140="B",INDEX(Batters[[#All],[CON P]],MATCH(Table5[[#This Row],[PID]],Batters[[#All],[PID]],0)),INDEX(Table3[[#All],[STU P]],MATCH(Table5[[#This Row],[PID]],Table3[[#All],[PID]],0)))</f>
        <v>2</v>
      </c>
      <c r="M1140" s="58">
        <f>IF($C1140="B",INDEX(Batters[[#All],[GAP P]],MATCH(Table5[[#This Row],[PID]],Batters[[#All],[PID]],0)),INDEX(Table3[[#All],[MOV P]],MATCH(Table5[[#This Row],[PID]],Table3[[#All],[PID]],0)))</f>
        <v>4</v>
      </c>
      <c r="N1140" s="58">
        <f>IF($C1140="B",INDEX(Batters[[#All],[POW P]],MATCH(Table5[[#This Row],[PID]],Batters[[#All],[PID]],0)),INDEX(Table3[[#All],[CON P]],MATCH(Table5[[#This Row],[PID]],Table3[[#All],[PID]],0)))</f>
        <v>3</v>
      </c>
      <c r="O1140" s="58">
        <f>IF($C1140="B",INDEX(Batters[[#All],[EYE P]],MATCH(Table5[[#This Row],[PID]],Batters[[#All],[PID]],0)),INDEX(Table3[[#All],[VELO]],MATCH(Table5[[#This Row],[PID]],Table3[[#All],[PID]],0)))</f>
        <v>5</v>
      </c>
      <c r="P1140" s="58">
        <f>IF($C1140="B",INDEX(Batters[[#All],[K P]],MATCH(Table5[[#This Row],[PID]],Batters[[#All],[PID]],0)),INDEX(Table3[[#All],[STM]],MATCH(Table5[[#This Row],[PID]],Table3[[#All],[PID]],0)))</f>
        <v>2</v>
      </c>
      <c r="Q1140" s="63">
        <f>IF($C1140="B",INDEX(Batters[[#All],[Tot]],MATCH(Table5[[#This Row],[PID]],Batters[[#All],[PID]],0)),INDEX(Table3[[#All],[Tot]],MATCH(Table5[[#This Row],[PID]],Table3[[#All],[PID]],0)))</f>
        <v>32.671128204625035</v>
      </c>
      <c r="R1140" s="54">
        <f>IF($C1140="B",INDEX(Batters[[#All],[zScore]],MATCH(Table5[[#This Row],[PID]],Batters[[#All],[PID]],0)),INDEX(Table3[[#All],[zScore]],MATCH(Table5[[#This Row],[PID]],Table3[[#All],[PID]],0)))</f>
        <v>-1.3507380906023576</v>
      </c>
      <c r="S1140" s="60" t="str">
        <f>IF($C1140="B",INDEX(Batters[[#All],[DEM]],MATCH(Table5[[#This Row],[PID]],Batters[[#All],[PID]],0)),INDEX(Table3[[#All],[DEM]],MATCH(Table5[[#This Row],[PID]],Table3[[#All],[PID]],0)))</f>
        <v>-</v>
      </c>
      <c r="T1140" s="64">
        <f>IF($C1140="B",VLOOKUP($A1140,Bat!$A$4:$AU$1417,46,FALSE),VLOOKUP($A1140,Pit!$A$4:$BD$570,55,FALSE))</f>
        <v>0</v>
      </c>
      <c r="U1140" s="52">
        <f>IF($C1140="B",VLOOKUP($A1140,Bat!$A$4:$BA$1417,47,FALSE),VLOOKUP($A1140,Pit!$A$4:$BF$570,56,FALSE))</f>
        <v>0</v>
      </c>
      <c r="V1140" s="52">
        <f>IF($C1140="B",VLOOKUP($A1140,Bat!$A$4:$BA$1417,48,FALSE),VLOOKUP($A1140,Pit!$A$4:$BF$570,57,FALSE))</f>
        <v>0</v>
      </c>
      <c r="W1140" s="52">
        <f>Table5[[#This Row],[posRnk]]+Table5[[#This Row],[zRnk]]+IF($W$3&lt;&gt;Table5[[#This Row],[Type]],50,0)</f>
        <v>1186</v>
      </c>
      <c r="X1140" s="53">
        <f>RANK(Table5[[#This Row],[zScore]],Table5[[#All],[zScore]])</f>
        <v>1136</v>
      </c>
      <c r="Y1140" s="52" t="str">
        <f>IFERROR(INDEX(DraftResults[[#All],[OVR]],MATCH(Table5[[#This Row],[PID]],DraftResults[[#All],[Player ID]],0)),"")</f>
        <v/>
      </c>
      <c r="Z11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0" s="52" t="str">
        <f>IFERROR(INDEX(DraftResults[[#All],[Pick in Round]],MATCH(Table5[[#This Row],[PID]],DraftResults[[#All],[Player ID]],0)),"")</f>
        <v/>
      </c>
      <c r="AB1140" s="52" t="str">
        <f>IFERROR(INDEX(DraftResults[[#All],[Team Name]],MATCH(Table5[[#This Row],[PID]],DraftResults[[#All],[Player ID]],0)),"")</f>
        <v/>
      </c>
      <c r="AC1140" s="52" t="str">
        <f>IF(Table5[[#This Row],[Ovr]]="","",IF(Table5[[#This Row],[cmbList]]="","",Table5[[#This Row],[cmbList]]-Table5[[#This Row],[Ovr]]))</f>
        <v/>
      </c>
      <c r="AD1140" s="56" t="str">
        <f>IF(ISERROR(VLOOKUP($AB1140&amp;"-"&amp;$E1140&amp;" "&amp;F1140,Bonuses!$B$1:$G$1006,4,FALSE)),"",INT(VLOOKUP($AB1140&amp;"-"&amp;$E1140&amp;" "&amp;$F1140,Bonuses!$B$1:$G$1006,4,FALSE)))</f>
        <v/>
      </c>
      <c r="AE11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1" spans="1:31" s="52" customFormat="1" x14ac:dyDescent="0.25">
      <c r="A1141" s="52">
        <v>7733</v>
      </c>
      <c r="B1141" s="52">
        <f>COUNTIF(Table5[PID],A1141)</f>
        <v>1</v>
      </c>
      <c r="C1141" s="52" t="str">
        <f>IF(COUNTIF(Table3[[#All],[PID]],A1141)&gt;0,"P","B")</f>
        <v>P</v>
      </c>
      <c r="D1141" s="61" t="str">
        <f>IF($C1141="B",INDEX(Batters[[#All],[POS]],MATCH(Table5[[#This Row],[PID]],Batters[[#All],[PID]],0)),INDEX(Table3[[#All],[POS]],MATCH(Table5[[#This Row],[PID]],Table3[[#All],[PID]],0)))</f>
        <v>CL</v>
      </c>
      <c r="E1141" s="54" t="str">
        <f>IF($C1141="B",INDEX(Batters[[#All],[First]],MATCH(Table5[[#This Row],[PID]],Batters[[#All],[PID]],0)),INDEX(Table3[[#All],[First]],MATCH(Table5[[#This Row],[PID]],Table3[[#All],[PID]],0)))</f>
        <v>Denis</v>
      </c>
      <c r="F1141" s="52" t="str">
        <f>IF($C1141="B",INDEX(Batters[[#All],[Last]],MATCH(A1141,Batters[[#All],[PID]],0)),INDEX(Table3[[#All],[Last]],MATCH(A1141,Table3[[#All],[PID]],0)))</f>
        <v>Ingram</v>
      </c>
      <c r="G1141" s="58">
        <f>IF($C1141="B",INDEX(Batters[[#All],[Age]],MATCH(Table5[[#This Row],[PID]],Batters[[#All],[PID]],0)),INDEX(Table3[[#All],[Age]],MATCH(Table5[[#This Row],[PID]],Table3[[#All],[PID]],0)))</f>
        <v>20</v>
      </c>
      <c r="H1141" s="54" t="str">
        <f>IF($C1141="B",INDEX(Batters[[#All],[B]],MATCH(Table5[[#This Row],[PID]],Batters[[#All],[PID]],0)),INDEX(Table3[[#All],[B]],MATCH(Table5[[#This Row],[PID]],Table3[[#All],[PID]],0)))</f>
        <v>R</v>
      </c>
      <c r="I1141" s="54" t="str">
        <f>IF($C1141="B",INDEX(Batters[[#All],[T]],MATCH(Table5[[#This Row],[PID]],Batters[[#All],[PID]],0)),INDEX(Table3[[#All],[T]],MATCH(Table5[[#This Row],[PID]],Table3[[#All],[PID]],0)))</f>
        <v>R</v>
      </c>
      <c r="J1141" s="54" t="str">
        <f>IF($C1141="B",INDEX(Batters[[#All],[WE]],MATCH(Table5[[#This Row],[PID]],Batters[[#All],[PID]],0)),INDEX(Table3[[#All],[WE]],MATCH(Table5[[#This Row],[PID]],Table3[[#All],[PID]],0)))</f>
        <v>High</v>
      </c>
      <c r="K1141" s="54" t="str">
        <f>IF($C1141="B",INDEX(Batters[[#All],[INT]],MATCH(Table5[[#This Row],[PID]],Batters[[#All],[PID]],0)),INDEX(Table3[[#All],[INT]],MATCH(Table5[[#This Row],[PID]],Table3[[#All],[PID]],0)))</f>
        <v>Normal</v>
      </c>
      <c r="L1141" s="62">
        <f>IF($C1141="B",INDEX(Batters[[#All],[CON P]],MATCH(Table5[[#This Row],[PID]],Batters[[#All],[PID]],0)),INDEX(Table3[[#All],[STU P]],MATCH(Table5[[#This Row],[PID]],Table3[[#All],[PID]],0)))</f>
        <v>4</v>
      </c>
      <c r="M1141" s="58">
        <f>IF($C1141="B",INDEX(Batters[[#All],[GAP P]],MATCH(Table5[[#This Row],[PID]],Batters[[#All],[PID]],0)),INDEX(Table3[[#All],[MOV P]],MATCH(Table5[[#This Row],[PID]],Table3[[#All],[PID]],0)))</f>
        <v>1</v>
      </c>
      <c r="N1141" s="58">
        <f>IF($C1141="B",INDEX(Batters[[#All],[POW P]],MATCH(Table5[[#This Row],[PID]],Batters[[#All],[PID]],0)),INDEX(Table3[[#All],[CON P]],MATCH(Table5[[#This Row],[PID]],Table3[[#All],[PID]],0)))</f>
        <v>1</v>
      </c>
      <c r="O1141" s="58" t="str">
        <f>IF($C1141="B",INDEX(Batters[[#All],[EYE P]],MATCH(Table5[[#This Row],[PID]],Batters[[#All],[PID]],0)),INDEX(Table3[[#All],[VELO]],MATCH(Table5[[#This Row],[PID]],Table3[[#All],[PID]],0)))</f>
        <v>89-91 Mph</v>
      </c>
      <c r="P1141" s="58">
        <f>IF($C1141="B",INDEX(Batters[[#All],[K P]],MATCH(Table5[[#This Row],[PID]],Batters[[#All],[PID]],0)),INDEX(Table3[[#All],[STM]],MATCH(Table5[[#This Row],[PID]],Table3[[#All],[PID]],0)))</f>
        <v>6</v>
      </c>
      <c r="Q1141" s="63">
        <f>IF($C1141="B",INDEX(Batters[[#All],[Tot]],MATCH(Table5[[#This Row],[PID]],Batters[[#All],[PID]],0)),INDEX(Table3[[#All],[Tot]],MATCH(Table5[[#This Row],[PID]],Table3[[#All],[PID]],0)))</f>
        <v>17.958822864666985</v>
      </c>
      <c r="R1141" s="54">
        <f>IF($C1141="B",INDEX(Batters[[#All],[zScore]],MATCH(Table5[[#This Row],[PID]],Batters[[#All],[PID]],0)),INDEX(Table3[[#All],[zScore]],MATCH(Table5[[#This Row],[PID]],Table3[[#All],[PID]],0)))</f>
        <v>-1.3538694468448675</v>
      </c>
      <c r="S1141" s="60" t="str">
        <f>IF($C1141="B",INDEX(Batters[[#All],[DEM]],MATCH(Table5[[#This Row],[PID]],Batters[[#All],[PID]],0)),INDEX(Table3[[#All],[DEM]],MATCH(Table5[[#This Row],[PID]],Table3[[#All],[PID]],0)))</f>
        <v>-</v>
      </c>
      <c r="T1141" s="64" t="e">
        <f>IF($C1141="B",VLOOKUP($A1141,Bat!$A$4:$AU$1417,46,FALSE),VLOOKUP($A1141,Pit!$A$4:$BD$570,55,FALSE))</f>
        <v>#N/A</v>
      </c>
      <c r="U1141" s="52" t="e">
        <f>IF($C1141="B",VLOOKUP($A1141,Bat!$A$4:$BA$1417,47,FALSE),VLOOKUP($A1141,Pit!$A$4:$BF$570,56,FALSE))</f>
        <v>#N/A</v>
      </c>
      <c r="V1141" s="52" t="e">
        <f>IF($C1141="B",VLOOKUP($A1141,Bat!$A$4:$BA$1417,48,FALSE),VLOOKUP($A1141,Pit!$A$4:$BF$570,57,FALSE))</f>
        <v>#N/A</v>
      </c>
      <c r="W1141" s="52" t="e">
        <f>Table5[[#This Row],[posRnk]]+Table5[[#This Row],[zRnk]]+IF($W$3&lt;&gt;Table5[[#This Row],[Type]],50,0)</f>
        <v>#N/A</v>
      </c>
      <c r="X1141" s="53">
        <f>RANK(Table5[[#This Row],[zScore]],Table5[[#All],[zScore]])</f>
        <v>1137</v>
      </c>
      <c r="Y1141" s="52" t="str">
        <f>IFERROR(INDEX(DraftResults[[#All],[OVR]],MATCH(Table5[[#This Row],[PID]],DraftResults[[#All],[Player ID]],0)),"")</f>
        <v/>
      </c>
      <c r="Z11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1" s="52" t="str">
        <f>IFERROR(INDEX(DraftResults[[#All],[Pick in Round]],MATCH(Table5[[#This Row],[PID]],DraftResults[[#All],[Player ID]],0)),"")</f>
        <v/>
      </c>
      <c r="AB1141" s="52" t="str">
        <f>IFERROR(INDEX(DraftResults[[#All],[Team Name]],MATCH(Table5[[#This Row],[PID]],DraftResults[[#All],[Player ID]],0)),"")</f>
        <v/>
      </c>
      <c r="AC1141" s="52" t="str">
        <f>IF(Table5[[#This Row],[Ovr]]="","",IF(Table5[[#This Row],[cmbList]]="","",Table5[[#This Row],[cmbList]]-Table5[[#This Row],[Ovr]]))</f>
        <v/>
      </c>
      <c r="AD1141" s="56" t="str">
        <f>IF(ISERROR(VLOOKUP($AB1141&amp;"-"&amp;$E1141&amp;" "&amp;F1141,Bonuses!$B$1:$G$1006,4,FALSE)),"",INT(VLOOKUP($AB1141&amp;"-"&amp;$E1141&amp;" "&amp;$F1141,Bonuses!$B$1:$G$1006,4,FALSE)))</f>
        <v/>
      </c>
      <c r="AE11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2" spans="1:31" s="52" customFormat="1" x14ac:dyDescent="0.25">
      <c r="A1142" s="52">
        <v>12599</v>
      </c>
      <c r="B1142" s="52">
        <f>COUNTIF(Table5[PID],A1142)</f>
        <v>1</v>
      </c>
      <c r="C1142" s="52" t="str">
        <f>IF(COUNTIF(Table3[[#All],[PID]],A1142)&gt;0,"P","B")</f>
        <v>B</v>
      </c>
      <c r="D1142" s="61" t="str">
        <f>IF($C1142="B",INDEX(Batters[[#All],[POS]],MATCH(Table5[[#This Row],[PID]],Batters[[#All],[PID]],0)),INDEX(Table3[[#All],[POS]],MATCH(Table5[[#This Row],[PID]],Table3[[#All],[PID]],0)))</f>
        <v>C</v>
      </c>
      <c r="E1142" s="54" t="str">
        <f>IF($C1142="B",INDEX(Batters[[#All],[First]],MATCH(Table5[[#This Row],[PID]],Batters[[#All],[PID]],0)),INDEX(Table3[[#All],[First]],MATCH(Table5[[#This Row],[PID]],Table3[[#All],[PID]],0)))</f>
        <v>Akira</v>
      </c>
      <c r="F1142" s="52" t="str">
        <f>IF($C1142="B",INDEX(Batters[[#All],[Last]],MATCH(A1142,Batters[[#All],[PID]],0)),INDEX(Table3[[#All],[Last]],MATCH(A1142,Table3[[#All],[PID]],0)))</f>
        <v>Mizuno</v>
      </c>
      <c r="G1142" s="58">
        <f>IF($C1142="B",INDEX(Batters[[#All],[Age]],MATCH(Table5[[#This Row],[PID]],Batters[[#All],[PID]],0)),INDEX(Table3[[#All],[Age]],MATCH(Table5[[#This Row],[PID]],Table3[[#All],[PID]],0)))</f>
        <v>21</v>
      </c>
      <c r="H1142" s="54" t="str">
        <f>IF($C1142="B",INDEX(Batters[[#All],[B]],MATCH(Table5[[#This Row],[PID]],Batters[[#All],[PID]],0)),INDEX(Table3[[#All],[B]],MATCH(Table5[[#This Row],[PID]],Table3[[#All],[PID]],0)))</f>
        <v>R</v>
      </c>
      <c r="I1142" s="54" t="str">
        <f>IF($C1142="B",INDEX(Batters[[#All],[T]],MATCH(Table5[[#This Row],[PID]],Batters[[#All],[PID]],0)),INDEX(Table3[[#All],[T]],MATCH(Table5[[#This Row],[PID]],Table3[[#All],[PID]],0)))</f>
        <v>R</v>
      </c>
      <c r="J1142" s="54" t="str">
        <f>IF($C1142="B",INDEX(Batters[[#All],[WE]],MATCH(Table5[[#This Row],[PID]],Batters[[#All],[PID]],0)),INDEX(Table3[[#All],[WE]],MATCH(Table5[[#This Row],[PID]],Table3[[#All],[PID]],0)))</f>
        <v>High</v>
      </c>
      <c r="K1142" s="54" t="str">
        <f>IF($C1142="B",INDEX(Batters[[#All],[INT]],MATCH(Table5[[#This Row],[PID]],Batters[[#All],[PID]],0)),INDEX(Table3[[#All],[INT]],MATCH(Table5[[#This Row],[PID]],Table3[[#All],[PID]],0)))</f>
        <v>Normal</v>
      </c>
      <c r="L1142" s="62">
        <f>IF($C1142="B",INDEX(Batters[[#All],[CON P]],MATCH(Table5[[#This Row],[PID]],Batters[[#All],[PID]],0)),INDEX(Table3[[#All],[STU P]],MATCH(Table5[[#This Row],[PID]],Table3[[#All],[PID]],0)))</f>
        <v>2</v>
      </c>
      <c r="M1142" s="58">
        <f>IF($C1142="B",INDEX(Batters[[#All],[GAP P]],MATCH(Table5[[#This Row],[PID]],Batters[[#All],[PID]],0)),INDEX(Table3[[#All],[MOV P]],MATCH(Table5[[#This Row],[PID]],Table3[[#All],[PID]],0)))</f>
        <v>4</v>
      </c>
      <c r="N1142" s="58">
        <f>IF($C1142="B",INDEX(Batters[[#All],[POW P]],MATCH(Table5[[#This Row],[PID]],Batters[[#All],[PID]],0)),INDEX(Table3[[#All],[CON P]],MATCH(Table5[[#This Row],[PID]],Table3[[#All],[PID]],0)))</f>
        <v>3</v>
      </c>
      <c r="O1142" s="58">
        <f>IF($C1142="B",INDEX(Batters[[#All],[EYE P]],MATCH(Table5[[#This Row],[PID]],Batters[[#All],[PID]],0)),INDEX(Table3[[#All],[VELO]],MATCH(Table5[[#This Row],[PID]],Table3[[#All],[PID]],0)))</f>
        <v>4</v>
      </c>
      <c r="P1142" s="58">
        <f>IF($C1142="B",INDEX(Batters[[#All],[K P]],MATCH(Table5[[#This Row],[PID]],Batters[[#All],[PID]],0)),INDEX(Table3[[#All],[STM]],MATCH(Table5[[#This Row],[PID]],Table3[[#All],[PID]],0)))</f>
        <v>2</v>
      </c>
      <c r="Q1142" s="63">
        <f>IF($C1142="B",INDEX(Batters[[#All],[Tot]],MATCH(Table5[[#This Row],[PID]],Batters[[#All],[PID]],0)),INDEX(Table3[[#All],[Tot]],MATCH(Table5[[#This Row],[PID]],Table3[[#All],[PID]],0)))</f>
        <v>32.642260611461751</v>
      </c>
      <c r="R1142" s="54">
        <f>IF($C1142="B",INDEX(Batters[[#All],[zScore]],MATCH(Table5[[#This Row],[PID]],Batters[[#All],[PID]],0)),INDEX(Table3[[#All],[zScore]],MATCH(Table5[[#This Row],[PID]],Table3[[#All],[PID]],0)))</f>
        <v>-1.3558171517566553</v>
      </c>
      <c r="S1142" s="60" t="str">
        <f>IF($C1142="B",INDEX(Batters[[#All],[DEM]],MATCH(Table5[[#This Row],[PID]],Batters[[#All],[PID]],0)),INDEX(Table3[[#All],[DEM]],MATCH(Table5[[#This Row],[PID]],Table3[[#All],[PID]],0)))</f>
        <v>$20k</v>
      </c>
      <c r="T1142" s="64">
        <f>IF($C1142="B",VLOOKUP($A1142,Bat!$A$4:$AU$1417,46,FALSE),VLOOKUP($A1142,Pit!$A$4:$BD$570,55,FALSE))</f>
        <v>0</v>
      </c>
      <c r="U1142" s="52">
        <f>IF($C1142="B",VLOOKUP($A1142,Bat!$A$4:$BA$1417,47,FALSE),VLOOKUP($A1142,Pit!$A$4:$BF$570,56,FALSE))</f>
        <v>0</v>
      </c>
      <c r="V1142" s="52">
        <f>IF($C1142="B",VLOOKUP($A1142,Bat!$A$4:$BA$1417,48,FALSE),VLOOKUP($A1142,Pit!$A$4:$BF$570,57,FALSE))</f>
        <v>0</v>
      </c>
      <c r="W1142" s="52">
        <f>Table5[[#This Row],[posRnk]]+Table5[[#This Row],[zRnk]]+IF($W$3&lt;&gt;Table5[[#This Row],[Type]],50,0)</f>
        <v>1188</v>
      </c>
      <c r="X1142" s="53">
        <f>RANK(Table5[[#This Row],[zScore]],Table5[[#All],[zScore]])</f>
        <v>1138</v>
      </c>
      <c r="Y1142" s="52" t="str">
        <f>IFERROR(INDEX(DraftResults[[#All],[OVR]],MATCH(Table5[[#This Row],[PID]],DraftResults[[#All],[Player ID]],0)),"")</f>
        <v/>
      </c>
      <c r="Z11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2" s="52" t="str">
        <f>IFERROR(INDEX(DraftResults[[#All],[Pick in Round]],MATCH(Table5[[#This Row],[PID]],DraftResults[[#All],[Player ID]],0)),"")</f>
        <v/>
      </c>
      <c r="AB1142" s="52" t="str">
        <f>IFERROR(INDEX(DraftResults[[#All],[Team Name]],MATCH(Table5[[#This Row],[PID]],DraftResults[[#All],[Player ID]],0)),"")</f>
        <v/>
      </c>
      <c r="AC1142" s="52" t="str">
        <f>IF(Table5[[#This Row],[Ovr]]="","",IF(Table5[[#This Row],[cmbList]]="","",Table5[[#This Row],[cmbList]]-Table5[[#This Row],[Ovr]]))</f>
        <v/>
      </c>
      <c r="AD1142" s="56" t="str">
        <f>IF(ISERROR(VLOOKUP($AB1142&amp;"-"&amp;$E1142&amp;" "&amp;F1142,Bonuses!$B$1:$G$1006,4,FALSE)),"",INT(VLOOKUP($AB1142&amp;"-"&amp;$E1142&amp;" "&amp;$F1142,Bonuses!$B$1:$G$1006,4,FALSE)))</f>
        <v/>
      </c>
      <c r="AE11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3" spans="1:31" s="52" customFormat="1" x14ac:dyDescent="0.25">
      <c r="A1143" s="52">
        <v>12343</v>
      </c>
      <c r="B1143" s="52">
        <f>COUNTIF(Table5[PID],A1143)</f>
        <v>1</v>
      </c>
      <c r="C1143" s="52" t="str">
        <f>IF(COUNTIF(Table3[[#All],[PID]],A1143)&gt;0,"P","B")</f>
        <v>B</v>
      </c>
      <c r="D1143" s="61" t="str">
        <f>IF($C1143="B",INDEX(Batters[[#All],[POS]],MATCH(Table5[[#This Row],[PID]],Batters[[#All],[PID]],0)),INDEX(Table3[[#All],[POS]],MATCH(Table5[[#This Row],[PID]],Table3[[#All],[PID]],0)))</f>
        <v>1B</v>
      </c>
      <c r="E1143" s="54" t="str">
        <f>IF($C1143="B",INDEX(Batters[[#All],[First]],MATCH(Table5[[#This Row],[PID]],Batters[[#All],[PID]],0)),INDEX(Table3[[#All],[First]],MATCH(Table5[[#This Row],[PID]],Table3[[#All],[PID]],0)))</f>
        <v>César</v>
      </c>
      <c r="F1143" s="52" t="str">
        <f>IF($C1143="B",INDEX(Batters[[#All],[Last]],MATCH(A1143,Batters[[#All],[PID]],0)),INDEX(Table3[[#All],[Last]],MATCH(A1143,Table3[[#All],[PID]],0)))</f>
        <v>Gonzáles</v>
      </c>
      <c r="G1143" s="58">
        <f>IF($C1143="B",INDEX(Batters[[#All],[Age]],MATCH(Table5[[#This Row],[PID]],Batters[[#All],[PID]],0)),INDEX(Table3[[#All],[Age]],MATCH(Table5[[#This Row],[PID]],Table3[[#All],[PID]],0)))</f>
        <v>22</v>
      </c>
      <c r="H1143" s="54" t="str">
        <f>IF($C1143="B",INDEX(Batters[[#All],[B]],MATCH(Table5[[#This Row],[PID]],Batters[[#All],[PID]],0)),INDEX(Table3[[#All],[B]],MATCH(Table5[[#This Row],[PID]],Table3[[#All],[PID]],0)))</f>
        <v>R</v>
      </c>
      <c r="I1143" s="54" t="str">
        <f>IF($C1143="B",INDEX(Batters[[#All],[T]],MATCH(Table5[[#This Row],[PID]],Batters[[#All],[PID]],0)),INDEX(Table3[[#All],[T]],MATCH(Table5[[#This Row],[PID]],Table3[[#All],[PID]],0)))</f>
        <v>R</v>
      </c>
      <c r="J1143" s="54" t="str">
        <f>IF($C1143="B",INDEX(Batters[[#All],[WE]],MATCH(Table5[[#This Row],[PID]],Batters[[#All],[PID]],0)),INDEX(Table3[[#All],[WE]],MATCH(Table5[[#This Row],[PID]],Table3[[#All],[PID]],0)))</f>
        <v>Low</v>
      </c>
      <c r="K1143" s="54" t="str">
        <f>IF($C1143="B",INDEX(Batters[[#All],[INT]],MATCH(Table5[[#This Row],[PID]],Batters[[#All],[PID]],0)),INDEX(Table3[[#All],[INT]],MATCH(Table5[[#This Row],[PID]],Table3[[#All],[PID]],0)))</f>
        <v>Normal</v>
      </c>
      <c r="L1143" s="62">
        <f>IF($C1143="B",INDEX(Batters[[#All],[CON P]],MATCH(Table5[[#This Row],[PID]],Batters[[#All],[PID]],0)),INDEX(Table3[[#All],[STU P]],MATCH(Table5[[#This Row],[PID]],Table3[[#All],[PID]],0)))</f>
        <v>3</v>
      </c>
      <c r="M1143" s="58">
        <f>IF($C1143="B",INDEX(Batters[[#All],[GAP P]],MATCH(Table5[[#This Row],[PID]],Batters[[#All],[PID]],0)),INDEX(Table3[[#All],[MOV P]],MATCH(Table5[[#This Row],[PID]],Table3[[#All],[PID]],0)))</f>
        <v>3</v>
      </c>
      <c r="N1143" s="58">
        <f>IF($C1143="B",INDEX(Batters[[#All],[POW P]],MATCH(Table5[[#This Row],[PID]],Batters[[#All],[PID]],0)),INDEX(Table3[[#All],[CON P]],MATCH(Table5[[#This Row],[PID]],Table3[[#All],[PID]],0)))</f>
        <v>2</v>
      </c>
      <c r="O1143" s="58">
        <f>IF($C1143="B",INDEX(Batters[[#All],[EYE P]],MATCH(Table5[[#This Row],[PID]],Batters[[#All],[PID]],0)),INDEX(Table3[[#All],[VELO]],MATCH(Table5[[#This Row],[PID]],Table3[[#All],[PID]],0)))</f>
        <v>3</v>
      </c>
      <c r="P1143" s="58">
        <f>IF($C1143="B",INDEX(Batters[[#All],[K P]],MATCH(Table5[[#This Row],[PID]],Batters[[#All],[PID]],0)),INDEX(Table3[[#All],[STM]],MATCH(Table5[[#This Row],[PID]],Table3[[#All],[PID]],0)))</f>
        <v>3</v>
      </c>
      <c r="Q1143" s="63">
        <f>IF($C1143="B",INDEX(Batters[[#All],[Tot]],MATCH(Table5[[#This Row],[PID]],Batters[[#All],[PID]],0)),INDEX(Table3[[#All],[Tot]],MATCH(Table5[[#This Row],[PID]],Table3[[#All],[PID]],0)))</f>
        <v>32.620128228855286</v>
      </c>
      <c r="R1143" s="54">
        <f>IF($C1143="B",INDEX(Batters[[#All],[zScore]],MATCH(Table5[[#This Row],[PID]],Batters[[#All],[PID]],0)),INDEX(Table3[[#All],[zScore]],MATCH(Table5[[#This Row],[PID]],Table3[[#All],[PID]],0)))</f>
        <v>-1.3597111973777336</v>
      </c>
      <c r="S1143" s="60" t="str">
        <f>IF($C1143="B",INDEX(Batters[[#All],[DEM]],MATCH(Table5[[#This Row],[PID]],Batters[[#All],[PID]],0)),INDEX(Table3[[#All],[DEM]],MATCH(Table5[[#This Row],[PID]],Table3[[#All],[PID]],0)))</f>
        <v>-</v>
      </c>
      <c r="T1143" s="64">
        <f>IF($C1143="B",VLOOKUP($A1143,Bat!$A$4:$AU$1417,46,FALSE),VLOOKUP($A1143,Pit!$A$4:$BD$570,55,FALSE))</f>
        <v>0</v>
      </c>
      <c r="U1143" s="52">
        <f>IF($C1143="B",VLOOKUP($A1143,Bat!$A$4:$BA$1417,47,FALSE),VLOOKUP($A1143,Pit!$A$4:$BF$570,56,FALSE))</f>
        <v>0</v>
      </c>
      <c r="V1143" s="52">
        <f>IF($C1143="B",VLOOKUP($A1143,Bat!$A$4:$BA$1417,48,FALSE),VLOOKUP($A1143,Pit!$A$4:$BF$570,57,FALSE))</f>
        <v>0</v>
      </c>
      <c r="W1143" s="52">
        <f>Table5[[#This Row],[posRnk]]+Table5[[#This Row],[zRnk]]+IF($W$3&lt;&gt;Table5[[#This Row],[Type]],50,0)</f>
        <v>1189</v>
      </c>
      <c r="X1143" s="53">
        <f>RANK(Table5[[#This Row],[zScore]],Table5[[#All],[zScore]])</f>
        <v>1139</v>
      </c>
      <c r="Y1143" s="52" t="str">
        <f>IFERROR(INDEX(DraftResults[[#All],[OVR]],MATCH(Table5[[#This Row],[PID]],DraftResults[[#All],[Player ID]],0)),"")</f>
        <v/>
      </c>
      <c r="Z11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3" s="52" t="str">
        <f>IFERROR(INDEX(DraftResults[[#All],[Pick in Round]],MATCH(Table5[[#This Row],[PID]],DraftResults[[#All],[Player ID]],0)),"")</f>
        <v/>
      </c>
      <c r="AB1143" s="52" t="str">
        <f>IFERROR(INDEX(DraftResults[[#All],[Team Name]],MATCH(Table5[[#This Row],[PID]],DraftResults[[#All],[Player ID]],0)),"")</f>
        <v/>
      </c>
      <c r="AC1143" s="52" t="str">
        <f>IF(Table5[[#This Row],[Ovr]]="","",IF(Table5[[#This Row],[cmbList]]="","",Table5[[#This Row],[cmbList]]-Table5[[#This Row],[Ovr]]))</f>
        <v/>
      </c>
      <c r="AD1143" s="56" t="str">
        <f>IF(ISERROR(VLOOKUP($AB1143&amp;"-"&amp;$E1143&amp;" "&amp;F1143,Bonuses!$B$1:$G$1006,4,FALSE)),"",INT(VLOOKUP($AB1143&amp;"-"&amp;$E1143&amp;" "&amp;$F1143,Bonuses!$B$1:$G$1006,4,FALSE)))</f>
        <v/>
      </c>
      <c r="AE11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4" spans="1:31" s="52" customFormat="1" x14ac:dyDescent="0.25">
      <c r="A1144" s="52">
        <v>8202</v>
      </c>
      <c r="B1144" s="52">
        <f>COUNTIF(Table5[PID],A1144)</f>
        <v>1</v>
      </c>
      <c r="C1144" s="52" t="str">
        <f>IF(COUNTIF(Table3[[#All],[PID]],A1144)&gt;0,"P","B")</f>
        <v>P</v>
      </c>
      <c r="D1144" s="61" t="str">
        <f>IF($C1144="B",INDEX(Batters[[#All],[POS]],MATCH(Table5[[#This Row],[PID]],Batters[[#All],[PID]],0)),INDEX(Table3[[#All],[POS]],MATCH(Table5[[#This Row],[PID]],Table3[[#All],[PID]],0)))</f>
        <v>RP</v>
      </c>
      <c r="E1144" s="54" t="str">
        <f>IF($C1144="B",INDEX(Batters[[#All],[First]],MATCH(Table5[[#This Row],[PID]],Batters[[#All],[PID]],0)),INDEX(Table3[[#All],[First]],MATCH(Table5[[#This Row],[PID]],Table3[[#All],[PID]],0)))</f>
        <v>Steve</v>
      </c>
      <c r="F1144" s="52" t="str">
        <f>IF($C1144="B",INDEX(Batters[[#All],[Last]],MATCH(A1144,Batters[[#All],[PID]],0)),INDEX(Table3[[#All],[Last]],MATCH(A1144,Table3[[#All],[PID]],0)))</f>
        <v>Baldwin</v>
      </c>
      <c r="G1144" s="58">
        <f>IF($C1144="B",INDEX(Batters[[#All],[Age]],MATCH(Table5[[#This Row],[PID]],Batters[[#All],[PID]],0)),INDEX(Table3[[#All],[Age]],MATCH(Table5[[#This Row],[PID]],Table3[[#All],[PID]],0)))</f>
        <v>18</v>
      </c>
      <c r="H1144" s="54" t="str">
        <f>IF($C1144="B",INDEX(Batters[[#All],[B]],MATCH(Table5[[#This Row],[PID]],Batters[[#All],[PID]],0)),INDEX(Table3[[#All],[B]],MATCH(Table5[[#This Row],[PID]],Table3[[#All],[PID]],0)))</f>
        <v>R</v>
      </c>
      <c r="I1144" s="54" t="str">
        <f>IF($C1144="B",INDEX(Batters[[#All],[T]],MATCH(Table5[[#This Row],[PID]],Batters[[#All],[PID]],0)),INDEX(Table3[[#All],[T]],MATCH(Table5[[#This Row],[PID]],Table3[[#All],[PID]],0)))</f>
        <v>R</v>
      </c>
      <c r="J1144" s="54" t="str">
        <f>IF($C1144="B",INDEX(Batters[[#All],[WE]],MATCH(Table5[[#This Row],[PID]],Batters[[#All],[PID]],0)),INDEX(Table3[[#All],[WE]],MATCH(Table5[[#This Row],[PID]],Table3[[#All],[PID]],0)))</f>
        <v>High</v>
      </c>
      <c r="K1144" s="54" t="str">
        <f>IF($C1144="B",INDEX(Batters[[#All],[INT]],MATCH(Table5[[#This Row],[PID]],Batters[[#All],[PID]],0)),INDEX(Table3[[#All],[INT]],MATCH(Table5[[#This Row],[PID]],Table3[[#All],[PID]],0)))</f>
        <v>Normal</v>
      </c>
      <c r="L1144" s="62">
        <f>IF($C1144="B",INDEX(Batters[[#All],[CON P]],MATCH(Table5[[#This Row],[PID]],Batters[[#All],[PID]],0)),INDEX(Table3[[#All],[STU P]],MATCH(Table5[[#This Row],[PID]],Table3[[#All],[PID]],0)))</f>
        <v>4</v>
      </c>
      <c r="M1144" s="58">
        <f>IF($C1144="B",INDEX(Batters[[#All],[GAP P]],MATCH(Table5[[#This Row],[PID]],Batters[[#All],[PID]],0)),INDEX(Table3[[#All],[MOV P]],MATCH(Table5[[#This Row],[PID]],Table3[[#All],[PID]],0)))</f>
        <v>2</v>
      </c>
      <c r="N1144" s="58">
        <f>IF($C1144="B",INDEX(Batters[[#All],[POW P]],MATCH(Table5[[#This Row],[PID]],Batters[[#All],[PID]],0)),INDEX(Table3[[#All],[CON P]],MATCH(Table5[[#This Row],[PID]],Table3[[#All],[PID]],0)))</f>
        <v>1</v>
      </c>
      <c r="O1144" s="58" t="str">
        <f>IF($C1144="B",INDEX(Batters[[#All],[EYE P]],MATCH(Table5[[#This Row],[PID]],Batters[[#All],[PID]],0)),INDEX(Table3[[#All],[VELO]],MATCH(Table5[[#This Row],[PID]],Table3[[#All],[PID]],0)))</f>
        <v>85-87 Mph</v>
      </c>
      <c r="P1144" s="58">
        <f>IF($C1144="B",INDEX(Batters[[#All],[K P]],MATCH(Table5[[#This Row],[PID]],Batters[[#All],[PID]],0)),INDEX(Table3[[#All],[STM]],MATCH(Table5[[#This Row],[PID]],Table3[[#All],[PID]],0)))</f>
        <v>8</v>
      </c>
      <c r="Q1144" s="63">
        <f>IF($C1144="B",INDEX(Batters[[#All],[Tot]],MATCH(Table5[[#This Row],[PID]],Batters[[#All],[PID]],0)),INDEX(Table3[[#All],[Tot]],MATCH(Table5[[#This Row],[PID]],Table3[[#All],[PID]],0)))</f>
        <v>17.720657872721816</v>
      </c>
      <c r="R1144" s="54">
        <f>IF($C1144="B",INDEX(Batters[[#All],[zScore]],MATCH(Table5[[#This Row],[PID]],Batters[[#All],[PID]],0)),INDEX(Table3[[#All],[zScore]],MATCH(Table5[[#This Row],[PID]],Table3[[#All],[PID]],0)))</f>
        <v>-1.3757101945448091</v>
      </c>
      <c r="S1144" s="60" t="str">
        <f>IF($C1144="B",INDEX(Batters[[#All],[DEM]],MATCH(Table5[[#This Row],[PID]],Batters[[#All],[PID]],0)),INDEX(Table3[[#All],[DEM]],MATCH(Table5[[#This Row],[PID]],Table3[[#All],[PID]],0)))</f>
        <v>$65k</v>
      </c>
      <c r="T1144" s="64" t="e">
        <f>IF($C1144="B",VLOOKUP($A1144,Bat!$A$4:$AU$1417,46,FALSE),VLOOKUP($A1144,Pit!$A$4:$BD$570,55,FALSE))</f>
        <v>#N/A</v>
      </c>
      <c r="U1144" s="52" t="e">
        <f>IF($C1144="B",VLOOKUP($A1144,Bat!$A$4:$BA$1417,47,FALSE),VLOOKUP($A1144,Pit!$A$4:$BF$570,56,FALSE))</f>
        <v>#N/A</v>
      </c>
      <c r="V1144" s="52" t="e">
        <f>IF($C1144="B",VLOOKUP($A1144,Bat!$A$4:$BA$1417,48,FALSE),VLOOKUP($A1144,Pit!$A$4:$BF$570,57,FALSE))</f>
        <v>#N/A</v>
      </c>
      <c r="W1144" s="52" t="e">
        <f>Table5[[#This Row],[posRnk]]+Table5[[#This Row],[zRnk]]+IF($W$3&lt;&gt;Table5[[#This Row],[Type]],50,0)</f>
        <v>#N/A</v>
      </c>
      <c r="X1144" s="53">
        <f>RANK(Table5[[#This Row],[zScore]],Table5[[#All],[zScore]])</f>
        <v>1140</v>
      </c>
      <c r="Y1144" s="52" t="str">
        <f>IFERROR(INDEX(DraftResults[[#All],[OVR]],MATCH(Table5[[#This Row],[PID]],DraftResults[[#All],[Player ID]],0)),"")</f>
        <v/>
      </c>
      <c r="Z11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4" s="52" t="str">
        <f>IFERROR(INDEX(DraftResults[[#All],[Pick in Round]],MATCH(Table5[[#This Row],[PID]],DraftResults[[#All],[Player ID]],0)),"")</f>
        <v/>
      </c>
      <c r="AB1144" s="52" t="str">
        <f>IFERROR(INDEX(DraftResults[[#All],[Team Name]],MATCH(Table5[[#This Row],[PID]],DraftResults[[#All],[Player ID]],0)),"")</f>
        <v/>
      </c>
      <c r="AC1144" s="52" t="str">
        <f>IF(Table5[[#This Row],[Ovr]]="","",IF(Table5[[#This Row],[cmbList]]="","",Table5[[#This Row],[cmbList]]-Table5[[#This Row],[Ovr]]))</f>
        <v/>
      </c>
      <c r="AD1144" s="56" t="str">
        <f>IF(ISERROR(VLOOKUP($AB1144&amp;"-"&amp;$E1144&amp;" "&amp;F1144,Bonuses!$B$1:$G$1006,4,FALSE)),"",INT(VLOOKUP($AB1144&amp;"-"&amp;$E1144&amp;" "&amp;$F1144,Bonuses!$B$1:$G$1006,4,FALSE)))</f>
        <v/>
      </c>
      <c r="AE11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5" spans="1:31" s="52" customFormat="1" x14ac:dyDescent="0.25">
      <c r="A1145" s="52">
        <v>12991</v>
      </c>
      <c r="B1145" s="52">
        <f>COUNTIF(Table5[PID],A1145)</f>
        <v>1</v>
      </c>
      <c r="C1145" s="52" t="str">
        <f>IF(COUNTIF(Table3[[#All],[PID]],A1145)&gt;0,"P","B")</f>
        <v>P</v>
      </c>
      <c r="D1145" s="61" t="str">
        <f>IF($C1145="B",INDEX(Batters[[#All],[POS]],MATCH(Table5[[#This Row],[PID]],Batters[[#All],[PID]],0)),INDEX(Table3[[#All],[POS]],MATCH(Table5[[#This Row],[PID]],Table3[[#All],[PID]],0)))</f>
        <v>RP</v>
      </c>
      <c r="E1145" s="54" t="str">
        <f>IF($C1145="B",INDEX(Batters[[#All],[First]],MATCH(Table5[[#This Row],[PID]],Batters[[#All],[PID]],0)),INDEX(Table3[[#All],[First]],MATCH(Table5[[#This Row],[PID]],Table3[[#All],[PID]],0)))</f>
        <v>Ian</v>
      </c>
      <c r="F1145" s="52" t="str">
        <f>IF($C1145="B",INDEX(Batters[[#All],[Last]],MATCH(A1145,Batters[[#All],[PID]],0)),INDEX(Table3[[#All],[Last]],MATCH(A1145,Table3[[#All],[PID]],0)))</f>
        <v>Jamieson</v>
      </c>
      <c r="G1145" s="58">
        <f>IF($C1145="B",INDEX(Batters[[#All],[Age]],MATCH(Table5[[#This Row],[PID]],Batters[[#All],[PID]],0)),INDEX(Table3[[#All],[Age]],MATCH(Table5[[#This Row],[PID]],Table3[[#All],[PID]],0)))</f>
        <v>21</v>
      </c>
      <c r="H1145" s="54" t="str">
        <f>IF($C1145="B",INDEX(Batters[[#All],[B]],MATCH(Table5[[#This Row],[PID]],Batters[[#All],[PID]],0)),INDEX(Table3[[#All],[B]],MATCH(Table5[[#This Row],[PID]],Table3[[#All],[PID]],0)))</f>
        <v>L</v>
      </c>
      <c r="I1145" s="54" t="str">
        <f>IF($C1145="B",INDEX(Batters[[#All],[T]],MATCH(Table5[[#This Row],[PID]],Batters[[#All],[PID]],0)),INDEX(Table3[[#All],[T]],MATCH(Table5[[#This Row],[PID]],Table3[[#All],[PID]],0)))</f>
        <v>R</v>
      </c>
      <c r="J1145" s="54" t="str">
        <f>IF($C1145="B",INDEX(Batters[[#All],[WE]],MATCH(Table5[[#This Row],[PID]],Batters[[#All],[PID]],0)),INDEX(Table3[[#All],[WE]],MATCH(Table5[[#This Row],[PID]],Table3[[#All],[PID]],0)))</f>
        <v>Normal</v>
      </c>
      <c r="K1145" s="54" t="str">
        <f>IF($C1145="B",INDEX(Batters[[#All],[INT]],MATCH(Table5[[#This Row],[PID]],Batters[[#All],[PID]],0)),INDEX(Table3[[#All],[INT]],MATCH(Table5[[#This Row],[PID]],Table3[[#All],[PID]],0)))</f>
        <v>Normal</v>
      </c>
      <c r="L1145" s="62">
        <f>IF($C1145="B",INDEX(Batters[[#All],[CON P]],MATCH(Table5[[#This Row],[PID]],Batters[[#All],[PID]],0)),INDEX(Table3[[#All],[STU P]],MATCH(Table5[[#This Row],[PID]],Table3[[#All],[PID]],0)))</f>
        <v>3</v>
      </c>
      <c r="M1145" s="58">
        <f>IF($C1145="B",INDEX(Batters[[#All],[GAP P]],MATCH(Table5[[#This Row],[PID]],Batters[[#All],[PID]],0)),INDEX(Table3[[#All],[MOV P]],MATCH(Table5[[#This Row],[PID]],Table3[[#All],[PID]],0)))</f>
        <v>2</v>
      </c>
      <c r="N1145" s="58">
        <f>IF($C1145="B",INDEX(Batters[[#All],[POW P]],MATCH(Table5[[#This Row],[PID]],Batters[[#All],[PID]],0)),INDEX(Table3[[#All],[CON P]],MATCH(Table5[[#This Row],[PID]],Table3[[#All],[PID]],0)))</f>
        <v>2</v>
      </c>
      <c r="O1145" s="58" t="str">
        <f>IF($C1145="B",INDEX(Batters[[#All],[EYE P]],MATCH(Table5[[#This Row],[PID]],Batters[[#All],[PID]],0)),INDEX(Table3[[#All],[VELO]],MATCH(Table5[[#This Row],[PID]],Table3[[#All],[PID]],0)))</f>
        <v>86-88 Mph</v>
      </c>
      <c r="P1145" s="58">
        <f>IF($C1145="B",INDEX(Batters[[#All],[K P]],MATCH(Table5[[#This Row],[PID]],Batters[[#All],[PID]],0)),INDEX(Table3[[#All],[STM]],MATCH(Table5[[#This Row],[PID]],Table3[[#All],[PID]],0)))</f>
        <v>2</v>
      </c>
      <c r="Q1145" s="63">
        <f>IF($C1145="B",INDEX(Batters[[#All],[Tot]],MATCH(Table5[[#This Row],[PID]],Batters[[#All],[PID]],0)),INDEX(Table3[[#All],[Tot]],MATCH(Table5[[#This Row],[PID]],Table3[[#All],[PID]],0)))</f>
        <v>14.694474573045742</v>
      </c>
      <c r="R1145" s="54">
        <f>IF($C1145="B",INDEX(Batters[[#All],[zScore]],MATCH(Table5[[#This Row],[PID]],Batters[[#All],[PID]],0)),INDEX(Table3[[#All],[zScore]],MATCH(Table5[[#This Row],[PID]],Table3[[#All],[PID]],0)))</f>
        <v>-1.3760563486102197</v>
      </c>
      <c r="S1145" s="60" t="str">
        <f>IF($C1145="B",INDEX(Batters[[#All],[DEM]],MATCH(Table5[[#This Row],[PID]],Batters[[#All],[PID]],0)),INDEX(Table3[[#All],[DEM]],MATCH(Table5[[#This Row],[PID]],Table3[[#All],[PID]],0)))</f>
        <v>-</v>
      </c>
      <c r="T1145" s="64" t="e">
        <f>IF($C1145="B",VLOOKUP($A1145,Bat!$A$4:$AU$1417,46,FALSE),VLOOKUP($A1145,Pit!$A$4:$BD$570,55,FALSE))</f>
        <v>#N/A</v>
      </c>
      <c r="U1145" s="52" t="e">
        <f>IF($C1145="B",VLOOKUP($A1145,Bat!$A$4:$BA$1417,47,FALSE),VLOOKUP($A1145,Pit!$A$4:$BF$570,56,FALSE))</f>
        <v>#N/A</v>
      </c>
      <c r="V1145" s="52" t="e">
        <f>IF($C1145="B",VLOOKUP($A1145,Bat!$A$4:$BA$1417,48,FALSE),VLOOKUP($A1145,Pit!$A$4:$BF$570,57,FALSE))</f>
        <v>#N/A</v>
      </c>
      <c r="W1145" s="52" t="e">
        <f>Table5[[#This Row],[posRnk]]+Table5[[#This Row],[zRnk]]+IF($W$3&lt;&gt;Table5[[#This Row],[Type]],50,0)</f>
        <v>#N/A</v>
      </c>
      <c r="X1145" s="53">
        <f>RANK(Table5[[#This Row],[zScore]],Table5[[#All],[zScore]])</f>
        <v>1141</v>
      </c>
      <c r="Y1145" s="52" t="str">
        <f>IFERROR(INDEX(DraftResults[[#All],[OVR]],MATCH(Table5[[#This Row],[PID]],DraftResults[[#All],[Player ID]],0)),"")</f>
        <v/>
      </c>
      <c r="Z11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5" s="52" t="str">
        <f>IFERROR(INDEX(DraftResults[[#All],[Pick in Round]],MATCH(Table5[[#This Row],[PID]],DraftResults[[#All],[Player ID]],0)),"")</f>
        <v/>
      </c>
      <c r="AB1145" s="52" t="str">
        <f>IFERROR(INDEX(DraftResults[[#All],[Team Name]],MATCH(Table5[[#This Row],[PID]],DraftResults[[#All],[Player ID]],0)),"")</f>
        <v/>
      </c>
      <c r="AC1145" s="52" t="str">
        <f>IF(Table5[[#This Row],[Ovr]]="","",IF(Table5[[#This Row],[cmbList]]="","",Table5[[#This Row],[cmbList]]-Table5[[#This Row],[Ovr]]))</f>
        <v/>
      </c>
      <c r="AD1145" s="56" t="str">
        <f>IF(ISERROR(VLOOKUP($AB1145&amp;"-"&amp;$E1145&amp;" "&amp;F1145,Bonuses!$B$1:$G$1006,4,FALSE)),"",INT(VLOOKUP($AB1145&amp;"-"&amp;$E1145&amp;" "&amp;$F1145,Bonuses!$B$1:$G$1006,4,FALSE)))</f>
        <v/>
      </c>
      <c r="AE11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6" spans="1:31" s="52" customFormat="1" x14ac:dyDescent="0.25">
      <c r="A1146" s="52">
        <v>16561</v>
      </c>
      <c r="B1146" s="52">
        <f>COUNTIF(Table5[PID],A1146)</f>
        <v>1</v>
      </c>
      <c r="C1146" s="52" t="str">
        <f>IF(COUNTIF(Table3[[#All],[PID]],A1146)&gt;0,"P","B")</f>
        <v>B</v>
      </c>
      <c r="D1146" s="61" t="str">
        <f>IF($C1146="B",INDEX(Batters[[#All],[POS]],MATCH(Table5[[#This Row],[PID]],Batters[[#All],[PID]],0)),INDEX(Table3[[#All],[POS]],MATCH(Table5[[#This Row],[PID]],Table3[[#All],[PID]],0)))</f>
        <v>LF</v>
      </c>
      <c r="E1146" s="54" t="str">
        <f>IF($C1146="B",INDEX(Batters[[#All],[First]],MATCH(Table5[[#This Row],[PID]],Batters[[#All],[PID]],0)),INDEX(Table3[[#All],[First]],MATCH(Table5[[#This Row],[PID]],Table3[[#All],[PID]],0)))</f>
        <v>Harumi</v>
      </c>
      <c r="F1146" s="52" t="str">
        <f>IF($C1146="B",INDEX(Batters[[#All],[Last]],MATCH(A1146,Batters[[#All],[PID]],0)),INDEX(Table3[[#All],[Last]],MATCH(A1146,Table3[[#All],[PID]],0)))</f>
        <v>Arai</v>
      </c>
      <c r="G1146" s="58">
        <f>IF($C1146="B",INDEX(Batters[[#All],[Age]],MATCH(Table5[[#This Row],[PID]],Batters[[#All],[PID]],0)),INDEX(Table3[[#All],[Age]],MATCH(Table5[[#This Row],[PID]],Table3[[#All],[PID]],0)))</f>
        <v>21</v>
      </c>
      <c r="H1146" s="54" t="str">
        <f>IF($C1146="B",INDEX(Batters[[#All],[B]],MATCH(Table5[[#This Row],[PID]],Batters[[#All],[PID]],0)),INDEX(Table3[[#All],[B]],MATCH(Table5[[#This Row],[PID]],Table3[[#All],[PID]],0)))</f>
        <v>R</v>
      </c>
      <c r="I1146" s="54" t="str">
        <f>IF($C1146="B",INDEX(Batters[[#All],[T]],MATCH(Table5[[#This Row],[PID]],Batters[[#All],[PID]],0)),INDEX(Table3[[#All],[T]],MATCH(Table5[[#This Row],[PID]],Table3[[#All],[PID]],0)))</f>
        <v>R</v>
      </c>
      <c r="J1146" s="54" t="str">
        <f>IF($C1146="B",INDEX(Batters[[#All],[WE]],MATCH(Table5[[#This Row],[PID]],Batters[[#All],[PID]],0)),INDEX(Table3[[#All],[WE]],MATCH(Table5[[#This Row],[PID]],Table3[[#All],[PID]],0)))</f>
        <v>Low</v>
      </c>
      <c r="K1146" s="54" t="str">
        <f>IF($C1146="B",INDEX(Batters[[#All],[INT]],MATCH(Table5[[#This Row],[PID]],Batters[[#All],[PID]],0)),INDEX(Table3[[#All],[INT]],MATCH(Table5[[#This Row],[PID]],Table3[[#All],[PID]],0)))</f>
        <v>Normal</v>
      </c>
      <c r="L1146" s="62">
        <f>IF($C1146="B",INDEX(Batters[[#All],[CON P]],MATCH(Table5[[#This Row],[PID]],Batters[[#All],[PID]],0)),INDEX(Table3[[#All],[STU P]],MATCH(Table5[[#This Row],[PID]],Table3[[#All],[PID]],0)))</f>
        <v>2</v>
      </c>
      <c r="M1146" s="58">
        <f>IF($C1146="B",INDEX(Batters[[#All],[GAP P]],MATCH(Table5[[#This Row],[PID]],Batters[[#All],[PID]],0)),INDEX(Table3[[#All],[MOV P]],MATCH(Table5[[#This Row],[PID]],Table3[[#All],[PID]],0)))</f>
        <v>4</v>
      </c>
      <c r="N1146" s="58">
        <f>IF($C1146="B",INDEX(Batters[[#All],[POW P]],MATCH(Table5[[#This Row],[PID]],Batters[[#All],[PID]],0)),INDEX(Table3[[#All],[CON P]],MATCH(Table5[[#This Row],[PID]],Table3[[#All],[PID]],0)))</f>
        <v>3</v>
      </c>
      <c r="O1146" s="58">
        <f>IF($C1146="B",INDEX(Batters[[#All],[EYE P]],MATCH(Table5[[#This Row],[PID]],Batters[[#All],[PID]],0)),INDEX(Table3[[#All],[VELO]],MATCH(Table5[[#This Row],[PID]],Table3[[#All],[PID]],0)))</f>
        <v>5</v>
      </c>
      <c r="P1146" s="58">
        <f>IF($C1146="B",INDEX(Batters[[#All],[K P]],MATCH(Table5[[#This Row],[PID]],Batters[[#All],[PID]],0)),INDEX(Table3[[#All],[STM]],MATCH(Table5[[#This Row],[PID]],Table3[[#All],[PID]],0)))</f>
        <v>3</v>
      </c>
      <c r="Q1146" s="63">
        <f>IF($C1146="B",INDEX(Batters[[#All],[Tot]],MATCH(Table5[[#This Row],[PID]],Batters[[#All],[PID]],0)),INDEX(Table3[[#All],[Tot]],MATCH(Table5[[#This Row],[PID]],Table3[[#All],[PID]],0)))</f>
        <v>32.470580672800544</v>
      </c>
      <c r="R1146" s="54">
        <f>IF($C1146="B",INDEX(Batters[[#All],[zScore]],MATCH(Table5[[#This Row],[PID]],Batters[[#All],[PID]],0)),INDEX(Table3[[#All],[zScore]],MATCH(Table5[[#This Row],[PID]],Table3[[#All],[PID]],0)))</f>
        <v>-1.3860230959271385</v>
      </c>
      <c r="S1146" s="60" t="str">
        <f>IF($C1146="B",INDEX(Batters[[#All],[DEM]],MATCH(Table5[[#This Row],[PID]],Batters[[#All],[PID]],0)),INDEX(Table3[[#All],[DEM]],MATCH(Table5[[#This Row],[PID]],Table3[[#All],[PID]],0)))</f>
        <v>-</v>
      </c>
      <c r="T1146" s="64">
        <f>IF($C1146="B",VLOOKUP($A1146,Bat!$A$4:$AU$1417,46,FALSE),VLOOKUP($A1146,Pit!$A$4:$BD$570,55,FALSE))</f>
        <v>0</v>
      </c>
      <c r="U1146" s="52">
        <f>IF($C1146="B",VLOOKUP($A1146,Bat!$A$4:$BA$1417,47,FALSE),VLOOKUP($A1146,Pit!$A$4:$BF$570,56,FALSE))</f>
        <v>0</v>
      </c>
      <c r="V1146" s="52">
        <f>IF($C1146="B",VLOOKUP($A1146,Bat!$A$4:$BA$1417,48,FALSE),VLOOKUP($A1146,Pit!$A$4:$BF$570,57,FALSE))</f>
        <v>0</v>
      </c>
      <c r="W1146" s="52">
        <f>Table5[[#This Row],[posRnk]]+Table5[[#This Row],[zRnk]]+IF($W$3&lt;&gt;Table5[[#This Row],[Type]],50,0)</f>
        <v>1192</v>
      </c>
      <c r="X1146" s="53">
        <f>RANK(Table5[[#This Row],[zScore]],Table5[[#All],[zScore]])</f>
        <v>1142</v>
      </c>
      <c r="Y1146" s="52" t="str">
        <f>IFERROR(INDEX(DraftResults[[#All],[OVR]],MATCH(Table5[[#This Row],[PID]],DraftResults[[#All],[Player ID]],0)),"")</f>
        <v/>
      </c>
      <c r="Z11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6" s="52" t="str">
        <f>IFERROR(INDEX(DraftResults[[#All],[Pick in Round]],MATCH(Table5[[#This Row],[PID]],DraftResults[[#All],[Player ID]],0)),"")</f>
        <v/>
      </c>
      <c r="AB1146" s="52" t="str">
        <f>IFERROR(INDEX(DraftResults[[#All],[Team Name]],MATCH(Table5[[#This Row],[PID]],DraftResults[[#All],[Player ID]],0)),"")</f>
        <v/>
      </c>
      <c r="AC1146" s="52" t="str">
        <f>IF(Table5[[#This Row],[Ovr]]="","",IF(Table5[[#This Row],[cmbList]]="","",Table5[[#This Row],[cmbList]]-Table5[[#This Row],[Ovr]]))</f>
        <v/>
      </c>
      <c r="AD1146" s="56" t="str">
        <f>IF(ISERROR(VLOOKUP($AB1146&amp;"-"&amp;$E1146&amp;" "&amp;F1146,Bonuses!$B$1:$G$1006,4,FALSE)),"",INT(VLOOKUP($AB1146&amp;"-"&amp;$E1146&amp;" "&amp;$F1146,Bonuses!$B$1:$G$1006,4,FALSE)))</f>
        <v/>
      </c>
      <c r="AE11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7" spans="1:31" s="52" customFormat="1" x14ac:dyDescent="0.25">
      <c r="A1147" s="52">
        <v>13150</v>
      </c>
      <c r="B1147" s="52">
        <f>COUNTIF(Table5[PID],A1147)</f>
        <v>1</v>
      </c>
      <c r="C1147" s="52" t="str">
        <f>IF(COUNTIF(Table3[[#All],[PID]],A1147)&gt;0,"P","B")</f>
        <v>P</v>
      </c>
      <c r="D1147" s="61" t="str">
        <f>IF($C1147="B",INDEX(Batters[[#All],[POS]],MATCH(Table5[[#This Row],[PID]],Batters[[#All],[PID]],0)),INDEX(Table3[[#All],[POS]],MATCH(Table5[[#This Row],[PID]],Table3[[#All],[PID]],0)))</f>
        <v>RP</v>
      </c>
      <c r="E1147" s="54" t="str">
        <f>IF($C1147="B",INDEX(Batters[[#All],[First]],MATCH(Table5[[#This Row],[PID]],Batters[[#All],[PID]],0)),INDEX(Table3[[#All],[First]],MATCH(Table5[[#This Row],[PID]],Table3[[#All],[PID]],0)))</f>
        <v>Yachi</v>
      </c>
      <c r="F1147" s="52" t="str">
        <f>IF($C1147="B",INDEX(Batters[[#All],[Last]],MATCH(A1147,Batters[[#All],[PID]],0)),INDEX(Table3[[#All],[Last]],MATCH(A1147,Table3[[#All],[PID]],0)))</f>
        <v>Seki</v>
      </c>
      <c r="G1147" s="58">
        <f>IF($C1147="B",INDEX(Batters[[#All],[Age]],MATCH(Table5[[#This Row],[PID]],Batters[[#All],[PID]],0)),INDEX(Table3[[#All],[Age]],MATCH(Table5[[#This Row],[PID]],Table3[[#All],[PID]],0)))</f>
        <v>22</v>
      </c>
      <c r="H1147" s="54" t="str">
        <f>IF($C1147="B",INDEX(Batters[[#All],[B]],MATCH(Table5[[#This Row],[PID]],Batters[[#All],[PID]],0)),INDEX(Table3[[#All],[B]],MATCH(Table5[[#This Row],[PID]],Table3[[#All],[PID]],0)))</f>
        <v>R</v>
      </c>
      <c r="I1147" s="54" t="str">
        <f>IF($C1147="B",INDEX(Batters[[#All],[T]],MATCH(Table5[[#This Row],[PID]],Batters[[#All],[PID]],0)),INDEX(Table3[[#All],[T]],MATCH(Table5[[#This Row],[PID]],Table3[[#All],[PID]],0)))</f>
        <v>R</v>
      </c>
      <c r="J1147" s="54" t="str">
        <f>IF($C1147="B",INDEX(Batters[[#All],[WE]],MATCH(Table5[[#This Row],[PID]],Batters[[#All],[PID]],0)),INDEX(Table3[[#All],[WE]],MATCH(Table5[[#This Row],[PID]],Table3[[#All],[PID]],0)))</f>
        <v>Normal</v>
      </c>
      <c r="K1147" s="54" t="str">
        <f>IF($C1147="B",INDEX(Batters[[#All],[INT]],MATCH(Table5[[#This Row],[PID]],Batters[[#All],[PID]],0)),INDEX(Table3[[#All],[INT]],MATCH(Table5[[#This Row],[PID]],Table3[[#All],[PID]],0)))</f>
        <v>Normal</v>
      </c>
      <c r="L1147" s="62">
        <f>IF($C1147="B",INDEX(Batters[[#All],[CON P]],MATCH(Table5[[#This Row],[PID]],Batters[[#All],[PID]],0)),INDEX(Table3[[#All],[STU P]],MATCH(Table5[[#This Row],[PID]],Table3[[#All],[PID]],0)))</f>
        <v>3</v>
      </c>
      <c r="M1147" s="58">
        <f>IF($C1147="B",INDEX(Batters[[#All],[GAP P]],MATCH(Table5[[#This Row],[PID]],Batters[[#All],[PID]],0)),INDEX(Table3[[#All],[MOV P]],MATCH(Table5[[#This Row],[PID]],Table3[[#All],[PID]],0)))</f>
        <v>1</v>
      </c>
      <c r="N1147" s="58">
        <f>IF($C1147="B",INDEX(Batters[[#All],[POW P]],MATCH(Table5[[#This Row],[PID]],Batters[[#All],[PID]],0)),INDEX(Table3[[#All],[CON P]],MATCH(Table5[[#This Row],[PID]],Table3[[#All],[PID]],0)))</f>
        <v>3</v>
      </c>
      <c r="O1147" s="58" t="str">
        <f>IF($C1147="B",INDEX(Batters[[#All],[EYE P]],MATCH(Table5[[#This Row],[PID]],Batters[[#All],[PID]],0)),INDEX(Table3[[#All],[VELO]],MATCH(Table5[[#This Row],[PID]],Table3[[#All],[PID]],0)))</f>
        <v>91-93 Mph</v>
      </c>
      <c r="P1147" s="58">
        <f>IF($C1147="B",INDEX(Batters[[#All],[K P]],MATCH(Table5[[#This Row],[PID]],Batters[[#All],[PID]],0)),INDEX(Table3[[#All],[STM]],MATCH(Table5[[#This Row],[PID]],Table3[[#All],[PID]],0)))</f>
        <v>2</v>
      </c>
      <c r="Q1147" s="63">
        <f>IF($C1147="B",INDEX(Batters[[#All],[Tot]],MATCH(Table5[[#This Row],[PID]],Batters[[#All],[PID]],0)),INDEX(Table3[[#All],[Tot]],MATCH(Table5[[#This Row],[PID]],Table3[[#All],[PID]],0)))</f>
        <v>14.57043409722499</v>
      </c>
      <c r="R1147" s="54">
        <f>IF($C1147="B",INDEX(Batters[[#All],[zScore]],MATCH(Table5[[#This Row],[PID]],Batters[[#All],[PID]],0)),INDEX(Table3[[#All],[zScore]],MATCH(Table5[[#This Row],[PID]],Table3[[#All],[PID]],0)))</f>
        <v>-1.3869275786244104</v>
      </c>
      <c r="S1147" s="60" t="str">
        <f>IF($C1147="B",INDEX(Batters[[#All],[DEM]],MATCH(Table5[[#This Row],[PID]],Batters[[#All],[PID]],0)),INDEX(Table3[[#All],[DEM]],MATCH(Table5[[#This Row],[PID]],Table3[[#All],[PID]],0)))</f>
        <v>-</v>
      </c>
      <c r="T1147" s="64" t="e">
        <f>IF($C1147="B",VLOOKUP($A1147,Bat!$A$4:$AU$1417,46,FALSE),VLOOKUP($A1147,Pit!$A$4:$BD$570,55,FALSE))</f>
        <v>#N/A</v>
      </c>
      <c r="U1147" s="52" t="e">
        <f>IF($C1147="B",VLOOKUP($A1147,Bat!$A$4:$BA$1417,47,FALSE),VLOOKUP($A1147,Pit!$A$4:$BF$570,56,FALSE))</f>
        <v>#N/A</v>
      </c>
      <c r="V1147" s="52" t="e">
        <f>IF($C1147="B",VLOOKUP($A1147,Bat!$A$4:$BA$1417,48,FALSE),VLOOKUP($A1147,Pit!$A$4:$BF$570,57,FALSE))</f>
        <v>#N/A</v>
      </c>
      <c r="W1147" s="52" t="e">
        <f>Table5[[#This Row],[posRnk]]+Table5[[#This Row],[zRnk]]+IF($W$3&lt;&gt;Table5[[#This Row],[Type]],50,0)</f>
        <v>#N/A</v>
      </c>
      <c r="X1147" s="53">
        <f>RANK(Table5[[#This Row],[zScore]],Table5[[#All],[zScore]])</f>
        <v>1143</v>
      </c>
      <c r="Y1147" s="52" t="str">
        <f>IFERROR(INDEX(DraftResults[[#All],[OVR]],MATCH(Table5[[#This Row],[PID]],DraftResults[[#All],[Player ID]],0)),"")</f>
        <v/>
      </c>
      <c r="Z11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7" s="52" t="str">
        <f>IFERROR(INDEX(DraftResults[[#All],[Pick in Round]],MATCH(Table5[[#This Row],[PID]],DraftResults[[#All],[Player ID]],0)),"")</f>
        <v/>
      </c>
      <c r="AB1147" s="52" t="str">
        <f>IFERROR(INDEX(DraftResults[[#All],[Team Name]],MATCH(Table5[[#This Row],[PID]],DraftResults[[#All],[Player ID]],0)),"")</f>
        <v/>
      </c>
      <c r="AC1147" s="52" t="str">
        <f>IF(Table5[[#This Row],[Ovr]]="","",IF(Table5[[#This Row],[cmbList]]="","",Table5[[#This Row],[cmbList]]-Table5[[#This Row],[Ovr]]))</f>
        <v/>
      </c>
      <c r="AD1147" s="56" t="str">
        <f>IF(ISERROR(VLOOKUP($AB1147&amp;"-"&amp;$E1147&amp;" "&amp;F1147,Bonuses!$B$1:$G$1006,4,FALSE)),"",INT(VLOOKUP($AB1147&amp;"-"&amp;$E1147&amp;" "&amp;$F1147,Bonuses!$B$1:$G$1006,4,FALSE)))</f>
        <v/>
      </c>
      <c r="AE11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8" spans="1:31" s="52" customFormat="1" x14ac:dyDescent="0.25">
      <c r="A1148" s="52">
        <v>6018</v>
      </c>
      <c r="B1148" s="57">
        <f>COUNTIF(Table5[PID],A1148)</f>
        <v>1</v>
      </c>
      <c r="C1148" s="57" t="str">
        <f>IF(COUNTIF(Table3[[#All],[PID]],A1148)&gt;0,"P","B")</f>
        <v>B</v>
      </c>
      <c r="D1148" s="61" t="str">
        <f>IF($C1148="B",INDEX(Batters[[#All],[POS]],MATCH(Table5[[#This Row],[PID]],Batters[[#All],[PID]],0)),INDEX(Table3[[#All],[POS]],MATCH(Table5[[#This Row],[PID]],Table3[[#All],[PID]],0)))</f>
        <v>LF</v>
      </c>
      <c r="E1148" s="54" t="str">
        <f>IF($C1148="B",INDEX(Batters[[#All],[First]],MATCH(Table5[[#This Row],[PID]],Batters[[#All],[PID]],0)),INDEX(Table3[[#All],[First]],MATCH(Table5[[#This Row],[PID]],Table3[[#All],[PID]],0)))</f>
        <v>Kelvin</v>
      </c>
      <c r="F1148" s="52" t="str">
        <f>IF($C1148="B",INDEX(Batters[[#All],[Last]],MATCH(A1148,Batters[[#All],[PID]],0)),INDEX(Table3[[#All],[Last]],MATCH(A1148,Table3[[#All],[PID]],0)))</f>
        <v>Shepherd</v>
      </c>
      <c r="G1148" s="58">
        <f>IF($C1148="B",INDEX(Batters[[#All],[Age]],MATCH(Table5[[#This Row],[PID]],Batters[[#All],[PID]],0)),INDEX(Table3[[#All],[Age]],MATCH(Table5[[#This Row],[PID]],Table3[[#All],[PID]],0)))</f>
        <v>21</v>
      </c>
      <c r="H1148" s="54" t="str">
        <f>IF($C1148="B",INDEX(Batters[[#All],[B]],MATCH(Table5[[#This Row],[PID]],Batters[[#All],[PID]],0)),INDEX(Table3[[#All],[B]],MATCH(Table5[[#This Row],[PID]],Table3[[#All],[PID]],0)))</f>
        <v>R</v>
      </c>
      <c r="I1148" s="54" t="str">
        <f>IF($C1148="B",INDEX(Batters[[#All],[T]],MATCH(Table5[[#This Row],[PID]],Batters[[#All],[PID]],0)),INDEX(Table3[[#All],[T]],MATCH(Table5[[#This Row],[PID]],Table3[[#All],[PID]],0)))</f>
        <v>R</v>
      </c>
      <c r="J1148" s="54" t="str">
        <f>IF($C1148="B",INDEX(Batters[[#All],[WE]],MATCH(Table5[[#This Row],[PID]],Batters[[#All],[PID]],0)),INDEX(Table3[[#All],[WE]],MATCH(Table5[[#This Row],[PID]],Table3[[#All],[PID]],0)))</f>
        <v>Low</v>
      </c>
      <c r="K1148" s="54" t="str">
        <f>IF($C1148="B",INDEX(Batters[[#All],[INT]],MATCH(Table5[[#This Row],[PID]],Batters[[#All],[PID]],0)),INDEX(Table3[[#All],[INT]],MATCH(Table5[[#This Row],[PID]],Table3[[#All],[PID]],0)))</f>
        <v>Low</v>
      </c>
      <c r="L1148" s="62">
        <f>IF($C1148="B",INDEX(Batters[[#All],[CON P]],MATCH(Table5[[#This Row],[PID]],Batters[[#All],[PID]],0)),INDEX(Table3[[#All],[STU P]],MATCH(Table5[[#This Row],[PID]],Table3[[#All],[PID]],0)))</f>
        <v>3</v>
      </c>
      <c r="M1148" s="58">
        <f>IF($C1148="B",INDEX(Batters[[#All],[GAP P]],MATCH(Table5[[#This Row],[PID]],Batters[[#All],[PID]],0)),INDEX(Table3[[#All],[MOV P]],MATCH(Table5[[#This Row],[PID]],Table3[[#All],[PID]],0)))</f>
        <v>3</v>
      </c>
      <c r="N1148" s="58">
        <f>IF($C1148="B",INDEX(Batters[[#All],[POW P]],MATCH(Table5[[#This Row],[PID]],Batters[[#All],[PID]],0)),INDEX(Table3[[#All],[CON P]],MATCH(Table5[[#This Row],[PID]],Table3[[#All],[PID]],0)))</f>
        <v>2</v>
      </c>
      <c r="O1148" s="58">
        <f>IF($C1148="B",INDEX(Batters[[#All],[EYE P]],MATCH(Table5[[#This Row],[PID]],Batters[[#All],[PID]],0)),INDEX(Table3[[#All],[VELO]],MATCH(Table5[[#This Row],[PID]],Table3[[#All],[PID]],0)))</f>
        <v>3</v>
      </c>
      <c r="P1148" s="58">
        <f>IF($C1148="B",INDEX(Batters[[#All],[K P]],MATCH(Table5[[#This Row],[PID]],Batters[[#All],[PID]],0)),INDEX(Table3[[#All],[STM]],MATCH(Table5[[#This Row],[PID]],Table3[[#All],[PID]],0)))</f>
        <v>3</v>
      </c>
      <c r="Q1148" s="63">
        <f>IF($C1148="B",INDEX(Batters[[#All],[Tot]],MATCH(Table5[[#This Row],[PID]],Batters[[#All],[PID]],0)),INDEX(Table3[[#All],[Tot]],MATCH(Table5[[#This Row],[PID]],Table3[[#All],[PID]],0)))</f>
        <v>32.436460734957144</v>
      </c>
      <c r="R1148" s="54">
        <f>IF($C1148="B",INDEX(Batters[[#All],[zScore]],MATCH(Table5[[#This Row],[PID]],Batters[[#All],[PID]],0)),INDEX(Table3[[#All],[zScore]],MATCH(Table5[[#This Row],[PID]],Table3[[#All],[PID]],0)))</f>
        <v>-1.3920262722192267</v>
      </c>
      <c r="S1148" s="60" t="str">
        <f>IF($C1148="B",INDEX(Batters[[#All],[DEM]],MATCH(Table5[[#This Row],[PID]],Batters[[#All],[PID]],0)),INDEX(Table3[[#All],[DEM]],MATCH(Table5[[#This Row],[PID]],Table3[[#All],[PID]],0)))</f>
        <v>-</v>
      </c>
      <c r="T1148" s="64">
        <f>IF($C1148="B",VLOOKUP($A1148,Bat!$A$4:$AU$1417,46,FALSE),VLOOKUP($A1148,Pit!$A$4:$BD$570,55,FALSE))</f>
        <v>0</v>
      </c>
      <c r="U1148" s="52">
        <f>IF($C1148="B",VLOOKUP($A1148,Bat!$A$4:$BA$1417,47,FALSE),VLOOKUP($A1148,Pit!$A$4:$BF$570,56,FALSE))</f>
        <v>0</v>
      </c>
      <c r="V1148" s="52">
        <f>IF($C1148="B",VLOOKUP($A1148,Bat!$A$4:$BA$1417,48,FALSE),VLOOKUP($A1148,Pit!$A$4:$BF$570,57,FALSE))</f>
        <v>0</v>
      </c>
      <c r="W1148" s="52">
        <f>Table5[[#This Row],[posRnk]]+Table5[[#This Row],[zRnk]]+IF($W$3&lt;&gt;Table5[[#This Row],[Type]],50,0)</f>
        <v>1194</v>
      </c>
      <c r="X1148" s="53">
        <f>RANK(Table5[[#This Row],[zScore]],Table5[[#All],[zScore]])</f>
        <v>1144</v>
      </c>
      <c r="Y1148" s="52" t="str">
        <f>IFERROR(INDEX(DraftResults[[#All],[OVR]],MATCH(Table5[[#This Row],[PID]],DraftResults[[#All],[Player ID]],0)),"")</f>
        <v/>
      </c>
      <c r="Z11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8" s="52" t="str">
        <f>IFERROR(INDEX(DraftResults[[#All],[Pick in Round]],MATCH(Table5[[#This Row],[PID]],DraftResults[[#All],[Player ID]],0)),"")</f>
        <v/>
      </c>
      <c r="AB1148" s="52" t="str">
        <f>IFERROR(INDEX(DraftResults[[#All],[Team Name]],MATCH(Table5[[#This Row],[PID]],DraftResults[[#All],[Player ID]],0)),"")</f>
        <v/>
      </c>
      <c r="AC1148" s="52" t="str">
        <f>IF(Table5[[#This Row],[Ovr]]="","",IF(Table5[[#This Row],[cmbList]]="","",Table5[[#This Row],[cmbList]]-Table5[[#This Row],[Ovr]]))</f>
        <v/>
      </c>
      <c r="AD1148" s="56" t="str">
        <f>IF(ISERROR(VLOOKUP($AB1148&amp;"-"&amp;$E1148&amp;" "&amp;F1148,Bonuses!$B$1:$G$1006,4,FALSE)),"",INT(VLOOKUP($AB1148&amp;"-"&amp;$E1148&amp;" "&amp;$F1148,Bonuses!$B$1:$G$1006,4,FALSE)))</f>
        <v/>
      </c>
      <c r="AE11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9" spans="1:31" s="52" customFormat="1" x14ac:dyDescent="0.25">
      <c r="A1149" s="52">
        <v>12899</v>
      </c>
      <c r="B1149" s="52">
        <f>COUNTIF(Table5[PID],A1149)</f>
        <v>1</v>
      </c>
      <c r="C1149" s="52" t="str">
        <f>IF(COUNTIF(Table3[[#All],[PID]],A1149)&gt;0,"P","B")</f>
        <v>B</v>
      </c>
      <c r="D1149" s="61" t="str">
        <f>IF($C1149="B",INDEX(Batters[[#All],[POS]],MATCH(Table5[[#This Row],[PID]],Batters[[#All],[PID]],0)),INDEX(Table3[[#All],[POS]],MATCH(Table5[[#This Row],[PID]],Table3[[#All],[PID]],0)))</f>
        <v>1B</v>
      </c>
      <c r="E1149" s="54" t="str">
        <f>IF($C1149="B",INDEX(Batters[[#All],[First]],MATCH(Table5[[#This Row],[PID]],Batters[[#All],[PID]],0)),INDEX(Table3[[#All],[First]],MATCH(Table5[[#This Row],[PID]],Table3[[#All],[PID]],0)))</f>
        <v>Jun'ichi</v>
      </c>
      <c r="F1149" s="52" t="str">
        <f>IF($C1149="B",INDEX(Batters[[#All],[Last]],MATCH(A1149,Batters[[#All],[PID]],0)),INDEX(Table3[[#All],[Last]],MATCH(A1149,Table3[[#All],[PID]],0)))</f>
        <v>Nakano</v>
      </c>
      <c r="G1149" s="58">
        <f>IF($C1149="B",INDEX(Batters[[#All],[Age]],MATCH(Table5[[#This Row],[PID]],Batters[[#All],[PID]],0)),INDEX(Table3[[#All],[Age]],MATCH(Table5[[#This Row],[PID]],Table3[[#All],[PID]],0)))</f>
        <v>21</v>
      </c>
      <c r="H1149" s="54" t="str">
        <f>IF($C1149="B",INDEX(Batters[[#All],[B]],MATCH(Table5[[#This Row],[PID]],Batters[[#All],[PID]],0)),INDEX(Table3[[#All],[B]],MATCH(Table5[[#This Row],[PID]],Table3[[#All],[PID]],0)))</f>
        <v>R</v>
      </c>
      <c r="I1149" s="54" t="str">
        <f>IF($C1149="B",INDEX(Batters[[#All],[T]],MATCH(Table5[[#This Row],[PID]],Batters[[#All],[PID]],0)),INDEX(Table3[[#All],[T]],MATCH(Table5[[#This Row],[PID]],Table3[[#All],[PID]],0)))</f>
        <v>R</v>
      </c>
      <c r="J1149" s="54" t="str">
        <f>IF($C1149="B",INDEX(Batters[[#All],[WE]],MATCH(Table5[[#This Row],[PID]],Batters[[#All],[PID]],0)),INDEX(Table3[[#All],[WE]],MATCH(Table5[[#This Row],[PID]],Table3[[#All],[PID]],0)))</f>
        <v>Normal</v>
      </c>
      <c r="K1149" s="54" t="str">
        <f>IF($C1149="B",INDEX(Batters[[#All],[INT]],MATCH(Table5[[#This Row],[PID]],Batters[[#All],[PID]],0)),INDEX(Table3[[#All],[INT]],MATCH(Table5[[#This Row],[PID]],Table3[[#All],[PID]],0)))</f>
        <v>Normal</v>
      </c>
      <c r="L1149" s="62">
        <f>IF($C1149="B",INDEX(Batters[[#All],[CON P]],MATCH(Table5[[#This Row],[PID]],Batters[[#All],[PID]],0)),INDEX(Table3[[#All],[STU P]],MATCH(Table5[[#This Row],[PID]],Table3[[#All],[PID]],0)))</f>
        <v>2</v>
      </c>
      <c r="M1149" s="58">
        <f>IF($C1149="B",INDEX(Batters[[#All],[GAP P]],MATCH(Table5[[#This Row],[PID]],Batters[[#All],[PID]],0)),INDEX(Table3[[#All],[MOV P]],MATCH(Table5[[#This Row],[PID]],Table3[[#All],[PID]],0)))</f>
        <v>3</v>
      </c>
      <c r="N1149" s="58">
        <f>IF($C1149="B",INDEX(Batters[[#All],[POW P]],MATCH(Table5[[#This Row],[PID]],Batters[[#All],[PID]],0)),INDEX(Table3[[#All],[CON P]],MATCH(Table5[[#This Row],[PID]],Table3[[#All],[PID]],0)))</f>
        <v>4</v>
      </c>
      <c r="O1149" s="58">
        <f>IF($C1149="B",INDEX(Batters[[#All],[EYE P]],MATCH(Table5[[#This Row],[PID]],Batters[[#All],[PID]],0)),INDEX(Table3[[#All],[VELO]],MATCH(Table5[[#This Row],[PID]],Table3[[#All],[PID]],0)))</f>
        <v>5</v>
      </c>
      <c r="P1149" s="58">
        <f>IF($C1149="B",INDEX(Batters[[#All],[K P]],MATCH(Table5[[#This Row],[PID]],Batters[[#All],[PID]],0)),INDEX(Table3[[#All],[STM]],MATCH(Table5[[#This Row],[PID]],Table3[[#All],[PID]],0)))</f>
        <v>1</v>
      </c>
      <c r="Q1149" s="63">
        <f>IF($C1149="B",INDEX(Batters[[#All],[Tot]],MATCH(Table5[[#This Row],[PID]],Batters[[#All],[PID]],0)),INDEX(Table3[[#All],[Tot]],MATCH(Table5[[#This Row],[PID]],Table3[[#All],[PID]],0)))</f>
        <v>32.419207890052917</v>
      </c>
      <c r="R1149" s="54">
        <f>IF($C1149="B",INDEX(Batters[[#All],[zScore]],MATCH(Table5[[#This Row],[PID]],Batters[[#All],[PID]],0)),INDEX(Table3[[#All],[zScore]],MATCH(Table5[[#This Row],[PID]],Table3[[#All],[PID]],0)))</f>
        <v>-1.395061795612484</v>
      </c>
      <c r="S1149" s="60" t="str">
        <f>IF($C1149="B",INDEX(Batters[[#All],[DEM]],MATCH(Table5[[#This Row],[PID]],Batters[[#All],[PID]],0)),INDEX(Table3[[#All],[DEM]],MATCH(Table5[[#This Row],[PID]],Table3[[#All],[PID]],0)))</f>
        <v>-</v>
      </c>
      <c r="T1149" s="64">
        <f>IF($C1149="B",VLOOKUP($A1149,Bat!$A$4:$AU$1417,46,FALSE),VLOOKUP($A1149,Pit!$A$4:$BD$570,55,FALSE))</f>
        <v>0</v>
      </c>
      <c r="U1149" s="52">
        <f>IF($C1149="B",VLOOKUP($A1149,Bat!$A$4:$BA$1417,47,FALSE),VLOOKUP($A1149,Pit!$A$4:$BF$570,56,FALSE))</f>
        <v>0</v>
      </c>
      <c r="V1149" s="52">
        <f>IF($C1149="B",VLOOKUP($A1149,Bat!$A$4:$BA$1417,48,FALSE),VLOOKUP($A1149,Pit!$A$4:$BF$570,57,FALSE))</f>
        <v>0</v>
      </c>
      <c r="W1149" s="52">
        <f>Table5[[#This Row],[posRnk]]+Table5[[#This Row],[zRnk]]+IF($W$3&lt;&gt;Table5[[#This Row],[Type]],50,0)</f>
        <v>1195</v>
      </c>
      <c r="X1149" s="53">
        <f>RANK(Table5[[#This Row],[zScore]],Table5[[#All],[zScore]])</f>
        <v>1145</v>
      </c>
      <c r="Y1149" s="52" t="str">
        <f>IFERROR(INDEX(DraftResults[[#All],[OVR]],MATCH(Table5[[#This Row],[PID]],DraftResults[[#All],[Player ID]],0)),"")</f>
        <v/>
      </c>
      <c r="Z11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9" s="52" t="str">
        <f>IFERROR(INDEX(DraftResults[[#All],[Pick in Round]],MATCH(Table5[[#This Row],[PID]],DraftResults[[#All],[Player ID]],0)),"")</f>
        <v/>
      </c>
      <c r="AB1149" s="52" t="str">
        <f>IFERROR(INDEX(DraftResults[[#All],[Team Name]],MATCH(Table5[[#This Row],[PID]],DraftResults[[#All],[Player ID]],0)),"")</f>
        <v/>
      </c>
      <c r="AC1149" s="52" t="str">
        <f>IF(Table5[[#This Row],[Ovr]]="","",IF(Table5[[#This Row],[cmbList]]="","",Table5[[#This Row],[cmbList]]-Table5[[#This Row],[Ovr]]))</f>
        <v/>
      </c>
      <c r="AD1149" s="56" t="str">
        <f>IF(ISERROR(VLOOKUP($AB1149&amp;"-"&amp;$E1149&amp;" "&amp;F1149,Bonuses!$B$1:$G$1006,4,FALSE)),"",INT(VLOOKUP($AB1149&amp;"-"&amp;$E1149&amp;" "&amp;$F1149,Bonuses!$B$1:$G$1006,4,FALSE)))</f>
        <v/>
      </c>
      <c r="AE11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0" spans="1:31" s="52" customFormat="1" x14ac:dyDescent="0.25">
      <c r="A1150" s="52">
        <v>14675</v>
      </c>
      <c r="B1150" s="52">
        <f>COUNTIF(Table5[PID],A1150)</f>
        <v>1</v>
      </c>
      <c r="C1150" s="52" t="str">
        <f>IF(COUNTIF(Table3[[#All],[PID]],A1150)&gt;0,"P","B")</f>
        <v>B</v>
      </c>
      <c r="D1150" s="61" t="str">
        <f>IF($C1150="B",INDEX(Batters[[#All],[POS]],MATCH(Table5[[#This Row],[PID]],Batters[[#All],[PID]],0)),INDEX(Table3[[#All],[POS]],MATCH(Table5[[#This Row],[PID]],Table3[[#All],[PID]],0)))</f>
        <v>1B</v>
      </c>
      <c r="E1150" s="54" t="str">
        <f>IF($C1150="B",INDEX(Batters[[#All],[First]],MATCH(Table5[[#This Row],[PID]],Batters[[#All],[PID]],0)),INDEX(Table3[[#All],[First]],MATCH(Table5[[#This Row],[PID]],Table3[[#All],[PID]],0)))</f>
        <v>Rhys</v>
      </c>
      <c r="F1150" s="52" t="str">
        <f>IF($C1150="B",INDEX(Batters[[#All],[Last]],MATCH(A1150,Batters[[#All],[PID]],0)),INDEX(Table3[[#All],[Last]],MATCH(A1150,Table3[[#All],[PID]],0)))</f>
        <v>Bisset</v>
      </c>
      <c r="G1150" s="58">
        <f>IF($C1150="B",INDEX(Batters[[#All],[Age]],MATCH(Table5[[#This Row],[PID]],Batters[[#All],[PID]],0)),INDEX(Table3[[#All],[Age]],MATCH(Table5[[#This Row],[PID]],Table3[[#All],[PID]],0)))</f>
        <v>21</v>
      </c>
      <c r="H1150" s="54" t="str">
        <f>IF($C1150="B",INDEX(Batters[[#All],[B]],MATCH(Table5[[#This Row],[PID]],Batters[[#All],[PID]],0)),INDEX(Table3[[#All],[B]],MATCH(Table5[[#This Row],[PID]],Table3[[#All],[PID]],0)))</f>
        <v>R</v>
      </c>
      <c r="I1150" s="54" t="str">
        <f>IF($C1150="B",INDEX(Batters[[#All],[T]],MATCH(Table5[[#This Row],[PID]],Batters[[#All],[PID]],0)),INDEX(Table3[[#All],[T]],MATCH(Table5[[#This Row],[PID]],Table3[[#All],[PID]],0)))</f>
        <v>R</v>
      </c>
      <c r="J1150" s="54" t="str">
        <f>IF($C1150="B",INDEX(Batters[[#All],[WE]],MATCH(Table5[[#This Row],[PID]],Batters[[#All],[PID]],0)),INDEX(Table3[[#All],[WE]],MATCH(Table5[[#This Row],[PID]],Table3[[#All],[PID]],0)))</f>
        <v>Normal</v>
      </c>
      <c r="K1150" s="54" t="str">
        <f>IF($C1150="B",INDEX(Batters[[#All],[INT]],MATCH(Table5[[#This Row],[PID]],Batters[[#All],[PID]],0)),INDEX(Table3[[#All],[INT]],MATCH(Table5[[#This Row],[PID]],Table3[[#All],[PID]],0)))</f>
        <v>Normal</v>
      </c>
      <c r="L1150" s="62">
        <f>IF($C1150="B",INDEX(Batters[[#All],[CON P]],MATCH(Table5[[#This Row],[PID]],Batters[[#All],[PID]],0)),INDEX(Table3[[#All],[STU P]],MATCH(Table5[[#This Row],[PID]],Table3[[#All],[PID]],0)))</f>
        <v>3</v>
      </c>
      <c r="M1150" s="58">
        <f>IF($C1150="B",INDEX(Batters[[#All],[GAP P]],MATCH(Table5[[#This Row],[PID]],Batters[[#All],[PID]],0)),INDEX(Table3[[#All],[MOV P]],MATCH(Table5[[#This Row],[PID]],Table3[[#All],[PID]],0)))</f>
        <v>3</v>
      </c>
      <c r="N1150" s="58">
        <f>IF($C1150="B",INDEX(Batters[[#All],[POW P]],MATCH(Table5[[#This Row],[PID]],Batters[[#All],[PID]],0)),INDEX(Table3[[#All],[CON P]],MATCH(Table5[[#This Row],[PID]],Table3[[#All],[PID]],0)))</f>
        <v>2</v>
      </c>
      <c r="O1150" s="58">
        <f>IF($C1150="B",INDEX(Batters[[#All],[EYE P]],MATCH(Table5[[#This Row],[PID]],Batters[[#All],[PID]],0)),INDEX(Table3[[#All],[VELO]],MATCH(Table5[[#This Row],[PID]],Table3[[#All],[PID]],0)))</f>
        <v>3</v>
      </c>
      <c r="P1150" s="58">
        <f>IF($C1150="B",INDEX(Batters[[#All],[K P]],MATCH(Table5[[#This Row],[PID]],Batters[[#All],[PID]],0)),INDEX(Table3[[#All],[STM]],MATCH(Table5[[#This Row],[PID]],Table3[[#All],[PID]],0)))</f>
        <v>2</v>
      </c>
      <c r="Q1150" s="63">
        <f>IF($C1150="B",INDEX(Batters[[#All],[Tot]],MATCH(Table5[[#This Row],[PID]],Batters[[#All],[PID]],0)),INDEX(Table3[[#All],[Tot]],MATCH(Table5[[#This Row],[PID]],Table3[[#All],[PID]],0)))</f>
        <v>32.398568945486439</v>
      </c>
      <c r="R1150" s="54">
        <f>IF($C1150="B",INDEX(Batters[[#All],[zScore]],MATCH(Table5[[#This Row],[PID]],Batters[[#All],[PID]],0)),INDEX(Table3[[#All],[zScore]],MATCH(Table5[[#This Row],[PID]],Table3[[#All],[PID]],0)))</f>
        <v>-1.398693080736269</v>
      </c>
      <c r="S1150" s="60" t="str">
        <f>IF($C1150="B",INDEX(Batters[[#All],[DEM]],MATCH(Table5[[#This Row],[PID]],Batters[[#All],[PID]],0)),INDEX(Table3[[#All],[DEM]],MATCH(Table5[[#This Row],[PID]],Table3[[#All],[PID]],0)))</f>
        <v>-</v>
      </c>
      <c r="T1150" s="64">
        <f>IF($C1150="B",VLOOKUP($A1150,Bat!$A$4:$AU$1417,46,FALSE),VLOOKUP($A1150,Pit!$A$4:$BD$570,55,FALSE))</f>
        <v>0</v>
      </c>
      <c r="U1150" s="52">
        <f>IF($C1150="B",VLOOKUP($A1150,Bat!$A$4:$BA$1417,47,FALSE),VLOOKUP($A1150,Pit!$A$4:$BF$570,56,FALSE))</f>
        <v>0</v>
      </c>
      <c r="V1150" s="52">
        <f>IF($C1150="B",VLOOKUP($A1150,Bat!$A$4:$BA$1417,48,FALSE),VLOOKUP($A1150,Pit!$A$4:$BF$570,57,FALSE))</f>
        <v>0</v>
      </c>
      <c r="W1150" s="52">
        <f>Table5[[#This Row],[posRnk]]+Table5[[#This Row],[zRnk]]+IF($W$3&lt;&gt;Table5[[#This Row],[Type]],50,0)</f>
        <v>1196</v>
      </c>
      <c r="X1150" s="53">
        <f>RANK(Table5[[#This Row],[zScore]],Table5[[#All],[zScore]])</f>
        <v>1146</v>
      </c>
      <c r="Y1150" s="52" t="str">
        <f>IFERROR(INDEX(DraftResults[[#All],[OVR]],MATCH(Table5[[#This Row],[PID]],DraftResults[[#All],[Player ID]],0)),"")</f>
        <v/>
      </c>
      <c r="Z11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0" s="52" t="str">
        <f>IFERROR(INDEX(DraftResults[[#All],[Pick in Round]],MATCH(Table5[[#This Row],[PID]],DraftResults[[#All],[Player ID]],0)),"")</f>
        <v/>
      </c>
      <c r="AB1150" s="52" t="str">
        <f>IFERROR(INDEX(DraftResults[[#All],[Team Name]],MATCH(Table5[[#This Row],[PID]],DraftResults[[#All],[Player ID]],0)),"")</f>
        <v/>
      </c>
      <c r="AC1150" s="52" t="str">
        <f>IF(Table5[[#This Row],[Ovr]]="","",IF(Table5[[#This Row],[cmbList]]="","",Table5[[#This Row],[cmbList]]-Table5[[#This Row],[Ovr]]))</f>
        <v/>
      </c>
      <c r="AD1150" s="56" t="str">
        <f>IF(ISERROR(VLOOKUP($AB1150&amp;"-"&amp;$E1150&amp;" "&amp;F1150,Bonuses!$B$1:$G$1006,4,FALSE)),"",INT(VLOOKUP($AB1150&amp;"-"&amp;$E1150&amp;" "&amp;$F1150,Bonuses!$B$1:$G$1006,4,FALSE)))</f>
        <v/>
      </c>
      <c r="AE11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1" spans="1:31" s="52" customFormat="1" x14ac:dyDescent="0.25">
      <c r="A1151" s="52">
        <v>9675</v>
      </c>
      <c r="B1151" s="52">
        <f>COUNTIF(Table5[PID],A1151)</f>
        <v>1</v>
      </c>
      <c r="C1151" s="52" t="str">
        <f>IF(COUNTIF(Table3[[#All],[PID]],A1151)&gt;0,"P","B")</f>
        <v>P</v>
      </c>
      <c r="D1151" s="61" t="str">
        <f>IF($C1151="B",INDEX(Batters[[#All],[POS]],MATCH(Table5[[#This Row],[PID]],Batters[[#All],[PID]],0)),INDEX(Table3[[#All],[POS]],MATCH(Table5[[#This Row],[PID]],Table3[[#All],[PID]],0)))</f>
        <v>RP</v>
      </c>
      <c r="E1151" s="54" t="str">
        <f>IF($C1151="B",INDEX(Batters[[#All],[First]],MATCH(Table5[[#This Row],[PID]],Batters[[#All],[PID]],0)),INDEX(Table3[[#All],[First]],MATCH(Table5[[#This Row],[PID]],Table3[[#All],[PID]],0)))</f>
        <v>Edward</v>
      </c>
      <c r="F1151" s="52" t="str">
        <f>IF($C1151="B",INDEX(Batters[[#All],[Last]],MATCH(A1151,Batters[[#All],[PID]],0)),INDEX(Table3[[#All],[Last]],MATCH(A1151,Table3[[#All],[PID]],0)))</f>
        <v>Robertson</v>
      </c>
      <c r="G1151" s="58">
        <f>IF($C1151="B",INDEX(Batters[[#All],[Age]],MATCH(Table5[[#This Row],[PID]],Batters[[#All],[PID]],0)),INDEX(Table3[[#All],[Age]],MATCH(Table5[[#This Row],[PID]],Table3[[#All],[PID]],0)))</f>
        <v>21</v>
      </c>
      <c r="H1151" s="54" t="str">
        <f>IF($C1151="B",INDEX(Batters[[#All],[B]],MATCH(Table5[[#This Row],[PID]],Batters[[#All],[PID]],0)),INDEX(Table3[[#All],[B]],MATCH(Table5[[#This Row],[PID]],Table3[[#All],[PID]],0)))</f>
        <v>R</v>
      </c>
      <c r="I1151" s="54" t="str">
        <f>IF($C1151="B",INDEX(Batters[[#All],[T]],MATCH(Table5[[#This Row],[PID]],Batters[[#All],[PID]],0)),INDEX(Table3[[#All],[T]],MATCH(Table5[[#This Row],[PID]],Table3[[#All],[PID]],0)))</f>
        <v>R</v>
      </c>
      <c r="J1151" s="54" t="str">
        <f>IF($C1151="B",INDEX(Batters[[#All],[WE]],MATCH(Table5[[#This Row],[PID]],Batters[[#All],[PID]],0)),INDEX(Table3[[#All],[WE]],MATCH(Table5[[#This Row],[PID]],Table3[[#All],[PID]],0)))</f>
        <v>High</v>
      </c>
      <c r="K1151" s="54" t="str">
        <f>IF($C1151="B",INDEX(Batters[[#All],[INT]],MATCH(Table5[[#This Row],[PID]],Batters[[#All],[PID]],0)),INDEX(Table3[[#All],[INT]],MATCH(Table5[[#This Row],[PID]],Table3[[#All],[PID]],0)))</f>
        <v>Normal</v>
      </c>
      <c r="L1151" s="62">
        <f>IF($C1151="B",INDEX(Batters[[#All],[CON P]],MATCH(Table5[[#This Row],[PID]],Batters[[#All],[PID]],0)),INDEX(Table3[[#All],[STU P]],MATCH(Table5[[#This Row],[PID]],Table3[[#All],[PID]],0)))</f>
        <v>4</v>
      </c>
      <c r="M1151" s="58">
        <f>IF($C1151="B",INDEX(Batters[[#All],[GAP P]],MATCH(Table5[[#This Row],[PID]],Batters[[#All],[PID]],0)),INDEX(Table3[[#All],[MOV P]],MATCH(Table5[[#This Row],[PID]],Table3[[#All],[PID]],0)))</f>
        <v>2</v>
      </c>
      <c r="N1151" s="58">
        <f>IF($C1151="B",INDEX(Batters[[#All],[POW P]],MATCH(Table5[[#This Row],[PID]],Batters[[#All],[PID]],0)),INDEX(Table3[[#All],[CON P]],MATCH(Table5[[#This Row],[PID]],Table3[[#All],[PID]],0)))</f>
        <v>2</v>
      </c>
      <c r="O1151" s="58" t="str">
        <f>IF($C1151="B",INDEX(Batters[[#All],[EYE P]],MATCH(Table5[[#This Row],[PID]],Batters[[#All],[PID]],0)),INDEX(Table3[[#All],[VELO]],MATCH(Table5[[#This Row],[PID]],Table3[[#All],[PID]],0)))</f>
        <v>87-89 Mph</v>
      </c>
      <c r="P1151" s="58">
        <f>IF($C1151="B",INDEX(Batters[[#All],[K P]],MATCH(Table5[[#This Row],[PID]],Batters[[#All],[PID]],0)),INDEX(Table3[[#All],[STM]],MATCH(Table5[[#This Row],[PID]],Table3[[#All],[PID]],0)))</f>
        <v>4</v>
      </c>
      <c r="Q1151" s="63">
        <f>IF($C1151="B",INDEX(Batters[[#All],[Tot]],MATCH(Table5[[#This Row],[PID]],Batters[[#All],[PID]],0)),INDEX(Table3[[#All],[Tot]],MATCH(Table5[[#This Row],[PID]],Table3[[#All],[PID]],0)))</f>
        <v>17.324748627749909</v>
      </c>
      <c r="R1151" s="54">
        <f>IF($C1151="B",INDEX(Batters[[#All],[zScore]],MATCH(Table5[[#This Row],[PID]],Batters[[#All],[PID]],0)),INDEX(Table3[[#All],[zScore]],MATCH(Table5[[#This Row],[PID]],Table3[[#All],[PID]],0)))</f>
        <v>-1.4120167644604102</v>
      </c>
      <c r="S1151" s="60" t="str">
        <f>IF($C1151="B",INDEX(Batters[[#All],[DEM]],MATCH(Table5[[#This Row],[PID]],Batters[[#All],[PID]],0)),INDEX(Table3[[#All],[DEM]],MATCH(Table5[[#This Row],[PID]],Table3[[#All],[PID]],0)))</f>
        <v>-</v>
      </c>
      <c r="T1151" s="64" t="e">
        <f>IF($C1151="B",VLOOKUP($A1151,Bat!$A$4:$AU$1417,46,FALSE),VLOOKUP($A1151,Pit!$A$4:$BD$570,55,FALSE))</f>
        <v>#N/A</v>
      </c>
      <c r="U1151" s="52" t="e">
        <f>IF($C1151="B",VLOOKUP($A1151,Bat!$A$4:$BA$1417,47,FALSE),VLOOKUP($A1151,Pit!$A$4:$BF$570,56,FALSE))</f>
        <v>#N/A</v>
      </c>
      <c r="V1151" s="52" t="e">
        <f>IF($C1151="B",VLOOKUP($A1151,Bat!$A$4:$BA$1417,48,FALSE),VLOOKUP($A1151,Pit!$A$4:$BF$570,57,FALSE))</f>
        <v>#N/A</v>
      </c>
      <c r="W1151" s="52" t="e">
        <f>Table5[[#This Row],[posRnk]]+Table5[[#This Row],[zRnk]]+IF($W$3&lt;&gt;Table5[[#This Row],[Type]],50,0)</f>
        <v>#N/A</v>
      </c>
      <c r="X1151" s="53">
        <f>RANK(Table5[[#This Row],[zScore]],Table5[[#All],[zScore]])</f>
        <v>1147</v>
      </c>
      <c r="Y1151" s="52" t="str">
        <f>IFERROR(INDEX(DraftResults[[#All],[OVR]],MATCH(Table5[[#This Row],[PID]],DraftResults[[#All],[Player ID]],0)),"")</f>
        <v/>
      </c>
      <c r="Z11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1" s="52" t="str">
        <f>IFERROR(INDEX(DraftResults[[#All],[Pick in Round]],MATCH(Table5[[#This Row],[PID]],DraftResults[[#All],[Player ID]],0)),"")</f>
        <v/>
      </c>
      <c r="AB1151" s="52" t="str">
        <f>IFERROR(INDEX(DraftResults[[#All],[Team Name]],MATCH(Table5[[#This Row],[PID]],DraftResults[[#All],[Player ID]],0)),"")</f>
        <v/>
      </c>
      <c r="AC1151" s="52" t="str">
        <f>IF(Table5[[#This Row],[Ovr]]="","",IF(Table5[[#This Row],[cmbList]]="","",Table5[[#This Row],[cmbList]]-Table5[[#This Row],[Ovr]]))</f>
        <v/>
      </c>
      <c r="AD1151" s="56" t="str">
        <f>IF(ISERROR(VLOOKUP($AB1151&amp;"-"&amp;$E1151&amp;" "&amp;F1151,Bonuses!$B$1:$G$1006,4,FALSE)),"",INT(VLOOKUP($AB1151&amp;"-"&amp;$E1151&amp;" "&amp;$F1151,Bonuses!$B$1:$G$1006,4,FALSE)))</f>
        <v/>
      </c>
      <c r="AE11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2" spans="1:31" s="52" customFormat="1" x14ac:dyDescent="0.25">
      <c r="A1152" s="52">
        <v>17926</v>
      </c>
      <c r="B1152" s="52">
        <f>COUNTIF(Table5[PID],A1152)</f>
        <v>1</v>
      </c>
      <c r="C1152" s="52" t="str">
        <f>IF(COUNTIF(Table3[[#All],[PID]],A1152)&gt;0,"P","B")</f>
        <v>B</v>
      </c>
      <c r="D1152" s="61" t="str">
        <f>IF($C1152="B",INDEX(Batters[[#All],[POS]],MATCH(Table5[[#This Row],[PID]],Batters[[#All],[PID]],0)),INDEX(Table3[[#All],[POS]],MATCH(Table5[[#This Row],[PID]],Table3[[#All],[PID]],0)))</f>
        <v>1B</v>
      </c>
      <c r="E1152" s="54" t="str">
        <f>IF($C1152="B",INDEX(Batters[[#All],[First]],MATCH(Table5[[#This Row],[PID]],Batters[[#All],[PID]],0)),INDEX(Table3[[#All],[First]],MATCH(Table5[[#This Row],[PID]],Table3[[#All],[PID]],0)))</f>
        <v>Hughie</v>
      </c>
      <c r="F1152" s="52" t="str">
        <f>IF($C1152="B",INDEX(Batters[[#All],[Last]],MATCH(A1152,Batters[[#All],[PID]],0)),INDEX(Table3[[#All],[Last]],MATCH(A1152,Table3[[#All],[PID]],0)))</f>
        <v>Clothier</v>
      </c>
      <c r="G1152" s="58">
        <f>IF($C1152="B",INDEX(Batters[[#All],[Age]],MATCH(Table5[[#This Row],[PID]],Batters[[#All],[PID]],0)),INDEX(Table3[[#All],[Age]],MATCH(Table5[[#This Row],[PID]],Table3[[#All],[PID]],0)))</f>
        <v>18</v>
      </c>
      <c r="H1152" s="54" t="str">
        <f>IF($C1152="B",INDEX(Batters[[#All],[B]],MATCH(Table5[[#This Row],[PID]],Batters[[#All],[PID]],0)),INDEX(Table3[[#All],[B]],MATCH(Table5[[#This Row],[PID]],Table3[[#All],[PID]],0)))</f>
        <v>R</v>
      </c>
      <c r="I1152" s="54" t="str">
        <f>IF($C1152="B",INDEX(Batters[[#All],[T]],MATCH(Table5[[#This Row],[PID]],Batters[[#All],[PID]],0)),INDEX(Table3[[#All],[T]],MATCH(Table5[[#This Row],[PID]],Table3[[#All],[PID]],0)))</f>
        <v>R</v>
      </c>
      <c r="J1152" s="54" t="str">
        <f>IF($C1152="B",INDEX(Batters[[#All],[WE]],MATCH(Table5[[#This Row],[PID]],Batters[[#All],[PID]],0)),INDEX(Table3[[#All],[WE]],MATCH(Table5[[#This Row],[PID]],Table3[[#All],[PID]],0)))</f>
        <v>Normal</v>
      </c>
      <c r="K1152" s="54" t="str">
        <f>IF($C1152="B",INDEX(Batters[[#All],[INT]],MATCH(Table5[[#This Row],[PID]],Batters[[#All],[PID]],0)),INDEX(Table3[[#All],[INT]],MATCH(Table5[[#This Row],[PID]],Table3[[#All],[PID]],0)))</f>
        <v>Normal</v>
      </c>
      <c r="L1152" s="62">
        <f>IF($C1152="B",INDEX(Batters[[#All],[CON P]],MATCH(Table5[[#This Row],[PID]],Batters[[#All],[PID]],0)),INDEX(Table3[[#All],[STU P]],MATCH(Table5[[#This Row],[PID]],Table3[[#All],[PID]],0)))</f>
        <v>2</v>
      </c>
      <c r="M1152" s="58">
        <f>IF($C1152="B",INDEX(Batters[[#All],[GAP P]],MATCH(Table5[[#This Row],[PID]],Batters[[#All],[PID]],0)),INDEX(Table3[[#All],[MOV P]],MATCH(Table5[[#This Row],[PID]],Table3[[#All],[PID]],0)))</f>
        <v>2</v>
      </c>
      <c r="N1152" s="58">
        <f>IF($C1152="B",INDEX(Batters[[#All],[POW P]],MATCH(Table5[[#This Row],[PID]],Batters[[#All],[PID]],0)),INDEX(Table3[[#All],[CON P]],MATCH(Table5[[#This Row],[PID]],Table3[[#All],[PID]],0)))</f>
        <v>2</v>
      </c>
      <c r="O1152" s="58">
        <f>IF($C1152="B",INDEX(Batters[[#All],[EYE P]],MATCH(Table5[[#This Row],[PID]],Batters[[#All],[PID]],0)),INDEX(Table3[[#All],[VELO]],MATCH(Table5[[#This Row],[PID]],Table3[[#All],[PID]],0)))</f>
        <v>2</v>
      </c>
      <c r="P1152" s="58">
        <f>IF($C1152="B",INDEX(Batters[[#All],[K P]],MATCH(Table5[[#This Row],[PID]],Batters[[#All],[PID]],0)),INDEX(Table3[[#All],[STM]],MATCH(Table5[[#This Row],[PID]],Table3[[#All],[PID]],0)))</f>
        <v>3</v>
      </c>
      <c r="Q1152" s="63">
        <f>IF($C1152="B",INDEX(Batters[[#All],[Tot]],MATCH(Table5[[#This Row],[PID]],Batters[[#All],[PID]],0)),INDEX(Table3[[#All],[Tot]],MATCH(Table5[[#This Row],[PID]],Table3[[#All],[PID]],0)))</f>
        <v>32.309890878318967</v>
      </c>
      <c r="R1152" s="54">
        <f>IF($C1152="B",INDEX(Batters[[#All],[zScore]],MATCH(Table5[[#This Row],[PID]],Batters[[#All],[PID]],0)),INDEX(Table3[[#All],[zScore]],MATCH(Table5[[#This Row],[PID]],Table3[[#All],[PID]],0)))</f>
        <v>-1.4142953972730483</v>
      </c>
      <c r="S1152" s="60" t="str">
        <f>IF($C1152="B",INDEX(Batters[[#All],[DEM]],MATCH(Table5[[#This Row],[PID]],Batters[[#All],[PID]],0)),INDEX(Table3[[#All],[DEM]],MATCH(Table5[[#This Row],[PID]],Table3[[#All],[PID]],0)))</f>
        <v>$65k</v>
      </c>
      <c r="T1152" s="64">
        <f>IF($C1152="B",VLOOKUP($A1152,Bat!$A$4:$AU$1417,46,FALSE),VLOOKUP($A1152,Pit!$A$4:$BD$570,55,FALSE))</f>
        <v>0</v>
      </c>
      <c r="U1152" s="52">
        <f>IF($C1152="B",VLOOKUP($A1152,Bat!$A$4:$BA$1417,47,FALSE),VLOOKUP($A1152,Pit!$A$4:$BF$570,56,FALSE))</f>
        <v>0</v>
      </c>
      <c r="V1152" s="52">
        <f>IF($C1152="B",VLOOKUP($A1152,Bat!$A$4:$BA$1417,48,FALSE),VLOOKUP($A1152,Pit!$A$4:$BF$570,57,FALSE))</f>
        <v>0</v>
      </c>
      <c r="W1152" s="52">
        <f>Table5[[#This Row],[posRnk]]+Table5[[#This Row],[zRnk]]+IF($W$3&lt;&gt;Table5[[#This Row],[Type]],50,0)</f>
        <v>1198</v>
      </c>
      <c r="X1152" s="53">
        <f>RANK(Table5[[#This Row],[zScore]],Table5[[#All],[zScore]])</f>
        <v>1148</v>
      </c>
      <c r="Y1152" s="52" t="str">
        <f>IFERROR(INDEX(DraftResults[[#All],[OVR]],MATCH(Table5[[#This Row],[PID]],DraftResults[[#All],[Player ID]],0)),"")</f>
        <v/>
      </c>
      <c r="Z11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2" s="52" t="str">
        <f>IFERROR(INDEX(DraftResults[[#All],[Pick in Round]],MATCH(Table5[[#This Row],[PID]],DraftResults[[#All],[Player ID]],0)),"")</f>
        <v/>
      </c>
      <c r="AB1152" s="52" t="str">
        <f>IFERROR(INDEX(DraftResults[[#All],[Team Name]],MATCH(Table5[[#This Row],[PID]],DraftResults[[#All],[Player ID]],0)),"")</f>
        <v/>
      </c>
      <c r="AC1152" s="52" t="str">
        <f>IF(Table5[[#This Row],[Ovr]]="","",IF(Table5[[#This Row],[cmbList]]="","",Table5[[#This Row],[cmbList]]-Table5[[#This Row],[Ovr]]))</f>
        <v/>
      </c>
      <c r="AD1152" s="56" t="str">
        <f>IF(ISERROR(VLOOKUP($AB1152&amp;"-"&amp;$E1152&amp;" "&amp;F1152,Bonuses!$B$1:$G$1006,4,FALSE)),"",INT(VLOOKUP($AB1152&amp;"-"&amp;$E1152&amp;" "&amp;$F1152,Bonuses!$B$1:$G$1006,4,FALSE)))</f>
        <v/>
      </c>
      <c r="AE11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3" spans="1:31" s="52" customFormat="1" x14ac:dyDescent="0.25">
      <c r="A1153" s="52">
        <v>9851</v>
      </c>
      <c r="B1153" s="52">
        <f>COUNTIF(Table5[PID],A1153)</f>
        <v>1</v>
      </c>
      <c r="C1153" s="52" t="str">
        <f>IF(COUNTIF(Table3[[#All],[PID]],A1153)&gt;0,"P","B")</f>
        <v>B</v>
      </c>
      <c r="D1153" s="61" t="str">
        <f>IF($C1153="B",INDEX(Batters[[#All],[POS]],MATCH(Table5[[#This Row],[PID]],Batters[[#All],[PID]],0)),INDEX(Table3[[#All],[POS]],MATCH(Table5[[#This Row],[PID]],Table3[[#All],[PID]],0)))</f>
        <v>1B</v>
      </c>
      <c r="E1153" s="54" t="str">
        <f>IF($C1153="B",INDEX(Batters[[#All],[First]],MATCH(Table5[[#This Row],[PID]],Batters[[#All],[PID]],0)),INDEX(Table3[[#All],[First]],MATCH(Table5[[#This Row],[PID]],Table3[[#All],[PID]],0)))</f>
        <v>Ron</v>
      </c>
      <c r="F1153" s="52" t="str">
        <f>IF($C1153="B",INDEX(Batters[[#All],[Last]],MATCH(A1153,Batters[[#All],[PID]],0)),INDEX(Table3[[#All],[Last]],MATCH(A1153,Table3[[#All],[PID]],0)))</f>
        <v>Poff</v>
      </c>
      <c r="G1153" s="58">
        <f>IF($C1153="B",INDEX(Batters[[#All],[Age]],MATCH(Table5[[#This Row],[PID]],Batters[[#All],[PID]],0)),INDEX(Table3[[#All],[Age]],MATCH(Table5[[#This Row],[PID]],Table3[[#All],[PID]],0)))</f>
        <v>21</v>
      </c>
      <c r="H1153" s="54" t="str">
        <f>IF($C1153="B",INDEX(Batters[[#All],[B]],MATCH(Table5[[#This Row],[PID]],Batters[[#All],[PID]],0)),INDEX(Table3[[#All],[B]],MATCH(Table5[[#This Row],[PID]],Table3[[#All],[PID]],0)))</f>
        <v>L</v>
      </c>
      <c r="I1153" s="54" t="str">
        <f>IF($C1153="B",INDEX(Batters[[#All],[T]],MATCH(Table5[[#This Row],[PID]],Batters[[#All],[PID]],0)),INDEX(Table3[[#All],[T]],MATCH(Table5[[#This Row],[PID]],Table3[[#All],[PID]],0)))</f>
        <v>L</v>
      </c>
      <c r="J1153" s="54" t="str">
        <f>IF($C1153="B",INDEX(Batters[[#All],[WE]],MATCH(Table5[[#This Row],[PID]],Batters[[#All],[PID]],0)),INDEX(Table3[[#All],[WE]],MATCH(Table5[[#This Row],[PID]],Table3[[#All],[PID]],0)))</f>
        <v>Normal</v>
      </c>
      <c r="K1153" s="54" t="str">
        <f>IF($C1153="B",INDEX(Batters[[#All],[INT]],MATCH(Table5[[#This Row],[PID]],Batters[[#All],[PID]],0)),INDEX(Table3[[#All],[INT]],MATCH(Table5[[#This Row],[PID]],Table3[[#All],[PID]],0)))</f>
        <v>Normal</v>
      </c>
      <c r="L1153" s="62">
        <f>IF($C1153="B",INDEX(Batters[[#All],[CON P]],MATCH(Table5[[#This Row],[PID]],Batters[[#All],[PID]],0)),INDEX(Table3[[#All],[STU P]],MATCH(Table5[[#This Row],[PID]],Table3[[#All],[PID]],0)))</f>
        <v>3</v>
      </c>
      <c r="M1153" s="58">
        <f>IF($C1153="B",INDEX(Batters[[#All],[GAP P]],MATCH(Table5[[#This Row],[PID]],Batters[[#All],[PID]],0)),INDEX(Table3[[#All],[MOV P]],MATCH(Table5[[#This Row],[PID]],Table3[[#All],[PID]],0)))</f>
        <v>3</v>
      </c>
      <c r="N1153" s="58">
        <f>IF($C1153="B",INDEX(Batters[[#All],[POW P]],MATCH(Table5[[#This Row],[PID]],Batters[[#All],[PID]],0)),INDEX(Table3[[#All],[CON P]],MATCH(Table5[[#This Row],[PID]],Table3[[#All],[PID]],0)))</f>
        <v>2</v>
      </c>
      <c r="O1153" s="58">
        <f>IF($C1153="B",INDEX(Batters[[#All],[EYE P]],MATCH(Table5[[#This Row],[PID]],Batters[[#All],[PID]],0)),INDEX(Table3[[#All],[VELO]],MATCH(Table5[[#This Row],[PID]],Table3[[#All],[PID]],0)))</f>
        <v>2</v>
      </c>
      <c r="P1153" s="58">
        <f>IF($C1153="B",INDEX(Batters[[#All],[K P]],MATCH(Table5[[#This Row],[PID]],Batters[[#All],[PID]],0)),INDEX(Table3[[#All],[STM]],MATCH(Table5[[#This Row],[PID]],Table3[[#All],[PID]],0)))</f>
        <v>4</v>
      </c>
      <c r="Q1153" s="63">
        <f>IF($C1153="B",INDEX(Batters[[#All],[Tot]],MATCH(Table5[[#This Row],[PID]],Batters[[#All],[PID]],0)),INDEX(Table3[[#All],[Tot]],MATCH(Table5[[#This Row],[PID]],Table3[[#All],[PID]],0)))</f>
        <v>32.309732763582488</v>
      </c>
      <c r="R1153" s="54">
        <f>IF($C1153="B",INDEX(Batters[[#All],[zScore]],MATCH(Table5[[#This Row],[PID]],Batters[[#All],[PID]],0)),INDEX(Table3[[#All],[zScore]],MATCH(Table5[[#This Row],[PID]],Table3[[#All],[PID]],0)))</f>
        <v>-1.4143232165100532</v>
      </c>
      <c r="S1153" s="60" t="str">
        <f>IF($C1153="B",INDEX(Batters[[#All],[DEM]],MATCH(Table5[[#This Row],[PID]],Batters[[#All],[PID]],0)),INDEX(Table3[[#All],[DEM]],MATCH(Table5[[#This Row],[PID]],Table3[[#All],[PID]],0)))</f>
        <v>$34k</v>
      </c>
      <c r="T1153" s="64">
        <f>IF($C1153="B",VLOOKUP($A1153,Bat!$A$4:$AU$1417,46,FALSE),VLOOKUP($A1153,Pit!$A$4:$BD$570,55,FALSE))</f>
        <v>0</v>
      </c>
      <c r="U1153" s="52">
        <f>IF($C1153="B",VLOOKUP($A1153,Bat!$A$4:$BA$1417,47,FALSE),VLOOKUP($A1153,Pit!$A$4:$BF$570,56,FALSE))</f>
        <v>0</v>
      </c>
      <c r="V1153" s="52">
        <f>IF($C1153="B",VLOOKUP($A1153,Bat!$A$4:$BA$1417,48,FALSE),VLOOKUP($A1153,Pit!$A$4:$BF$570,57,FALSE))</f>
        <v>0</v>
      </c>
      <c r="W1153" s="52">
        <f>Table5[[#This Row],[posRnk]]+Table5[[#This Row],[zRnk]]+IF($W$3&lt;&gt;Table5[[#This Row],[Type]],50,0)</f>
        <v>1199</v>
      </c>
      <c r="X1153" s="53">
        <f>RANK(Table5[[#This Row],[zScore]],Table5[[#All],[zScore]])</f>
        <v>1149</v>
      </c>
      <c r="Y1153" s="52" t="str">
        <f>IFERROR(INDEX(DraftResults[[#All],[OVR]],MATCH(Table5[[#This Row],[PID]],DraftResults[[#All],[Player ID]],0)),"")</f>
        <v/>
      </c>
      <c r="Z11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3" s="52" t="str">
        <f>IFERROR(INDEX(DraftResults[[#All],[Pick in Round]],MATCH(Table5[[#This Row],[PID]],DraftResults[[#All],[Player ID]],0)),"")</f>
        <v/>
      </c>
      <c r="AB1153" s="52" t="str">
        <f>IFERROR(INDEX(DraftResults[[#All],[Team Name]],MATCH(Table5[[#This Row],[PID]],DraftResults[[#All],[Player ID]],0)),"")</f>
        <v/>
      </c>
      <c r="AC1153" s="52" t="str">
        <f>IF(Table5[[#This Row],[Ovr]]="","",IF(Table5[[#This Row],[cmbList]]="","",Table5[[#This Row],[cmbList]]-Table5[[#This Row],[Ovr]]))</f>
        <v/>
      </c>
      <c r="AD1153" s="56" t="str">
        <f>IF(ISERROR(VLOOKUP($AB1153&amp;"-"&amp;$E1153&amp;" "&amp;F1153,Bonuses!$B$1:$G$1006,4,FALSE)),"",INT(VLOOKUP($AB1153&amp;"-"&amp;$E1153&amp;" "&amp;$F1153,Bonuses!$B$1:$G$1006,4,FALSE)))</f>
        <v/>
      </c>
      <c r="AE11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4" spans="1:31" s="52" customFormat="1" x14ac:dyDescent="0.25">
      <c r="A1154" s="52">
        <v>9533</v>
      </c>
      <c r="B1154" s="52">
        <f>COUNTIF(Table5[PID],A1154)</f>
        <v>1</v>
      </c>
      <c r="C1154" s="52" t="str">
        <f>IF(COUNTIF(Table3[[#All],[PID]],A1154)&gt;0,"P","B")</f>
        <v>B</v>
      </c>
      <c r="D1154" s="61" t="str">
        <f>IF($C1154="B",INDEX(Batters[[#All],[POS]],MATCH(Table5[[#This Row],[PID]],Batters[[#All],[PID]],0)),INDEX(Table3[[#All],[POS]],MATCH(Table5[[#This Row],[PID]],Table3[[#All],[PID]],0)))</f>
        <v>1B</v>
      </c>
      <c r="E1154" s="54" t="str">
        <f>IF($C1154="B",INDEX(Batters[[#All],[First]],MATCH(Table5[[#This Row],[PID]],Batters[[#All],[PID]],0)),INDEX(Table3[[#All],[First]],MATCH(Table5[[#This Row],[PID]],Table3[[#All],[PID]],0)))</f>
        <v>Stephen</v>
      </c>
      <c r="F1154" s="52" t="str">
        <f>IF($C1154="B",INDEX(Batters[[#All],[Last]],MATCH(A1154,Batters[[#All],[PID]],0)),INDEX(Table3[[#All],[Last]],MATCH(A1154,Table3[[#All],[PID]],0)))</f>
        <v>Robinson</v>
      </c>
      <c r="G1154" s="58">
        <f>IF($C1154="B",INDEX(Batters[[#All],[Age]],MATCH(Table5[[#This Row],[PID]],Batters[[#All],[PID]],0)),INDEX(Table3[[#All],[Age]],MATCH(Table5[[#This Row],[PID]],Table3[[#All],[PID]],0)))</f>
        <v>21</v>
      </c>
      <c r="H1154" s="54" t="str">
        <f>IF($C1154="B",INDEX(Batters[[#All],[B]],MATCH(Table5[[#This Row],[PID]],Batters[[#All],[PID]],0)),INDEX(Table3[[#All],[B]],MATCH(Table5[[#This Row],[PID]],Table3[[#All],[PID]],0)))</f>
        <v>R</v>
      </c>
      <c r="I1154" s="54" t="str">
        <f>IF($C1154="B",INDEX(Batters[[#All],[T]],MATCH(Table5[[#This Row],[PID]],Batters[[#All],[PID]],0)),INDEX(Table3[[#All],[T]],MATCH(Table5[[#This Row],[PID]],Table3[[#All],[PID]],0)))</f>
        <v>L</v>
      </c>
      <c r="J1154" s="54" t="str">
        <f>IF($C1154="B",INDEX(Batters[[#All],[WE]],MATCH(Table5[[#This Row],[PID]],Batters[[#All],[PID]],0)),INDEX(Table3[[#All],[WE]],MATCH(Table5[[#This Row],[PID]],Table3[[#All],[PID]],0)))</f>
        <v>Normal</v>
      </c>
      <c r="K1154" s="54" t="str">
        <f>IF($C1154="B",INDEX(Batters[[#All],[INT]],MATCH(Table5[[#This Row],[PID]],Batters[[#All],[PID]],0)),INDEX(Table3[[#All],[INT]],MATCH(Table5[[#This Row],[PID]],Table3[[#All],[PID]],0)))</f>
        <v>Normal</v>
      </c>
      <c r="L1154" s="62">
        <f>IF($C1154="B",INDEX(Batters[[#All],[CON P]],MATCH(Table5[[#This Row],[PID]],Batters[[#All],[PID]],0)),INDEX(Table3[[#All],[STU P]],MATCH(Table5[[#This Row],[PID]],Table3[[#All],[PID]],0)))</f>
        <v>3</v>
      </c>
      <c r="M1154" s="58">
        <f>IF($C1154="B",INDEX(Batters[[#All],[GAP P]],MATCH(Table5[[#This Row],[PID]],Batters[[#All],[PID]],0)),INDEX(Table3[[#All],[MOV P]],MATCH(Table5[[#This Row],[PID]],Table3[[#All],[PID]],0)))</f>
        <v>3</v>
      </c>
      <c r="N1154" s="58">
        <f>IF($C1154="B",INDEX(Batters[[#All],[POW P]],MATCH(Table5[[#This Row],[PID]],Batters[[#All],[PID]],0)),INDEX(Table3[[#All],[CON P]],MATCH(Table5[[#This Row],[PID]],Table3[[#All],[PID]],0)))</f>
        <v>2</v>
      </c>
      <c r="O1154" s="58">
        <f>IF($C1154="B",INDEX(Batters[[#All],[EYE P]],MATCH(Table5[[#This Row],[PID]],Batters[[#All],[PID]],0)),INDEX(Table3[[#All],[VELO]],MATCH(Table5[[#This Row],[PID]],Table3[[#All],[PID]],0)))</f>
        <v>2</v>
      </c>
      <c r="P1154" s="58">
        <f>IF($C1154="B",INDEX(Batters[[#All],[K P]],MATCH(Table5[[#This Row],[PID]],Batters[[#All],[PID]],0)),INDEX(Table3[[#All],[STM]],MATCH(Table5[[#This Row],[PID]],Table3[[#All],[PID]],0)))</f>
        <v>4</v>
      </c>
      <c r="Q1154" s="63">
        <f>IF($C1154="B",INDEX(Batters[[#All],[Tot]],MATCH(Table5[[#This Row],[PID]],Batters[[#All],[PID]],0)),INDEX(Table3[[#All],[Tot]],MATCH(Table5[[#This Row],[PID]],Table3[[#All],[PID]],0)))</f>
        <v>32.309732763582488</v>
      </c>
      <c r="R1154" s="54">
        <f>IF($C1154="B",INDEX(Batters[[#All],[zScore]],MATCH(Table5[[#This Row],[PID]],Batters[[#All],[PID]],0)),INDEX(Table3[[#All],[zScore]],MATCH(Table5[[#This Row],[PID]],Table3[[#All],[PID]],0)))</f>
        <v>-1.4143232165100532</v>
      </c>
      <c r="S1154" s="60" t="str">
        <f>IF($C1154="B",INDEX(Batters[[#All],[DEM]],MATCH(Table5[[#This Row],[PID]],Batters[[#All],[PID]],0)),INDEX(Table3[[#All],[DEM]],MATCH(Table5[[#This Row],[PID]],Table3[[#All],[PID]],0)))</f>
        <v>-</v>
      </c>
      <c r="T1154" s="64">
        <f>IF($C1154="B",VLOOKUP($A1154,Bat!$A$4:$AU$1417,46,FALSE),VLOOKUP($A1154,Pit!$A$4:$BD$570,55,FALSE))</f>
        <v>0</v>
      </c>
      <c r="U1154" s="52">
        <f>IF($C1154="B",VLOOKUP($A1154,Bat!$A$4:$BA$1417,47,FALSE),VLOOKUP($A1154,Pit!$A$4:$BF$570,56,FALSE))</f>
        <v>0</v>
      </c>
      <c r="V1154" s="52">
        <f>IF($C1154="B",VLOOKUP($A1154,Bat!$A$4:$BA$1417,48,FALSE),VLOOKUP($A1154,Pit!$A$4:$BF$570,57,FALSE))</f>
        <v>0</v>
      </c>
      <c r="W1154" s="52">
        <f>Table5[[#This Row],[posRnk]]+Table5[[#This Row],[zRnk]]+IF($W$3&lt;&gt;Table5[[#This Row],[Type]],50,0)</f>
        <v>1199</v>
      </c>
      <c r="X1154" s="53">
        <f>RANK(Table5[[#This Row],[zScore]],Table5[[#All],[zScore]])</f>
        <v>1149</v>
      </c>
      <c r="Y1154" s="52" t="str">
        <f>IFERROR(INDEX(DraftResults[[#All],[OVR]],MATCH(Table5[[#This Row],[PID]],DraftResults[[#All],[Player ID]],0)),"")</f>
        <v/>
      </c>
      <c r="Z11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4" s="52" t="str">
        <f>IFERROR(INDEX(DraftResults[[#All],[Pick in Round]],MATCH(Table5[[#This Row],[PID]],DraftResults[[#All],[Player ID]],0)),"")</f>
        <v/>
      </c>
      <c r="AB1154" s="52" t="str">
        <f>IFERROR(INDEX(DraftResults[[#All],[Team Name]],MATCH(Table5[[#This Row],[PID]],DraftResults[[#All],[Player ID]],0)),"")</f>
        <v/>
      </c>
      <c r="AC1154" s="52" t="str">
        <f>IF(Table5[[#This Row],[Ovr]]="","",IF(Table5[[#This Row],[cmbList]]="","",Table5[[#This Row],[cmbList]]-Table5[[#This Row],[Ovr]]))</f>
        <v/>
      </c>
      <c r="AD1154" s="56" t="str">
        <f>IF(ISERROR(VLOOKUP($AB1154&amp;"-"&amp;$E1154&amp;" "&amp;F1154,Bonuses!$B$1:$G$1006,4,FALSE)),"",INT(VLOOKUP($AB1154&amp;"-"&amp;$E1154&amp;" "&amp;$F1154,Bonuses!$B$1:$G$1006,4,FALSE)))</f>
        <v/>
      </c>
      <c r="AE11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5" spans="1:31" s="52" customFormat="1" x14ac:dyDescent="0.25">
      <c r="A1155" s="52">
        <v>12727</v>
      </c>
      <c r="B1155" s="52">
        <f>COUNTIF(Table5[PID],A1155)</f>
        <v>1</v>
      </c>
      <c r="C1155" s="52" t="str">
        <f>IF(COUNTIF(Table3[[#All],[PID]],A1155)&gt;0,"P","B")</f>
        <v>P</v>
      </c>
      <c r="D1155" s="61" t="str">
        <f>IF($C1155="B",INDEX(Batters[[#All],[POS]],MATCH(Table5[[#This Row],[PID]],Batters[[#All],[PID]],0)),INDEX(Table3[[#All],[POS]],MATCH(Table5[[#This Row],[PID]],Table3[[#All],[PID]],0)))</f>
        <v>SP</v>
      </c>
      <c r="E1155" s="54" t="str">
        <f>IF($C1155="B",INDEX(Batters[[#All],[First]],MATCH(Table5[[#This Row],[PID]],Batters[[#All],[PID]],0)),INDEX(Table3[[#All],[First]],MATCH(Table5[[#This Row],[PID]],Table3[[#All],[PID]],0)))</f>
        <v>Michizane</v>
      </c>
      <c r="F1155" s="52" t="str">
        <f>IF($C1155="B",INDEX(Batters[[#All],[Last]],MATCH(A1155,Batters[[#All],[PID]],0)),INDEX(Table3[[#All],[Last]],MATCH(A1155,Table3[[#All],[PID]],0)))</f>
        <v>Tanaka</v>
      </c>
      <c r="G1155" s="58">
        <f>IF($C1155="B",INDEX(Batters[[#All],[Age]],MATCH(Table5[[#This Row],[PID]],Batters[[#All],[PID]],0)),INDEX(Table3[[#All],[Age]],MATCH(Table5[[#This Row],[PID]],Table3[[#All],[PID]],0)))</f>
        <v>21</v>
      </c>
      <c r="H1155" s="54" t="str">
        <f>IF($C1155="B",INDEX(Batters[[#All],[B]],MATCH(Table5[[#This Row],[PID]],Batters[[#All],[PID]],0)),INDEX(Table3[[#All],[B]],MATCH(Table5[[#This Row],[PID]],Table3[[#All],[PID]],0)))</f>
        <v>L</v>
      </c>
      <c r="I1155" s="54" t="str">
        <f>IF($C1155="B",INDEX(Batters[[#All],[T]],MATCH(Table5[[#This Row],[PID]],Batters[[#All],[PID]],0)),INDEX(Table3[[#All],[T]],MATCH(Table5[[#This Row],[PID]],Table3[[#All],[PID]],0)))</f>
        <v>R</v>
      </c>
      <c r="J1155" s="54" t="str">
        <f>IF($C1155="B",INDEX(Batters[[#All],[WE]],MATCH(Table5[[#This Row],[PID]],Batters[[#All],[PID]],0)),INDEX(Table3[[#All],[WE]],MATCH(Table5[[#This Row],[PID]],Table3[[#All],[PID]],0)))</f>
        <v>Low</v>
      </c>
      <c r="K1155" s="54" t="str">
        <f>IF($C1155="B",INDEX(Batters[[#All],[INT]],MATCH(Table5[[#This Row],[PID]],Batters[[#All],[PID]],0)),INDEX(Table3[[#All],[INT]],MATCH(Table5[[#This Row],[PID]],Table3[[#All],[PID]],0)))</f>
        <v>Normal</v>
      </c>
      <c r="L1155" s="62">
        <f>IF($C1155="B",INDEX(Batters[[#All],[CON P]],MATCH(Table5[[#This Row],[PID]],Batters[[#All],[PID]],0)),INDEX(Table3[[#All],[STU P]],MATCH(Table5[[#This Row],[PID]],Table3[[#All],[PID]],0)))</f>
        <v>4</v>
      </c>
      <c r="M1155" s="58">
        <f>IF($C1155="B",INDEX(Batters[[#All],[GAP P]],MATCH(Table5[[#This Row],[PID]],Batters[[#All],[PID]],0)),INDEX(Table3[[#All],[MOV P]],MATCH(Table5[[#This Row],[PID]],Table3[[#All],[PID]],0)))</f>
        <v>1</v>
      </c>
      <c r="N1155" s="58">
        <f>IF($C1155="B",INDEX(Batters[[#All],[POW P]],MATCH(Table5[[#This Row],[PID]],Batters[[#All],[PID]],0)),INDEX(Table3[[#All],[CON P]],MATCH(Table5[[#This Row],[PID]],Table3[[#All],[PID]],0)))</f>
        <v>1</v>
      </c>
      <c r="O1155" s="58" t="str">
        <f>IF($C1155="B",INDEX(Batters[[#All],[EYE P]],MATCH(Table5[[#This Row],[PID]],Batters[[#All],[PID]],0)),INDEX(Table3[[#All],[VELO]],MATCH(Table5[[#This Row],[PID]],Table3[[#All],[PID]],0)))</f>
        <v>93-95 Mph</v>
      </c>
      <c r="P1155" s="58">
        <f>IF($C1155="B",INDEX(Batters[[#All],[K P]],MATCH(Table5[[#This Row],[PID]],Batters[[#All],[PID]],0)),INDEX(Table3[[#All],[STM]],MATCH(Table5[[#This Row],[PID]],Table3[[#All],[PID]],0)))</f>
        <v>8</v>
      </c>
      <c r="Q1155" s="63">
        <f>IF($C1155="B",INDEX(Batters[[#All],[Tot]],MATCH(Table5[[#This Row],[PID]],Batters[[#All],[PID]],0)),INDEX(Table3[[#All],[Tot]],MATCH(Table5[[#This Row],[PID]],Table3[[#All],[PID]],0)))</f>
        <v>17.2930894218294</v>
      </c>
      <c r="R1155" s="54">
        <f>IF($C1155="B",INDEX(Batters[[#All],[zScore]],MATCH(Table5[[#This Row],[PID]],Batters[[#All],[PID]],0)),INDEX(Table3[[#All],[zScore]],MATCH(Table5[[#This Row],[PID]],Table3[[#All],[PID]],0)))</f>
        <v>-1.4149200489576108</v>
      </c>
      <c r="S1155" s="60" t="str">
        <f>IF($C1155="B",INDEX(Batters[[#All],[DEM]],MATCH(Table5[[#This Row],[PID]],Batters[[#All],[PID]],0)),INDEX(Table3[[#All],[DEM]],MATCH(Table5[[#This Row],[PID]],Table3[[#All],[PID]],0)))</f>
        <v>-</v>
      </c>
      <c r="T1155" s="64" t="e">
        <f>IF($C1155="B",VLOOKUP($A1155,Bat!$A$4:$AU$1417,46,FALSE),VLOOKUP($A1155,Pit!$A$4:$BD$570,55,FALSE))</f>
        <v>#N/A</v>
      </c>
      <c r="U1155" s="52" t="e">
        <f>IF($C1155="B",VLOOKUP($A1155,Bat!$A$4:$BA$1417,47,FALSE),VLOOKUP($A1155,Pit!$A$4:$BF$570,56,FALSE))</f>
        <v>#N/A</v>
      </c>
      <c r="V1155" s="52" t="e">
        <f>IF($C1155="B",VLOOKUP($A1155,Bat!$A$4:$BA$1417,48,FALSE),VLOOKUP($A1155,Pit!$A$4:$BF$570,57,FALSE))</f>
        <v>#N/A</v>
      </c>
      <c r="W1155" s="52" t="e">
        <f>Table5[[#This Row],[posRnk]]+Table5[[#This Row],[zRnk]]+IF($W$3&lt;&gt;Table5[[#This Row],[Type]],50,0)</f>
        <v>#N/A</v>
      </c>
      <c r="X1155" s="53">
        <f>RANK(Table5[[#This Row],[zScore]],Table5[[#All],[zScore]])</f>
        <v>1151</v>
      </c>
      <c r="Y1155" s="52" t="str">
        <f>IFERROR(INDEX(DraftResults[[#All],[OVR]],MATCH(Table5[[#This Row],[PID]],DraftResults[[#All],[Player ID]],0)),"")</f>
        <v/>
      </c>
      <c r="Z11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5" s="52" t="str">
        <f>IFERROR(INDEX(DraftResults[[#All],[Pick in Round]],MATCH(Table5[[#This Row],[PID]],DraftResults[[#All],[Player ID]],0)),"")</f>
        <v/>
      </c>
      <c r="AB1155" s="52" t="str">
        <f>IFERROR(INDEX(DraftResults[[#All],[Team Name]],MATCH(Table5[[#This Row],[PID]],DraftResults[[#All],[Player ID]],0)),"")</f>
        <v/>
      </c>
      <c r="AC1155" s="52" t="str">
        <f>IF(Table5[[#This Row],[Ovr]]="","",IF(Table5[[#This Row],[cmbList]]="","",Table5[[#This Row],[cmbList]]-Table5[[#This Row],[Ovr]]))</f>
        <v/>
      </c>
      <c r="AD1155" s="56" t="str">
        <f>IF(ISERROR(VLOOKUP($AB1155&amp;"-"&amp;$E1155&amp;" "&amp;F1155,Bonuses!$B$1:$G$1006,4,FALSE)),"",INT(VLOOKUP($AB1155&amp;"-"&amp;$E1155&amp;" "&amp;$F1155,Bonuses!$B$1:$G$1006,4,FALSE)))</f>
        <v/>
      </c>
      <c r="AE11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6" spans="1:31" s="52" customFormat="1" x14ac:dyDescent="0.25">
      <c r="A1156" s="52">
        <v>15966</v>
      </c>
      <c r="B1156" s="52">
        <f>COUNTIF(Table5[PID],A1156)</f>
        <v>1</v>
      </c>
      <c r="C1156" s="52" t="str">
        <f>IF(COUNTIF(Table3[[#All],[PID]],A1156)&gt;0,"P","B")</f>
        <v>P</v>
      </c>
      <c r="D1156" s="61" t="str">
        <f>IF($C1156="B",INDEX(Batters[[#All],[POS]],MATCH(Table5[[#This Row],[PID]],Batters[[#All],[PID]],0)),INDEX(Table3[[#All],[POS]],MATCH(Table5[[#This Row],[PID]],Table3[[#All],[PID]],0)))</f>
        <v>RP</v>
      </c>
      <c r="E1156" s="54" t="str">
        <f>IF($C1156="B",INDEX(Batters[[#All],[First]],MATCH(Table5[[#This Row],[PID]],Batters[[#All],[PID]],0)),INDEX(Table3[[#All],[First]],MATCH(Table5[[#This Row],[PID]],Table3[[#All],[PID]],0)))</f>
        <v>Stuart</v>
      </c>
      <c r="F1156" s="52" t="str">
        <f>IF($C1156="B",INDEX(Batters[[#All],[Last]],MATCH(A1156,Batters[[#All],[PID]],0)),INDEX(Table3[[#All],[Last]],MATCH(A1156,Table3[[#All],[PID]],0)))</f>
        <v>Bould</v>
      </c>
      <c r="G1156" s="58">
        <f>IF($C1156="B",INDEX(Batters[[#All],[Age]],MATCH(Table5[[#This Row],[PID]],Batters[[#All],[PID]],0)),INDEX(Table3[[#All],[Age]],MATCH(Table5[[#This Row],[PID]],Table3[[#All],[PID]],0)))</f>
        <v>21</v>
      </c>
      <c r="H1156" s="54" t="str">
        <f>IF($C1156="B",INDEX(Batters[[#All],[B]],MATCH(Table5[[#This Row],[PID]],Batters[[#All],[PID]],0)),INDEX(Table3[[#All],[B]],MATCH(Table5[[#This Row],[PID]],Table3[[#All],[PID]],0)))</f>
        <v>R</v>
      </c>
      <c r="I1156" s="54" t="str">
        <f>IF($C1156="B",INDEX(Batters[[#All],[T]],MATCH(Table5[[#This Row],[PID]],Batters[[#All],[PID]],0)),INDEX(Table3[[#All],[T]],MATCH(Table5[[#This Row],[PID]],Table3[[#All],[PID]],0)))</f>
        <v>R</v>
      </c>
      <c r="J1156" s="54" t="str">
        <f>IF($C1156="B",INDEX(Batters[[#All],[WE]],MATCH(Table5[[#This Row],[PID]],Batters[[#All],[PID]],0)),INDEX(Table3[[#All],[WE]],MATCH(Table5[[#This Row],[PID]],Table3[[#All],[PID]],0)))</f>
        <v>Low</v>
      </c>
      <c r="K1156" s="54" t="str">
        <f>IF($C1156="B",INDEX(Batters[[#All],[INT]],MATCH(Table5[[#This Row],[PID]],Batters[[#All],[PID]],0)),INDEX(Table3[[#All],[INT]],MATCH(Table5[[#This Row],[PID]],Table3[[#All],[PID]],0)))</f>
        <v>Normal</v>
      </c>
      <c r="L1156" s="62">
        <f>IF($C1156="B",INDEX(Batters[[#All],[CON P]],MATCH(Table5[[#This Row],[PID]],Batters[[#All],[PID]],0)),INDEX(Table3[[#All],[STU P]],MATCH(Table5[[#This Row],[PID]],Table3[[#All],[PID]],0)))</f>
        <v>4</v>
      </c>
      <c r="M1156" s="58">
        <f>IF($C1156="B",INDEX(Batters[[#All],[GAP P]],MATCH(Table5[[#This Row],[PID]],Batters[[#All],[PID]],0)),INDEX(Table3[[#All],[MOV P]],MATCH(Table5[[#This Row],[PID]],Table3[[#All],[PID]],0)))</f>
        <v>2</v>
      </c>
      <c r="N1156" s="58">
        <f>IF($C1156="B",INDEX(Batters[[#All],[POW P]],MATCH(Table5[[#This Row],[PID]],Batters[[#All],[PID]],0)),INDEX(Table3[[#All],[CON P]],MATCH(Table5[[#This Row],[PID]],Table3[[#All],[PID]],0)))</f>
        <v>2</v>
      </c>
      <c r="O1156" s="58" t="str">
        <f>IF($C1156="B",INDEX(Batters[[#All],[EYE P]],MATCH(Table5[[#This Row],[PID]],Batters[[#All],[PID]],0)),INDEX(Table3[[#All],[VELO]],MATCH(Table5[[#This Row],[PID]],Table3[[#All],[PID]],0)))</f>
        <v>85-87 Mph</v>
      </c>
      <c r="P1156" s="58">
        <f>IF($C1156="B",INDEX(Batters[[#All],[K P]],MATCH(Table5[[#This Row],[PID]],Batters[[#All],[PID]],0)),INDEX(Table3[[#All],[STM]],MATCH(Table5[[#This Row],[PID]],Table3[[#All],[PID]],0)))</f>
        <v>5</v>
      </c>
      <c r="Q1156" s="63">
        <f>IF($C1156="B",INDEX(Batters[[#All],[Tot]],MATCH(Table5[[#This Row],[PID]],Batters[[#All],[PID]],0)),INDEX(Table3[[#All],[Tot]],MATCH(Table5[[#This Row],[PID]],Table3[[#All],[PID]],0)))</f>
        <v>17.230086364783006</v>
      </c>
      <c r="R1156" s="54">
        <f>IF($C1156="B",INDEX(Batters[[#All],[zScore]],MATCH(Table5[[#This Row],[PID]],Batters[[#All],[PID]],0)),INDEX(Table3[[#All],[zScore]],MATCH(Table5[[#This Row],[PID]],Table3[[#All],[PID]],0)))</f>
        <v>-1.4206976985694906</v>
      </c>
      <c r="S1156" s="60" t="str">
        <f>IF($C1156="B",INDEX(Batters[[#All],[DEM]],MATCH(Table5[[#This Row],[PID]],Batters[[#All],[PID]],0)),INDEX(Table3[[#All],[DEM]],MATCH(Table5[[#This Row],[PID]],Table3[[#All],[PID]],0)))</f>
        <v>-</v>
      </c>
      <c r="T1156" s="64" t="e">
        <f>IF($C1156="B",VLOOKUP($A1156,Bat!$A$4:$AU$1417,46,FALSE),VLOOKUP($A1156,Pit!$A$4:$BD$570,55,FALSE))</f>
        <v>#N/A</v>
      </c>
      <c r="U1156" s="52" t="e">
        <f>IF($C1156="B",VLOOKUP($A1156,Bat!$A$4:$BA$1417,47,FALSE),VLOOKUP($A1156,Pit!$A$4:$BF$570,56,FALSE))</f>
        <v>#N/A</v>
      </c>
      <c r="V1156" s="52" t="e">
        <f>IF($C1156="B",VLOOKUP($A1156,Bat!$A$4:$BA$1417,48,FALSE),VLOOKUP($A1156,Pit!$A$4:$BF$570,57,FALSE))</f>
        <v>#N/A</v>
      </c>
      <c r="W1156" s="52" t="e">
        <f>Table5[[#This Row],[posRnk]]+Table5[[#This Row],[zRnk]]+IF($W$3&lt;&gt;Table5[[#This Row],[Type]],50,0)</f>
        <v>#N/A</v>
      </c>
      <c r="X1156" s="53">
        <f>RANK(Table5[[#This Row],[zScore]],Table5[[#All],[zScore]])</f>
        <v>1152</v>
      </c>
      <c r="Y1156" s="52" t="str">
        <f>IFERROR(INDEX(DraftResults[[#All],[OVR]],MATCH(Table5[[#This Row],[PID]],DraftResults[[#All],[Player ID]],0)),"")</f>
        <v/>
      </c>
      <c r="Z11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6" s="52" t="str">
        <f>IFERROR(INDEX(DraftResults[[#All],[Pick in Round]],MATCH(Table5[[#This Row],[PID]],DraftResults[[#All],[Player ID]],0)),"")</f>
        <v/>
      </c>
      <c r="AB1156" s="52" t="str">
        <f>IFERROR(INDEX(DraftResults[[#All],[Team Name]],MATCH(Table5[[#This Row],[PID]],DraftResults[[#All],[Player ID]],0)),"")</f>
        <v/>
      </c>
      <c r="AC1156" s="52" t="str">
        <f>IF(Table5[[#This Row],[Ovr]]="","",IF(Table5[[#This Row],[cmbList]]="","",Table5[[#This Row],[cmbList]]-Table5[[#This Row],[Ovr]]))</f>
        <v/>
      </c>
      <c r="AD1156" s="56" t="str">
        <f>IF(ISERROR(VLOOKUP($AB1156&amp;"-"&amp;$E1156&amp;" "&amp;F1156,Bonuses!$B$1:$G$1006,4,FALSE)),"",INT(VLOOKUP($AB1156&amp;"-"&amp;$E1156&amp;" "&amp;$F1156,Bonuses!$B$1:$G$1006,4,FALSE)))</f>
        <v/>
      </c>
      <c r="AE11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7" spans="1:31" s="52" customFormat="1" x14ac:dyDescent="0.25">
      <c r="A1157" s="52">
        <v>12211</v>
      </c>
      <c r="B1157" s="52">
        <f>COUNTIF(Table5[PID],A1157)</f>
        <v>1</v>
      </c>
      <c r="C1157" s="52" t="str">
        <f>IF(COUNTIF(Table3[[#All],[PID]],A1157)&gt;0,"P","B")</f>
        <v>B</v>
      </c>
      <c r="D1157" s="61" t="str">
        <f>IF($C1157="B",INDEX(Batters[[#All],[POS]],MATCH(Table5[[#This Row],[PID]],Batters[[#All],[PID]],0)),INDEX(Table3[[#All],[POS]],MATCH(Table5[[#This Row],[PID]],Table3[[#All],[PID]],0)))</f>
        <v>2B</v>
      </c>
      <c r="E1157" s="54" t="str">
        <f>IF($C1157="B",INDEX(Batters[[#All],[First]],MATCH(Table5[[#This Row],[PID]],Batters[[#All],[PID]],0)),INDEX(Table3[[#All],[First]],MATCH(Table5[[#This Row],[PID]],Table3[[#All],[PID]],0)))</f>
        <v>Jeffrey</v>
      </c>
      <c r="F1157" s="52" t="str">
        <f>IF($C1157="B",INDEX(Batters[[#All],[Last]],MATCH(A1157,Batters[[#All],[PID]],0)),INDEX(Table3[[#All],[Last]],MATCH(A1157,Table3[[#All],[PID]],0)))</f>
        <v>Farrell</v>
      </c>
      <c r="G1157" s="58">
        <f>IF($C1157="B",INDEX(Batters[[#All],[Age]],MATCH(Table5[[#This Row],[PID]],Batters[[#All],[PID]],0)),INDEX(Table3[[#All],[Age]],MATCH(Table5[[#This Row],[PID]],Table3[[#All],[PID]],0)))</f>
        <v>21</v>
      </c>
      <c r="H1157" s="54" t="str">
        <f>IF($C1157="B",INDEX(Batters[[#All],[B]],MATCH(Table5[[#This Row],[PID]],Batters[[#All],[PID]],0)),INDEX(Table3[[#All],[B]],MATCH(Table5[[#This Row],[PID]],Table3[[#All],[PID]],0)))</f>
        <v>L</v>
      </c>
      <c r="I1157" s="54" t="str">
        <f>IF($C1157="B",INDEX(Batters[[#All],[T]],MATCH(Table5[[#This Row],[PID]],Batters[[#All],[PID]],0)),INDEX(Table3[[#All],[T]],MATCH(Table5[[#This Row],[PID]],Table3[[#All],[PID]],0)))</f>
        <v>R</v>
      </c>
      <c r="J1157" s="54" t="str">
        <f>IF($C1157="B",INDEX(Batters[[#All],[WE]],MATCH(Table5[[#This Row],[PID]],Batters[[#All],[PID]],0)),INDEX(Table3[[#All],[WE]],MATCH(Table5[[#This Row],[PID]],Table3[[#All],[PID]],0)))</f>
        <v>Low</v>
      </c>
      <c r="K1157" s="54" t="str">
        <f>IF($C1157="B",INDEX(Batters[[#All],[INT]],MATCH(Table5[[#This Row],[PID]],Batters[[#All],[PID]],0)),INDEX(Table3[[#All],[INT]],MATCH(Table5[[#This Row],[PID]],Table3[[#All],[PID]],0)))</f>
        <v>High</v>
      </c>
      <c r="L1157" s="62">
        <f>IF($C1157="B",INDEX(Batters[[#All],[CON P]],MATCH(Table5[[#This Row],[PID]],Batters[[#All],[PID]],0)),INDEX(Table3[[#All],[STU P]],MATCH(Table5[[#This Row],[PID]],Table3[[#All],[PID]],0)))</f>
        <v>2</v>
      </c>
      <c r="M1157" s="58">
        <f>IF($C1157="B",INDEX(Batters[[#All],[GAP P]],MATCH(Table5[[#This Row],[PID]],Batters[[#All],[PID]],0)),INDEX(Table3[[#All],[MOV P]],MATCH(Table5[[#This Row],[PID]],Table3[[#All],[PID]],0)))</f>
        <v>3</v>
      </c>
      <c r="N1157" s="58">
        <f>IF($C1157="B",INDEX(Batters[[#All],[POW P]],MATCH(Table5[[#This Row],[PID]],Batters[[#All],[PID]],0)),INDEX(Table3[[#All],[CON P]],MATCH(Table5[[#This Row],[PID]],Table3[[#All],[PID]],0)))</f>
        <v>2</v>
      </c>
      <c r="O1157" s="58">
        <f>IF($C1157="B",INDEX(Batters[[#All],[EYE P]],MATCH(Table5[[#This Row],[PID]],Batters[[#All],[PID]],0)),INDEX(Table3[[#All],[VELO]],MATCH(Table5[[#This Row],[PID]],Table3[[#All],[PID]],0)))</f>
        <v>5</v>
      </c>
      <c r="P1157" s="58">
        <f>IF($C1157="B",INDEX(Batters[[#All],[K P]],MATCH(Table5[[#This Row],[PID]],Batters[[#All],[PID]],0)),INDEX(Table3[[#All],[STM]],MATCH(Table5[[#This Row],[PID]],Table3[[#All],[PID]],0)))</f>
        <v>4</v>
      </c>
      <c r="Q1157" s="63">
        <f>IF($C1157="B",INDEX(Batters[[#All],[Tot]],MATCH(Table5[[#This Row],[PID]],Batters[[#All],[PID]],0)),INDEX(Table3[[#All],[Tot]],MATCH(Table5[[#This Row],[PID]],Table3[[#All],[PID]],0)))</f>
        <v>32.254292855876955</v>
      </c>
      <c r="R1157" s="54">
        <f>IF($C1157="B",INDEX(Batters[[#All],[zScore]],MATCH(Table5[[#This Row],[PID]],Batters[[#All],[PID]],0)),INDEX(Table3[[#All],[zScore]],MATCH(Table5[[#This Row],[PID]],Table3[[#All],[PID]],0)))</f>
        <v>-1.424077499800396</v>
      </c>
      <c r="S1157" s="60" t="str">
        <f>IF($C1157="B",INDEX(Batters[[#All],[DEM]],MATCH(Table5[[#This Row],[PID]],Batters[[#All],[PID]],0)),INDEX(Table3[[#All],[DEM]],MATCH(Table5[[#This Row],[PID]],Table3[[#All],[PID]],0)))</f>
        <v>$20k</v>
      </c>
      <c r="T1157" s="64">
        <f>IF($C1157="B",VLOOKUP($A1157,Bat!$A$4:$AU$1417,46,FALSE),VLOOKUP($A1157,Pit!$A$4:$BD$570,55,FALSE))</f>
        <v>0</v>
      </c>
      <c r="U1157" s="52">
        <f>IF($C1157="B",VLOOKUP($A1157,Bat!$A$4:$BA$1417,47,FALSE),VLOOKUP($A1157,Pit!$A$4:$BF$570,56,FALSE))</f>
        <v>0</v>
      </c>
      <c r="V1157" s="52">
        <f>IF($C1157="B",VLOOKUP($A1157,Bat!$A$4:$BA$1417,48,FALSE),VLOOKUP($A1157,Pit!$A$4:$BF$570,57,FALSE))</f>
        <v>0</v>
      </c>
      <c r="W1157" s="52">
        <f>Table5[[#This Row],[posRnk]]+Table5[[#This Row],[zRnk]]+IF($W$3&lt;&gt;Table5[[#This Row],[Type]],50,0)</f>
        <v>1203</v>
      </c>
      <c r="X1157" s="53">
        <f>RANK(Table5[[#This Row],[zScore]],Table5[[#All],[zScore]])</f>
        <v>1153</v>
      </c>
      <c r="Y1157" s="52" t="str">
        <f>IFERROR(INDEX(DraftResults[[#All],[OVR]],MATCH(Table5[[#This Row],[PID]],DraftResults[[#All],[Player ID]],0)),"")</f>
        <v/>
      </c>
      <c r="Z11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7" s="52" t="str">
        <f>IFERROR(INDEX(DraftResults[[#All],[Pick in Round]],MATCH(Table5[[#This Row],[PID]],DraftResults[[#All],[Player ID]],0)),"")</f>
        <v/>
      </c>
      <c r="AB1157" s="52" t="str">
        <f>IFERROR(INDEX(DraftResults[[#All],[Team Name]],MATCH(Table5[[#This Row],[PID]],DraftResults[[#All],[Player ID]],0)),"")</f>
        <v/>
      </c>
      <c r="AC1157" s="52" t="str">
        <f>IF(Table5[[#This Row],[Ovr]]="","",IF(Table5[[#This Row],[cmbList]]="","",Table5[[#This Row],[cmbList]]-Table5[[#This Row],[Ovr]]))</f>
        <v/>
      </c>
      <c r="AD1157" s="56" t="str">
        <f>IF(ISERROR(VLOOKUP($AB1157&amp;"-"&amp;$E1157&amp;" "&amp;F1157,Bonuses!$B$1:$G$1006,4,FALSE)),"",INT(VLOOKUP($AB1157&amp;"-"&amp;$E1157&amp;" "&amp;$F1157,Bonuses!$B$1:$G$1006,4,FALSE)))</f>
        <v/>
      </c>
      <c r="AE11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8" spans="1:31" s="52" customFormat="1" x14ac:dyDescent="0.25">
      <c r="A1158" s="52">
        <v>12188</v>
      </c>
      <c r="B1158" s="52">
        <f>COUNTIF(Table5[PID],A1158)</f>
        <v>1</v>
      </c>
      <c r="C1158" s="52" t="str">
        <f>IF(COUNTIF(Table3[[#All],[PID]],A1158)&gt;0,"P","B")</f>
        <v>B</v>
      </c>
      <c r="D1158" s="61" t="str">
        <f>IF($C1158="B",INDEX(Batters[[#All],[POS]],MATCH(Table5[[#This Row],[PID]],Batters[[#All],[PID]],0)),INDEX(Table3[[#All],[POS]],MATCH(Table5[[#This Row],[PID]],Table3[[#All],[PID]],0)))</f>
        <v>CF</v>
      </c>
      <c r="E1158" s="54" t="str">
        <f>IF($C1158="B",INDEX(Batters[[#All],[First]],MATCH(Table5[[#This Row],[PID]],Batters[[#All],[PID]],0)),INDEX(Table3[[#All],[First]],MATCH(Table5[[#This Row],[PID]],Table3[[#All],[PID]],0)))</f>
        <v>Steve</v>
      </c>
      <c r="F1158" s="52" t="str">
        <f>IF($C1158="B",INDEX(Batters[[#All],[Last]],MATCH(A1158,Batters[[#All],[PID]],0)),INDEX(Table3[[#All],[Last]],MATCH(A1158,Table3[[#All],[PID]],0)))</f>
        <v>McDonald</v>
      </c>
      <c r="G1158" s="58">
        <f>IF($C1158="B",INDEX(Batters[[#All],[Age]],MATCH(Table5[[#This Row],[PID]],Batters[[#All],[PID]],0)),INDEX(Table3[[#All],[Age]],MATCH(Table5[[#This Row],[PID]],Table3[[#All],[PID]],0)))</f>
        <v>21</v>
      </c>
      <c r="H1158" s="54" t="str">
        <f>IF($C1158="B",INDEX(Batters[[#All],[B]],MATCH(Table5[[#This Row],[PID]],Batters[[#All],[PID]],0)),INDEX(Table3[[#All],[B]],MATCH(Table5[[#This Row],[PID]],Table3[[#All],[PID]],0)))</f>
        <v>R</v>
      </c>
      <c r="I1158" s="54" t="str">
        <f>IF($C1158="B",INDEX(Batters[[#All],[T]],MATCH(Table5[[#This Row],[PID]],Batters[[#All],[PID]],0)),INDEX(Table3[[#All],[T]],MATCH(Table5[[#This Row],[PID]],Table3[[#All],[PID]],0)))</f>
        <v>R</v>
      </c>
      <c r="J1158" s="54" t="str">
        <f>IF($C1158="B",INDEX(Batters[[#All],[WE]],MATCH(Table5[[#This Row],[PID]],Batters[[#All],[PID]],0)),INDEX(Table3[[#All],[WE]],MATCH(Table5[[#This Row],[PID]],Table3[[#All],[PID]],0)))</f>
        <v>Low</v>
      </c>
      <c r="K1158" s="54" t="str">
        <f>IF($C1158="B",INDEX(Batters[[#All],[INT]],MATCH(Table5[[#This Row],[PID]],Batters[[#All],[PID]],0)),INDEX(Table3[[#All],[INT]],MATCH(Table5[[#This Row],[PID]],Table3[[#All],[PID]],0)))</f>
        <v>Normal</v>
      </c>
      <c r="L1158" s="62">
        <f>IF($C1158="B",INDEX(Batters[[#All],[CON P]],MATCH(Table5[[#This Row],[PID]],Batters[[#All],[PID]],0)),INDEX(Table3[[#All],[STU P]],MATCH(Table5[[#This Row],[PID]],Table3[[#All],[PID]],0)))</f>
        <v>2</v>
      </c>
      <c r="M1158" s="58">
        <f>IF($C1158="B",INDEX(Batters[[#All],[GAP P]],MATCH(Table5[[#This Row],[PID]],Batters[[#All],[PID]],0)),INDEX(Table3[[#All],[MOV P]],MATCH(Table5[[#This Row],[PID]],Table3[[#All],[PID]],0)))</f>
        <v>3</v>
      </c>
      <c r="N1158" s="58">
        <f>IF($C1158="B",INDEX(Batters[[#All],[POW P]],MATCH(Table5[[#This Row],[PID]],Batters[[#All],[PID]],0)),INDEX(Table3[[#All],[CON P]],MATCH(Table5[[#This Row],[PID]],Table3[[#All],[PID]],0)))</f>
        <v>3</v>
      </c>
      <c r="O1158" s="58">
        <f>IF($C1158="B",INDEX(Batters[[#All],[EYE P]],MATCH(Table5[[#This Row],[PID]],Batters[[#All],[PID]],0)),INDEX(Table3[[#All],[VELO]],MATCH(Table5[[#This Row],[PID]],Table3[[#All],[PID]],0)))</f>
        <v>4</v>
      </c>
      <c r="P1158" s="58">
        <f>IF($C1158="B",INDEX(Batters[[#All],[K P]],MATCH(Table5[[#This Row],[PID]],Batters[[#All],[PID]],0)),INDEX(Table3[[#All],[STM]],MATCH(Table5[[#This Row],[PID]],Table3[[#All],[PID]],0)))</f>
        <v>3</v>
      </c>
      <c r="Q1158" s="63">
        <f>IF($C1158="B",INDEX(Batters[[#All],[Tot]],MATCH(Table5[[#This Row],[PID]],Batters[[#All],[PID]],0)),INDEX(Table3[[#All],[Tot]],MATCH(Table5[[#This Row],[PID]],Table3[[#All],[PID]],0)))</f>
        <v>32.198014183927796</v>
      </c>
      <c r="R1158" s="54">
        <f>IF($C1158="B",INDEX(Batters[[#All],[zScore]],MATCH(Table5[[#This Row],[PID]],Batters[[#All],[PID]],0)),INDEX(Table3[[#All],[zScore]],MATCH(Table5[[#This Row],[PID]],Table3[[#All],[PID]],0)))</f>
        <v>-1.4339793580847229</v>
      </c>
      <c r="S1158" s="60" t="str">
        <f>IF($C1158="B",INDEX(Batters[[#All],[DEM]],MATCH(Table5[[#This Row],[PID]],Batters[[#All],[PID]],0)),INDEX(Table3[[#All],[DEM]],MATCH(Table5[[#This Row],[PID]],Table3[[#All],[PID]],0)))</f>
        <v>-</v>
      </c>
      <c r="T1158" s="64">
        <f>IF($C1158="B",VLOOKUP($A1158,Bat!$A$4:$AU$1417,46,FALSE),VLOOKUP($A1158,Pit!$A$4:$BD$570,55,FALSE))</f>
        <v>0</v>
      </c>
      <c r="U1158" s="52">
        <f>IF($C1158="B",VLOOKUP($A1158,Bat!$A$4:$BA$1417,47,FALSE),VLOOKUP($A1158,Pit!$A$4:$BF$570,56,FALSE))</f>
        <v>0</v>
      </c>
      <c r="V1158" s="52">
        <f>IF($C1158="B",VLOOKUP($A1158,Bat!$A$4:$BA$1417,48,FALSE),VLOOKUP($A1158,Pit!$A$4:$BF$570,57,FALSE))</f>
        <v>0</v>
      </c>
      <c r="W1158" s="52">
        <f>Table5[[#This Row],[posRnk]]+Table5[[#This Row],[zRnk]]+IF($W$3&lt;&gt;Table5[[#This Row],[Type]],50,0)</f>
        <v>1204</v>
      </c>
      <c r="X1158" s="53">
        <f>RANK(Table5[[#This Row],[zScore]],Table5[[#All],[zScore]])</f>
        <v>1154</v>
      </c>
      <c r="Y1158" s="52" t="str">
        <f>IFERROR(INDEX(DraftResults[[#All],[OVR]],MATCH(Table5[[#This Row],[PID]],DraftResults[[#All],[Player ID]],0)),"")</f>
        <v/>
      </c>
      <c r="Z11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8" s="52" t="str">
        <f>IFERROR(INDEX(DraftResults[[#All],[Pick in Round]],MATCH(Table5[[#This Row],[PID]],DraftResults[[#All],[Player ID]],0)),"")</f>
        <v/>
      </c>
      <c r="AB1158" s="52" t="str">
        <f>IFERROR(INDEX(DraftResults[[#All],[Team Name]],MATCH(Table5[[#This Row],[PID]],DraftResults[[#All],[Player ID]],0)),"")</f>
        <v/>
      </c>
      <c r="AC1158" s="52" t="str">
        <f>IF(Table5[[#This Row],[Ovr]]="","",IF(Table5[[#This Row],[cmbList]]="","",Table5[[#This Row],[cmbList]]-Table5[[#This Row],[Ovr]]))</f>
        <v/>
      </c>
      <c r="AD1158" s="56" t="str">
        <f>IF(ISERROR(VLOOKUP($AB1158&amp;"-"&amp;$E1158&amp;" "&amp;F1158,Bonuses!$B$1:$G$1006,4,FALSE)),"",INT(VLOOKUP($AB1158&amp;"-"&amp;$E1158&amp;" "&amp;$F1158,Bonuses!$B$1:$G$1006,4,FALSE)))</f>
        <v/>
      </c>
      <c r="AE11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9" spans="1:31" s="52" customFormat="1" x14ac:dyDescent="0.25">
      <c r="A1159" s="52">
        <v>7992</v>
      </c>
      <c r="B1159" s="52">
        <f>COUNTIF(Table5[PID],A1159)</f>
        <v>1</v>
      </c>
      <c r="C1159" s="52" t="str">
        <f>IF(COUNTIF(Table3[[#All],[PID]],A1159)&gt;0,"P","B")</f>
        <v>P</v>
      </c>
      <c r="D1159" s="61" t="str">
        <f>IF($C1159="B",INDEX(Batters[[#All],[POS]],MATCH(Table5[[#This Row],[PID]],Batters[[#All],[PID]],0)),INDEX(Table3[[#All],[POS]],MATCH(Table5[[#This Row],[PID]],Table3[[#All],[PID]],0)))</f>
        <v>SP</v>
      </c>
      <c r="E1159" s="54" t="str">
        <f>IF($C1159="B",INDEX(Batters[[#All],[First]],MATCH(Table5[[#This Row],[PID]],Batters[[#All],[PID]],0)),INDEX(Table3[[#All],[First]],MATCH(Table5[[#This Row],[PID]],Table3[[#All],[PID]],0)))</f>
        <v>Louis</v>
      </c>
      <c r="F1159" s="52" t="str">
        <f>IF($C1159="B",INDEX(Batters[[#All],[Last]],MATCH(A1159,Batters[[#All],[PID]],0)),INDEX(Table3[[#All],[Last]],MATCH(A1159,Table3[[#All],[PID]],0)))</f>
        <v>Boyd</v>
      </c>
      <c r="G1159" s="58">
        <f>IF($C1159="B",INDEX(Batters[[#All],[Age]],MATCH(Table5[[#This Row],[PID]],Batters[[#All],[PID]],0)),INDEX(Table3[[#All],[Age]],MATCH(Table5[[#This Row],[PID]],Table3[[#All],[PID]],0)))</f>
        <v>22</v>
      </c>
      <c r="H1159" s="54" t="str">
        <f>IF($C1159="B",INDEX(Batters[[#All],[B]],MATCH(Table5[[#This Row],[PID]],Batters[[#All],[PID]],0)),INDEX(Table3[[#All],[B]],MATCH(Table5[[#This Row],[PID]],Table3[[#All],[PID]],0)))</f>
        <v>R</v>
      </c>
      <c r="I1159" s="54" t="str">
        <f>IF($C1159="B",INDEX(Batters[[#All],[T]],MATCH(Table5[[#This Row],[PID]],Batters[[#All],[PID]],0)),INDEX(Table3[[#All],[T]],MATCH(Table5[[#This Row],[PID]],Table3[[#All],[PID]],0)))</f>
        <v>L</v>
      </c>
      <c r="J1159" s="54" t="str">
        <f>IF($C1159="B",INDEX(Batters[[#All],[WE]],MATCH(Table5[[#This Row],[PID]],Batters[[#All],[PID]],0)),INDEX(Table3[[#All],[WE]],MATCH(Table5[[#This Row],[PID]],Table3[[#All],[PID]],0)))</f>
        <v>Normal</v>
      </c>
      <c r="K1159" s="54" t="str">
        <f>IF($C1159="B",INDEX(Batters[[#All],[INT]],MATCH(Table5[[#This Row],[PID]],Batters[[#All],[PID]],0)),INDEX(Table3[[#All],[INT]],MATCH(Table5[[#This Row],[PID]],Table3[[#All],[PID]],0)))</f>
        <v>Normal</v>
      </c>
      <c r="L1159" s="62">
        <f>IF($C1159="B",INDEX(Batters[[#All],[CON P]],MATCH(Table5[[#This Row],[PID]],Batters[[#All],[PID]],0)),INDEX(Table3[[#All],[STU P]],MATCH(Table5[[#This Row],[PID]],Table3[[#All],[PID]],0)))</f>
        <v>4</v>
      </c>
      <c r="M1159" s="58">
        <f>IF($C1159="B",INDEX(Batters[[#All],[GAP P]],MATCH(Table5[[#This Row],[PID]],Batters[[#All],[PID]],0)),INDEX(Table3[[#All],[MOV P]],MATCH(Table5[[#This Row],[PID]],Table3[[#All],[PID]],0)))</f>
        <v>1</v>
      </c>
      <c r="N1159" s="58">
        <f>IF($C1159="B",INDEX(Batters[[#All],[POW P]],MATCH(Table5[[#This Row],[PID]],Batters[[#All],[PID]],0)),INDEX(Table3[[#All],[CON P]],MATCH(Table5[[#This Row],[PID]],Table3[[#All],[PID]],0)))</f>
        <v>1</v>
      </c>
      <c r="O1159" s="58" t="str">
        <f>IF($C1159="B",INDEX(Batters[[#All],[EYE P]],MATCH(Table5[[#This Row],[PID]],Batters[[#All],[PID]],0)),INDEX(Table3[[#All],[VELO]],MATCH(Table5[[#This Row],[PID]],Table3[[#All],[PID]],0)))</f>
        <v>89-91 Mph</v>
      </c>
      <c r="P1159" s="58">
        <f>IF($C1159="B",INDEX(Batters[[#All],[K P]],MATCH(Table5[[#This Row],[PID]],Batters[[#All],[PID]],0)),INDEX(Table3[[#All],[STM]],MATCH(Table5[[#This Row],[PID]],Table3[[#All],[PID]],0)))</f>
        <v>10</v>
      </c>
      <c r="Q1159" s="63">
        <f>IF($C1159="B",INDEX(Batters[[#All],[Tot]],MATCH(Table5[[#This Row],[PID]],Batters[[#All],[PID]],0)),INDEX(Table3[[#All],[Tot]],MATCH(Table5[[#This Row],[PID]],Table3[[#All],[PID]],0)))</f>
        <v>17.060331143248192</v>
      </c>
      <c r="R1159" s="54">
        <f>IF($C1159="B",INDEX(Batters[[#All],[zScore]],MATCH(Table5[[#This Row],[PID]],Batters[[#All],[PID]],0)),INDEX(Table3[[#All],[zScore]],MATCH(Table5[[#This Row],[PID]],Table3[[#All],[PID]],0)))</f>
        <v>-1.4362649779332988</v>
      </c>
      <c r="S1159" s="60" t="str">
        <f>IF($C1159="B",INDEX(Batters[[#All],[DEM]],MATCH(Table5[[#This Row],[PID]],Batters[[#All],[PID]],0)),INDEX(Table3[[#All],[DEM]],MATCH(Table5[[#This Row],[PID]],Table3[[#All],[PID]],0)))</f>
        <v>-</v>
      </c>
      <c r="T1159" s="64" t="e">
        <f>IF($C1159="B",VLOOKUP($A1159,Bat!$A$4:$AU$1417,46,FALSE),VLOOKUP($A1159,Pit!$A$4:$BD$570,55,FALSE))</f>
        <v>#N/A</v>
      </c>
      <c r="U1159" s="52" t="e">
        <f>IF($C1159="B",VLOOKUP($A1159,Bat!$A$4:$BA$1417,47,FALSE),VLOOKUP($A1159,Pit!$A$4:$BF$570,56,FALSE))</f>
        <v>#N/A</v>
      </c>
      <c r="V1159" s="52" t="e">
        <f>IF($C1159="B",VLOOKUP($A1159,Bat!$A$4:$BA$1417,48,FALSE),VLOOKUP($A1159,Pit!$A$4:$BF$570,57,FALSE))</f>
        <v>#N/A</v>
      </c>
      <c r="W1159" s="52" t="e">
        <f>Table5[[#This Row],[posRnk]]+Table5[[#This Row],[zRnk]]+IF($W$3&lt;&gt;Table5[[#This Row],[Type]],50,0)</f>
        <v>#N/A</v>
      </c>
      <c r="X1159" s="53">
        <f>RANK(Table5[[#This Row],[zScore]],Table5[[#All],[zScore]])</f>
        <v>1155</v>
      </c>
      <c r="Y1159" s="52" t="str">
        <f>IFERROR(INDEX(DraftResults[[#All],[OVR]],MATCH(Table5[[#This Row],[PID]],DraftResults[[#All],[Player ID]],0)),"")</f>
        <v/>
      </c>
      <c r="Z11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9" s="52" t="str">
        <f>IFERROR(INDEX(DraftResults[[#All],[Pick in Round]],MATCH(Table5[[#This Row],[PID]],DraftResults[[#All],[Player ID]],0)),"")</f>
        <v/>
      </c>
      <c r="AB1159" s="52" t="str">
        <f>IFERROR(INDEX(DraftResults[[#All],[Team Name]],MATCH(Table5[[#This Row],[PID]],DraftResults[[#All],[Player ID]],0)),"")</f>
        <v/>
      </c>
      <c r="AC1159" s="52" t="str">
        <f>IF(Table5[[#This Row],[Ovr]]="","",IF(Table5[[#This Row],[cmbList]]="","",Table5[[#This Row],[cmbList]]-Table5[[#This Row],[Ovr]]))</f>
        <v/>
      </c>
      <c r="AD1159" s="56" t="str">
        <f>IF(ISERROR(VLOOKUP($AB1159&amp;"-"&amp;$E1159&amp;" "&amp;F1159,Bonuses!$B$1:$G$1006,4,FALSE)),"",INT(VLOOKUP($AB1159&amp;"-"&amp;$E1159&amp;" "&amp;$F1159,Bonuses!$B$1:$G$1006,4,FALSE)))</f>
        <v/>
      </c>
      <c r="AE11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0" spans="1:31" s="52" customFormat="1" x14ac:dyDescent="0.25">
      <c r="A1160" s="52">
        <v>10539</v>
      </c>
      <c r="B1160" s="52">
        <f>COUNTIF(Table5[PID],A1160)</f>
        <v>1</v>
      </c>
      <c r="C1160" s="52" t="str">
        <f>IF(COUNTIF(Table3[[#All],[PID]],A1160)&gt;0,"P","B")</f>
        <v>B</v>
      </c>
      <c r="D1160" s="61" t="str">
        <f>IF($C1160="B",INDEX(Batters[[#All],[POS]],MATCH(Table5[[#This Row],[PID]],Batters[[#All],[PID]],0)),INDEX(Table3[[#All],[POS]],MATCH(Table5[[#This Row],[PID]],Table3[[#All],[PID]],0)))</f>
        <v>1B</v>
      </c>
      <c r="E1160" s="54" t="str">
        <f>IF($C1160="B",INDEX(Batters[[#All],[First]],MATCH(Table5[[#This Row],[PID]],Batters[[#All],[PID]],0)),INDEX(Table3[[#All],[First]],MATCH(Table5[[#This Row],[PID]],Table3[[#All],[PID]],0)))</f>
        <v>Scott</v>
      </c>
      <c r="F1160" s="52" t="str">
        <f>IF($C1160="B",INDEX(Batters[[#All],[Last]],MATCH(A1160,Batters[[#All],[PID]],0)),INDEX(Table3[[#All],[Last]],MATCH(A1160,Table3[[#All],[PID]],0)))</f>
        <v>Hartley</v>
      </c>
      <c r="G1160" s="58">
        <f>IF($C1160="B",INDEX(Batters[[#All],[Age]],MATCH(Table5[[#This Row],[PID]],Batters[[#All],[PID]],0)),INDEX(Table3[[#All],[Age]],MATCH(Table5[[#This Row],[PID]],Table3[[#All],[PID]],0)))</f>
        <v>21</v>
      </c>
      <c r="H1160" s="54" t="str">
        <f>IF($C1160="B",INDEX(Batters[[#All],[B]],MATCH(Table5[[#This Row],[PID]],Batters[[#All],[PID]],0)),INDEX(Table3[[#All],[B]],MATCH(Table5[[#This Row],[PID]],Table3[[#All],[PID]],0)))</f>
        <v>R</v>
      </c>
      <c r="I1160" s="54" t="str">
        <f>IF($C1160="B",INDEX(Batters[[#All],[T]],MATCH(Table5[[#This Row],[PID]],Batters[[#All],[PID]],0)),INDEX(Table3[[#All],[T]],MATCH(Table5[[#This Row],[PID]],Table3[[#All],[PID]],0)))</f>
        <v>R</v>
      </c>
      <c r="J1160" s="54" t="str">
        <f>IF($C1160="B",INDEX(Batters[[#All],[WE]],MATCH(Table5[[#This Row],[PID]],Batters[[#All],[PID]],0)),INDEX(Table3[[#All],[WE]],MATCH(Table5[[#This Row],[PID]],Table3[[#All],[PID]],0)))</f>
        <v>Normal</v>
      </c>
      <c r="K1160" s="54" t="str">
        <f>IF($C1160="B",INDEX(Batters[[#All],[INT]],MATCH(Table5[[#This Row],[PID]],Batters[[#All],[PID]],0)),INDEX(Table3[[#All],[INT]],MATCH(Table5[[#This Row],[PID]],Table3[[#All],[PID]],0)))</f>
        <v>Normal</v>
      </c>
      <c r="L1160" s="62">
        <f>IF($C1160="B",INDEX(Batters[[#All],[CON P]],MATCH(Table5[[#This Row],[PID]],Batters[[#All],[PID]],0)),INDEX(Table3[[#All],[STU P]],MATCH(Table5[[#This Row],[PID]],Table3[[#All],[PID]],0)))</f>
        <v>3</v>
      </c>
      <c r="M1160" s="58">
        <f>IF($C1160="B",INDEX(Batters[[#All],[GAP P]],MATCH(Table5[[#This Row],[PID]],Batters[[#All],[PID]],0)),INDEX(Table3[[#All],[MOV P]],MATCH(Table5[[#This Row],[PID]],Table3[[#All],[PID]],0)))</f>
        <v>2</v>
      </c>
      <c r="N1160" s="58">
        <f>IF($C1160="B",INDEX(Batters[[#All],[POW P]],MATCH(Table5[[#This Row],[PID]],Batters[[#All],[PID]],0)),INDEX(Table3[[#All],[CON P]],MATCH(Table5[[#This Row],[PID]],Table3[[#All],[PID]],0)))</f>
        <v>3</v>
      </c>
      <c r="O1160" s="58">
        <f>IF($C1160="B",INDEX(Batters[[#All],[EYE P]],MATCH(Table5[[#This Row],[PID]],Batters[[#All],[PID]],0)),INDEX(Table3[[#All],[VELO]],MATCH(Table5[[#This Row],[PID]],Table3[[#All],[PID]],0)))</f>
        <v>2</v>
      </c>
      <c r="P1160" s="58">
        <f>IF($C1160="B",INDEX(Batters[[#All],[K P]],MATCH(Table5[[#This Row],[PID]],Batters[[#All],[PID]],0)),INDEX(Table3[[#All],[STM]],MATCH(Table5[[#This Row],[PID]],Table3[[#All],[PID]],0)))</f>
        <v>3</v>
      </c>
      <c r="Q1160" s="63">
        <f>IF($C1160="B",INDEX(Batters[[#All],[Tot]],MATCH(Table5[[#This Row],[PID]],Batters[[#All],[PID]],0)),INDEX(Table3[[#All],[Tot]],MATCH(Table5[[#This Row],[PID]],Table3[[#All],[PID]],0)))</f>
        <v>32.177298841037882</v>
      </c>
      <c r="R1160" s="54">
        <f>IF($C1160="B",INDEX(Batters[[#All],[zScore]],MATCH(Table5[[#This Row],[PID]],Batters[[#All],[PID]],0)),INDEX(Table3[[#All],[zScore]],MATCH(Table5[[#This Row],[PID]],Table3[[#All],[PID]],0)))</f>
        <v>-1.43762408498575</v>
      </c>
      <c r="S1160" s="60" t="str">
        <f>IF($C1160="B",INDEX(Batters[[#All],[DEM]],MATCH(Table5[[#This Row],[PID]],Batters[[#All],[PID]],0)),INDEX(Table3[[#All],[DEM]],MATCH(Table5[[#This Row],[PID]],Table3[[#All],[PID]],0)))</f>
        <v>-</v>
      </c>
      <c r="T1160" s="64">
        <f>IF($C1160="B",VLOOKUP($A1160,Bat!$A$4:$AU$1417,46,FALSE),VLOOKUP($A1160,Pit!$A$4:$BD$570,55,FALSE))</f>
        <v>0</v>
      </c>
      <c r="U1160" s="52">
        <f>IF($C1160="B",VLOOKUP($A1160,Bat!$A$4:$BA$1417,47,FALSE),VLOOKUP($A1160,Pit!$A$4:$BF$570,56,FALSE))</f>
        <v>0</v>
      </c>
      <c r="V1160" s="52">
        <f>IF($C1160="B",VLOOKUP($A1160,Bat!$A$4:$BA$1417,48,FALSE),VLOOKUP($A1160,Pit!$A$4:$BF$570,57,FALSE))</f>
        <v>0</v>
      </c>
      <c r="W1160" s="52">
        <f>Table5[[#This Row],[posRnk]]+Table5[[#This Row],[zRnk]]+IF($W$3&lt;&gt;Table5[[#This Row],[Type]],50,0)</f>
        <v>1206</v>
      </c>
      <c r="X1160" s="53">
        <f>RANK(Table5[[#This Row],[zScore]],Table5[[#All],[zScore]])</f>
        <v>1156</v>
      </c>
      <c r="Y1160" s="52" t="str">
        <f>IFERROR(INDEX(DraftResults[[#All],[OVR]],MATCH(Table5[[#This Row],[PID]],DraftResults[[#All],[Player ID]],0)),"")</f>
        <v/>
      </c>
      <c r="Z11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0" s="52" t="str">
        <f>IFERROR(INDEX(DraftResults[[#All],[Pick in Round]],MATCH(Table5[[#This Row],[PID]],DraftResults[[#All],[Player ID]],0)),"")</f>
        <v/>
      </c>
      <c r="AB1160" s="52" t="str">
        <f>IFERROR(INDEX(DraftResults[[#All],[Team Name]],MATCH(Table5[[#This Row],[PID]],DraftResults[[#All],[Player ID]],0)),"")</f>
        <v/>
      </c>
      <c r="AC1160" s="52" t="str">
        <f>IF(Table5[[#This Row],[Ovr]]="","",IF(Table5[[#This Row],[cmbList]]="","",Table5[[#This Row],[cmbList]]-Table5[[#This Row],[Ovr]]))</f>
        <v/>
      </c>
      <c r="AD1160" s="56" t="str">
        <f>IF(ISERROR(VLOOKUP($AB1160&amp;"-"&amp;$E1160&amp;" "&amp;F1160,Bonuses!$B$1:$G$1006,4,FALSE)),"",INT(VLOOKUP($AB1160&amp;"-"&amp;$E1160&amp;" "&amp;$F1160,Bonuses!$B$1:$G$1006,4,FALSE)))</f>
        <v/>
      </c>
      <c r="AE11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1" spans="1:31" s="52" customFormat="1" x14ac:dyDescent="0.25">
      <c r="A1161" s="52">
        <v>11998</v>
      </c>
      <c r="B1161" s="52">
        <f>COUNTIF(Table5[PID],A1161)</f>
        <v>1</v>
      </c>
      <c r="C1161" s="52" t="str">
        <f>IF(COUNTIF(Table3[[#All],[PID]],A1161)&gt;0,"P","B")</f>
        <v>B</v>
      </c>
      <c r="D1161" s="61" t="str">
        <f>IF($C1161="B",INDEX(Batters[[#All],[POS]],MATCH(Table5[[#This Row],[PID]],Batters[[#All],[PID]],0)),INDEX(Table3[[#All],[POS]],MATCH(Table5[[#This Row],[PID]],Table3[[#All],[PID]],0)))</f>
        <v>C</v>
      </c>
      <c r="E1161" s="54" t="str">
        <f>IF($C1161="B",INDEX(Batters[[#All],[First]],MATCH(Table5[[#This Row],[PID]],Batters[[#All],[PID]],0)),INDEX(Table3[[#All],[First]],MATCH(Table5[[#This Row],[PID]],Table3[[#All],[PID]],0)))</f>
        <v>Eric</v>
      </c>
      <c r="F1161" s="52" t="str">
        <f>IF($C1161="B",INDEX(Batters[[#All],[Last]],MATCH(A1161,Batters[[#All],[PID]],0)),INDEX(Table3[[#All],[Last]],MATCH(A1161,Table3[[#All],[PID]],0)))</f>
        <v>Moore</v>
      </c>
      <c r="G1161" s="58">
        <f>IF($C1161="B",INDEX(Batters[[#All],[Age]],MATCH(Table5[[#This Row],[PID]],Batters[[#All],[PID]],0)),INDEX(Table3[[#All],[Age]],MATCH(Table5[[#This Row],[PID]],Table3[[#All],[PID]],0)))</f>
        <v>20</v>
      </c>
      <c r="H1161" s="54" t="str">
        <f>IF($C1161="B",INDEX(Batters[[#All],[B]],MATCH(Table5[[#This Row],[PID]],Batters[[#All],[PID]],0)),INDEX(Table3[[#All],[B]],MATCH(Table5[[#This Row],[PID]],Table3[[#All],[PID]],0)))</f>
        <v>R</v>
      </c>
      <c r="I1161" s="54" t="str">
        <f>IF($C1161="B",INDEX(Batters[[#All],[T]],MATCH(Table5[[#This Row],[PID]],Batters[[#All],[PID]],0)),INDEX(Table3[[#All],[T]],MATCH(Table5[[#This Row],[PID]],Table3[[#All],[PID]],0)))</f>
        <v>R</v>
      </c>
      <c r="J1161" s="54" t="str">
        <f>IF($C1161="B",INDEX(Batters[[#All],[WE]],MATCH(Table5[[#This Row],[PID]],Batters[[#All],[PID]],0)),INDEX(Table3[[#All],[WE]],MATCH(Table5[[#This Row],[PID]],Table3[[#All],[PID]],0)))</f>
        <v>Low</v>
      </c>
      <c r="K1161" s="54" t="str">
        <f>IF($C1161="B",INDEX(Batters[[#All],[INT]],MATCH(Table5[[#This Row],[PID]],Batters[[#All],[PID]],0)),INDEX(Table3[[#All],[INT]],MATCH(Table5[[#This Row],[PID]],Table3[[#All],[PID]],0)))</f>
        <v>Normal</v>
      </c>
      <c r="L1161" s="62">
        <f>IF($C1161="B",INDEX(Batters[[#All],[CON P]],MATCH(Table5[[#This Row],[PID]],Batters[[#All],[PID]],0)),INDEX(Table3[[#All],[STU P]],MATCH(Table5[[#This Row],[PID]],Table3[[#All],[PID]],0)))</f>
        <v>2</v>
      </c>
      <c r="M1161" s="58">
        <f>IF($C1161="B",INDEX(Batters[[#All],[GAP P]],MATCH(Table5[[#This Row],[PID]],Batters[[#All],[PID]],0)),INDEX(Table3[[#All],[MOV P]],MATCH(Table5[[#This Row],[PID]],Table3[[#All],[PID]],0)))</f>
        <v>3</v>
      </c>
      <c r="N1161" s="58">
        <f>IF($C1161="B",INDEX(Batters[[#All],[POW P]],MATCH(Table5[[#This Row],[PID]],Batters[[#All],[PID]],0)),INDEX(Table3[[#All],[CON P]],MATCH(Table5[[#This Row],[PID]],Table3[[#All],[PID]],0)))</f>
        <v>3</v>
      </c>
      <c r="O1161" s="58">
        <f>IF($C1161="B",INDEX(Batters[[#All],[EYE P]],MATCH(Table5[[#This Row],[PID]],Batters[[#All],[PID]],0)),INDEX(Table3[[#All],[VELO]],MATCH(Table5[[#This Row],[PID]],Table3[[#All],[PID]],0)))</f>
        <v>5</v>
      </c>
      <c r="P1161" s="58">
        <f>IF($C1161="B",INDEX(Batters[[#All],[K P]],MATCH(Table5[[#This Row],[PID]],Batters[[#All],[PID]],0)),INDEX(Table3[[#All],[STM]],MATCH(Table5[[#This Row],[PID]],Table3[[#All],[PID]],0)))</f>
        <v>1</v>
      </c>
      <c r="Q1161" s="63">
        <f>IF($C1161="B",INDEX(Batters[[#All],[Tot]],MATCH(Table5[[#This Row],[PID]],Batters[[#All],[PID]],0)),INDEX(Table3[[#All],[Tot]],MATCH(Table5[[#This Row],[PID]],Table3[[#All],[PID]],0)))</f>
        <v>32.164136628432765</v>
      </c>
      <c r="R1161" s="54">
        <f>IF($C1161="B",INDEX(Batters[[#All],[zScore]],MATCH(Table5[[#This Row],[PID]],Batters[[#All],[PID]],0)),INDEX(Table3[[#All],[zScore]],MATCH(Table5[[#This Row],[PID]],Table3[[#All],[PID]],0)))</f>
        <v>-1.4399398888135622</v>
      </c>
      <c r="S1161" s="60" t="str">
        <f>IF($C1161="B",INDEX(Batters[[#All],[DEM]],MATCH(Table5[[#This Row],[PID]],Batters[[#All],[PID]],0)),INDEX(Table3[[#All],[DEM]],MATCH(Table5[[#This Row],[PID]],Table3[[#All],[PID]],0)))</f>
        <v>-</v>
      </c>
      <c r="T1161" s="64">
        <f>IF($C1161="B",VLOOKUP($A1161,Bat!$A$4:$AU$1417,46,FALSE),VLOOKUP($A1161,Pit!$A$4:$BD$570,55,FALSE))</f>
        <v>0</v>
      </c>
      <c r="U1161" s="52">
        <f>IF($C1161="B",VLOOKUP($A1161,Bat!$A$4:$BA$1417,47,FALSE),VLOOKUP($A1161,Pit!$A$4:$BF$570,56,FALSE))</f>
        <v>0</v>
      </c>
      <c r="V1161" s="52">
        <f>IF($C1161="B",VLOOKUP($A1161,Bat!$A$4:$BA$1417,48,FALSE),VLOOKUP($A1161,Pit!$A$4:$BF$570,57,FALSE))</f>
        <v>0</v>
      </c>
      <c r="W1161" s="52">
        <f>Table5[[#This Row],[posRnk]]+Table5[[#This Row],[zRnk]]+IF($W$3&lt;&gt;Table5[[#This Row],[Type]],50,0)</f>
        <v>1207</v>
      </c>
      <c r="X1161" s="53">
        <f>RANK(Table5[[#This Row],[zScore]],Table5[[#All],[zScore]])</f>
        <v>1157</v>
      </c>
      <c r="Y1161" s="52" t="str">
        <f>IFERROR(INDEX(DraftResults[[#All],[OVR]],MATCH(Table5[[#This Row],[PID]],DraftResults[[#All],[Player ID]],0)),"")</f>
        <v/>
      </c>
      <c r="Z11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1" s="52" t="str">
        <f>IFERROR(INDEX(DraftResults[[#All],[Pick in Round]],MATCH(Table5[[#This Row],[PID]],DraftResults[[#All],[Player ID]],0)),"")</f>
        <v/>
      </c>
      <c r="AB1161" s="52" t="str">
        <f>IFERROR(INDEX(DraftResults[[#All],[Team Name]],MATCH(Table5[[#This Row],[PID]],DraftResults[[#All],[Player ID]],0)),"")</f>
        <v/>
      </c>
      <c r="AC1161" s="52" t="str">
        <f>IF(Table5[[#This Row],[Ovr]]="","",IF(Table5[[#This Row],[cmbList]]="","",Table5[[#This Row],[cmbList]]-Table5[[#This Row],[Ovr]]))</f>
        <v/>
      </c>
      <c r="AD1161" s="56" t="str">
        <f>IF(ISERROR(VLOOKUP($AB1161&amp;"-"&amp;$E1161&amp;" "&amp;F1161,Bonuses!$B$1:$G$1006,4,FALSE)),"",INT(VLOOKUP($AB1161&amp;"-"&amp;$E1161&amp;" "&amp;$F1161,Bonuses!$B$1:$G$1006,4,FALSE)))</f>
        <v/>
      </c>
      <c r="AE11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2" spans="1:31" s="52" customFormat="1" x14ac:dyDescent="0.25">
      <c r="A1162" s="52">
        <v>12308</v>
      </c>
      <c r="B1162" s="52">
        <f>COUNTIF(Table5[PID],A1162)</f>
        <v>1</v>
      </c>
      <c r="C1162" s="52" t="str">
        <f>IF(COUNTIF(Table3[[#All],[PID]],A1162)&gt;0,"P","B")</f>
        <v>B</v>
      </c>
      <c r="D1162" s="61" t="str">
        <f>IF($C1162="B",INDEX(Batters[[#All],[POS]],MATCH(Table5[[#This Row],[PID]],Batters[[#All],[PID]],0)),INDEX(Table3[[#All],[POS]],MATCH(Table5[[#This Row],[PID]],Table3[[#All],[PID]],0)))</f>
        <v>LF</v>
      </c>
      <c r="E1162" s="54" t="str">
        <f>IF($C1162="B",INDEX(Batters[[#All],[First]],MATCH(Table5[[#This Row],[PID]],Batters[[#All],[PID]],0)),INDEX(Table3[[#All],[First]],MATCH(Table5[[#This Row],[PID]],Table3[[#All],[PID]],0)))</f>
        <v>Matsu</v>
      </c>
      <c r="F1162" s="52" t="str">
        <f>IF($C1162="B",INDEX(Batters[[#All],[Last]],MATCH(A1162,Batters[[#All],[PID]],0)),INDEX(Table3[[#All],[Last]],MATCH(A1162,Table3[[#All],[PID]],0)))</f>
        <v>Matsuoka</v>
      </c>
      <c r="G1162" s="58">
        <f>IF($C1162="B",INDEX(Batters[[#All],[Age]],MATCH(Table5[[#This Row],[PID]],Batters[[#All],[PID]],0)),INDEX(Table3[[#All],[Age]],MATCH(Table5[[#This Row],[PID]],Table3[[#All],[PID]],0)))</f>
        <v>22</v>
      </c>
      <c r="H1162" s="54" t="str">
        <f>IF($C1162="B",INDEX(Batters[[#All],[B]],MATCH(Table5[[#This Row],[PID]],Batters[[#All],[PID]],0)),INDEX(Table3[[#All],[B]],MATCH(Table5[[#This Row],[PID]],Table3[[#All],[PID]],0)))</f>
        <v>L</v>
      </c>
      <c r="I1162" s="54" t="str">
        <f>IF($C1162="B",INDEX(Batters[[#All],[T]],MATCH(Table5[[#This Row],[PID]],Batters[[#All],[PID]],0)),INDEX(Table3[[#All],[T]],MATCH(Table5[[#This Row],[PID]],Table3[[#All],[PID]],0)))</f>
        <v>L</v>
      </c>
      <c r="J1162" s="54" t="str">
        <f>IF($C1162="B",INDEX(Batters[[#All],[WE]],MATCH(Table5[[#This Row],[PID]],Batters[[#All],[PID]],0)),INDEX(Table3[[#All],[WE]],MATCH(Table5[[#This Row],[PID]],Table3[[#All],[PID]],0)))</f>
        <v>Low</v>
      </c>
      <c r="K1162" s="54" t="str">
        <f>IF($C1162="B",INDEX(Batters[[#All],[INT]],MATCH(Table5[[#This Row],[PID]],Batters[[#All],[PID]],0)),INDEX(Table3[[#All],[INT]],MATCH(Table5[[#This Row],[PID]],Table3[[#All],[PID]],0)))</f>
        <v>Normal</v>
      </c>
      <c r="L1162" s="62">
        <f>IF($C1162="B",INDEX(Batters[[#All],[CON P]],MATCH(Table5[[#This Row],[PID]],Batters[[#All],[PID]],0)),INDEX(Table3[[#All],[STU P]],MATCH(Table5[[#This Row],[PID]],Table3[[#All],[PID]],0)))</f>
        <v>3</v>
      </c>
      <c r="M1162" s="58">
        <f>IF($C1162="B",INDEX(Batters[[#All],[GAP P]],MATCH(Table5[[#This Row],[PID]],Batters[[#All],[PID]],0)),INDEX(Table3[[#All],[MOV P]],MATCH(Table5[[#This Row],[PID]],Table3[[#All],[PID]],0)))</f>
        <v>3</v>
      </c>
      <c r="N1162" s="58">
        <f>IF($C1162="B",INDEX(Batters[[#All],[POW P]],MATCH(Table5[[#This Row],[PID]],Batters[[#All],[PID]],0)),INDEX(Table3[[#All],[CON P]],MATCH(Table5[[#This Row],[PID]],Table3[[#All],[PID]],0)))</f>
        <v>2</v>
      </c>
      <c r="O1162" s="58">
        <f>IF($C1162="B",INDEX(Batters[[#All],[EYE P]],MATCH(Table5[[#This Row],[PID]],Batters[[#All],[PID]],0)),INDEX(Table3[[#All],[VELO]],MATCH(Table5[[#This Row],[PID]],Table3[[#All],[PID]],0)))</f>
        <v>2</v>
      </c>
      <c r="P1162" s="58">
        <f>IF($C1162="B",INDEX(Batters[[#All],[K P]],MATCH(Table5[[#This Row],[PID]],Batters[[#All],[PID]],0)),INDEX(Table3[[#All],[STM]],MATCH(Table5[[#This Row],[PID]],Table3[[#All],[PID]],0)))</f>
        <v>4</v>
      </c>
      <c r="Q1162" s="63">
        <f>IF($C1162="B",INDEX(Batters[[#All],[Tot]],MATCH(Table5[[#This Row],[PID]],Batters[[#All],[PID]],0)),INDEX(Table3[[#All],[Tot]],MATCH(Table5[[#This Row],[PID]],Table3[[#All],[PID]],0)))</f>
        <v>32.060066924147293</v>
      </c>
      <c r="R1162" s="54">
        <f>IF($C1162="B",INDEX(Batters[[#All],[zScore]],MATCH(Table5[[#This Row],[PID]],Batters[[#All],[PID]],0)),INDEX(Table3[[#All],[zScore]],MATCH(Table5[[#This Row],[PID]],Table3[[#All],[PID]],0)))</f>
        <v>-1.4582502616037638</v>
      </c>
      <c r="S1162" s="60" t="str">
        <f>IF($C1162="B",INDEX(Batters[[#All],[DEM]],MATCH(Table5[[#This Row],[PID]],Batters[[#All],[PID]],0)),INDEX(Table3[[#All],[DEM]],MATCH(Table5[[#This Row],[PID]],Table3[[#All],[PID]],0)))</f>
        <v>-</v>
      </c>
      <c r="T1162" s="64">
        <f>IF($C1162="B",VLOOKUP($A1162,Bat!$A$4:$AU$1417,46,FALSE),VLOOKUP($A1162,Pit!$A$4:$BD$570,55,FALSE))</f>
        <v>0</v>
      </c>
      <c r="U1162" s="52">
        <f>IF($C1162="B",VLOOKUP($A1162,Bat!$A$4:$BA$1417,47,FALSE),VLOOKUP($A1162,Pit!$A$4:$BF$570,56,FALSE))</f>
        <v>0</v>
      </c>
      <c r="V1162" s="52">
        <f>IF($C1162="B",VLOOKUP($A1162,Bat!$A$4:$BA$1417,48,FALSE),VLOOKUP($A1162,Pit!$A$4:$BF$570,57,FALSE))</f>
        <v>0</v>
      </c>
      <c r="W1162" s="52">
        <f>Table5[[#This Row],[posRnk]]+Table5[[#This Row],[zRnk]]+IF($W$3&lt;&gt;Table5[[#This Row],[Type]],50,0)</f>
        <v>1208</v>
      </c>
      <c r="X1162" s="53">
        <f>RANK(Table5[[#This Row],[zScore]],Table5[[#All],[zScore]])</f>
        <v>1158</v>
      </c>
      <c r="Y1162" s="52" t="str">
        <f>IFERROR(INDEX(DraftResults[[#All],[OVR]],MATCH(Table5[[#This Row],[PID]],DraftResults[[#All],[Player ID]],0)),"")</f>
        <v/>
      </c>
      <c r="Z11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2" s="52" t="str">
        <f>IFERROR(INDEX(DraftResults[[#All],[Pick in Round]],MATCH(Table5[[#This Row],[PID]],DraftResults[[#All],[Player ID]],0)),"")</f>
        <v/>
      </c>
      <c r="AB1162" s="52" t="str">
        <f>IFERROR(INDEX(DraftResults[[#All],[Team Name]],MATCH(Table5[[#This Row],[PID]],DraftResults[[#All],[Player ID]],0)),"")</f>
        <v/>
      </c>
      <c r="AC1162" s="52" t="str">
        <f>IF(Table5[[#This Row],[Ovr]]="","",IF(Table5[[#This Row],[cmbList]]="","",Table5[[#This Row],[cmbList]]-Table5[[#This Row],[Ovr]]))</f>
        <v/>
      </c>
      <c r="AD1162" s="56" t="str">
        <f>IF(ISERROR(VLOOKUP($AB1162&amp;"-"&amp;$E1162&amp;" "&amp;F1162,Bonuses!$B$1:$G$1006,4,FALSE)),"",INT(VLOOKUP($AB1162&amp;"-"&amp;$E1162&amp;" "&amp;$F1162,Bonuses!$B$1:$G$1006,4,FALSE)))</f>
        <v/>
      </c>
      <c r="AE11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3" spans="1:31" s="52" customFormat="1" x14ac:dyDescent="0.25">
      <c r="A1163" s="52">
        <v>10024</v>
      </c>
      <c r="B1163" s="52">
        <f>COUNTIF(Table5[PID],A1163)</f>
        <v>1</v>
      </c>
      <c r="C1163" s="52" t="str">
        <f>IF(COUNTIF(Table3[[#All],[PID]],A1163)&gt;0,"P","B")</f>
        <v>P</v>
      </c>
      <c r="D1163" s="61" t="str">
        <f>IF($C1163="B",INDEX(Batters[[#All],[POS]],MATCH(Table5[[#This Row],[PID]],Batters[[#All],[PID]],0)),INDEX(Table3[[#All],[POS]],MATCH(Table5[[#This Row],[PID]],Table3[[#All],[PID]],0)))</f>
        <v>RP</v>
      </c>
      <c r="E1163" s="54" t="str">
        <f>IF($C1163="B",INDEX(Batters[[#All],[First]],MATCH(Table5[[#This Row],[PID]],Batters[[#All],[PID]],0)),INDEX(Table3[[#All],[First]],MATCH(Table5[[#This Row],[PID]],Table3[[#All],[PID]],0)))</f>
        <v>Clement</v>
      </c>
      <c r="F1163" s="52" t="str">
        <f>IF($C1163="B",INDEX(Batters[[#All],[Last]],MATCH(A1163,Batters[[#All],[PID]],0)),INDEX(Table3[[#All],[Last]],MATCH(A1163,Table3[[#All],[PID]],0)))</f>
        <v>Ramsey</v>
      </c>
      <c r="G1163" s="58">
        <f>IF($C1163="B",INDEX(Batters[[#All],[Age]],MATCH(Table5[[#This Row],[PID]],Batters[[#All],[PID]],0)),INDEX(Table3[[#All],[Age]],MATCH(Table5[[#This Row],[PID]],Table3[[#All],[PID]],0)))</f>
        <v>22</v>
      </c>
      <c r="H1163" s="54" t="str">
        <f>IF($C1163="B",INDEX(Batters[[#All],[B]],MATCH(Table5[[#This Row],[PID]],Batters[[#All],[PID]],0)),INDEX(Table3[[#All],[B]],MATCH(Table5[[#This Row],[PID]],Table3[[#All],[PID]],0)))</f>
        <v>R</v>
      </c>
      <c r="I1163" s="54" t="str">
        <f>IF($C1163="B",INDEX(Batters[[#All],[T]],MATCH(Table5[[#This Row],[PID]],Batters[[#All],[PID]],0)),INDEX(Table3[[#All],[T]],MATCH(Table5[[#This Row],[PID]],Table3[[#All],[PID]],0)))</f>
        <v>R</v>
      </c>
      <c r="J1163" s="54" t="str">
        <f>IF($C1163="B",INDEX(Batters[[#All],[WE]],MATCH(Table5[[#This Row],[PID]],Batters[[#All],[PID]],0)),INDEX(Table3[[#All],[WE]],MATCH(Table5[[#This Row],[PID]],Table3[[#All],[PID]],0)))</f>
        <v>Normal</v>
      </c>
      <c r="K1163" s="54" t="str">
        <f>IF($C1163="B",INDEX(Batters[[#All],[INT]],MATCH(Table5[[#This Row],[PID]],Batters[[#All],[PID]],0)),INDEX(Table3[[#All],[INT]],MATCH(Table5[[#This Row],[PID]],Table3[[#All],[PID]],0)))</f>
        <v>High</v>
      </c>
      <c r="L1163" s="62">
        <f>IF($C1163="B",INDEX(Batters[[#All],[CON P]],MATCH(Table5[[#This Row],[PID]],Batters[[#All],[PID]],0)),INDEX(Table3[[#All],[STU P]],MATCH(Table5[[#This Row],[PID]],Table3[[#All],[PID]],0)))</f>
        <v>3</v>
      </c>
      <c r="M1163" s="58">
        <f>IF($C1163="B",INDEX(Batters[[#All],[GAP P]],MATCH(Table5[[#This Row],[PID]],Batters[[#All],[PID]],0)),INDEX(Table3[[#All],[MOV P]],MATCH(Table5[[#This Row],[PID]],Table3[[#All],[PID]],0)))</f>
        <v>2</v>
      </c>
      <c r="N1163" s="58">
        <f>IF($C1163="B",INDEX(Batters[[#All],[POW P]],MATCH(Table5[[#This Row],[PID]],Batters[[#All],[PID]],0)),INDEX(Table3[[#All],[CON P]],MATCH(Table5[[#This Row],[PID]],Table3[[#All],[PID]],0)))</f>
        <v>2</v>
      </c>
      <c r="O1163" s="58" t="str">
        <f>IF($C1163="B",INDEX(Batters[[#All],[EYE P]],MATCH(Table5[[#This Row],[PID]],Batters[[#All],[PID]],0)),INDEX(Table3[[#All],[VELO]],MATCH(Table5[[#This Row],[PID]],Table3[[#All],[PID]],0)))</f>
        <v>88-90 Mph</v>
      </c>
      <c r="P1163" s="58">
        <f>IF($C1163="B",INDEX(Batters[[#All],[K P]],MATCH(Table5[[#This Row],[PID]],Batters[[#All],[PID]],0)),INDEX(Table3[[#All],[STM]],MATCH(Table5[[#This Row],[PID]],Table3[[#All],[PID]],0)))</f>
        <v>2</v>
      </c>
      <c r="Q1163" s="63">
        <f>IF($C1163="B",INDEX(Batters[[#All],[Tot]],MATCH(Table5[[#This Row],[PID]],Batters[[#All],[PID]],0)),INDEX(Table3[[#All],[Tot]],MATCH(Table5[[#This Row],[PID]],Table3[[#All],[PID]],0)))</f>
        <v>13.662604813732358</v>
      </c>
      <c r="R1163" s="54">
        <f>IF($C1163="B",INDEX(Batters[[#All],[zScore]],MATCH(Table5[[#This Row],[PID]],Batters[[#All],[PID]],0)),INDEX(Table3[[#All],[zScore]],MATCH(Table5[[#This Row],[PID]],Table3[[#All],[PID]],0)))</f>
        <v>-1.466492098908323</v>
      </c>
      <c r="S1163" s="60" t="str">
        <f>IF($C1163="B",INDEX(Batters[[#All],[DEM]],MATCH(Table5[[#This Row],[PID]],Batters[[#All],[PID]],0)),INDEX(Table3[[#All],[DEM]],MATCH(Table5[[#This Row],[PID]],Table3[[#All],[PID]],0)))</f>
        <v>-</v>
      </c>
      <c r="T1163" s="64" t="e">
        <f>IF($C1163="B",VLOOKUP($A1163,Bat!$A$4:$AU$1417,46,FALSE),VLOOKUP($A1163,Pit!$A$4:$BD$570,55,FALSE))</f>
        <v>#N/A</v>
      </c>
      <c r="U1163" s="52" t="e">
        <f>IF($C1163="B",VLOOKUP($A1163,Bat!$A$4:$BA$1417,47,FALSE),VLOOKUP($A1163,Pit!$A$4:$BF$570,56,FALSE))</f>
        <v>#N/A</v>
      </c>
      <c r="V1163" s="52" t="e">
        <f>IF($C1163="B",VLOOKUP($A1163,Bat!$A$4:$BA$1417,48,FALSE),VLOOKUP($A1163,Pit!$A$4:$BF$570,57,FALSE))</f>
        <v>#N/A</v>
      </c>
      <c r="W1163" s="52" t="e">
        <f>Table5[[#This Row],[posRnk]]+Table5[[#This Row],[zRnk]]+IF($W$3&lt;&gt;Table5[[#This Row],[Type]],50,0)</f>
        <v>#N/A</v>
      </c>
      <c r="X1163" s="53">
        <f>RANK(Table5[[#This Row],[zScore]],Table5[[#All],[zScore]])</f>
        <v>1159</v>
      </c>
      <c r="Y1163" s="52" t="str">
        <f>IFERROR(INDEX(DraftResults[[#All],[OVR]],MATCH(Table5[[#This Row],[PID]],DraftResults[[#All],[Player ID]],0)),"")</f>
        <v/>
      </c>
      <c r="Z11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3" s="52" t="str">
        <f>IFERROR(INDEX(DraftResults[[#All],[Pick in Round]],MATCH(Table5[[#This Row],[PID]],DraftResults[[#All],[Player ID]],0)),"")</f>
        <v/>
      </c>
      <c r="AB1163" s="52" t="str">
        <f>IFERROR(INDEX(DraftResults[[#All],[Team Name]],MATCH(Table5[[#This Row],[PID]],DraftResults[[#All],[Player ID]],0)),"")</f>
        <v/>
      </c>
      <c r="AC1163" s="52" t="str">
        <f>IF(Table5[[#This Row],[Ovr]]="","",IF(Table5[[#This Row],[cmbList]]="","",Table5[[#This Row],[cmbList]]-Table5[[#This Row],[Ovr]]))</f>
        <v/>
      </c>
      <c r="AD1163" s="56" t="str">
        <f>IF(ISERROR(VLOOKUP($AB1163&amp;"-"&amp;$E1163&amp;" "&amp;F1163,Bonuses!$B$1:$G$1006,4,FALSE)),"",INT(VLOOKUP($AB1163&amp;"-"&amp;$E1163&amp;" "&amp;$F1163,Bonuses!$B$1:$G$1006,4,FALSE)))</f>
        <v/>
      </c>
      <c r="AE11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4" spans="1:31" s="52" customFormat="1" x14ac:dyDescent="0.25">
      <c r="A1164" s="52">
        <v>12206</v>
      </c>
      <c r="B1164" s="52">
        <f>COUNTIF(Table5[PID],A1164)</f>
        <v>1</v>
      </c>
      <c r="C1164" s="52" t="str">
        <f>IF(COUNTIF(Table3[[#All],[PID]],A1164)&gt;0,"P","B")</f>
        <v>B</v>
      </c>
      <c r="D1164" s="61" t="str">
        <f>IF($C1164="B",INDEX(Batters[[#All],[POS]],MATCH(Table5[[#This Row],[PID]],Batters[[#All],[PID]],0)),INDEX(Table3[[#All],[POS]],MATCH(Table5[[#This Row],[PID]],Table3[[#All],[PID]],0)))</f>
        <v>1B</v>
      </c>
      <c r="E1164" s="54" t="str">
        <f>IF($C1164="B",INDEX(Batters[[#All],[First]],MATCH(Table5[[#This Row],[PID]],Batters[[#All],[PID]],0)),INDEX(Table3[[#All],[First]],MATCH(Table5[[#This Row],[PID]],Table3[[#All],[PID]],0)))</f>
        <v>Juan</v>
      </c>
      <c r="F1164" s="52" t="str">
        <f>IF($C1164="B",INDEX(Batters[[#All],[Last]],MATCH(A1164,Batters[[#All],[PID]],0)),INDEX(Table3[[#All],[Last]],MATCH(A1164,Table3[[#All],[PID]],0)))</f>
        <v>Coriand</v>
      </c>
      <c r="G1164" s="58">
        <f>IF($C1164="B",INDEX(Batters[[#All],[Age]],MATCH(Table5[[#This Row],[PID]],Batters[[#All],[PID]],0)),INDEX(Table3[[#All],[Age]],MATCH(Table5[[#This Row],[PID]],Table3[[#All],[PID]],0)))</f>
        <v>22</v>
      </c>
      <c r="H1164" s="54" t="str">
        <f>IF($C1164="B",INDEX(Batters[[#All],[B]],MATCH(Table5[[#This Row],[PID]],Batters[[#All],[PID]],0)),INDEX(Table3[[#All],[B]],MATCH(Table5[[#This Row],[PID]],Table3[[#All],[PID]],0)))</f>
        <v>R</v>
      </c>
      <c r="I1164" s="54" t="str">
        <f>IF($C1164="B",INDEX(Batters[[#All],[T]],MATCH(Table5[[#This Row],[PID]],Batters[[#All],[PID]],0)),INDEX(Table3[[#All],[T]],MATCH(Table5[[#This Row],[PID]],Table3[[#All],[PID]],0)))</f>
        <v>R</v>
      </c>
      <c r="J1164" s="54" t="str">
        <f>IF($C1164="B",INDEX(Batters[[#All],[WE]],MATCH(Table5[[#This Row],[PID]],Batters[[#All],[PID]],0)),INDEX(Table3[[#All],[WE]],MATCH(Table5[[#This Row],[PID]],Table3[[#All],[PID]],0)))</f>
        <v>Normal</v>
      </c>
      <c r="K1164" s="54" t="str">
        <f>IF($C1164="B",INDEX(Batters[[#All],[INT]],MATCH(Table5[[#This Row],[PID]],Batters[[#All],[PID]],0)),INDEX(Table3[[#All],[INT]],MATCH(Table5[[#This Row],[PID]],Table3[[#All],[PID]],0)))</f>
        <v>Normal</v>
      </c>
      <c r="L1164" s="62">
        <f>IF($C1164="B",INDEX(Batters[[#All],[CON P]],MATCH(Table5[[#This Row],[PID]],Batters[[#All],[PID]],0)),INDEX(Table3[[#All],[STU P]],MATCH(Table5[[#This Row],[PID]],Table3[[#All],[PID]],0)))</f>
        <v>2</v>
      </c>
      <c r="M1164" s="58">
        <f>IF($C1164="B",INDEX(Batters[[#All],[GAP P]],MATCH(Table5[[#This Row],[PID]],Batters[[#All],[PID]],0)),INDEX(Table3[[#All],[MOV P]],MATCH(Table5[[#This Row],[PID]],Table3[[#All],[PID]],0)))</f>
        <v>3</v>
      </c>
      <c r="N1164" s="58">
        <f>IF($C1164="B",INDEX(Batters[[#All],[POW P]],MATCH(Table5[[#This Row],[PID]],Batters[[#All],[PID]],0)),INDEX(Table3[[#All],[CON P]],MATCH(Table5[[#This Row],[PID]],Table3[[#All],[PID]],0)))</f>
        <v>3</v>
      </c>
      <c r="O1164" s="58">
        <f>IF($C1164="B",INDEX(Batters[[#All],[EYE P]],MATCH(Table5[[#This Row],[PID]],Batters[[#All],[PID]],0)),INDEX(Table3[[#All],[VELO]],MATCH(Table5[[#This Row],[PID]],Table3[[#All],[PID]],0)))</f>
        <v>5</v>
      </c>
      <c r="P1164" s="58">
        <f>IF($C1164="B",INDEX(Batters[[#All],[K P]],MATCH(Table5[[#This Row],[PID]],Batters[[#All],[PID]],0)),INDEX(Table3[[#All],[STM]],MATCH(Table5[[#This Row],[PID]],Table3[[#All],[PID]],0)))</f>
        <v>3</v>
      </c>
      <c r="Q1164" s="63">
        <f>IF($C1164="B",INDEX(Batters[[#All],[Tot]],MATCH(Table5[[#This Row],[PID]],Batters[[#All],[PID]],0)),INDEX(Table3[[#All],[Tot]],MATCH(Table5[[#This Row],[PID]],Table3[[#All],[PID]],0)))</f>
        <v>32.011727084415192</v>
      </c>
      <c r="R1164" s="54">
        <f>IF($C1164="B",INDEX(Batters[[#All],[zScore]],MATCH(Table5[[#This Row],[PID]],Batters[[#All],[PID]],0)),INDEX(Table3[[#All],[zScore]],MATCH(Table5[[#This Row],[PID]],Table3[[#All],[PID]],0)))</f>
        <v>-1.4667553351233871</v>
      </c>
      <c r="S1164" s="60" t="str">
        <f>IF($C1164="B",INDEX(Batters[[#All],[DEM]],MATCH(Table5[[#This Row],[PID]],Batters[[#All],[PID]],0)),INDEX(Table3[[#All],[DEM]],MATCH(Table5[[#This Row],[PID]],Table3[[#All],[PID]],0)))</f>
        <v>-</v>
      </c>
      <c r="T1164" s="64">
        <f>IF($C1164="B",VLOOKUP($A1164,Bat!$A$4:$AU$1417,46,FALSE),VLOOKUP($A1164,Pit!$A$4:$BD$570,55,FALSE))</f>
        <v>0</v>
      </c>
      <c r="U1164" s="52">
        <f>IF($C1164="B",VLOOKUP($A1164,Bat!$A$4:$BA$1417,47,FALSE),VLOOKUP($A1164,Pit!$A$4:$BF$570,56,FALSE))</f>
        <v>0</v>
      </c>
      <c r="V1164" s="52">
        <f>IF($C1164="B",VLOOKUP($A1164,Bat!$A$4:$BA$1417,48,FALSE),VLOOKUP($A1164,Pit!$A$4:$BF$570,57,FALSE))</f>
        <v>0</v>
      </c>
      <c r="W1164" s="52">
        <f>Table5[[#This Row],[posRnk]]+Table5[[#This Row],[zRnk]]+IF($W$3&lt;&gt;Table5[[#This Row],[Type]],50,0)</f>
        <v>1210</v>
      </c>
      <c r="X1164" s="53">
        <f>RANK(Table5[[#This Row],[zScore]],Table5[[#All],[zScore]])</f>
        <v>1160</v>
      </c>
      <c r="Y1164" s="52" t="str">
        <f>IFERROR(INDEX(DraftResults[[#All],[OVR]],MATCH(Table5[[#This Row],[PID]],DraftResults[[#All],[Player ID]],0)),"")</f>
        <v/>
      </c>
      <c r="Z11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4" s="52" t="str">
        <f>IFERROR(INDEX(DraftResults[[#All],[Pick in Round]],MATCH(Table5[[#This Row],[PID]],DraftResults[[#All],[Player ID]],0)),"")</f>
        <v/>
      </c>
      <c r="AB1164" s="52" t="str">
        <f>IFERROR(INDEX(DraftResults[[#All],[Team Name]],MATCH(Table5[[#This Row],[PID]],DraftResults[[#All],[Player ID]],0)),"")</f>
        <v/>
      </c>
      <c r="AC1164" s="52" t="str">
        <f>IF(Table5[[#This Row],[Ovr]]="","",IF(Table5[[#This Row],[cmbList]]="","",Table5[[#This Row],[cmbList]]-Table5[[#This Row],[Ovr]]))</f>
        <v/>
      </c>
      <c r="AD1164" s="56" t="str">
        <f>IF(ISERROR(VLOOKUP($AB1164&amp;"-"&amp;$E1164&amp;" "&amp;F1164,Bonuses!$B$1:$G$1006,4,FALSE)),"",INT(VLOOKUP($AB1164&amp;"-"&amp;$E1164&amp;" "&amp;$F1164,Bonuses!$B$1:$G$1006,4,FALSE)))</f>
        <v/>
      </c>
      <c r="AE11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5" spans="1:31" s="52" customFormat="1" x14ac:dyDescent="0.25">
      <c r="A1165" s="52">
        <v>12664</v>
      </c>
      <c r="B1165" s="52">
        <f>COUNTIF(Table5[PID],A1165)</f>
        <v>1</v>
      </c>
      <c r="C1165" s="52" t="str">
        <f>IF(COUNTIF(Table3[[#All],[PID]],A1165)&gt;0,"P","B")</f>
        <v>B</v>
      </c>
      <c r="D1165" s="61" t="str">
        <f>IF($C1165="B",INDEX(Batters[[#All],[POS]],MATCH(Table5[[#This Row],[PID]],Batters[[#All],[PID]],0)),INDEX(Table3[[#All],[POS]],MATCH(Table5[[#This Row],[PID]],Table3[[#All],[PID]],0)))</f>
        <v>1B</v>
      </c>
      <c r="E1165" s="54" t="str">
        <f>IF($C1165="B",INDEX(Batters[[#All],[First]],MATCH(Table5[[#This Row],[PID]],Batters[[#All],[PID]],0)),INDEX(Table3[[#All],[First]],MATCH(Table5[[#This Row],[PID]],Table3[[#All],[PID]],0)))</f>
        <v>Alberto</v>
      </c>
      <c r="F1165" s="52" t="str">
        <f>IF($C1165="B",INDEX(Batters[[#All],[Last]],MATCH(A1165,Batters[[#All],[PID]],0)),INDEX(Table3[[#All],[Last]],MATCH(A1165,Table3[[#All],[PID]],0)))</f>
        <v>Torrez</v>
      </c>
      <c r="G1165" s="58">
        <f>IF($C1165="B",INDEX(Batters[[#All],[Age]],MATCH(Table5[[#This Row],[PID]],Batters[[#All],[PID]],0)),INDEX(Table3[[#All],[Age]],MATCH(Table5[[#This Row],[PID]],Table3[[#All],[PID]],0)))</f>
        <v>21</v>
      </c>
      <c r="H1165" s="54" t="str">
        <f>IF($C1165="B",INDEX(Batters[[#All],[B]],MATCH(Table5[[#This Row],[PID]],Batters[[#All],[PID]],0)),INDEX(Table3[[#All],[B]],MATCH(Table5[[#This Row],[PID]],Table3[[#All],[PID]],0)))</f>
        <v>R</v>
      </c>
      <c r="I1165" s="54" t="str">
        <f>IF($C1165="B",INDEX(Batters[[#All],[T]],MATCH(Table5[[#This Row],[PID]],Batters[[#All],[PID]],0)),INDEX(Table3[[#All],[T]],MATCH(Table5[[#This Row],[PID]],Table3[[#All],[PID]],0)))</f>
        <v>R</v>
      </c>
      <c r="J1165" s="54" t="str">
        <f>IF($C1165="B",INDEX(Batters[[#All],[WE]],MATCH(Table5[[#This Row],[PID]],Batters[[#All],[PID]],0)),INDEX(Table3[[#All],[WE]],MATCH(Table5[[#This Row],[PID]],Table3[[#All],[PID]],0)))</f>
        <v>Low</v>
      </c>
      <c r="K1165" s="54" t="str">
        <f>IF($C1165="B",INDEX(Batters[[#All],[INT]],MATCH(Table5[[#This Row],[PID]],Batters[[#All],[PID]],0)),INDEX(Table3[[#All],[INT]],MATCH(Table5[[#This Row],[PID]],Table3[[#All],[PID]],0)))</f>
        <v>Normal</v>
      </c>
      <c r="L1165" s="62">
        <f>IF($C1165="B",INDEX(Batters[[#All],[CON P]],MATCH(Table5[[#This Row],[PID]],Batters[[#All],[PID]],0)),INDEX(Table3[[#All],[STU P]],MATCH(Table5[[#This Row],[PID]],Table3[[#All],[PID]],0)))</f>
        <v>3</v>
      </c>
      <c r="M1165" s="58">
        <f>IF($C1165="B",INDEX(Batters[[#All],[GAP P]],MATCH(Table5[[#This Row],[PID]],Batters[[#All],[PID]],0)),INDEX(Table3[[#All],[MOV P]],MATCH(Table5[[#This Row],[PID]],Table3[[#All],[PID]],0)))</f>
        <v>3</v>
      </c>
      <c r="N1165" s="58">
        <f>IF($C1165="B",INDEX(Batters[[#All],[POW P]],MATCH(Table5[[#This Row],[PID]],Batters[[#All],[PID]],0)),INDEX(Table3[[#All],[CON P]],MATCH(Table5[[#This Row],[PID]],Table3[[#All],[PID]],0)))</f>
        <v>2</v>
      </c>
      <c r="O1165" s="58">
        <f>IF($C1165="B",INDEX(Batters[[#All],[EYE P]],MATCH(Table5[[#This Row],[PID]],Batters[[#All],[PID]],0)),INDEX(Table3[[#All],[VELO]],MATCH(Table5[[#This Row],[PID]],Table3[[#All],[PID]],0)))</f>
        <v>2</v>
      </c>
      <c r="P1165" s="58">
        <f>IF($C1165="B",INDEX(Batters[[#All],[K P]],MATCH(Table5[[#This Row],[PID]],Batters[[#All],[PID]],0)),INDEX(Table3[[#All],[STM]],MATCH(Table5[[#This Row],[PID]],Table3[[#All],[PID]],0)))</f>
        <v>4</v>
      </c>
      <c r="Q1165" s="63">
        <f>IF($C1165="B",INDEX(Batters[[#All],[Tot]],MATCH(Table5[[#This Row],[PID]],Batters[[#All],[PID]],0)),INDEX(Table3[[#All],[Tot]],MATCH(Table5[[#This Row],[PID]],Table3[[#All],[PID]],0)))</f>
        <v>32.008628409602323</v>
      </c>
      <c r="R1165" s="54">
        <f>IF($C1165="B",INDEX(Batters[[#All],[zScore]],MATCH(Table5[[#This Row],[PID]],Batters[[#All],[PID]],0)),INDEX(Table3[[#All],[zScore]],MATCH(Table5[[#This Row],[PID]],Table3[[#All],[PID]],0)))</f>
        <v>-1.4673005263619783</v>
      </c>
      <c r="S1165" s="60" t="str">
        <f>IF($C1165="B",INDEX(Batters[[#All],[DEM]],MATCH(Table5[[#This Row],[PID]],Batters[[#All],[PID]],0)),INDEX(Table3[[#All],[DEM]],MATCH(Table5[[#This Row],[PID]],Table3[[#All],[PID]],0)))</f>
        <v>$40k</v>
      </c>
      <c r="T1165" s="64">
        <f>IF($C1165="B",VLOOKUP($A1165,Bat!$A$4:$AU$1417,46,FALSE),VLOOKUP($A1165,Pit!$A$4:$BD$570,55,FALSE))</f>
        <v>0</v>
      </c>
      <c r="U1165" s="52">
        <f>IF($C1165="B",VLOOKUP($A1165,Bat!$A$4:$BA$1417,47,FALSE),VLOOKUP($A1165,Pit!$A$4:$BF$570,56,FALSE))</f>
        <v>0</v>
      </c>
      <c r="V1165" s="52">
        <f>IF($C1165="B",VLOOKUP($A1165,Bat!$A$4:$BA$1417,48,FALSE),VLOOKUP($A1165,Pit!$A$4:$BF$570,57,FALSE))</f>
        <v>0</v>
      </c>
      <c r="W1165" s="52">
        <f>Table5[[#This Row],[posRnk]]+Table5[[#This Row],[zRnk]]+IF($W$3&lt;&gt;Table5[[#This Row],[Type]],50,0)</f>
        <v>1211</v>
      </c>
      <c r="X1165" s="53">
        <f>RANK(Table5[[#This Row],[zScore]],Table5[[#All],[zScore]])</f>
        <v>1161</v>
      </c>
      <c r="Y1165" s="52" t="str">
        <f>IFERROR(INDEX(DraftResults[[#All],[OVR]],MATCH(Table5[[#This Row],[PID]],DraftResults[[#All],[Player ID]],0)),"")</f>
        <v/>
      </c>
      <c r="Z11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5" s="52" t="str">
        <f>IFERROR(INDEX(DraftResults[[#All],[Pick in Round]],MATCH(Table5[[#This Row],[PID]],DraftResults[[#All],[Player ID]],0)),"")</f>
        <v/>
      </c>
      <c r="AB1165" s="52" t="str">
        <f>IFERROR(INDEX(DraftResults[[#All],[Team Name]],MATCH(Table5[[#This Row],[PID]],DraftResults[[#All],[Player ID]],0)),"")</f>
        <v/>
      </c>
      <c r="AC1165" s="52" t="str">
        <f>IF(Table5[[#This Row],[Ovr]]="","",IF(Table5[[#This Row],[cmbList]]="","",Table5[[#This Row],[cmbList]]-Table5[[#This Row],[Ovr]]))</f>
        <v/>
      </c>
      <c r="AD1165" s="56" t="str">
        <f>IF(ISERROR(VLOOKUP($AB1165&amp;"-"&amp;$E1165&amp;" "&amp;F1165,Bonuses!$B$1:$G$1006,4,FALSE)),"",INT(VLOOKUP($AB1165&amp;"-"&amp;$E1165&amp;" "&amp;$F1165,Bonuses!$B$1:$G$1006,4,FALSE)))</f>
        <v/>
      </c>
      <c r="AE11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6" spans="1:31" s="52" customFormat="1" x14ac:dyDescent="0.25">
      <c r="A1166" s="52">
        <v>11926</v>
      </c>
      <c r="B1166" s="52">
        <f>COUNTIF(Table5[PID],A1166)</f>
        <v>1</v>
      </c>
      <c r="C1166" s="52" t="str">
        <f>IF(COUNTIF(Table3[[#All],[PID]],A1166)&gt;0,"P","B")</f>
        <v>B</v>
      </c>
      <c r="D1166" s="61" t="str">
        <f>IF($C1166="B",INDEX(Batters[[#All],[POS]],MATCH(Table5[[#This Row],[PID]],Batters[[#All],[PID]],0)),INDEX(Table3[[#All],[POS]],MATCH(Table5[[#This Row],[PID]],Table3[[#All],[PID]],0)))</f>
        <v>C</v>
      </c>
      <c r="E1166" s="54" t="str">
        <f>IF($C1166="B",INDEX(Batters[[#All],[First]],MATCH(Table5[[#This Row],[PID]],Batters[[#All],[PID]],0)),INDEX(Table3[[#All],[First]],MATCH(Table5[[#This Row],[PID]],Table3[[#All],[PID]],0)))</f>
        <v>William</v>
      </c>
      <c r="F1166" s="52" t="str">
        <f>IF($C1166="B",INDEX(Batters[[#All],[Last]],MATCH(A1166,Batters[[#All],[PID]],0)),INDEX(Table3[[#All],[Last]],MATCH(A1166,Table3[[#All],[PID]],0)))</f>
        <v>Olson</v>
      </c>
      <c r="G1166" s="58">
        <f>IF($C1166="B",INDEX(Batters[[#All],[Age]],MATCH(Table5[[#This Row],[PID]],Batters[[#All],[PID]],0)),INDEX(Table3[[#All],[Age]],MATCH(Table5[[#This Row],[PID]],Table3[[#All],[PID]],0)))</f>
        <v>21</v>
      </c>
      <c r="H1166" s="54" t="str">
        <f>IF($C1166="B",INDEX(Batters[[#All],[B]],MATCH(Table5[[#This Row],[PID]],Batters[[#All],[PID]],0)),INDEX(Table3[[#All],[B]],MATCH(Table5[[#This Row],[PID]],Table3[[#All],[PID]],0)))</f>
        <v>R</v>
      </c>
      <c r="I1166" s="54" t="str">
        <f>IF($C1166="B",INDEX(Batters[[#All],[T]],MATCH(Table5[[#This Row],[PID]],Batters[[#All],[PID]],0)),INDEX(Table3[[#All],[T]],MATCH(Table5[[#This Row],[PID]],Table3[[#All],[PID]],0)))</f>
        <v>R</v>
      </c>
      <c r="J1166" s="54" t="str">
        <f>IF($C1166="B",INDEX(Batters[[#All],[WE]],MATCH(Table5[[#This Row],[PID]],Batters[[#All],[PID]],0)),INDEX(Table3[[#All],[WE]],MATCH(Table5[[#This Row],[PID]],Table3[[#All],[PID]],0)))</f>
        <v>Low</v>
      </c>
      <c r="K1166" s="54" t="str">
        <f>IF($C1166="B",INDEX(Batters[[#All],[INT]],MATCH(Table5[[#This Row],[PID]],Batters[[#All],[PID]],0)),INDEX(Table3[[#All],[INT]],MATCH(Table5[[#This Row],[PID]],Table3[[#All],[PID]],0)))</f>
        <v>Normal</v>
      </c>
      <c r="L1166" s="62">
        <f>IF($C1166="B",INDEX(Batters[[#All],[CON P]],MATCH(Table5[[#This Row],[PID]],Batters[[#All],[PID]],0)),INDEX(Table3[[#All],[STU P]],MATCH(Table5[[#This Row],[PID]],Table3[[#All],[PID]],0)))</f>
        <v>2</v>
      </c>
      <c r="M1166" s="58">
        <f>IF($C1166="B",INDEX(Batters[[#All],[GAP P]],MATCH(Table5[[#This Row],[PID]],Batters[[#All],[PID]],0)),INDEX(Table3[[#All],[MOV P]],MATCH(Table5[[#This Row],[PID]],Table3[[#All],[PID]],0)))</f>
        <v>4</v>
      </c>
      <c r="N1166" s="58">
        <f>IF($C1166="B",INDEX(Batters[[#All],[POW P]],MATCH(Table5[[#This Row],[PID]],Batters[[#All],[PID]],0)),INDEX(Table3[[#All],[CON P]],MATCH(Table5[[#This Row],[PID]],Table3[[#All],[PID]],0)))</f>
        <v>3</v>
      </c>
      <c r="O1166" s="58">
        <f>IF($C1166="B",INDEX(Batters[[#All],[EYE P]],MATCH(Table5[[#This Row],[PID]],Batters[[#All],[PID]],0)),INDEX(Table3[[#All],[VELO]],MATCH(Table5[[#This Row],[PID]],Table3[[#All],[PID]],0)))</f>
        <v>5</v>
      </c>
      <c r="P1166" s="58">
        <f>IF($C1166="B",INDEX(Batters[[#All],[K P]],MATCH(Table5[[#This Row],[PID]],Batters[[#All],[PID]],0)),INDEX(Table3[[#All],[STM]],MATCH(Table5[[#This Row],[PID]],Table3[[#All],[PID]],0)))</f>
        <v>2</v>
      </c>
      <c r="Q1166" s="63">
        <f>IF($C1166="B",INDEX(Batters[[#All],[Tot]],MATCH(Table5[[#This Row],[PID]],Batters[[#All],[PID]],0)),INDEX(Table3[[#All],[Tot]],MATCH(Table5[[#This Row],[PID]],Table3[[#All],[PID]],0)))</f>
        <v>31.990384594995547</v>
      </c>
      <c r="R1166" s="54">
        <f>IF($C1166="B",INDEX(Batters[[#All],[zScore]],MATCH(Table5[[#This Row],[PID]],Batters[[#All],[PID]],0)),INDEX(Table3[[#All],[zScore]],MATCH(Table5[[#This Row],[PID]],Table3[[#All],[PID]],0)))</f>
        <v>-1.4705104042881141</v>
      </c>
      <c r="S1166" s="60" t="str">
        <f>IF($C1166="B",INDEX(Batters[[#All],[DEM]],MATCH(Table5[[#This Row],[PID]],Batters[[#All],[PID]],0)),INDEX(Table3[[#All],[DEM]],MATCH(Table5[[#This Row],[PID]],Table3[[#All],[PID]],0)))</f>
        <v>-</v>
      </c>
      <c r="T1166" s="64">
        <f>IF($C1166="B",VLOOKUP($A1166,Bat!$A$4:$AU$1417,46,FALSE),VLOOKUP($A1166,Pit!$A$4:$BD$570,55,FALSE))</f>
        <v>0</v>
      </c>
      <c r="U1166" s="52">
        <f>IF($C1166="B",VLOOKUP($A1166,Bat!$A$4:$BA$1417,47,FALSE),VLOOKUP($A1166,Pit!$A$4:$BF$570,56,FALSE))</f>
        <v>0</v>
      </c>
      <c r="V1166" s="52">
        <f>IF($C1166="B",VLOOKUP($A1166,Bat!$A$4:$BA$1417,48,FALSE),VLOOKUP($A1166,Pit!$A$4:$BF$570,57,FALSE))</f>
        <v>0</v>
      </c>
      <c r="W1166" s="52">
        <f>Table5[[#This Row],[posRnk]]+Table5[[#This Row],[zRnk]]+IF($W$3&lt;&gt;Table5[[#This Row],[Type]],50,0)</f>
        <v>1212</v>
      </c>
      <c r="X1166" s="53">
        <f>RANK(Table5[[#This Row],[zScore]],Table5[[#All],[zScore]])</f>
        <v>1162</v>
      </c>
      <c r="Y1166" s="52" t="str">
        <f>IFERROR(INDEX(DraftResults[[#All],[OVR]],MATCH(Table5[[#This Row],[PID]],DraftResults[[#All],[Player ID]],0)),"")</f>
        <v/>
      </c>
      <c r="Z11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6" s="52" t="str">
        <f>IFERROR(INDEX(DraftResults[[#All],[Pick in Round]],MATCH(Table5[[#This Row],[PID]],DraftResults[[#All],[Player ID]],0)),"")</f>
        <v/>
      </c>
      <c r="AB1166" s="52" t="str">
        <f>IFERROR(INDEX(DraftResults[[#All],[Team Name]],MATCH(Table5[[#This Row],[PID]],DraftResults[[#All],[Player ID]],0)),"")</f>
        <v/>
      </c>
      <c r="AC1166" s="52" t="str">
        <f>IF(Table5[[#This Row],[Ovr]]="","",IF(Table5[[#This Row],[cmbList]]="","",Table5[[#This Row],[cmbList]]-Table5[[#This Row],[Ovr]]))</f>
        <v/>
      </c>
      <c r="AD1166" s="56" t="str">
        <f>IF(ISERROR(VLOOKUP($AB1166&amp;"-"&amp;$E1166&amp;" "&amp;F1166,Bonuses!$B$1:$G$1006,4,FALSE)),"",INT(VLOOKUP($AB1166&amp;"-"&amp;$E1166&amp;" "&amp;$F1166,Bonuses!$B$1:$G$1006,4,FALSE)))</f>
        <v/>
      </c>
      <c r="AE11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7" spans="1:31" s="52" customFormat="1" x14ac:dyDescent="0.25">
      <c r="A1167" s="52">
        <v>2937</v>
      </c>
      <c r="B1167" s="52">
        <f>COUNTIF(Table5[PID],A1167)</f>
        <v>1</v>
      </c>
      <c r="C1167" s="52" t="str">
        <f>IF(COUNTIF(Table3[[#All],[PID]],A1167)&gt;0,"P","B")</f>
        <v>B</v>
      </c>
      <c r="D1167" s="61" t="str">
        <f>IF($C1167="B",INDEX(Batters[[#All],[POS]],MATCH(Table5[[#This Row],[PID]],Batters[[#All],[PID]],0)),INDEX(Table3[[#All],[POS]],MATCH(Table5[[#This Row],[PID]],Table3[[#All],[PID]],0)))</f>
        <v>C</v>
      </c>
      <c r="E1167" s="54" t="str">
        <f>IF($C1167="B",INDEX(Batters[[#All],[First]],MATCH(Table5[[#This Row],[PID]],Batters[[#All],[PID]],0)),INDEX(Table3[[#All],[First]],MATCH(Table5[[#This Row],[PID]],Table3[[#All],[PID]],0)))</f>
        <v>Kosho</v>
      </c>
      <c r="F1167" s="52" t="str">
        <f>IF($C1167="B",INDEX(Batters[[#All],[Last]],MATCH(A1167,Batters[[#All],[PID]],0)),INDEX(Table3[[#All],[Last]],MATCH(A1167,Table3[[#All],[PID]],0)))</f>
        <v>Inoue</v>
      </c>
      <c r="G1167" s="58">
        <f>IF($C1167="B",INDEX(Batters[[#All],[Age]],MATCH(Table5[[#This Row],[PID]],Batters[[#All],[PID]],0)),INDEX(Table3[[#All],[Age]],MATCH(Table5[[#This Row],[PID]],Table3[[#All],[PID]],0)))</f>
        <v>21</v>
      </c>
      <c r="H1167" s="54" t="str">
        <f>IF($C1167="B",INDEX(Batters[[#All],[B]],MATCH(Table5[[#This Row],[PID]],Batters[[#All],[PID]],0)),INDEX(Table3[[#All],[B]],MATCH(Table5[[#This Row],[PID]],Table3[[#All],[PID]],0)))</f>
        <v>R</v>
      </c>
      <c r="I1167" s="54" t="str">
        <f>IF($C1167="B",INDEX(Batters[[#All],[T]],MATCH(Table5[[#This Row],[PID]],Batters[[#All],[PID]],0)),INDEX(Table3[[#All],[T]],MATCH(Table5[[#This Row],[PID]],Table3[[#All],[PID]],0)))</f>
        <v>R</v>
      </c>
      <c r="J1167" s="54" t="str">
        <f>IF($C1167="B",INDEX(Batters[[#All],[WE]],MATCH(Table5[[#This Row],[PID]],Batters[[#All],[PID]],0)),INDEX(Table3[[#All],[WE]],MATCH(Table5[[#This Row],[PID]],Table3[[#All],[PID]],0)))</f>
        <v>Low</v>
      </c>
      <c r="K1167" s="54" t="str">
        <f>IF($C1167="B",INDEX(Batters[[#All],[INT]],MATCH(Table5[[#This Row],[PID]],Batters[[#All],[PID]],0)),INDEX(Table3[[#All],[INT]],MATCH(Table5[[#This Row],[PID]],Table3[[#All],[PID]],0)))</f>
        <v>Normal</v>
      </c>
      <c r="L1167" s="62">
        <f>IF($C1167="B",INDEX(Batters[[#All],[CON P]],MATCH(Table5[[#This Row],[PID]],Batters[[#All],[PID]],0)),INDEX(Table3[[#All],[STU P]],MATCH(Table5[[#This Row],[PID]],Table3[[#All],[PID]],0)))</f>
        <v>2</v>
      </c>
      <c r="M1167" s="58">
        <f>IF($C1167="B",INDEX(Batters[[#All],[GAP P]],MATCH(Table5[[#This Row],[PID]],Batters[[#All],[PID]],0)),INDEX(Table3[[#All],[MOV P]],MATCH(Table5[[#This Row],[PID]],Table3[[#All],[PID]],0)))</f>
        <v>3</v>
      </c>
      <c r="N1167" s="58">
        <f>IF($C1167="B",INDEX(Batters[[#All],[POW P]],MATCH(Table5[[#This Row],[PID]],Batters[[#All],[PID]],0)),INDEX(Table3[[#All],[CON P]],MATCH(Table5[[#This Row],[PID]],Table3[[#All],[PID]],0)))</f>
        <v>3</v>
      </c>
      <c r="O1167" s="58">
        <f>IF($C1167="B",INDEX(Batters[[#All],[EYE P]],MATCH(Table5[[#This Row],[PID]],Batters[[#All],[PID]],0)),INDEX(Table3[[#All],[VELO]],MATCH(Table5[[#This Row],[PID]],Table3[[#All],[PID]],0)))</f>
        <v>5</v>
      </c>
      <c r="P1167" s="58">
        <f>IF($C1167="B",INDEX(Batters[[#All],[K P]],MATCH(Table5[[#This Row],[PID]],Batters[[#All],[PID]],0)),INDEX(Table3[[#All],[STM]],MATCH(Table5[[#This Row],[PID]],Table3[[#All],[PID]],0)))</f>
        <v>3</v>
      </c>
      <c r="Q1167" s="63">
        <f>IF($C1167="B",INDEX(Batters[[#All],[Tot]],MATCH(Table5[[#This Row],[PID]],Batters[[#All],[PID]],0)),INDEX(Table3[[#All],[Tot]],MATCH(Table5[[#This Row],[PID]],Table3[[#All],[PID]],0)))</f>
        <v>31.880245209741322</v>
      </c>
      <c r="R1167" s="54">
        <f>IF($C1167="B",INDEX(Batters[[#All],[zScore]],MATCH(Table5[[#This Row],[PID]],Batters[[#All],[PID]],0)),INDEX(Table3[[#All],[zScore]],MATCH(Table5[[#This Row],[PID]],Table3[[#All],[PID]],0)))</f>
        <v>-1.4898886971038268</v>
      </c>
      <c r="S1167" s="60" t="str">
        <f>IF($C1167="B",INDEX(Batters[[#All],[DEM]],MATCH(Table5[[#This Row],[PID]],Batters[[#All],[PID]],0)),INDEX(Table3[[#All],[DEM]],MATCH(Table5[[#This Row],[PID]],Table3[[#All],[PID]],0)))</f>
        <v>-</v>
      </c>
      <c r="T1167" s="64">
        <f>IF($C1167="B",VLOOKUP($A1167,Bat!$A$4:$AU$1417,46,FALSE),VLOOKUP($A1167,Pit!$A$4:$BD$570,55,FALSE))</f>
        <v>0</v>
      </c>
      <c r="U1167" s="52">
        <f>IF($C1167="B",VLOOKUP($A1167,Bat!$A$4:$BA$1417,47,FALSE),VLOOKUP($A1167,Pit!$A$4:$BF$570,56,FALSE))</f>
        <v>0</v>
      </c>
      <c r="V1167" s="52">
        <f>IF($C1167="B",VLOOKUP($A1167,Bat!$A$4:$BA$1417,48,FALSE),VLOOKUP($A1167,Pit!$A$4:$BF$570,57,FALSE))</f>
        <v>0</v>
      </c>
      <c r="W1167" s="52">
        <f>Table5[[#This Row],[posRnk]]+Table5[[#This Row],[zRnk]]+IF($W$3&lt;&gt;Table5[[#This Row],[Type]],50,0)</f>
        <v>1213</v>
      </c>
      <c r="X1167" s="53">
        <f>RANK(Table5[[#This Row],[zScore]],Table5[[#All],[zScore]])</f>
        <v>1163</v>
      </c>
      <c r="Y1167" s="52" t="str">
        <f>IFERROR(INDEX(DraftResults[[#All],[OVR]],MATCH(Table5[[#This Row],[PID]],DraftResults[[#All],[Player ID]],0)),"")</f>
        <v/>
      </c>
      <c r="Z11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7" s="52" t="str">
        <f>IFERROR(INDEX(DraftResults[[#All],[Pick in Round]],MATCH(Table5[[#This Row],[PID]],DraftResults[[#All],[Player ID]],0)),"")</f>
        <v/>
      </c>
      <c r="AB1167" s="52" t="str">
        <f>IFERROR(INDEX(DraftResults[[#All],[Team Name]],MATCH(Table5[[#This Row],[PID]],DraftResults[[#All],[Player ID]],0)),"")</f>
        <v/>
      </c>
      <c r="AC1167" s="52" t="str">
        <f>IF(Table5[[#This Row],[Ovr]]="","",IF(Table5[[#This Row],[cmbList]]="","",Table5[[#This Row],[cmbList]]-Table5[[#This Row],[Ovr]]))</f>
        <v/>
      </c>
      <c r="AD1167" s="56" t="str">
        <f>IF(ISERROR(VLOOKUP($AB1167&amp;"-"&amp;$E1167&amp;" "&amp;F1167,Bonuses!$B$1:$G$1006,4,FALSE)),"",INT(VLOOKUP($AB1167&amp;"-"&amp;$E1167&amp;" "&amp;$F1167,Bonuses!$B$1:$G$1006,4,FALSE)))</f>
        <v/>
      </c>
      <c r="AE11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8" spans="1:31" s="52" customFormat="1" x14ac:dyDescent="0.25">
      <c r="A1168" s="52">
        <v>15999</v>
      </c>
      <c r="B1168" s="52">
        <f>COUNTIF(Table5[PID],A1168)</f>
        <v>1</v>
      </c>
      <c r="C1168" s="52" t="str">
        <f>IF(COUNTIF(Table3[[#All],[PID]],A1168)&gt;0,"P","B")</f>
        <v>P</v>
      </c>
      <c r="D1168" s="61" t="str">
        <f>IF($C1168="B",INDEX(Batters[[#All],[POS]],MATCH(Table5[[#This Row],[PID]],Batters[[#All],[PID]],0)),INDEX(Table3[[#All],[POS]],MATCH(Table5[[#This Row],[PID]],Table3[[#All],[PID]],0)))</f>
        <v>RP</v>
      </c>
      <c r="E1168" s="54" t="str">
        <f>IF($C1168="B",INDEX(Batters[[#All],[First]],MATCH(Table5[[#This Row],[PID]],Batters[[#All],[PID]],0)),INDEX(Table3[[#All],[First]],MATCH(Table5[[#This Row],[PID]],Table3[[#All],[PID]],0)))</f>
        <v>Yosuke</v>
      </c>
      <c r="F1168" s="52" t="str">
        <f>IF($C1168="B",INDEX(Batters[[#All],[Last]],MATCH(A1168,Batters[[#All],[PID]],0)),INDEX(Table3[[#All],[Last]],MATCH(A1168,Table3[[#All],[PID]],0)))</f>
        <v>Nakanishi</v>
      </c>
      <c r="G1168" s="58">
        <f>IF($C1168="B",INDEX(Batters[[#All],[Age]],MATCH(Table5[[#This Row],[PID]],Batters[[#All],[PID]],0)),INDEX(Table3[[#All],[Age]],MATCH(Table5[[#This Row],[PID]],Table3[[#All],[PID]],0)))</f>
        <v>22</v>
      </c>
      <c r="H1168" s="54" t="str">
        <f>IF($C1168="B",INDEX(Batters[[#All],[B]],MATCH(Table5[[#This Row],[PID]],Batters[[#All],[PID]],0)),INDEX(Table3[[#All],[B]],MATCH(Table5[[#This Row],[PID]],Table3[[#All],[PID]],0)))</f>
        <v>R</v>
      </c>
      <c r="I1168" s="54" t="str">
        <f>IF($C1168="B",INDEX(Batters[[#All],[T]],MATCH(Table5[[#This Row],[PID]],Batters[[#All],[PID]],0)),INDEX(Table3[[#All],[T]],MATCH(Table5[[#This Row],[PID]],Table3[[#All],[PID]],0)))</f>
        <v>R</v>
      </c>
      <c r="J1168" s="54" t="str">
        <f>IF($C1168="B",INDEX(Batters[[#All],[WE]],MATCH(Table5[[#This Row],[PID]],Batters[[#All],[PID]],0)),INDEX(Table3[[#All],[WE]],MATCH(Table5[[#This Row],[PID]],Table3[[#All],[PID]],0)))</f>
        <v>High</v>
      </c>
      <c r="K1168" s="54" t="str">
        <f>IF($C1168="B",INDEX(Batters[[#All],[INT]],MATCH(Table5[[#This Row],[PID]],Batters[[#All],[PID]],0)),INDEX(Table3[[#All],[INT]],MATCH(Table5[[#This Row],[PID]],Table3[[#All],[PID]],0)))</f>
        <v>Normal</v>
      </c>
      <c r="L1168" s="62">
        <f>IF($C1168="B",INDEX(Batters[[#All],[CON P]],MATCH(Table5[[#This Row],[PID]],Batters[[#All],[PID]],0)),INDEX(Table3[[#All],[STU P]],MATCH(Table5[[#This Row],[PID]],Table3[[#All],[PID]],0)))</f>
        <v>4</v>
      </c>
      <c r="M1168" s="58">
        <f>IF($C1168="B",INDEX(Batters[[#All],[GAP P]],MATCH(Table5[[#This Row],[PID]],Batters[[#All],[PID]],0)),INDEX(Table3[[#All],[MOV P]],MATCH(Table5[[#This Row],[PID]],Table3[[#All],[PID]],0)))</f>
        <v>1</v>
      </c>
      <c r="N1168" s="58">
        <f>IF($C1168="B",INDEX(Batters[[#All],[POW P]],MATCH(Table5[[#This Row],[PID]],Batters[[#All],[PID]],0)),INDEX(Table3[[#All],[CON P]],MATCH(Table5[[#This Row],[PID]],Table3[[#All],[PID]],0)))</f>
        <v>1</v>
      </c>
      <c r="O1168" s="58" t="str">
        <f>IF($C1168="B",INDEX(Batters[[#All],[EYE P]],MATCH(Table5[[#This Row],[PID]],Batters[[#All],[PID]],0)),INDEX(Table3[[#All],[VELO]],MATCH(Table5[[#This Row],[PID]],Table3[[#All],[PID]],0)))</f>
        <v>88-90 Mph</v>
      </c>
      <c r="P1168" s="58">
        <f>IF($C1168="B",INDEX(Batters[[#All],[K P]],MATCH(Table5[[#This Row],[PID]],Batters[[#All],[PID]],0)),INDEX(Table3[[#All],[STM]],MATCH(Table5[[#This Row],[PID]],Table3[[#All],[PID]],0)))</f>
        <v>6</v>
      </c>
      <c r="Q1168" s="63">
        <f>IF($C1168="B",INDEX(Batters[[#All],[Tot]],MATCH(Table5[[#This Row],[PID]],Batters[[#All],[PID]],0)),INDEX(Table3[[#All],[Tot]],MATCH(Table5[[#This Row],[PID]],Table3[[#All],[PID]],0)))</f>
        <v>16.383822864666985</v>
      </c>
      <c r="R1168" s="54">
        <f>IF($C1168="B",INDEX(Batters[[#All],[zScore]],MATCH(Table5[[#This Row],[PID]],Batters[[#All],[PID]],0)),INDEX(Table3[[#All],[zScore]],MATCH(Table5[[#This Row],[PID]],Table3[[#All],[PID]],0)))</f>
        <v>-1.4983036785363479</v>
      </c>
      <c r="S1168" s="60" t="str">
        <f>IF($C1168="B",INDEX(Batters[[#All],[DEM]],MATCH(Table5[[#This Row],[PID]],Batters[[#All],[PID]],0)),INDEX(Table3[[#All],[DEM]],MATCH(Table5[[#This Row],[PID]],Table3[[#All],[PID]],0)))</f>
        <v>-</v>
      </c>
      <c r="T1168" s="64" t="e">
        <f>IF($C1168="B",VLOOKUP($A1168,Bat!$A$4:$AU$1417,46,FALSE),VLOOKUP($A1168,Pit!$A$4:$BD$570,55,FALSE))</f>
        <v>#N/A</v>
      </c>
      <c r="U1168" s="52" t="e">
        <f>IF($C1168="B",VLOOKUP($A1168,Bat!$A$4:$BA$1417,47,FALSE),VLOOKUP($A1168,Pit!$A$4:$BF$570,56,FALSE))</f>
        <v>#N/A</v>
      </c>
      <c r="V1168" s="52" t="e">
        <f>IF($C1168="B",VLOOKUP($A1168,Bat!$A$4:$BA$1417,48,FALSE),VLOOKUP($A1168,Pit!$A$4:$BF$570,57,FALSE))</f>
        <v>#N/A</v>
      </c>
      <c r="W1168" s="52" t="e">
        <f>Table5[[#This Row],[posRnk]]+Table5[[#This Row],[zRnk]]+IF($W$3&lt;&gt;Table5[[#This Row],[Type]],50,0)</f>
        <v>#N/A</v>
      </c>
      <c r="X1168" s="53">
        <f>RANK(Table5[[#This Row],[zScore]],Table5[[#All],[zScore]])</f>
        <v>1164</v>
      </c>
      <c r="Y1168" s="52" t="str">
        <f>IFERROR(INDEX(DraftResults[[#All],[OVR]],MATCH(Table5[[#This Row],[PID]],DraftResults[[#All],[Player ID]],0)),"")</f>
        <v/>
      </c>
      <c r="Z11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8" s="52" t="str">
        <f>IFERROR(INDEX(DraftResults[[#All],[Pick in Round]],MATCH(Table5[[#This Row],[PID]],DraftResults[[#All],[Player ID]],0)),"")</f>
        <v/>
      </c>
      <c r="AB1168" s="52" t="str">
        <f>IFERROR(INDEX(DraftResults[[#All],[Team Name]],MATCH(Table5[[#This Row],[PID]],DraftResults[[#All],[Player ID]],0)),"")</f>
        <v/>
      </c>
      <c r="AC1168" s="52" t="str">
        <f>IF(Table5[[#This Row],[Ovr]]="","",IF(Table5[[#This Row],[cmbList]]="","",Table5[[#This Row],[cmbList]]-Table5[[#This Row],[Ovr]]))</f>
        <v/>
      </c>
      <c r="AD1168" s="56" t="str">
        <f>IF(ISERROR(VLOOKUP($AB1168&amp;"-"&amp;$E1168&amp;" "&amp;F1168,Bonuses!$B$1:$G$1006,4,FALSE)),"",INT(VLOOKUP($AB1168&amp;"-"&amp;$E1168&amp;" "&amp;$F1168,Bonuses!$B$1:$G$1006,4,FALSE)))</f>
        <v/>
      </c>
      <c r="AE11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9" spans="1:31" s="52" customFormat="1" x14ac:dyDescent="0.25">
      <c r="A1169" s="52">
        <v>12168</v>
      </c>
      <c r="B1169" s="52">
        <f>COUNTIF(Table5[PID],A1169)</f>
        <v>1</v>
      </c>
      <c r="C1169" s="52" t="str">
        <f>IF(COUNTIF(Table3[[#All],[PID]],A1169)&gt;0,"P","B")</f>
        <v>P</v>
      </c>
      <c r="D1169" s="61" t="str">
        <f>IF($C1169="B",INDEX(Batters[[#All],[POS]],MATCH(Table5[[#This Row],[PID]],Batters[[#All],[PID]],0)),INDEX(Table3[[#All],[POS]],MATCH(Table5[[#This Row],[PID]],Table3[[#All],[PID]],0)))</f>
        <v>RP</v>
      </c>
      <c r="E1169" s="54" t="str">
        <f>IF($C1169="B",INDEX(Batters[[#All],[First]],MATCH(Table5[[#This Row],[PID]],Batters[[#All],[PID]],0)),INDEX(Table3[[#All],[First]],MATCH(Table5[[#This Row],[PID]],Table3[[#All],[PID]],0)))</f>
        <v>Eduardo</v>
      </c>
      <c r="F1169" s="52" t="str">
        <f>IF($C1169="B",INDEX(Batters[[#All],[Last]],MATCH(A1169,Batters[[#All],[PID]],0)),INDEX(Table3[[#All],[Last]],MATCH(A1169,Table3[[#All],[PID]],0)))</f>
        <v>Galló</v>
      </c>
      <c r="G1169" s="58">
        <f>IF($C1169="B",INDEX(Batters[[#All],[Age]],MATCH(Table5[[#This Row],[PID]],Batters[[#All],[PID]],0)),INDEX(Table3[[#All],[Age]],MATCH(Table5[[#This Row],[PID]],Table3[[#All],[PID]],0)))</f>
        <v>21</v>
      </c>
      <c r="H1169" s="54" t="str">
        <f>IF($C1169="B",INDEX(Batters[[#All],[B]],MATCH(Table5[[#This Row],[PID]],Batters[[#All],[PID]],0)),INDEX(Table3[[#All],[B]],MATCH(Table5[[#This Row],[PID]],Table3[[#All],[PID]],0)))</f>
        <v>L</v>
      </c>
      <c r="I1169" s="54" t="str">
        <f>IF($C1169="B",INDEX(Batters[[#All],[T]],MATCH(Table5[[#This Row],[PID]],Batters[[#All],[PID]],0)),INDEX(Table3[[#All],[T]],MATCH(Table5[[#This Row],[PID]],Table3[[#All],[PID]],0)))</f>
        <v>L</v>
      </c>
      <c r="J1169" s="54" t="str">
        <f>IF($C1169="B",INDEX(Batters[[#All],[WE]],MATCH(Table5[[#This Row],[PID]],Batters[[#All],[PID]],0)),INDEX(Table3[[#All],[WE]],MATCH(Table5[[#This Row],[PID]],Table3[[#All],[PID]],0)))</f>
        <v>Low</v>
      </c>
      <c r="K1169" s="54" t="str">
        <f>IF($C1169="B",INDEX(Batters[[#All],[INT]],MATCH(Table5[[#This Row],[PID]],Batters[[#All],[PID]],0)),INDEX(Table3[[#All],[INT]],MATCH(Table5[[#This Row],[PID]],Table3[[#All],[PID]],0)))</f>
        <v>Normal</v>
      </c>
      <c r="L1169" s="62">
        <f>IF($C1169="B",INDEX(Batters[[#All],[CON P]],MATCH(Table5[[#This Row],[PID]],Batters[[#All],[PID]],0)),INDEX(Table3[[#All],[STU P]],MATCH(Table5[[#This Row],[PID]],Table3[[#All],[PID]],0)))</f>
        <v>4</v>
      </c>
      <c r="M1169" s="58">
        <f>IF($C1169="B",INDEX(Batters[[#All],[GAP P]],MATCH(Table5[[#This Row],[PID]],Batters[[#All],[PID]],0)),INDEX(Table3[[#All],[MOV P]],MATCH(Table5[[#This Row],[PID]],Table3[[#All],[PID]],0)))</f>
        <v>1</v>
      </c>
      <c r="N1169" s="58">
        <f>IF($C1169="B",INDEX(Batters[[#All],[POW P]],MATCH(Table5[[#This Row],[PID]],Batters[[#All],[PID]],0)),INDEX(Table3[[#All],[CON P]],MATCH(Table5[[#This Row],[PID]],Table3[[#All],[PID]],0)))</f>
        <v>1</v>
      </c>
      <c r="O1169" s="58" t="str">
        <f>IF($C1169="B",INDEX(Batters[[#All],[EYE P]],MATCH(Table5[[#This Row],[PID]],Batters[[#All],[PID]],0)),INDEX(Table3[[#All],[VELO]],MATCH(Table5[[#This Row],[PID]],Table3[[#All],[PID]],0)))</f>
        <v>87-89 Mph</v>
      </c>
      <c r="P1169" s="58">
        <f>IF($C1169="B",INDEX(Batters[[#All],[K P]],MATCH(Table5[[#This Row],[PID]],Batters[[#All],[PID]],0)),INDEX(Table3[[#All],[STM]],MATCH(Table5[[#This Row],[PID]],Table3[[#All],[PID]],0)))</f>
        <v>5</v>
      </c>
      <c r="Q1169" s="63">
        <f>IF($C1169="B",INDEX(Batters[[#All],[Tot]],MATCH(Table5[[#This Row],[PID]],Batters[[#All],[PID]],0)),INDEX(Table3[[#All],[Tot]],MATCH(Table5[[#This Row],[PID]],Table3[[#All],[PID]],0)))</f>
        <v>16.290072864666985</v>
      </c>
      <c r="R1169" s="54">
        <f>IF($C1169="B",INDEX(Batters[[#All],[zScore]],MATCH(Table5[[#This Row],[PID]],Batters[[#All],[PID]],0)),INDEX(Table3[[#All],[zScore]],MATCH(Table5[[#This Row],[PID]],Table3[[#All],[PID]],0)))</f>
        <v>-1.5069009542322696</v>
      </c>
      <c r="S1169" s="60" t="str">
        <f>IF($C1169="B",INDEX(Batters[[#All],[DEM]],MATCH(Table5[[#This Row],[PID]],Batters[[#All],[PID]],0)),INDEX(Table3[[#All],[DEM]],MATCH(Table5[[#This Row],[PID]],Table3[[#All],[PID]],0)))</f>
        <v>-</v>
      </c>
      <c r="T1169" s="64" t="e">
        <f>IF($C1169="B",VLOOKUP($A1169,Bat!$A$4:$AU$1417,46,FALSE),VLOOKUP($A1169,Pit!$A$4:$BD$570,55,FALSE))</f>
        <v>#N/A</v>
      </c>
      <c r="U1169" s="52" t="e">
        <f>IF($C1169="B",VLOOKUP($A1169,Bat!$A$4:$BA$1417,47,FALSE),VLOOKUP($A1169,Pit!$A$4:$BF$570,56,FALSE))</f>
        <v>#N/A</v>
      </c>
      <c r="V1169" s="52" t="e">
        <f>IF($C1169="B",VLOOKUP($A1169,Bat!$A$4:$BA$1417,48,FALSE),VLOOKUP($A1169,Pit!$A$4:$BF$570,57,FALSE))</f>
        <v>#N/A</v>
      </c>
      <c r="W1169" s="52" t="e">
        <f>Table5[[#This Row],[posRnk]]+Table5[[#This Row],[zRnk]]+IF($W$3&lt;&gt;Table5[[#This Row],[Type]],50,0)</f>
        <v>#N/A</v>
      </c>
      <c r="X1169" s="53">
        <f>RANK(Table5[[#This Row],[zScore]],Table5[[#All],[zScore]])</f>
        <v>1165</v>
      </c>
      <c r="Y1169" s="52" t="str">
        <f>IFERROR(INDEX(DraftResults[[#All],[OVR]],MATCH(Table5[[#This Row],[PID]],DraftResults[[#All],[Player ID]],0)),"")</f>
        <v/>
      </c>
      <c r="Z11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9" s="52" t="str">
        <f>IFERROR(INDEX(DraftResults[[#All],[Pick in Round]],MATCH(Table5[[#This Row],[PID]],DraftResults[[#All],[Player ID]],0)),"")</f>
        <v/>
      </c>
      <c r="AB1169" s="52" t="str">
        <f>IFERROR(INDEX(DraftResults[[#All],[Team Name]],MATCH(Table5[[#This Row],[PID]],DraftResults[[#All],[Player ID]],0)),"")</f>
        <v/>
      </c>
      <c r="AC1169" s="52" t="str">
        <f>IF(Table5[[#This Row],[Ovr]]="","",IF(Table5[[#This Row],[cmbList]]="","",Table5[[#This Row],[cmbList]]-Table5[[#This Row],[Ovr]]))</f>
        <v/>
      </c>
      <c r="AD1169" s="56" t="str">
        <f>IF(ISERROR(VLOOKUP($AB1169&amp;"-"&amp;$E1169&amp;" "&amp;F1169,Bonuses!$B$1:$G$1006,4,FALSE)),"",INT(VLOOKUP($AB1169&amp;"-"&amp;$E1169&amp;" "&amp;$F1169,Bonuses!$B$1:$G$1006,4,FALSE)))</f>
        <v/>
      </c>
      <c r="AE11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0" spans="1:31" s="52" customFormat="1" x14ac:dyDescent="0.25">
      <c r="A1170" s="52">
        <v>17992</v>
      </c>
      <c r="B1170" s="52">
        <f>COUNTIF(Table5[PID],A1170)</f>
        <v>1</v>
      </c>
      <c r="C1170" s="52" t="str">
        <f>IF(COUNTIF(Table3[[#All],[PID]],A1170)&gt;0,"P","B")</f>
        <v>B</v>
      </c>
      <c r="D1170" s="61" t="str">
        <f>IF($C1170="B",INDEX(Batters[[#All],[POS]],MATCH(Table5[[#This Row],[PID]],Batters[[#All],[PID]],0)),INDEX(Table3[[#All],[POS]],MATCH(Table5[[#This Row],[PID]],Table3[[#All],[PID]],0)))</f>
        <v>LF</v>
      </c>
      <c r="E1170" s="54" t="str">
        <f>IF($C1170="B",INDEX(Batters[[#All],[First]],MATCH(Table5[[#This Row],[PID]],Batters[[#All],[PID]],0)),INDEX(Table3[[#All],[First]],MATCH(Table5[[#This Row],[PID]],Table3[[#All],[PID]],0)))</f>
        <v>Mike</v>
      </c>
      <c r="F1170" s="52" t="str">
        <f>IF($C1170="B",INDEX(Batters[[#All],[Last]],MATCH(A1170,Batters[[#All],[PID]],0)),INDEX(Table3[[#All],[Last]],MATCH(A1170,Table3[[#All],[PID]],0)))</f>
        <v>Hilliard</v>
      </c>
      <c r="G1170" s="58">
        <f>IF($C1170="B",INDEX(Batters[[#All],[Age]],MATCH(Table5[[#This Row],[PID]],Batters[[#All],[PID]],0)),INDEX(Table3[[#All],[Age]],MATCH(Table5[[#This Row],[PID]],Table3[[#All],[PID]],0)))</f>
        <v>21</v>
      </c>
      <c r="H1170" s="54" t="str">
        <f>IF($C1170="B",INDEX(Batters[[#All],[B]],MATCH(Table5[[#This Row],[PID]],Batters[[#All],[PID]],0)),INDEX(Table3[[#All],[B]],MATCH(Table5[[#This Row],[PID]],Table3[[#All],[PID]],0)))</f>
        <v>R</v>
      </c>
      <c r="I1170" s="54" t="str">
        <f>IF($C1170="B",INDEX(Batters[[#All],[T]],MATCH(Table5[[#This Row],[PID]],Batters[[#All],[PID]],0)),INDEX(Table3[[#All],[T]],MATCH(Table5[[#This Row],[PID]],Table3[[#All],[PID]],0)))</f>
        <v>R</v>
      </c>
      <c r="J1170" s="54" t="str">
        <f>IF($C1170="B",INDEX(Batters[[#All],[WE]],MATCH(Table5[[#This Row],[PID]],Batters[[#All],[PID]],0)),INDEX(Table3[[#All],[WE]],MATCH(Table5[[#This Row],[PID]],Table3[[#All],[PID]],0)))</f>
        <v>Low</v>
      </c>
      <c r="K1170" s="54" t="str">
        <f>IF($C1170="B",INDEX(Batters[[#All],[INT]],MATCH(Table5[[#This Row],[PID]],Batters[[#All],[PID]],0)),INDEX(Table3[[#All],[INT]],MATCH(Table5[[#This Row],[PID]],Table3[[#All],[PID]],0)))</f>
        <v>Low</v>
      </c>
      <c r="L1170" s="62">
        <f>IF($C1170="B",INDEX(Batters[[#All],[CON P]],MATCH(Table5[[#This Row],[PID]],Batters[[#All],[PID]],0)),INDEX(Table3[[#All],[STU P]],MATCH(Table5[[#This Row],[PID]],Table3[[#All],[PID]],0)))</f>
        <v>2</v>
      </c>
      <c r="M1170" s="58">
        <f>IF($C1170="B",INDEX(Batters[[#All],[GAP P]],MATCH(Table5[[#This Row],[PID]],Batters[[#All],[PID]],0)),INDEX(Table3[[#All],[MOV P]],MATCH(Table5[[#This Row],[PID]],Table3[[#All],[PID]],0)))</f>
        <v>3</v>
      </c>
      <c r="N1170" s="58">
        <f>IF($C1170="B",INDEX(Batters[[#All],[POW P]],MATCH(Table5[[#This Row],[PID]],Batters[[#All],[PID]],0)),INDEX(Table3[[#All],[CON P]],MATCH(Table5[[#This Row],[PID]],Table3[[#All],[PID]],0)))</f>
        <v>4</v>
      </c>
      <c r="O1170" s="58">
        <f>IF($C1170="B",INDEX(Batters[[#All],[EYE P]],MATCH(Table5[[#This Row],[PID]],Batters[[#All],[PID]],0)),INDEX(Table3[[#All],[VELO]],MATCH(Table5[[#This Row],[PID]],Table3[[#All],[PID]],0)))</f>
        <v>5</v>
      </c>
      <c r="P1170" s="58">
        <f>IF($C1170="B",INDEX(Batters[[#All],[K P]],MATCH(Table5[[#This Row],[PID]],Batters[[#All],[PID]],0)),INDEX(Table3[[#All],[STM]],MATCH(Table5[[#This Row],[PID]],Table3[[#All],[PID]],0)))</f>
        <v>1</v>
      </c>
      <c r="Q1170" s="63">
        <f>IF($C1170="B",INDEX(Batters[[#All],[Tot]],MATCH(Table5[[#This Row],[PID]],Batters[[#All],[PID]],0)),INDEX(Table3[[#All],[Tot]],MATCH(Table5[[#This Row],[PID]],Table3[[#All],[PID]],0)))</f>
        <v>31.772435235424386</v>
      </c>
      <c r="R1170" s="54">
        <f>IF($C1170="B",INDEX(Batters[[#All],[zScore]],MATCH(Table5[[#This Row],[PID]],Batters[[#All],[PID]],0)),INDEX(Table3[[#All],[zScore]],MATCH(Table5[[#This Row],[PID]],Table3[[#All],[PID]],0)))</f>
        <v>-1.5088571455470952</v>
      </c>
      <c r="S1170" s="60" t="str">
        <f>IF($C1170="B",INDEX(Batters[[#All],[DEM]],MATCH(Table5[[#This Row],[PID]],Batters[[#All],[PID]],0)),INDEX(Table3[[#All],[DEM]],MATCH(Table5[[#This Row],[PID]],Table3[[#All],[PID]],0)))</f>
        <v>$20k</v>
      </c>
      <c r="T1170" s="64">
        <f>IF($C1170="B",VLOOKUP($A1170,Bat!$A$4:$AU$1417,46,FALSE),VLOOKUP($A1170,Pit!$A$4:$BD$570,55,FALSE))</f>
        <v>0</v>
      </c>
      <c r="U1170" s="52">
        <f>IF($C1170="B",VLOOKUP($A1170,Bat!$A$4:$BA$1417,47,FALSE),VLOOKUP($A1170,Pit!$A$4:$BF$570,56,FALSE))</f>
        <v>0</v>
      </c>
      <c r="V1170" s="52">
        <f>IF($C1170="B",VLOOKUP($A1170,Bat!$A$4:$BA$1417,48,FALSE),VLOOKUP($A1170,Pit!$A$4:$BF$570,57,FALSE))</f>
        <v>0</v>
      </c>
      <c r="W1170" s="52">
        <f>Table5[[#This Row],[posRnk]]+Table5[[#This Row],[zRnk]]+IF($W$3&lt;&gt;Table5[[#This Row],[Type]],50,0)</f>
        <v>1216</v>
      </c>
      <c r="X1170" s="53">
        <f>RANK(Table5[[#This Row],[zScore]],Table5[[#All],[zScore]])</f>
        <v>1166</v>
      </c>
      <c r="Y1170" s="52" t="str">
        <f>IFERROR(INDEX(DraftResults[[#All],[OVR]],MATCH(Table5[[#This Row],[PID]],DraftResults[[#All],[Player ID]],0)),"")</f>
        <v/>
      </c>
      <c r="Z11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0" s="52" t="str">
        <f>IFERROR(INDEX(DraftResults[[#All],[Pick in Round]],MATCH(Table5[[#This Row],[PID]],DraftResults[[#All],[Player ID]],0)),"")</f>
        <v/>
      </c>
      <c r="AB1170" s="52" t="str">
        <f>IFERROR(INDEX(DraftResults[[#All],[Team Name]],MATCH(Table5[[#This Row],[PID]],DraftResults[[#All],[Player ID]],0)),"")</f>
        <v/>
      </c>
      <c r="AC1170" s="52" t="str">
        <f>IF(Table5[[#This Row],[Ovr]]="","",IF(Table5[[#This Row],[cmbList]]="","",Table5[[#This Row],[cmbList]]-Table5[[#This Row],[Ovr]]))</f>
        <v/>
      </c>
      <c r="AD1170" s="56" t="str">
        <f>IF(ISERROR(VLOOKUP($AB1170&amp;"-"&amp;$E1170&amp;" "&amp;F1170,Bonuses!$B$1:$G$1006,4,FALSE)),"",INT(VLOOKUP($AB1170&amp;"-"&amp;$E1170&amp;" "&amp;$F1170,Bonuses!$B$1:$G$1006,4,FALSE)))</f>
        <v/>
      </c>
      <c r="AE11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1" spans="1:31" s="52" customFormat="1" x14ac:dyDescent="0.25">
      <c r="A1171" s="52">
        <v>11768</v>
      </c>
      <c r="B1171" s="52">
        <f>COUNTIF(Table5[PID],A1171)</f>
        <v>1</v>
      </c>
      <c r="C1171" s="52" t="str">
        <f>IF(COUNTIF(Table3[[#All],[PID]],A1171)&gt;0,"P","B")</f>
        <v>P</v>
      </c>
      <c r="D1171" s="61" t="str">
        <f>IF($C1171="B",INDEX(Batters[[#All],[POS]],MATCH(Table5[[#This Row],[PID]],Batters[[#All],[PID]],0)),INDEX(Table3[[#All],[POS]],MATCH(Table5[[#This Row],[PID]],Table3[[#All],[PID]],0)))</f>
        <v>RP</v>
      </c>
      <c r="E1171" s="54" t="str">
        <f>IF($C1171="B",INDEX(Batters[[#All],[First]],MATCH(Table5[[#This Row],[PID]],Batters[[#All],[PID]],0)),INDEX(Table3[[#All],[First]],MATCH(Table5[[#This Row],[PID]],Table3[[#All],[PID]],0)))</f>
        <v>Robby</v>
      </c>
      <c r="F1171" s="52" t="str">
        <f>IF($C1171="B",INDEX(Batters[[#All],[Last]],MATCH(A1171,Batters[[#All],[PID]],0)),INDEX(Table3[[#All],[Last]],MATCH(A1171,Table3[[#All],[PID]],0)))</f>
        <v>Lloyd</v>
      </c>
      <c r="G1171" s="58">
        <f>IF($C1171="B",INDEX(Batters[[#All],[Age]],MATCH(Table5[[#This Row],[PID]],Batters[[#All],[PID]],0)),INDEX(Table3[[#All],[Age]],MATCH(Table5[[#This Row],[PID]],Table3[[#All],[PID]],0)))</f>
        <v>22</v>
      </c>
      <c r="H1171" s="54" t="str">
        <f>IF($C1171="B",INDEX(Batters[[#All],[B]],MATCH(Table5[[#This Row],[PID]],Batters[[#All],[PID]],0)),INDEX(Table3[[#All],[B]],MATCH(Table5[[#This Row],[PID]],Table3[[#All],[PID]],0)))</f>
        <v>L</v>
      </c>
      <c r="I1171" s="54" t="str">
        <f>IF($C1171="B",INDEX(Batters[[#All],[T]],MATCH(Table5[[#This Row],[PID]],Batters[[#All],[PID]],0)),INDEX(Table3[[#All],[T]],MATCH(Table5[[#This Row],[PID]],Table3[[#All],[PID]],0)))</f>
        <v>R</v>
      </c>
      <c r="J1171" s="54" t="str">
        <f>IF($C1171="B",INDEX(Batters[[#All],[WE]],MATCH(Table5[[#This Row],[PID]],Batters[[#All],[PID]],0)),INDEX(Table3[[#All],[WE]],MATCH(Table5[[#This Row],[PID]],Table3[[#All],[PID]],0)))</f>
        <v>Normal</v>
      </c>
      <c r="K1171" s="54" t="str">
        <f>IF($C1171="B",INDEX(Batters[[#All],[INT]],MATCH(Table5[[#This Row],[PID]],Batters[[#All],[PID]],0)),INDEX(Table3[[#All],[INT]],MATCH(Table5[[#This Row],[PID]],Table3[[#All],[PID]],0)))</f>
        <v>Normal</v>
      </c>
      <c r="L1171" s="62">
        <f>IF($C1171="B",INDEX(Batters[[#All],[CON P]],MATCH(Table5[[#This Row],[PID]],Batters[[#All],[PID]],0)),INDEX(Table3[[#All],[STU P]],MATCH(Table5[[#This Row],[PID]],Table3[[#All],[PID]],0)))</f>
        <v>4</v>
      </c>
      <c r="M1171" s="58">
        <f>IF($C1171="B",INDEX(Batters[[#All],[GAP P]],MATCH(Table5[[#This Row],[PID]],Batters[[#All],[PID]],0)),INDEX(Table3[[#All],[MOV P]],MATCH(Table5[[#This Row],[PID]],Table3[[#All],[PID]],0)))</f>
        <v>1</v>
      </c>
      <c r="N1171" s="58">
        <f>IF($C1171="B",INDEX(Batters[[#All],[POW P]],MATCH(Table5[[#This Row],[PID]],Batters[[#All],[PID]],0)),INDEX(Table3[[#All],[CON P]],MATCH(Table5[[#This Row],[PID]],Table3[[#All],[PID]],0)))</f>
        <v>1</v>
      </c>
      <c r="O1171" s="58" t="str">
        <f>IF($C1171="B",INDEX(Batters[[#All],[EYE P]],MATCH(Table5[[#This Row],[PID]],Batters[[#All],[PID]],0)),INDEX(Table3[[#All],[VELO]],MATCH(Table5[[#This Row],[PID]],Table3[[#All],[PID]],0)))</f>
        <v>89-91 Mph</v>
      </c>
      <c r="P1171" s="58">
        <f>IF($C1171="B",INDEX(Batters[[#All],[K P]],MATCH(Table5[[#This Row],[PID]],Batters[[#All],[PID]],0)),INDEX(Table3[[#All],[STM]],MATCH(Table5[[#This Row],[PID]],Table3[[#All],[PID]],0)))</f>
        <v>7</v>
      </c>
      <c r="Q1171" s="63">
        <f>IF($C1171="B",INDEX(Batters[[#All],[Tot]],MATCH(Table5[[#This Row],[PID]],Batters[[#All],[PID]],0)),INDEX(Table3[[#All],[Tot]],MATCH(Table5[[#This Row],[PID]],Table3[[#All],[PID]],0)))</f>
        <v>16.160331143248193</v>
      </c>
      <c r="R1171" s="54">
        <f>IF($C1171="B",INDEX(Batters[[#All],[zScore]],MATCH(Table5[[#This Row],[PID]],Batters[[#All],[PID]],0)),INDEX(Table3[[#All],[zScore]],MATCH(Table5[[#This Row],[PID]],Table3[[#All],[PID]],0)))</f>
        <v>-1.5187988246141446</v>
      </c>
      <c r="S1171" s="60" t="str">
        <f>IF($C1171="B",INDEX(Batters[[#All],[DEM]],MATCH(Table5[[#This Row],[PID]],Batters[[#All],[PID]],0)),INDEX(Table3[[#All],[DEM]],MATCH(Table5[[#This Row],[PID]],Table3[[#All],[PID]],0)))</f>
        <v>-</v>
      </c>
      <c r="T1171" s="64" t="e">
        <f>IF($C1171="B",VLOOKUP($A1171,Bat!$A$4:$AU$1417,46,FALSE),VLOOKUP($A1171,Pit!$A$4:$BD$570,55,FALSE))</f>
        <v>#N/A</v>
      </c>
      <c r="U1171" s="52" t="e">
        <f>IF($C1171="B",VLOOKUP($A1171,Bat!$A$4:$BA$1417,47,FALSE),VLOOKUP($A1171,Pit!$A$4:$BF$570,56,FALSE))</f>
        <v>#N/A</v>
      </c>
      <c r="V1171" s="52" t="e">
        <f>IF($C1171="B",VLOOKUP($A1171,Bat!$A$4:$BA$1417,48,FALSE),VLOOKUP($A1171,Pit!$A$4:$BF$570,57,FALSE))</f>
        <v>#N/A</v>
      </c>
      <c r="W1171" s="52" t="e">
        <f>Table5[[#This Row],[posRnk]]+Table5[[#This Row],[zRnk]]+IF($W$3&lt;&gt;Table5[[#This Row],[Type]],50,0)</f>
        <v>#N/A</v>
      </c>
      <c r="X1171" s="53">
        <f>RANK(Table5[[#This Row],[zScore]],Table5[[#All],[zScore]])</f>
        <v>1167</v>
      </c>
      <c r="Y1171" s="52" t="str">
        <f>IFERROR(INDEX(DraftResults[[#All],[OVR]],MATCH(Table5[[#This Row],[PID]],DraftResults[[#All],[Player ID]],0)),"")</f>
        <v/>
      </c>
      <c r="Z11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1" s="52" t="str">
        <f>IFERROR(INDEX(DraftResults[[#All],[Pick in Round]],MATCH(Table5[[#This Row],[PID]],DraftResults[[#All],[Player ID]],0)),"")</f>
        <v/>
      </c>
      <c r="AB1171" s="52" t="str">
        <f>IFERROR(INDEX(DraftResults[[#All],[Team Name]],MATCH(Table5[[#This Row],[PID]],DraftResults[[#All],[Player ID]],0)),"")</f>
        <v/>
      </c>
      <c r="AC1171" s="52" t="str">
        <f>IF(Table5[[#This Row],[Ovr]]="","",IF(Table5[[#This Row],[cmbList]]="","",Table5[[#This Row],[cmbList]]-Table5[[#This Row],[Ovr]]))</f>
        <v/>
      </c>
      <c r="AD1171" s="56" t="str">
        <f>IF(ISERROR(VLOOKUP($AB1171&amp;"-"&amp;$E1171&amp;" "&amp;F1171,Bonuses!$B$1:$G$1006,4,FALSE)),"",INT(VLOOKUP($AB1171&amp;"-"&amp;$E1171&amp;" "&amp;$F1171,Bonuses!$B$1:$G$1006,4,FALSE)))</f>
        <v/>
      </c>
      <c r="AE11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2" spans="1:31" s="52" customFormat="1" x14ac:dyDescent="0.25">
      <c r="A1172" s="52">
        <v>17901</v>
      </c>
      <c r="B1172" s="52">
        <f>COUNTIF(Table5[PID],A1172)</f>
        <v>1</v>
      </c>
      <c r="C1172" s="52" t="str">
        <f>IF(COUNTIF(Table3[[#All],[PID]],A1172)&gt;0,"P","B")</f>
        <v>B</v>
      </c>
      <c r="D1172" s="61" t="str">
        <f>IF($C1172="B",INDEX(Batters[[#All],[POS]],MATCH(Table5[[#This Row],[PID]],Batters[[#All],[PID]],0)),INDEX(Table3[[#All],[POS]],MATCH(Table5[[#This Row],[PID]],Table3[[#All],[PID]],0)))</f>
        <v>1B</v>
      </c>
      <c r="E1172" s="54" t="str">
        <f>IF($C1172="B",INDEX(Batters[[#All],[First]],MATCH(Table5[[#This Row],[PID]],Batters[[#All],[PID]],0)),INDEX(Table3[[#All],[First]],MATCH(Table5[[#This Row],[PID]],Table3[[#All],[PID]],0)))</f>
        <v>Ethan</v>
      </c>
      <c r="F1172" s="52" t="str">
        <f>IF($C1172="B",INDEX(Batters[[#All],[Last]],MATCH(A1172,Batters[[#All],[PID]],0)),INDEX(Table3[[#All],[Last]],MATCH(A1172,Table3[[#All],[PID]],0)))</f>
        <v>Elphinstone</v>
      </c>
      <c r="G1172" s="58">
        <f>IF($C1172="B",INDEX(Batters[[#All],[Age]],MATCH(Table5[[#This Row],[PID]],Batters[[#All],[PID]],0)),INDEX(Table3[[#All],[Age]],MATCH(Table5[[#This Row],[PID]],Table3[[#All],[PID]],0)))</f>
        <v>18</v>
      </c>
      <c r="H1172" s="54" t="str">
        <f>IF($C1172="B",INDEX(Batters[[#All],[B]],MATCH(Table5[[#This Row],[PID]],Batters[[#All],[PID]],0)),INDEX(Table3[[#All],[B]],MATCH(Table5[[#This Row],[PID]],Table3[[#All],[PID]],0)))</f>
        <v>L</v>
      </c>
      <c r="I1172" s="54" t="str">
        <f>IF($C1172="B",INDEX(Batters[[#All],[T]],MATCH(Table5[[#This Row],[PID]],Batters[[#All],[PID]],0)),INDEX(Table3[[#All],[T]],MATCH(Table5[[#This Row],[PID]],Table3[[#All],[PID]],0)))</f>
        <v>R</v>
      </c>
      <c r="J1172" s="54" t="str">
        <f>IF($C1172="B",INDEX(Batters[[#All],[WE]],MATCH(Table5[[#This Row],[PID]],Batters[[#All],[PID]],0)),INDEX(Table3[[#All],[WE]],MATCH(Table5[[#This Row],[PID]],Table3[[#All],[PID]],0)))</f>
        <v>Normal</v>
      </c>
      <c r="K1172" s="54" t="str">
        <f>IF($C1172="B",INDEX(Batters[[#All],[INT]],MATCH(Table5[[#This Row],[PID]],Batters[[#All],[PID]],0)),INDEX(Table3[[#All],[INT]],MATCH(Table5[[#This Row],[PID]],Table3[[#All],[PID]],0)))</f>
        <v>Normal</v>
      </c>
      <c r="L1172" s="62">
        <f>IF($C1172="B",INDEX(Batters[[#All],[CON P]],MATCH(Table5[[#This Row],[PID]],Batters[[#All],[PID]],0)),INDEX(Table3[[#All],[STU P]],MATCH(Table5[[#This Row],[PID]],Table3[[#All],[PID]],0)))</f>
        <v>2</v>
      </c>
      <c r="M1172" s="58">
        <f>IF($C1172="B",INDEX(Batters[[#All],[GAP P]],MATCH(Table5[[#This Row],[PID]],Batters[[#All],[PID]],0)),INDEX(Table3[[#All],[MOV P]],MATCH(Table5[[#This Row],[PID]],Table3[[#All],[PID]],0)))</f>
        <v>2</v>
      </c>
      <c r="N1172" s="58">
        <f>IF($C1172="B",INDEX(Batters[[#All],[POW P]],MATCH(Table5[[#This Row],[PID]],Batters[[#All],[PID]],0)),INDEX(Table3[[#All],[CON P]],MATCH(Table5[[#This Row],[PID]],Table3[[#All],[PID]],0)))</f>
        <v>2</v>
      </c>
      <c r="O1172" s="58">
        <f>IF($C1172="B",INDEX(Batters[[#All],[EYE P]],MATCH(Table5[[#This Row],[PID]],Batters[[#All],[PID]],0)),INDEX(Table3[[#All],[VELO]],MATCH(Table5[[#This Row],[PID]],Table3[[#All],[PID]],0)))</f>
        <v>1</v>
      </c>
      <c r="P1172" s="58">
        <f>IF($C1172="B",INDEX(Batters[[#All],[K P]],MATCH(Table5[[#This Row],[PID]],Batters[[#All],[PID]],0)),INDEX(Table3[[#All],[STM]],MATCH(Table5[[#This Row],[PID]],Table3[[#All],[PID]],0)))</f>
        <v>4</v>
      </c>
      <c r="Q1172" s="63">
        <f>IF($C1172="B",INDEX(Batters[[#All],[Tot]],MATCH(Table5[[#This Row],[PID]],Batters[[#All],[PID]],0)),INDEX(Table3[[#All],[Tot]],MATCH(Table5[[#This Row],[PID]],Table3[[#All],[PID]],0)))</f>
        <v>31.713572356009003</v>
      </c>
      <c r="R1172" s="54">
        <f>IF($C1172="B",INDEX(Batters[[#All],[zScore]],MATCH(Table5[[#This Row],[PID]],Batters[[#All],[PID]],0)),INDEX(Table3[[#All],[zScore]],MATCH(Table5[[#This Row],[PID]],Table3[[#All],[PID]],0)))</f>
        <v>-1.5192136779596774</v>
      </c>
      <c r="S1172" s="60" t="str">
        <f>IF($C1172="B",INDEX(Batters[[#All],[DEM]],MATCH(Table5[[#This Row],[PID]],Batters[[#All],[PID]],0)),INDEX(Table3[[#All],[DEM]],MATCH(Table5[[#This Row],[PID]],Table3[[#All],[PID]],0)))</f>
        <v>$65k</v>
      </c>
      <c r="T1172" s="64">
        <f>IF($C1172="B",VLOOKUP($A1172,Bat!$A$4:$AU$1417,46,FALSE),VLOOKUP($A1172,Pit!$A$4:$BD$570,55,FALSE))</f>
        <v>0</v>
      </c>
      <c r="U1172" s="52">
        <f>IF($C1172="B",VLOOKUP($A1172,Bat!$A$4:$BA$1417,47,FALSE),VLOOKUP($A1172,Pit!$A$4:$BF$570,56,FALSE))</f>
        <v>0</v>
      </c>
      <c r="V1172" s="52">
        <f>IF($C1172="B",VLOOKUP($A1172,Bat!$A$4:$BA$1417,48,FALSE),VLOOKUP($A1172,Pit!$A$4:$BF$570,57,FALSE))</f>
        <v>0</v>
      </c>
      <c r="W1172" s="52">
        <f>Table5[[#This Row],[posRnk]]+Table5[[#This Row],[zRnk]]+IF($W$3&lt;&gt;Table5[[#This Row],[Type]],50,0)</f>
        <v>1218</v>
      </c>
      <c r="X1172" s="53">
        <f>RANK(Table5[[#This Row],[zScore]],Table5[[#All],[zScore]])</f>
        <v>1168</v>
      </c>
      <c r="Y1172" s="52" t="str">
        <f>IFERROR(INDEX(DraftResults[[#All],[OVR]],MATCH(Table5[[#This Row],[PID]],DraftResults[[#All],[Player ID]],0)),"")</f>
        <v/>
      </c>
      <c r="Z11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2" s="52" t="str">
        <f>IFERROR(INDEX(DraftResults[[#All],[Pick in Round]],MATCH(Table5[[#This Row],[PID]],DraftResults[[#All],[Player ID]],0)),"")</f>
        <v/>
      </c>
      <c r="AB1172" s="52" t="str">
        <f>IFERROR(INDEX(DraftResults[[#All],[Team Name]],MATCH(Table5[[#This Row],[PID]],DraftResults[[#All],[Player ID]],0)),"")</f>
        <v/>
      </c>
      <c r="AC1172" s="52" t="str">
        <f>IF(Table5[[#This Row],[Ovr]]="","",IF(Table5[[#This Row],[cmbList]]="","",Table5[[#This Row],[cmbList]]-Table5[[#This Row],[Ovr]]))</f>
        <v/>
      </c>
      <c r="AD1172" s="56" t="str">
        <f>IF(ISERROR(VLOOKUP($AB1172&amp;"-"&amp;$E1172&amp;" "&amp;F1172,Bonuses!$B$1:$G$1006,4,FALSE)),"",INT(VLOOKUP($AB1172&amp;"-"&amp;$E1172&amp;" "&amp;$F1172,Bonuses!$B$1:$G$1006,4,FALSE)))</f>
        <v/>
      </c>
      <c r="AE11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3" spans="1:31" s="52" customFormat="1" x14ac:dyDescent="0.25">
      <c r="A1173" s="52">
        <v>4761</v>
      </c>
      <c r="B1173" s="52">
        <f>COUNTIF(Table5[PID],A1173)</f>
        <v>1</v>
      </c>
      <c r="C1173" s="52" t="str">
        <f>IF(COUNTIF(Table3[[#All],[PID]],A1173)&gt;0,"P","B")</f>
        <v>B</v>
      </c>
      <c r="D1173" s="61" t="str">
        <f>IF($C1173="B",INDEX(Batters[[#All],[POS]],MATCH(Table5[[#This Row],[PID]],Batters[[#All],[PID]],0)),INDEX(Table3[[#All],[POS]],MATCH(Table5[[#This Row],[PID]],Table3[[#All],[PID]],0)))</f>
        <v>C</v>
      </c>
      <c r="E1173" s="54" t="str">
        <f>IF($C1173="B",INDEX(Batters[[#All],[First]],MATCH(Table5[[#This Row],[PID]],Batters[[#All],[PID]],0)),INDEX(Table3[[#All],[First]],MATCH(Table5[[#This Row],[PID]],Table3[[#All],[PID]],0)))</f>
        <v>Joe</v>
      </c>
      <c r="F1173" s="52" t="str">
        <f>IF($C1173="B",INDEX(Batters[[#All],[Last]],MATCH(A1173,Batters[[#All],[PID]],0)),INDEX(Table3[[#All],[Last]],MATCH(A1173,Table3[[#All],[PID]],0)))</f>
        <v>Bolton</v>
      </c>
      <c r="G1173" s="58">
        <f>IF($C1173="B",INDEX(Batters[[#All],[Age]],MATCH(Table5[[#This Row],[PID]],Batters[[#All],[PID]],0)),INDEX(Table3[[#All],[Age]],MATCH(Table5[[#This Row],[PID]],Table3[[#All],[PID]],0)))</f>
        <v>21</v>
      </c>
      <c r="H1173" s="54" t="str">
        <f>IF($C1173="B",INDEX(Batters[[#All],[B]],MATCH(Table5[[#This Row],[PID]],Batters[[#All],[PID]],0)),INDEX(Table3[[#All],[B]],MATCH(Table5[[#This Row],[PID]],Table3[[#All],[PID]],0)))</f>
        <v>L</v>
      </c>
      <c r="I1173" s="54" t="str">
        <f>IF($C1173="B",INDEX(Batters[[#All],[T]],MATCH(Table5[[#This Row],[PID]],Batters[[#All],[PID]],0)),INDEX(Table3[[#All],[T]],MATCH(Table5[[#This Row],[PID]],Table3[[#All],[PID]],0)))</f>
        <v>R</v>
      </c>
      <c r="J1173" s="54" t="str">
        <f>IF($C1173="B",INDEX(Batters[[#All],[WE]],MATCH(Table5[[#This Row],[PID]],Batters[[#All],[PID]],0)),INDEX(Table3[[#All],[WE]],MATCH(Table5[[#This Row],[PID]],Table3[[#All],[PID]],0)))</f>
        <v>Normal</v>
      </c>
      <c r="K1173" s="54" t="str">
        <f>IF($C1173="B",INDEX(Batters[[#All],[INT]],MATCH(Table5[[#This Row],[PID]],Batters[[#All],[PID]],0)),INDEX(Table3[[#All],[INT]],MATCH(Table5[[#This Row],[PID]],Table3[[#All],[PID]],0)))</f>
        <v>Normal</v>
      </c>
      <c r="L1173" s="62">
        <f>IF($C1173="B",INDEX(Batters[[#All],[CON P]],MATCH(Table5[[#This Row],[PID]],Batters[[#All],[PID]],0)),INDEX(Table3[[#All],[STU P]],MATCH(Table5[[#This Row],[PID]],Table3[[#All],[PID]],0)))</f>
        <v>2</v>
      </c>
      <c r="M1173" s="58">
        <f>IF($C1173="B",INDEX(Batters[[#All],[GAP P]],MATCH(Table5[[#This Row],[PID]],Batters[[#All],[PID]],0)),INDEX(Table3[[#All],[MOV P]],MATCH(Table5[[#This Row],[PID]],Table3[[#All],[PID]],0)))</f>
        <v>3</v>
      </c>
      <c r="N1173" s="58">
        <f>IF($C1173="B",INDEX(Batters[[#All],[POW P]],MATCH(Table5[[#This Row],[PID]],Batters[[#All],[PID]],0)),INDEX(Table3[[#All],[CON P]],MATCH(Table5[[#This Row],[PID]],Table3[[#All],[PID]],0)))</f>
        <v>3</v>
      </c>
      <c r="O1173" s="58">
        <f>IF($C1173="B",INDEX(Batters[[#All],[EYE P]],MATCH(Table5[[#This Row],[PID]],Batters[[#All],[PID]],0)),INDEX(Table3[[#All],[VELO]],MATCH(Table5[[#This Row],[PID]],Table3[[#All],[PID]],0)))</f>
        <v>4</v>
      </c>
      <c r="P1173" s="58">
        <f>IF($C1173="B",INDEX(Batters[[#All],[K P]],MATCH(Table5[[#This Row],[PID]],Batters[[#All],[PID]],0)),INDEX(Table3[[#All],[STM]],MATCH(Table5[[#This Row],[PID]],Table3[[#All],[PID]],0)))</f>
        <v>2</v>
      </c>
      <c r="Q1173" s="63">
        <f>IF($C1173="B",INDEX(Batters[[#All],[Tot]],MATCH(Table5[[#This Row],[PID]],Batters[[#All],[PID]],0)),INDEX(Table3[[#All],[Tot]],MATCH(Table5[[#This Row],[PID]],Table3[[#All],[PID]],0)))</f>
        <v>31.697286472417044</v>
      </c>
      <c r="R1173" s="54">
        <f>IF($C1173="B",INDEX(Batters[[#All],[zScore]],MATCH(Table5[[#This Row],[PID]],Batters[[#All],[PID]],0)),INDEX(Table3[[#All],[zScore]],MATCH(Table5[[#This Row],[PID]],Table3[[#All],[PID]],0)))</f>
        <v>-1.5220790709367595</v>
      </c>
      <c r="S1173" s="60" t="str">
        <f>IF($C1173="B",INDEX(Batters[[#All],[DEM]],MATCH(Table5[[#This Row],[PID]],Batters[[#All],[PID]],0)),INDEX(Table3[[#All],[DEM]],MATCH(Table5[[#This Row],[PID]],Table3[[#All],[PID]],0)))</f>
        <v>$20k</v>
      </c>
      <c r="T1173" s="64">
        <f>IF($C1173="B",VLOOKUP($A1173,Bat!$A$4:$AU$1417,46,FALSE),VLOOKUP($A1173,Pit!$A$4:$BD$570,55,FALSE))</f>
        <v>0</v>
      </c>
      <c r="U1173" s="52">
        <f>IF($C1173="B",VLOOKUP($A1173,Bat!$A$4:$BA$1417,47,FALSE),VLOOKUP($A1173,Pit!$A$4:$BF$570,56,FALSE))</f>
        <v>0</v>
      </c>
      <c r="V1173" s="52">
        <f>IF($C1173="B",VLOOKUP($A1173,Bat!$A$4:$BA$1417,48,FALSE),VLOOKUP($A1173,Pit!$A$4:$BF$570,57,FALSE))</f>
        <v>0</v>
      </c>
      <c r="W1173" s="52">
        <f>Table5[[#This Row],[posRnk]]+Table5[[#This Row],[zRnk]]+IF($W$3&lt;&gt;Table5[[#This Row],[Type]],50,0)</f>
        <v>1219</v>
      </c>
      <c r="X1173" s="53">
        <f>RANK(Table5[[#This Row],[zScore]],Table5[[#All],[zScore]])</f>
        <v>1169</v>
      </c>
      <c r="Y1173" s="52" t="str">
        <f>IFERROR(INDEX(DraftResults[[#All],[OVR]],MATCH(Table5[[#This Row],[PID]],DraftResults[[#All],[Player ID]],0)),"")</f>
        <v/>
      </c>
      <c r="Z11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3" s="52" t="str">
        <f>IFERROR(INDEX(DraftResults[[#All],[Pick in Round]],MATCH(Table5[[#This Row],[PID]],DraftResults[[#All],[Player ID]],0)),"")</f>
        <v/>
      </c>
      <c r="AB1173" s="52" t="str">
        <f>IFERROR(INDEX(DraftResults[[#All],[Team Name]],MATCH(Table5[[#This Row],[PID]],DraftResults[[#All],[Player ID]],0)),"")</f>
        <v/>
      </c>
      <c r="AC1173" s="52" t="str">
        <f>IF(Table5[[#This Row],[Ovr]]="","",IF(Table5[[#This Row],[cmbList]]="","",Table5[[#This Row],[cmbList]]-Table5[[#This Row],[Ovr]]))</f>
        <v/>
      </c>
      <c r="AD1173" s="56" t="str">
        <f>IF(ISERROR(VLOOKUP($AB1173&amp;"-"&amp;$E1173&amp;" "&amp;F1173,Bonuses!$B$1:$G$1006,4,FALSE)),"",INT(VLOOKUP($AB1173&amp;"-"&amp;$E1173&amp;" "&amp;$F1173,Bonuses!$B$1:$G$1006,4,FALSE)))</f>
        <v/>
      </c>
      <c r="AE11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4" spans="1:31" s="52" customFormat="1" x14ac:dyDescent="0.25">
      <c r="A1174" s="52">
        <v>4404</v>
      </c>
      <c r="B1174" s="52">
        <f>COUNTIF(Table5[PID],A1174)</f>
        <v>1</v>
      </c>
      <c r="C1174" s="52" t="str">
        <f>IF(COUNTIF(Table3[[#All],[PID]],A1174)&gt;0,"P","B")</f>
        <v>B</v>
      </c>
      <c r="D1174" s="61" t="str">
        <f>IF($C1174="B",INDEX(Batters[[#All],[POS]],MATCH(Table5[[#This Row],[PID]],Batters[[#All],[PID]],0)),INDEX(Table3[[#All],[POS]],MATCH(Table5[[#This Row],[PID]],Table3[[#All],[PID]],0)))</f>
        <v>C</v>
      </c>
      <c r="E1174" s="54" t="str">
        <f>IF($C1174="B",INDEX(Batters[[#All],[First]],MATCH(Table5[[#This Row],[PID]],Batters[[#All],[PID]],0)),INDEX(Table3[[#All],[First]],MATCH(Table5[[#This Row],[PID]],Table3[[#All],[PID]],0)))</f>
        <v>Chris</v>
      </c>
      <c r="F1174" s="52" t="str">
        <f>IF($C1174="B",INDEX(Batters[[#All],[Last]],MATCH(A1174,Batters[[#All],[PID]],0)),INDEX(Table3[[#All],[Last]],MATCH(A1174,Table3[[#All],[PID]],0)))</f>
        <v>Lyons</v>
      </c>
      <c r="G1174" s="58">
        <f>IF($C1174="B",INDEX(Batters[[#All],[Age]],MATCH(Table5[[#This Row],[PID]],Batters[[#All],[PID]],0)),INDEX(Table3[[#All],[Age]],MATCH(Table5[[#This Row],[PID]],Table3[[#All],[PID]],0)))</f>
        <v>21</v>
      </c>
      <c r="H1174" s="54" t="str">
        <f>IF($C1174="B",INDEX(Batters[[#All],[B]],MATCH(Table5[[#This Row],[PID]],Batters[[#All],[PID]],0)),INDEX(Table3[[#All],[B]],MATCH(Table5[[#This Row],[PID]],Table3[[#All],[PID]],0)))</f>
        <v>R</v>
      </c>
      <c r="I1174" s="54" t="str">
        <f>IF($C1174="B",INDEX(Batters[[#All],[T]],MATCH(Table5[[#This Row],[PID]],Batters[[#All],[PID]],0)),INDEX(Table3[[#All],[T]],MATCH(Table5[[#This Row],[PID]],Table3[[#All],[PID]],0)))</f>
        <v>R</v>
      </c>
      <c r="J1174" s="54" t="str">
        <f>IF($C1174="B",INDEX(Batters[[#All],[WE]],MATCH(Table5[[#This Row],[PID]],Batters[[#All],[PID]],0)),INDEX(Table3[[#All],[WE]],MATCH(Table5[[#This Row],[PID]],Table3[[#All],[PID]],0)))</f>
        <v>Normal</v>
      </c>
      <c r="K1174" s="54" t="str">
        <f>IF($C1174="B",INDEX(Batters[[#All],[INT]],MATCH(Table5[[#This Row],[PID]],Batters[[#All],[PID]],0)),INDEX(Table3[[#All],[INT]],MATCH(Table5[[#This Row],[PID]],Table3[[#All],[PID]],0)))</f>
        <v>Normal</v>
      </c>
      <c r="L1174" s="62">
        <f>IF($C1174="B",INDEX(Batters[[#All],[CON P]],MATCH(Table5[[#This Row],[PID]],Batters[[#All],[PID]],0)),INDEX(Table3[[#All],[STU P]],MATCH(Table5[[#This Row],[PID]],Table3[[#All],[PID]],0)))</f>
        <v>2</v>
      </c>
      <c r="M1174" s="58">
        <f>IF($C1174="B",INDEX(Batters[[#All],[GAP P]],MATCH(Table5[[#This Row],[PID]],Batters[[#All],[PID]],0)),INDEX(Table3[[#All],[MOV P]],MATCH(Table5[[#This Row],[PID]],Table3[[#All],[PID]],0)))</f>
        <v>4</v>
      </c>
      <c r="N1174" s="58">
        <f>IF($C1174="B",INDEX(Batters[[#All],[POW P]],MATCH(Table5[[#This Row],[PID]],Batters[[#All],[PID]],0)),INDEX(Table3[[#All],[CON P]],MATCH(Table5[[#This Row],[PID]],Table3[[#All],[PID]],0)))</f>
        <v>3</v>
      </c>
      <c r="O1174" s="58">
        <f>IF($C1174="B",INDEX(Batters[[#All],[EYE P]],MATCH(Table5[[#This Row],[PID]],Batters[[#All],[PID]],0)),INDEX(Table3[[#All],[VELO]],MATCH(Table5[[#This Row],[PID]],Table3[[#All],[PID]],0)))</f>
        <v>4</v>
      </c>
      <c r="P1174" s="58">
        <f>IF($C1174="B",INDEX(Batters[[#All],[K P]],MATCH(Table5[[#This Row],[PID]],Batters[[#All],[PID]],0)),INDEX(Table3[[#All],[STM]],MATCH(Table5[[#This Row],[PID]],Table3[[#All],[PID]],0)))</f>
        <v>3</v>
      </c>
      <c r="Q1174" s="63">
        <f>IF($C1174="B",INDEX(Batters[[#All],[Tot]],MATCH(Table5[[#This Row],[PID]],Batters[[#All],[PID]],0)),INDEX(Table3[[#All],[Tot]],MATCH(Table5[[#This Row],[PID]],Table3[[#All],[PID]],0)))</f>
        <v>31.685095117684618</v>
      </c>
      <c r="R1174" s="54">
        <f>IF($C1174="B",INDEX(Batters[[#All],[zScore]],MATCH(Table5[[#This Row],[PID]],Batters[[#All],[PID]],0)),INDEX(Table3[[#All],[zScore]],MATCH(Table5[[#This Row],[PID]],Table3[[#All],[PID]],0)))</f>
        <v>-1.5242240587744877</v>
      </c>
      <c r="S1174" s="60" t="str">
        <f>IF($C1174="B",INDEX(Batters[[#All],[DEM]],MATCH(Table5[[#This Row],[PID]],Batters[[#All],[PID]],0)),INDEX(Table3[[#All],[DEM]],MATCH(Table5[[#This Row],[PID]],Table3[[#All],[PID]],0)))</f>
        <v>-</v>
      </c>
      <c r="T1174" s="64">
        <f>IF($C1174="B",VLOOKUP($A1174,Bat!$A$4:$AU$1417,46,FALSE),VLOOKUP($A1174,Pit!$A$4:$BD$570,55,FALSE))</f>
        <v>0</v>
      </c>
      <c r="U1174" s="52">
        <f>IF($C1174="B",VLOOKUP($A1174,Bat!$A$4:$BA$1417,47,FALSE),VLOOKUP($A1174,Pit!$A$4:$BF$570,56,FALSE))</f>
        <v>0</v>
      </c>
      <c r="V1174" s="52">
        <f>IF($C1174="B",VLOOKUP($A1174,Bat!$A$4:$BA$1417,48,FALSE),VLOOKUP($A1174,Pit!$A$4:$BF$570,57,FALSE))</f>
        <v>0</v>
      </c>
      <c r="W1174" s="52">
        <f>Table5[[#This Row],[posRnk]]+Table5[[#This Row],[zRnk]]+IF($W$3&lt;&gt;Table5[[#This Row],[Type]],50,0)</f>
        <v>1220</v>
      </c>
      <c r="X1174" s="53">
        <f>RANK(Table5[[#This Row],[zScore]],Table5[[#All],[zScore]])</f>
        <v>1170</v>
      </c>
      <c r="Y1174" s="52" t="str">
        <f>IFERROR(INDEX(DraftResults[[#All],[OVR]],MATCH(Table5[[#This Row],[PID]],DraftResults[[#All],[Player ID]],0)),"")</f>
        <v/>
      </c>
      <c r="Z11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4" s="52" t="str">
        <f>IFERROR(INDEX(DraftResults[[#All],[Pick in Round]],MATCH(Table5[[#This Row],[PID]],DraftResults[[#All],[Player ID]],0)),"")</f>
        <v/>
      </c>
      <c r="AB1174" s="52" t="str">
        <f>IFERROR(INDEX(DraftResults[[#All],[Team Name]],MATCH(Table5[[#This Row],[PID]],DraftResults[[#All],[Player ID]],0)),"")</f>
        <v/>
      </c>
      <c r="AC1174" s="52" t="str">
        <f>IF(Table5[[#This Row],[Ovr]]="","",IF(Table5[[#This Row],[cmbList]]="","",Table5[[#This Row],[cmbList]]-Table5[[#This Row],[Ovr]]))</f>
        <v/>
      </c>
      <c r="AD1174" s="56" t="str">
        <f>IF(ISERROR(VLOOKUP($AB1174&amp;"-"&amp;$E1174&amp;" "&amp;F1174,Bonuses!$B$1:$G$1006,4,FALSE)),"",INT(VLOOKUP($AB1174&amp;"-"&amp;$E1174&amp;" "&amp;$F1174,Bonuses!$B$1:$G$1006,4,FALSE)))</f>
        <v/>
      </c>
      <c r="AE11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5" spans="1:31" s="52" customFormat="1" x14ac:dyDescent="0.25">
      <c r="A1175" s="52">
        <v>11435</v>
      </c>
      <c r="B1175" s="52">
        <f>COUNTIF(Table5[PID],A1175)</f>
        <v>1</v>
      </c>
      <c r="C1175" s="52" t="str">
        <f>IF(COUNTIF(Table3[[#All],[PID]],A1175)&gt;0,"P","B")</f>
        <v>B</v>
      </c>
      <c r="D1175" s="61" t="str">
        <f>IF($C1175="B",INDEX(Batters[[#All],[POS]],MATCH(Table5[[#This Row],[PID]],Batters[[#All],[PID]],0)),INDEX(Table3[[#All],[POS]],MATCH(Table5[[#This Row],[PID]],Table3[[#All],[PID]],0)))</f>
        <v>C</v>
      </c>
      <c r="E1175" s="54" t="str">
        <f>IF($C1175="B",INDEX(Batters[[#All],[First]],MATCH(Table5[[#This Row],[PID]],Batters[[#All],[PID]],0)),INDEX(Table3[[#All],[First]],MATCH(Table5[[#This Row],[PID]],Table3[[#All],[PID]],0)))</f>
        <v>Chris</v>
      </c>
      <c r="F1175" s="52" t="str">
        <f>IF($C1175="B",INDEX(Batters[[#All],[Last]],MATCH(A1175,Batters[[#All],[PID]],0)),INDEX(Table3[[#All],[Last]],MATCH(A1175,Table3[[#All],[PID]],0)))</f>
        <v>Keller</v>
      </c>
      <c r="G1175" s="58">
        <f>IF($C1175="B",INDEX(Batters[[#All],[Age]],MATCH(Table5[[#This Row],[PID]],Batters[[#All],[PID]],0)),INDEX(Table3[[#All],[Age]],MATCH(Table5[[#This Row],[PID]],Table3[[#All],[PID]],0)))</f>
        <v>22</v>
      </c>
      <c r="H1175" s="54" t="str">
        <f>IF($C1175="B",INDEX(Batters[[#All],[B]],MATCH(Table5[[#This Row],[PID]],Batters[[#All],[PID]],0)),INDEX(Table3[[#All],[B]],MATCH(Table5[[#This Row],[PID]],Table3[[#All],[PID]],0)))</f>
        <v>R</v>
      </c>
      <c r="I1175" s="54" t="str">
        <f>IF($C1175="B",INDEX(Batters[[#All],[T]],MATCH(Table5[[#This Row],[PID]],Batters[[#All],[PID]],0)),INDEX(Table3[[#All],[T]],MATCH(Table5[[#This Row],[PID]],Table3[[#All],[PID]],0)))</f>
        <v>R</v>
      </c>
      <c r="J1175" s="54" t="str">
        <f>IF($C1175="B",INDEX(Batters[[#All],[WE]],MATCH(Table5[[#This Row],[PID]],Batters[[#All],[PID]],0)),INDEX(Table3[[#All],[WE]],MATCH(Table5[[#This Row],[PID]],Table3[[#All],[PID]],0)))</f>
        <v>Normal</v>
      </c>
      <c r="K1175" s="54" t="str">
        <f>IF($C1175="B",INDEX(Batters[[#All],[INT]],MATCH(Table5[[#This Row],[PID]],Batters[[#All],[PID]],0)),INDEX(Table3[[#All],[INT]],MATCH(Table5[[#This Row],[PID]],Table3[[#All],[PID]],0)))</f>
        <v>Normal</v>
      </c>
      <c r="L1175" s="62">
        <f>IF($C1175="B",INDEX(Batters[[#All],[CON P]],MATCH(Table5[[#This Row],[PID]],Batters[[#All],[PID]],0)),INDEX(Table3[[#All],[STU P]],MATCH(Table5[[#This Row],[PID]],Table3[[#All],[PID]],0)))</f>
        <v>2</v>
      </c>
      <c r="M1175" s="58">
        <f>IF($C1175="B",INDEX(Batters[[#All],[GAP P]],MATCH(Table5[[#This Row],[PID]],Batters[[#All],[PID]],0)),INDEX(Table3[[#All],[MOV P]],MATCH(Table5[[#This Row],[PID]],Table3[[#All],[PID]],0)))</f>
        <v>3</v>
      </c>
      <c r="N1175" s="58">
        <f>IF($C1175="B",INDEX(Batters[[#All],[POW P]],MATCH(Table5[[#This Row],[PID]],Batters[[#All],[PID]],0)),INDEX(Table3[[#All],[CON P]],MATCH(Table5[[#This Row],[PID]],Table3[[#All],[PID]],0)))</f>
        <v>3</v>
      </c>
      <c r="O1175" s="58">
        <f>IF($C1175="B",INDEX(Batters[[#All],[EYE P]],MATCH(Table5[[#This Row],[PID]],Batters[[#All],[PID]],0)),INDEX(Table3[[#All],[VELO]],MATCH(Table5[[#This Row],[PID]],Table3[[#All],[PID]],0)))</f>
        <v>5</v>
      </c>
      <c r="P1175" s="58">
        <f>IF($C1175="B",INDEX(Batters[[#All],[K P]],MATCH(Table5[[#This Row],[PID]],Batters[[#All],[PID]],0)),INDEX(Table3[[#All],[STM]],MATCH(Table5[[#This Row],[PID]],Table3[[#All],[PID]],0)))</f>
        <v>2</v>
      </c>
      <c r="Q1175" s="63">
        <f>IF($C1175="B",INDEX(Batters[[#All],[Tot]],MATCH(Table5[[#This Row],[PID]],Batters[[#All],[PID]],0)),INDEX(Table3[[#All],[Tot]],MATCH(Table5[[#This Row],[PID]],Table3[[#All],[PID]],0)))</f>
        <v>31.6776660395711</v>
      </c>
      <c r="R1175" s="54">
        <f>IF($C1175="B",INDEX(Batters[[#All],[zScore]],MATCH(Table5[[#This Row],[PID]],Batters[[#All],[PID]],0)),INDEX(Table3[[#All],[zScore]],MATCH(Table5[[#This Row],[PID]],Table3[[#All],[PID]],0)))</f>
        <v>-1.5255311556926543</v>
      </c>
      <c r="S1175" s="60" t="str">
        <f>IF($C1175="B",INDEX(Batters[[#All],[DEM]],MATCH(Table5[[#This Row],[PID]],Batters[[#All],[PID]],0)),INDEX(Table3[[#All],[DEM]],MATCH(Table5[[#This Row],[PID]],Table3[[#All],[PID]],0)))</f>
        <v>-</v>
      </c>
      <c r="T1175" s="64">
        <f>IF($C1175="B",VLOOKUP($A1175,Bat!$A$4:$AU$1417,46,FALSE),VLOOKUP($A1175,Pit!$A$4:$BD$570,55,FALSE))</f>
        <v>0</v>
      </c>
      <c r="U1175" s="52">
        <f>IF($C1175="B",VLOOKUP($A1175,Bat!$A$4:$BA$1417,47,FALSE),VLOOKUP($A1175,Pit!$A$4:$BF$570,56,FALSE))</f>
        <v>0</v>
      </c>
      <c r="V1175" s="52">
        <f>IF($C1175="B",VLOOKUP($A1175,Bat!$A$4:$BA$1417,48,FALSE),VLOOKUP($A1175,Pit!$A$4:$BF$570,57,FALSE))</f>
        <v>0</v>
      </c>
      <c r="W1175" s="52">
        <f>Table5[[#This Row],[posRnk]]+Table5[[#This Row],[zRnk]]+IF($W$3&lt;&gt;Table5[[#This Row],[Type]],50,0)</f>
        <v>1221</v>
      </c>
      <c r="X1175" s="53">
        <f>RANK(Table5[[#This Row],[zScore]],Table5[[#All],[zScore]])</f>
        <v>1171</v>
      </c>
      <c r="Y1175" s="52" t="str">
        <f>IFERROR(INDEX(DraftResults[[#All],[OVR]],MATCH(Table5[[#This Row],[PID]],DraftResults[[#All],[Player ID]],0)),"")</f>
        <v/>
      </c>
      <c r="Z11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5" s="52" t="str">
        <f>IFERROR(INDEX(DraftResults[[#All],[Pick in Round]],MATCH(Table5[[#This Row],[PID]],DraftResults[[#All],[Player ID]],0)),"")</f>
        <v/>
      </c>
      <c r="AB1175" s="52" t="str">
        <f>IFERROR(INDEX(DraftResults[[#All],[Team Name]],MATCH(Table5[[#This Row],[PID]],DraftResults[[#All],[Player ID]],0)),"")</f>
        <v/>
      </c>
      <c r="AC1175" s="52" t="str">
        <f>IF(Table5[[#This Row],[Ovr]]="","",IF(Table5[[#This Row],[cmbList]]="","",Table5[[#This Row],[cmbList]]-Table5[[#This Row],[Ovr]]))</f>
        <v/>
      </c>
      <c r="AD1175" s="56" t="str">
        <f>IF(ISERROR(VLOOKUP($AB1175&amp;"-"&amp;$E1175&amp;" "&amp;F1175,Bonuses!$B$1:$G$1006,4,FALSE)),"",INT(VLOOKUP($AB1175&amp;"-"&amp;$E1175&amp;" "&amp;$F1175,Bonuses!$B$1:$G$1006,4,FALSE)))</f>
        <v/>
      </c>
      <c r="AE11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6" spans="1:31" s="52" customFormat="1" x14ac:dyDescent="0.25">
      <c r="A1176" s="52">
        <v>11609</v>
      </c>
      <c r="B1176" s="52">
        <f>COUNTIF(Table5[PID],A1176)</f>
        <v>1</v>
      </c>
      <c r="C1176" s="52" t="str">
        <f>IF(COUNTIF(Table3[[#All],[PID]],A1176)&gt;0,"P","B")</f>
        <v>P</v>
      </c>
      <c r="D1176" s="61" t="str">
        <f>IF($C1176="B",INDEX(Batters[[#All],[POS]],MATCH(Table5[[#This Row],[PID]],Batters[[#All],[PID]],0)),INDEX(Table3[[#All],[POS]],MATCH(Table5[[#This Row],[PID]],Table3[[#All],[PID]],0)))</f>
        <v>RP</v>
      </c>
      <c r="E1176" s="54" t="str">
        <f>IF($C1176="B",INDEX(Batters[[#All],[First]],MATCH(Table5[[#This Row],[PID]],Batters[[#All],[PID]],0)),INDEX(Table3[[#All],[First]],MATCH(Table5[[#This Row],[PID]],Table3[[#All],[PID]],0)))</f>
        <v>Júlio</v>
      </c>
      <c r="F1176" s="52" t="str">
        <f>IF($C1176="B",INDEX(Batters[[#All],[Last]],MATCH(A1176,Batters[[#All],[PID]],0)),INDEX(Table3[[#All],[Last]],MATCH(A1176,Table3[[#All],[PID]],0)))</f>
        <v>Sánchez</v>
      </c>
      <c r="G1176" s="58">
        <f>IF($C1176="B",INDEX(Batters[[#All],[Age]],MATCH(Table5[[#This Row],[PID]],Batters[[#All],[PID]],0)),INDEX(Table3[[#All],[Age]],MATCH(Table5[[#This Row],[PID]],Table3[[#All],[PID]],0)))</f>
        <v>21</v>
      </c>
      <c r="H1176" s="54" t="str">
        <f>IF($C1176="B",INDEX(Batters[[#All],[B]],MATCH(Table5[[#This Row],[PID]],Batters[[#All],[PID]],0)),INDEX(Table3[[#All],[B]],MATCH(Table5[[#This Row],[PID]],Table3[[#All],[PID]],0)))</f>
        <v>R</v>
      </c>
      <c r="I1176" s="54" t="str">
        <f>IF($C1176="B",INDEX(Batters[[#All],[T]],MATCH(Table5[[#This Row],[PID]],Batters[[#All],[PID]],0)),INDEX(Table3[[#All],[T]],MATCH(Table5[[#This Row],[PID]],Table3[[#All],[PID]],0)))</f>
        <v>R</v>
      </c>
      <c r="J1176" s="54" t="str">
        <f>IF($C1176="B",INDEX(Batters[[#All],[WE]],MATCH(Table5[[#This Row],[PID]],Batters[[#All],[PID]],0)),INDEX(Table3[[#All],[WE]],MATCH(Table5[[#This Row],[PID]],Table3[[#All],[PID]],0)))</f>
        <v>Normal</v>
      </c>
      <c r="K1176" s="54" t="str">
        <f>IF($C1176="B",INDEX(Batters[[#All],[INT]],MATCH(Table5[[#This Row],[PID]],Batters[[#All],[PID]],0)),INDEX(Table3[[#All],[INT]],MATCH(Table5[[#This Row],[PID]],Table3[[#All],[PID]],0)))</f>
        <v>Low</v>
      </c>
      <c r="L1176" s="62">
        <f>IF($C1176="B",INDEX(Batters[[#All],[CON P]],MATCH(Table5[[#This Row],[PID]],Batters[[#All],[PID]],0)),INDEX(Table3[[#All],[STU P]],MATCH(Table5[[#This Row],[PID]],Table3[[#All],[PID]],0)))</f>
        <v>2</v>
      </c>
      <c r="M1176" s="58">
        <f>IF($C1176="B",INDEX(Batters[[#All],[GAP P]],MATCH(Table5[[#This Row],[PID]],Batters[[#All],[PID]],0)),INDEX(Table3[[#All],[MOV P]],MATCH(Table5[[#This Row],[PID]],Table3[[#All],[PID]],0)))</f>
        <v>1</v>
      </c>
      <c r="N1176" s="58">
        <f>IF($C1176="B",INDEX(Batters[[#All],[POW P]],MATCH(Table5[[#This Row],[PID]],Batters[[#All],[PID]],0)),INDEX(Table3[[#All],[CON P]],MATCH(Table5[[#This Row],[PID]],Table3[[#All],[PID]],0)))</f>
        <v>2</v>
      </c>
      <c r="O1176" s="58" t="str">
        <f>IF($C1176="B",INDEX(Batters[[#All],[EYE P]],MATCH(Table5[[#This Row],[PID]],Batters[[#All],[PID]],0)),INDEX(Table3[[#All],[VELO]],MATCH(Table5[[#This Row],[PID]],Table3[[#All],[PID]],0)))</f>
        <v>85-87 Mph</v>
      </c>
      <c r="P1176" s="58">
        <f>IF($C1176="B",INDEX(Batters[[#All],[K P]],MATCH(Table5[[#This Row],[PID]],Batters[[#All],[PID]],0)),INDEX(Table3[[#All],[STM]],MATCH(Table5[[#This Row],[PID]],Table3[[#All],[PID]],0)))</f>
        <v>3</v>
      </c>
      <c r="Q1176" s="63">
        <f>IF($C1176="B",INDEX(Batters[[#All],[Tot]],MATCH(Table5[[#This Row],[PID]],Batters[[#All],[PID]],0)),INDEX(Table3[[#All],[Tot]],MATCH(Table5[[#This Row],[PID]],Table3[[#All],[PID]],0)))</f>
        <v>12.958586475203127</v>
      </c>
      <c r="R1176" s="54">
        <f>IF($C1176="B",INDEX(Batters[[#All],[zScore]],MATCH(Table5[[#This Row],[PID]],Batters[[#All],[PID]],0)),INDEX(Table3[[#All],[zScore]],MATCH(Table5[[#This Row],[PID]],Table3[[#All],[PID]],0)))</f>
        <v>-1.5281940977253836</v>
      </c>
      <c r="S1176" s="60" t="str">
        <f>IF($C1176="B",INDEX(Batters[[#All],[DEM]],MATCH(Table5[[#This Row],[PID]],Batters[[#All],[PID]],0)),INDEX(Table3[[#All],[DEM]],MATCH(Table5[[#This Row],[PID]],Table3[[#All],[PID]],0)))</f>
        <v>-</v>
      </c>
      <c r="T1176" s="64" t="e">
        <f>IF($C1176="B",VLOOKUP($A1176,Bat!$A$4:$AU$1417,46,FALSE),VLOOKUP($A1176,Pit!$A$4:$BD$570,55,FALSE))</f>
        <v>#N/A</v>
      </c>
      <c r="U1176" s="52" t="e">
        <f>IF($C1176="B",VLOOKUP($A1176,Bat!$A$4:$BA$1417,47,FALSE),VLOOKUP($A1176,Pit!$A$4:$BF$570,56,FALSE))</f>
        <v>#N/A</v>
      </c>
      <c r="V1176" s="52" t="e">
        <f>IF($C1176="B",VLOOKUP($A1176,Bat!$A$4:$BA$1417,48,FALSE),VLOOKUP($A1176,Pit!$A$4:$BF$570,57,FALSE))</f>
        <v>#N/A</v>
      </c>
      <c r="W1176" s="52" t="e">
        <f>Table5[[#This Row],[posRnk]]+Table5[[#This Row],[zRnk]]+IF($W$3&lt;&gt;Table5[[#This Row],[Type]],50,0)</f>
        <v>#N/A</v>
      </c>
      <c r="X1176" s="53">
        <f>RANK(Table5[[#This Row],[zScore]],Table5[[#All],[zScore]])</f>
        <v>1172</v>
      </c>
      <c r="Y1176" s="52" t="str">
        <f>IFERROR(INDEX(DraftResults[[#All],[OVR]],MATCH(Table5[[#This Row],[PID]],DraftResults[[#All],[Player ID]],0)),"")</f>
        <v/>
      </c>
      <c r="Z11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6" s="52" t="str">
        <f>IFERROR(INDEX(DraftResults[[#All],[Pick in Round]],MATCH(Table5[[#This Row],[PID]],DraftResults[[#All],[Player ID]],0)),"")</f>
        <v/>
      </c>
      <c r="AB1176" s="52" t="str">
        <f>IFERROR(INDEX(DraftResults[[#All],[Team Name]],MATCH(Table5[[#This Row],[PID]],DraftResults[[#All],[Player ID]],0)),"")</f>
        <v/>
      </c>
      <c r="AC1176" s="52" t="str">
        <f>IF(Table5[[#This Row],[Ovr]]="","",IF(Table5[[#This Row],[cmbList]]="","",Table5[[#This Row],[cmbList]]-Table5[[#This Row],[Ovr]]))</f>
        <v/>
      </c>
      <c r="AD1176" s="56" t="str">
        <f>IF(ISERROR(VLOOKUP($AB1176&amp;"-"&amp;$E1176&amp;" "&amp;F1176,Bonuses!$B$1:$G$1006,4,FALSE)),"",INT(VLOOKUP($AB1176&amp;"-"&amp;$E1176&amp;" "&amp;$F1176,Bonuses!$B$1:$G$1006,4,FALSE)))</f>
        <v/>
      </c>
      <c r="AE11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7" spans="1:31" s="52" customFormat="1" x14ac:dyDescent="0.25">
      <c r="A1177" s="52">
        <v>11079</v>
      </c>
      <c r="B1177" s="52">
        <f>COUNTIF(Table5[PID],A1177)</f>
        <v>1</v>
      </c>
      <c r="C1177" s="52" t="str">
        <f>IF(COUNTIF(Table3[[#All],[PID]],A1177)&gt;0,"P","B")</f>
        <v>B</v>
      </c>
      <c r="D1177" s="61" t="str">
        <f>IF($C1177="B",INDEX(Batters[[#All],[POS]],MATCH(Table5[[#This Row],[PID]],Batters[[#All],[PID]],0)),INDEX(Table3[[#All],[POS]],MATCH(Table5[[#This Row],[PID]],Table3[[#All],[PID]],0)))</f>
        <v>1B</v>
      </c>
      <c r="E1177" s="54" t="str">
        <f>IF($C1177="B",INDEX(Batters[[#All],[First]],MATCH(Table5[[#This Row],[PID]],Batters[[#All],[PID]],0)),INDEX(Table3[[#All],[First]],MATCH(Table5[[#This Row],[PID]],Table3[[#All],[PID]],0)))</f>
        <v>Sean</v>
      </c>
      <c r="F1177" s="52" t="str">
        <f>IF($C1177="B",INDEX(Batters[[#All],[Last]],MATCH(A1177,Batters[[#All],[PID]],0)),INDEX(Table3[[#All],[Last]],MATCH(A1177,Table3[[#All],[PID]],0)))</f>
        <v>Frawley</v>
      </c>
      <c r="G1177" s="58">
        <f>IF($C1177="B",INDEX(Batters[[#All],[Age]],MATCH(Table5[[#This Row],[PID]],Batters[[#All],[PID]],0)),INDEX(Table3[[#All],[Age]],MATCH(Table5[[#This Row],[PID]],Table3[[#All],[PID]],0)))</f>
        <v>18</v>
      </c>
      <c r="H1177" s="54" t="str">
        <f>IF($C1177="B",INDEX(Batters[[#All],[B]],MATCH(Table5[[#This Row],[PID]],Batters[[#All],[PID]],0)),INDEX(Table3[[#All],[B]],MATCH(Table5[[#This Row],[PID]],Table3[[#All],[PID]],0)))</f>
        <v>R</v>
      </c>
      <c r="I1177" s="54" t="str">
        <f>IF($C1177="B",INDEX(Batters[[#All],[T]],MATCH(Table5[[#This Row],[PID]],Batters[[#All],[PID]],0)),INDEX(Table3[[#All],[T]],MATCH(Table5[[#This Row],[PID]],Table3[[#All],[PID]],0)))</f>
        <v>R</v>
      </c>
      <c r="J1177" s="54" t="str">
        <f>IF($C1177="B",INDEX(Batters[[#All],[WE]],MATCH(Table5[[#This Row],[PID]],Batters[[#All],[PID]],0)),INDEX(Table3[[#All],[WE]],MATCH(Table5[[#This Row],[PID]],Table3[[#All],[PID]],0)))</f>
        <v>High</v>
      </c>
      <c r="K1177" s="54" t="str">
        <f>IF($C1177="B",INDEX(Batters[[#All],[INT]],MATCH(Table5[[#This Row],[PID]],Batters[[#All],[PID]],0)),INDEX(Table3[[#All],[INT]],MATCH(Table5[[#This Row],[PID]],Table3[[#All],[PID]],0)))</f>
        <v>Normal</v>
      </c>
      <c r="L1177" s="62">
        <f>IF($C1177="B",INDEX(Batters[[#All],[CON P]],MATCH(Table5[[#This Row],[PID]],Batters[[#All],[PID]],0)),INDEX(Table3[[#All],[STU P]],MATCH(Table5[[#This Row],[PID]],Table3[[#All],[PID]],0)))</f>
        <v>2</v>
      </c>
      <c r="M1177" s="58">
        <f>IF($C1177="B",INDEX(Batters[[#All],[GAP P]],MATCH(Table5[[#This Row],[PID]],Batters[[#All],[PID]],0)),INDEX(Table3[[#All],[MOV P]],MATCH(Table5[[#This Row],[PID]],Table3[[#All],[PID]],0)))</f>
        <v>1</v>
      </c>
      <c r="N1177" s="58">
        <f>IF($C1177="B",INDEX(Batters[[#All],[POW P]],MATCH(Table5[[#This Row],[PID]],Batters[[#All],[PID]],0)),INDEX(Table3[[#All],[CON P]],MATCH(Table5[[#This Row],[PID]],Table3[[#All],[PID]],0)))</f>
        <v>3</v>
      </c>
      <c r="O1177" s="58">
        <f>IF($C1177="B",INDEX(Batters[[#All],[EYE P]],MATCH(Table5[[#This Row],[PID]],Batters[[#All],[PID]],0)),INDEX(Table3[[#All],[VELO]],MATCH(Table5[[#This Row],[PID]],Table3[[#All],[PID]],0)))</f>
        <v>1</v>
      </c>
      <c r="P1177" s="58">
        <f>IF($C1177="B",INDEX(Batters[[#All],[K P]],MATCH(Table5[[#This Row],[PID]],Batters[[#All],[PID]],0)),INDEX(Table3[[#All],[STM]],MATCH(Table5[[#This Row],[PID]],Table3[[#All],[PID]],0)))</f>
        <v>2</v>
      </c>
      <c r="Q1177" s="63">
        <f>IF($C1177="B",INDEX(Batters[[#All],[Tot]],MATCH(Table5[[#This Row],[PID]],Batters[[#All],[PID]],0)),INDEX(Table3[[#All],[Tot]],MATCH(Table5[[#This Row],[PID]],Table3[[#All],[PID]],0)))</f>
        <v>31.657093585299503</v>
      </c>
      <c r="R1177" s="54">
        <f>IF($C1177="B",INDEX(Batters[[#All],[zScore]],MATCH(Table5[[#This Row],[PID]],Batters[[#All],[PID]],0)),INDEX(Table3[[#All],[zScore]],MATCH(Table5[[#This Row],[PID]],Table3[[#All],[PID]],0)))</f>
        <v>-1.5291507422909696</v>
      </c>
      <c r="S1177" s="60" t="str">
        <f>IF($C1177="B",INDEX(Batters[[#All],[DEM]],MATCH(Table5[[#This Row],[PID]],Batters[[#All],[PID]],0)),INDEX(Table3[[#All],[DEM]],MATCH(Table5[[#This Row],[PID]],Table3[[#All],[PID]],0)))</f>
        <v>$2.4m</v>
      </c>
      <c r="T1177" s="64">
        <f>IF($C1177="B",VLOOKUP($A1177,Bat!$A$4:$AU$1417,46,FALSE),VLOOKUP($A1177,Pit!$A$4:$BD$570,55,FALSE))</f>
        <v>0</v>
      </c>
      <c r="U1177" s="52">
        <f>IF($C1177="B",VLOOKUP($A1177,Bat!$A$4:$BA$1417,47,FALSE),VLOOKUP($A1177,Pit!$A$4:$BF$570,56,FALSE))</f>
        <v>0</v>
      </c>
      <c r="V1177" s="52">
        <f>IF($C1177="B",VLOOKUP($A1177,Bat!$A$4:$BA$1417,48,FALSE),VLOOKUP($A1177,Pit!$A$4:$BF$570,57,FALSE))</f>
        <v>0</v>
      </c>
      <c r="W1177" s="52">
        <f>Table5[[#This Row],[posRnk]]+Table5[[#This Row],[zRnk]]+IF($W$3&lt;&gt;Table5[[#This Row],[Type]],50,0)</f>
        <v>1223</v>
      </c>
      <c r="X1177" s="53">
        <f>RANK(Table5[[#This Row],[zScore]],Table5[[#All],[zScore]])</f>
        <v>1173</v>
      </c>
      <c r="Y1177" s="52" t="str">
        <f>IFERROR(INDEX(DraftResults[[#All],[OVR]],MATCH(Table5[[#This Row],[PID]],DraftResults[[#All],[Player ID]],0)),"")</f>
        <v/>
      </c>
      <c r="Z11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7" s="52" t="str">
        <f>IFERROR(INDEX(DraftResults[[#All],[Pick in Round]],MATCH(Table5[[#This Row],[PID]],DraftResults[[#All],[Player ID]],0)),"")</f>
        <v/>
      </c>
      <c r="AB1177" s="52" t="str">
        <f>IFERROR(INDEX(DraftResults[[#All],[Team Name]],MATCH(Table5[[#This Row],[PID]],DraftResults[[#All],[Player ID]],0)),"")</f>
        <v/>
      </c>
      <c r="AC1177" s="52" t="str">
        <f>IF(Table5[[#This Row],[Ovr]]="","",IF(Table5[[#This Row],[cmbList]]="","",Table5[[#This Row],[cmbList]]-Table5[[#This Row],[Ovr]]))</f>
        <v/>
      </c>
      <c r="AD1177" s="56" t="str">
        <f>IF(ISERROR(VLOOKUP($AB1177&amp;"-"&amp;$E1177&amp;" "&amp;F1177,Bonuses!$B$1:$G$1006,4,FALSE)),"",INT(VLOOKUP($AB1177&amp;"-"&amp;$E1177&amp;" "&amp;$F1177,Bonuses!$B$1:$G$1006,4,FALSE)))</f>
        <v/>
      </c>
      <c r="AE11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8" spans="1:31" s="8" customFormat="1" x14ac:dyDescent="0.25">
      <c r="A1178" s="52">
        <v>2195</v>
      </c>
      <c r="B1178" s="52">
        <f>COUNTIF(Table5[PID],A1178)</f>
        <v>1</v>
      </c>
      <c r="C1178" s="52" t="str">
        <f>IF(COUNTIF(Table3[[#All],[PID]],A1178)&gt;0,"P","B")</f>
        <v>B</v>
      </c>
      <c r="D1178" s="61" t="str">
        <f>IF($C1178="B",INDEX(Batters[[#All],[POS]],MATCH(Table5[[#This Row],[PID]],Batters[[#All],[PID]],0)),INDEX(Table3[[#All],[POS]],MATCH(Table5[[#This Row],[PID]],Table3[[#All],[PID]],0)))</f>
        <v>1B</v>
      </c>
      <c r="E1178" s="54" t="str">
        <f>IF($C1178="B",INDEX(Batters[[#All],[First]],MATCH(Table5[[#This Row],[PID]],Batters[[#All],[PID]],0)),INDEX(Table3[[#All],[First]],MATCH(Table5[[#This Row],[PID]],Table3[[#All],[PID]],0)))</f>
        <v>Fernando</v>
      </c>
      <c r="F1178" s="52" t="str">
        <f>IF($C1178="B",INDEX(Batters[[#All],[Last]],MATCH(A1178,Batters[[#All],[PID]],0)),INDEX(Table3[[#All],[Last]],MATCH(A1178,Table3[[#All],[PID]],0)))</f>
        <v>Rosário</v>
      </c>
      <c r="G1178" s="58">
        <f>IF($C1178="B",INDEX(Batters[[#All],[Age]],MATCH(Table5[[#This Row],[PID]],Batters[[#All],[PID]],0)),INDEX(Table3[[#All],[Age]],MATCH(Table5[[#This Row],[PID]],Table3[[#All],[PID]],0)))</f>
        <v>21</v>
      </c>
      <c r="H1178" s="54" t="str">
        <f>IF($C1178="B",INDEX(Batters[[#All],[B]],MATCH(Table5[[#This Row],[PID]],Batters[[#All],[PID]],0)),INDEX(Table3[[#All],[B]],MATCH(Table5[[#This Row],[PID]],Table3[[#All],[PID]],0)))</f>
        <v>L</v>
      </c>
      <c r="I1178" s="54" t="str">
        <f>IF($C1178="B",INDEX(Batters[[#All],[T]],MATCH(Table5[[#This Row],[PID]],Batters[[#All],[PID]],0)),INDEX(Table3[[#All],[T]],MATCH(Table5[[#This Row],[PID]],Table3[[#All],[PID]],0)))</f>
        <v>R</v>
      </c>
      <c r="J1178" s="54" t="str">
        <f>IF($C1178="B",INDEX(Batters[[#All],[WE]],MATCH(Table5[[#This Row],[PID]],Batters[[#All],[PID]],0)),INDEX(Table3[[#All],[WE]],MATCH(Table5[[#This Row],[PID]],Table3[[#All],[PID]],0)))</f>
        <v>Low</v>
      </c>
      <c r="K1178" s="54" t="str">
        <f>IF($C1178="B",INDEX(Batters[[#All],[INT]],MATCH(Table5[[#This Row],[PID]],Batters[[#All],[PID]],0)),INDEX(Table3[[#All],[INT]],MATCH(Table5[[#This Row],[PID]],Table3[[#All],[PID]],0)))</f>
        <v>Low</v>
      </c>
      <c r="L1178" s="62">
        <f>IF($C1178="B",INDEX(Batters[[#All],[CON P]],MATCH(Table5[[#This Row],[PID]],Batters[[#All],[PID]],0)),INDEX(Table3[[#All],[STU P]],MATCH(Table5[[#This Row],[PID]],Table3[[#All],[PID]],0)))</f>
        <v>3</v>
      </c>
      <c r="M1178" s="58">
        <f>IF($C1178="B",INDEX(Batters[[#All],[GAP P]],MATCH(Table5[[#This Row],[PID]],Batters[[#All],[PID]],0)),INDEX(Table3[[#All],[MOV P]],MATCH(Table5[[#This Row],[PID]],Table3[[#All],[PID]],0)))</f>
        <v>3</v>
      </c>
      <c r="N1178" s="58">
        <f>IF($C1178="B",INDEX(Batters[[#All],[POW P]],MATCH(Table5[[#This Row],[PID]],Batters[[#All],[PID]],0)),INDEX(Table3[[#All],[CON P]],MATCH(Table5[[#This Row],[PID]],Table3[[#All],[PID]],0)))</f>
        <v>2</v>
      </c>
      <c r="O1178" s="58">
        <f>IF($C1178="B",INDEX(Batters[[#All],[EYE P]],MATCH(Table5[[#This Row],[PID]],Batters[[#All],[PID]],0)),INDEX(Table3[[#All],[VELO]],MATCH(Table5[[#This Row],[PID]],Table3[[#All],[PID]],0)))</f>
        <v>2</v>
      </c>
      <c r="P1178" s="58">
        <f>IF($C1178="B",INDEX(Batters[[#All],[K P]],MATCH(Table5[[#This Row],[PID]],Batters[[#All],[PID]],0)),INDEX(Table3[[#All],[STM]],MATCH(Table5[[#This Row],[PID]],Table3[[#All],[PID]],0)))</f>
        <v>4</v>
      </c>
      <c r="Q1178" s="63">
        <f>IF($C1178="B",INDEX(Batters[[#All],[Tot]],MATCH(Table5[[#This Row],[PID]],Batters[[#All],[PID]],0)),INDEX(Table3[[#All],[Tot]],MATCH(Table5[[#This Row],[PID]],Table3[[#All],[PID]],0)))</f>
        <v>31.564838751544357</v>
      </c>
      <c r="R1178" s="54">
        <f>IF($C1178="B",INDEX(Batters[[#All],[zScore]],MATCH(Table5[[#This Row],[PID]],Batters[[#All],[PID]],0)),INDEX(Table3[[#All],[zScore]],MATCH(Table5[[#This Row],[PID]],Table3[[#All],[PID]],0)))</f>
        <v>-1.5453823671365741</v>
      </c>
      <c r="S1178" s="60" t="str">
        <f>IF($C1178="B",INDEX(Batters[[#All],[DEM]],MATCH(Table5[[#This Row],[PID]],Batters[[#All],[PID]],0)),INDEX(Table3[[#All],[DEM]],MATCH(Table5[[#This Row],[PID]],Table3[[#All],[PID]],0)))</f>
        <v>-</v>
      </c>
      <c r="T1178" s="64">
        <f>IF($C1178="B",VLOOKUP($A1178,Bat!$A$4:$AU$1417,46,FALSE),VLOOKUP($A1178,Pit!$A$4:$BD$570,55,FALSE))</f>
        <v>0</v>
      </c>
      <c r="U1178" s="52">
        <f>IF($C1178="B",VLOOKUP($A1178,Bat!$A$4:$BA$1417,47,FALSE),VLOOKUP($A1178,Pit!$A$4:$BF$570,56,FALSE))</f>
        <v>0</v>
      </c>
      <c r="V1178" s="52">
        <f>IF($C1178="B",VLOOKUP($A1178,Bat!$A$4:$BA$1417,48,FALSE),VLOOKUP($A1178,Pit!$A$4:$BF$570,57,FALSE))</f>
        <v>0</v>
      </c>
      <c r="W1178" s="52">
        <f>Table5[[#This Row],[posRnk]]+Table5[[#This Row],[zRnk]]+IF($W$3&lt;&gt;Table5[[#This Row],[Type]],50,0)</f>
        <v>1224</v>
      </c>
      <c r="X1178" s="53">
        <f>RANK(Table5[[#This Row],[zScore]],Table5[[#All],[zScore]])</f>
        <v>1174</v>
      </c>
      <c r="Y1178" s="52" t="str">
        <f>IFERROR(INDEX(DraftResults[[#All],[OVR]],MATCH(Table5[[#This Row],[PID]],DraftResults[[#All],[Player ID]],0)),"")</f>
        <v/>
      </c>
      <c r="Z11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8" s="52" t="str">
        <f>IFERROR(INDEX(DraftResults[[#All],[Pick in Round]],MATCH(Table5[[#This Row],[PID]],DraftResults[[#All],[Player ID]],0)),"")</f>
        <v/>
      </c>
      <c r="AB1178" s="52" t="str">
        <f>IFERROR(INDEX(DraftResults[[#All],[Team Name]],MATCH(Table5[[#This Row],[PID]],DraftResults[[#All],[Player ID]],0)),"")</f>
        <v/>
      </c>
      <c r="AC1178" s="52" t="str">
        <f>IF(Table5[[#This Row],[Ovr]]="","",IF(Table5[[#This Row],[cmbList]]="","",Table5[[#This Row],[cmbList]]-Table5[[#This Row],[Ovr]]))</f>
        <v/>
      </c>
      <c r="AD1178" s="56" t="str">
        <f>IF(ISERROR(VLOOKUP($AB1178&amp;"-"&amp;$E1178&amp;" "&amp;F1178,Bonuses!$B$1:$G$1006,4,FALSE)),"",INT(VLOOKUP($AB1178&amp;"-"&amp;$E1178&amp;" "&amp;$F1178,Bonuses!$B$1:$G$1006,4,FALSE)))</f>
        <v/>
      </c>
      <c r="AE11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9" spans="1:31" s="8" customFormat="1" x14ac:dyDescent="0.25">
      <c r="A1179" s="52">
        <v>5791</v>
      </c>
      <c r="B1179" s="52">
        <f>COUNTIF(Table5[PID],A1179)</f>
        <v>1</v>
      </c>
      <c r="C1179" s="52" t="str">
        <f>IF(COUNTIF(Table3[[#All],[PID]],A1179)&gt;0,"P","B")</f>
        <v>B</v>
      </c>
      <c r="D1179" s="61" t="str">
        <f>IF($C1179="B",INDEX(Batters[[#All],[POS]],MATCH(Table5[[#This Row],[PID]],Batters[[#All],[PID]],0)),INDEX(Table3[[#All],[POS]],MATCH(Table5[[#This Row],[PID]],Table3[[#All],[PID]],0)))</f>
        <v>2B</v>
      </c>
      <c r="E1179" s="54" t="str">
        <f>IF($C1179="B",INDEX(Batters[[#All],[First]],MATCH(Table5[[#This Row],[PID]],Batters[[#All],[PID]],0)),INDEX(Table3[[#All],[First]],MATCH(Table5[[#This Row],[PID]],Table3[[#All],[PID]],0)))</f>
        <v>Tim</v>
      </c>
      <c r="F1179" s="52" t="str">
        <f>IF($C1179="B",INDEX(Batters[[#All],[Last]],MATCH(A1179,Batters[[#All],[PID]],0)),INDEX(Table3[[#All],[Last]],MATCH(A1179,Table3[[#All],[PID]],0)))</f>
        <v>Downing</v>
      </c>
      <c r="G1179" s="58">
        <f>IF($C1179="B",INDEX(Batters[[#All],[Age]],MATCH(Table5[[#This Row],[PID]],Batters[[#All],[PID]],0)),INDEX(Table3[[#All],[Age]],MATCH(Table5[[#This Row],[PID]],Table3[[#All],[PID]],0)))</f>
        <v>22</v>
      </c>
      <c r="H1179" s="54" t="str">
        <f>IF($C1179="B",INDEX(Batters[[#All],[B]],MATCH(Table5[[#This Row],[PID]],Batters[[#All],[PID]],0)),INDEX(Table3[[#All],[B]],MATCH(Table5[[#This Row],[PID]],Table3[[#All],[PID]],0)))</f>
        <v>R</v>
      </c>
      <c r="I1179" s="54" t="str">
        <f>IF($C1179="B",INDEX(Batters[[#All],[T]],MATCH(Table5[[#This Row],[PID]],Batters[[#All],[PID]],0)),INDEX(Table3[[#All],[T]],MATCH(Table5[[#This Row],[PID]],Table3[[#All],[PID]],0)))</f>
        <v>R</v>
      </c>
      <c r="J1179" s="54" t="str">
        <f>IF($C1179="B",INDEX(Batters[[#All],[WE]],MATCH(Table5[[#This Row],[PID]],Batters[[#All],[PID]],0)),INDEX(Table3[[#All],[WE]],MATCH(Table5[[#This Row],[PID]],Table3[[#All],[PID]],0)))</f>
        <v>Normal</v>
      </c>
      <c r="K1179" s="54" t="str">
        <f>IF($C1179="B",INDEX(Batters[[#All],[INT]],MATCH(Table5[[#This Row],[PID]],Batters[[#All],[PID]],0)),INDEX(Table3[[#All],[INT]],MATCH(Table5[[#This Row],[PID]],Table3[[#All],[PID]],0)))</f>
        <v>Normal</v>
      </c>
      <c r="L1179" s="62">
        <f>IF($C1179="B",INDEX(Batters[[#All],[CON P]],MATCH(Table5[[#This Row],[PID]],Batters[[#All],[PID]],0)),INDEX(Table3[[#All],[STU P]],MATCH(Table5[[#This Row],[PID]],Table3[[#All],[PID]],0)))</f>
        <v>2</v>
      </c>
      <c r="M1179" s="58">
        <f>IF($C1179="B",INDEX(Batters[[#All],[GAP P]],MATCH(Table5[[#This Row],[PID]],Batters[[#All],[PID]],0)),INDEX(Table3[[#All],[MOV P]],MATCH(Table5[[#This Row],[PID]],Table3[[#All],[PID]],0)))</f>
        <v>2</v>
      </c>
      <c r="N1179" s="58">
        <f>IF($C1179="B",INDEX(Batters[[#All],[POW P]],MATCH(Table5[[#This Row],[PID]],Batters[[#All],[PID]],0)),INDEX(Table3[[#All],[CON P]],MATCH(Table5[[#This Row],[PID]],Table3[[#All],[PID]],0)))</f>
        <v>3</v>
      </c>
      <c r="O1179" s="58">
        <f>IF($C1179="B",INDEX(Batters[[#All],[EYE P]],MATCH(Table5[[#This Row],[PID]],Batters[[#All],[PID]],0)),INDEX(Table3[[#All],[VELO]],MATCH(Table5[[#This Row],[PID]],Table3[[#All],[PID]],0)))</f>
        <v>4</v>
      </c>
      <c r="P1179" s="58">
        <f>IF($C1179="B",INDEX(Batters[[#All],[K P]],MATCH(Table5[[#This Row],[PID]],Batters[[#All],[PID]],0)),INDEX(Table3[[#All],[STM]],MATCH(Table5[[#This Row],[PID]],Table3[[#All],[PID]],0)))</f>
        <v>3</v>
      </c>
      <c r="Q1179" s="63">
        <f>IF($C1179="B",INDEX(Batters[[#All],[Tot]],MATCH(Table5[[#This Row],[PID]],Batters[[#All],[PID]],0)),INDEX(Table3[[#All],[Tot]],MATCH(Table5[[#This Row],[PID]],Table3[[#All],[PID]],0)))</f>
        <v>31.563522973874822</v>
      </c>
      <c r="R1179" s="54">
        <f>IF($C1179="B",INDEX(Batters[[#All],[zScore]],MATCH(Table5[[#This Row],[PID]],Batters[[#All],[PID]],0)),INDEX(Table3[[#All],[zScore]],MATCH(Table5[[#This Row],[PID]],Table3[[#All],[PID]],0)))</f>
        <v>-1.5456138694724715</v>
      </c>
      <c r="S1179" s="60" t="str">
        <f>IF($C1179="B",INDEX(Batters[[#All],[DEM]],MATCH(Table5[[#This Row],[PID]],Batters[[#All],[PID]],0)),INDEX(Table3[[#All],[DEM]],MATCH(Table5[[#This Row],[PID]],Table3[[#All],[PID]],0)))</f>
        <v>-</v>
      </c>
      <c r="T1179" s="64">
        <f>IF($C1179="B",VLOOKUP($A1179,Bat!$A$4:$AU$1417,46,FALSE),VLOOKUP($A1179,Pit!$A$4:$BD$570,55,FALSE))</f>
        <v>0</v>
      </c>
      <c r="U1179" s="52">
        <f>IF($C1179="B",VLOOKUP($A1179,Bat!$A$4:$BA$1417,47,FALSE),VLOOKUP($A1179,Pit!$A$4:$BF$570,56,FALSE))</f>
        <v>0</v>
      </c>
      <c r="V1179" s="52">
        <f>IF($C1179="B",VLOOKUP($A1179,Bat!$A$4:$BA$1417,48,FALSE),VLOOKUP($A1179,Pit!$A$4:$BF$570,57,FALSE))</f>
        <v>0</v>
      </c>
      <c r="W1179" s="52">
        <f>Table5[[#This Row],[posRnk]]+Table5[[#This Row],[zRnk]]+IF($W$3&lt;&gt;Table5[[#This Row],[Type]],50,0)</f>
        <v>1225</v>
      </c>
      <c r="X1179" s="53">
        <f>RANK(Table5[[#This Row],[zScore]],Table5[[#All],[zScore]])</f>
        <v>1175</v>
      </c>
      <c r="Y1179" s="52" t="str">
        <f>IFERROR(INDEX(DraftResults[[#All],[OVR]],MATCH(Table5[[#This Row],[PID]],DraftResults[[#All],[Player ID]],0)),"")</f>
        <v/>
      </c>
      <c r="Z11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9" s="52" t="str">
        <f>IFERROR(INDEX(DraftResults[[#All],[Pick in Round]],MATCH(Table5[[#This Row],[PID]],DraftResults[[#All],[Player ID]],0)),"")</f>
        <v/>
      </c>
      <c r="AB1179" s="52" t="str">
        <f>IFERROR(INDEX(DraftResults[[#All],[Team Name]],MATCH(Table5[[#This Row],[PID]],DraftResults[[#All],[Player ID]],0)),"")</f>
        <v/>
      </c>
      <c r="AC1179" s="52" t="str">
        <f>IF(Table5[[#This Row],[Ovr]]="","",IF(Table5[[#This Row],[cmbList]]="","",Table5[[#This Row],[cmbList]]-Table5[[#This Row],[Ovr]]))</f>
        <v/>
      </c>
      <c r="AD1179" s="56" t="str">
        <f>IF(ISERROR(VLOOKUP($AB1179&amp;"-"&amp;$E1179&amp;" "&amp;F1179,Bonuses!$B$1:$G$1006,4,FALSE)),"",INT(VLOOKUP($AB1179&amp;"-"&amp;$E1179&amp;" "&amp;$F1179,Bonuses!$B$1:$G$1006,4,FALSE)))</f>
        <v/>
      </c>
      <c r="AE11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0" spans="1:31" s="8" customFormat="1" x14ac:dyDescent="0.25">
      <c r="A1180" s="52">
        <v>12100</v>
      </c>
      <c r="B1180" s="52">
        <f>COUNTIF(Table5[PID],A1180)</f>
        <v>1</v>
      </c>
      <c r="C1180" s="52" t="str">
        <f>IF(COUNTIF(Table3[[#All],[PID]],A1180)&gt;0,"P","B")</f>
        <v>B</v>
      </c>
      <c r="D1180" s="61" t="str">
        <f>IF($C1180="B",INDEX(Batters[[#All],[POS]],MATCH(Table5[[#This Row],[PID]],Batters[[#All],[PID]],0)),INDEX(Table3[[#All],[POS]],MATCH(Table5[[#This Row],[PID]],Table3[[#All],[PID]],0)))</f>
        <v>1B</v>
      </c>
      <c r="E1180" s="54" t="str">
        <f>IF($C1180="B",INDEX(Batters[[#All],[First]],MATCH(Table5[[#This Row],[PID]],Batters[[#All],[PID]],0)),INDEX(Table3[[#All],[First]],MATCH(Table5[[#This Row],[PID]],Table3[[#All],[PID]],0)))</f>
        <v>Nick</v>
      </c>
      <c r="F1180" s="52" t="str">
        <f>IF($C1180="B",INDEX(Batters[[#All],[Last]],MATCH(A1180,Batters[[#All],[PID]],0)),INDEX(Table3[[#All],[Last]],MATCH(A1180,Table3[[#All],[PID]],0)))</f>
        <v>Miller</v>
      </c>
      <c r="G1180" s="58">
        <f>IF($C1180="B",INDEX(Batters[[#All],[Age]],MATCH(Table5[[#This Row],[PID]],Batters[[#All],[PID]],0)),INDEX(Table3[[#All],[Age]],MATCH(Table5[[#This Row],[PID]],Table3[[#All],[PID]],0)))</f>
        <v>21</v>
      </c>
      <c r="H1180" s="54" t="str">
        <f>IF($C1180="B",INDEX(Batters[[#All],[B]],MATCH(Table5[[#This Row],[PID]],Batters[[#All],[PID]],0)),INDEX(Table3[[#All],[B]],MATCH(Table5[[#This Row],[PID]],Table3[[#All],[PID]],0)))</f>
        <v>R</v>
      </c>
      <c r="I1180" s="54" t="str">
        <f>IF($C1180="B",INDEX(Batters[[#All],[T]],MATCH(Table5[[#This Row],[PID]],Batters[[#All],[PID]],0)),INDEX(Table3[[#All],[T]],MATCH(Table5[[#This Row],[PID]],Table3[[#All],[PID]],0)))</f>
        <v>R</v>
      </c>
      <c r="J1180" s="54" t="str">
        <f>IF($C1180="B",INDEX(Batters[[#All],[WE]],MATCH(Table5[[#This Row],[PID]],Batters[[#All],[PID]],0)),INDEX(Table3[[#All],[WE]],MATCH(Table5[[#This Row],[PID]],Table3[[#All],[PID]],0)))</f>
        <v>Low</v>
      </c>
      <c r="K1180" s="54" t="str">
        <f>IF($C1180="B",INDEX(Batters[[#All],[INT]],MATCH(Table5[[#This Row],[PID]],Batters[[#All],[PID]],0)),INDEX(Table3[[#All],[INT]],MATCH(Table5[[#This Row],[PID]],Table3[[#All],[PID]],0)))</f>
        <v>Low</v>
      </c>
      <c r="L1180" s="62">
        <f>IF($C1180="B",INDEX(Batters[[#All],[CON P]],MATCH(Table5[[#This Row],[PID]],Batters[[#All],[PID]],0)),INDEX(Table3[[#All],[STU P]],MATCH(Table5[[#This Row],[PID]],Table3[[#All],[PID]],0)))</f>
        <v>2</v>
      </c>
      <c r="M1180" s="58">
        <f>IF($C1180="B",INDEX(Batters[[#All],[GAP P]],MATCH(Table5[[#This Row],[PID]],Batters[[#All],[PID]],0)),INDEX(Table3[[#All],[MOV P]],MATCH(Table5[[#This Row],[PID]],Table3[[#All],[PID]],0)))</f>
        <v>3</v>
      </c>
      <c r="N1180" s="58">
        <f>IF($C1180="B",INDEX(Batters[[#All],[POW P]],MATCH(Table5[[#This Row],[PID]],Batters[[#All],[PID]],0)),INDEX(Table3[[#All],[CON P]],MATCH(Table5[[#This Row],[PID]],Table3[[#All],[PID]],0)))</f>
        <v>3</v>
      </c>
      <c r="O1180" s="58">
        <f>IF($C1180="B",INDEX(Batters[[#All],[EYE P]],MATCH(Table5[[#This Row],[PID]],Batters[[#All],[PID]],0)),INDEX(Table3[[#All],[VELO]],MATCH(Table5[[#This Row],[PID]],Table3[[#All],[PID]],0)))</f>
        <v>5</v>
      </c>
      <c r="P1180" s="58">
        <f>IF($C1180="B",INDEX(Batters[[#All],[K P]],MATCH(Table5[[#This Row],[PID]],Batters[[#All],[PID]],0)),INDEX(Table3[[#All],[STM]],MATCH(Table5[[#This Row],[PID]],Table3[[#All],[PID]],0)))</f>
        <v>3</v>
      </c>
      <c r="Q1180" s="63">
        <f>IF($C1180="B",INDEX(Batters[[#All],[Tot]],MATCH(Table5[[#This Row],[PID]],Batters[[#All],[PID]],0)),INDEX(Table3[[#All],[Tot]],MATCH(Table5[[#This Row],[PID]],Table3[[#All],[PID]],0)))</f>
        <v>31.5578621173761</v>
      </c>
      <c r="R1180" s="54">
        <f>IF($C1180="B",INDEX(Batters[[#All],[zScore]],MATCH(Table5[[#This Row],[PID]],Batters[[#All],[PID]],0)),INDEX(Table3[[#All],[zScore]],MATCH(Table5[[#This Row],[PID]],Table3[[#All],[PID]],0)))</f>
        <v>-1.5466098595496518</v>
      </c>
      <c r="S1180" s="60" t="str">
        <f>IF($C1180="B",INDEX(Batters[[#All],[DEM]],MATCH(Table5[[#This Row],[PID]],Batters[[#All],[PID]],0)),INDEX(Table3[[#All],[DEM]],MATCH(Table5[[#This Row],[PID]],Table3[[#All],[PID]],0)))</f>
        <v>$20k</v>
      </c>
      <c r="T1180" s="64">
        <f>IF($C1180="B",VLOOKUP($A1180,Bat!$A$4:$AU$1417,46,FALSE),VLOOKUP($A1180,Pit!$A$4:$BD$570,55,FALSE))</f>
        <v>0</v>
      </c>
      <c r="U1180" s="52">
        <f>IF($C1180="B",VLOOKUP($A1180,Bat!$A$4:$BA$1417,47,FALSE),VLOOKUP($A1180,Pit!$A$4:$BF$570,56,FALSE))</f>
        <v>0</v>
      </c>
      <c r="V1180" s="52">
        <f>IF($C1180="B",VLOOKUP($A1180,Bat!$A$4:$BA$1417,48,FALSE),VLOOKUP($A1180,Pit!$A$4:$BF$570,57,FALSE))</f>
        <v>0</v>
      </c>
      <c r="W1180" s="52">
        <f>Table5[[#This Row],[posRnk]]+Table5[[#This Row],[zRnk]]+IF($W$3&lt;&gt;Table5[[#This Row],[Type]],50,0)</f>
        <v>1226</v>
      </c>
      <c r="X1180" s="53">
        <f>RANK(Table5[[#This Row],[zScore]],Table5[[#All],[zScore]])</f>
        <v>1176</v>
      </c>
      <c r="Y1180" s="52" t="str">
        <f>IFERROR(INDEX(DraftResults[[#All],[OVR]],MATCH(Table5[[#This Row],[PID]],DraftResults[[#All],[Player ID]],0)),"")</f>
        <v/>
      </c>
      <c r="Z11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0" s="52" t="str">
        <f>IFERROR(INDEX(DraftResults[[#All],[Pick in Round]],MATCH(Table5[[#This Row],[PID]],DraftResults[[#All],[Player ID]],0)),"")</f>
        <v/>
      </c>
      <c r="AB1180" s="52" t="str">
        <f>IFERROR(INDEX(DraftResults[[#All],[Team Name]],MATCH(Table5[[#This Row],[PID]],DraftResults[[#All],[Player ID]],0)),"")</f>
        <v/>
      </c>
      <c r="AC1180" s="52" t="str">
        <f>IF(Table5[[#This Row],[Ovr]]="","",IF(Table5[[#This Row],[cmbList]]="","",Table5[[#This Row],[cmbList]]-Table5[[#This Row],[Ovr]]))</f>
        <v/>
      </c>
      <c r="AD1180" s="56" t="str">
        <f>IF(ISERROR(VLOOKUP($AB1180&amp;"-"&amp;$E1180&amp;" "&amp;F1180,Bonuses!$B$1:$G$1006,4,FALSE)),"",INT(VLOOKUP($AB1180&amp;"-"&amp;$E1180&amp;" "&amp;$F1180,Bonuses!$B$1:$G$1006,4,FALSE)))</f>
        <v/>
      </c>
      <c r="AE11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1" spans="1:31" s="8" customFormat="1" x14ac:dyDescent="0.25">
      <c r="A1181" s="52">
        <v>16715</v>
      </c>
      <c r="B1181" s="52">
        <f>COUNTIF(Table5[PID],A1181)</f>
        <v>1</v>
      </c>
      <c r="C1181" s="52" t="str">
        <f>IF(COUNTIF(Table3[[#All],[PID]],A1181)&gt;0,"P","B")</f>
        <v>P</v>
      </c>
      <c r="D1181" s="61" t="str">
        <f>IF($C1181="B",INDEX(Batters[[#All],[POS]],MATCH(Table5[[#This Row],[PID]],Batters[[#All],[PID]],0)),INDEX(Table3[[#All],[POS]],MATCH(Table5[[#This Row],[PID]],Table3[[#All],[PID]],0)))</f>
        <v>RP</v>
      </c>
      <c r="E1181" s="54" t="str">
        <f>IF($C1181="B",INDEX(Batters[[#All],[First]],MATCH(Table5[[#This Row],[PID]],Batters[[#All],[PID]],0)),INDEX(Table3[[#All],[First]],MATCH(Table5[[#This Row],[PID]],Table3[[#All],[PID]],0)))</f>
        <v>Ferdi</v>
      </c>
      <c r="F1181" s="52" t="str">
        <f>IF($C1181="B",INDEX(Batters[[#All],[Last]],MATCH(A1181,Batters[[#All],[PID]],0)),INDEX(Table3[[#All],[Last]],MATCH(A1181,Table3[[#All],[PID]],0)))</f>
        <v>Pouwelse</v>
      </c>
      <c r="G1181" s="58">
        <f>IF($C1181="B",INDEX(Batters[[#All],[Age]],MATCH(Table5[[#This Row],[PID]],Batters[[#All],[PID]],0)),INDEX(Table3[[#All],[Age]],MATCH(Table5[[#This Row],[PID]],Table3[[#All],[PID]],0)))</f>
        <v>21</v>
      </c>
      <c r="H1181" s="54" t="str">
        <f>IF($C1181="B",INDEX(Batters[[#All],[B]],MATCH(Table5[[#This Row],[PID]],Batters[[#All],[PID]],0)),INDEX(Table3[[#All],[B]],MATCH(Table5[[#This Row],[PID]],Table3[[#All],[PID]],0)))</f>
        <v>S</v>
      </c>
      <c r="I1181" s="54" t="str">
        <f>IF($C1181="B",INDEX(Batters[[#All],[T]],MATCH(Table5[[#This Row],[PID]],Batters[[#All],[PID]],0)),INDEX(Table3[[#All],[T]],MATCH(Table5[[#This Row],[PID]],Table3[[#All],[PID]],0)))</f>
        <v>R</v>
      </c>
      <c r="J1181" s="54" t="str">
        <f>IF($C1181="B",INDEX(Batters[[#All],[WE]],MATCH(Table5[[#This Row],[PID]],Batters[[#All],[PID]],0)),INDEX(Table3[[#All],[WE]],MATCH(Table5[[#This Row],[PID]],Table3[[#All],[PID]],0)))</f>
        <v>Normal</v>
      </c>
      <c r="K1181" s="54" t="str">
        <f>IF($C1181="B",INDEX(Batters[[#All],[INT]],MATCH(Table5[[#This Row],[PID]],Batters[[#All],[PID]],0)),INDEX(Table3[[#All],[INT]],MATCH(Table5[[#This Row],[PID]],Table3[[#All],[PID]],0)))</f>
        <v>Normal</v>
      </c>
      <c r="L1181" s="62">
        <f>IF($C1181="B",INDEX(Batters[[#All],[CON P]],MATCH(Table5[[#This Row],[PID]],Batters[[#All],[PID]],0)),INDEX(Table3[[#All],[STU P]],MATCH(Table5[[#This Row],[PID]],Table3[[#All],[PID]],0)))</f>
        <v>4</v>
      </c>
      <c r="M1181" s="58">
        <f>IF($C1181="B",INDEX(Batters[[#All],[GAP P]],MATCH(Table5[[#This Row],[PID]],Batters[[#All],[PID]],0)),INDEX(Table3[[#All],[MOV P]],MATCH(Table5[[#This Row],[PID]],Table3[[#All],[PID]],0)))</f>
        <v>2</v>
      </c>
      <c r="N1181" s="58">
        <f>IF($C1181="B",INDEX(Batters[[#All],[POW P]],MATCH(Table5[[#This Row],[PID]],Batters[[#All],[PID]],0)),INDEX(Table3[[#All],[CON P]],MATCH(Table5[[#This Row],[PID]],Table3[[#All],[PID]],0)))</f>
        <v>2</v>
      </c>
      <c r="O1181" s="58" t="str">
        <f>IF($C1181="B",INDEX(Batters[[#All],[EYE P]],MATCH(Table5[[#This Row],[PID]],Batters[[#All],[PID]],0)),INDEX(Table3[[#All],[VELO]],MATCH(Table5[[#This Row],[PID]],Table3[[#All],[PID]],0)))</f>
        <v>88-90 Mph</v>
      </c>
      <c r="P1181" s="58">
        <f>IF($C1181="B",INDEX(Batters[[#All],[K P]],MATCH(Table5[[#This Row],[PID]],Batters[[#All],[PID]],0)),INDEX(Table3[[#All],[STM]],MATCH(Table5[[#This Row],[PID]],Table3[[#All],[PID]],0)))</f>
        <v>8</v>
      </c>
      <c r="Q1181" s="63">
        <f>IF($C1181="B",INDEX(Batters[[#All],[Tot]],MATCH(Table5[[#This Row],[PID]],Batters[[#All],[PID]],0)),INDEX(Table3[[#All],[Tot]],MATCH(Table5[[#This Row],[PID]],Table3[[#All],[PID]],0)))</f>
        <v>15.854463136217525</v>
      </c>
      <c r="R1181" s="54">
        <f>IF($C1181="B",INDEX(Batters[[#All],[zScore]],MATCH(Table5[[#This Row],[PID]],Batters[[#All],[PID]],0)),INDEX(Table3[[#All],[zScore]],MATCH(Table5[[#This Row],[PID]],Table3[[#All],[PID]],0)))</f>
        <v>-1.5468482281661946</v>
      </c>
      <c r="S1181" s="60" t="str">
        <f>IF($C1181="B",INDEX(Batters[[#All],[DEM]],MATCH(Table5[[#This Row],[PID]],Batters[[#All],[PID]],0)),INDEX(Table3[[#All],[DEM]],MATCH(Table5[[#This Row],[PID]],Table3[[#All],[PID]],0)))</f>
        <v>$47k</v>
      </c>
      <c r="T1181" s="64" t="e">
        <f>IF($C1181="B",VLOOKUP($A1181,Bat!$A$4:$AU$1417,46,FALSE),VLOOKUP($A1181,Pit!$A$4:$BD$570,55,FALSE))</f>
        <v>#N/A</v>
      </c>
      <c r="U1181" s="52" t="e">
        <f>IF($C1181="B",VLOOKUP($A1181,Bat!$A$4:$BA$1417,47,FALSE),VLOOKUP($A1181,Pit!$A$4:$BF$570,56,FALSE))</f>
        <v>#N/A</v>
      </c>
      <c r="V1181" s="52" t="e">
        <f>IF($C1181="B",VLOOKUP($A1181,Bat!$A$4:$BA$1417,48,FALSE),VLOOKUP($A1181,Pit!$A$4:$BF$570,57,FALSE))</f>
        <v>#N/A</v>
      </c>
      <c r="W1181" s="52" t="e">
        <f>Table5[[#This Row],[posRnk]]+Table5[[#This Row],[zRnk]]+IF($W$3&lt;&gt;Table5[[#This Row],[Type]],50,0)</f>
        <v>#N/A</v>
      </c>
      <c r="X1181" s="53">
        <f>RANK(Table5[[#This Row],[zScore]],Table5[[#All],[zScore]])</f>
        <v>1177</v>
      </c>
      <c r="Y1181" s="52" t="str">
        <f>IFERROR(INDEX(DraftResults[[#All],[OVR]],MATCH(Table5[[#This Row],[PID]],DraftResults[[#All],[Player ID]],0)),"")</f>
        <v/>
      </c>
      <c r="Z11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1" s="52" t="str">
        <f>IFERROR(INDEX(DraftResults[[#All],[Pick in Round]],MATCH(Table5[[#This Row],[PID]],DraftResults[[#All],[Player ID]],0)),"")</f>
        <v/>
      </c>
      <c r="AB1181" s="52" t="str">
        <f>IFERROR(INDEX(DraftResults[[#All],[Team Name]],MATCH(Table5[[#This Row],[PID]],DraftResults[[#All],[Player ID]],0)),"")</f>
        <v/>
      </c>
      <c r="AC1181" s="52" t="str">
        <f>IF(Table5[[#This Row],[Ovr]]="","",IF(Table5[[#This Row],[cmbList]]="","",Table5[[#This Row],[cmbList]]-Table5[[#This Row],[Ovr]]))</f>
        <v/>
      </c>
      <c r="AD1181" s="56" t="str">
        <f>IF(ISERROR(VLOOKUP($AB1181&amp;"-"&amp;$E1181&amp;" "&amp;F1181,Bonuses!$B$1:$G$1006,4,FALSE)),"",INT(VLOOKUP($AB1181&amp;"-"&amp;$E1181&amp;" "&amp;$F1181,Bonuses!$B$1:$G$1006,4,FALSE)))</f>
        <v/>
      </c>
      <c r="AE11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2" spans="1:31" s="8" customFormat="1" x14ac:dyDescent="0.25">
      <c r="A1182" s="52">
        <v>13199</v>
      </c>
      <c r="B1182" s="57">
        <f>COUNTIF(Table5[PID],A1182)</f>
        <v>1</v>
      </c>
      <c r="C1182" s="57" t="str">
        <f>IF(COUNTIF(Table3[[#All],[PID]],A1182)&gt;0,"P","B")</f>
        <v>B</v>
      </c>
      <c r="D1182" s="61" t="str">
        <f>IF($C1182="B",INDEX(Batters[[#All],[POS]],MATCH(Table5[[#This Row],[PID]],Batters[[#All],[PID]],0)),INDEX(Table3[[#All],[POS]],MATCH(Table5[[#This Row],[PID]],Table3[[#All],[PID]],0)))</f>
        <v>SS</v>
      </c>
      <c r="E1182" s="54" t="str">
        <f>IF($C1182="B",INDEX(Batters[[#All],[First]],MATCH(Table5[[#This Row],[PID]],Batters[[#All],[PID]],0)),INDEX(Table3[[#All],[First]],MATCH(Table5[[#This Row],[PID]],Table3[[#All],[PID]],0)))</f>
        <v>Dwight</v>
      </c>
      <c r="F1182" s="52" t="str">
        <f>IF($C1182="B",INDEX(Batters[[#All],[Last]],MATCH(A1182,Batters[[#All],[PID]],0)),INDEX(Table3[[#All],[Last]],MATCH(A1182,Table3[[#All],[PID]],0)))</f>
        <v>Buys</v>
      </c>
      <c r="G1182" s="58">
        <f>IF($C1182="B",INDEX(Batters[[#All],[Age]],MATCH(Table5[[#This Row],[PID]],Batters[[#All],[PID]],0)),INDEX(Table3[[#All],[Age]],MATCH(Table5[[#This Row],[PID]],Table3[[#All],[PID]],0)))</f>
        <v>22</v>
      </c>
      <c r="H1182" s="54" t="str">
        <f>IF($C1182="B",INDEX(Batters[[#All],[B]],MATCH(Table5[[#This Row],[PID]],Batters[[#All],[PID]],0)),INDEX(Table3[[#All],[B]],MATCH(Table5[[#This Row],[PID]],Table3[[#All],[PID]],0)))</f>
        <v>L</v>
      </c>
      <c r="I1182" s="54" t="str">
        <f>IF($C1182="B",INDEX(Batters[[#All],[T]],MATCH(Table5[[#This Row],[PID]],Batters[[#All],[PID]],0)),INDEX(Table3[[#All],[T]],MATCH(Table5[[#This Row],[PID]],Table3[[#All],[PID]],0)))</f>
        <v>R</v>
      </c>
      <c r="J1182" s="54" t="str">
        <f>IF($C1182="B",INDEX(Batters[[#All],[WE]],MATCH(Table5[[#This Row],[PID]],Batters[[#All],[PID]],0)),INDEX(Table3[[#All],[WE]],MATCH(Table5[[#This Row],[PID]],Table3[[#All],[PID]],0)))</f>
        <v>Low</v>
      </c>
      <c r="K1182" s="54" t="str">
        <f>IF($C1182="B",INDEX(Batters[[#All],[INT]],MATCH(Table5[[#This Row],[PID]],Batters[[#All],[PID]],0)),INDEX(Table3[[#All],[INT]],MATCH(Table5[[#This Row],[PID]],Table3[[#All],[PID]],0)))</f>
        <v>Normal</v>
      </c>
      <c r="L1182" s="62">
        <f>IF($C1182="B",INDEX(Batters[[#All],[CON P]],MATCH(Table5[[#This Row],[PID]],Batters[[#All],[PID]],0)),INDEX(Table3[[#All],[STU P]],MATCH(Table5[[#This Row],[PID]],Table3[[#All],[PID]],0)))</f>
        <v>2</v>
      </c>
      <c r="M1182" s="58">
        <f>IF($C1182="B",INDEX(Batters[[#All],[GAP P]],MATCH(Table5[[#This Row],[PID]],Batters[[#All],[PID]],0)),INDEX(Table3[[#All],[MOV P]],MATCH(Table5[[#This Row],[PID]],Table3[[#All],[PID]],0)))</f>
        <v>2</v>
      </c>
      <c r="N1182" s="58">
        <f>IF($C1182="B",INDEX(Batters[[#All],[POW P]],MATCH(Table5[[#This Row],[PID]],Batters[[#All],[PID]],0)),INDEX(Table3[[#All],[CON P]],MATCH(Table5[[#This Row],[PID]],Table3[[#All],[PID]],0)))</f>
        <v>3</v>
      </c>
      <c r="O1182" s="58">
        <f>IF($C1182="B",INDEX(Batters[[#All],[EYE P]],MATCH(Table5[[#This Row],[PID]],Batters[[#All],[PID]],0)),INDEX(Table3[[#All],[VELO]],MATCH(Table5[[#This Row],[PID]],Table3[[#All],[PID]],0)))</f>
        <v>4</v>
      </c>
      <c r="P1182" s="58">
        <f>IF($C1182="B",INDEX(Batters[[#All],[K P]],MATCH(Table5[[#This Row],[PID]],Batters[[#All],[PID]],0)),INDEX(Table3[[#All],[STM]],MATCH(Table5[[#This Row],[PID]],Table3[[#All],[PID]],0)))</f>
        <v>3</v>
      </c>
      <c r="Q1182" s="63">
        <f>IF($C1182="B",INDEX(Batters[[#All],[Tot]],MATCH(Table5[[#This Row],[PID]],Batters[[#All],[PID]],0)),INDEX(Table3[[#All],[Tot]],MATCH(Table5[[#This Row],[PID]],Table3[[#All],[PID]],0)))</f>
        <v>31.542084479811088</v>
      </c>
      <c r="R1182" s="54">
        <f>IF($C1182="B",INDEX(Batters[[#All],[zScore]],MATCH(Table5[[#This Row],[PID]],Batters[[#All],[PID]],0)),INDEX(Table3[[#All],[zScore]],MATCH(Table5[[#This Row],[PID]],Table3[[#All],[PID]],0)))</f>
        <v>-1.54938583001625</v>
      </c>
      <c r="S1182" s="60" t="str">
        <f>IF($C1182="B",INDEX(Batters[[#All],[DEM]],MATCH(Table5[[#This Row],[PID]],Batters[[#All],[PID]],0)),INDEX(Table3[[#All],[DEM]],MATCH(Table5[[#This Row],[PID]],Table3[[#All],[PID]],0)))</f>
        <v>-</v>
      </c>
      <c r="T1182" s="64">
        <f>IF($C1182="B",VLOOKUP($A1182,Bat!$A$4:$AU$1417,46,FALSE),VLOOKUP($A1182,Pit!$A$4:$BD$570,55,FALSE))</f>
        <v>0</v>
      </c>
      <c r="U1182" s="52">
        <f>IF($C1182="B",VLOOKUP($A1182,Bat!$A$4:$BA$1417,47,FALSE),VLOOKUP($A1182,Pit!$A$4:$BF$570,56,FALSE))</f>
        <v>0</v>
      </c>
      <c r="V1182" s="52">
        <f>IF($C1182="B",VLOOKUP($A1182,Bat!$A$4:$BA$1417,48,FALSE),VLOOKUP($A1182,Pit!$A$4:$BF$570,57,FALSE))</f>
        <v>0</v>
      </c>
      <c r="W1182" s="52">
        <f>Table5[[#This Row],[posRnk]]+Table5[[#This Row],[zRnk]]+IF($W$3&lt;&gt;Table5[[#This Row],[Type]],50,0)</f>
        <v>1228</v>
      </c>
      <c r="X1182" s="53">
        <f>RANK(Table5[[#This Row],[zScore]],Table5[[#All],[zScore]])</f>
        <v>1178</v>
      </c>
      <c r="Y1182" s="52" t="str">
        <f>IFERROR(INDEX(DraftResults[[#All],[OVR]],MATCH(Table5[[#This Row],[PID]],DraftResults[[#All],[Player ID]],0)),"")</f>
        <v/>
      </c>
      <c r="Z11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2" s="52" t="str">
        <f>IFERROR(INDEX(DraftResults[[#All],[Pick in Round]],MATCH(Table5[[#This Row],[PID]],DraftResults[[#All],[Player ID]],0)),"")</f>
        <v/>
      </c>
      <c r="AB1182" s="52" t="str">
        <f>IFERROR(INDEX(DraftResults[[#All],[Team Name]],MATCH(Table5[[#This Row],[PID]],DraftResults[[#All],[Player ID]],0)),"")</f>
        <v/>
      </c>
      <c r="AC1182" s="52" t="str">
        <f>IF(Table5[[#This Row],[Ovr]]="","",IF(Table5[[#This Row],[cmbList]]="","",Table5[[#This Row],[cmbList]]-Table5[[#This Row],[Ovr]]))</f>
        <v/>
      </c>
      <c r="AD1182" s="56" t="str">
        <f>IF(ISERROR(VLOOKUP($AB1182&amp;"-"&amp;$E1182&amp;" "&amp;F1182,Bonuses!$B$1:$G$1006,4,FALSE)),"",INT(VLOOKUP($AB1182&amp;"-"&amp;$E1182&amp;" "&amp;$F1182,Bonuses!$B$1:$G$1006,4,FALSE)))</f>
        <v/>
      </c>
      <c r="AE11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3" spans="1:31" s="8" customFormat="1" x14ac:dyDescent="0.25">
      <c r="A1183" s="52">
        <v>15227</v>
      </c>
      <c r="B1183" s="52">
        <f>COUNTIF(Table5[PID],A1183)</f>
        <v>1</v>
      </c>
      <c r="C1183" s="52" t="str">
        <f>IF(COUNTIF(Table3[[#All],[PID]],A1183)&gt;0,"P","B")</f>
        <v>P</v>
      </c>
      <c r="D1183" s="61" t="str">
        <f>IF($C1183="B",INDEX(Batters[[#All],[POS]],MATCH(Table5[[#This Row],[PID]],Batters[[#All],[PID]],0)),INDEX(Table3[[#All],[POS]],MATCH(Table5[[#This Row],[PID]],Table3[[#All],[PID]],0)))</f>
        <v>RP</v>
      </c>
      <c r="E1183" s="54" t="str">
        <f>IF($C1183="B",INDEX(Batters[[#All],[First]],MATCH(Table5[[#This Row],[PID]],Batters[[#All],[PID]],0)),INDEX(Table3[[#All],[First]],MATCH(Table5[[#This Row],[PID]],Table3[[#All],[PID]],0)))</f>
        <v>Oniji</v>
      </c>
      <c r="F1183" s="52" t="str">
        <f>IF($C1183="B",INDEX(Batters[[#All],[Last]],MATCH(A1183,Batters[[#All],[PID]],0)),INDEX(Table3[[#All],[Last]],MATCH(A1183,Table3[[#All],[PID]],0)))</f>
        <v>Suzuki</v>
      </c>
      <c r="G1183" s="58">
        <f>IF($C1183="B",INDEX(Batters[[#All],[Age]],MATCH(Table5[[#This Row],[PID]],Batters[[#All],[PID]],0)),INDEX(Table3[[#All],[Age]],MATCH(Table5[[#This Row],[PID]],Table3[[#All],[PID]],0)))</f>
        <v>21</v>
      </c>
      <c r="H1183" s="54" t="str">
        <f>IF($C1183="B",INDEX(Batters[[#All],[B]],MATCH(Table5[[#This Row],[PID]],Batters[[#All],[PID]],0)),INDEX(Table3[[#All],[B]],MATCH(Table5[[#This Row],[PID]],Table3[[#All],[PID]],0)))</f>
        <v>R</v>
      </c>
      <c r="I1183" s="54" t="str">
        <f>IF($C1183="B",INDEX(Batters[[#All],[T]],MATCH(Table5[[#This Row],[PID]],Batters[[#All],[PID]],0)),INDEX(Table3[[#All],[T]],MATCH(Table5[[#This Row],[PID]],Table3[[#All],[PID]],0)))</f>
        <v>R</v>
      </c>
      <c r="J1183" s="54" t="str">
        <f>IF($C1183="B",INDEX(Batters[[#All],[WE]],MATCH(Table5[[#This Row],[PID]],Batters[[#All],[PID]],0)),INDEX(Table3[[#All],[WE]],MATCH(Table5[[#This Row],[PID]],Table3[[#All],[PID]],0)))</f>
        <v>Normal</v>
      </c>
      <c r="K1183" s="54" t="str">
        <f>IF($C1183="B",INDEX(Batters[[#All],[INT]],MATCH(Table5[[#This Row],[PID]],Batters[[#All],[PID]],0)),INDEX(Table3[[#All],[INT]],MATCH(Table5[[#This Row],[PID]],Table3[[#All],[PID]],0)))</f>
        <v>Normal</v>
      </c>
      <c r="L1183" s="62">
        <f>IF($C1183="B",INDEX(Batters[[#All],[CON P]],MATCH(Table5[[#This Row],[PID]],Batters[[#All],[PID]],0)),INDEX(Table3[[#All],[STU P]],MATCH(Table5[[#This Row],[PID]],Table3[[#All],[PID]],0)))</f>
        <v>4</v>
      </c>
      <c r="M1183" s="58">
        <f>IF($C1183="B",INDEX(Batters[[#All],[GAP P]],MATCH(Table5[[#This Row],[PID]],Batters[[#All],[PID]],0)),INDEX(Table3[[#All],[MOV P]],MATCH(Table5[[#This Row],[PID]],Table3[[#All],[PID]],0)))</f>
        <v>1</v>
      </c>
      <c r="N1183" s="58">
        <f>IF($C1183="B",INDEX(Batters[[#All],[POW P]],MATCH(Table5[[#This Row],[PID]],Batters[[#All],[PID]],0)),INDEX(Table3[[#All],[CON P]],MATCH(Table5[[#This Row],[PID]],Table3[[#All],[PID]],0)))</f>
        <v>2</v>
      </c>
      <c r="O1183" s="58" t="str">
        <f>IF($C1183="B",INDEX(Batters[[#All],[EYE P]],MATCH(Table5[[#This Row],[PID]],Batters[[#All],[PID]],0)),INDEX(Table3[[#All],[VELO]],MATCH(Table5[[#This Row],[PID]],Table3[[#All],[PID]],0)))</f>
        <v>86-88 Mph</v>
      </c>
      <c r="P1183" s="58">
        <f>IF($C1183="B",INDEX(Batters[[#All],[K P]],MATCH(Table5[[#This Row],[PID]],Batters[[#All],[PID]],0)),INDEX(Table3[[#All],[STM]],MATCH(Table5[[#This Row],[PID]],Table3[[#All],[PID]],0)))</f>
        <v>2</v>
      </c>
      <c r="Q1183" s="63">
        <f>IF($C1183="B",INDEX(Batters[[#All],[Tot]],MATCH(Table5[[#This Row],[PID]],Batters[[#All],[PID]],0)),INDEX(Table3[[#All],[Tot]],MATCH(Table5[[#This Row],[PID]],Table3[[#All],[PID]],0)))</f>
        <v>15.817698936230954</v>
      </c>
      <c r="R1183" s="54">
        <f>IF($C1183="B",INDEX(Batters[[#All],[zScore]],MATCH(Table5[[#This Row],[PID]],Batters[[#All],[PID]],0)),INDEX(Table3[[#All],[zScore]],MATCH(Table5[[#This Row],[PID]],Table3[[#All],[PID]],0)))</f>
        <v>-1.5502196624384565</v>
      </c>
      <c r="S1183" s="60" t="str">
        <f>IF($C1183="B",INDEX(Batters[[#All],[DEM]],MATCH(Table5[[#This Row],[PID]],Batters[[#All],[PID]],0)),INDEX(Table3[[#All],[DEM]],MATCH(Table5[[#This Row],[PID]],Table3[[#All],[PID]],0)))</f>
        <v>$20k</v>
      </c>
      <c r="T1183" s="64" t="e">
        <f>IF($C1183="B",VLOOKUP($A1183,Bat!$A$4:$AU$1417,46,FALSE),VLOOKUP($A1183,Pit!$A$4:$BD$570,55,FALSE))</f>
        <v>#N/A</v>
      </c>
      <c r="U1183" s="52" t="e">
        <f>IF($C1183="B",VLOOKUP($A1183,Bat!$A$4:$BA$1417,47,FALSE),VLOOKUP($A1183,Pit!$A$4:$BF$570,56,FALSE))</f>
        <v>#N/A</v>
      </c>
      <c r="V1183" s="52" t="e">
        <f>IF($C1183="B",VLOOKUP($A1183,Bat!$A$4:$BA$1417,48,FALSE),VLOOKUP($A1183,Pit!$A$4:$BF$570,57,FALSE))</f>
        <v>#N/A</v>
      </c>
      <c r="W1183" s="52" t="e">
        <f>Table5[[#This Row],[posRnk]]+Table5[[#This Row],[zRnk]]+IF($W$3&lt;&gt;Table5[[#This Row],[Type]],50,0)</f>
        <v>#N/A</v>
      </c>
      <c r="X1183" s="53">
        <f>RANK(Table5[[#This Row],[zScore]],Table5[[#All],[zScore]])</f>
        <v>1179</v>
      </c>
      <c r="Y1183" s="52" t="str">
        <f>IFERROR(INDEX(DraftResults[[#All],[OVR]],MATCH(Table5[[#This Row],[PID]],DraftResults[[#All],[Player ID]],0)),"")</f>
        <v/>
      </c>
      <c r="Z11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3" s="52" t="str">
        <f>IFERROR(INDEX(DraftResults[[#All],[Pick in Round]],MATCH(Table5[[#This Row],[PID]],DraftResults[[#All],[Player ID]],0)),"")</f>
        <v/>
      </c>
      <c r="AB1183" s="52" t="str">
        <f>IFERROR(INDEX(DraftResults[[#All],[Team Name]],MATCH(Table5[[#This Row],[PID]],DraftResults[[#All],[Player ID]],0)),"")</f>
        <v/>
      </c>
      <c r="AC1183" s="52" t="str">
        <f>IF(Table5[[#This Row],[Ovr]]="","",IF(Table5[[#This Row],[cmbList]]="","",Table5[[#This Row],[cmbList]]-Table5[[#This Row],[Ovr]]))</f>
        <v/>
      </c>
      <c r="AD1183" s="56" t="str">
        <f>IF(ISERROR(VLOOKUP($AB1183&amp;"-"&amp;$E1183&amp;" "&amp;F1183,Bonuses!$B$1:$G$1006,4,FALSE)),"",INT(VLOOKUP($AB1183&amp;"-"&amp;$E1183&amp;" "&amp;$F1183,Bonuses!$B$1:$G$1006,4,FALSE)))</f>
        <v/>
      </c>
      <c r="AE11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4" spans="1:31" s="8" customFormat="1" x14ac:dyDescent="0.25">
      <c r="A1184" s="52">
        <v>8568</v>
      </c>
      <c r="B1184" s="52">
        <f>COUNTIF(Table5[PID],A1184)</f>
        <v>1</v>
      </c>
      <c r="C1184" s="52" t="str">
        <f>IF(COUNTIF(Table3[[#All],[PID]],A1184)&gt;0,"P","B")</f>
        <v>B</v>
      </c>
      <c r="D1184" s="61" t="str">
        <f>IF($C1184="B",INDEX(Batters[[#All],[POS]],MATCH(Table5[[#This Row],[PID]],Batters[[#All],[PID]],0)),INDEX(Table3[[#All],[POS]],MATCH(Table5[[#This Row],[PID]],Table3[[#All],[PID]],0)))</f>
        <v>1B</v>
      </c>
      <c r="E1184" s="54" t="str">
        <f>IF($C1184="B",INDEX(Batters[[#All],[First]],MATCH(Table5[[#This Row],[PID]],Batters[[#All],[PID]],0)),INDEX(Table3[[#All],[First]],MATCH(Table5[[#This Row],[PID]],Table3[[#All],[PID]],0)))</f>
        <v>Raúl</v>
      </c>
      <c r="F1184" s="52" t="str">
        <f>IF($C1184="B",INDEX(Batters[[#All],[Last]],MATCH(A1184,Batters[[#All],[PID]],0)),INDEX(Table3[[#All],[Last]],MATCH(A1184,Table3[[#All],[PID]],0)))</f>
        <v>Beltrán</v>
      </c>
      <c r="G1184" s="58">
        <f>IF($C1184="B",INDEX(Batters[[#All],[Age]],MATCH(Table5[[#This Row],[PID]],Batters[[#All],[PID]],0)),INDEX(Table3[[#All],[Age]],MATCH(Table5[[#This Row],[PID]],Table3[[#All],[PID]],0)))</f>
        <v>22</v>
      </c>
      <c r="H1184" s="54" t="str">
        <f>IF($C1184="B",INDEX(Batters[[#All],[B]],MATCH(Table5[[#This Row],[PID]],Batters[[#All],[PID]],0)),INDEX(Table3[[#All],[B]],MATCH(Table5[[#This Row],[PID]],Table3[[#All],[PID]],0)))</f>
        <v>S</v>
      </c>
      <c r="I1184" s="54" t="str">
        <f>IF($C1184="B",INDEX(Batters[[#All],[T]],MATCH(Table5[[#This Row],[PID]],Batters[[#All],[PID]],0)),INDEX(Table3[[#All],[T]],MATCH(Table5[[#This Row],[PID]],Table3[[#All],[PID]],0)))</f>
        <v>R</v>
      </c>
      <c r="J1184" s="54" t="str">
        <f>IF($C1184="B",INDEX(Batters[[#All],[WE]],MATCH(Table5[[#This Row],[PID]],Batters[[#All],[PID]],0)),INDEX(Table3[[#All],[WE]],MATCH(Table5[[#This Row],[PID]],Table3[[#All],[PID]],0)))</f>
        <v>High</v>
      </c>
      <c r="K1184" s="54" t="str">
        <f>IF($C1184="B",INDEX(Batters[[#All],[INT]],MATCH(Table5[[#This Row],[PID]],Batters[[#All],[PID]],0)),INDEX(Table3[[#All],[INT]],MATCH(Table5[[#This Row],[PID]],Table3[[#All],[PID]],0)))</f>
        <v>Low</v>
      </c>
      <c r="L1184" s="62">
        <f>IF($C1184="B",INDEX(Batters[[#All],[CON P]],MATCH(Table5[[#This Row],[PID]],Batters[[#All],[PID]],0)),INDEX(Table3[[#All],[STU P]],MATCH(Table5[[#This Row],[PID]],Table3[[#All],[PID]],0)))</f>
        <v>3</v>
      </c>
      <c r="M1184" s="58">
        <f>IF($C1184="B",INDEX(Batters[[#All],[GAP P]],MATCH(Table5[[#This Row],[PID]],Batters[[#All],[PID]],0)),INDEX(Table3[[#All],[MOV P]],MATCH(Table5[[#This Row],[PID]],Table3[[#All],[PID]],0)))</f>
        <v>3</v>
      </c>
      <c r="N1184" s="58">
        <f>IF($C1184="B",INDEX(Batters[[#All],[POW P]],MATCH(Table5[[#This Row],[PID]],Batters[[#All],[PID]],0)),INDEX(Table3[[#All],[CON P]],MATCH(Table5[[#This Row],[PID]],Table3[[#All],[PID]],0)))</f>
        <v>2</v>
      </c>
      <c r="O1184" s="58">
        <f>IF($C1184="B",INDEX(Batters[[#All],[EYE P]],MATCH(Table5[[#This Row],[PID]],Batters[[#All],[PID]],0)),INDEX(Table3[[#All],[VELO]],MATCH(Table5[[#This Row],[PID]],Table3[[#All],[PID]],0)))</f>
        <v>1</v>
      </c>
      <c r="P1184" s="58">
        <f>IF($C1184="B",INDEX(Batters[[#All],[K P]],MATCH(Table5[[#This Row],[PID]],Batters[[#All],[PID]],0)),INDEX(Table3[[#All],[STM]],MATCH(Table5[[#This Row],[PID]],Table3[[#All],[PID]],0)))</f>
        <v>4</v>
      </c>
      <c r="Q1184" s="63">
        <f>IF($C1184="B",INDEX(Batters[[#All],[Tot]],MATCH(Table5[[#This Row],[PID]],Batters[[#All],[PID]],0)),INDEX(Table3[[#All],[Tot]],MATCH(Table5[[#This Row],[PID]],Table3[[#All],[PID]],0)))</f>
        <v>31.463324151429386</v>
      </c>
      <c r="R1184" s="54">
        <f>IF($C1184="B",INDEX(Batters[[#All],[zScore]],MATCH(Table5[[#This Row],[PID]],Batters[[#All],[PID]],0)),INDEX(Table3[[#All],[zScore]],MATCH(Table5[[#This Row],[PID]],Table3[[#All],[PID]],0)))</f>
        <v>-1.5632431863299736</v>
      </c>
      <c r="S1184" s="60" t="str">
        <f>IF($C1184="B",INDEX(Batters[[#All],[DEM]],MATCH(Table5[[#This Row],[PID]],Batters[[#All],[PID]],0)),INDEX(Table3[[#All],[DEM]],MATCH(Table5[[#This Row],[PID]],Table3[[#All],[PID]],0)))</f>
        <v>-</v>
      </c>
      <c r="T1184" s="64">
        <f>IF($C1184="B",VLOOKUP($A1184,Bat!$A$4:$AU$1417,46,FALSE),VLOOKUP($A1184,Pit!$A$4:$BD$570,55,FALSE))</f>
        <v>0</v>
      </c>
      <c r="U1184" s="52">
        <f>IF($C1184="B",VLOOKUP($A1184,Bat!$A$4:$BA$1417,47,FALSE),VLOOKUP($A1184,Pit!$A$4:$BF$570,56,FALSE))</f>
        <v>0</v>
      </c>
      <c r="V1184" s="52">
        <f>IF($C1184="B",VLOOKUP($A1184,Bat!$A$4:$BA$1417,48,FALSE),VLOOKUP($A1184,Pit!$A$4:$BF$570,57,FALSE))</f>
        <v>0</v>
      </c>
      <c r="W1184" s="52">
        <f>Table5[[#This Row],[posRnk]]+Table5[[#This Row],[zRnk]]+IF($W$3&lt;&gt;Table5[[#This Row],[Type]],50,0)</f>
        <v>1230</v>
      </c>
      <c r="X1184" s="53">
        <f>RANK(Table5[[#This Row],[zScore]],Table5[[#All],[zScore]])</f>
        <v>1180</v>
      </c>
      <c r="Y1184" s="52" t="str">
        <f>IFERROR(INDEX(DraftResults[[#All],[OVR]],MATCH(Table5[[#This Row],[PID]],DraftResults[[#All],[Player ID]],0)),"")</f>
        <v/>
      </c>
      <c r="Z11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4" s="52" t="str">
        <f>IFERROR(INDEX(DraftResults[[#All],[Pick in Round]],MATCH(Table5[[#This Row],[PID]],DraftResults[[#All],[Player ID]],0)),"")</f>
        <v/>
      </c>
      <c r="AB1184" s="52" t="str">
        <f>IFERROR(INDEX(DraftResults[[#All],[Team Name]],MATCH(Table5[[#This Row],[PID]],DraftResults[[#All],[Player ID]],0)),"")</f>
        <v/>
      </c>
      <c r="AC1184" s="52" t="str">
        <f>IF(Table5[[#This Row],[Ovr]]="","",IF(Table5[[#This Row],[cmbList]]="","",Table5[[#This Row],[cmbList]]-Table5[[#This Row],[Ovr]]))</f>
        <v/>
      </c>
      <c r="AD1184" s="56" t="str">
        <f>IF(ISERROR(VLOOKUP($AB1184&amp;"-"&amp;$E1184&amp;" "&amp;F1184,Bonuses!$B$1:$G$1006,4,FALSE)),"",INT(VLOOKUP($AB1184&amp;"-"&amp;$E1184&amp;" "&amp;$F1184,Bonuses!$B$1:$G$1006,4,FALSE)))</f>
        <v/>
      </c>
      <c r="AE11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5" spans="1:31" s="8" customFormat="1" x14ac:dyDescent="0.25">
      <c r="A1185" s="52">
        <v>18051</v>
      </c>
      <c r="B1185" s="52">
        <f>COUNTIF(Table5[PID],A1185)</f>
        <v>1</v>
      </c>
      <c r="C1185" s="52" t="str">
        <f>IF(COUNTIF(Table3[[#All],[PID]],A1185)&gt;0,"P","B")</f>
        <v>B</v>
      </c>
      <c r="D1185" s="61" t="str">
        <f>IF($C1185="B",INDEX(Batters[[#All],[POS]],MATCH(Table5[[#This Row],[PID]],Batters[[#All],[PID]],0)),INDEX(Table3[[#All],[POS]],MATCH(Table5[[#This Row],[PID]],Table3[[#All],[PID]],0)))</f>
        <v>C</v>
      </c>
      <c r="E1185" s="54" t="str">
        <f>IF($C1185="B",INDEX(Batters[[#All],[First]],MATCH(Table5[[#This Row],[PID]],Batters[[#All],[PID]],0)),INDEX(Table3[[#All],[First]],MATCH(Table5[[#This Row],[PID]],Table3[[#All],[PID]],0)))</f>
        <v>Gerald</v>
      </c>
      <c r="F1185" s="52" t="str">
        <f>IF($C1185="B",INDEX(Batters[[#All],[Last]],MATCH(A1185,Batters[[#All],[PID]],0)),INDEX(Table3[[#All],[Last]],MATCH(A1185,Table3[[#All],[PID]],0)))</f>
        <v>Payne</v>
      </c>
      <c r="G1185" s="58">
        <f>IF($C1185="B",INDEX(Batters[[#All],[Age]],MATCH(Table5[[#This Row],[PID]],Batters[[#All],[PID]],0)),INDEX(Table3[[#All],[Age]],MATCH(Table5[[#This Row],[PID]],Table3[[#All],[PID]],0)))</f>
        <v>21</v>
      </c>
      <c r="H1185" s="54" t="str">
        <f>IF($C1185="B",INDEX(Batters[[#All],[B]],MATCH(Table5[[#This Row],[PID]],Batters[[#All],[PID]],0)),INDEX(Table3[[#All],[B]],MATCH(Table5[[#This Row],[PID]],Table3[[#All],[PID]],0)))</f>
        <v>L</v>
      </c>
      <c r="I1185" s="54" t="str">
        <f>IF($C1185="B",INDEX(Batters[[#All],[T]],MATCH(Table5[[#This Row],[PID]],Batters[[#All],[PID]],0)),INDEX(Table3[[#All],[T]],MATCH(Table5[[#This Row],[PID]],Table3[[#All],[PID]],0)))</f>
        <v>R</v>
      </c>
      <c r="J1185" s="54" t="str">
        <f>IF($C1185="B",INDEX(Batters[[#All],[WE]],MATCH(Table5[[#This Row],[PID]],Batters[[#All],[PID]],0)),INDEX(Table3[[#All],[WE]],MATCH(Table5[[#This Row],[PID]],Table3[[#All],[PID]],0)))</f>
        <v>Low</v>
      </c>
      <c r="K1185" s="54" t="str">
        <f>IF($C1185="B",INDEX(Batters[[#All],[INT]],MATCH(Table5[[#This Row],[PID]],Batters[[#All],[PID]],0)),INDEX(Table3[[#All],[INT]],MATCH(Table5[[#This Row],[PID]],Table3[[#All],[PID]],0)))</f>
        <v>Normal</v>
      </c>
      <c r="L1185" s="62">
        <f>IF($C1185="B",INDEX(Batters[[#All],[CON P]],MATCH(Table5[[#This Row],[PID]],Batters[[#All],[PID]],0)),INDEX(Table3[[#All],[STU P]],MATCH(Table5[[#This Row],[PID]],Table3[[#All],[PID]],0)))</f>
        <v>2</v>
      </c>
      <c r="M1185" s="58">
        <f>IF($C1185="B",INDEX(Batters[[#All],[GAP P]],MATCH(Table5[[#This Row],[PID]],Batters[[#All],[PID]],0)),INDEX(Table3[[#All],[MOV P]],MATCH(Table5[[#This Row],[PID]],Table3[[#All],[PID]],0)))</f>
        <v>3</v>
      </c>
      <c r="N1185" s="58">
        <f>IF($C1185="B",INDEX(Batters[[#All],[POW P]],MATCH(Table5[[#This Row],[PID]],Batters[[#All],[PID]],0)),INDEX(Table3[[#All],[CON P]],MATCH(Table5[[#This Row],[PID]],Table3[[#All],[PID]],0)))</f>
        <v>3</v>
      </c>
      <c r="O1185" s="58">
        <f>IF($C1185="B",INDEX(Batters[[#All],[EYE P]],MATCH(Table5[[#This Row],[PID]],Batters[[#All],[PID]],0)),INDEX(Table3[[#All],[VELO]],MATCH(Table5[[#This Row],[PID]],Table3[[#All],[PID]],0)))</f>
        <v>4</v>
      </c>
      <c r="P1185" s="58">
        <f>IF($C1185="B",INDEX(Batters[[#All],[K P]],MATCH(Table5[[#This Row],[PID]],Batters[[#All],[PID]],0)),INDEX(Table3[[#All],[STM]],MATCH(Table5[[#This Row],[PID]],Table3[[#All],[PID]],0)))</f>
        <v>2</v>
      </c>
      <c r="Q1185" s="63">
        <f>IF($C1185="B",INDEX(Batters[[#All],[Tot]],MATCH(Table5[[#This Row],[PID]],Batters[[#All],[PID]],0)),INDEX(Table3[[#All],[Tot]],MATCH(Table5[[#This Row],[PID]],Table3[[#All],[PID]],0)))</f>
        <v>31.409457588858523</v>
      </c>
      <c r="R1185" s="54">
        <f>IF($C1185="B",INDEX(Batters[[#All],[zScore]],MATCH(Table5[[#This Row],[PID]],Batters[[#All],[PID]],0)),INDEX(Table3[[#All],[zScore]],MATCH(Table5[[#This Row],[PID]],Table3[[#All],[PID]],0)))</f>
        <v>-1.5727206500008004</v>
      </c>
      <c r="S1185" s="60" t="str">
        <f>IF($C1185="B",INDEX(Batters[[#All],[DEM]],MATCH(Table5[[#This Row],[PID]],Batters[[#All],[PID]],0)),INDEX(Table3[[#All],[DEM]],MATCH(Table5[[#This Row],[PID]],Table3[[#All],[PID]],0)))</f>
        <v>-</v>
      </c>
      <c r="T1185" s="64">
        <f>IF($C1185="B",VLOOKUP($A1185,Bat!$A$4:$AU$1417,46,FALSE),VLOOKUP($A1185,Pit!$A$4:$BD$570,55,FALSE))</f>
        <v>0</v>
      </c>
      <c r="U1185" s="52">
        <f>IF($C1185="B",VLOOKUP($A1185,Bat!$A$4:$BA$1417,47,FALSE),VLOOKUP($A1185,Pit!$A$4:$BF$570,56,FALSE))</f>
        <v>0</v>
      </c>
      <c r="V1185" s="52">
        <f>IF($C1185="B",VLOOKUP($A1185,Bat!$A$4:$BA$1417,48,FALSE),VLOOKUP($A1185,Pit!$A$4:$BF$570,57,FALSE))</f>
        <v>0</v>
      </c>
      <c r="W1185" s="52">
        <f>Table5[[#This Row],[posRnk]]+Table5[[#This Row],[zRnk]]+IF($W$3&lt;&gt;Table5[[#This Row],[Type]],50,0)</f>
        <v>1231</v>
      </c>
      <c r="X1185" s="53">
        <f>RANK(Table5[[#This Row],[zScore]],Table5[[#All],[zScore]])</f>
        <v>1181</v>
      </c>
      <c r="Y1185" s="52" t="str">
        <f>IFERROR(INDEX(DraftResults[[#All],[OVR]],MATCH(Table5[[#This Row],[PID]],DraftResults[[#All],[Player ID]],0)),"")</f>
        <v/>
      </c>
      <c r="Z11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5" s="52" t="str">
        <f>IFERROR(INDEX(DraftResults[[#All],[Pick in Round]],MATCH(Table5[[#This Row],[PID]],DraftResults[[#All],[Player ID]],0)),"")</f>
        <v/>
      </c>
      <c r="AB1185" s="52" t="str">
        <f>IFERROR(INDEX(DraftResults[[#All],[Team Name]],MATCH(Table5[[#This Row],[PID]],DraftResults[[#All],[Player ID]],0)),"")</f>
        <v/>
      </c>
      <c r="AC1185" s="52" t="str">
        <f>IF(Table5[[#This Row],[Ovr]]="","",IF(Table5[[#This Row],[cmbList]]="","",Table5[[#This Row],[cmbList]]-Table5[[#This Row],[Ovr]]))</f>
        <v/>
      </c>
      <c r="AD1185" s="56" t="str">
        <f>IF(ISERROR(VLOOKUP($AB1185&amp;"-"&amp;$E1185&amp;" "&amp;F1185,Bonuses!$B$1:$G$1006,4,FALSE)),"",INT(VLOOKUP($AB1185&amp;"-"&amp;$E1185&amp;" "&amp;$F1185,Bonuses!$B$1:$G$1006,4,FALSE)))</f>
        <v/>
      </c>
      <c r="AE11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6" spans="1:31" s="8" customFormat="1" x14ac:dyDescent="0.25">
      <c r="A1186" s="52">
        <v>17810</v>
      </c>
      <c r="B1186" s="52">
        <f>COUNTIF(Table5[PID],A1186)</f>
        <v>1</v>
      </c>
      <c r="C1186" s="52" t="str">
        <f>IF(COUNTIF(Table3[[#All],[PID]],A1186)&gt;0,"P","B")</f>
        <v>B</v>
      </c>
      <c r="D1186" s="61" t="str">
        <f>IF($C1186="B",INDEX(Batters[[#All],[POS]],MATCH(Table5[[#This Row],[PID]],Batters[[#All],[PID]],0)),INDEX(Table3[[#All],[POS]],MATCH(Table5[[#This Row],[PID]],Table3[[#All],[PID]],0)))</f>
        <v>LF</v>
      </c>
      <c r="E1186" s="54" t="str">
        <f>IF($C1186="B",INDEX(Batters[[#All],[First]],MATCH(Table5[[#This Row],[PID]],Batters[[#All],[PID]],0)),INDEX(Table3[[#All],[First]],MATCH(Table5[[#This Row],[PID]],Table3[[#All],[PID]],0)))</f>
        <v>Masayoshi</v>
      </c>
      <c r="F1186" s="52" t="str">
        <f>IF($C1186="B",INDEX(Batters[[#All],[Last]],MATCH(A1186,Batters[[#All],[PID]],0)),INDEX(Table3[[#All],[Last]],MATCH(A1186,Table3[[#All],[PID]],0)))</f>
        <v>Kimura</v>
      </c>
      <c r="G1186" s="58">
        <f>IF($C1186="B",INDEX(Batters[[#All],[Age]],MATCH(Table5[[#This Row],[PID]],Batters[[#All],[PID]],0)),INDEX(Table3[[#All],[Age]],MATCH(Table5[[#This Row],[PID]],Table3[[#All],[PID]],0)))</f>
        <v>21</v>
      </c>
      <c r="H1186" s="54" t="str">
        <f>IF($C1186="B",INDEX(Batters[[#All],[B]],MATCH(Table5[[#This Row],[PID]],Batters[[#All],[PID]],0)),INDEX(Table3[[#All],[B]],MATCH(Table5[[#This Row],[PID]],Table3[[#All],[PID]],0)))</f>
        <v>R</v>
      </c>
      <c r="I1186" s="54" t="str">
        <f>IF($C1186="B",INDEX(Batters[[#All],[T]],MATCH(Table5[[#This Row],[PID]],Batters[[#All],[PID]],0)),INDEX(Table3[[#All],[T]],MATCH(Table5[[#This Row],[PID]],Table3[[#All],[PID]],0)))</f>
        <v>R</v>
      </c>
      <c r="J1186" s="54" t="str">
        <f>IF($C1186="B",INDEX(Batters[[#All],[WE]],MATCH(Table5[[#This Row],[PID]],Batters[[#All],[PID]],0)),INDEX(Table3[[#All],[WE]],MATCH(Table5[[#This Row],[PID]],Table3[[#All],[PID]],0)))</f>
        <v>Low</v>
      </c>
      <c r="K1186" s="54" t="str">
        <f>IF($C1186="B",INDEX(Batters[[#All],[INT]],MATCH(Table5[[#This Row],[PID]],Batters[[#All],[PID]],0)),INDEX(Table3[[#All],[INT]],MATCH(Table5[[#This Row],[PID]],Table3[[#All],[PID]],0)))</f>
        <v>Normal</v>
      </c>
      <c r="L1186" s="62">
        <f>IF($C1186="B",INDEX(Batters[[#All],[CON P]],MATCH(Table5[[#This Row],[PID]],Batters[[#All],[PID]],0)),INDEX(Table3[[#All],[STU P]],MATCH(Table5[[#This Row],[PID]],Table3[[#All],[PID]],0)))</f>
        <v>3</v>
      </c>
      <c r="M1186" s="58">
        <f>IF($C1186="B",INDEX(Batters[[#All],[GAP P]],MATCH(Table5[[#This Row],[PID]],Batters[[#All],[PID]],0)),INDEX(Table3[[#All],[MOV P]],MATCH(Table5[[#This Row],[PID]],Table3[[#All],[PID]],0)))</f>
        <v>2</v>
      </c>
      <c r="N1186" s="58">
        <f>IF($C1186="B",INDEX(Batters[[#All],[POW P]],MATCH(Table5[[#This Row],[PID]],Batters[[#All],[PID]],0)),INDEX(Table3[[#All],[CON P]],MATCH(Table5[[#This Row],[PID]],Table3[[#All],[PID]],0)))</f>
        <v>2</v>
      </c>
      <c r="O1186" s="58">
        <f>IF($C1186="B",INDEX(Batters[[#All],[EYE P]],MATCH(Table5[[#This Row],[PID]],Batters[[#All],[PID]],0)),INDEX(Table3[[#All],[VELO]],MATCH(Table5[[#This Row],[PID]],Table3[[#All],[PID]],0)))</f>
        <v>2</v>
      </c>
      <c r="P1186" s="58">
        <f>IF($C1186="B",INDEX(Batters[[#All],[K P]],MATCH(Table5[[#This Row],[PID]],Batters[[#All],[PID]],0)),INDEX(Table3[[#All],[STM]],MATCH(Table5[[#This Row],[PID]],Table3[[#All],[PID]],0)))</f>
        <v>4</v>
      </c>
      <c r="Q1186" s="63">
        <f>IF($C1186="B",INDEX(Batters[[#All],[Tot]],MATCH(Table5[[#This Row],[PID]],Batters[[#All],[PID]],0)),INDEX(Table3[[#All],[Tot]],MATCH(Table5[[#This Row],[PID]],Table3[[#All],[PID]],0)))</f>
        <v>31.401015842139753</v>
      </c>
      <c r="R1186" s="54">
        <f>IF($C1186="B",INDEX(Batters[[#All],[zScore]],MATCH(Table5[[#This Row],[PID]],Batters[[#All],[PID]],0)),INDEX(Table3[[#All],[zScore]],MATCH(Table5[[#This Row],[PID]],Table3[[#All],[PID]],0)))</f>
        <v>-1.5742059192295583</v>
      </c>
      <c r="S1186" s="60" t="str">
        <f>IF($C1186="B",INDEX(Batters[[#All],[DEM]],MATCH(Table5[[#This Row],[PID]],Batters[[#All],[PID]],0)),INDEX(Table3[[#All],[DEM]],MATCH(Table5[[#This Row],[PID]],Table3[[#All],[PID]],0)))</f>
        <v>-</v>
      </c>
      <c r="T1186" s="64">
        <f>IF($C1186="B",VLOOKUP($A1186,Bat!$A$4:$AU$1417,46,FALSE),VLOOKUP($A1186,Pit!$A$4:$BD$570,55,FALSE))</f>
        <v>0</v>
      </c>
      <c r="U1186" s="52">
        <f>IF($C1186="B",VLOOKUP($A1186,Bat!$A$4:$BA$1417,47,FALSE),VLOOKUP($A1186,Pit!$A$4:$BF$570,56,FALSE))</f>
        <v>0</v>
      </c>
      <c r="V1186" s="52">
        <f>IF($C1186="B",VLOOKUP($A1186,Bat!$A$4:$BA$1417,48,FALSE),VLOOKUP($A1186,Pit!$A$4:$BF$570,57,FALSE))</f>
        <v>0</v>
      </c>
      <c r="W1186" s="52">
        <f>Table5[[#This Row],[posRnk]]+Table5[[#This Row],[zRnk]]+IF($W$3&lt;&gt;Table5[[#This Row],[Type]],50,0)</f>
        <v>1232</v>
      </c>
      <c r="X1186" s="53">
        <f>RANK(Table5[[#This Row],[zScore]],Table5[[#All],[zScore]])</f>
        <v>1182</v>
      </c>
      <c r="Y1186" s="52" t="str">
        <f>IFERROR(INDEX(DraftResults[[#All],[OVR]],MATCH(Table5[[#This Row],[PID]],DraftResults[[#All],[Player ID]],0)),"")</f>
        <v/>
      </c>
      <c r="Z11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6" s="52" t="str">
        <f>IFERROR(INDEX(DraftResults[[#All],[Pick in Round]],MATCH(Table5[[#This Row],[PID]],DraftResults[[#All],[Player ID]],0)),"")</f>
        <v/>
      </c>
      <c r="AB1186" s="52" t="str">
        <f>IFERROR(INDEX(DraftResults[[#All],[Team Name]],MATCH(Table5[[#This Row],[PID]],DraftResults[[#All],[Player ID]],0)),"")</f>
        <v/>
      </c>
      <c r="AC1186" s="52" t="str">
        <f>IF(Table5[[#This Row],[Ovr]]="","",IF(Table5[[#This Row],[cmbList]]="","",Table5[[#This Row],[cmbList]]-Table5[[#This Row],[Ovr]]))</f>
        <v/>
      </c>
      <c r="AD1186" s="56" t="str">
        <f>IF(ISERROR(VLOOKUP($AB1186&amp;"-"&amp;$E1186&amp;" "&amp;F1186,Bonuses!$B$1:$G$1006,4,FALSE)),"",INT(VLOOKUP($AB1186&amp;"-"&amp;$E1186&amp;" "&amp;$F1186,Bonuses!$B$1:$G$1006,4,FALSE)))</f>
        <v/>
      </c>
      <c r="AE11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7" spans="1:31" s="8" customFormat="1" x14ac:dyDescent="0.25">
      <c r="A1187" s="52">
        <v>5453</v>
      </c>
      <c r="B1187" s="52">
        <f>COUNTIF(Table5[PID],A1187)</f>
        <v>1</v>
      </c>
      <c r="C1187" s="52" t="str">
        <f>IF(COUNTIF(Table3[[#All],[PID]],A1187)&gt;0,"P","B")</f>
        <v>B</v>
      </c>
      <c r="D1187" s="61" t="str">
        <f>IF($C1187="B",INDEX(Batters[[#All],[POS]],MATCH(Table5[[#This Row],[PID]],Batters[[#All],[PID]],0)),INDEX(Table3[[#All],[POS]],MATCH(Table5[[#This Row],[PID]],Table3[[#All],[PID]],0)))</f>
        <v>1B</v>
      </c>
      <c r="E1187" s="54" t="str">
        <f>IF($C1187="B",INDEX(Batters[[#All],[First]],MATCH(Table5[[#This Row],[PID]],Batters[[#All],[PID]],0)),INDEX(Table3[[#All],[First]],MATCH(Table5[[#This Row],[PID]],Table3[[#All],[PID]],0)))</f>
        <v>Lloyd</v>
      </c>
      <c r="F1187" s="52" t="str">
        <f>IF($C1187="B",INDEX(Batters[[#All],[Last]],MATCH(A1187,Batters[[#All],[PID]],0)),INDEX(Table3[[#All],[Last]],MATCH(A1187,Table3[[#All],[PID]],0)))</f>
        <v>Howe</v>
      </c>
      <c r="G1187" s="58">
        <f>IF($C1187="B",INDEX(Batters[[#All],[Age]],MATCH(Table5[[#This Row],[PID]],Batters[[#All],[PID]],0)),INDEX(Table3[[#All],[Age]],MATCH(Table5[[#This Row],[PID]],Table3[[#All],[PID]],0)))</f>
        <v>21</v>
      </c>
      <c r="H1187" s="54" t="str">
        <f>IF($C1187="B",INDEX(Batters[[#All],[B]],MATCH(Table5[[#This Row],[PID]],Batters[[#All],[PID]],0)),INDEX(Table3[[#All],[B]],MATCH(Table5[[#This Row],[PID]],Table3[[#All],[PID]],0)))</f>
        <v>L</v>
      </c>
      <c r="I1187" s="54" t="str">
        <f>IF($C1187="B",INDEX(Batters[[#All],[T]],MATCH(Table5[[#This Row],[PID]],Batters[[#All],[PID]],0)),INDEX(Table3[[#All],[T]],MATCH(Table5[[#This Row],[PID]],Table3[[#All],[PID]],0)))</f>
        <v>R</v>
      </c>
      <c r="J1187" s="54" t="str">
        <f>IF($C1187="B",INDEX(Batters[[#All],[WE]],MATCH(Table5[[#This Row],[PID]],Batters[[#All],[PID]],0)),INDEX(Table3[[#All],[WE]],MATCH(Table5[[#This Row],[PID]],Table3[[#All],[PID]],0)))</f>
        <v>Low</v>
      </c>
      <c r="K1187" s="54" t="str">
        <f>IF($C1187="B",INDEX(Batters[[#All],[INT]],MATCH(Table5[[#This Row],[PID]],Batters[[#All],[PID]],0)),INDEX(Table3[[#All],[INT]],MATCH(Table5[[#This Row],[PID]],Table3[[#All],[PID]],0)))</f>
        <v>Normal</v>
      </c>
      <c r="L1187" s="62">
        <f>IF($C1187="B",INDEX(Batters[[#All],[CON P]],MATCH(Table5[[#This Row],[PID]],Batters[[#All],[PID]],0)),INDEX(Table3[[#All],[STU P]],MATCH(Table5[[#This Row],[PID]],Table3[[#All],[PID]],0)))</f>
        <v>2</v>
      </c>
      <c r="M1187" s="58">
        <f>IF($C1187="B",INDEX(Batters[[#All],[GAP P]],MATCH(Table5[[#This Row],[PID]],Batters[[#All],[PID]],0)),INDEX(Table3[[#All],[MOV P]],MATCH(Table5[[#This Row],[PID]],Table3[[#All],[PID]],0)))</f>
        <v>3</v>
      </c>
      <c r="N1187" s="58">
        <f>IF($C1187="B",INDEX(Batters[[#All],[POW P]],MATCH(Table5[[#This Row],[PID]],Batters[[#All],[PID]],0)),INDEX(Table3[[#All],[CON P]],MATCH(Table5[[#This Row],[PID]],Table3[[#All],[PID]],0)))</f>
        <v>3</v>
      </c>
      <c r="O1187" s="58">
        <f>IF($C1187="B",INDEX(Batters[[#All],[EYE P]],MATCH(Table5[[#This Row],[PID]],Batters[[#All],[PID]],0)),INDEX(Table3[[#All],[VELO]],MATCH(Table5[[#This Row],[PID]],Table3[[#All],[PID]],0)))</f>
        <v>5</v>
      </c>
      <c r="P1187" s="58">
        <f>IF($C1187="B",INDEX(Batters[[#All],[K P]],MATCH(Table5[[#This Row],[PID]],Batters[[#All],[PID]],0)),INDEX(Table3[[#All],[STM]],MATCH(Table5[[#This Row],[PID]],Table3[[#All],[PID]],0)))</f>
        <v>2</v>
      </c>
      <c r="Q1187" s="63">
        <f>IF($C1187="B",INDEX(Batters[[#All],[Tot]],MATCH(Table5[[#This Row],[PID]],Batters[[#All],[PID]],0)),INDEX(Table3[[#All],[Tot]],MATCH(Table5[[#This Row],[PID]],Table3[[#All],[PID]],0)))</f>
        <v>31.394943143974452</v>
      </c>
      <c r="R1187" s="54">
        <f>IF($C1187="B",INDEX(Batters[[#All],[zScore]],MATCH(Table5[[#This Row],[PID]],Batters[[#All],[PID]],0)),INDEX(Table3[[#All],[zScore]],MATCH(Table5[[#This Row],[PID]],Table3[[#All],[PID]],0)))</f>
        <v>-1.5752743701107486</v>
      </c>
      <c r="S1187" s="60" t="str">
        <f>IF($C1187="B",INDEX(Batters[[#All],[DEM]],MATCH(Table5[[#This Row],[PID]],Batters[[#All],[PID]],0)),INDEX(Table3[[#All],[DEM]],MATCH(Table5[[#This Row],[PID]],Table3[[#All],[PID]],0)))</f>
        <v>-</v>
      </c>
      <c r="T1187" s="64">
        <f>IF($C1187="B",VLOOKUP($A1187,Bat!$A$4:$AU$1417,46,FALSE),VLOOKUP($A1187,Pit!$A$4:$BD$570,55,FALSE))</f>
        <v>0</v>
      </c>
      <c r="U1187" s="52">
        <f>IF($C1187="B",VLOOKUP($A1187,Bat!$A$4:$BA$1417,47,FALSE),VLOOKUP($A1187,Pit!$A$4:$BF$570,56,FALSE))</f>
        <v>0</v>
      </c>
      <c r="V1187" s="52">
        <f>IF($C1187="B",VLOOKUP($A1187,Bat!$A$4:$BA$1417,48,FALSE),VLOOKUP($A1187,Pit!$A$4:$BF$570,57,FALSE))</f>
        <v>0</v>
      </c>
      <c r="W1187" s="52">
        <f>Table5[[#This Row],[posRnk]]+Table5[[#This Row],[zRnk]]+IF($W$3&lt;&gt;Table5[[#This Row],[Type]],50,0)</f>
        <v>1233</v>
      </c>
      <c r="X1187" s="53">
        <f>RANK(Table5[[#This Row],[zScore]],Table5[[#All],[zScore]])</f>
        <v>1183</v>
      </c>
      <c r="Y1187" s="52" t="str">
        <f>IFERROR(INDEX(DraftResults[[#All],[OVR]],MATCH(Table5[[#This Row],[PID]],DraftResults[[#All],[Player ID]],0)),"")</f>
        <v/>
      </c>
      <c r="Z11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7" s="52" t="str">
        <f>IFERROR(INDEX(DraftResults[[#All],[Pick in Round]],MATCH(Table5[[#This Row],[PID]],DraftResults[[#All],[Player ID]],0)),"")</f>
        <v/>
      </c>
      <c r="AB1187" s="52" t="str">
        <f>IFERROR(INDEX(DraftResults[[#All],[Team Name]],MATCH(Table5[[#This Row],[PID]],DraftResults[[#All],[Player ID]],0)),"")</f>
        <v/>
      </c>
      <c r="AC1187" s="52" t="str">
        <f>IF(Table5[[#This Row],[Ovr]]="","",IF(Table5[[#This Row],[cmbList]]="","",Table5[[#This Row],[cmbList]]-Table5[[#This Row],[Ovr]]))</f>
        <v/>
      </c>
      <c r="AD1187" s="56" t="str">
        <f>IF(ISERROR(VLOOKUP($AB1187&amp;"-"&amp;$E1187&amp;" "&amp;F1187,Bonuses!$B$1:$G$1006,4,FALSE)),"",INT(VLOOKUP($AB1187&amp;"-"&amp;$E1187&amp;" "&amp;$F1187,Bonuses!$B$1:$G$1006,4,FALSE)))</f>
        <v/>
      </c>
      <c r="AE11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8" spans="1:31" s="8" customFormat="1" x14ac:dyDescent="0.25">
      <c r="A1188" s="52">
        <v>16657</v>
      </c>
      <c r="B1188" s="52">
        <f>COUNTIF(Table5[PID],A1188)</f>
        <v>1</v>
      </c>
      <c r="C1188" s="52" t="str">
        <f>IF(COUNTIF(Table3[[#All],[PID]],A1188)&gt;0,"P","B")</f>
        <v>B</v>
      </c>
      <c r="D1188" s="61" t="str">
        <f>IF($C1188="B",INDEX(Batters[[#All],[POS]],MATCH(Table5[[#This Row],[PID]],Batters[[#All],[PID]],0)),INDEX(Table3[[#All],[POS]],MATCH(Table5[[#This Row],[PID]],Table3[[#All],[PID]],0)))</f>
        <v>1B</v>
      </c>
      <c r="E1188" s="54" t="str">
        <f>IF($C1188="B",INDEX(Batters[[#All],[First]],MATCH(Table5[[#This Row],[PID]],Batters[[#All],[PID]],0)),INDEX(Table3[[#All],[First]],MATCH(Table5[[#This Row],[PID]],Table3[[#All],[PID]],0)))</f>
        <v>Rikyu</v>
      </c>
      <c r="F1188" s="52" t="str">
        <f>IF($C1188="B",INDEX(Batters[[#All],[Last]],MATCH(A1188,Batters[[#All],[PID]],0)),INDEX(Table3[[#All],[Last]],MATCH(A1188,Table3[[#All],[PID]],0)))</f>
        <v>Inoue</v>
      </c>
      <c r="G1188" s="58">
        <f>IF($C1188="B",INDEX(Batters[[#All],[Age]],MATCH(Table5[[#This Row],[PID]],Batters[[#All],[PID]],0)),INDEX(Table3[[#All],[Age]],MATCH(Table5[[#This Row],[PID]],Table3[[#All],[PID]],0)))</f>
        <v>21</v>
      </c>
      <c r="H1188" s="54" t="str">
        <f>IF($C1188="B",INDEX(Batters[[#All],[B]],MATCH(Table5[[#This Row],[PID]],Batters[[#All],[PID]],0)),INDEX(Table3[[#All],[B]],MATCH(Table5[[#This Row],[PID]],Table3[[#All],[PID]],0)))</f>
        <v>S</v>
      </c>
      <c r="I1188" s="54" t="str">
        <f>IF($C1188="B",INDEX(Batters[[#All],[T]],MATCH(Table5[[#This Row],[PID]],Batters[[#All],[PID]],0)),INDEX(Table3[[#All],[T]],MATCH(Table5[[#This Row],[PID]],Table3[[#All],[PID]],0)))</f>
        <v>R</v>
      </c>
      <c r="J1188" s="54" t="str">
        <f>IF($C1188="B",INDEX(Batters[[#All],[WE]],MATCH(Table5[[#This Row],[PID]],Batters[[#All],[PID]],0)),INDEX(Table3[[#All],[WE]],MATCH(Table5[[#This Row],[PID]],Table3[[#All],[PID]],0)))</f>
        <v>Normal</v>
      </c>
      <c r="K1188" s="54" t="str">
        <f>IF($C1188="B",INDEX(Batters[[#All],[INT]],MATCH(Table5[[#This Row],[PID]],Batters[[#All],[PID]],0)),INDEX(Table3[[#All],[INT]],MATCH(Table5[[#This Row],[PID]],Table3[[#All],[PID]],0)))</f>
        <v>Low</v>
      </c>
      <c r="L1188" s="62">
        <f>IF($C1188="B",INDEX(Batters[[#All],[CON P]],MATCH(Table5[[#This Row],[PID]],Batters[[#All],[PID]],0)),INDEX(Table3[[#All],[STU P]],MATCH(Table5[[#This Row],[PID]],Table3[[#All],[PID]],0)))</f>
        <v>2</v>
      </c>
      <c r="M1188" s="58">
        <f>IF($C1188="B",INDEX(Batters[[#All],[GAP P]],MATCH(Table5[[#This Row],[PID]],Batters[[#All],[PID]],0)),INDEX(Table3[[#All],[MOV P]],MATCH(Table5[[#This Row],[PID]],Table3[[#All],[PID]],0)))</f>
        <v>3</v>
      </c>
      <c r="N1188" s="58">
        <f>IF($C1188="B",INDEX(Batters[[#All],[POW P]],MATCH(Table5[[#This Row],[PID]],Batters[[#All],[PID]],0)),INDEX(Table3[[#All],[CON P]],MATCH(Table5[[#This Row],[PID]],Table3[[#All],[PID]],0)))</f>
        <v>3</v>
      </c>
      <c r="O1188" s="58">
        <f>IF($C1188="B",INDEX(Batters[[#All],[EYE P]],MATCH(Table5[[#This Row],[PID]],Batters[[#All],[PID]],0)),INDEX(Table3[[#All],[VELO]],MATCH(Table5[[#This Row],[PID]],Table3[[#All],[PID]],0)))</f>
        <v>5</v>
      </c>
      <c r="P1188" s="58">
        <f>IF($C1188="B",INDEX(Batters[[#All],[K P]],MATCH(Table5[[#This Row],[PID]],Batters[[#All],[PID]],0)),INDEX(Table3[[#All],[STM]],MATCH(Table5[[#This Row],[PID]],Table3[[#All],[PID]],0)))</f>
        <v>2</v>
      </c>
      <c r="Q1188" s="63">
        <f>IF($C1188="B",INDEX(Batters[[#All],[Tot]],MATCH(Table5[[#This Row],[PID]],Batters[[#All],[PID]],0)),INDEX(Table3[[#All],[Tot]],MATCH(Table5[[#This Row],[PID]],Table3[[#All],[PID]],0)))</f>
        <v>31.386636994572061</v>
      </c>
      <c r="R1188" s="54">
        <f>IF($C1188="B",INDEX(Batters[[#All],[zScore]],MATCH(Table5[[#This Row],[PID]],Batters[[#All],[PID]],0)),INDEX(Table3[[#All],[zScore]],MATCH(Table5[[#This Row],[PID]],Table3[[#All],[PID]],0)))</f>
        <v>-1.5767357818929104</v>
      </c>
      <c r="S1188" s="60" t="str">
        <f>IF($C1188="B",INDEX(Batters[[#All],[DEM]],MATCH(Table5[[#This Row],[PID]],Batters[[#All],[PID]],0)),INDEX(Table3[[#All],[DEM]],MATCH(Table5[[#This Row],[PID]],Table3[[#All],[PID]],0)))</f>
        <v>-</v>
      </c>
      <c r="T1188" s="64">
        <f>IF($C1188="B",VLOOKUP($A1188,Bat!$A$4:$AU$1417,46,FALSE),VLOOKUP($A1188,Pit!$A$4:$BD$570,55,FALSE))</f>
        <v>0</v>
      </c>
      <c r="U1188" s="52">
        <f>IF($C1188="B",VLOOKUP($A1188,Bat!$A$4:$BA$1417,47,FALSE),VLOOKUP($A1188,Pit!$A$4:$BF$570,56,FALSE))</f>
        <v>0</v>
      </c>
      <c r="V1188" s="52">
        <f>IF($C1188="B",VLOOKUP($A1188,Bat!$A$4:$BA$1417,48,FALSE),VLOOKUP($A1188,Pit!$A$4:$BF$570,57,FALSE))</f>
        <v>0</v>
      </c>
      <c r="W1188" s="52">
        <f>Table5[[#This Row],[posRnk]]+Table5[[#This Row],[zRnk]]+IF($W$3&lt;&gt;Table5[[#This Row],[Type]],50,0)</f>
        <v>1234</v>
      </c>
      <c r="X1188" s="53">
        <f>RANK(Table5[[#This Row],[zScore]],Table5[[#All],[zScore]])</f>
        <v>1184</v>
      </c>
      <c r="Y1188" s="52" t="str">
        <f>IFERROR(INDEX(DraftResults[[#All],[OVR]],MATCH(Table5[[#This Row],[PID]],DraftResults[[#All],[Player ID]],0)),"")</f>
        <v/>
      </c>
      <c r="Z11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8" s="52" t="str">
        <f>IFERROR(INDEX(DraftResults[[#All],[Pick in Round]],MATCH(Table5[[#This Row],[PID]],DraftResults[[#All],[Player ID]],0)),"")</f>
        <v/>
      </c>
      <c r="AB1188" s="52" t="str">
        <f>IFERROR(INDEX(DraftResults[[#All],[Team Name]],MATCH(Table5[[#This Row],[PID]],DraftResults[[#All],[Player ID]],0)),"")</f>
        <v/>
      </c>
      <c r="AC1188" s="52" t="str">
        <f>IF(Table5[[#This Row],[Ovr]]="","",IF(Table5[[#This Row],[cmbList]]="","",Table5[[#This Row],[cmbList]]-Table5[[#This Row],[Ovr]]))</f>
        <v/>
      </c>
      <c r="AD1188" s="56" t="str">
        <f>IF(ISERROR(VLOOKUP($AB1188&amp;"-"&amp;$E1188&amp;" "&amp;F1188,Bonuses!$B$1:$G$1006,4,FALSE)),"",INT(VLOOKUP($AB1188&amp;"-"&amp;$E1188&amp;" "&amp;$F1188,Bonuses!$B$1:$G$1006,4,FALSE)))</f>
        <v/>
      </c>
      <c r="AE11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9" spans="1:31" s="8" customFormat="1" x14ac:dyDescent="0.25">
      <c r="A1189" s="52">
        <v>11846</v>
      </c>
      <c r="B1189" s="52">
        <f>COUNTIF(Table5[PID],A1189)</f>
        <v>1</v>
      </c>
      <c r="C1189" s="52" t="str">
        <f>IF(COUNTIF(Table3[[#All],[PID]],A1189)&gt;0,"P","B")</f>
        <v>P</v>
      </c>
      <c r="D1189" s="61" t="str">
        <f>IF($C1189="B",INDEX(Batters[[#All],[POS]],MATCH(Table5[[#This Row],[PID]],Batters[[#All],[PID]],0)),INDEX(Table3[[#All],[POS]],MATCH(Table5[[#This Row],[PID]],Table3[[#All],[PID]],0)))</f>
        <v>RP</v>
      </c>
      <c r="E1189" s="54" t="str">
        <f>IF($C1189="B",INDEX(Batters[[#All],[First]],MATCH(Table5[[#This Row],[PID]],Batters[[#All],[PID]],0)),INDEX(Table3[[#All],[First]],MATCH(Table5[[#This Row],[PID]],Table3[[#All],[PID]],0)))</f>
        <v>Phillip</v>
      </c>
      <c r="F1189" s="52" t="str">
        <f>IF($C1189="B",INDEX(Batters[[#All],[Last]],MATCH(A1189,Batters[[#All],[PID]],0)),INDEX(Table3[[#All],[Last]],MATCH(A1189,Table3[[#All],[PID]],0)))</f>
        <v>York</v>
      </c>
      <c r="G1189" s="58">
        <f>IF($C1189="B",INDEX(Batters[[#All],[Age]],MATCH(Table5[[#This Row],[PID]],Batters[[#All],[PID]],0)),INDEX(Table3[[#All],[Age]],MATCH(Table5[[#This Row],[PID]],Table3[[#All],[PID]],0)))</f>
        <v>21</v>
      </c>
      <c r="H1189" s="54" t="str">
        <f>IF($C1189="B",INDEX(Batters[[#All],[B]],MATCH(Table5[[#This Row],[PID]],Batters[[#All],[PID]],0)),INDEX(Table3[[#All],[B]],MATCH(Table5[[#This Row],[PID]],Table3[[#All],[PID]],0)))</f>
        <v>S</v>
      </c>
      <c r="I1189" s="54" t="str">
        <f>IF($C1189="B",INDEX(Batters[[#All],[T]],MATCH(Table5[[#This Row],[PID]],Batters[[#All],[PID]],0)),INDEX(Table3[[#All],[T]],MATCH(Table5[[#This Row],[PID]],Table3[[#All],[PID]],0)))</f>
        <v>R</v>
      </c>
      <c r="J1189" s="54" t="str">
        <f>IF($C1189="B",INDEX(Batters[[#All],[WE]],MATCH(Table5[[#This Row],[PID]],Batters[[#All],[PID]],0)),INDEX(Table3[[#All],[WE]],MATCH(Table5[[#This Row],[PID]],Table3[[#All],[PID]],0)))</f>
        <v>Low</v>
      </c>
      <c r="K1189" s="54" t="str">
        <f>IF($C1189="B",INDEX(Batters[[#All],[INT]],MATCH(Table5[[#This Row],[PID]],Batters[[#All],[PID]],0)),INDEX(Table3[[#All],[INT]],MATCH(Table5[[#This Row],[PID]],Table3[[#All],[PID]],0)))</f>
        <v>Normal</v>
      </c>
      <c r="L1189" s="62">
        <f>IF($C1189="B",INDEX(Batters[[#All],[CON P]],MATCH(Table5[[#This Row],[PID]],Batters[[#All],[PID]],0)),INDEX(Table3[[#All],[STU P]],MATCH(Table5[[#This Row],[PID]],Table3[[#All],[PID]],0)))</f>
        <v>4</v>
      </c>
      <c r="M1189" s="58">
        <f>IF($C1189="B",INDEX(Batters[[#All],[GAP P]],MATCH(Table5[[#This Row],[PID]],Batters[[#All],[PID]],0)),INDEX(Table3[[#All],[MOV P]],MATCH(Table5[[#This Row],[PID]],Table3[[#All],[PID]],0)))</f>
        <v>1</v>
      </c>
      <c r="N1189" s="58">
        <f>IF($C1189="B",INDEX(Batters[[#All],[POW P]],MATCH(Table5[[#This Row],[PID]],Batters[[#All],[PID]],0)),INDEX(Table3[[#All],[CON P]],MATCH(Table5[[#This Row],[PID]],Table3[[#All],[PID]],0)))</f>
        <v>2</v>
      </c>
      <c r="O1189" s="58" t="str">
        <f>IF($C1189="B",INDEX(Batters[[#All],[EYE P]],MATCH(Table5[[#This Row],[PID]],Batters[[#All],[PID]],0)),INDEX(Table3[[#All],[VELO]],MATCH(Table5[[#This Row],[PID]],Table3[[#All],[PID]],0)))</f>
        <v>93-95 Mph</v>
      </c>
      <c r="P1189" s="58">
        <f>IF($C1189="B",INDEX(Batters[[#All],[K P]],MATCH(Table5[[#This Row],[PID]],Batters[[#All],[PID]],0)),INDEX(Table3[[#All],[STM]],MATCH(Table5[[#This Row],[PID]],Table3[[#All],[PID]],0)))</f>
        <v>9</v>
      </c>
      <c r="Q1189" s="63">
        <f>IF($C1189="B",INDEX(Batters[[#All],[Tot]],MATCH(Table5[[#This Row],[PID]],Batters[[#All],[PID]],0)),INDEX(Table3[[#All],[Tot]],MATCH(Table5[[#This Row],[PID]],Table3[[#All],[PID]],0)))</f>
        <v>15.506822747463044</v>
      </c>
      <c r="R1189" s="54">
        <f>IF($C1189="B",INDEX(Batters[[#All],[zScore]],MATCH(Table5[[#This Row],[PID]],Batters[[#All],[PID]],0)),INDEX(Table3[[#All],[zScore]],MATCH(Table5[[#This Row],[PID]],Table3[[#All],[PID]],0)))</f>
        <v>-1.5787283376612302</v>
      </c>
      <c r="S1189" s="60" t="str">
        <f>IF($C1189="B",INDEX(Batters[[#All],[DEM]],MATCH(Table5[[#This Row],[PID]],Batters[[#All],[PID]],0)),INDEX(Table3[[#All],[DEM]],MATCH(Table5[[#This Row],[PID]],Table3[[#All],[PID]],0)))</f>
        <v>-</v>
      </c>
      <c r="T1189" s="64" t="e">
        <f>IF($C1189="B",VLOOKUP($A1189,Bat!$A$4:$AU$1417,46,FALSE),VLOOKUP($A1189,Pit!$A$4:$BD$570,55,FALSE))</f>
        <v>#N/A</v>
      </c>
      <c r="U1189" s="52" t="e">
        <f>IF($C1189="B",VLOOKUP($A1189,Bat!$A$4:$BA$1417,47,FALSE),VLOOKUP($A1189,Pit!$A$4:$BF$570,56,FALSE))</f>
        <v>#N/A</v>
      </c>
      <c r="V1189" s="52" t="e">
        <f>IF($C1189="B",VLOOKUP($A1189,Bat!$A$4:$BA$1417,48,FALSE),VLOOKUP($A1189,Pit!$A$4:$BF$570,57,FALSE))</f>
        <v>#N/A</v>
      </c>
      <c r="W1189" s="52" t="e">
        <f>Table5[[#This Row],[posRnk]]+Table5[[#This Row],[zRnk]]+IF($W$3&lt;&gt;Table5[[#This Row],[Type]],50,0)</f>
        <v>#N/A</v>
      </c>
      <c r="X1189" s="53">
        <f>RANK(Table5[[#This Row],[zScore]],Table5[[#All],[zScore]])</f>
        <v>1185</v>
      </c>
      <c r="Y1189" s="52" t="str">
        <f>IFERROR(INDEX(DraftResults[[#All],[OVR]],MATCH(Table5[[#This Row],[PID]],DraftResults[[#All],[Player ID]],0)),"")</f>
        <v/>
      </c>
      <c r="Z11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9" s="52" t="str">
        <f>IFERROR(INDEX(DraftResults[[#All],[Pick in Round]],MATCH(Table5[[#This Row],[PID]],DraftResults[[#All],[Player ID]],0)),"")</f>
        <v/>
      </c>
      <c r="AB1189" s="52" t="str">
        <f>IFERROR(INDEX(DraftResults[[#All],[Team Name]],MATCH(Table5[[#This Row],[PID]],DraftResults[[#All],[Player ID]],0)),"")</f>
        <v/>
      </c>
      <c r="AC1189" s="52" t="str">
        <f>IF(Table5[[#This Row],[Ovr]]="","",IF(Table5[[#This Row],[cmbList]]="","",Table5[[#This Row],[cmbList]]-Table5[[#This Row],[Ovr]]))</f>
        <v/>
      </c>
      <c r="AD1189" s="56" t="str">
        <f>IF(ISERROR(VLOOKUP($AB1189&amp;"-"&amp;$E1189&amp;" "&amp;F1189,Bonuses!$B$1:$G$1006,4,FALSE)),"",INT(VLOOKUP($AB1189&amp;"-"&amp;$E1189&amp;" "&amp;$F1189,Bonuses!$B$1:$G$1006,4,FALSE)))</f>
        <v/>
      </c>
      <c r="AE11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0" spans="1:31" s="8" customFormat="1" x14ac:dyDescent="0.25">
      <c r="A1190" s="52">
        <v>12516</v>
      </c>
      <c r="B1190" s="52">
        <f>COUNTIF(Table5[PID],A1190)</f>
        <v>1</v>
      </c>
      <c r="C1190" s="52" t="str">
        <f>IF(COUNTIF(Table3[[#All],[PID]],A1190)&gt;0,"P","B")</f>
        <v>B</v>
      </c>
      <c r="D1190" s="61" t="str">
        <f>IF($C1190="B",INDEX(Batters[[#All],[POS]],MATCH(Table5[[#This Row],[PID]],Batters[[#All],[PID]],0)),INDEX(Table3[[#All],[POS]],MATCH(Table5[[#This Row],[PID]],Table3[[#All],[PID]],0)))</f>
        <v>1B</v>
      </c>
      <c r="E1190" s="54" t="str">
        <f>IF($C1190="B",INDEX(Batters[[#All],[First]],MATCH(Table5[[#This Row],[PID]],Batters[[#All],[PID]],0)),INDEX(Table3[[#All],[First]],MATCH(Table5[[#This Row],[PID]],Table3[[#All],[PID]],0)))</f>
        <v>Kojuro</v>
      </c>
      <c r="F1190" s="52" t="str">
        <f>IF($C1190="B",INDEX(Batters[[#All],[Last]],MATCH(A1190,Batters[[#All],[PID]],0)),INDEX(Table3[[#All],[Last]],MATCH(A1190,Table3[[#All],[PID]],0)))</f>
        <v>Kawai</v>
      </c>
      <c r="G1190" s="58">
        <f>IF($C1190="B",INDEX(Batters[[#All],[Age]],MATCH(Table5[[#This Row],[PID]],Batters[[#All],[PID]],0)),INDEX(Table3[[#All],[Age]],MATCH(Table5[[#This Row],[PID]],Table3[[#All],[PID]],0)))</f>
        <v>21</v>
      </c>
      <c r="H1190" s="54" t="str">
        <f>IF($C1190="B",INDEX(Batters[[#All],[B]],MATCH(Table5[[#This Row],[PID]],Batters[[#All],[PID]],0)),INDEX(Table3[[#All],[B]],MATCH(Table5[[#This Row],[PID]],Table3[[#All],[PID]],0)))</f>
        <v>L</v>
      </c>
      <c r="I1190" s="54" t="str">
        <f>IF($C1190="B",INDEX(Batters[[#All],[T]],MATCH(Table5[[#This Row],[PID]],Batters[[#All],[PID]],0)),INDEX(Table3[[#All],[T]],MATCH(Table5[[#This Row],[PID]],Table3[[#All],[PID]],0)))</f>
        <v>L</v>
      </c>
      <c r="J1190" s="54" t="str">
        <f>IF($C1190="B",INDEX(Batters[[#All],[WE]],MATCH(Table5[[#This Row],[PID]],Batters[[#All],[PID]],0)),INDEX(Table3[[#All],[WE]],MATCH(Table5[[#This Row],[PID]],Table3[[#All],[PID]],0)))</f>
        <v>High</v>
      </c>
      <c r="K1190" s="54" t="str">
        <f>IF($C1190="B",INDEX(Batters[[#All],[INT]],MATCH(Table5[[#This Row],[PID]],Batters[[#All],[PID]],0)),INDEX(Table3[[#All],[INT]],MATCH(Table5[[#This Row],[PID]],Table3[[#All],[PID]],0)))</f>
        <v>Normal</v>
      </c>
      <c r="L1190" s="62">
        <f>IF($C1190="B",INDEX(Batters[[#All],[CON P]],MATCH(Table5[[#This Row],[PID]],Batters[[#All],[PID]],0)),INDEX(Table3[[#All],[STU P]],MATCH(Table5[[#This Row],[PID]],Table3[[#All],[PID]],0)))</f>
        <v>3</v>
      </c>
      <c r="M1190" s="58">
        <f>IF($C1190="B",INDEX(Batters[[#All],[GAP P]],MATCH(Table5[[#This Row],[PID]],Batters[[#All],[PID]],0)),INDEX(Table3[[#All],[MOV P]],MATCH(Table5[[#This Row],[PID]],Table3[[#All],[PID]],0)))</f>
        <v>1</v>
      </c>
      <c r="N1190" s="58">
        <f>IF($C1190="B",INDEX(Batters[[#All],[POW P]],MATCH(Table5[[#This Row],[PID]],Batters[[#All],[PID]],0)),INDEX(Table3[[#All],[CON P]],MATCH(Table5[[#This Row],[PID]],Table3[[#All],[PID]],0)))</f>
        <v>2</v>
      </c>
      <c r="O1190" s="58">
        <f>IF($C1190="B",INDEX(Batters[[#All],[EYE P]],MATCH(Table5[[#This Row],[PID]],Batters[[#All],[PID]],0)),INDEX(Table3[[#All],[VELO]],MATCH(Table5[[#This Row],[PID]],Table3[[#All],[PID]],0)))</f>
        <v>2</v>
      </c>
      <c r="P1190" s="58">
        <f>IF($C1190="B",INDEX(Batters[[#All],[K P]],MATCH(Table5[[#This Row],[PID]],Batters[[#All],[PID]],0)),INDEX(Table3[[#All],[STM]],MATCH(Table5[[#This Row],[PID]],Table3[[#All],[PID]],0)))</f>
        <v>4</v>
      </c>
      <c r="Q1190" s="63">
        <f>IF($C1190="B",INDEX(Batters[[#All],[Tot]],MATCH(Table5[[#This Row],[PID]],Batters[[#All],[PID]],0)),INDEX(Table3[[#All],[Tot]],MATCH(Table5[[#This Row],[PID]],Table3[[#All],[PID]],0)))</f>
        <v>31.346934081151467</v>
      </c>
      <c r="R1190" s="54">
        <f>IF($C1190="B",INDEX(Batters[[#All],[zScore]],MATCH(Table5[[#This Row],[PID]],Batters[[#All],[PID]],0)),INDEX(Table3[[#All],[zScore]],MATCH(Table5[[#This Row],[PID]],Table3[[#All],[PID]],0)))</f>
        <v>-1.5837212456316565</v>
      </c>
      <c r="S1190" s="60" t="str">
        <f>IF($C1190="B",INDEX(Batters[[#All],[DEM]],MATCH(Table5[[#This Row],[PID]],Batters[[#All],[PID]],0)),INDEX(Table3[[#All],[DEM]],MATCH(Table5[[#This Row],[PID]],Table3[[#All],[PID]],0)))</f>
        <v>-</v>
      </c>
      <c r="T1190" s="64">
        <f>IF($C1190="B",VLOOKUP($A1190,Bat!$A$4:$AU$1417,46,FALSE),VLOOKUP($A1190,Pit!$A$4:$BD$570,55,FALSE))</f>
        <v>0</v>
      </c>
      <c r="U1190" s="52">
        <f>IF($C1190="B",VLOOKUP($A1190,Bat!$A$4:$BA$1417,47,FALSE),VLOOKUP($A1190,Pit!$A$4:$BF$570,56,FALSE))</f>
        <v>0</v>
      </c>
      <c r="V1190" s="52">
        <f>IF($C1190="B",VLOOKUP($A1190,Bat!$A$4:$BA$1417,48,FALSE),VLOOKUP($A1190,Pit!$A$4:$BF$570,57,FALSE))</f>
        <v>0</v>
      </c>
      <c r="W1190" s="52">
        <f>Table5[[#This Row],[posRnk]]+Table5[[#This Row],[zRnk]]+IF($W$3&lt;&gt;Table5[[#This Row],[Type]],50,0)</f>
        <v>1236</v>
      </c>
      <c r="X1190" s="53">
        <f>RANK(Table5[[#This Row],[zScore]],Table5[[#All],[zScore]])</f>
        <v>1186</v>
      </c>
      <c r="Y1190" s="52" t="str">
        <f>IFERROR(INDEX(DraftResults[[#All],[OVR]],MATCH(Table5[[#This Row],[PID]],DraftResults[[#All],[Player ID]],0)),"")</f>
        <v/>
      </c>
      <c r="Z11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0" s="52" t="str">
        <f>IFERROR(INDEX(DraftResults[[#All],[Pick in Round]],MATCH(Table5[[#This Row],[PID]],DraftResults[[#All],[Player ID]],0)),"")</f>
        <v/>
      </c>
      <c r="AB1190" s="52" t="str">
        <f>IFERROR(INDEX(DraftResults[[#All],[Team Name]],MATCH(Table5[[#This Row],[PID]],DraftResults[[#All],[Player ID]],0)),"")</f>
        <v/>
      </c>
      <c r="AC1190" s="52" t="str">
        <f>IF(Table5[[#This Row],[Ovr]]="","",IF(Table5[[#This Row],[cmbList]]="","",Table5[[#This Row],[cmbList]]-Table5[[#This Row],[Ovr]]))</f>
        <v/>
      </c>
      <c r="AD1190" s="56" t="str">
        <f>IF(ISERROR(VLOOKUP($AB1190&amp;"-"&amp;$E1190&amp;" "&amp;F1190,Bonuses!$B$1:$G$1006,4,FALSE)),"",INT(VLOOKUP($AB1190&amp;"-"&amp;$E1190&amp;" "&amp;$F1190,Bonuses!$B$1:$G$1006,4,FALSE)))</f>
        <v/>
      </c>
      <c r="AE11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1" spans="1:31" s="8" customFormat="1" x14ac:dyDescent="0.25">
      <c r="A1191" s="52">
        <v>12115</v>
      </c>
      <c r="B1191" s="52">
        <f>COUNTIF(Table5[PID],A1191)</f>
        <v>1</v>
      </c>
      <c r="C1191" s="52" t="str">
        <f>IF(COUNTIF(Table3[[#All],[PID]],A1191)&gt;0,"P","B")</f>
        <v>B</v>
      </c>
      <c r="D1191" s="61" t="str">
        <f>IF($C1191="B",INDEX(Batters[[#All],[POS]],MATCH(Table5[[#This Row],[PID]],Batters[[#All],[PID]],0)),INDEX(Table3[[#All],[POS]],MATCH(Table5[[#This Row],[PID]],Table3[[#All],[PID]],0)))</f>
        <v>C</v>
      </c>
      <c r="E1191" s="54" t="str">
        <f>IF($C1191="B",INDEX(Batters[[#All],[First]],MATCH(Table5[[#This Row],[PID]],Batters[[#All],[PID]],0)),INDEX(Table3[[#All],[First]],MATCH(Table5[[#This Row],[PID]],Table3[[#All],[PID]],0)))</f>
        <v>Enrique</v>
      </c>
      <c r="F1191" s="52" t="str">
        <f>IF($C1191="B",INDEX(Batters[[#All],[Last]],MATCH(A1191,Batters[[#All],[PID]],0)),INDEX(Table3[[#All],[Last]],MATCH(A1191,Table3[[#All],[PID]],0)))</f>
        <v>Hernández</v>
      </c>
      <c r="G1191" s="58">
        <f>IF($C1191="B",INDEX(Batters[[#All],[Age]],MATCH(Table5[[#This Row],[PID]],Batters[[#All],[PID]],0)),INDEX(Table3[[#All],[Age]],MATCH(Table5[[#This Row],[PID]],Table3[[#All],[PID]],0)))</f>
        <v>21</v>
      </c>
      <c r="H1191" s="54" t="str">
        <f>IF($C1191="B",INDEX(Batters[[#All],[B]],MATCH(Table5[[#This Row],[PID]],Batters[[#All],[PID]],0)),INDEX(Table3[[#All],[B]],MATCH(Table5[[#This Row],[PID]],Table3[[#All],[PID]],0)))</f>
        <v>S</v>
      </c>
      <c r="I1191" s="54" t="str">
        <f>IF($C1191="B",INDEX(Batters[[#All],[T]],MATCH(Table5[[#This Row],[PID]],Batters[[#All],[PID]],0)),INDEX(Table3[[#All],[T]],MATCH(Table5[[#This Row],[PID]],Table3[[#All],[PID]],0)))</f>
        <v>R</v>
      </c>
      <c r="J1191" s="54" t="str">
        <f>IF($C1191="B",INDEX(Batters[[#All],[WE]],MATCH(Table5[[#This Row],[PID]],Batters[[#All],[PID]],0)),INDEX(Table3[[#All],[WE]],MATCH(Table5[[#This Row],[PID]],Table3[[#All],[PID]],0)))</f>
        <v>Normal</v>
      </c>
      <c r="K1191" s="54" t="str">
        <f>IF($C1191="B",INDEX(Batters[[#All],[INT]],MATCH(Table5[[#This Row],[PID]],Batters[[#All],[PID]],0)),INDEX(Table3[[#All],[INT]],MATCH(Table5[[#This Row],[PID]],Table3[[#All],[PID]],0)))</f>
        <v>Normal</v>
      </c>
      <c r="L1191" s="62">
        <f>IF($C1191="B",INDEX(Batters[[#All],[CON P]],MATCH(Table5[[#This Row],[PID]],Batters[[#All],[PID]],0)),INDEX(Table3[[#All],[STU P]],MATCH(Table5[[#This Row],[PID]],Table3[[#All],[PID]],0)))</f>
        <v>2</v>
      </c>
      <c r="M1191" s="58">
        <f>IF($C1191="B",INDEX(Batters[[#All],[GAP P]],MATCH(Table5[[#This Row],[PID]],Batters[[#All],[PID]],0)),INDEX(Table3[[#All],[MOV P]],MATCH(Table5[[#This Row],[PID]],Table3[[#All],[PID]],0)))</f>
        <v>5</v>
      </c>
      <c r="N1191" s="58">
        <f>IF($C1191="B",INDEX(Batters[[#All],[POW P]],MATCH(Table5[[#This Row],[PID]],Batters[[#All],[PID]],0)),INDEX(Table3[[#All],[CON P]],MATCH(Table5[[#This Row],[PID]],Table3[[#All],[PID]],0)))</f>
        <v>3</v>
      </c>
      <c r="O1191" s="58">
        <f>IF($C1191="B",INDEX(Batters[[#All],[EYE P]],MATCH(Table5[[#This Row],[PID]],Batters[[#All],[PID]],0)),INDEX(Table3[[#All],[VELO]],MATCH(Table5[[#This Row],[PID]],Table3[[#All],[PID]],0)))</f>
        <v>4</v>
      </c>
      <c r="P1191" s="58">
        <f>IF($C1191="B",INDEX(Batters[[#All],[K P]],MATCH(Table5[[#This Row],[PID]],Batters[[#All],[PID]],0)),INDEX(Table3[[#All],[STM]],MATCH(Table5[[#This Row],[PID]],Table3[[#All],[PID]],0)))</f>
        <v>1</v>
      </c>
      <c r="Q1191" s="63">
        <f>IF($C1191="B",INDEX(Batters[[#All],[Tot]],MATCH(Table5[[#This Row],[PID]],Batters[[#All],[PID]],0)),INDEX(Table3[[#All],[Tot]],MATCH(Table5[[#This Row],[PID]],Table3[[#All],[PID]],0)))</f>
        <v>31.346392472500014</v>
      </c>
      <c r="R1191" s="54">
        <f>IF($C1191="B",INDEX(Batters[[#All],[zScore]],MATCH(Table5[[#This Row],[PID]],Batters[[#All],[PID]],0)),INDEX(Table3[[#All],[zScore]],MATCH(Table5[[#This Row],[PID]],Table3[[#All],[PID]],0)))</f>
        <v>-1.5838165380741842</v>
      </c>
      <c r="S1191" s="60" t="str">
        <f>IF($C1191="B",INDEX(Batters[[#All],[DEM]],MATCH(Table5[[#This Row],[PID]],Batters[[#All],[PID]],0)),INDEX(Table3[[#All],[DEM]],MATCH(Table5[[#This Row],[PID]],Table3[[#All],[PID]],0)))</f>
        <v>-</v>
      </c>
      <c r="T1191" s="64">
        <f>IF($C1191="B",VLOOKUP($A1191,Bat!$A$4:$AU$1417,46,FALSE),VLOOKUP($A1191,Pit!$A$4:$BD$570,55,FALSE))</f>
        <v>0</v>
      </c>
      <c r="U1191" s="52">
        <f>IF($C1191="B",VLOOKUP($A1191,Bat!$A$4:$BA$1417,47,FALSE),VLOOKUP($A1191,Pit!$A$4:$BF$570,56,FALSE))</f>
        <v>0</v>
      </c>
      <c r="V1191" s="52">
        <f>IF($C1191="B",VLOOKUP($A1191,Bat!$A$4:$BA$1417,48,FALSE),VLOOKUP($A1191,Pit!$A$4:$BF$570,57,FALSE))</f>
        <v>0</v>
      </c>
      <c r="W1191" s="52">
        <f>Table5[[#This Row],[posRnk]]+Table5[[#This Row],[zRnk]]+IF($W$3&lt;&gt;Table5[[#This Row],[Type]],50,0)</f>
        <v>1237</v>
      </c>
      <c r="X1191" s="53">
        <f>RANK(Table5[[#This Row],[zScore]],Table5[[#All],[zScore]])</f>
        <v>1187</v>
      </c>
      <c r="Y1191" s="52" t="str">
        <f>IFERROR(INDEX(DraftResults[[#All],[OVR]],MATCH(Table5[[#This Row],[PID]],DraftResults[[#All],[Player ID]],0)),"")</f>
        <v/>
      </c>
      <c r="Z11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1" s="52" t="str">
        <f>IFERROR(INDEX(DraftResults[[#All],[Pick in Round]],MATCH(Table5[[#This Row],[PID]],DraftResults[[#All],[Player ID]],0)),"")</f>
        <v/>
      </c>
      <c r="AB1191" s="52" t="str">
        <f>IFERROR(INDEX(DraftResults[[#All],[Team Name]],MATCH(Table5[[#This Row],[PID]],DraftResults[[#All],[Player ID]],0)),"")</f>
        <v/>
      </c>
      <c r="AC1191" s="52" t="str">
        <f>IF(Table5[[#This Row],[Ovr]]="","",IF(Table5[[#This Row],[cmbList]]="","",Table5[[#This Row],[cmbList]]-Table5[[#This Row],[Ovr]]))</f>
        <v/>
      </c>
      <c r="AD1191" s="56" t="str">
        <f>IF(ISERROR(VLOOKUP($AB1191&amp;"-"&amp;$E1191&amp;" "&amp;F1191,Bonuses!$B$1:$G$1006,4,FALSE)),"",INT(VLOOKUP($AB1191&amp;"-"&amp;$E1191&amp;" "&amp;$F1191,Bonuses!$B$1:$G$1006,4,FALSE)))</f>
        <v/>
      </c>
      <c r="AE11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2" spans="1:31" s="8" customFormat="1" x14ac:dyDescent="0.25">
      <c r="A1192" s="52">
        <v>10752</v>
      </c>
      <c r="B1192" s="52">
        <f>COUNTIF(Table5[PID],A1192)</f>
        <v>1</v>
      </c>
      <c r="C1192" s="52" t="str">
        <f>IF(COUNTIF(Table3[[#All],[PID]],A1192)&gt;0,"P","B")</f>
        <v>B</v>
      </c>
      <c r="D1192" s="61" t="str">
        <f>IF($C1192="B",INDEX(Batters[[#All],[POS]],MATCH(Table5[[#This Row],[PID]],Batters[[#All],[PID]],0)),INDEX(Table3[[#All],[POS]],MATCH(Table5[[#This Row],[PID]],Table3[[#All],[PID]],0)))</f>
        <v>C</v>
      </c>
      <c r="E1192" s="54" t="str">
        <f>IF($C1192="B",INDEX(Batters[[#All],[First]],MATCH(Table5[[#This Row],[PID]],Batters[[#All],[PID]],0)),INDEX(Table3[[#All],[First]],MATCH(Table5[[#This Row],[PID]],Table3[[#All],[PID]],0)))</f>
        <v>Joe</v>
      </c>
      <c r="F1192" s="52" t="str">
        <f>IF($C1192="B",INDEX(Batters[[#All],[Last]],MATCH(A1192,Batters[[#All],[PID]],0)),INDEX(Table3[[#All],[Last]],MATCH(A1192,Table3[[#All],[PID]],0)))</f>
        <v>Phillips</v>
      </c>
      <c r="G1192" s="58">
        <f>IF($C1192="B",INDEX(Batters[[#All],[Age]],MATCH(Table5[[#This Row],[PID]],Batters[[#All],[PID]],0)),INDEX(Table3[[#All],[Age]],MATCH(Table5[[#This Row],[PID]],Table3[[#All],[PID]],0)))</f>
        <v>22</v>
      </c>
      <c r="H1192" s="54" t="str">
        <f>IF($C1192="B",INDEX(Batters[[#All],[B]],MATCH(Table5[[#This Row],[PID]],Batters[[#All],[PID]],0)),INDEX(Table3[[#All],[B]],MATCH(Table5[[#This Row],[PID]],Table3[[#All],[PID]],0)))</f>
        <v>R</v>
      </c>
      <c r="I1192" s="54" t="str">
        <f>IF($C1192="B",INDEX(Batters[[#All],[T]],MATCH(Table5[[#This Row],[PID]],Batters[[#All],[PID]],0)),INDEX(Table3[[#All],[T]],MATCH(Table5[[#This Row],[PID]],Table3[[#All],[PID]],0)))</f>
        <v>R</v>
      </c>
      <c r="J1192" s="54" t="str">
        <f>IF($C1192="B",INDEX(Batters[[#All],[WE]],MATCH(Table5[[#This Row],[PID]],Batters[[#All],[PID]],0)),INDEX(Table3[[#All],[WE]],MATCH(Table5[[#This Row],[PID]],Table3[[#All],[PID]],0)))</f>
        <v>Low</v>
      </c>
      <c r="K1192" s="54" t="str">
        <f>IF($C1192="B",INDEX(Batters[[#All],[INT]],MATCH(Table5[[#This Row],[PID]],Batters[[#All],[PID]],0)),INDEX(Table3[[#All],[INT]],MATCH(Table5[[#This Row],[PID]],Table3[[#All],[PID]],0)))</f>
        <v>Normal</v>
      </c>
      <c r="L1192" s="62">
        <f>IF($C1192="B",INDEX(Batters[[#All],[CON P]],MATCH(Table5[[#This Row],[PID]],Batters[[#All],[PID]],0)),INDEX(Table3[[#All],[STU P]],MATCH(Table5[[#This Row],[PID]],Table3[[#All],[PID]],0)))</f>
        <v>2</v>
      </c>
      <c r="M1192" s="58">
        <f>IF($C1192="B",INDEX(Batters[[#All],[GAP P]],MATCH(Table5[[#This Row],[PID]],Batters[[#All],[PID]],0)),INDEX(Table3[[#All],[MOV P]],MATCH(Table5[[#This Row],[PID]],Table3[[#All],[PID]],0)))</f>
        <v>3</v>
      </c>
      <c r="N1192" s="58">
        <f>IF($C1192="B",INDEX(Batters[[#All],[POW P]],MATCH(Table5[[#This Row],[PID]],Batters[[#All],[PID]],0)),INDEX(Table3[[#All],[CON P]],MATCH(Table5[[#This Row],[PID]],Table3[[#All],[PID]],0)))</f>
        <v>2</v>
      </c>
      <c r="O1192" s="58">
        <f>IF($C1192="B",INDEX(Batters[[#All],[EYE P]],MATCH(Table5[[#This Row],[PID]],Batters[[#All],[PID]],0)),INDEX(Table3[[#All],[VELO]],MATCH(Table5[[#This Row],[PID]],Table3[[#All],[PID]],0)))</f>
        <v>5</v>
      </c>
      <c r="P1192" s="58">
        <f>IF($C1192="B",INDEX(Batters[[#All],[K P]],MATCH(Table5[[#This Row],[PID]],Batters[[#All],[PID]],0)),INDEX(Table3[[#All],[STM]],MATCH(Table5[[#This Row],[PID]],Table3[[#All],[PID]],0)))</f>
        <v>2</v>
      </c>
      <c r="Q1192" s="63">
        <f>IF($C1192="B",INDEX(Batters[[#All],[Tot]],MATCH(Table5[[#This Row],[PID]],Batters[[#All],[PID]],0)),INDEX(Table3[[#All],[Tot]],MATCH(Table5[[#This Row],[PID]],Table3[[#All],[PID]],0)))</f>
        <v>31.339899066285241</v>
      </c>
      <c r="R1192" s="54">
        <f>IF($C1192="B",INDEX(Batters[[#All],[zScore]],MATCH(Table5[[#This Row],[PID]],Batters[[#All],[PID]],0)),INDEX(Table3[[#All],[zScore]],MATCH(Table5[[#This Row],[PID]],Table3[[#All],[PID]],0)))</f>
        <v>-1.5849590097405257</v>
      </c>
      <c r="S1192" s="60" t="str">
        <f>IF($C1192="B",INDEX(Batters[[#All],[DEM]],MATCH(Table5[[#This Row],[PID]],Batters[[#All],[PID]],0)),INDEX(Table3[[#All],[DEM]],MATCH(Table5[[#This Row],[PID]],Table3[[#All],[PID]],0)))</f>
        <v>-</v>
      </c>
      <c r="T1192" s="64">
        <f>IF($C1192="B",VLOOKUP($A1192,Bat!$A$4:$AU$1417,46,FALSE),VLOOKUP($A1192,Pit!$A$4:$BD$570,55,FALSE))</f>
        <v>0</v>
      </c>
      <c r="U1192" s="52">
        <f>IF($C1192="B",VLOOKUP($A1192,Bat!$A$4:$BA$1417,47,FALSE),VLOOKUP($A1192,Pit!$A$4:$BF$570,56,FALSE))</f>
        <v>0</v>
      </c>
      <c r="V1192" s="52">
        <f>IF($C1192="B",VLOOKUP($A1192,Bat!$A$4:$BA$1417,48,FALSE),VLOOKUP($A1192,Pit!$A$4:$BF$570,57,FALSE))</f>
        <v>0</v>
      </c>
      <c r="W1192" s="52">
        <f>Table5[[#This Row],[posRnk]]+Table5[[#This Row],[zRnk]]+IF($W$3&lt;&gt;Table5[[#This Row],[Type]],50,0)</f>
        <v>1238</v>
      </c>
      <c r="X1192" s="53">
        <f>RANK(Table5[[#This Row],[zScore]],Table5[[#All],[zScore]])</f>
        <v>1188</v>
      </c>
      <c r="Y1192" s="52" t="str">
        <f>IFERROR(INDEX(DraftResults[[#All],[OVR]],MATCH(Table5[[#This Row],[PID]],DraftResults[[#All],[Player ID]],0)),"")</f>
        <v/>
      </c>
      <c r="Z11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2" s="52" t="str">
        <f>IFERROR(INDEX(DraftResults[[#All],[Pick in Round]],MATCH(Table5[[#This Row],[PID]],DraftResults[[#All],[Player ID]],0)),"")</f>
        <v/>
      </c>
      <c r="AB1192" s="52" t="str">
        <f>IFERROR(INDEX(DraftResults[[#All],[Team Name]],MATCH(Table5[[#This Row],[PID]],DraftResults[[#All],[Player ID]],0)),"")</f>
        <v/>
      </c>
      <c r="AC1192" s="52" t="str">
        <f>IF(Table5[[#This Row],[Ovr]]="","",IF(Table5[[#This Row],[cmbList]]="","",Table5[[#This Row],[cmbList]]-Table5[[#This Row],[Ovr]]))</f>
        <v/>
      </c>
      <c r="AD1192" s="56" t="str">
        <f>IF(ISERROR(VLOOKUP($AB1192&amp;"-"&amp;$E1192&amp;" "&amp;F1192,Bonuses!$B$1:$G$1006,4,FALSE)),"",INT(VLOOKUP($AB1192&amp;"-"&amp;$E1192&amp;" "&amp;$F1192,Bonuses!$B$1:$G$1006,4,FALSE)))</f>
        <v/>
      </c>
      <c r="AE11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3" spans="1:31" s="8" customFormat="1" x14ac:dyDescent="0.25">
      <c r="A1193" s="52">
        <v>10478</v>
      </c>
      <c r="B1193" s="52">
        <f>COUNTIF(Table5[PID],A1193)</f>
        <v>1</v>
      </c>
      <c r="C1193" s="52" t="str">
        <f>IF(COUNTIF(Table3[[#All],[PID]],A1193)&gt;0,"P","B")</f>
        <v>B</v>
      </c>
      <c r="D1193" s="61" t="str">
        <f>IF($C1193="B",INDEX(Batters[[#All],[POS]],MATCH(Table5[[#This Row],[PID]],Batters[[#All],[PID]],0)),INDEX(Table3[[#All],[POS]],MATCH(Table5[[#This Row],[PID]],Table3[[#All],[PID]],0)))</f>
        <v>C</v>
      </c>
      <c r="E1193" s="54" t="str">
        <f>IF($C1193="B",INDEX(Batters[[#All],[First]],MATCH(Table5[[#This Row],[PID]],Batters[[#All],[PID]],0)),INDEX(Table3[[#All],[First]],MATCH(Table5[[#This Row],[PID]],Table3[[#All],[PID]],0)))</f>
        <v>Steve</v>
      </c>
      <c r="F1193" s="52" t="str">
        <f>IF($C1193="B",INDEX(Batters[[#All],[Last]],MATCH(A1193,Batters[[#All],[PID]],0)),INDEX(Table3[[#All],[Last]],MATCH(A1193,Table3[[#All],[PID]],0)))</f>
        <v>Nichols</v>
      </c>
      <c r="G1193" s="58">
        <f>IF($C1193="B",INDEX(Batters[[#All],[Age]],MATCH(Table5[[#This Row],[PID]],Batters[[#All],[PID]],0)),INDEX(Table3[[#All],[Age]],MATCH(Table5[[#This Row],[PID]],Table3[[#All],[PID]],0)))</f>
        <v>21</v>
      </c>
      <c r="H1193" s="54" t="str">
        <f>IF($C1193="B",INDEX(Batters[[#All],[B]],MATCH(Table5[[#This Row],[PID]],Batters[[#All],[PID]],0)),INDEX(Table3[[#All],[B]],MATCH(Table5[[#This Row],[PID]],Table3[[#All],[PID]],0)))</f>
        <v>R</v>
      </c>
      <c r="I1193" s="54" t="str">
        <f>IF($C1193="B",INDEX(Batters[[#All],[T]],MATCH(Table5[[#This Row],[PID]],Batters[[#All],[PID]],0)),INDEX(Table3[[#All],[T]],MATCH(Table5[[#This Row],[PID]],Table3[[#All],[PID]],0)))</f>
        <v>R</v>
      </c>
      <c r="J1193" s="54" t="str">
        <f>IF($C1193="B",INDEX(Batters[[#All],[WE]],MATCH(Table5[[#This Row],[PID]],Batters[[#All],[PID]],0)),INDEX(Table3[[#All],[WE]],MATCH(Table5[[#This Row],[PID]],Table3[[#All],[PID]],0)))</f>
        <v>Low</v>
      </c>
      <c r="K1193" s="54" t="str">
        <f>IF($C1193="B",INDEX(Batters[[#All],[INT]],MATCH(Table5[[#This Row],[PID]],Batters[[#All],[PID]],0)),INDEX(Table3[[#All],[INT]],MATCH(Table5[[#This Row],[PID]],Table3[[#All],[PID]],0)))</f>
        <v>Normal</v>
      </c>
      <c r="L1193" s="62">
        <f>IF($C1193="B",INDEX(Batters[[#All],[CON P]],MATCH(Table5[[#This Row],[PID]],Batters[[#All],[PID]],0)),INDEX(Table3[[#All],[STU P]],MATCH(Table5[[#This Row],[PID]],Table3[[#All],[PID]],0)))</f>
        <v>2</v>
      </c>
      <c r="M1193" s="58">
        <f>IF($C1193="B",INDEX(Batters[[#All],[GAP P]],MATCH(Table5[[#This Row],[PID]],Batters[[#All],[PID]],0)),INDEX(Table3[[#All],[MOV P]],MATCH(Table5[[#This Row],[PID]],Table3[[#All],[PID]],0)))</f>
        <v>3</v>
      </c>
      <c r="N1193" s="58">
        <f>IF($C1193="B",INDEX(Batters[[#All],[POW P]],MATCH(Table5[[#This Row],[PID]],Batters[[#All],[PID]],0)),INDEX(Table3[[#All],[CON P]],MATCH(Table5[[#This Row],[PID]],Table3[[#All],[PID]],0)))</f>
        <v>4</v>
      </c>
      <c r="O1193" s="58">
        <f>IF($C1193="B",INDEX(Batters[[#All],[EYE P]],MATCH(Table5[[#This Row],[PID]],Batters[[#All],[PID]],0)),INDEX(Table3[[#All],[VELO]],MATCH(Table5[[#This Row],[PID]],Table3[[#All],[PID]],0)))</f>
        <v>4</v>
      </c>
      <c r="P1193" s="58">
        <f>IF($C1193="B",INDEX(Batters[[#All],[K P]],MATCH(Table5[[#This Row],[PID]],Batters[[#All],[PID]],0)),INDEX(Table3[[#All],[STM]],MATCH(Table5[[#This Row],[PID]],Table3[[#All],[PID]],0)))</f>
        <v>2</v>
      </c>
      <c r="Q1193" s="63">
        <f>IF($C1193="B",INDEX(Batters[[#All],[Tot]],MATCH(Table5[[#This Row],[PID]],Batters[[#All],[PID]],0)),INDEX(Table3[[#All],[Tot]],MATCH(Table5[[#This Row],[PID]],Table3[[#All],[PID]],0)))</f>
        <v>31.306195517145341</v>
      </c>
      <c r="R1193" s="54">
        <f>IF($C1193="B",INDEX(Batters[[#All],[zScore]],MATCH(Table5[[#This Row],[PID]],Batters[[#All],[PID]],0)),INDEX(Table3[[#All],[zScore]],MATCH(Table5[[#This Row],[PID]],Table3[[#All],[PID]],0)))</f>
        <v>-1.5908889252076788</v>
      </c>
      <c r="S1193" s="60" t="str">
        <f>IF($C1193="B",INDEX(Batters[[#All],[DEM]],MATCH(Table5[[#This Row],[PID]],Batters[[#All],[PID]],0)),INDEX(Table3[[#All],[DEM]],MATCH(Table5[[#This Row],[PID]],Table3[[#All],[PID]],0)))</f>
        <v>$20k</v>
      </c>
      <c r="T1193" s="64">
        <f>IF($C1193="B",VLOOKUP($A1193,Bat!$A$4:$AU$1417,46,FALSE),VLOOKUP($A1193,Pit!$A$4:$BD$570,55,FALSE))</f>
        <v>0</v>
      </c>
      <c r="U1193" s="52">
        <f>IF($C1193="B",VLOOKUP($A1193,Bat!$A$4:$BA$1417,47,FALSE),VLOOKUP($A1193,Pit!$A$4:$BF$570,56,FALSE))</f>
        <v>0</v>
      </c>
      <c r="V1193" s="52">
        <f>IF($C1193="B",VLOOKUP($A1193,Bat!$A$4:$BA$1417,48,FALSE),VLOOKUP($A1193,Pit!$A$4:$BF$570,57,FALSE))</f>
        <v>0</v>
      </c>
      <c r="W1193" s="52">
        <f>Table5[[#This Row],[posRnk]]+Table5[[#This Row],[zRnk]]+IF($W$3&lt;&gt;Table5[[#This Row],[Type]],50,0)</f>
        <v>1239</v>
      </c>
      <c r="X1193" s="53">
        <f>RANK(Table5[[#This Row],[zScore]],Table5[[#All],[zScore]])</f>
        <v>1189</v>
      </c>
      <c r="Y1193" s="52" t="str">
        <f>IFERROR(INDEX(DraftResults[[#All],[OVR]],MATCH(Table5[[#This Row],[PID]],DraftResults[[#All],[Player ID]],0)),"")</f>
        <v/>
      </c>
      <c r="Z11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3" s="52" t="str">
        <f>IFERROR(INDEX(DraftResults[[#All],[Pick in Round]],MATCH(Table5[[#This Row],[PID]],DraftResults[[#All],[Player ID]],0)),"")</f>
        <v/>
      </c>
      <c r="AB1193" s="52" t="str">
        <f>IFERROR(INDEX(DraftResults[[#All],[Team Name]],MATCH(Table5[[#This Row],[PID]],DraftResults[[#All],[Player ID]],0)),"")</f>
        <v/>
      </c>
      <c r="AC1193" s="52" t="str">
        <f>IF(Table5[[#This Row],[Ovr]]="","",IF(Table5[[#This Row],[cmbList]]="","",Table5[[#This Row],[cmbList]]-Table5[[#This Row],[Ovr]]))</f>
        <v/>
      </c>
      <c r="AD1193" s="56" t="str">
        <f>IF(ISERROR(VLOOKUP($AB1193&amp;"-"&amp;$E1193&amp;" "&amp;F1193,Bonuses!$B$1:$G$1006,4,FALSE)),"",INT(VLOOKUP($AB1193&amp;"-"&amp;$E1193&amp;" "&amp;$F1193,Bonuses!$B$1:$G$1006,4,FALSE)))</f>
        <v/>
      </c>
      <c r="AE11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4" spans="1:31" s="8" customFormat="1" x14ac:dyDescent="0.25">
      <c r="A1194" s="52">
        <v>5702</v>
      </c>
      <c r="B1194" s="52">
        <f>COUNTIF(Table5[PID],A1194)</f>
        <v>1</v>
      </c>
      <c r="C1194" s="52" t="str">
        <f>IF(COUNTIF(Table3[[#All],[PID]],A1194)&gt;0,"P","B")</f>
        <v>B</v>
      </c>
      <c r="D1194" s="61" t="str">
        <f>IF($C1194="B",INDEX(Batters[[#All],[POS]],MATCH(Table5[[#This Row],[PID]],Batters[[#All],[PID]],0)),INDEX(Table3[[#All],[POS]],MATCH(Table5[[#This Row],[PID]],Table3[[#All],[PID]],0)))</f>
        <v>LF</v>
      </c>
      <c r="E1194" s="54" t="str">
        <f>IF($C1194="B",INDEX(Batters[[#All],[First]],MATCH(Table5[[#This Row],[PID]],Batters[[#All],[PID]],0)),INDEX(Table3[[#All],[First]],MATCH(Table5[[#This Row],[PID]],Table3[[#All],[PID]],0)))</f>
        <v>Stu</v>
      </c>
      <c r="F1194" s="52" t="str">
        <f>IF($C1194="B",INDEX(Batters[[#All],[Last]],MATCH(A1194,Batters[[#All],[PID]],0)),INDEX(Table3[[#All],[Last]],MATCH(A1194,Table3[[#All],[PID]],0)))</f>
        <v>Morton</v>
      </c>
      <c r="G1194" s="58">
        <f>IF($C1194="B",INDEX(Batters[[#All],[Age]],MATCH(Table5[[#This Row],[PID]],Batters[[#All],[PID]],0)),INDEX(Table3[[#All],[Age]],MATCH(Table5[[#This Row],[PID]],Table3[[#All],[PID]],0)))</f>
        <v>22</v>
      </c>
      <c r="H1194" s="54" t="str">
        <f>IF($C1194="B",INDEX(Batters[[#All],[B]],MATCH(Table5[[#This Row],[PID]],Batters[[#All],[PID]],0)),INDEX(Table3[[#All],[B]],MATCH(Table5[[#This Row],[PID]],Table3[[#All],[PID]],0)))</f>
        <v>R</v>
      </c>
      <c r="I1194" s="54" t="str">
        <f>IF($C1194="B",INDEX(Batters[[#All],[T]],MATCH(Table5[[#This Row],[PID]],Batters[[#All],[PID]],0)),INDEX(Table3[[#All],[T]],MATCH(Table5[[#This Row],[PID]],Table3[[#All],[PID]],0)))</f>
        <v>R</v>
      </c>
      <c r="J1194" s="54" t="str">
        <f>IF($C1194="B",INDEX(Batters[[#All],[WE]],MATCH(Table5[[#This Row],[PID]],Batters[[#All],[PID]],0)),INDEX(Table3[[#All],[WE]],MATCH(Table5[[#This Row],[PID]],Table3[[#All],[PID]],0)))</f>
        <v>Low</v>
      </c>
      <c r="K1194" s="54" t="str">
        <f>IF($C1194="B",INDEX(Batters[[#All],[INT]],MATCH(Table5[[#This Row],[PID]],Batters[[#All],[PID]],0)),INDEX(Table3[[#All],[INT]],MATCH(Table5[[#This Row],[PID]],Table3[[#All],[PID]],0)))</f>
        <v>Normal</v>
      </c>
      <c r="L1194" s="62">
        <f>IF($C1194="B",INDEX(Batters[[#All],[CON P]],MATCH(Table5[[#This Row],[PID]],Batters[[#All],[PID]],0)),INDEX(Table3[[#All],[STU P]],MATCH(Table5[[#This Row],[PID]],Table3[[#All],[PID]],0)))</f>
        <v>2</v>
      </c>
      <c r="M1194" s="58">
        <f>IF($C1194="B",INDEX(Batters[[#All],[GAP P]],MATCH(Table5[[#This Row],[PID]],Batters[[#All],[PID]],0)),INDEX(Table3[[#All],[MOV P]],MATCH(Table5[[#This Row],[PID]],Table3[[#All],[PID]],0)))</f>
        <v>3</v>
      </c>
      <c r="N1194" s="58">
        <f>IF($C1194="B",INDEX(Batters[[#All],[POW P]],MATCH(Table5[[#This Row],[PID]],Batters[[#All],[PID]],0)),INDEX(Table3[[#All],[CON P]],MATCH(Table5[[#This Row],[PID]],Table3[[#All],[PID]],0)))</f>
        <v>4</v>
      </c>
      <c r="O1194" s="58">
        <f>IF($C1194="B",INDEX(Batters[[#All],[EYE P]],MATCH(Table5[[#This Row],[PID]],Batters[[#All],[PID]],0)),INDEX(Table3[[#All],[VELO]],MATCH(Table5[[#This Row],[PID]],Table3[[#All],[PID]],0)))</f>
        <v>4</v>
      </c>
      <c r="P1194" s="58">
        <f>IF($C1194="B",INDEX(Batters[[#All],[K P]],MATCH(Table5[[#This Row],[PID]],Batters[[#All],[PID]],0)),INDEX(Table3[[#All],[STM]],MATCH(Table5[[#This Row],[PID]],Table3[[#All],[PID]],0)))</f>
        <v>2</v>
      </c>
      <c r="Q1194" s="63">
        <f>IF($C1194="B",INDEX(Batters[[#All],[Tot]],MATCH(Table5[[#This Row],[PID]],Batters[[#All],[PID]],0)),INDEX(Table3[[#All],[Tot]],MATCH(Table5[[#This Row],[PID]],Table3[[#All],[PID]],0)))</f>
        <v>31.306195517145341</v>
      </c>
      <c r="R1194" s="54">
        <f>IF($C1194="B",INDEX(Batters[[#All],[zScore]],MATCH(Table5[[#This Row],[PID]],Batters[[#All],[PID]],0)),INDEX(Table3[[#All],[zScore]],MATCH(Table5[[#This Row],[PID]],Table3[[#All],[PID]],0)))</f>
        <v>-1.5908889252076788</v>
      </c>
      <c r="S1194" s="60" t="str">
        <f>IF($C1194="B",INDEX(Batters[[#All],[DEM]],MATCH(Table5[[#This Row],[PID]],Batters[[#All],[PID]],0)),INDEX(Table3[[#All],[DEM]],MATCH(Table5[[#This Row],[PID]],Table3[[#All],[PID]],0)))</f>
        <v>-</v>
      </c>
      <c r="T1194" s="64">
        <f>IF($C1194="B",VLOOKUP($A1194,Bat!$A$4:$AU$1417,46,FALSE),VLOOKUP($A1194,Pit!$A$4:$BD$570,55,FALSE))</f>
        <v>0</v>
      </c>
      <c r="U1194" s="52">
        <f>IF($C1194="B",VLOOKUP($A1194,Bat!$A$4:$BA$1417,47,FALSE),VLOOKUP($A1194,Pit!$A$4:$BF$570,56,FALSE))</f>
        <v>0</v>
      </c>
      <c r="V1194" s="52">
        <f>IF($C1194="B",VLOOKUP($A1194,Bat!$A$4:$BA$1417,48,FALSE),VLOOKUP($A1194,Pit!$A$4:$BF$570,57,FALSE))</f>
        <v>0</v>
      </c>
      <c r="W1194" s="52">
        <f>Table5[[#This Row],[posRnk]]+Table5[[#This Row],[zRnk]]+IF($W$3&lt;&gt;Table5[[#This Row],[Type]],50,0)</f>
        <v>1239</v>
      </c>
      <c r="X1194" s="53">
        <f>RANK(Table5[[#This Row],[zScore]],Table5[[#All],[zScore]])</f>
        <v>1189</v>
      </c>
      <c r="Y1194" s="52" t="str">
        <f>IFERROR(INDEX(DraftResults[[#All],[OVR]],MATCH(Table5[[#This Row],[PID]],DraftResults[[#All],[Player ID]],0)),"")</f>
        <v/>
      </c>
      <c r="Z11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4" s="52" t="str">
        <f>IFERROR(INDEX(DraftResults[[#All],[Pick in Round]],MATCH(Table5[[#This Row],[PID]],DraftResults[[#All],[Player ID]],0)),"")</f>
        <v/>
      </c>
      <c r="AB1194" s="52" t="str">
        <f>IFERROR(INDEX(DraftResults[[#All],[Team Name]],MATCH(Table5[[#This Row],[PID]],DraftResults[[#All],[Player ID]],0)),"")</f>
        <v/>
      </c>
      <c r="AC1194" s="52" t="str">
        <f>IF(Table5[[#This Row],[Ovr]]="","",IF(Table5[[#This Row],[cmbList]]="","",Table5[[#This Row],[cmbList]]-Table5[[#This Row],[Ovr]]))</f>
        <v/>
      </c>
      <c r="AD1194" s="56" t="str">
        <f>IF(ISERROR(VLOOKUP($AB1194&amp;"-"&amp;$E1194&amp;" "&amp;F1194,Bonuses!$B$1:$G$1006,4,FALSE)),"",INT(VLOOKUP($AB1194&amp;"-"&amp;$E1194&amp;" "&amp;$F1194,Bonuses!$B$1:$G$1006,4,FALSE)))</f>
        <v/>
      </c>
      <c r="AE11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5" spans="1:31" s="8" customFormat="1" x14ac:dyDescent="0.25">
      <c r="A1195" s="52">
        <v>4755</v>
      </c>
      <c r="B1195" s="52">
        <f>COUNTIF(Table5[PID],A1195)</f>
        <v>1</v>
      </c>
      <c r="C1195" s="52" t="str">
        <f>IF(COUNTIF(Table3[[#All],[PID]],A1195)&gt;0,"P","B")</f>
        <v>B</v>
      </c>
      <c r="D1195" s="61" t="str">
        <f>IF($C1195="B",INDEX(Batters[[#All],[POS]],MATCH(Table5[[#This Row],[PID]],Batters[[#All],[PID]],0)),INDEX(Table3[[#All],[POS]],MATCH(Table5[[#This Row],[PID]],Table3[[#All],[PID]],0)))</f>
        <v>1B</v>
      </c>
      <c r="E1195" s="54" t="str">
        <f>IF($C1195="B",INDEX(Batters[[#All],[First]],MATCH(Table5[[#This Row],[PID]],Batters[[#All],[PID]],0)),INDEX(Table3[[#All],[First]],MATCH(Table5[[#This Row],[PID]],Table3[[#All],[PID]],0)))</f>
        <v>Bob</v>
      </c>
      <c r="F1195" s="52" t="str">
        <f>IF($C1195="B",INDEX(Batters[[#All],[Last]],MATCH(A1195,Batters[[#All],[PID]],0)),INDEX(Table3[[#All],[Last]],MATCH(A1195,Table3[[#All],[PID]],0)))</f>
        <v>Clay</v>
      </c>
      <c r="G1195" s="58">
        <f>IF($C1195="B",INDEX(Batters[[#All],[Age]],MATCH(Table5[[#This Row],[PID]],Batters[[#All],[PID]],0)),INDEX(Table3[[#All],[Age]],MATCH(Table5[[#This Row],[PID]],Table3[[#All],[PID]],0)))</f>
        <v>21</v>
      </c>
      <c r="H1195" s="54" t="str">
        <f>IF($C1195="B",INDEX(Batters[[#All],[B]],MATCH(Table5[[#This Row],[PID]],Batters[[#All],[PID]],0)),INDEX(Table3[[#All],[B]],MATCH(Table5[[#This Row],[PID]],Table3[[#All],[PID]],0)))</f>
        <v>R</v>
      </c>
      <c r="I1195" s="54" t="str">
        <f>IF($C1195="B",INDEX(Batters[[#All],[T]],MATCH(Table5[[#This Row],[PID]],Batters[[#All],[PID]],0)),INDEX(Table3[[#All],[T]],MATCH(Table5[[#This Row],[PID]],Table3[[#All],[PID]],0)))</f>
        <v>R</v>
      </c>
      <c r="J1195" s="54" t="str">
        <f>IF($C1195="B",INDEX(Batters[[#All],[WE]],MATCH(Table5[[#This Row],[PID]],Batters[[#All],[PID]],0)),INDEX(Table3[[#All],[WE]],MATCH(Table5[[#This Row],[PID]],Table3[[#All],[PID]],0)))</f>
        <v>Normal</v>
      </c>
      <c r="K1195" s="54" t="str">
        <f>IF($C1195="B",INDEX(Batters[[#All],[INT]],MATCH(Table5[[#This Row],[PID]],Batters[[#All],[PID]],0)),INDEX(Table3[[#All],[INT]],MATCH(Table5[[#This Row],[PID]],Table3[[#All],[PID]],0)))</f>
        <v>Normal</v>
      </c>
      <c r="L1195" s="62">
        <f>IF($C1195="B",INDEX(Batters[[#All],[CON P]],MATCH(Table5[[#This Row],[PID]],Batters[[#All],[PID]],0)),INDEX(Table3[[#All],[STU P]],MATCH(Table5[[#This Row],[PID]],Table3[[#All],[PID]],0)))</f>
        <v>3</v>
      </c>
      <c r="M1195" s="58">
        <f>IF($C1195="B",INDEX(Batters[[#All],[GAP P]],MATCH(Table5[[#This Row],[PID]],Batters[[#All],[PID]],0)),INDEX(Table3[[#All],[MOV P]],MATCH(Table5[[#This Row],[PID]],Table3[[#All],[PID]],0)))</f>
        <v>2</v>
      </c>
      <c r="N1195" s="58">
        <f>IF($C1195="B",INDEX(Batters[[#All],[POW P]],MATCH(Table5[[#This Row],[PID]],Batters[[#All],[PID]],0)),INDEX(Table3[[#All],[CON P]],MATCH(Table5[[#This Row],[PID]],Table3[[#All],[PID]],0)))</f>
        <v>2</v>
      </c>
      <c r="O1195" s="58">
        <f>IF($C1195="B",INDEX(Batters[[#All],[EYE P]],MATCH(Table5[[#This Row],[PID]],Batters[[#All],[PID]],0)),INDEX(Table3[[#All],[VELO]],MATCH(Table5[[#This Row],[PID]],Table3[[#All],[PID]],0)))</f>
        <v>2</v>
      </c>
      <c r="P1195" s="58">
        <f>IF($C1195="B",INDEX(Batters[[#All],[K P]],MATCH(Table5[[#This Row],[PID]],Batters[[#All],[PID]],0)),INDEX(Table3[[#All],[STM]],MATCH(Table5[[#This Row],[PID]],Table3[[#All],[PID]],0)))</f>
        <v>3</v>
      </c>
      <c r="Q1195" s="63">
        <f>IF($C1195="B",INDEX(Batters[[#All],[Tot]],MATCH(Table5[[#This Row],[PID]],Batters[[#All],[PID]],0)),INDEX(Table3[[#All],[Tot]],MATCH(Table5[[#This Row],[PID]],Table3[[#All],[PID]],0)))</f>
        <v>31.1754549247892</v>
      </c>
      <c r="R1195" s="54">
        <f>IF($C1195="B",INDEX(Batters[[#All],[zScore]],MATCH(Table5[[#This Row],[PID]],Batters[[#All],[PID]],0)),INDEX(Table3[[#All],[zScore]],MATCH(Table5[[#This Row],[PID]],Table3[[#All],[PID]],0)))</f>
        <v>-1.6138918634911013</v>
      </c>
      <c r="S1195" s="60" t="str">
        <f>IF($C1195="B",INDEX(Batters[[#All],[DEM]],MATCH(Table5[[#This Row],[PID]],Batters[[#All],[PID]],0)),INDEX(Table3[[#All],[DEM]],MATCH(Table5[[#This Row],[PID]],Table3[[#All],[PID]],0)))</f>
        <v>-</v>
      </c>
      <c r="T1195" s="64">
        <f>IF($C1195="B",VLOOKUP($A1195,Bat!$A$4:$AU$1417,46,FALSE),VLOOKUP($A1195,Pit!$A$4:$BD$570,55,FALSE))</f>
        <v>0</v>
      </c>
      <c r="U1195" s="52">
        <f>IF($C1195="B",VLOOKUP($A1195,Bat!$A$4:$BA$1417,47,FALSE),VLOOKUP($A1195,Pit!$A$4:$BF$570,56,FALSE))</f>
        <v>0</v>
      </c>
      <c r="V1195" s="52">
        <f>IF($C1195="B",VLOOKUP($A1195,Bat!$A$4:$BA$1417,48,FALSE),VLOOKUP($A1195,Pit!$A$4:$BF$570,57,FALSE))</f>
        <v>0</v>
      </c>
      <c r="W1195" s="52">
        <f>Table5[[#This Row],[posRnk]]+Table5[[#This Row],[zRnk]]+IF($W$3&lt;&gt;Table5[[#This Row],[Type]],50,0)</f>
        <v>1241</v>
      </c>
      <c r="X1195" s="53">
        <f>RANK(Table5[[#This Row],[zScore]],Table5[[#All],[zScore]])</f>
        <v>1191</v>
      </c>
      <c r="Y1195" s="52" t="str">
        <f>IFERROR(INDEX(DraftResults[[#All],[OVR]],MATCH(Table5[[#This Row],[PID]],DraftResults[[#All],[Player ID]],0)),"")</f>
        <v/>
      </c>
      <c r="Z11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5" s="52" t="str">
        <f>IFERROR(INDEX(DraftResults[[#All],[Pick in Round]],MATCH(Table5[[#This Row],[PID]],DraftResults[[#All],[Player ID]],0)),"")</f>
        <v/>
      </c>
      <c r="AB1195" s="52" t="str">
        <f>IFERROR(INDEX(DraftResults[[#All],[Team Name]],MATCH(Table5[[#This Row],[PID]],DraftResults[[#All],[Player ID]],0)),"")</f>
        <v/>
      </c>
      <c r="AC1195" s="52" t="str">
        <f>IF(Table5[[#This Row],[Ovr]]="","",IF(Table5[[#This Row],[cmbList]]="","",Table5[[#This Row],[cmbList]]-Table5[[#This Row],[Ovr]]))</f>
        <v/>
      </c>
      <c r="AD1195" s="56" t="str">
        <f>IF(ISERROR(VLOOKUP($AB1195&amp;"-"&amp;$E1195&amp;" "&amp;F1195,Bonuses!$B$1:$G$1006,4,FALSE)),"",INT(VLOOKUP($AB1195&amp;"-"&amp;$E1195&amp;" "&amp;$F1195,Bonuses!$B$1:$G$1006,4,FALSE)))</f>
        <v/>
      </c>
      <c r="AE11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6" spans="1:31" s="8" customFormat="1" x14ac:dyDescent="0.25">
      <c r="A1196" s="52">
        <v>11776</v>
      </c>
      <c r="B1196" s="52">
        <f>COUNTIF(Table5[PID],A1196)</f>
        <v>1</v>
      </c>
      <c r="C1196" s="52" t="str">
        <f>IF(COUNTIF(Table3[[#All],[PID]],A1196)&gt;0,"P","B")</f>
        <v>P</v>
      </c>
      <c r="D1196" s="61" t="str">
        <f>IF($C1196="B",INDEX(Batters[[#All],[POS]],MATCH(Table5[[#This Row],[PID]],Batters[[#All],[PID]],0)),INDEX(Table3[[#All],[POS]],MATCH(Table5[[#This Row],[PID]],Table3[[#All],[PID]],0)))</f>
        <v>RP</v>
      </c>
      <c r="E1196" s="54" t="str">
        <f>IF($C1196="B",INDEX(Batters[[#All],[First]],MATCH(Table5[[#This Row],[PID]],Batters[[#All],[PID]],0)),INDEX(Table3[[#All],[First]],MATCH(Table5[[#This Row],[PID]],Table3[[#All],[PID]],0)))</f>
        <v>Tim</v>
      </c>
      <c r="F1196" s="52" t="str">
        <f>IF($C1196="B",INDEX(Batters[[#All],[Last]],MATCH(A1196,Batters[[#All],[PID]],0)),INDEX(Table3[[#All],[Last]],MATCH(A1196,Table3[[#All],[PID]],0)))</f>
        <v>Liñares</v>
      </c>
      <c r="G1196" s="58">
        <f>IF($C1196="B",INDEX(Batters[[#All],[Age]],MATCH(Table5[[#This Row],[PID]],Batters[[#All],[PID]],0)),INDEX(Table3[[#All],[Age]],MATCH(Table5[[#This Row],[PID]],Table3[[#All],[PID]],0)))</f>
        <v>21</v>
      </c>
      <c r="H1196" s="54" t="str">
        <f>IF($C1196="B",INDEX(Batters[[#All],[B]],MATCH(Table5[[#This Row],[PID]],Batters[[#All],[PID]],0)),INDEX(Table3[[#All],[B]],MATCH(Table5[[#This Row],[PID]],Table3[[#All],[PID]],0)))</f>
        <v>L</v>
      </c>
      <c r="I1196" s="54" t="str">
        <f>IF($C1196="B",INDEX(Batters[[#All],[T]],MATCH(Table5[[#This Row],[PID]],Batters[[#All],[PID]],0)),INDEX(Table3[[#All],[T]],MATCH(Table5[[#This Row],[PID]],Table3[[#All],[PID]],0)))</f>
        <v>R</v>
      </c>
      <c r="J1196" s="54" t="str">
        <f>IF($C1196="B",INDEX(Batters[[#All],[WE]],MATCH(Table5[[#This Row],[PID]],Batters[[#All],[PID]],0)),INDEX(Table3[[#All],[WE]],MATCH(Table5[[#This Row],[PID]],Table3[[#All],[PID]],0)))</f>
        <v>Low</v>
      </c>
      <c r="K1196" s="54" t="str">
        <f>IF($C1196="B",INDEX(Batters[[#All],[INT]],MATCH(Table5[[#This Row],[PID]],Batters[[#All],[PID]],0)),INDEX(Table3[[#All],[INT]],MATCH(Table5[[#This Row],[PID]],Table3[[#All],[PID]],0)))</f>
        <v>Low</v>
      </c>
      <c r="L1196" s="62">
        <f>IF($C1196="B",INDEX(Batters[[#All],[CON P]],MATCH(Table5[[#This Row],[PID]],Batters[[#All],[PID]],0)),INDEX(Table3[[#All],[STU P]],MATCH(Table5[[#This Row],[PID]],Table3[[#All],[PID]],0)))</f>
        <v>2</v>
      </c>
      <c r="M1196" s="58">
        <f>IF($C1196="B",INDEX(Batters[[#All],[GAP P]],MATCH(Table5[[#This Row],[PID]],Batters[[#All],[PID]],0)),INDEX(Table3[[#All],[MOV P]],MATCH(Table5[[#This Row],[PID]],Table3[[#All],[PID]],0)))</f>
        <v>1</v>
      </c>
      <c r="N1196" s="58">
        <f>IF($C1196="B",INDEX(Batters[[#All],[POW P]],MATCH(Table5[[#This Row],[PID]],Batters[[#All],[PID]],0)),INDEX(Table3[[#All],[CON P]],MATCH(Table5[[#This Row],[PID]],Table3[[#All],[PID]],0)))</f>
        <v>2</v>
      </c>
      <c r="O1196" s="58" t="str">
        <f>IF($C1196="B",INDEX(Batters[[#All],[EYE P]],MATCH(Table5[[#This Row],[PID]],Batters[[#All],[PID]],0)),INDEX(Table3[[#All],[VELO]],MATCH(Table5[[#This Row],[PID]],Table3[[#All],[PID]],0)))</f>
        <v>88-90 Mph</v>
      </c>
      <c r="P1196" s="58">
        <f>IF($C1196="B",INDEX(Batters[[#All],[K P]],MATCH(Table5[[#This Row],[PID]],Batters[[#All],[PID]],0)),INDEX(Table3[[#All],[STM]],MATCH(Table5[[#This Row],[PID]],Table3[[#All],[PID]],0)))</f>
        <v>6</v>
      </c>
      <c r="Q1196" s="63">
        <f>IF($C1196="B",INDEX(Batters[[#All],[Tot]],MATCH(Table5[[#This Row],[PID]],Batters[[#All],[PID]],0)),INDEX(Table3[[#All],[Tot]],MATCH(Table5[[#This Row],[PID]],Table3[[#All],[PID]],0)))</f>
        <v>11.903612246864377</v>
      </c>
      <c r="R1196" s="54">
        <f>IF($C1196="B",INDEX(Batters[[#All],[zScore]],MATCH(Table5[[#This Row],[PID]],Batters[[#All],[PID]],0)),INDEX(Table3[[#All],[zScore]],MATCH(Table5[[#This Row],[PID]],Table3[[#All],[PID]],0)))</f>
        <v>-1.6206547837992369</v>
      </c>
      <c r="S1196" s="60" t="str">
        <f>IF($C1196="B",INDEX(Batters[[#All],[DEM]],MATCH(Table5[[#This Row],[PID]],Batters[[#All],[PID]],0)),INDEX(Table3[[#All],[DEM]],MATCH(Table5[[#This Row],[PID]],Table3[[#All],[PID]],0)))</f>
        <v>-</v>
      </c>
      <c r="T1196" s="64" t="e">
        <f>IF($C1196="B",VLOOKUP($A1196,Bat!$A$4:$AU$1417,46,FALSE),VLOOKUP($A1196,Pit!$A$4:$BD$570,55,FALSE))</f>
        <v>#N/A</v>
      </c>
      <c r="U1196" s="52" t="e">
        <f>IF($C1196="B",VLOOKUP($A1196,Bat!$A$4:$BA$1417,47,FALSE),VLOOKUP($A1196,Pit!$A$4:$BF$570,56,FALSE))</f>
        <v>#N/A</v>
      </c>
      <c r="V1196" s="52" t="e">
        <f>IF($C1196="B",VLOOKUP($A1196,Bat!$A$4:$BA$1417,48,FALSE),VLOOKUP($A1196,Pit!$A$4:$BF$570,57,FALSE))</f>
        <v>#N/A</v>
      </c>
      <c r="W1196" s="52" t="e">
        <f>Table5[[#This Row],[posRnk]]+Table5[[#This Row],[zRnk]]+IF($W$3&lt;&gt;Table5[[#This Row],[Type]],50,0)</f>
        <v>#N/A</v>
      </c>
      <c r="X1196" s="53">
        <f>RANK(Table5[[#This Row],[zScore]],Table5[[#All],[zScore]])</f>
        <v>1192</v>
      </c>
      <c r="Y1196" s="52" t="str">
        <f>IFERROR(INDEX(DraftResults[[#All],[OVR]],MATCH(Table5[[#This Row],[PID]],DraftResults[[#All],[Player ID]],0)),"")</f>
        <v/>
      </c>
      <c r="Z11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6" s="52" t="str">
        <f>IFERROR(INDEX(DraftResults[[#All],[Pick in Round]],MATCH(Table5[[#This Row],[PID]],DraftResults[[#All],[Player ID]],0)),"")</f>
        <v/>
      </c>
      <c r="AB1196" s="52" t="str">
        <f>IFERROR(INDEX(DraftResults[[#All],[Team Name]],MATCH(Table5[[#This Row],[PID]],DraftResults[[#All],[Player ID]],0)),"")</f>
        <v/>
      </c>
      <c r="AC1196" s="52" t="str">
        <f>IF(Table5[[#This Row],[Ovr]]="","",IF(Table5[[#This Row],[cmbList]]="","",Table5[[#This Row],[cmbList]]-Table5[[#This Row],[Ovr]]))</f>
        <v/>
      </c>
      <c r="AD1196" s="56" t="str">
        <f>IF(ISERROR(VLOOKUP($AB1196&amp;"-"&amp;$E1196&amp;" "&amp;F1196,Bonuses!$B$1:$G$1006,4,FALSE)),"",INT(VLOOKUP($AB1196&amp;"-"&amp;$E1196&amp;" "&amp;$F1196,Bonuses!$B$1:$G$1006,4,FALSE)))</f>
        <v/>
      </c>
      <c r="AE11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7" spans="1:31" s="8" customFormat="1" x14ac:dyDescent="0.25">
      <c r="A1197" s="52">
        <v>10011</v>
      </c>
      <c r="B1197" s="52">
        <f>COUNTIF(Table5[PID],A1197)</f>
        <v>1</v>
      </c>
      <c r="C1197" s="52" t="str">
        <f>IF(COUNTIF(Table3[[#All],[PID]],A1197)&gt;0,"P","B")</f>
        <v>B</v>
      </c>
      <c r="D1197" s="61" t="str">
        <f>IF($C1197="B",INDEX(Batters[[#All],[POS]],MATCH(Table5[[#This Row],[PID]],Batters[[#All],[PID]],0)),INDEX(Table3[[#All],[POS]],MATCH(Table5[[#This Row],[PID]],Table3[[#All],[PID]],0)))</f>
        <v>1B</v>
      </c>
      <c r="E1197" s="54" t="str">
        <f>IF($C1197="B",INDEX(Batters[[#All],[First]],MATCH(Table5[[#This Row],[PID]],Batters[[#All],[PID]],0)),INDEX(Table3[[#All],[First]],MATCH(Table5[[#This Row],[PID]],Table3[[#All],[PID]],0)))</f>
        <v>Nate</v>
      </c>
      <c r="F1197" s="52" t="str">
        <f>IF($C1197="B",INDEX(Batters[[#All],[Last]],MATCH(A1197,Batters[[#All],[PID]],0)),INDEX(Table3[[#All],[Last]],MATCH(A1197,Table3[[#All],[PID]],0)))</f>
        <v>Maturin</v>
      </c>
      <c r="G1197" s="58">
        <f>IF($C1197="B",INDEX(Batters[[#All],[Age]],MATCH(Table5[[#This Row],[PID]],Batters[[#All],[PID]],0)),INDEX(Table3[[#All],[Age]],MATCH(Table5[[#This Row],[PID]],Table3[[#All],[PID]],0)))</f>
        <v>21</v>
      </c>
      <c r="H1197" s="54" t="str">
        <f>IF($C1197="B",INDEX(Batters[[#All],[B]],MATCH(Table5[[#This Row],[PID]],Batters[[#All],[PID]],0)),INDEX(Table3[[#All],[B]],MATCH(Table5[[#This Row],[PID]],Table3[[#All],[PID]],0)))</f>
        <v>R</v>
      </c>
      <c r="I1197" s="54" t="str">
        <f>IF($C1197="B",INDEX(Batters[[#All],[T]],MATCH(Table5[[#This Row],[PID]],Batters[[#All],[PID]],0)),INDEX(Table3[[#All],[T]],MATCH(Table5[[#This Row],[PID]],Table3[[#All],[PID]],0)))</f>
        <v>R</v>
      </c>
      <c r="J1197" s="54" t="str">
        <f>IF($C1197="B",INDEX(Batters[[#All],[WE]],MATCH(Table5[[#This Row],[PID]],Batters[[#All],[PID]],0)),INDEX(Table3[[#All],[WE]],MATCH(Table5[[#This Row],[PID]],Table3[[#All],[PID]],0)))</f>
        <v>Normal</v>
      </c>
      <c r="K1197" s="54" t="str">
        <f>IF($C1197="B",INDEX(Batters[[#All],[INT]],MATCH(Table5[[#This Row],[PID]],Batters[[#All],[PID]],0)),INDEX(Table3[[#All],[INT]],MATCH(Table5[[#This Row],[PID]],Table3[[#All],[PID]],0)))</f>
        <v>Normal</v>
      </c>
      <c r="L1197" s="62">
        <f>IF($C1197="B",INDEX(Batters[[#All],[CON P]],MATCH(Table5[[#This Row],[PID]],Batters[[#All],[PID]],0)),INDEX(Table3[[#All],[STU P]],MATCH(Table5[[#This Row],[PID]],Table3[[#All],[PID]],0)))</f>
        <v>2</v>
      </c>
      <c r="M1197" s="58">
        <f>IF($C1197="B",INDEX(Batters[[#All],[GAP P]],MATCH(Table5[[#This Row],[PID]],Batters[[#All],[PID]],0)),INDEX(Table3[[#All],[MOV P]],MATCH(Table5[[#This Row],[PID]],Table3[[#All],[PID]],0)))</f>
        <v>3</v>
      </c>
      <c r="N1197" s="58">
        <f>IF($C1197="B",INDEX(Batters[[#All],[POW P]],MATCH(Table5[[#This Row],[PID]],Batters[[#All],[PID]],0)),INDEX(Table3[[#All],[CON P]],MATCH(Table5[[#This Row],[PID]],Table3[[#All],[PID]],0)))</f>
        <v>4</v>
      </c>
      <c r="O1197" s="58">
        <f>IF($C1197="B",INDEX(Batters[[#All],[EYE P]],MATCH(Table5[[#This Row],[PID]],Batters[[#All],[PID]],0)),INDEX(Table3[[#All],[VELO]],MATCH(Table5[[#This Row],[PID]],Table3[[#All],[PID]],0)))</f>
        <v>4</v>
      </c>
      <c r="P1197" s="58">
        <f>IF($C1197="B",INDEX(Batters[[#All],[K P]],MATCH(Table5[[#This Row],[PID]],Batters[[#All],[PID]],0)),INDEX(Table3[[#All],[STM]],MATCH(Table5[[#This Row],[PID]],Table3[[#All],[PID]],0)))</f>
        <v>1</v>
      </c>
      <c r="Q1197" s="63">
        <f>IF($C1197="B",INDEX(Batters[[#All],[Tot]],MATCH(Table5[[#This Row],[PID]],Batters[[#All],[PID]],0)),INDEX(Table3[[#All],[Tot]],MATCH(Table5[[#This Row],[PID]],Table3[[#All],[PID]],0)))</f>
        <v>31.112587301976077</v>
      </c>
      <c r="R1197" s="54">
        <f>IF($C1197="B",INDEX(Batters[[#All],[zScore]],MATCH(Table5[[#This Row],[PID]],Batters[[#All],[PID]],0)),INDEX(Table3[[#All],[zScore]],MATCH(Table5[[#This Row],[PID]],Table3[[#All],[PID]],0)))</f>
        <v>-1.6249530038877762</v>
      </c>
      <c r="S1197" s="60" t="str">
        <f>IF($C1197="B",INDEX(Batters[[#All],[DEM]],MATCH(Table5[[#This Row],[PID]],Batters[[#All],[PID]],0)),INDEX(Table3[[#All],[DEM]],MATCH(Table5[[#This Row],[PID]],Table3[[#All],[PID]],0)))</f>
        <v>$20k</v>
      </c>
      <c r="T1197" s="64">
        <f>IF($C1197="B",VLOOKUP($A1197,Bat!$A$4:$AU$1417,46,FALSE),VLOOKUP($A1197,Pit!$A$4:$BD$570,55,FALSE))</f>
        <v>0</v>
      </c>
      <c r="U1197" s="52">
        <f>IF($C1197="B",VLOOKUP($A1197,Bat!$A$4:$BA$1417,47,FALSE),VLOOKUP($A1197,Pit!$A$4:$BF$570,56,FALSE))</f>
        <v>0</v>
      </c>
      <c r="V1197" s="52">
        <f>IF($C1197="B",VLOOKUP($A1197,Bat!$A$4:$BA$1417,48,FALSE),VLOOKUP($A1197,Pit!$A$4:$BF$570,57,FALSE))</f>
        <v>0</v>
      </c>
      <c r="W1197" s="52">
        <f>Table5[[#This Row],[posRnk]]+Table5[[#This Row],[zRnk]]+IF($W$3&lt;&gt;Table5[[#This Row],[Type]],50,0)</f>
        <v>1243</v>
      </c>
      <c r="X1197" s="53">
        <f>RANK(Table5[[#This Row],[zScore]],Table5[[#All],[zScore]])</f>
        <v>1193</v>
      </c>
      <c r="Y1197" s="52" t="str">
        <f>IFERROR(INDEX(DraftResults[[#All],[OVR]],MATCH(Table5[[#This Row],[PID]],DraftResults[[#All],[Player ID]],0)),"")</f>
        <v/>
      </c>
      <c r="Z11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7" s="52" t="str">
        <f>IFERROR(INDEX(DraftResults[[#All],[Pick in Round]],MATCH(Table5[[#This Row],[PID]],DraftResults[[#All],[Player ID]],0)),"")</f>
        <v/>
      </c>
      <c r="AB1197" s="52" t="str">
        <f>IFERROR(INDEX(DraftResults[[#All],[Team Name]],MATCH(Table5[[#This Row],[PID]],DraftResults[[#All],[Player ID]],0)),"")</f>
        <v/>
      </c>
      <c r="AC1197" s="52" t="str">
        <f>IF(Table5[[#This Row],[Ovr]]="","",IF(Table5[[#This Row],[cmbList]]="","",Table5[[#This Row],[cmbList]]-Table5[[#This Row],[Ovr]]))</f>
        <v/>
      </c>
      <c r="AD1197" s="56" t="str">
        <f>IF(ISERROR(VLOOKUP($AB1197&amp;"-"&amp;$E1197&amp;" "&amp;F1197,Bonuses!$B$1:$G$1006,4,FALSE)),"",INT(VLOOKUP($AB1197&amp;"-"&amp;$E1197&amp;" "&amp;$F1197,Bonuses!$B$1:$G$1006,4,FALSE)))</f>
        <v/>
      </c>
      <c r="AE11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8" spans="1:31" s="8" customFormat="1" x14ac:dyDescent="0.25">
      <c r="A1198" s="52">
        <v>6252</v>
      </c>
      <c r="B1198" s="52">
        <f>COUNTIF(Table5[PID],A1198)</f>
        <v>1</v>
      </c>
      <c r="C1198" s="52" t="str">
        <f>IF(COUNTIF(Table3[[#All],[PID]],A1198)&gt;0,"P","B")</f>
        <v>P</v>
      </c>
      <c r="D1198" s="61" t="str">
        <f>IF($C1198="B",INDEX(Batters[[#All],[POS]],MATCH(Table5[[#This Row],[PID]],Batters[[#All],[PID]],0)),INDEX(Table3[[#All],[POS]],MATCH(Table5[[#This Row],[PID]],Table3[[#All],[PID]],0)))</f>
        <v>RP</v>
      </c>
      <c r="E1198" s="54" t="str">
        <f>IF($C1198="B",INDEX(Batters[[#All],[First]],MATCH(Table5[[#This Row],[PID]],Batters[[#All],[PID]],0)),INDEX(Table3[[#All],[First]],MATCH(Table5[[#This Row],[PID]],Table3[[#All],[PID]],0)))</f>
        <v>Roger</v>
      </c>
      <c r="F1198" s="52" t="str">
        <f>IF($C1198="B",INDEX(Batters[[#All],[Last]],MATCH(A1198,Batters[[#All],[PID]],0)),INDEX(Table3[[#All],[Last]],MATCH(A1198,Table3[[#All],[PID]],0)))</f>
        <v>Hilliard</v>
      </c>
      <c r="G1198" s="58">
        <f>IF($C1198="B",INDEX(Batters[[#All],[Age]],MATCH(Table5[[#This Row],[PID]],Batters[[#All],[PID]],0)),INDEX(Table3[[#All],[Age]],MATCH(Table5[[#This Row],[PID]],Table3[[#All],[PID]],0)))</f>
        <v>20</v>
      </c>
      <c r="H1198" s="54" t="str">
        <f>IF($C1198="B",INDEX(Batters[[#All],[B]],MATCH(Table5[[#This Row],[PID]],Batters[[#All],[PID]],0)),INDEX(Table3[[#All],[B]],MATCH(Table5[[#This Row],[PID]],Table3[[#All],[PID]],0)))</f>
        <v>L</v>
      </c>
      <c r="I1198" s="54" t="str">
        <f>IF($C1198="B",INDEX(Batters[[#All],[T]],MATCH(Table5[[#This Row],[PID]],Batters[[#All],[PID]],0)),INDEX(Table3[[#All],[T]],MATCH(Table5[[#This Row],[PID]],Table3[[#All],[PID]],0)))</f>
        <v>L</v>
      </c>
      <c r="J1198" s="54" t="str">
        <f>IF($C1198="B",INDEX(Batters[[#All],[WE]],MATCH(Table5[[#This Row],[PID]],Batters[[#All],[PID]],0)),INDEX(Table3[[#All],[WE]],MATCH(Table5[[#This Row],[PID]],Table3[[#All],[PID]],0)))</f>
        <v>Low</v>
      </c>
      <c r="K1198" s="54" t="str">
        <f>IF($C1198="B",INDEX(Batters[[#All],[INT]],MATCH(Table5[[#This Row],[PID]],Batters[[#All],[PID]],0)),INDEX(Table3[[#All],[INT]],MATCH(Table5[[#This Row],[PID]],Table3[[#All],[PID]],0)))</f>
        <v>Normal</v>
      </c>
      <c r="L1198" s="62">
        <f>IF($C1198="B",INDEX(Batters[[#All],[CON P]],MATCH(Table5[[#This Row],[PID]],Batters[[#All],[PID]],0)),INDEX(Table3[[#All],[STU P]],MATCH(Table5[[#This Row],[PID]],Table3[[#All],[PID]],0)))</f>
        <v>4</v>
      </c>
      <c r="M1198" s="58">
        <f>IF($C1198="B",INDEX(Batters[[#All],[GAP P]],MATCH(Table5[[#This Row],[PID]],Batters[[#All],[PID]],0)),INDEX(Table3[[#All],[MOV P]],MATCH(Table5[[#This Row],[PID]],Table3[[#All],[PID]],0)))</f>
        <v>1</v>
      </c>
      <c r="N1198" s="58">
        <f>IF($C1198="B",INDEX(Batters[[#All],[POW P]],MATCH(Table5[[#This Row],[PID]],Batters[[#All],[PID]],0)),INDEX(Table3[[#All],[CON P]],MATCH(Table5[[#This Row],[PID]],Table3[[#All],[PID]],0)))</f>
        <v>1</v>
      </c>
      <c r="O1198" s="58" t="str">
        <f>IF($C1198="B",INDEX(Batters[[#All],[EYE P]],MATCH(Table5[[#This Row],[PID]],Batters[[#All],[PID]],0)),INDEX(Table3[[#All],[VELO]],MATCH(Table5[[#This Row],[PID]],Table3[[#All],[PID]],0)))</f>
        <v>88-90 Mph</v>
      </c>
      <c r="P1198" s="58">
        <f>IF($C1198="B",INDEX(Batters[[#All],[K P]],MATCH(Table5[[#This Row],[PID]],Batters[[#All],[PID]],0)),INDEX(Table3[[#All],[STM]],MATCH(Table5[[#This Row],[PID]],Table3[[#All],[PID]],0)))</f>
        <v>6</v>
      </c>
      <c r="Q1198" s="63">
        <f>IF($C1198="B",INDEX(Batters[[#All],[Tot]],MATCH(Table5[[#This Row],[PID]],Batters[[#All],[PID]],0)),INDEX(Table3[[#All],[Tot]],MATCH(Table5[[#This Row],[PID]],Table3[[#All],[PID]],0)))</f>
        <v>14.921322864666987</v>
      </c>
      <c r="R1198" s="54">
        <f>IF($C1198="B",INDEX(Batters[[#All],[zScore]],MATCH(Table5[[#This Row],[PID]],Batters[[#All],[PID]],0)),INDEX(Table3[[#All],[zScore]],MATCH(Table5[[#This Row],[PID]],Table3[[#All],[PID]],0)))</f>
        <v>-1.6324211793927226</v>
      </c>
      <c r="S1198" s="60" t="str">
        <f>IF($C1198="B",INDEX(Batters[[#All],[DEM]],MATCH(Table5[[#This Row],[PID]],Batters[[#All],[PID]],0)),INDEX(Table3[[#All],[DEM]],MATCH(Table5[[#This Row],[PID]],Table3[[#All],[PID]],0)))</f>
        <v>-</v>
      </c>
      <c r="T1198" s="64" t="e">
        <f>IF($C1198="B",VLOOKUP($A1198,Bat!$A$4:$AU$1417,46,FALSE),VLOOKUP($A1198,Pit!$A$4:$BD$570,55,FALSE))</f>
        <v>#N/A</v>
      </c>
      <c r="U1198" s="52" t="e">
        <f>IF($C1198="B",VLOOKUP($A1198,Bat!$A$4:$BA$1417,47,FALSE),VLOOKUP($A1198,Pit!$A$4:$BF$570,56,FALSE))</f>
        <v>#N/A</v>
      </c>
      <c r="V1198" s="52" t="e">
        <f>IF($C1198="B",VLOOKUP($A1198,Bat!$A$4:$BA$1417,48,FALSE),VLOOKUP($A1198,Pit!$A$4:$BF$570,57,FALSE))</f>
        <v>#N/A</v>
      </c>
      <c r="W1198" s="52" t="e">
        <f>Table5[[#This Row],[posRnk]]+Table5[[#This Row],[zRnk]]+IF($W$3&lt;&gt;Table5[[#This Row],[Type]],50,0)</f>
        <v>#N/A</v>
      </c>
      <c r="X1198" s="53">
        <f>RANK(Table5[[#This Row],[zScore]],Table5[[#All],[zScore]])</f>
        <v>1194</v>
      </c>
      <c r="Y1198" s="52" t="str">
        <f>IFERROR(INDEX(DraftResults[[#All],[OVR]],MATCH(Table5[[#This Row],[PID]],DraftResults[[#All],[Player ID]],0)),"")</f>
        <v/>
      </c>
      <c r="Z11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8" s="52" t="str">
        <f>IFERROR(INDEX(DraftResults[[#All],[Pick in Round]],MATCH(Table5[[#This Row],[PID]],DraftResults[[#All],[Player ID]],0)),"")</f>
        <v/>
      </c>
      <c r="AB1198" s="52" t="str">
        <f>IFERROR(INDEX(DraftResults[[#All],[Team Name]],MATCH(Table5[[#This Row],[PID]],DraftResults[[#All],[Player ID]],0)),"")</f>
        <v/>
      </c>
      <c r="AC1198" s="52" t="str">
        <f>IF(Table5[[#This Row],[Ovr]]="","",IF(Table5[[#This Row],[cmbList]]="","",Table5[[#This Row],[cmbList]]-Table5[[#This Row],[Ovr]]))</f>
        <v/>
      </c>
      <c r="AD1198" s="56" t="str">
        <f>IF(ISERROR(VLOOKUP($AB1198&amp;"-"&amp;$E1198&amp;" "&amp;F1198,Bonuses!$B$1:$G$1006,4,FALSE)),"",INT(VLOOKUP($AB1198&amp;"-"&amp;$E1198&amp;" "&amp;$F1198,Bonuses!$B$1:$G$1006,4,FALSE)))</f>
        <v/>
      </c>
      <c r="AE11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9" spans="1:31" s="8" customFormat="1" x14ac:dyDescent="0.25">
      <c r="A1199" s="52">
        <v>12195</v>
      </c>
      <c r="B1199" s="52">
        <f>COUNTIF(Table5[PID],A1199)</f>
        <v>1</v>
      </c>
      <c r="C1199" s="52" t="str">
        <f>IF(COUNTIF(Table3[[#All],[PID]],A1199)&gt;0,"P","B")</f>
        <v>B</v>
      </c>
      <c r="D1199" s="61" t="str">
        <f>IF($C1199="B",INDEX(Batters[[#All],[POS]],MATCH(Table5[[#This Row],[PID]],Batters[[#All],[PID]],0)),INDEX(Table3[[#All],[POS]],MATCH(Table5[[#This Row],[PID]],Table3[[#All],[PID]],0)))</f>
        <v>3B</v>
      </c>
      <c r="E1199" s="54" t="str">
        <f>IF($C1199="B",INDEX(Batters[[#All],[First]],MATCH(Table5[[#This Row],[PID]],Batters[[#All],[PID]],0)),INDEX(Table3[[#All],[First]],MATCH(Table5[[#This Row],[PID]],Table3[[#All],[PID]],0)))</f>
        <v>Danny</v>
      </c>
      <c r="F1199" s="52" t="str">
        <f>IF($C1199="B",INDEX(Batters[[#All],[Last]],MATCH(A1199,Batters[[#All],[PID]],0)),INDEX(Table3[[#All],[Last]],MATCH(A1199,Table3[[#All],[PID]],0)))</f>
        <v>Puckett</v>
      </c>
      <c r="G1199" s="58">
        <f>IF($C1199="B",INDEX(Batters[[#All],[Age]],MATCH(Table5[[#This Row],[PID]],Batters[[#All],[PID]],0)),INDEX(Table3[[#All],[Age]],MATCH(Table5[[#This Row],[PID]],Table3[[#All],[PID]],0)))</f>
        <v>21</v>
      </c>
      <c r="H1199" s="54" t="str">
        <f>IF($C1199="B",INDEX(Batters[[#All],[B]],MATCH(Table5[[#This Row],[PID]],Batters[[#All],[PID]],0)),INDEX(Table3[[#All],[B]],MATCH(Table5[[#This Row],[PID]],Table3[[#All],[PID]],0)))</f>
        <v>R</v>
      </c>
      <c r="I1199" s="54" t="str">
        <f>IF($C1199="B",INDEX(Batters[[#All],[T]],MATCH(Table5[[#This Row],[PID]],Batters[[#All],[PID]],0)),INDEX(Table3[[#All],[T]],MATCH(Table5[[#This Row],[PID]],Table3[[#All],[PID]],0)))</f>
        <v>R</v>
      </c>
      <c r="J1199" s="54" t="str">
        <f>IF($C1199="B",INDEX(Batters[[#All],[WE]],MATCH(Table5[[#This Row],[PID]],Batters[[#All],[PID]],0)),INDEX(Table3[[#All],[WE]],MATCH(Table5[[#This Row],[PID]],Table3[[#All],[PID]],0)))</f>
        <v>High</v>
      </c>
      <c r="K1199" s="54" t="str">
        <f>IF($C1199="B",INDEX(Batters[[#All],[INT]],MATCH(Table5[[#This Row],[PID]],Batters[[#All],[PID]],0)),INDEX(Table3[[#All],[INT]],MATCH(Table5[[#This Row],[PID]],Table3[[#All],[PID]],0)))</f>
        <v>Normal</v>
      </c>
      <c r="L1199" s="62">
        <f>IF($C1199="B",INDEX(Batters[[#All],[CON P]],MATCH(Table5[[#This Row],[PID]],Batters[[#All],[PID]],0)),INDEX(Table3[[#All],[STU P]],MATCH(Table5[[#This Row],[PID]],Table3[[#All],[PID]],0)))</f>
        <v>2</v>
      </c>
      <c r="M1199" s="58">
        <f>IF($C1199="B",INDEX(Batters[[#All],[GAP P]],MATCH(Table5[[#This Row],[PID]],Batters[[#All],[PID]],0)),INDEX(Table3[[#All],[MOV P]],MATCH(Table5[[#This Row],[PID]],Table3[[#All],[PID]],0)))</f>
        <v>4</v>
      </c>
      <c r="N1199" s="58">
        <f>IF($C1199="B",INDEX(Batters[[#All],[POW P]],MATCH(Table5[[#This Row],[PID]],Batters[[#All],[PID]],0)),INDEX(Table3[[#All],[CON P]],MATCH(Table5[[#This Row],[PID]],Table3[[#All],[PID]],0)))</f>
        <v>2</v>
      </c>
      <c r="O1199" s="58">
        <f>IF($C1199="B",INDEX(Batters[[#All],[EYE P]],MATCH(Table5[[#This Row],[PID]],Batters[[#All],[PID]],0)),INDEX(Table3[[#All],[VELO]],MATCH(Table5[[#This Row],[PID]],Table3[[#All],[PID]],0)))</f>
        <v>4</v>
      </c>
      <c r="P1199" s="58">
        <f>IF($C1199="B",INDEX(Batters[[#All],[K P]],MATCH(Table5[[#This Row],[PID]],Batters[[#All],[PID]],0)),INDEX(Table3[[#All],[STM]],MATCH(Table5[[#This Row],[PID]],Table3[[#All],[PID]],0)))</f>
        <v>3</v>
      </c>
      <c r="Q1199" s="63">
        <f>IF($C1199="B",INDEX(Batters[[#All],[Tot]],MATCH(Table5[[#This Row],[PID]],Batters[[#All],[PID]],0)),INDEX(Table3[[#All],[Tot]],MATCH(Table5[[#This Row],[PID]],Table3[[#All],[PID]],0)))</f>
        <v>30.992358823379508</v>
      </c>
      <c r="R1199" s="54">
        <f>IF($C1199="B",INDEX(Batters[[#All],[zScore]],MATCH(Table5[[#This Row],[PID]],Batters[[#All],[PID]],0)),INDEX(Table3[[#All],[zScore]],MATCH(Table5[[#This Row],[PID]],Table3[[#All],[PID]],0)))</f>
        <v>-1.6461064056218992</v>
      </c>
      <c r="S1199" s="60" t="str">
        <f>IF($C1199="B",INDEX(Batters[[#All],[DEM]],MATCH(Table5[[#This Row],[PID]],Batters[[#All],[PID]],0)),INDEX(Table3[[#All],[DEM]],MATCH(Table5[[#This Row],[PID]],Table3[[#All],[PID]],0)))</f>
        <v>-</v>
      </c>
      <c r="T1199" s="64">
        <f>IF($C1199="B",VLOOKUP($A1199,Bat!$A$4:$AU$1417,46,FALSE),VLOOKUP($A1199,Pit!$A$4:$BD$570,55,FALSE))</f>
        <v>0</v>
      </c>
      <c r="U1199" s="52">
        <f>IF($C1199="B",VLOOKUP($A1199,Bat!$A$4:$BA$1417,47,FALSE),VLOOKUP($A1199,Pit!$A$4:$BF$570,56,FALSE))</f>
        <v>0</v>
      </c>
      <c r="V1199" s="52">
        <f>IF($C1199="B",VLOOKUP($A1199,Bat!$A$4:$BA$1417,48,FALSE),VLOOKUP($A1199,Pit!$A$4:$BF$570,57,FALSE))</f>
        <v>0</v>
      </c>
      <c r="W1199" s="52">
        <f>Table5[[#This Row],[posRnk]]+Table5[[#This Row],[zRnk]]+IF($W$3&lt;&gt;Table5[[#This Row],[Type]],50,0)</f>
        <v>1245</v>
      </c>
      <c r="X1199" s="53">
        <f>RANK(Table5[[#This Row],[zScore]],Table5[[#All],[zScore]])</f>
        <v>1195</v>
      </c>
      <c r="Y1199" s="52" t="str">
        <f>IFERROR(INDEX(DraftResults[[#All],[OVR]],MATCH(Table5[[#This Row],[PID]],DraftResults[[#All],[Player ID]],0)),"")</f>
        <v/>
      </c>
      <c r="Z11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99" s="52" t="str">
        <f>IFERROR(INDEX(DraftResults[[#All],[Pick in Round]],MATCH(Table5[[#This Row],[PID]],DraftResults[[#All],[Player ID]],0)),"")</f>
        <v/>
      </c>
      <c r="AB1199" s="52" t="str">
        <f>IFERROR(INDEX(DraftResults[[#All],[Team Name]],MATCH(Table5[[#This Row],[PID]],DraftResults[[#All],[Player ID]],0)),"")</f>
        <v/>
      </c>
      <c r="AC1199" s="52" t="str">
        <f>IF(Table5[[#This Row],[Ovr]]="","",IF(Table5[[#This Row],[cmbList]]="","",Table5[[#This Row],[cmbList]]-Table5[[#This Row],[Ovr]]))</f>
        <v/>
      </c>
      <c r="AD1199" s="56" t="str">
        <f>IF(ISERROR(VLOOKUP($AB1199&amp;"-"&amp;$E1199&amp;" "&amp;F1199,Bonuses!$B$1:$G$1006,4,FALSE)),"",INT(VLOOKUP($AB1199&amp;"-"&amp;$E1199&amp;" "&amp;$F1199,Bonuses!$B$1:$G$1006,4,FALSE)))</f>
        <v/>
      </c>
      <c r="AE11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0" spans="1:31" s="8" customFormat="1" x14ac:dyDescent="0.25">
      <c r="A1200" s="52">
        <v>18053</v>
      </c>
      <c r="B1200" s="52">
        <f>COUNTIF(Table5[PID],A1200)</f>
        <v>1</v>
      </c>
      <c r="C1200" s="52" t="str">
        <f>IF(COUNTIF(Table3[[#All],[PID]],A1200)&gt;0,"P","B")</f>
        <v>P</v>
      </c>
      <c r="D1200" s="61" t="str">
        <f>IF($C1200="B",INDEX(Batters[[#All],[POS]],MATCH(Table5[[#This Row],[PID]],Batters[[#All],[PID]],0)),INDEX(Table3[[#All],[POS]],MATCH(Table5[[#This Row],[PID]],Table3[[#All],[PID]],0)))</f>
        <v>RP</v>
      </c>
      <c r="E1200" s="54" t="str">
        <f>IF($C1200="B",INDEX(Batters[[#All],[First]],MATCH(Table5[[#This Row],[PID]],Batters[[#All],[PID]],0)),INDEX(Table3[[#All],[First]],MATCH(Table5[[#This Row],[PID]],Table3[[#All],[PID]],0)))</f>
        <v>Víctor</v>
      </c>
      <c r="F1200" s="52" t="str">
        <f>IF($C1200="B",INDEX(Batters[[#All],[Last]],MATCH(A1200,Batters[[#All],[PID]],0)),INDEX(Table3[[#All],[Last]],MATCH(A1200,Table3[[#All],[PID]],0)))</f>
        <v>Valdés</v>
      </c>
      <c r="G1200" s="58">
        <f>IF($C1200="B",INDEX(Batters[[#All],[Age]],MATCH(Table5[[#This Row],[PID]],Batters[[#All],[PID]],0)),INDEX(Table3[[#All],[Age]],MATCH(Table5[[#This Row],[PID]],Table3[[#All],[PID]],0)))</f>
        <v>22</v>
      </c>
      <c r="H1200" s="54" t="str">
        <f>IF($C1200="B",INDEX(Batters[[#All],[B]],MATCH(Table5[[#This Row],[PID]],Batters[[#All],[PID]],0)),INDEX(Table3[[#All],[B]],MATCH(Table5[[#This Row],[PID]],Table3[[#All],[PID]],0)))</f>
        <v>R</v>
      </c>
      <c r="I1200" s="54" t="str">
        <f>IF($C1200="B",INDEX(Batters[[#All],[T]],MATCH(Table5[[#This Row],[PID]],Batters[[#All],[PID]],0)),INDEX(Table3[[#All],[T]],MATCH(Table5[[#This Row],[PID]],Table3[[#All],[PID]],0)))</f>
        <v>R</v>
      </c>
      <c r="J1200" s="54" t="str">
        <f>IF($C1200="B",INDEX(Batters[[#All],[WE]],MATCH(Table5[[#This Row],[PID]],Batters[[#All],[PID]],0)),INDEX(Table3[[#All],[WE]],MATCH(Table5[[#This Row],[PID]],Table3[[#All],[PID]],0)))</f>
        <v>Normal</v>
      </c>
      <c r="K1200" s="54" t="str">
        <f>IF($C1200="B",INDEX(Batters[[#All],[INT]],MATCH(Table5[[#This Row],[PID]],Batters[[#All],[PID]],0)),INDEX(Table3[[#All],[INT]],MATCH(Table5[[#This Row],[PID]],Table3[[#All],[PID]],0)))</f>
        <v>Low</v>
      </c>
      <c r="L1200" s="62">
        <f>IF($C1200="B",INDEX(Batters[[#All],[CON P]],MATCH(Table5[[#This Row],[PID]],Batters[[#All],[PID]],0)),INDEX(Table3[[#All],[STU P]],MATCH(Table5[[#This Row],[PID]],Table3[[#All],[PID]],0)))</f>
        <v>4</v>
      </c>
      <c r="M1200" s="58">
        <f>IF($C1200="B",INDEX(Batters[[#All],[GAP P]],MATCH(Table5[[#This Row],[PID]],Batters[[#All],[PID]],0)),INDEX(Table3[[#All],[MOV P]],MATCH(Table5[[#This Row],[PID]],Table3[[#All],[PID]],0)))</f>
        <v>1</v>
      </c>
      <c r="N1200" s="58">
        <f>IF($C1200="B",INDEX(Batters[[#All],[POW P]],MATCH(Table5[[#This Row],[PID]],Batters[[#All],[PID]],0)),INDEX(Table3[[#All],[CON P]],MATCH(Table5[[#This Row],[PID]],Table3[[#All],[PID]],0)))</f>
        <v>1</v>
      </c>
      <c r="O1200" s="58" t="str">
        <f>IF($C1200="B",INDEX(Batters[[#All],[EYE P]],MATCH(Table5[[#This Row],[PID]],Batters[[#All],[PID]],0)),INDEX(Table3[[#All],[VELO]],MATCH(Table5[[#This Row],[PID]],Table3[[#All],[PID]],0)))</f>
        <v>90-92 Mph</v>
      </c>
      <c r="P1200" s="58">
        <f>IF($C1200="B",INDEX(Batters[[#All],[K P]],MATCH(Table5[[#This Row],[PID]],Batters[[#All],[PID]],0)),INDEX(Table3[[#All],[STM]],MATCH(Table5[[#This Row],[PID]],Table3[[#All],[PID]],0)))</f>
        <v>10</v>
      </c>
      <c r="Q1200" s="63">
        <f>IF($C1200="B",INDEX(Batters[[#All],[Tot]],MATCH(Table5[[#This Row],[PID]],Batters[[#All],[PID]],0)),INDEX(Table3[[#All],[Tot]],MATCH(Table5[[#This Row],[PID]],Table3[[#All],[PID]],0)))</f>
        <v>14.760331143248191</v>
      </c>
      <c r="R1200" s="54">
        <f>IF($C1200="B",INDEX(Batters[[#All],[zScore]],MATCH(Table5[[#This Row],[PID]],Batters[[#All],[PID]],0)),INDEX(Table3[[#All],[zScore]],MATCH(Table5[[#This Row],[PID]],Table3[[#All],[PID]],0)))</f>
        <v>-1.6471848083399052</v>
      </c>
      <c r="S1200" s="60" t="str">
        <f>IF($C1200="B",INDEX(Batters[[#All],[DEM]],MATCH(Table5[[#This Row],[PID]],Batters[[#All],[PID]],0)),INDEX(Table3[[#All],[DEM]],MATCH(Table5[[#This Row],[PID]],Table3[[#All],[PID]],0)))</f>
        <v>-</v>
      </c>
      <c r="T1200" s="64" t="e">
        <f>IF($C1200="B",VLOOKUP($A1200,Bat!$A$4:$AU$1417,46,FALSE),VLOOKUP($A1200,Pit!$A$4:$BD$570,55,FALSE))</f>
        <v>#N/A</v>
      </c>
      <c r="U1200" s="52" t="e">
        <f>IF($C1200="B",VLOOKUP($A1200,Bat!$A$4:$BA$1417,47,FALSE),VLOOKUP($A1200,Pit!$A$4:$BF$570,56,FALSE))</f>
        <v>#N/A</v>
      </c>
      <c r="V1200" s="52" t="e">
        <f>IF($C1200="B",VLOOKUP($A1200,Bat!$A$4:$BA$1417,48,FALSE),VLOOKUP($A1200,Pit!$A$4:$BF$570,57,FALSE))</f>
        <v>#N/A</v>
      </c>
      <c r="W1200" s="52" t="e">
        <f>Table5[[#This Row],[posRnk]]+Table5[[#This Row],[zRnk]]+IF($W$3&lt;&gt;Table5[[#This Row],[Type]],50,0)</f>
        <v>#N/A</v>
      </c>
      <c r="X1200" s="53">
        <f>RANK(Table5[[#This Row],[zScore]],Table5[[#All],[zScore]])</f>
        <v>1196</v>
      </c>
      <c r="Y1200" s="52" t="str">
        <f>IFERROR(INDEX(DraftResults[[#All],[OVR]],MATCH(Table5[[#This Row],[PID]],DraftResults[[#All],[Player ID]],0)),"")</f>
        <v/>
      </c>
      <c r="Z12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0" s="52" t="str">
        <f>IFERROR(INDEX(DraftResults[[#All],[Pick in Round]],MATCH(Table5[[#This Row],[PID]],DraftResults[[#All],[Player ID]],0)),"")</f>
        <v/>
      </c>
      <c r="AB1200" s="52" t="str">
        <f>IFERROR(INDEX(DraftResults[[#All],[Team Name]],MATCH(Table5[[#This Row],[PID]],DraftResults[[#All],[Player ID]],0)),"")</f>
        <v/>
      </c>
      <c r="AC1200" s="52" t="str">
        <f>IF(Table5[[#This Row],[Ovr]]="","",IF(Table5[[#This Row],[cmbList]]="","",Table5[[#This Row],[cmbList]]-Table5[[#This Row],[Ovr]]))</f>
        <v/>
      </c>
      <c r="AD1200" s="56" t="str">
        <f>IF(ISERROR(VLOOKUP($AB1200&amp;"-"&amp;$E1200&amp;" "&amp;F1200,Bonuses!$B$1:$G$1006,4,FALSE)),"",INT(VLOOKUP($AB1200&amp;"-"&amp;$E1200&amp;" "&amp;$F1200,Bonuses!$B$1:$G$1006,4,FALSE)))</f>
        <v/>
      </c>
      <c r="AE12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1" spans="1:31" s="8" customFormat="1" x14ac:dyDescent="0.25">
      <c r="A1201" s="52">
        <v>5532</v>
      </c>
      <c r="B1201" s="52">
        <f>COUNTIF(Table5[PID],A1201)</f>
        <v>1</v>
      </c>
      <c r="C1201" s="52" t="str">
        <f>IF(COUNTIF(Table3[[#All],[PID]],A1201)&gt;0,"P","B")</f>
        <v>B</v>
      </c>
      <c r="D1201" s="61" t="str">
        <f>IF($C1201="B",INDEX(Batters[[#All],[POS]],MATCH(Table5[[#This Row],[PID]],Batters[[#All],[PID]],0)),INDEX(Table3[[#All],[POS]],MATCH(Table5[[#This Row],[PID]],Table3[[#All],[PID]],0)))</f>
        <v>2B</v>
      </c>
      <c r="E1201" s="54" t="str">
        <f>IF($C1201="B",INDEX(Batters[[#All],[First]],MATCH(Table5[[#This Row],[PID]],Batters[[#All],[PID]],0)),INDEX(Table3[[#All],[First]],MATCH(Table5[[#This Row],[PID]],Table3[[#All],[PID]],0)))</f>
        <v>Brant</v>
      </c>
      <c r="F1201" s="52" t="str">
        <f>IF($C1201="B",INDEX(Batters[[#All],[Last]],MATCH(A1201,Batters[[#All],[PID]],0)),INDEX(Table3[[#All],[Last]],MATCH(A1201,Table3[[#All],[PID]],0)))</f>
        <v>Parsons</v>
      </c>
      <c r="G1201" s="58">
        <f>IF($C1201="B",INDEX(Batters[[#All],[Age]],MATCH(Table5[[#This Row],[PID]],Batters[[#All],[PID]],0)),INDEX(Table3[[#All],[Age]],MATCH(Table5[[#This Row],[PID]],Table3[[#All],[PID]],0)))</f>
        <v>22</v>
      </c>
      <c r="H1201" s="54" t="str">
        <f>IF($C1201="B",INDEX(Batters[[#All],[B]],MATCH(Table5[[#This Row],[PID]],Batters[[#All],[PID]],0)),INDEX(Table3[[#All],[B]],MATCH(Table5[[#This Row],[PID]],Table3[[#All],[PID]],0)))</f>
        <v>R</v>
      </c>
      <c r="I1201" s="54" t="str">
        <f>IF($C1201="B",INDEX(Batters[[#All],[T]],MATCH(Table5[[#This Row],[PID]],Batters[[#All],[PID]],0)),INDEX(Table3[[#All],[T]],MATCH(Table5[[#This Row],[PID]],Table3[[#All],[PID]],0)))</f>
        <v>R</v>
      </c>
      <c r="J1201" s="54" t="str">
        <f>IF($C1201="B",INDEX(Batters[[#All],[WE]],MATCH(Table5[[#This Row],[PID]],Batters[[#All],[PID]],0)),INDEX(Table3[[#All],[WE]],MATCH(Table5[[#This Row],[PID]],Table3[[#All],[PID]],0)))</f>
        <v>Normal</v>
      </c>
      <c r="K1201" s="54" t="str">
        <f>IF($C1201="B",INDEX(Batters[[#All],[INT]],MATCH(Table5[[#This Row],[PID]],Batters[[#All],[PID]],0)),INDEX(Table3[[#All],[INT]],MATCH(Table5[[#This Row],[PID]],Table3[[#All],[PID]],0)))</f>
        <v>Normal</v>
      </c>
      <c r="L1201" s="62">
        <f>IF($C1201="B",INDEX(Batters[[#All],[CON P]],MATCH(Table5[[#This Row],[PID]],Batters[[#All],[PID]],0)),INDEX(Table3[[#All],[STU P]],MATCH(Table5[[#This Row],[PID]],Table3[[#All],[PID]],0)))</f>
        <v>2</v>
      </c>
      <c r="M1201" s="58">
        <f>IF($C1201="B",INDEX(Batters[[#All],[GAP P]],MATCH(Table5[[#This Row],[PID]],Batters[[#All],[PID]],0)),INDEX(Table3[[#All],[MOV P]],MATCH(Table5[[#This Row],[PID]],Table3[[#All],[PID]],0)))</f>
        <v>3</v>
      </c>
      <c r="N1201" s="58">
        <f>IF($C1201="B",INDEX(Batters[[#All],[POW P]],MATCH(Table5[[#This Row],[PID]],Batters[[#All],[PID]],0)),INDEX(Table3[[#All],[CON P]],MATCH(Table5[[#This Row],[PID]],Table3[[#All],[PID]],0)))</f>
        <v>3</v>
      </c>
      <c r="O1201" s="58">
        <f>IF($C1201="B",INDEX(Batters[[#All],[EYE P]],MATCH(Table5[[#This Row],[PID]],Batters[[#All],[PID]],0)),INDEX(Table3[[#All],[VELO]],MATCH(Table5[[#This Row],[PID]],Table3[[#All],[PID]],0)))</f>
        <v>3</v>
      </c>
      <c r="P1201" s="58">
        <f>IF($C1201="B",INDEX(Batters[[#All],[K P]],MATCH(Table5[[#This Row],[PID]],Batters[[#All],[PID]],0)),INDEX(Table3[[#All],[STM]],MATCH(Table5[[#This Row],[PID]],Table3[[#All],[PID]],0)))</f>
        <v>4</v>
      </c>
      <c r="Q1201" s="63">
        <f>IF($C1201="B",INDEX(Batters[[#All],[Tot]],MATCH(Table5[[#This Row],[PID]],Batters[[#All],[PID]],0)),INDEX(Table3[[#All],[Tot]],MATCH(Table5[[#This Row],[PID]],Table3[[#All],[PID]],0)))</f>
        <v>30.980059673931912</v>
      </c>
      <c r="R1201" s="54">
        <f>IF($C1201="B",INDEX(Batters[[#All],[zScore]],MATCH(Table5[[#This Row],[PID]],Batters[[#All],[PID]],0)),INDEX(Table3[[#All],[zScore]],MATCH(Table5[[#This Row],[PID]],Table3[[#All],[PID]],0)))</f>
        <v>-1.6482703592233252</v>
      </c>
      <c r="S1201" s="60" t="str">
        <f>IF($C1201="B",INDEX(Batters[[#All],[DEM]],MATCH(Table5[[#This Row],[PID]],Batters[[#All],[PID]],0)),INDEX(Table3[[#All],[DEM]],MATCH(Table5[[#This Row],[PID]],Table3[[#All],[PID]],0)))</f>
        <v>-</v>
      </c>
      <c r="T1201" s="64">
        <f>IF($C1201="B",VLOOKUP($A1201,Bat!$A$4:$AU$1417,46,FALSE),VLOOKUP($A1201,Pit!$A$4:$BD$570,55,FALSE))</f>
        <v>0</v>
      </c>
      <c r="U1201" s="52">
        <f>IF($C1201="B",VLOOKUP($A1201,Bat!$A$4:$BA$1417,47,FALSE),VLOOKUP($A1201,Pit!$A$4:$BF$570,56,FALSE))</f>
        <v>0</v>
      </c>
      <c r="V1201" s="52">
        <f>IF($C1201="B",VLOOKUP($A1201,Bat!$A$4:$BA$1417,48,FALSE),VLOOKUP($A1201,Pit!$A$4:$BF$570,57,FALSE))</f>
        <v>0</v>
      </c>
      <c r="W1201" s="52">
        <f>Table5[[#This Row],[posRnk]]+Table5[[#This Row],[zRnk]]+IF($W$3&lt;&gt;Table5[[#This Row],[Type]],50,0)</f>
        <v>1247</v>
      </c>
      <c r="X1201" s="53">
        <f>RANK(Table5[[#This Row],[zScore]],Table5[[#All],[zScore]])</f>
        <v>1197</v>
      </c>
      <c r="Y1201" s="52" t="str">
        <f>IFERROR(INDEX(DraftResults[[#All],[OVR]],MATCH(Table5[[#This Row],[PID]],DraftResults[[#All],[Player ID]],0)),"")</f>
        <v/>
      </c>
      <c r="Z12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1" s="52" t="str">
        <f>IFERROR(INDEX(DraftResults[[#All],[Pick in Round]],MATCH(Table5[[#This Row],[PID]],DraftResults[[#All],[Player ID]],0)),"")</f>
        <v/>
      </c>
      <c r="AB1201" s="52" t="str">
        <f>IFERROR(INDEX(DraftResults[[#All],[Team Name]],MATCH(Table5[[#This Row],[PID]],DraftResults[[#All],[Player ID]],0)),"")</f>
        <v/>
      </c>
      <c r="AC1201" s="52" t="str">
        <f>IF(Table5[[#This Row],[Ovr]]="","",IF(Table5[[#This Row],[cmbList]]="","",Table5[[#This Row],[cmbList]]-Table5[[#This Row],[Ovr]]))</f>
        <v/>
      </c>
      <c r="AD1201" s="56" t="str">
        <f>IF(ISERROR(VLOOKUP($AB1201&amp;"-"&amp;$E1201&amp;" "&amp;F1201,Bonuses!$B$1:$G$1006,4,FALSE)),"",INT(VLOOKUP($AB1201&amp;"-"&amp;$E1201&amp;" "&amp;$F1201,Bonuses!$B$1:$G$1006,4,FALSE)))</f>
        <v/>
      </c>
      <c r="AE12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2" spans="1:31" s="8" customFormat="1" x14ac:dyDescent="0.25">
      <c r="A1202" s="52">
        <v>9893</v>
      </c>
      <c r="B1202" s="52">
        <f>COUNTIF(Table5[PID],A1202)</f>
        <v>1</v>
      </c>
      <c r="C1202" s="52" t="str">
        <f>IF(COUNTIF(Table3[[#All],[PID]],A1202)&gt;0,"P","B")</f>
        <v>B</v>
      </c>
      <c r="D1202" s="61" t="str">
        <f>IF($C1202="B",INDEX(Batters[[#All],[POS]],MATCH(Table5[[#This Row],[PID]],Batters[[#All],[PID]],0)),INDEX(Table3[[#All],[POS]],MATCH(Table5[[#This Row],[PID]],Table3[[#All],[PID]],0)))</f>
        <v>3B</v>
      </c>
      <c r="E1202" s="54" t="str">
        <f>IF($C1202="B",INDEX(Batters[[#All],[First]],MATCH(Table5[[#This Row],[PID]],Batters[[#All],[PID]],0)),INDEX(Table3[[#All],[First]],MATCH(Table5[[#This Row],[PID]],Table3[[#All],[PID]],0)))</f>
        <v>Jesse</v>
      </c>
      <c r="F1202" s="52" t="str">
        <f>IF($C1202="B",INDEX(Batters[[#All],[Last]],MATCH(A1202,Batters[[#All],[PID]],0)),INDEX(Table3[[#All],[Last]],MATCH(A1202,Table3[[#All],[PID]],0)))</f>
        <v>González</v>
      </c>
      <c r="G1202" s="58">
        <f>IF($C1202="B",INDEX(Batters[[#All],[Age]],MATCH(Table5[[#This Row],[PID]],Batters[[#All],[PID]],0)),INDEX(Table3[[#All],[Age]],MATCH(Table5[[#This Row],[PID]],Table3[[#All],[PID]],0)))</f>
        <v>21</v>
      </c>
      <c r="H1202" s="54" t="str">
        <f>IF($C1202="B",INDEX(Batters[[#All],[B]],MATCH(Table5[[#This Row],[PID]],Batters[[#All],[PID]],0)),INDEX(Table3[[#All],[B]],MATCH(Table5[[#This Row],[PID]],Table3[[#All],[PID]],0)))</f>
        <v>R</v>
      </c>
      <c r="I1202" s="54" t="str">
        <f>IF($C1202="B",INDEX(Batters[[#All],[T]],MATCH(Table5[[#This Row],[PID]],Batters[[#All],[PID]],0)),INDEX(Table3[[#All],[T]],MATCH(Table5[[#This Row],[PID]],Table3[[#All],[PID]],0)))</f>
        <v>R</v>
      </c>
      <c r="J1202" s="54" t="str">
        <f>IF($C1202="B",INDEX(Batters[[#All],[WE]],MATCH(Table5[[#This Row],[PID]],Batters[[#All],[PID]],0)),INDEX(Table3[[#All],[WE]],MATCH(Table5[[#This Row],[PID]],Table3[[#All],[PID]],0)))</f>
        <v>Low</v>
      </c>
      <c r="K1202" s="54" t="str">
        <f>IF($C1202="B",INDEX(Batters[[#All],[INT]],MATCH(Table5[[#This Row],[PID]],Batters[[#All],[PID]],0)),INDEX(Table3[[#All],[INT]],MATCH(Table5[[#This Row],[PID]],Table3[[#All],[PID]],0)))</f>
        <v>Normal</v>
      </c>
      <c r="L1202" s="62">
        <f>IF($C1202="B",INDEX(Batters[[#All],[CON P]],MATCH(Table5[[#This Row],[PID]],Batters[[#All],[PID]],0)),INDEX(Table3[[#All],[STU P]],MATCH(Table5[[#This Row],[PID]],Table3[[#All],[PID]],0)))</f>
        <v>2</v>
      </c>
      <c r="M1202" s="58">
        <f>IF($C1202="B",INDEX(Batters[[#All],[GAP P]],MATCH(Table5[[#This Row],[PID]],Batters[[#All],[PID]],0)),INDEX(Table3[[#All],[MOV P]],MATCH(Table5[[#This Row],[PID]],Table3[[#All],[PID]],0)))</f>
        <v>3</v>
      </c>
      <c r="N1202" s="58">
        <f>IF($C1202="B",INDEX(Batters[[#All],[POW P]],MATCH(Table5[[#This Row],[PID]],Batters[[#All],[PID]],0)),INDEX(Table3[[#All],[CON P]],MATCH(Table5[[#This Row],[PID]],Table3[[#All],[PID]],0)))</f>
        <v>2</v>
      </c>
      <c r="O1202" s="58">
        <f>IF($C1202="B",INDEX(Batters[[#All],[EYE P]],MATCH(Table5[[#This Row],[PID]],Batters[[#All],[PID]],0)),INDEX(Table3[[#All],[VELO]],MATCH(Table5[[#This Row],[PID]],Table3[[#All],[PID]],0)))</f>
        <v>4</v>
      </c>
      <c r="P1202" s="58">
        <f>IF($C1202="B",INDEX(Batters[[#All],[K P]],MATCH(Table5[[#This Row],[PID]],Batters[[#All],[PID]],0)),INDEX(Table3[[#All],[STM]],MATCH(Table5[[#This Row],[PID]],Table3[[#All],[PID]],0)))</f>
        <v>4</v>
      </c>
      <c r="Q1202" s="63">
        <f>IF($C1202="B",INDEX(Batters[[#All],[Tot]],MATCH(Table5[[#This Row],[PID]],Batters[[#All],[PID]],0)),INDEX(Table3[[#All],[Tot]],MATCH(Table5[[#This Row],[PID]],Table3[[#All],[PID]],0)))</f>
        <v>30.868807300761024</v>
      </c>
      <c r="R1202" s="54">
        <f>IF($C1202="B",INDEX(Batters[[#All],[zScore]],MATCH(Table5[[#This Row],[PID]],Batters[[#All],[PID]],0)),INDEX(Table3[[#All],[zScore]],MATCH(Table5[[#This Row],[PID]],Table3[[#All],[PID]],0)))</f>
        <v>-1.6678444748657195</v>
      </c>
      <c r="S1202" s="60" t="str">
        <f>IF($C1202="B",INDEX(Batters[[#All],[DEM]],MATCH(Table5[[#This Row],[PID]],Batters[[#All],[PID]],0)),INDEX(Table3[[#All],[DEM]],MATCH(Table5[[#This Row],[PID]],Table3[[#All],[PID]],0)))</f>
        <v>$38k</v>
      </c>
      <c r="T1202" s="64">
        <f>IF($C1202="B",VLOOKUP($A1202,Bat!$A$4:$AU$1417,46,FALSE),VLOOKUP($A1202,Pit!$A$4:$BD$570,55,FALSE))</f>
        <v>0</v>
      </c>
      <c r="U1202" s="52">
        <f>IF($C1202="B",VLOOKUP($A1202,Bat!$A$4:$BA$1417,47,FALSE),VLOOKUP($A1202,Pit!$A$4:$BF$570,56,FALSE))</f>
        <v>0</v>
      </c>
      <c r="V1202" s="52">
        <f>IF($C1202="B",VLOOKUP($A1202,Bat!$A$4:$BA$1417,48,FALSE),VLOOKUP($A1202,Pit!$A$4:$BF$570,57,FALSE))</f>
        <v>0</v>
      </c>
      <c r="W1202" s="52">
        <f>Table5[[#This Row],[posRnk]]+Table5[[#This Row],[zRnk]]+IF($W$3&lt;&gt;Table5[[#This Row],[Type]],50,0)</f>
        <v>1248</v>
      </c>
      <c r="X1202" s="53">
        <f>RANK(Table5[[#This Row],[zScore]],Table5[[#All],[zScore]])</f>
        <v>1198</v>
      </c>
      <c r="Y1202" s="52" t="str">
        <f>IFERROR(INDEX(DraftResults[[#All],[OVR]],MATCH(Table5[[#This Row],[PID]],DraftResults[[#All],[Player ID]],0)),"")</f>
        <v/>
      </c>
      <c r="Z12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2" s="52" t="str">
        <f>IFERROR(INDEX(DraftResults[[#All],[Pick in Round]],MATCH(Table5[[#This Row],[PID]],DraftResults[[#All],[Player ID]],0)),"")</f>
        <v/>
      </c>
      <c r="AB1202" s="52" t="str">
        <f>IFERROR(INDEX(DraftResults[[#All],[Team Name]],MATCH(Table5[[#This Row],[PID]],DraftResults[[#All],[Player ID]],0)),"")</f>
        <v/>
      </c>
      <c r="AC1202" s="52" t="str">
        <f>IF(Table5[[#This Row],[Ovr]]="","",IF(Table5[[#This Row],[cmbList]]="","",Table5[[#This Row],[cmbList]]-Table5[[#This Row],[Ovr]]))</f>
        <v/>
      </c>
      <c r="AD1202" s="56" t="str">
        <f>IF(ISERROR(VLOOKUP($AB1202&amp;"-"&amp;$E1202&amp;" "&amp;F1202,Bonuses!$B$1:$G$1006,4,FALSE)),"",INT(VLOOKUP($AB1202&amp;"-"&amp;$E1202&amp;" "&amp;$F1202,Bonuses!$B$1:$G$1006,4,FALSE)))</f>
        <v/>
      </c>
      <c r="AE12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3" spans="1:31" s="8" customFormat="1" x14ac:dyDescent="0.25">
      <c r="A1203" s="52">
        <v>3430</v>
      </c>
      <c r="B1203" s="52">
        <f>COUNTIF(Table5[PID],A1203)</f>
        <v>1</v>
      </c>
      <c r="C1203" s="52" t="str">
        <f>IF(COUNTIF(Table3[[#All],[PID]],A1203)&gt;0,"P","B")</f>
        <v>P</v>
      </c>
      <c r="D1203" s="61" t="str">
        <f>IF($C1203="B",INDEX(Batters[[#All],[POS]],MATCH(Table5[[#This Row],[PID]],Batters[[#All],[PID]],0)),INDEX(Table3[[#All],[POS]],MATCH(Table5[[#This Row],[PID]],Table3[[#All],[PID]],0)))</f>
        <v>RP</v>
      </c>
      <c r="E1203" s="54" t="str">
        <f>IF($C1203="B",INDEX(Batters[[#All],[First]],MATCH(Table5[[#This Row],[PID]],Batters[[#All],[PID]],0)),INDEX(Table3[[#All],[First]],MATCH(Table5[[#This Row],[PID]],Table3[[#All],[PID]],0)))</f>
        <v>Vicente</v>
      </c>
      <c r="F1203" s="52" t="str">
        <f>IF($C1203="B",INDEX(Batters[[#All],[Last]],MATCH(A1203,Batters[[#All],[PID]],0)),INDEX(Table3[[#All],[Last]],MATCH(A1203,Table3[[#All],[PID]],0)))</f>
        <v>Torres</v>
      </c>
      <c r="G1203" s="58">
        <f>IF($C1203="B",INDEX(Batters[[#All],[Age]],MATCH(Table5[[#This Row],[PID]],Batters[[#All],[PID]],0)),INDEX(Table3[[#All],[Age]],MATCH(Table5[[#This Row],[PID]],Table3[[#All],[PID]],0)))</f>
        <v>21</v>
      </c>
      <c r="H1203" s="54" t="str">
        <f>IF($C1203="B",INDEX(Batters[[#All],[B]],MATCH(Table5[[#This Row],[PID]],Batters[[#All],[PID]],0)),INDEX(Table3[[#All],[B]],MATCH(Table5[[#This Row],[PID]],Table3[[#All],[PID]],0)))</f>
        <v>L</v>
      </c>
      <c r="I1203" s="54" t="str">
        <f>IF($C1203="B",INDEX(Batters[[#All],[T]],MATCH(Table5[[#This Row],[PID]],Batters[[#All],[PID]],0)),INDEX(Table3[[#All],[T]],MATCH(Table5[[#This Row],[PID]],Table3[[#All],[PID]],0)))</f>
        <v>L</v>
      </c>
      <c r="J1203" s="54" t="str">
        <f>IF($C1203="B",INDEX(Batters[[#All],[WE]],MATCH(Table5[[#This Row],[PID]],Batters[[#All],[PID]],0)),INDEX(Table3[[#All],[WE]],MATCH(Table5[[#This Row],[PID]],Table3[[#All],[PID]],0)))</f>
        <v>Low</v>
      </c>
      <c r="K1203" s="54" t="str">
        <f>IF($C1203="B",INDEX(Batters[[#All],[INT]],MATCH(Table5[[#This Row],[PID]],Batters[[#All],[PID]],0)),INDEX(Table3[[#All],[INT]],MATCH(Table5[[#This Row],[PID]],Table3[[#All],[PID]],0)))</f>
        <v>High</v>
      </c>
      <c r="L1203" s="62">
        <f>IF($C1203="B",INDEX(Batters[[#All],[CON P]],MATCH(Table5[[#This Row],[PID]],Batters[[#All],[PID]],0)),INDEX(Table3[[#All],[STU P]],MATCH(Table5[[#This Row],[PID]],Table3[[#All],[PID]],0)))</f>
        <v>4</v>
      </c>
      <c r="M1203" s="58">
        <f>IF($C1203="B",INDEX(Batters[[#All],[GAP P]],MATCH(Table5[[#This Row],[PID]],Batters[[#All],[PID]],0)),INDEX(Table3[[#All],[MOV P]],MATCH(Table5[[#This Row],[PID]],Table3[[#All],[PID]],0)))</f>
        <v>1</v>
      </c>
      <c r="N1203" s="58">
        <f>IF($C1203="B",INDEX(Batters[[#All],[POW P]],MATCH(Table5[[#This Row],[PID]],Batters[[#All],[PID]],0)),INDEX(Table3[[#All],[CON P]],MATCH(Table5[[#This Row],[PID]],Table3[[#All],[PID]],0)))</f>
        <v>2</v>
      </c>
      <c r="O1203" s="58" t="str">
        <f>IF($C1203="B",INDEX(Batters[[#All],[EYE P]],MATCH(Table5[[#This Row],[PID]],Batters[[#All],[PID]],0)),INDEX(Table3[[#All],[VELO]],MATCH(Table5[[#This Row],[PID]],Table3[[#All],[PID]],0)))</f>
        <v>89-91 Mph</v>
      </c>
      <c r="P1203" s="58">
        <f>IF($C1203="B",INDEX(Batters[[#All],[K P]],MATCH(Table5[[#This Row],[PID]],Batters[[#All],[PID]],0)),INDEX(Table3[[#All],[STM]],MATCH(Table5[[#This Row],[PID]],Table3[[#All],[PID]],0)))</f>
        <v>1</v>
      </c>
      <c r="Q1203" s="63">
        <f>IF($C1203="B",INDEX(Batters[[#All],[Tot]],MATCH(Table5[[#This Row],[PID]],Batters[[#All],[PID]],0)),INDEX(Table3[[#All],[Tot]],MATCH(Table5[[#This Row],[PID]],Table3[[#All],[PID]],0)))</f>
        <v>14.498905341113879</v>
      </c>
      <c r="R1203" s="54">
        <f>IF($C1203="B",INDEX(Batters[[#All],[zScore]],MATCH(Table5[[#This Row],[PID]],Batters[[#All],[PID]],0)),INDEX(Table3[[#All],[zScore]],MATCH(Table5[[#This Row],[PID]],Table3[[#All],[PID]],0)))</f>
        <v>-1.6711586717529836</v>
      </c>
      <c r="S1203" s="60" t="str">
        <f>IF($C1203="B",INDEX(Batters[[#All],[DEM]],MATCH(Table5[[#This Row],[PID]],Batters[[#All],[PID]],0)),INDEX(Table3[[#All],[DEM]],MATCH(Table5[[#This Row],[PID]],Table3[[#All],[PID]],0)))</f>
        <v>-</v>
      </c>
      <c r="T1203" s="64" t="e">
        <f>IF($C1203="B",VLOOKUP($A1203,Bat!$A$4:$AU$1417,46,FALSE),VLOOKUP($A1203,Pit!$A$4:$BD$570,55,FALSE))</f>
        <v>#N/A</v>
      </c>
      <c r="U1203" s="52" t="e">
        <f>IF($C1203="B",VLOOKUP($A1203,Bat!$A$4:$BA$1417,47,FALSE),VLOOKUP($A1203,Pit!$A$4:$BF$570,56,FALSE))</f>
        <v>#N/A</v>
      </c>
      <c r="V1203" s="52" t="e">
        <f>IF($C1203="B",VLOOKUP($A1203,Bat!$A$4:$BA$1417,48,FALSE),VLOOKUP($A1203,Pit!$A$4:$BF$570,57,FALSE))</f>
        <v>#N/A</v>
      </c>
      <c r="W1203" s="52" t="e">
        <f>Table5[[#This Row],[posRnk]]+Table5[[#This Row],[zRnk]]+IF($W$3&lt;&gt;Table5[[#This Row],[Type]],50,0)</f>
        <v>#N/A</v>
      </c>
      <c r="X1203" s="53">
        <f>RANK(Table5[[#This Row],[zScore]],Table5[[#All],[zScore]])</f>
        <v>1199</v>
      </c>
      <c r="Y1203" s="52" t="str">
        <f>IFERROR(INDEX(DraftResults[[#All],[OVR]],MATCH(Table5[[#This Row],[PID]],DraftResults[[#All],[Player ID]],0)),"")</f>
        <v/>
      </c>
      <c r="Z12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3" s="52" t="str">
        <f>IFERROR(INDEX(DraftResults[[#All],[Pick in Round]],MATCH(Table5[[#This Row],[PID]],DraftResults[[#All],[Player ID]],0)),"")</f>
        <v/>
      </c>
      <c r="AB1203" s="52" t="str">
        <f>IFERROR(INDEX(DraftResults[[#All],[Team Name]],MATCH(Table5[[#This Row],[PID]],DraftResults[[#All],[Player ID]],0)),"")</f>
        <v/>
      </c>
      <c r="AC1203" s="52" t="str">
        <f>IF(Table5[[#This Row],[Ovr]]="","",IF(Table5[[#This Row],[cmbList]]="","",Table5[[#This Row],[cmbList]]-Table5[[#This Row],[Ovr]]))</f>
        <v/>
      </c>
      <c r="AD1203" s="56" t="str">
        <f>IF(ISERROR(VLOOKUP($AB1203&amp;"-"&amp;$E1203&amp;" "&amp;F1203,Bonuses!$B$1:$G$1006,4,FALSE)),"",INT(VLOOKUP($AB1203&amp;"-"&amp;$E1203&amp;" "&amp;$F1203,Bonuses!$B$1:$G$1006,4,FALSE)))</f>
        <v/>
      </c>
      <c r="AE12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4" spans="1:31" s="8" customFormat="1" x14ac:dyDescent="0.25">
      <c r="A1204" s="52">
        <v>13795</v>
      </c>
      <c r="B1204" s="52">
        <f>COUNTIF(Table5[PID],A1204)</f>
        <v>1</v>
      </c>
      <c r="C1204" s="52" t="str">
        <f>IF(COUNTIF(Table3[[#All],[PID]],A1204)&gt;0,"P","B")</f>
        <v>P</v>
      </c>
      <c r="D1204" s="61" t="str">
        <f>IF($C1204="B",INDEX(Batters[[#All],[POS]],MATCH(Table5[[#This Row],[PID]],Batters[[#All],[PID]],0)),INDEX(Table3[[#All],[POS]],MATCH(Table5[[#This Row],[PID]],Table3[[#All],[PID]],0)))</f>
        <v>RP</v>
      </c>
      <c r="E1204" s="54" t="str">
        <f>IF($C1204="B",INDEX(Batters[[#All],[First]],MATCH(Table5[[#This Row],[PID]],Batters[[#All],[PID]],0)),INDEX(Table3[[#All],[First]],MATCH(Table5[[#This Row],[PID]],Table3[[#All],[PID]],0)))</f>
        <v>Sean</v>
      </c>
      <c r="F1204" s="52" t="str">
        <f>IF($C1204="B",INDEX(Batters[[#All],[Last]],MATCH(A1204,Batters[[#All],[PID]],0)),INDEX(Table3[[#All],[Last]],MATCH(A1204,Table3[[#All],[PID]],0)))</f>
        <v>Wynn</v>
      </c>
      <c r="G1204" s="58">
        <f>IF($C1204="B",INDEX(Batters[[#All],[Age]],MATCH(Table5[[#This Row],[PID]],Batters[[#All],[PID]],0)),INDEX(Table3[[#All],[Age]],MATCH(Table5[[#This Row],[PID]],Table3[[#All],[PID]],0)))</f>
        <v>21</v>
      </c>
      <c r="H1204" s="54" t="str">
        <f>IF($C1204="B",INDEX(Batters[[#All],[B]],MATCH(Table5[[#This Row],[PID]],Batters[[#All],[PID]],0)),INDEX(Table3[[#All],[B]],MATCH(Table5[[#This Row],[PID]],Table3[[#All],[PID]],0)))</f>
        <v>L</v>
      </c>
      <c r="I1204" s="54" t="str">
        <f>IF($C1204="B",INDEX(Batters[[#All],[T]],MATCH(Table5[[#This Row],[PID]],Batters[[#All],[PID]],0)),INDEX(Table3[[#All],[T]],MATCH(Table5[[#This Row],[PID]],Table3[[#All],[PID]],0)))</f>
        <v>L</v>
      </c>
      <c r="J1204" s="54" t="str">
        <f>IF($C1204="B",INDEX(Batters[[#All],[WE]],MATCH(Table5[[#This Row],[PID]],Batters[[#All],[PID]],0)),INDEX(Table3[[#All],[WE]],MATCH(Table5[[#This Row],[PID]],Table3[[#All],[PID]],0)))</f>
        <v>Low</v>
      </c>
      <c r="K1204" s="54" t="str">
        <f>IF($C1204="B",INDEX(Batters[[#All],[INT]],MATCH(Table5[[#This Row],[PID]],Batters[[#All],[PID]],0)),INDEX(Table3[[#All],[INT]],MATCH(Table5[[#This Row],[PID]],Table3[[#All],[PID]],0)))</f>
        <v>Normal</v>
      </c>
      <c r="L1204" s="62">
        <f>IF($C1204="B",INDEX(Batters[[#All],[CON P]],MATCH(Table5[[#This Row],[PID]],Batters[[#All],[PID]],0)),INDEX(Table3[[#All],[STU P]],MATCH(Table5[[#This Row],[PID]],Table3[[#All],[PID]],0)))</f>
        <v>3</v>
      </c>
      <c r="M1204" s="58">
        <f>IF($C1204="B",INDEX(Batters[[#All],[GAP P]],MATCH(Table5[[#This Row],[PID]],Batters[[#All],[PID]],0)),INDEX(Table3[[#All],[MOV P]],MATCH(Table5[[#This Row],[PID]],Table3[[#All],[PID]],0)))</f>
        <v>2</v>
      </c>
      <c r="N1204" s="58">
        <f>IF($C1204="B",INDEX(Batters[[#All],[POW P]],MATCH(Table5[[#This Row],[PID]],Batters[[#All],[PID]],0)),INDEX(Table3[[#All],[CON P]],MATCH(Table5[[#This Row],[PID]],Table3[[#All],[PID]],0)))</f>
        <v>1</v>
      </c>
      <c r="O1204" s="58" t="str">
        <f>IF($C1204="B",INDEX(Batters[[#All],[EYE P]],MATCH(Table5[[#This Row],[PID]],Batters[[#All],[PID]],0)),INDEX(Table3[[#All],[VELO]],MATCH(Table5[[#This Row],[PID]],Table3[[#All],[PID]],0)))</f>
        <v>84-86 Mph</v>
      </c>
      <c r="P1204" s="58">
        <f>IF($C1204="B",INDEX(Batters[[#All],[K P]],MATCH(Table5[[#This Row],[PID]],Batters[[#All],[PID]],0)),INDEX(Table3[[#All],[STM]],MATCH(Table5[[#This Row],[PID]],Table3[[#All],[PID]],0)))</f>
        <v>7</v>
      </c>
      <c r="Q1204" s="63">
        <f>IF($C1204="B",INDEX(Batters[[#All],[Tot]],MATCH(Table5[[#This Row],[PID]],Batters[[#All],[PID]],0)),INDEX(Table3[[#All],[Tot]],MATCH(Table5[[#This Row],[PID]],Table3[[#All],[PID]],0)))</f>
        <v>11.192758354045012</v>
      </c>
      <c r="R1204" s="54">
        <f>IF($C1204="B",INDEX(Batters[[#All],[zScore]],MATCH(Table5[[#This Row],[PID]],Batters[[#All],[PID]],0)),INDEX(Table3[[#All],[zScore]],MATCH(Table5[[#This Row],[PID]],Table3[[#All],[PID]],0)))</f>
        <v>-1.6829558683781896</v>
      </c>
      <c r="S1204" s="60" t="str">
        <f>IF($C1204="B",INDEX(Batters[[#All],[DEM]],MATCH(Table5[[#This Row],[PID]],Batters[[#All],[PID]],0)),INDEX(Table3[[#All],[DEM]],MATCH(Table5[[#This Row],[PID]],Table3[[#All],[PID]],0)))</f>
        <v>-</v>
      </c>
      <c r="T1204" s="64" t="e">
        <f>IF($C1204="B",VLOOKUP($A1204,Bat!$A$4:$AU$1417,46,FALSE),VLOOKUP($A1204,Pit!$A$4:$BD$570,55,FALSE))</f>
        <v>#N/A</v>
      </c>
      <c r="U1204" s="52" t="e">
        <f>IF($C1204="B",VLOOKUP($A1204,Bat!$A$4:$BA$1417,47,FALSE),VLOOKUP($A1204,Pit!$A$4:$BF$570,56,FALSE))</f>
        <v>#N/A</v>
      </c>
      <c r="V1204" s="52" t="e">
        <f>IF($C1204="B",VLOOKUP($A1204,Bat!$A$4:$BA$1417,48,FALSE),VLOOKUP($A1204,Pit!$A$4:$BF$570,57,FALSE))</f>
        <v>#N/A</v>
      </c>
      <c r="W1204" s="52" t="e">
        <f>Table5[[#This Row],[posRnk]]+Table5[[#This Row],[zRnk]]+IF($W$3&lt;&gt;Table5[[#This Row],[Type]],50,0)</f>
        <v>#N/A</v>
      </c>
      <c r="X1204" s="53">
        <f>RANK(Table5[[#This Row],[zScore]],Table5[[#All],[zScore]])</f>
        <v>1200</v>
      </c>
      <c r="Y1204" s="52" t="str">
        <f>IFERROR(INDEX(DraftResults[[#All],[OVR]],MATCH(Table5[[#This Row],[PID]],DraftResults[[#All],[Player ID]],0)),"")</f>
        <v/>
      </c>
      <c r="Z12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4" s="52" t="str">
        <f>IFERROR(INDEX(DraftResults[[#All],[Pick in Round]],MATCH(Table5[[#This Row],[PID]],DraftResults[[#All],[Player ID]],0)),"")</f>
        <v/>
      </c>
      <c r="AB1204" s="52" t="str">
        <f>IFERROR(INDEX(DraftResults[[#All],[Team Name]],MATCH(Table5[[#This Row],[PID]],DraftResults[[#All],[Player ID]],0)),"")</f>
        <v/>
      </c>
      <c r="AC1204" s="52" t="str">
        <f>IF(Table5[[#This Row],[Ovr]]="","",IF(Table5[[#This Row],[cmbList]]="","",Table5[[#This Row],[cmbList]]-Table5[[#This Row],[Ovr]]))</f>
        <v/>
      </c>
      <c r="AD1204" s="56" t="str">
        <f>IF(ISERROR(VLOOKUP($AB1204&amp;"-"&amp;$E1204&amp;" "&amp;F1204,Bonuses!$B$1:$G$1006,4,FALSE)),"",INT(VLOOKUP($AB1204&amp;"-"&amp;$E1204&amp;" "&amp;$F1204,Bonuses!$B$1:$G$1006,4,FALSE)))</f>
        <v/>
      </c>
      <c r="AE12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5" spans="1:31" s="8" customFormat="1" x14ac:dyDescent="0.25">
      <c r="A1205" s="52">
        <v>17997</v>
      </c>
      <c r="B1205" s="52">
        <f>COUNTIF(Table5[PID],A1205)</f>
        <v>1</v>
      </c>
      <c r="C1205" s="52" t="str">
        <f>IF(COUNTIF(Table3[[#All],[PID]],A1205)&gt;0,"P","B")</f>
        <v>B</v>
      </c>
      <c r="D1205" s="61" t="str">
        <f>IF($C1205="B",INDEX(Batters[[#All],[POS]],MATCH(Table5[[#This Row],[PID]],Batters[[#All],[PID]],0)),INDEX(Table3[[#All],[POS]],MATCH(Table5[[#This Row],[PID]],Table3[[#All],[PID]],0)))</f>
        <v>C</v>
      </c>
      <c r="E1205" s="54" t="str">
        <f>IF($C1205="B",INDEX(Batters[[#All],[First]],MATCH(Table5[[#This Row],[PID]],Batters[[#All],[PID]],0)),INDEX(Table3[[#All],[First]],MATCH(Table5[[#This Row],[PID]],Table3[[#All],[PID]],0)))</f>
        <v>Miguel</v>
      </c>
      <c r="F1205" s="52" t="str">
        <f>IF($C1205="B",INDEX(Batters[[#All],[Last]],MATCH(A1205,Batters[[#All],[PID]],0)),INDEX(Table3[[#All],[Last]],MATCH(A1205,Table3[[#All],[PID]],0)))</f>
        <v>Navarro</v>
      </c>
      <c r="G1205" s="58">
        <f>IF($C1205="B",INDEX(Batters[[#All],[Age]],MATCH(Table5[[#This Row],[PID]],Batters[[#All],[PID]],0)),INDEX(Table3[[#All],[Age]],MATCH(Table5[[#This Row],[PID]],Table3[[#All],[PID]],0)))</f>
        <v>21</v>
      </c>
      <c r="H1205" s="54" t="str">
        <f>IF($C1205="B",INDEX(Batters[[#All],[B]],MATCH(Table5[[#This Row],[PID]],Batters[[#All],[PID]],0)),INDEX(Table3[[#All],[B]],MATCH(Table5[[#This Row],[PID]],Table3[[#All],[PID]],0)))</f>
        <v>R</v>
      </c>
      <c r="I1205" s="54" t="str">
        <f>IF($C1205="B",INDEX(Batters[[#All],[T]],MATCH(Table5[[#This Row],[PID]],Batters[[#All],[PID]],0)),INDEX(Table3[[#All],[T]],MATCH(Table5[[#This Row],[PID]],Table3[[#All],[PID]],0)))</f>
        <v>R</v>
      </c>
      <c r="J1205" s="54" t="str">
        <f>IF($C1205="B",INDEX(Batters[[#All],[WE]],MATCH(Table5[[#This Row],[PID]],Batters[[#All],[PID]],0)),INDEX(Table3[[#All],[WE]],MATCH(Table5[[#This Row],[PID]],Table3[[#All],[PID]],0)))</f>
        <v>Low</v>
      </c>
      <c r="K1205" s="54" t="str">
        <f>IF($C1205="B",INDEX(Batters[[#All],[INT]],MATCH(Table5[[#This Row],[PID]],Batters[[#All],[PID]],0)),INDEX(Table3[[#All],[INT]],MATCH(Table5[[#This Row],[PID]],Table3[[#All],[PID]],0)))</f>
        <v>Normal</v>
      </c>
      <c r="L1205" s="62">
        <f>IF($C1205="B",INDEX(Batters[[#All],[CON P]],MATCH(Table5[[#This Row],[PID]],Batters[[#All],[PID]],0)),INDEX(Table3[[#All],[STU P]],MATCH(Table5[[#This Row],[PID]],Table3[[#All],[PID]],0)))</f>
        <v>2</v>
      </c>
      <c r="M1205" s="58">
        <f>IF($C1205="B",INDEX(Batters[[#All],[GAP P]],MATCH(Table5[[#This Row],[PID]],Batters[[#All],[PID]],0)),INDEX(Table3[[#All],[MOV P]],MATCH(Table5[[#This Row],[PID]],Table3[[#All],[PID]],0)))</f>
        <v>3</v>
      </c>
      <c r="N1205" s="58">
        <f>IF($C1205="B",INDEX(Batters[[#All],[POW P]],MATCH(Table5[[#This Row],[PID]],Batters[[#All],[PID]],0)),INDEX(Table3[[#All],[CON P]],MATCH(Table5[[#This Row],[PID]],Table3[[#All],[PID]],0)))</f>
        <v>3</v>
      </c>
      <c r="O1205" s="58">
        <f>IF($C1205="B",INDEX(Batters[[#All],[EYE P]],MATCH(Table5[[#This Row],[PID]],Batters[[#All],[PID]],0)),INDEX(Table3[[#All],[VELO]],MATCH(Table5[[#This Row],[PID]],Table3[[#All],[PID]],0)))</f>
        <v>4</v>
      </c>
      <c r="P1205" s="58">
        <f>IF($C1205="B",INDEX(Batters[[#All],[K P]],MATCH(Table5[[#This Row],[PID]],Batters[[#All],[PID]],0)),INDEX(Table3[[#All],[STM]],MATCH(Table5[[#This Row],[PID]],Table3[[#All],[PID]],0)))</f>
        <v>3</v>
      </c>
      <c r="Q1205" s="63">
        <f>IF($C1205="B",INDEX(Batters[[#All],[Tot]],MATCH(Table5[[#This Row],[PID]],Batters[[#All],[PID]],0)),INDEX(Table3[[#All],[Tot]],MATCH(Table5[[#This Row],[PID]],Table3[[#All],[PID]],0)))</f>
        <v>30.767270574298305</v>
      </c>
      <c r="R1205" s="54">
        <f>IF($C1205="B",INDEX(Batters[[#All],[zScore]],MATCH(Table5[[#This Row],[PID]],Batters[[#All],[PID]],0)),INDEX(Table3[[#All],[zScore]],MATCH(Table5[[#This Row],[PID]],Table3[[#All],[PID]],0)))</f>
        <v>-1.6857091870429468</v>
      </c>
      <c r="S1205" s="60" t="str">
        <f>IF($C1205="B",INDEX(Batters[[#All],[DEM]],MATCH(Table5[[#This Row],[PID]],Batters[[#All],[PID]],0)),INDEX(Table3[[#All],[DEM]],MATCH(Table5[[#This Row],[PID]],Table3[[#All],[PID]],0)))</f>
        <v>-</v>
      </c>
      <c r="T1205" s="64">
        <f>IF($C1205="B",VLOOKUP($A1205,Bat!$A$4:$AU$1417,46,FALSE),VLOOKUP($A1205,Pit!$A$4:$BD$570,55,FALSE))</f>
        <v>0</v>
      </c>
      <c r="U1205" s="52">
        <f>IF($C1205="B",VLOOKUP($A1205,Bat!$A$4:$BA$1417,47,FALSE),VLOOKUP($A1205,Pit!$A$4:$BF$570,56,FALSE))</f>
        <v>0</v>
      </c>
      <c r="V1205" s="52">
        <f>IF($C1205="B",VLOOKUP($A1205,Bat!$A$4:$BA$1417,48,FALSE),VLOOKUP($A1205,Pit!$A$4:$BF$570,57,FALSE))</f>
        <v>0</v>
      </c>
      <c r="W1205" s="52">
        <f>Table5[[#This Row],[posRnk]]+Table5[[#This Row],[zRnk]]+IF($W$3&lt;&gt;Table5[[#This Row],[Type]],50,0)</f>
        <v>1251</v>
      </c>
      <c r="X1205" s="53">
        <f>RANK(Table5[[#This Row],[zScore]],Table5[[#All],[zScore]])</f>
        <v>1201</v>
      </c>
      <c r="Y1205" s="52" t="str">
        <f>IFERROR(INDEX(DraftResults[[#All],[OVR]],MATCH(Table5[[#This Row],[PID]],DraftResults[[#All],[Player ID]],0)),"")</f>
        <v/>
      </c>
      <c r="Z12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5" s="52" t="str">
        <f>IFERROR(INDEX(DraftResults[[#All],[Pick in Round]],MATCH(Table5[[#This Row],[PID]],DraftResults[[#All],[Player ID]],0)),"")</f>
        <v/>
      </c>
      <c r="AB1205" s="52" t="str">
        <f>IFERROR(INDEX(DraftResults[[#All],[Team Name]],MATCH(Table5[[#This Row],[PID]],DraftResults[[#All],[Player ID]],0)),"")</f>
        <v/>
      </c>
      <c r="AC1205" s="52" t="str">
        <f>IF(Table5[[#This Row],[Ovr]]="","",IF(Table5[[#This Row],[cmbList]]="","",Table5[[#This Row],[cmbList]]-Table5[[#This Row],[Ovr]]))</f>
        <v/>
      </c>
      <c r="AD1205" s="56" t="str">
        <f>IF(ISERROR(VLOOKUP($AB1205&amp;"-"&amp;$E1205&amp;" "&amp;F1205,Bonuses!$B$1:$G$1006,4,FALSE)),"",INT(VLOOKUP($AB1205&amp;"-"&amp;$E1205&amp;" "&amp;$F1205,Bonuses!$B$1:$G$1006,4,FALSE)))</f>
        <v/>
      </c>
      <c r="AE12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6" spans="1:31" s="8" customFormat="1" x14ac:dyDescent="0.25">
      <c r="A1206" s="52">
        <v>9865</v>
      </c>
      <c r="B1206" s="52">
        <f>COUNTIF(Table5[PID],A1206)</f>
        <v>1</v>
      </c>
      <c r="C1206" s="52" t="str">
        <f>IF(COUNTIF(Table3[[#All],[PID]],A1206)&gt;0,"P","B")</f>
        <v>B</v>
      </c>
      <c r="D1206" s="61" t="str">
        <f>IF($C1206="B",INDEX(Batters[[#All],[POS]],MATCH(Table5[[#This Row],[PID]],Batters[[#All],[PID]],0)),INDEX(Table3[[#All],[POS]],MATCH(Table5[[#This Row],[PID]],Table3[[#All],[PID]],0)))</f>
        <v>2B</v>
      </c>
      <c r="E1206" s="54" t="str">
        <f>IF($C1206="B",INDEX(Batters[[#All],[First]],MATCH(Table5[[#This Row],[PID]],Batters[[#All],[PID]],0)),INDEX(Table3[[#All],[First]],MATCH(Table5[[#This Row],[PID]],Table3[[#All],[PID]],0)))</f>
        <v>Noah</v>
      </c>
      <c r="F1206" s="52" t="str">
        <f>IF($C1206="B",INDEX(Batters[[#All],[Last]],MATCH(A1206,Batters[[#All],[PID]],0)),INDEX(Table3[[#All],[Last]],MATCH(A1206,Table3[[#All],[PID]],0)))</f>
        <v>Carey</v>
      </c>
      <c r="G1206" s="58">
        <f>IF($C1206="B",INDEX(Batters[[#All],[Age]],MATCH(Table5[[#This Row],[PID]],Batters[[#All],[PID]],0)),INDEX(Table3[[#All],[Age]],MATCH(Table5[[#This Row],[PID]],Table3[[#All],[PID]],0)))</f>
        <v>21</v>
      </c>
      <c r="H1206" s="54" t="str">
        <f>IF($C1206="B",INDEX(Batters[[#All],[B]],MATCH(Table5[[#This Row],[PID]],Batters[[#All],[PID]],0)),INDEX(Table3[[#All],[B]],MATCH(Table5[[#This Row],[PID]],Table3[[#All],[PID]],0)))</f>
        <v>R</v>
      </c>
      <c r="I1206" s="54" t="str">
        <f>IF($C1206="B",INDEX(Batters[[#All],[T]],MATCH(Table5[[#This Row],[PID]],Batters[[#All],[PID]],0)),INDEX(Table3[[#All],[T]],MATCH(Table5[[#This Row],[PID]],Table3[[#All],[PID]],0)))</f>
        <v>R</v>
      </c>
      <c r="J1206" s="54" t="str">
        <f>IF($C1206="B",INDEX(Batters[[#All],[WE]],MATCH(Table5[[#This Row],[PID]],Batters[[#All],[PID]],0)),INDEX(Table3[[#All],[WE]],MATCH(Table5[[#This Row],[PID]],Table3[[#All],[PID]],0)))</f>
        <v>Normal</v>
      </c>
      <c r="K1206" s="54" t="str">
        <f>IF($C1206="B",INDEX(Batters[[#All],[INT]],MATCH(Table5[[#This Row],[PID]],Batters[[#All],[PID]],0)),INDEX(Table3[[#All],[INT]],MATCH(Table5[[#This Row],[PID]],Table3[[#All],[PID]],0)))</f>
        <v>Normal</v>
      </c>
      <c r="L1206" s="62">
        <f>IF($C1206="B",INDEX(Batters[[#All],[CON P]],MATCH(Table5[[#This Row],[PID]],Batters[[#All],[PID]],0)),INDEX(Table3[[#All],[STU P]],MATCH(Table5[[#This Row],[PID]],Table3[[#All],[PID]],0)))</f>
        <v>2</v>
      </c>
      <c r="M1206" s="58">
        <f>IF($C1206="B",INDEX(Batters[[#All],[GAP P]],MATCH(Table5[[#This Row],[PID]],Batters[[#All],[PID]],0)),INDEX(Table3[[#All],[MOV P]],MATCH(Table5[[#This Row],[PID]],Table3[[#All],[PID]],0)))</f>
        <v>3</v>
      </c>
      <c r="N1206" s="58">
        <f>IF($C1206="B",INDEX(Batters[[#All],[POW P]],MATCH(Table5[[#This Row],[PID]],Batters[[#All],[PID]],0)),INDEX(Table3[[#All],[CON P]],MATCH(Table5[[#This Row],[PID]],Table3[[#All],[PID]],0)))</f>
        <v>3</v>
      </c>
      <c r="O1206" s="58">
        <f>IF($C1206="B",INDEX(Batters[[#All],[EYE P]],MATCH(Table5[[#This Row],[PID]],Batters[[#All],[PID]],0)),INDEX(Table3[[#All],[VELO]],MATCH(Table5[[#This Row],[PID]],Table3[[#All],[PID]],0)))</f>
        <v>4</v>
      </c>
      <c r="P1206" s="58">
        <f>IF($C1206="B",INDEX(Batters[[#All],[K P]],MATCH(Table5[[#This Row],[PID]],Batters[[#All],[PID]],0)),INDEX(Table3[[#All],[STM]],MATCH(Table5[[#This Row],[PID]],Table3[[#All],[PID]],0)))</f>
        <v>2</v>
      </c>
      <c r="Q1206" s="63">
        <f>IF($C1206="B",INDEX(Batters[[#All],[Tot]],MATCH(Table5[[#This Row],[PID]],Batters[[#All],[PID]],0)),INDEX(Table3[[#All],[Tot]],MATCH(Table5[[#This Row],[PID]],Table3[[#All],[PID]],0)))</f>
        <v>30.767153300524228</v>
      </c>
      <c r="R1206" s="54">
        <f>IF($C1206="B",INDEX(Batters[[#All],[zScore]],MATCH(Table5[[#This Row],[PID]],Batters[[#All],[PID]],0)),INDEX(Table3[[#All],[zScore]],MATCH(Table5[[#This Row],[PID]],Table3[[#All],[PID]],0)))</f>
        <v>-1.6857298205840585</v>
      </c>
      <c r="S1206" s="60" t="str">
        <f>IF($C1206="B",INDEX(Batters[[#All],[DEM]],MATCH(Table5[[#This Row],[PID]],Batters[[#All],[PID]],0)),INDEX(Table3[[#All],[DEM]],MATCH(Table5[[#This Row],[PID]],Table3[[#All],[PID]],0)))</f>
        <v>-</v>
      </c>
      <c r="T1206" s="64">
        <f>IF($C1206="B",VLOOKUP($A1206,Bat!$A$4:$AU$1417,46,FALSE),VLOOKUP($A1206,Pit!$A$4:$BD$570,55,FALSE))</f>
        <v>0</v>
      </c>
      <c r="U1206" s="52">
        <f>IF($C1206="B",VLOOKUP($A1206,Bat!$A$4:$BA$1417,47,FALSE),VLOOKUP($A1206,Pit!$A$4:$BF$570,56,FALSE))</f>
        <v>0</v>
      </c>
      <c r="V1206" s="52">
        <f>IF($C1206="B",VLOOKUP($A1206,Bat!$A$4:$BA$1417,48,FALSE),VLOOKUP($A1206,Pit!$A$4:$BF$570,57,FALSE))</f>
        <v>0</v>
      </c>
      <c r="W1206" s="52">
        <f>Table5[[#This Row],[posRnk]]+Table5[[#This Row],[zRnk]]+IF($W$3&lt;&gt;Table5[[#This Row],[Type]],50,0)</f>
        <v>1252</v>
      </c>
      <c r="X1206" s="53">
        <f>RANK(Table5[[#This Row],[zScore]],Table5[[#All],[zScore]])</f>
        <v>1202</v>
      </c>
      <c r="Y1206" s="52" t="str">
        <f>IFERROR(INDEX(DraftResults[[#All],[OVR]],MATCH(Table5[[#This Row],[PID]],DraftResults[[#All],[Player ID]],0)),"")</f>
        <v/>
      </c>
      <c r="Z12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6" s="52" t="str">
        <f>IFERROR(INDEX(DraftResults[[#All],[Pick in Round]],MATCH(Table5[[#This Row],[PID]],DraftResults[[#All],[Player ID]],0)),"")</f>
        <v/>
      </c>
      <c r="AB1206" s="52" t="str">
        <f>IFERROR(INDEX(DraftResults[[#All],[Team Name]],MATCH(Table5[[#This Row],[PID]],DraftResults[[#All],[Player ID]],0)),"")</f>
        <v/>
      </c>
      <c r="AC1206" s="52" t="str">
        <f>IF(Table5[[#This Row],[Ovr]]="","",IF(Table5[[#This Row],[cmbList]]="","",Table5[[#This Row],[cmbList]]-Table5[[#This Row],[Ovr]]))</f>
        <v/>
      </c>
      <c r="AD1206" s="56" t="str">
        <f>IF(ISERROR(VLOOKUP($AB1206&amp;"-"&amp;$E1206&amp;" "&amp;F1206,Bonuses!$B$1:$G$1006,4,FALSE)),"",INT(VLOOKUP($AB1206&amp;"-"&amp;$E1206&amp;" "&amp;$F1206,Bonuses!$B$1:$G$1006,4,FALSE)))</f>
        <v/>
      </c>
      <c r="AE12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7" spans="1:31" s="8" customFormat="1" x14ac:dyDescent="0.25">
      <c r="A1207" s="52">
        <v>17765</v>
      </c>
      <c r="B1207" s="52">
        <f>COUNTIF(Table5[PID],A1207)</f>
        <v>1</v>
      </c>
      <c r="C1207" s="52" t="str">
        <f>IF(COUNTIF(Table3[[#All],[PID]],A1207)&gt;0,"P","B")</f>
        <v>B</v>
      </c>
      <c r="D1207" s="61" t="str">
        <f>IF($C1207="B",INDEX(Batters[[#All],[POS]],MATCH(Table5[[#This Row],[PID]],Batters[[#All],[PID]],0)),INDEX(Table3[[#All],[POS]],MATCH(Table5[[#This Row],[PID]],Table3[[#All],[PID]],0)))</f>
        <v>3B</v>
      </c>
      <c r="E1207" s="54" t="str">
        <f>IF($C1207="B",INDEX(Batters[[#All],[First]],MATCH(Table5[[#This Row],[PID]],Batters[[#All],[PID]],0)),INDEX(Table3[[#All],[First]],MATCH(Table5[[#This Row],[PID]],Table3[[#All],[PID]],0)))</f>
        <v>Tatsuya</v>
      </c>
      <c r="F1207" s="52" t="str">
        <f>IF($C1207="B",INDEX(Batters[[#All],[Last]],MATCH(A1207,Batters[[#All],[PID]],0)),INDEX(Table3[[#All],[Last]],MATCH(A1207,Table3[[#All],[PID]],0)))</f>
        <v>Kondo</v>
      </c>
      <c r="G1207" s="58">
        <f>IF($C1207="B",INDEX(Batters[[#All],[Age]],MATCH(Table5[[#This Row],[PID]],Batters[[#All],[PID]],0)),INDEX(Table3[[#All],[Age]],MATCH(Table5[[#This Row],[PID]],Table3[[#All],[PID]],0)))</f>
        <v>21</v>
      </c>
      <c r="H1207" s="54" t="str">
        <f>IF($C1207="B",INDEX(Batters[[#All],[B]],MATCH(Table5[[#This Row],[PID]],Batters[[#All],[PID]],0)),INDEX(Table3[[#All],[B]],MATCH(Table5[[#This Row],[PID]],Table3[[#All],[PID]],0)))</f>
        <v>S</v>
      </c>
      <c r="I1207" s="54" t="str">
        <f>IF($C1207="B",INDEX(Batters[[#All],[T]],MATCH(Table5[[#This Row],[PID]],Batters[[#All],[PID]],0)),INDEX(Table3[[#All],[T]],MATCH(Table5[[#This Row],[PID]],Table3[[#All],[PID]],0)))</f>
        <v>R</v>
      </c>
      <c r="J1207" s="54" t="str">
        <f>IF($C1207="B",INDEX(Batters[[#All],[WE]],MATCH(Table5[[#This Row],[PID]],Batters[[#All],[PID]],0)),INDEX(Table3[[#All],[WE]],MATCH(Table5[[#This Row],[PID]],Table3[[#All],[PID]],0)))</f>
        <v>Low</v>
      </c>
      <c r="K1207" s="54" t="str">
        <f>IF($C1207="B",INDEX(Batters[[#All],[INT]],MATCH(Table5[[#This Row],[PID]],Batters[[#All],[PID]],0)),INDEX(Table3[[#All],[INT]],MATCH(Table5[[#This Row],[PID]],Table3[[#All],[PID]],0)))</f>
        <v>Normal</v>
      </c>
      <c r="L1207" s="62">
        <f>IF($C1207="B",INDEX(Batters[[#All],[CON P]],MATCH(Table5[[#This Row],[PID]],Batters[[#All],[PID]],0)),INDEX(Table3[[#All],[STU P]],MATCH(Table5[[#This Row],[PID]],Table3[[#All],[PID]],0)))</f>
        <v>2</v>
      </c>
      <c r="M1207" s="58">
        <f>IF($C1207="B",INDEX(Batters[[#All],[GAP P]],MATCH(Table5[[#This Row],[PID]],Batters[[#All],[PID]],0)),INDEX(Table3[[#All],[MOV P]],MATCH(Table5[[#This Row],[PID]],Table3[[#All],[PID]],0)))</f>
        <v>3</v>
      </c>
      <c r="N1207" s="58">
        <f>IF($C1207="B",INDEX(Batters[[#All],[POW P]],MATCH(Table5[[#This Row],[PID]],Batters[[#All],[PID]],0)),INDEX(Table3[[#All],[CON P]],MATCH(Table5[[#This Row],[PID]],Table3[[#All],[PID]],0)))</f>
        <v>2</v>
      </c>
      <c r="O1207" s="58">
        <f>IF($C1207="B",INDEX(Batters[[#All],[EYE P]],MATCH(Table5[[#This Row],[PID]],Batters[[#All],[PID]],0)),INDEX(Table3[[#All],[VELO]],MATCH(Table5[[#This Row],[PID]],Table3[[#All],[PID]],0)))</f>
        <v>5</v>
      </c>
      <c r="P1207" s="58">
        <f>IF($C1207="B",INDEX(Batters[[#All],[K P]],MATCH(Table5[[#This Row],[PID]],Batters[[#All],[PID]],0)),INDEX(Table3[[#All],[STM]],MATCH(Table5[[#This Row],[PID]],Table3[[#All],[PID]],0)))</f>
        <v>2</v>
      </c>
      <c r="Q1207" s="63">
        <f>IF($C1207="B",INDEX(Batters[[#All],[Tot]],MATCH(Table5[[#This Row],[PID]],Batters[[#All],[PID]],0)),INDEX(Table3[[#All],[Tot]],MATCH(Table5[[#This Row],[PID]],Table3[[#All],[PID]],0)))</f>
        <v>30.71426144461762</v>
      </c>
      <c r="R1207" s="54">
        <f>IF($C1207="B",INDEX(Batters[[#All],[zScore]],MATCH(Table5[[#This Row],[PID]],Batters[[#All],[PID]],0)),INDEX(Table3[[#All],[zScore]],MATCH(Table5[[#This Row],[PID]],Table3[[#All],[PID]],0)))</f>
        <v>-1.6950357910955058</v>
      </c>
      <c r="S1207" s="60" t="str">
        <f>IF($C1207="B",INDEX(Batters[[#All],[DEM]],MATCH(Table5[[#This Row],[PID]],Batters[[#All],[PID]],0)),INDEX(Table3[[#All],[DEM]],MATCH(Table5[[#This Row],[PID]],Table3[[#All],[PID]],0)))</f>
        <v>-</v>
      </c>
      <c r="T1207" s="64">
        <f>IF($C1207="B",VLOOKUP($A1207,Bat!$A$4:$AU$1417,46,FALSE),VLOOKUP($A1207,Pit!$A$4:$BD$570,55,FALSE))</f>
        <v>0</v>
      </c>
      <c r="U1207" s="52">
        <f>IF($C1207="B",VLOOKUP($A1207,Bat!$A$4:$BA$1417,47,FALSE),VLOOKUP($A1207,Pit!$A$4:$BF$570,56,FALSE))</f>
        <v>0</v>
      </c>
      <c r="V1207" s="52">
        <f>IF($C1207="B",VLOOKUP($A1207,Bat!$A$4:$BA$1417,48,FALSE),VLOOKUP($A1207,Pit!$A$4:$BF$570,57,FALSE))</f>
        <v>0</v>
      </c>
      <c r="W1207" s="52">
        <f>Table5[[#This Row],[posRnk]]+Table5[[#This Row],[zRnk]]+IF($W$3&lt;&gt;Table5[[#This Row],[Type]],50,0)</f>
        <v>1253</v>
      </c>
      <c r="X1207" s="53">
        <f>RANK(Table5[[#This Row],[zScore]],Table5[[#All],[zScore]])</f>
        <v>1203</v>
      </c>
      <c r="Y1207" s="52" t="str">
        <f>IFERROR(INDEX(DraftResults[[#All],[OVR]],MATCH(Table5[[#This Row],[PID]],DraftResults[[#All],[Player ID]],0)),"")</f>
        <v/>
      </c>
      <c r="Z12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7" s="52" t="str">
        <f>IFERROR(INDEX(DraftResults[[#All],[Pick in Round]],MATCH(Table5[[#This Row],[PID]],DraftResults[[#All],[Player ID]],0)),"")</f>
        <v/>
      </c>
      <c r="AB1207" s="52" t="str">
        <f>IFERROR(INDEX(DraftResults[[#All],[Team Name]],MATCH(Table5[[#This Row],[PID]],DraftResults[[#All],[Player ID]],0)),"")</f>
        <v/>
      </c>
      <c r="AC1207" s="52" t="str">
        <f>IF(Table5[[#This Row],[Ovr]]="","",IF(Table5[[#This Row],[cmbList]]="","",Table5[[#This Row],[cmbList]]-Table5[[#This Row],[Ovr]]))</f>
        <v/>
      </c>
      <c r="AD1207" s="56" t="str">
        <f>IF(ISERROR(VLOOKUP($AB1207&amp;"-"&amp;$E1207&amp;" "&amp;F1207,Bonuses!$B$1:$G$1006,4,FALSE)),"",INT(VLOOKUP($AB1207&amp;"-"&amp;$E1207&amp;" "&amp;$F1207,Bonuses!$B$1:$G$1006,4,FALSE)))</f>
        <v/>
      </c>
      <c r="AE12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8" spans="1:31" s="8" customFormat="1" x14ac:dyDescent="0.25">
      <c r="A1208" s="52">
        <v>17973</v>
      </c>
      <c r="B1208" s="52">
        <f>COUNTIF(Table5[PID],A1208)</f>
        <v>1</v>
      </c>
      <c r="C1208" s="52" t="str">
        <f>IF(COUNTIF(Table3[[#All],[PID]],A1208)&gt;0,"P","B")</f>
        <v>P</v>
      </c>
      <c r="D1208" s="61" t="str">
        <f>IF($C1208="B",INDEX(Batters[[#All],[POS]],MATCH(Table5[[#This Row],[PID]],Batters[[#All],[PID]],0)),INDEX(Table3[[#All],[POS]],MATCH(Table5[[#This Row],[PID]],Table3[[#All],[PID]],0)))</f>
        <v>RP</v>
      </c>
      <c r="E1208" s="54" t="str">
        <f>IF($C1208="B",INDEX(Batters[[#All],[First]],MATCH(Table5[[#This Row],[PID]],Batters[[#All],[PID]],0)),INDEX(Table3[[#All],[First]],MATCH(Table5[[#This Row],[PID]],Table3[[#All],[PID]],0)))</f>
        <v>Ryan</v>
      </c>
      <c r="F1208" s="52" t="str">
        <f>IF($C1208="B",INDEX(Batters[[#All],[Last]],MATCH(A1208,Batters[[#All],[PID]],0)),INDEX(Table3[[#All],[Last]],MATCH(A1208,Table3[[#All],[PID]],0)))</f>
        <v>King</v>
      </c>
      <c r="G1208" s="58">
        <f>IF($C1208="B",INDEX(Batters[[#All],[Age]],MATCH(Table5[[#This Row],[PID]],Batters[[#All],[PID]],0)),INDEX(Table3[[#All],[Age]],MATCH(Table5[[#This Row],[PID]],Table3[[#All],[PID]],0)))</f>
        <v>20</v>
      </c>
      <c r="H1208" s="54" t="str">
        <f>IF($C1208="B",INDEX(Batters[[#All],[B]],MATCH(Table5[[#This Row],[PID]],Batters[[#All],[PID]],0)),INDEX(Table3[[#All],[B]],MATCH(Table5[[#This Row],[PID]],Table3[[#All],[PID]],0)))</f>
        <v>R</v>
      </c>
      <c r="I1208" s="54" t="str">
        <f>IF($C1208="B",INDEX(Batters[[#All],[T]],MATCH(Table5[[#This Row],[PID]],Batters[[#All],[PID]],0)),INDEX(Table3[[#All],[T]],MATCH(Table5[[#This Row],[PID]],Table3[[#All],[PID]],0)))</f>
        <v>R</v>
      </c>
      <c r="J1208" s="54" t="str">
        <f>IF($C1208="B",INDEX(Batters[[#All],[WE]],MATCH(Table5[[#This Row],[PID]],Batters[[#All],[PID]],0)),INDEX(Table3[[#All],[WE]],MATCH(Table5[[#This Row],[PID]],Table3[[#All],[PID]],0)))</f>
        <v>Low</v>
      </c>
      <c r="K1208" s="54" t="str">
        <f>IF($C1208="B",INDEX(Batters[[#All],[INT]],MATCH(Table5[[#This Row],[PID]],Batters[[#All],[PID]],0)),INDEX(Table3[[#All],[INT]],MATCH(Table5[[#This Row],[PID]],Table3[[#All],[PID]],0)))</f>
        <v>Normal</v>
      </c>
      <c r="L1208" s="62">
        <f>IF($C1208="B",INDEX(Batters[[#All],[CON P]],MATCH(Table5[[#This Row],[PID]],Batters[[#All],[PID]],0)),INDEX(Table3[[#All],[STU P]],MATCH(Table5[[#This Row],[PID]],Table3[[#All],[PID]],0)))</f>
        <v>3</v>
      </c>
      <c r="M1208" s="58">
        <f>IF($C1208="B",INDEX(Batters[[#All],[GAP P]],MATCH(Table5[[#This Row],[PID]],Batters[[#All],[PID]],0)),INDEX(Table3[[#All],[MOV P]],MATCH(Table5[[#This Row],[PID]],Table3[[#All],[PID]],0)))</f>
        <v>1</v>
      </c>
      <c r="N1208" s="58">
        <f>IF($C1208="B",INDEX(Batters[[#All],[POW P]],MATCH(Table5[[#This Row],[PID]],Batters[[#All],[PID]],0)),INDEX(Table3[[#All],[CON P]],MATCH(Table5[[#This Row],[PID]],Table3[[#All],[PID]],0)))</f>
        <v>1</v>
      </c>
      <c r="O1208" s="58" t="str">
        <f>IF($C1208="B",INDEX(Batters[[#All],[EYE P]],MATCH(Table5[[#This Row],[PID]],Batters[[#All],[PID]],0)),INDEX(Table3[[#All],[VELO]],MATCH(Table5[[#This Row],[PID]],Table3[[#All],[PID]],0)))</f>
        <v>88-90 Mph</v>
      </c>
      <c r="P1208" s="58">
        <f>IF($C1208="B",INDEX(Batters[[#All],[K P]],MATCH(Table5[[#This Row],[PID]],Batters[[#All],[PID]],0)),INDEX(Table3[[#All],[STM]],MATCH(Table5[[#This Row],[PID]],Table3[[#All],[PID]],0)))</f>
        <v>7</v>
      </c>
      <c r="Q1208" s="63">
        <f>IF($C1208="B",INDEX(Batters[[#All],[Tot]],MATCH(Table5[[#This Row],[PID]],Batters[[#All],[PID]],0)),INDEX(Table3[[#All],[Tot]],MATCH(Table5[[#This Row],[PID]],Table3[[#All],[PID]],0)))</f>
        <v>10.866504653064727</v>
      </c>
      <c r="R1208" s="54">
        <f>IF($C1208="B",INDEX(Batters[[#All],[zScore]],MATCH(Table5[[#This Row],[PID]],Batters[[#All],[PID]],0)),INDEX(Table3[[#All],[zScore]],MATCH(Table5[[#This Row],[PID]],Table3[[#All],[PID]],0)))</f>
        <v>-1.7115495915388703</v>
      </c>
      <c r="S1208" s="60" t="str">
        <f>IF($C1208="B",INDEX(Batters[[#All],[DEM]],MATCH(Table5[[#This Row],[PID]],Batters[[#All],[PID]],0)),INDEX(Table3[[#All],[DEM]],MATCH(Table5[[#This Row],[PID]],Table3[[#All],[PID]],0)))</f>
        <v>-</v>
      </c>
      <c r="T1208" s="64" t="e">
        <f>IF($C1208="B",VLOOKUP($A1208,Bat!$A$4:$AU$1417,46,FALSE),VLOOKUP($A1208,Pit!$A$4:$BD$570,55,FALSE))</f>
        <v>#N/A</v>
      </c>
      <c r="U1208" s="52" t="e">
        <f>IF($C1208="B",VLOOKUP($A1208,Bat!$A$4:$BA$1417,47,FALSE),VLOOKUP($A1208,Pit!$A$4:$BF$570,56,FALSE))</f>
        <v>#N/A</v>
      </c>
      <c r="V1208" s="52" t="e">
        <f>IF($C1208="B",VLOOKUP($A1208,Bat!$A$4:$BA$1417,48,FALSE),VLOOKUP($A1208,Pit!$A$4:$BF$570,57,FALSE))</f>
        <v>#N/A</v>
      </c>
      <c r="W1208" s="52" t="e">
        <f>Table5[[#This Row],[posRnk]]+Table5[[#This Row],[zRnk]]+IF($W$3&lt;&gt;Table5[[#This Row],[Type]],50,0)</f>
        <v>#N/A</v>
      </c>
      <c r="X1208" s="53">
        <f>RANK(Table5[[#This Row],[zScore]],Table5[[#All],[zScore]])</f>
        <v>1204</v>
      </c>
      <c r="Y1208" s="52" t="str">
        <f>IFERROR(INDEX(DraftResults[[#All],[OVR]],MATCH(Table5[[#This Row],[PID]],DraftResults[[#All],[Player ID]],0)),"")</f>
        <v/>
      </c>
      <c r="Z12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8" s="52" t="str">
        <f>IFERROR(INDEX(DraftResults[[#All],[Pick in Round]],MATCH(Table5[[#This Row],[PID]],DraftResults[[#All],[Player ID]],0)),"")</f>
        <v/>
      </c>
      <c r="AB1208" s="52" t="str">
        <f>IFERROR(INDEX(DraftResults[[#All],[Team Name]],MATCH(Table5[[#This Row],[PID]],DraftResults[[#All],[Player ID]],0)),"")</f>
        <v/>
      </c>
      <c r="AC1208" s="52" t="str">
        <f>IF(Table5[[#This Row],[Ovr]]="","",IF(Table5[[#This Row],[cmbList]]="","",Table5[[#This Row],[cmbList]]-Table5[[#This Row],[Ovr]]))</f>
        <v/>
      </c>
      <c r="AD1208" s="56" t="str">
        <f>IF(ISERROR(VLOOKUP($AB1208&amp;"-"&amp;$E1208&amp;" "&amp;F1208,Bonuses!$B$1:$G$1006,4,FALSE)),"",INT(VLOOKUP($AB1208&amp;"-"&amp;$E1208&amp;" "&amp;$F1208,Bonuses!$B$1:$G$1006,4,FALSE)))</f>
        <v/>
      </c>
      <c r="AE12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09" spans="1:31" s="8" customFormat="1" x14ac:dyDescent="0.25">
      <c r="A1209" s="52">
        <v>13156</v>
      </c>
      <c r="B1209" s="52">
        <f>COUNTIF(Table5[PID],A1209)</f>
        <v>1</v>
      </c>
      <c r="C1209" s="52" t="str">
        <f>IF(COUNTIF(Table3[[#All],[PID]],A1209)&gt;0,"P","B")</f>
        <v>P</v>
      </c>
      <c r="D1209" s="61" t="str">
        <f>IF($C1209="B",INDEX(Batters[[#All],[POS]],MATCH(Table5[[#This Row],[PID]],Batters[[#All],[PID]],0)),INDEX(Table3[[#All],[POS]],MATCH(Table5[[#This Row],[PID]],Table3[[#All],[PID]],0)))</f>
        <v>RP</v>
      </c>
      <c r="E1209" s="54" t="str">
        <f>IF($C1209="B",INDEX(Batters[[#All],[First]],MATCH(Table5[[#This Row],[PID]],Batters[[#All],[PID]],0)),INDEX(Table3[[#All],[First]],MATCH(Table5[[#This Row],[PID]],Table3[[#All],[PID]],0)))</f>
        <v>Tomás</v>
      </c>
      <c r="F1209" s="52" t="str">
        <f>IF($C1209="B",INDEX(Batters[[#All],[Last]],MATCH(A1209,Batters[[#All],[PID]],0)),INDEX(Table3[[#All],[Last]],MATCH(A1209,Table3[[#All],[PID]],0)))</f>
        <v>Castro</v>
      </c>
      <c r="G1209" s="58">
        <f>IF($C1209="B",INDEX(Batters[[#All],[Age]],MATCH(Table5[[#This Row],[PID]],Batters[[#All],[PID]],0)),INDEX(Table3[[#All],[Age]],MATCH(Table5[[#This Row],[PID]],Table3[[#All],[PID]],0)))</f>
        <v>22</v>
      </c>
      <c r="H1209" s="54" t="str">
        <f>IF($C1209="B",INDEX(Batters[[#All],[B]],MATCH(Table5[[#This Row],[PID]],Batters[[#All],[PID]],0)),INDEX(Table3[[#All],[B]],MATCH(Table5[[#This Row],[PID]],Table3[[#All],[PID]],0)))</f>
        <v>R</v>
      </c>
      <c r="I1209" s="54" t="str">
        <f>IF($C1209="B",INDEX(Batters[[#All],[T]],MATCH(Table5[[#This Row],[PID]],Batters[[#All],[PID]],0)),INDEX(Table3[[#All],[T]],MATCH(Table5[[#This Row],[PID]],Table3[[#All],[PID]],0)))</f>
        <v>R</v>
      </c>
      <c r="J1209" s="54" t="str">
        <f>IF($C1209="B",INDEX(Batters[[#All],[WE]],MATCH(Table5[[#This Row],[PID]],Batters[[#All],[PID]],0)),INDEX(Table3[[#All],[WE]],MATCH(Table5[[#This Row],[PID]],Table3[[#All],[PID]],0)))</f>
        <v>Low</v>
      </c>
      <c r="K1209" s="54" t="str">
        <f>IF($C1209="B",INDEX(Batters[[#All],[INT]],MATCH(Table5[[#This Row],[PID]],Batters[[#All],[PID]],0)),INDEX(Table3[[#All],[INT]],MATCH(Table5[[#This Row],[PID]],Table3[[#All],[PID]],0)))</f>
        <v>Normal</v>
      </c>
      <c r="L1209" s="62">
        <f>IF($C1209="B",INDEX(Batters[[#All],[CON P]],MATCH(Table5[[#This Row],[PID]],Batters[[#All],[PID]],0)),INDEX(Table3[[#All],[STU P]],MATCH(Table5[[#This Row],[PID]],Table3[[#All],[PID]],0)))</f>
        <v>4</v>
      </c>
      <c r="M1209" s="58">
        <f>IF($C1209="B",INDEX(Batters[[#All],[GAP P]],MATCH(Table5[[#This Row],[PID]],Batters[[#All],[PID]],0)),INDEX(Table3[[#All],[MOV P]],MATCH(Table5[[#This Row],[PID]],Table3[[#All],[PID]],0)))</f>
        <v>1</v>
      </c>
      <c r="N1209" s="58">
        <f>IF($C1209="B",INDEX(Batters[[#All],[POW P]],MATCH(Table5[[#This Row],[PID]],Batters[[#All],[PID]],0)),INDEX(Table3[[#All],[CON P]],MATCH(Table5[[#This Row],[PID]],Table3[[#All],[PID]],0)))</f>
        <v>1</v>
      </c>
      <c r="O1209" s="58" t="str">
        <f>IF($C1209="B",INDEX(Batters[[#All],[EYE P]],MATCH(Table5[[#This Row],[PID]],Batters[[#All],[PID]],0)),INDEX(Table3[[#All],[VELO]],MATCH(Table5[[#This Row],[PID]],Table3[[#All],[PID]],0)))</f>
        <v>89-91 Mph</v>
      </c>
      <c r="P1209" s="58">
        <f>IF($C1209="B",INDEX(Batters[[#All],[K P]],MATCH(Table5[[#This Row],[PID]],Batters[[#All],[PID]],0)),INDEX(Table3[[#All],[STM]],MATCH(Table5[[#This Row],[PID]],Table3[[#All],[PID]],0)))</f>
        <v>3</v>
      </c>
      <c r="Q1209" s="63">
        <f>IF($C1209="B",INDEX(Batters[[#All],[Tot]],MATCH(Table5[[#This Row],[PID]],Batters[[#All],[PID]],0)),INDEX(Table3[[#All],[Tot]],MATCH(Table5[[#This Row],[PID]],Table3[[#All],[PID]],0)))</f>
        <v>13.919305937742529</v>
      </c>
      <c r="R1209" s="54">
        <f>IF($C1209="B",INDEX(Batters[[#All],[zScore]],MATCH(Table5[[#This Row],[PID]],Batters[[#All],[PID]],0)),INDEX(Table3[[#All],[zScore]],MATCH(Table5[[#This Row],[PID]],Table3[[#All],[PID]],0)))</f>
        <v>-1.7243104143020511</v>
      </c>
      <c r="S1209" s="60" t="str">
        <f>IF($C1209="B",INDEX(Batters[[#All],[DEM]],MATCH(Table5[[#This Row],[PID]],Batters[[#All],[PID]],0)),INDEX(Table3[[#All],[DEM]],MATCH(Table5[[#This Row],[PID]],Table3[[#All],[PID]],0)))</f>
        <v>-</v>
      </c>
      <c r="T1209" s="64" t="e">
        <f>IF($C1209="B",VLOOKUP($A1209,Bat!$A$4:$AU$1417,46,FALSE),VLOOKUP($A1209,Pit!$A$4:$BD$570,55,FALSE))</f>
        <v>#N/A</v>
      </c>
      <c r="U1209" s="52" t="e">
        <f>IF($C1209="B",VLOOKUP($A1209,Bat!$A$4:$BA$1417,47,FALSE),VLOOKUP($A1209,Pit!$A$4:$BF$570,56,FALSE))</f>
        <v>#N/A</v>
      </c>
      <c r="V1209" s="52" t="e">
        <f>IF($C1209="B",VLOOKUP($A1209,Bat!$A$4:$BA$1417,48,FALSE),VLOOKUP($A1209,Pit!$A$4:$BF$570,57,FALSE))</f>
        <v>#N/A</v>
      </c>
      <c r="W1209" s="52" t="e">
        <f>Table5[[#This Row],[posRnk]]+Table5[[#This Row],[zRnk]]+IF($W$3&lt;&gt;Table5[[#This Row],[Type]],50,0)</f>
        <v>#N/A</v>
      </c>
      <c r="X1209" s="53">
        <f>RANK(Table5[[#This Row],[zScore]],Table5[[#All],[zScore]])</f>
        <v>1205</v>
      </c>
      <c r="Y1209" s="52" t="str">
        <f>IFERROR(INDEX(DraftResults[[#All],[OVR]],MATCH(Table5[[#This Row],[PID]],DraftResults[[#All],[Player ID]],0)),"")</f>
        <v/>
      </c>
      <c r="Z12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09" s="52" t="str">
        <f>IFERROR(INDEX(DraftResults[[#All],[Pick in Round]],MATCH(Table5[[#This Row],[PID]],DraftResults[[#All],[Player ID]],0)),"")</f>
        <v/>
      </c>
      <c r="AB1209" s="52" t="str">
        <f>IFERROR(INDEX(DraftResults[[#All],[Team Name]],MATCH(Table5[[#This Row],[PID]],DraftResults[[#All],[Player ID]],0)),"")</f>
        <v/>
      </c>
      <c r="AC1209" s="52" t="str">
        <f>IF(Table5[[#This Row],[Ovr]]="","",IF(Table5[[#This Row],[cmbList]]="","",Table5[[#This Row],[cmbList]]-Table5[[#This Row],[Ovr]]))</f>
        <v/>
      </c>
      <c r="AD1209" s="56" t="str">
        <f>IF(ISERROR(VLOOKUP($AB1209&amp;"-"&amp;$E1209&amp;" "&amp;F1209,Bonuses!$B$1:$G$1006,4,FALSE)),"",INT(VLOOKUP($AB1209&amp;"-"&amp;$E1209&amp;" "&amp;$F1209,Bonuses!$B$1:$G$1006,4,FALSE)))</f>
        <v/>
      </c>
      <c r="AE12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0" spans="1:31" s="8" customFormat="1" x14ac:dyDescent="0.25">
      <c r="A1210" s="52">
        <v>12135</v>
      </c>
      <c r="B1210" s="52">
        <f>COUNTIF(Table5[PID],A1210)</f>
        <v>1</v>
      </c>
      <c r="C1210" s="52" t="str">
        <f>IF(COUNTIF(Table3[[#All],[PID]],A1210)&gt;0,"P","B")</f>
        <v>P</v>
      </c>
      <c r="D1210" s="61" t="str">
        <f>IF($C1210="B",INDEX(Batters[[#All],[POS]],MATCH(Table5[[#This Row],[PID]],Batters[[#All],[PID]],0)),INDEX(Table3[[#All],[POS]],MATCH(Table5[[#This Row],[PID]],Table3[[#All],[PID]],0)))</f>
        <v>RP</v>
      </c>
      <c r="E1210" s="54" t="str">
        <f>IF($C1210="B",INDEX(Batters[[#All],[First]],MATCH(Table5[[#This Row],[PID]],Batters[[#All],[PID]],0)),INDEX(Table3[[#All],[First]],MATCH(Table5[[#This Row],[PID]],Table3[[#All],[PID]],0)))</f>
        <v>Ferdinand</v>
      </c>
      <c r="F1210" s="52" t="str">
        <f>IF($C1210="B",INDEX(Batters[[#All],[Last]],MATCH(A1210,Batters[[#All],[PID]],0)),INDEX(Table3[[#All],[Last]],MATCH(A1210,Table3[[#All],[PID]],0)))</f>
        <v>Schut</v>
      </c>
      <c r="G1210" s="58">
        <f>IF($C1210="B",INDEX(Batters[[#All],[Age]],MATCH(Table5[[#This Row],[PID]],Batters[[#All],[PID]],0)),INDEX(Table3[[#All],[Age]],MATCH(Table5[[#This Row],[PID]],Table3[[#All],[PID]],0)))</f>
        <v>21</v>
      </c>
      <c r="H1210" s="54" t="str">
        <f>IF($C1210="B",INDEX(Batters[[#All],[B]],MATCH(Table5[[#This Row],[PID]],Batters[[#All],[PID]],0)),INDEX(Table3[[#All],[B]],MATCH(Table5[[#This Row],[PID]],Table3[[#All],[PID]],0)))</f>
        <v>L</v>
      </c>
      <c r="I1210" s="54" t="str">
        <f>IF($C1210="B",INDEX(Batters[[#All],[T]],MATCH(Table5[[#This Row],[PID]],Batters[[#All],[PID]],0)),INDEX(Table3[[#All],[T]],MATCH(Table5[[#This Row],[PID]],Table3[[#All],[PID]],0)))</f>
        <v>L</v>
      </c>
      <c r="J1210" s="54" t="str">
        <f>IF($C1210="B",INDEX(Batters[[#All],[WE]],MATCH(Table5[[#This Row],[PID]],Batters[[#All],[PID]],0)),INDEX(Table3[[#All],[WE]],MATCH(Table5[[#This Row],[PID]],Table3[[#All],[PID]],0)))</f>
        <v>Low</v>
      </c>
      <c r="K1210" s="54" t="str">
        <f>IF($C1210="B",INDEX(Batters[[#All],[INT]],MATCH(Table5[[#This Row],[PID]],Batters[[#All],[PID]],0)),INDEX(Table3[[#All],[INT]],MATCH(Table5[[#This Row],[PID]],Table3[[#All],[PID]],0)))</f>
        <v>High</v>
      </c>
      <c r="L1210" s="62">
        <f>IF($C1210="B",INDEX(Batters[[#All],[CON P]],MATCH(Table5[[#This Row],[PID]],Batters[[#All],[PID]],0)),INDEX(Table3[[#All],[STU P]],MATCH(Table5[[#This Row],[PID]],Table3[[#All],[PID]],0)))</f>
        <v>4</v>
      </c>
      <c r="M1210" s="58">
        <f>IF($C1210="B",INDEX(Batters[[#All],[GAP P]],MATCH(Table5[[#This Row],[PID]],Batters[[#All],[PID]],0)),INDEX(Table3[[#All],[MOV P]],MATCH(Table5[[#This Row],[PID]],Table3[[#All],[PID]],0)))</f>
        <v>1</v>
      </c>
      <c r="N1210" s="58">
        <f>IF($C1210="B",INDEX(Batters[[#All],[POW P]],MATCH(Table5[[#This Row],[PID]],Batters[[#All],[PID]],0)),INDEX(Table3[[#All],[CON P]],MATCH(Table5[[#This Row],[PID]],Table3[[#All],[PID]],0)))</f>
        <v>2</v>
      </c>
      <c r="O1210" s="58" t="str">
        <f>IF($C1210="B",INDEX(Batters[[#All],[EYE P]],MATCH(Table5[[#This Row],[PID]],Batters[[#All],[PID]],0)),INDEX(Table3[[#All],[VELO]],MATCH(Table5[[#This Row],[PID]],Table3[[#All],[PID]],0)))</f>
        <v>89-91 Mph</v>
      </c>
      <c r="P1210" s="58">
        <f>IF($C1210="B",INDEX(Batters[[#All],[K P]],MATCH(Table5[[#This Row],[PID]],Batters[[#All],[PID]],0)),INDEX(Table3[[#All],[STM]],MATCH(Table5[[#This Row],[PID]],Table3[[#All],[PID]],0)))</f>
        <v>6</v>
      </c>
      <c r="Q1210" s="63">
        <f>IF($C1210="B",INDEX(Batters[[#All],[Tot]],MATCH(Table5[[#This Row],[PID]],Batters[[#All],[PID]],0)),INDEX(Table3[[#All],[Tot]],MATCH(Table5[[#This Row],[PID]],Table3[[#All],[PID]],0)))</f>
        <v>13.865788711001432</v>
      </c>
      <c r="R1210" s="54">
        <f>IF($C1210="B",INDEX(Batters[[#All],[zScore]],MATCH(Table5[[#This Row],[PID]],Batters[[#All],[PID]],0)),INDEX(Table3[[#All],[zScore]],MATCH(Table5[[#This Row],[PID]],Table3[[#All],[PID]],0)))</f>
        <v>-1.7292181727316442</v>
      </c>
      <c r="S1210" s="60" t="str">
        <f>IF($C1210="B",INDEX(Batters[[#All],[DEM]],MATCH(Table5[[#This Row],[PID]],Batters[[#All],[PID]],0)),INDEX(Table3[[#All],[DEM]],MATCH(Table5[[#This Row],[PID]],Table3[[#All],[PID]],0)))</f>
        <v>-</v>
      </c>
      <c r="T1210" s="64" t="e">
        <f>IF($C1210="B",VLOOKUP($A1210,Bat!$A$4:$AU$1417,46,FALSE),VLOOKUP($A1210,Pit!$A$4:$BD$570,55,FALSE))</f>
        <v>#N/A</v>
      </c>
      <c r="U1210" s="52" t="e">
        <f>IF($C1210="B",VLOOKUP($A1210,Bat!$A$4:$BA$1417,47,FALSE),VLOOKUP($A1210,Pit!$A$4:$BF$570,56,FALSE))</f>
        <v>#N/A</v>
      </c>
      <c r="V1210" s="52" t="e">
        <f>IF($C1210="B",VLOOKUP($A1210,Bat!$A$4:$BA$1417,48,FALSE),VLOOKUP($A1210,Pit!$A$4:$BF$570,57,FALSE))</f>
        <v>#N/A</v>
      </c>
      <c r="W1210" s="52" t="e">
        <f>Table5[[#This Row],[posRnk]]+Table5[[#This Row],[zRnk]]+IF($W$3&lt;&gt;Table5[[#This Row],[Type]],50,0)</f>
        <v>#N/A</v>
      </c>
      <c r="X1210" s="53">
        <f>RANK(Table5[[#This Row],[zScore]],Table5[[#All],[zScore]])</f>
        <v>1206</v>
      </c>
      <c r="Y1210" s="52" t="str">
        <f>IFERROR(INDEX(DraftResults[[#All],[OVR]],MATCH(Table5[[#This Row],[PID]],DraftResults[[#All],[Player ID]],0)),"")</f>
        <v/>
      </c>
      <c r="Z12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0" s="52" t="str">
        <f>IFERROR(INDEX(DraftResults[[#All],[Pick in Round]],MATCH(Table5[[#This Row],[PID]],DraftResults[[#All],[Player ID]],0)),"")</f>
        <v/>
      </c>
      <c r="AB1210" s="52" t="str">
        <f>IFERROR(INDEX(DraftResults[[#All],[Team Name]],MATCH(Table5[[#This Row],[PID]],DraftResults[[#All],[Player ID]],0)),"")</f>
        <v/>
      </c>
      <c r="AC1210" s="52" t="str">
        <f>IF(Table5[[#This Row],[Ovr]]="","",IF(Table5[[#This Row],[cmbList]]="","",Table5[[#This Row],[cmbList]]-Table5[[#This Row],[Ovr]]))</f>
        <v/>
      </c>
      <c r="AD1210" s="56" t="str">
        <f>IF(ISERROR(VLOOKUP($AB1210&amp;"-"&amp;$E1210&amp;" "&amp;F1210,Bonuses!$B$1:$G$1006,4,FALSE)),"",INT(VLOOKUP($AB1210&amp;"-"&amp;$E1210&amp;" "&amp;$F1210,Bonuses!$B$1:$G$1006,4,FALSE)))</f>
        <v/>
      </c>
      <c r="AE12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1" spans="1:31" s="8" customFormat="1" x14ac:dyDescent="0.25">
      <c r="A1211" s="52">
        <v>12048</v>
      </c>
      <c r="B1211" s="52">
        <f>COUNTIF(Table5[PID],A1211)</f>
        <v>1</v>
      </c>
      <c r="C1211" s="52" t="str">
        <f>IF(COUNTIF(Table3[[#All],[PID]],A1211)&gt;0,"P","B")</f>
        <v>B</v>
      </c>
      <c r="D1211" s="61" t="str">
        <f>IF($C1211="B",INDEX(Batters[[#All],[POS]],MATCH(Table5[[#This Row],[PID]],Batters[[#All],[PID]],0)),INDEX(Table3[[#All],[POS]],MATCH(Table5[[#This Row],[PID]],Table3[[#All],[PID]],0)))</f>
        <v>3B</v>
      </c>
      <c r="E1211" s="54" t="str">
        <f>IF($C1211="B",INDEX(Batters[[#All],[First]],MATCH(Table5[[#This Row],[PID]],Batters[[#All],[PID]],0)),INDEX(Table3[[#All],[First]],MATCH(Table5[[#This Row],[PID]],Table3[[#All],[PID]],0)))</f>
        <v>Jason</v>
      </c>
      <c r="F1211" s="52" t="str">
        <f>IF($C1211="B",INDEX(Batters[[#All],[Last]],MATCH(A1211,Batters[[#All],[PID]],0)),INDEX(Table3[[#All],[Last]],MATCH(A1211,Table3[[#All],[PID]],0)))</f>
        <v>Greene</v>
      </c>
      <c r="G1211" s="58">
        <f>IF($C1211="B",INDEX(Batters[[#All],[Age]],MATCH(Table5[[#This Row],[PID]],Batters[[#All],[PID]],0)),INDEX(Table3[[#All],[Age]],MATCH(Table5[[#This Row],[PID]],Table3[[#All],[PID]],0)))</f>
        <v>21</v>
      </c>
      <c r="H1211" s="54" t="str">
        <f>IF($C1211="B",INDEX(Batters[[#All],[B]],MATCH(Table5[[#This Row],[PID]],Batters[[#All],[PID]],0)),INDEX(Table3[[#All],[B]],MATCH(Table5[[#This Row],[PID]],Table3[[#All],[PID]],0)))</f>
        <v>L</v>
      </c>
      <c r="I1211" s="54" t="str">
        <f>IF($C1211="B",INDEX(Batters[[#All],[T]],MATCH(Table5[[#This Row],[PID]],Batters[[#All],[PID]],0)),INDEX(Table3[[#All],[T]],MATCH(Table5[[#This Row],[PID]],Table3[[#All],[PID]],0)))</f>
        <v>R</v>
      </c>
      <c r="J1211" s="54" t="str">
        <f>IF($C1211="B",INDEX(Batters[[#All],[WE]],MATCH(Table5[[#This Row],[PID]],Batters[[#All],[PID]],0)),INDEX(Table3[[#All],[WE]],MATCH(Table5[[#This Row],[PID]],Table3[[#All],[PID]],0)))</f>
        <v>Normal</v>
      </c>
      <c r="K1211" s="54" t="str">
        <f>IF($C1211="B",INDEX(Batters[[#All],[INT]],MATCH(Table5[[#This Row],[PID]],Batters[[#All],[PID]],0)),INDEX(Table3[[#All],[INT]],MATCH(Table5[[#This Row],[PID]],Table3[[#All],[PID]],0)))</f>
        <v>Low</v>
      </c>
      <c r="L1211" s="62">
        <f>IF($C1211="B",INDEX(Batters[[#All],[CON P]],MATCH(Table5[[#This Row],[PID]],Batters[[#All],[PID]],0)),INDEX(Table3[[#All],[STU P]],MATCH(Table5[[#This Row],[PID]],Table3[[#All],[PID]],0)))</f>
        <v>2</v>
      </c>
      <c r="M1211" s="58">
        <f>IF($C1211="B",INDEX(Batters[[#All],[GAP P]],MATCH(Table5[[#This Row],[PID]],Batters[[#All],[PID]],0)),INDEX(Table3[[#All],[MOV P]],MATCH(Table5[[#This Row],[PID]],Table3[[#All],[PID]],0)))</f>
        <v>2</v>
      </c>
      <c r="N1211" s="58">
        <f>IF($C1211="B",INDEX(Batters[[#All],[POW P]],MATCH(Table5[[#This Row],[PID]],Batters[[#All],[PID]],0)),INDEX(Table3[[#All],[CON P]],MATCH(Table5[[#This Row],[PID]],Table3[[#All],[PID]],0)))</f>
        <v>3</v>
      </c>
      <c r="O1211" s="58">
        <f>IF($C1211="B",INDEX(Batters[[#All],[EYE P]],MATCH(Table5[[#This Row],[PID]],Batters[[#All],[PID]],0)),INDEX(Table3[[#All],[VELO]],MATCH(Table5[[#This Row],[PID]],Table3[[#All],[PID]],0)))</f>
        <v>4</v>
      </c>
      <c r="P1211" s="58">
        <f>IF($C1211="B",INDEX(Batters[[#All],[K P]],MATCH(Table5[[#This Row],[PID]],Batters[[#All],[PID]],0)),INDEX(Table3[[#All],[STM]],MATCH(Table5[[#This Row],[PID]],Table3[[#All],[PID]],0)))</f>
        <v>2</v>
      </c>
      <c r="Q1211" s="63">
        <f>IF($C1211="B",INDEX(Batters[[#All],[Tot]],MATCH(Table5[[#This Row],[PID]],Batters[[#All],[PID]],0)),INDEX(Table3[[#All],[Tot]],MATCH(Table5[[#This Row],[PID]],Table3[[#All],[PID]],0)))</f>
        <v>30.433326896069818</v>
      </c>
      <c r="R1211" s="54">
        <f>IF($C1211="B",INDEX(Batters[[#All],[zScore]],MATCH(Table5[[#This Row],[PID]],Batters[[#All],[PID]],0)),INDEX(Table3[[#All],[zScore]],MATCH(Table5[[#This Row],[PID]],Table3[[#All],[PID]],0)))</f>
        <v>-1.7444643577362524</v>
      </c>
      <c r="S1211" s="60" t="str">
        <f>IF($C1211="B",INDEX(Batters[[#All],[DEM]],MATCH(Table5[[#This Row],[PID]],Batters[[#All],[PID]],0)),INDEX(Table3[[#All],[DEM]],MATCH(Table5[[#This Row],[PID]],Table3[[#All],[PID]],0)))</f>
        <v>-</v>
      </c>
      <c r="T1211" s="64">
        <f>IF($C1211="B",VLOOKUP($A1211,Bat!$A$4:$AU$1417,46,FALSE),VLOOKUP($A1211,Pit!$A$4:$BD$570,55,FALSE))</f>
        <v>0</v>
      </c>
      <c r="U1211" s="52">
        <f>IF($C1211="B",VLOOKUP($A1211,Bat!$A$4:$BA$1417,47,FALSE),VLOOKUP($A1211,Pit!$A$4:$BF$570,56,FALSE))</f>
        <v>0</v>
      </c>
      <c r="V1211" s="52">
        <f>IF($C1211="B",VLOOKUP($A1211,Bat!$A$4:$BA$1417,48,FALSE),VLOOKUP($A1211,Pit!$A$4:$BF$570,57,FALSE))</f>
        <v>0</v>
      </c>
      <c r="W1211" s="52">
        <f>Table5[[#This Row],[posRnk]]+Table5[[#This Row],[zRnk]]+IF($W$3&lt;&gt;Table5[[#This Row],[Type]],50,0)</f>
        <v>1257</v>
      </c>
      <c r="X1211" s="53">
        <f>RANK(Table5[[#This Row],[zScore]],Table5[[#All],[zScore]])</f>
        <v>1207</v>
      </c>
      <c r="Y1211" s="52" t="str">
        <f>IFERROR(INDEX(DraftResults[[#All],[OVR]],MATCH(Table5[[#This Row],[PID]],DraftResults[[#All],[Player ID]],0)),"")</f>
        <v/>
      </c>
      <c r="Z12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1" s="52" t="str">
        <f>IFERROR(INDEX(DraftResults[[#All],[Pick in Round]],MATCH(Table5[[#This Row],[PID]],DraftResults[[#All],[Player ID]],0)),"")</f>
        <v/>
      </c>
      <c r="AB1211" s="52" t="str">
        <f>IFERROR(INDEX(DraftResults[[#All],[Team Name]],MATCH(Table5[[#This Row],[PID]],DraftResults[[#All],[Player ID]],0)),"")</f>
        <v/>
      </c>
      <c r="AC1211" s="52" t="str">
        <f>IF(Table5[[#This Row],[Ovr]]="","",IF(Table5[[#This Row],[cmbList]]="","",Table5[[#This Row],[cmbList]]-Table5[[#This Row],[Ovr]]))</f>
        <v/>
      </c>
      <c r="AD1211" s="56" t="str">
        <f>IF(ISERROR(VLOOKUP($AB1211&amp;"-"&amp;$E1211&amp;" "&amp;F1211,Bonuses!$B$1:$G$1006,4,FALSE)),"",INT(VLOOKUP($AB1211&amp;"-"&amp;$E1211&amp;" "&amp;$F1211,Bonuses!$B$1:$G$1006,4,FALSE)))</f>
        <v/>
      </c>
      <c r="AE12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2" spans="1:31" s="8" customFormat="1" x14ac:dyDescent="0.25">
      <c r="A1212" s="52">
        <v>11985</v>
      </c>
      <c r="B1212" s="57">
        <f>COUNTIF(Table5[PID],A1212)</f>
        <v>1</v>
      </c>
      <c r="C1212" s="57" t="str">
        <f>IF(COUNTIF(Table3[[#All],[PID]],A1212)&gt;0,"P","B")</f>
        <v>B</v>
      </c>
      <c r="D1212" s="61" t="str">
        <f>IF($C1212="B",INDEX(Batters[[#All],[POS]],MATCH(Table5[[#This Row],[PID]],Batters[[#All],[PID]],0)),INDEX(Table3[[#All],[POS]],MATCH(Table5[[#This Row],[PID]],Table3[[#All],[PID]],0)))</f>
        <v>RF</v>
      </c>
      <c r="E1212" s="54" t="str">
        <f>IF($C1212="B",INDEX(Batters[[#All],[First]],MATCH(Table5[[#This Row],[PID]],Batters[[#All],[PID]],0)),INDEX(Table3[[#All],[First]],MATCH(Table5[[#This Row],[PID]],Table3[[#All],[PID]],0)))</f>
        <v>Robert</v>
      </c>
      <c r="F1212" s="52" t="str">
        <f>IF($C1212="B",INDEX(Batters[[#All],[Last]],MATCH(A1212,Batters[[#All],[PID]],0)),INDEX(Table3[[#All],[Last]],MATCH(A1212,Table3[[#All],[PID]],0)))</f>
        <v>Fox</v>
      </c>
      <c r="G1212" s="58">
        <f>IF($C1212="B",INDEX(Batters[[#All],[Age]],MATCH(Table5[[#This Row],[PID]],Batters[[#All],[PID]],0)),INDEX(Table3[[#All],[Age]],MATCH(Table5[[#This Row],[PID]],Table3[[#All],[PID]],0)))</f>
        <v>21</v>
      </c>
      <c r="H1212" s="54" t="str">
        <f>IF($C1212="B",INDEX(Batters[[#All],[B]],MATCH(Table5[[#This Row],[PID]],Batters[[#All],[PID]],0)),INDEX(Table3[[#All],[B]],MATCH(Table5[[#This Row],[PID]],Table3[[#All],[PID]],0)))</f>
        <v>L</v>
      </c>
      <c r="I1212" s="54" t="str">
        <f>IF($C1212="B",INDEX(Batters[[#All],[T]],MATCH(Table5[[#This Row],[PID]],Batters[[#All],[PID]],0)),INDEX(Table3[[#All],[T]],MATCH(Table5[[#This Row],[PID]],Table3[[#All],[PID]],0)))</f>
        <v>L</v>
      </c>
      <c r="J1212" s="54" t="str">
        <f>IF($C1212="B",INDEX(Batters[[#All],[WE]],MATCH(Table5[[#This Row],[PID]],Batters[[#All],[PID]],0)),INDEX(Table3[[#All],[WE]],MATCH(Table5[[#This Row],[PID]],Table3[[#All],[PID]],0)))</f>
        <v>High</v>
      </c>
      <c r="K1212" s="54" t="str">
        <f>IF($C1212="B",INDEX(Batters[[#All],[INT]],MATCH(Table5[[#This Row],[PID]],Batters[[#All],[PID]],0)),INDEX(Table3[[#All],[INT]],MATCH(Table5[[#This Row],[PID]],Table3[[#All],[PID]],0)))</f>
        <v>Low</v>
      </c>
      <c r="L1212" s="62">
        <f>IF($C1212="B",INDEX(Batters[[#All],[CON P]],MATCH(Table5[[#This Row],[PID]],Batters[[#All],[PID]],0)),INDEX(Table3[[#All],[STU P]],MATCH(Table5[[#This Row],[PID]],Table3[[#All],[PID]],0)))</f>
        <v>2</v>
      </c>
      <c r="M1212" s="58">
        <f>IF($C1212="B",INDEX(Batters[[#All],[GAP P]],MATCH(Table5[[#This Row],[PID]],Batters[[#All],[PID]],0)),INDEX(Table3[[#All],[MOV P]],MATCH(Table5[[#This Row],[PID]],Table3[[#All],[PID]],0)))</f>
        <v>2</v>
      </c>
      <c r="N1212" s="58">
        <f>IF($C1212="B",INDEX(Batters[[#All],[POW P]],MATCH(Table5[[#This Row],[PID]],Batters[[#All],[PID]],0)),INDEX(Table3[[#All],[CON P]],MATCH(Table5[[#This Row],[PID]],Table3[[#All],[PID]],0)))</f>
        <v>5</v>
      </c>
      <c r="O1212" s="58">
        <f>IF($C1212="B",INDEX(Batters[[#All],[EYE P]],MATCH(Table5[[#This Row],[PID]],Batters[[#All],[PID]],0)),INDEX(Table3[[#All],[VELO]],MATCH(Table5[[#This Row],[PID]],Table3[[#All],[PID]],0)))</f>
        <v>3</v>
      </c>
      <c r="P1212" s="58">
        <f>IF($C1212="B",INDEX(Batters[[#All],[K P]],MATCH(Table5[[#This Row],[PID]],Batters[[#All],[PID]],0)),INDEX(Table3[[#All],[STM]],MATCH(Table5[[#This Row],[PID]],Table3[[#All],[PID]],0)))</f>
        <v>1</v>
      </c>
      <c r="Q1212" s="63">
        <f>IF($C1212="B",INDEX(Batters[[#All],[Tot]],MATCH(Table5[[#This Row],[PID]],Batters[[#All],[PID]],0)),INDEX(Table3[[#All],[Tot]],MATCH(Table5[[#This Row],[PID]],Table3[[#All],[PID]],0)))</f>
        <v>30.428398224125871</v>
      </c>
      <c r="R1212" s="54">
        <f>IF($C1212="B",INDEX(Batters[[#All],[zScore]],MATCH(Table5[[#This Row],[PID]],Batters[[#All],[PID]],0)),INDEX(Table3[[#All],[zScore]],MATCH(Table5[[#This Row],[PID]],Table3[[#All],[PID]],0)))</f>
        <v>-1.7453315248073411</v>
      </c>
      <c r="S1212" s="60" t="str">
        <f>IF($C1212="B",INDEX(Batters[[#All],[DEM]],MATCH(Table5[[#This Row],[PID]],Batters[[#All],[PID]],0)),INDEX(Table3[[#All],[DEM]],MATCH(Table5[[#This Row],[PID]],Table3[[#All],[PID]],0)))</f>
        <v>$20k</v>
      </c>
      <c r="T1212" s="64">
        <f>IF($C1212="B",VLOOKUP($A1212,Bat!$A$4:$AU$1417,46,FALSE),VLOOKUP($A1212,Pit!$A$4:$BD$570,55,FALSE))</f>
        <v>0</v>
      </c>
      <c r="U1212" s="52">
        <f>IF($C1212="B",VLOOKUP($A1212,Bat!$A$4:$BA$1417,47,FALSE),VLOOKUP($A1212,Pit!$A$4:$BF$570,56,FALSE))</f>
        <v>0</v>
      </c>
      <c r="V1212" s="52">
        <f>IF($C1212="B",VLOOKUP($A1212,Bat!$A$4:$BA$1417,48,FALSE),VLOOKUP($A1212,Pit!$A$4:$BF$570,57,FALSE))</f>
        <v>0</v>
      </c>
      <c r="W1212" s="52">
        <f>Table5[[#This Row],[posRnk]]+Table5[[#This Row],[zRnk]]+IF($W$3&lt;&gt;Table5[[#This Row],[Type]],50,0)</f>
        <v>1258</v>
      </c>
      <c r="X1212" s="53">
        <f>RANK(Table5[[#This Row],[zScore]],Table5[[#All],[zScore]])</f>
        <v>1208</v>
      </c>
      <c r="Y1212" s="52" t="str">
        <f>IFERROR(INDEX(DraftResults[[#All],[OVR]],MATCH(Table5[[#This Row],[PID]],DraftResults[[#All],[Player ID]],0)),"")</f>
        <v/>
      </c>
      <c r="Z12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2" s="52" t="str">
        <f>IFERROR(INDEX(DraftResults[[#All],[Pick in Round]],MATCH(Table5[[#This Row],[PID]],DraftResults[[#All],[Player ID]],0)),"")</f>
        <v/>
      </c>
      <c r="AB1212" s="52" t="str">
        <f>IFERROR(INDEX(DraftResults[[#All],[Team Name]],MATCH(Table5[[#This Row],[PID]],DraftResults[[#All],[Player ID]],0)),"")</f>
        <v/>
      </c>
      <c r="AC1212" s="52" t="str">
        <f>IF(Table5[[#This Row],[Ovr]]="","",IF(Table5[[#This Row],[cmbList]]="","",Table5[[#This Row],[cmbList]]-Table5[[#This Row],[Ovr]]))</f>
        <v/>
      </c>
      <c r="AD1212" s="56" t="str">
        <f>IF(ISERROR(VLOOKUP($AB1212&amp;"-"&amp;$E1212&amp;" "&amp;F1212,Bonuses!$B$1:$G$1006,4,FALSE)),"",INT(VLOOKUP($AB1212&amp;"-"&amp;$E1212&amp;" "&amp;$F1212,Bonuses!$B$1:$G$1006,4,FALSE)))</f>
        <v/>
      </c>
      <c r="AE12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3" spans="1:31" s="8" customFormat="1" x14ac:dyDescent="0.25">
      <c r="A1213" s="52">
        <v>10489</v>
      </c>
      <c r="B1213" s="52">
        <f>COUNTIF(Table5[PID],A1213)</f>
        <v>1</v>
      </c>
      <c r="C1213" s="52" t="str">
        <f>IF(COUNTIF(Table3[[#All],[PID]],A1213)&gt;0,"P","B")</f>
        <v>B</v>
      </c>
      <c r="D1213" s="61" t="str">
        <f>IF($C1213="B",INDEX(Batters[[#All],[POS]],MATCH(Table5[[#This Row],[PID]],Batters[[#All],[PID]],0)),INDEX(Table3[[#All],[POS]],MATCH(Table5[[#This Row],[PID]],Table3[[#All],[PID]],0)))</f>
        <v>1B</v>
      </c>
      <c r="E1213" s="54" t="str">
        <f>IF($C1213="B",INDEX(Batters[[#All],[First]],MATCH(Table5[[#This Row],[PID]],Batters[[#All],[PID]],0)),INDEX(Table3[[#All],[First]],MATCH(Table5[[#This Row],[PID]],Table3[[#All],[PID]],0)))</f>
        <v>Bill</v>
      </c>
      <c r="F1213" s="52" t="str">
        <f>IF($C1213="B",INDEX(Batters[[#All],[Last]],MATCH(A1213,Batters[[#All],[PID]],0)),INDEX(Table3[[#All],[Last]],MATCH(A1213,Table3[[#All],[PID]],0)))</f>
        <v>Dean</v>
      </c>
      <c r="G1213" s="58">
        <f>IF($C1213="B",INDEX(Batters[[#All],[Age]],MATCH(Table5[[#This Row],[PID]],Batters[[#All],[PID]],0)),INDEX(Table3[[#All],[Age]],MATCH(Table5[[#This Row],[PID]],Table3[[#All],[PID]],0)))</f>
        <v>21</v>
      </c>
      <c r="H1213" s="54" t="str">
        <f>IF($C1213="B",INDEX(Batters[[#All],[B]],MATCH(Table5[[#This Row],[PID]],Batters[[#All],[PID]],0)),INDEX(Table3[[#All],[B]],MATCH(Table5[[#This Row],[PID]],Table3[[#All],[PID]],0)))</f>
        <v>S</v>
      </c>
      <c r="I1213" s="54" t="str">
        <f>IF($C1213="B",INDEX(Batters[[#All],[T]],MATCH(Table5[[#This Row],[PID]],Batters[[#All],[PID]],0)),INDEX(Table3[[#All],[T]],MATCH(Table5[[#This Row],[PID]],Table3[[#All],[PID]],0)))</f>
        <v>R</v>
      </c>
      <c r="J1213" s="54" t="str">
        <f>IF($C1213="B",INDEX(Batters[[#All],[WE]],MATCH(Table5[[#This Row],[PID]],Batters[[#All],[PID]],0)),INDEX(Table3[[#All],[WE]],MATCH(Table5[[#This Row],[PID]],Table3[[#All],[PID]],0)))</f>
        <v>Low</v>
      </c>
      <c r="K1213" s="54" t="str">
        <f>IF($C1213="B",INDEX(Batters[[#All],[INT]],MATCH(Table5[[#This Row],[PID]],Batters[[#All],[PID]],0)),INDEX(Table3[[#All],[INT]],MATCH(Table5[[#This Row],[PID]],Table3[[#All],[PID]],0)))</f>
        <v>Normal</v>
      </c>
      <c r="L1213" s="62">
        <f>IF($C1213="B",INDEX(Batters[[#All],[CON P]],MATCH(Table5[[#This Row],[PID]],Batters[[#All],[PID]],0)),INDEX(Table3[[#All],[STU P]],MATCH(Table5[[#This Row],[PID]],Table3[[#All],[PID]],0)))</f>
        <v>3</v>
      </c>
      <c r="M1213" s="58">
        <f>IF($C1213="B",INDEX(Batters[[#All],[GAP P]],MATCH(Table5[[#This Row],[PID]],Batters[[#All],[PID]],0)),INDEX(Table3[[#All],[MOV P]],MATCH(Table5[[#This Row],[PID]],Table3[[#All],[PID]],0)))</f>
        <v>2</v>
      </c>
      <c r="N1213" s="58">
        <f>IF($C1213="B",INDEX(Batters[[#All],[POW P]],MATCH(Table5[[#This Row],[PID]],Batters[[#All],[PID]],0)),INDEX(Table3[[#All],[CON P]],MATCH(Table5[[#This Row],[PID]],Table3[[#All],[PID]],0)))</f>
        <v>2</v>
      </c>
      <c r="O1213" s="58">
        <f>IF($C1213="B",INDEX(Batters[[#All],[EYE P]],MATCH(Table5[[#This Row],[PID]],Batters[[#All],[PID]],0)),INDEX(Table3[[#All],[VELO]],MATCH(Table5[[#This Row],[PID]],Table3[[#All],[PID]],0)))</f>
        <v>1</v>
      </c>
      <c r="P1213" s="58">
        <f>IF($C1213="B",INDEX(Batters[[#All],[K P]],MATCH(Table5[[#This Row],[PID]],Batters[[#All],[PID]],0)),INDEX(Table3[[#All],[STM]],MATCH(Table5[[#This Row],[PID]],Table3[[#All],[PID]],0)))</f>
        <v>4</v>
      </c>
      <c r="Q1213" s="63">
        <f>IF($C1213="B",INDEX(Batters[[#All],[Tot]],MATCH(Table5[[#This Row],[PID]],Batters[[#All],[PID]],0)),INDEX(Table3[[#All],[Tot]],MATCH(Table5[[#This Row],[PID]],Table3[[#All],[PID]],0)))</f>
        <v>30.311391986099494</v>
      </c>
      <c r="R1213" s="54">
        <f>IF($C1213="B",INDEX(Batters[[#All],[zScore]],MATCH(Table5[[#This Row],[PID]],Batters[[#All],[PID]],0)),INDEX(Table3[[#All],[zScore]],MATCH(Table5[[#This Row],[PID]],Table3[[#All],[PID]],0)))</f>
        <v>-1.765917994729127</v>
      </c>
      <c r="S1213" s="60" t="str">
        <f>IF($C1213="B",INDEX(Batters[[#All],[DEM]],MATCH(Table5[[#This Row],[PID]],Batters[[#All],[PID]],0)),INDEX(Table3[[#All],[DEM]],MATCH(Table5[[#This Row],[PID]],Table3[[#All],[PID]],0)))</f>
        <v>-</v>
      </c>
      <c r="T1213" s="64">
        <f>IF($C1213="B",VLOOKUP($A1213,Bat!$A$4:$AU$1417,46,FALSE),VLOOKUP($A1213,Pit!$A$4:$BD$570,55,FALSE))</f>
        <v>0</v>
      </c>
      <c r="U1213" s="52">
        <f>IF($C1213="B",VLOOKUP($A1213,Bat!$A$4:$BA$1417,47,FALSE),VLOOKUP($A1213,Pit!$A$4:$BF$570,56,FALSE))</f>
        <v>0</v>
      </c>
      <c r="V1213" s="52">
        <f>IF($C1213="B",VLOOKUP($A1213,Bat!$A$4:$BA$1417,48,FALSE),VLOOKUP($A1213,Pit!$A$4:$BF$570,57,FALSE))</f>
        <v>0</v>
      </c>
      <c r="W1213" s="52">
        <f>Table5[[#This Row],[posRnk]]+Table5[[#This Row],[zRnk]]+IF($W$3&lt;&gt;Table5[[#This Row],[Type]],50,0)</f>
        <v>1259</v>
      </c>
      <c r="X1213" s="53">
        <f>RANK(Table5[[#This Row],[zScore]],Table5[[#All],[zScore]])</f>
        <v>1209</v>
      </c>
      <c r="Y1213" s="52" t="str">
        <f>IFERROR(INDEX(DraftResults[[#All],[OVR]],MATCH(Table5[[#This Row],[PID]],DraftResults[[#All],[Player ID]],0)),"")</f>
        <v/>
      </c>
      <c r="Z12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3" s="52" t="str">
        <f>IFERROR(INDEX(DraftResults[[#All],[Pick in Round]],MATCH(Table5[[#This Row],[PID]],DraftResults[[#All],[Player ID]],0)),"")</f>
        <v/>
      </c>
      <c r="AB1213" s="52" t="str">
        <f>IFERROR(INDEX(DraftResults[[#All],[Team Name]],MATCH(Table5[[#This Row],[PID]],DraftResults[[#All],[Player ID]],0)),"")</f>
        <v/>
      </c>
      <c r="AC1213" s="52" t="str">
        <f>IF(Table5[[#This Row],[Ovr]]="","",IF(Table5[[#This Row],[cmbList]]="","",Table5[[#This Row],[cmbList]]-Table5[[#This Row],[Ovr]]))</f>
        <v/>
      </c>
      <c r="AD1213" s="56" t="str">
        <f>IF(ISERROR(VLOOKUP($AB1213&amp;"-"&amp;$E1213&amp;" "&amp;F1213,Bonuses!$B$1:$G$1006,4,FALSE)),"",INT(VLOOKUP($AB1213&amp;"-"&amp;$E1213&amp;" "&amp;$F1213,Bonuses!$B$1:$G$1006,4,FALSE)))</f>
        <v/>
      </c>
      <c r="AE12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4" spans="1:31" s="8" customFormat="1" x14ac:dyDescent="0.25">
      <c r="A1214" s="52">
        <v>5406</v>
      </c>
      <c r="B1214" s="52">
        <f>COUNTIF(Table5[PID],A1214)</f>
        <v>1</v>
      </c>
      <c r="C1214" s="52" t="str">
        <f>IF(COUNTIF(Table3[[#All],[PID]],A1214)&gt;0,"P","B")</f>
        <v>B</v>
      </c>
      <c r="D1214" s="61" t="str">
        <f>IF($C1214="B",INDEX(Batters[[#All],[POS]],MATCH(Table5[[#This Row],[PID]],Batters[[#All],[PID]],0)),INDEX(Table3[[#All],[POS]],MATCH(Table5[[#This Row],[PID]],Table3[[#All],[PID]],0)))</f>
        <v>1B</v>
      </c>
      <c r="E1214" s="54" t="str">
        <f>IF($C1214="B",INDEX(Batters[[#All],[First]],MATCH(Table5[[#This Row],[PID]],Batters[[#All],[PID]],0)),INDEX(Table3[[#All],[First]],MATCH(Table5[[#This Row],[PID]],Table3[[#All],[PID]],0)))</f>
        <v>Steve</v>
      </c>
      <c r="F1214" s="52" t="str">
        <f>IF($C1214="B",INDEX(Batters[[#All],[Last]],MATCH(A1214,Batters[[#All],[PID]],0)),INDEX(Table3[[#All],[Last]],MATCH(A1214,Table3[[#All],[PID]],0)))</f>
        <v>Harris</v>
      </c>
      <c r="G1214" s="58">
        <f>IF($C1214="B",INDEX(Batters[[#All],[Age]],MATCH(Table5[[#This Row],[PID]],Batters[[#All],[PID]],0)),INDEX(Table3[[#All],[Age]],MATCH(Table5[[#This Row],[PID]],Table3[[#All],[PID]],0)))</f>
        <v>22</v>
      </c>
      <c r="H1214" s="54" t="str">
        <f>IF($C1214="B",INDEX(Batters[[#All],[B]],MATCH(Table5[[#This Row],[PID]],Batters[[#All],[PID]],0)),INDEX(Table3[[#All],[B]],MATCH(Table5[[#This Row],[PID]],Table3[[#All],[PID]],0)))</f>
        <v>R</v>
      </c>
      <c r="I1214" s="54" t="str">
        <f>IF($C1214="B",INDEX(Batters[[#All],[T]],MATCH(Table5[[#This Row],[PID]],Batters[[#All],[PID]],0)),INDEX(Table3[[#All],[T]],MATCH(Table5[[#This Row],[PID]],Table3[[#All],[PID]],0)))</f>
        <v>R</v>
      </c>
      <c r="J1214" s="54" t="str">
        <f>IF($C1214="B",INDEX(Batters[[#All],[WE]],MATCH(Table5[[#This Row],[PID]],Batters[[#All],[PID]],0)),INDEX(Table3[[#All],[WE]],MATCH(Table5[[#This Row],[PID]],Table3[[#All],[PID]],0)))</f>
        <v>Low</v>
      </c>
      <c r="K1214" s="54" t="str">
        <f>IF($C1214="B",INDEX(Batters[[#All],[INT]],MATCH(Table5[[#This Row],[PID]],Batters[[#All],[PID]],0)),INDEX(Table3[[#All],[INT]],MATCH(Table5[[#This Row],[PID]],Table3[[#All],[PID]],0)))</f>
        <v>Normal</v>
      </c>
      <c r="L1214" s="62">
        <f>IF($C1214="B",INDEX(Batters[[#All],[CON P]],MATCH(Table5[[#This Row],[PID]],Batters[[#All],[PID]],0)),INDEX(Table3[[#All],[STU P]],MATCH(Table5[[#This Row],[PID]],Table3[[#All],[PID]],0)))</f>
        <v>3</v>
      </c>
      <c r="M1214" s="58">
        <f>IF($C1214="B",INDEX(Batters[[#All],[GAP P]],MATCH(Table5[[#This Row],[PID]],Batters[[#All],[PID]],0)),INDEX(Table3[[#All],[MOV P]],MATCH(Table5[[#This Row],[PID]],Table3[[#All],[PID]],0)))</f>
        <v>2</v>
      </c>
      <c r="N1214" s="58">
        <f>IF($C1214="B",INDEX(Batters[[#All],[POW P]],MATCH(Table5[[#This Row],[PID]],Batters[[#All],[PID]],0)),INDEX(Table3[[#All],[CON P]],MATCH(Table5[[#This Row],[PID]],Table3[[#All],[PID]],0)))</f>
        <v>2</v>
      </c>
      <c r="O1214" s="58">
        <f>IF($C1214="B",INDEX(Batters[[#All],[EYE P]],MATCH(Table5[[#This Row],[PID]],Batters[[#All],[PID]],0)),INDEX(Table3[[#All],[VELO]],MATCH(Table5[[#This Row],[PID]],Table3[[#All],[PID]],0)))</f>
        <v>1</v>
      </c>
      <c r="P1214" s="58">
        <f>IF($C1214="B",INDEX(Batters[[#All],[K P]],MATCH(Table5[[#This Row],[PID]],Batters[[#All],[PID]],0)),INDEX(Table3[[#All],[STM]],MATCH(Table5[[#This Row],[PID]],Table3[[#All],[PID]],0)))</f>
        <v>4</v>
      </c>
      <c r="Q1214" s="63">
        <f>IF($C1214="B",INDEX(Batters[[#All],[Tot]],MATCH(Table5[[#This Row],[PID]],Batters[[#All],[PID]],0)),INDEX(Table3[[#All],[Tot]],MATCH(Table5[[#This Row],[PID]],Table3[[#All],[PID]],0)))</f>
        <v>30.311391986099494</v>
      </c>
      <c r="R1214" s="54">
        <f>IF($C1214="B",INDEX(Batters[[#All],[zScore]],MATCH(Table5[[#This Row],[PID]],Batters[[#All],[PID]],0)),INDEX(Table3[[#All],[zScore]],MATCH(Table5[[#This Row],[PID]],Table3[[#All],[PID]],0)))</f>
        <v>-1.765917994729127</v>
      </c>
      <c r="S1214" s="60" t="str">
        <f>IF($C1214="B",INDEX(Batters[[#All],[DEM]],MATCH(Table5[[#This Row],[PID]],Batters[[#All],[PID]],0)),INDEX(Table3[[#All],[DEM]],MATCH(Table5[[#This Row],[PID]],Table3[[#All],[PID]],0)))</f>
        <v>-</v>
      </c>
      <c r="T1214" s="64">
        <f>IF($C1214="B",VLOOKUP($A1214,Bat!$A$4:$AU$1417,46,FALSE),VLOOKUP($A1214,Pit!$A$4:$BD$570,55,FALSE))</f>
        <v>0</v>
      </c>
      <c r="U1214" s="52">
        <f>IF($C1214="B",VLOOKUP($A1214,Bat!$A$4:$BA$1417,47,FALSE),VLOOKUP($A1214,Pit!$A$4:$BF$570,56,FALSE))</f>
        <v>0</v>
      </c>
      <c r="V1214" s="52">
        <f>IF($C1214="B",VLOOKUP($A1214,Bat!$A$4:$BA$1417,48,FALSE),VLOOKUP($A1214,Pit!$A$4:$BF$570,57,FALSE))</f>
        <v>0</v>
      </c>
      <c r="W1214" s="52">
        <f>Table5[[#This Row],[posRnk]]+Table5[[#This Row],[zRnk]]+IF($W$3&lt;&gt;Table5[[#This Row],[Type]],50,0)</f>
        <v>1259</v>
      </c>
      <c r="X1214" s="53">
        <f>RANK(Table5[[#This Row],[zScore]],Table5[[#All],[zScore]])</f>
        <v>1209</v>
      </c>
      <c r="Y1214" s="52" t="str">
        <f>IFERROR(INDEX(DraftResults[[#All],[OVR]],MATCH(Table5[[#This Row],[PID]],DraftResults[[#All],[Player ID]],0)),"")</f>
        <v/>
      </c>
      <c r="Z12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4" s="52" t="str">
        <f>IFERROR(INDEX(DraftResults[[#All],[Pick in Round]],MATCH(Table5[[#This Row],[PID]],DraftResults[[#All],[Player ID]],0)),"")</f>
        <v/>
      </c>
      <c r="AB1214" s="52" t="str">
        <f>IFERROR(INDEX(DraftResults[[#All],[Team Name]],MATCH(Table5[[#This Row],[PID]],DraftResults[[#All],[Player ID]],0)),"")</f>
        <v/>
      </c>
      <c r="AC1214" s="52" t="str">
        <f>IF(Table5[[#This Row],[Ovr]]="","",IF(Table5[[#This Row],[cmbList]]="","",Table5[[#This Row],[cmbList]]-Table5[[#This Row],[Ovr]]))</f>
        <v/>
      </c>
      <c r="AD1214" s="56" t="str">
        <f>IF(ISERROR(VLOOKUP($AB1214&amp;"-"&amp;$E1214&amp;" "&amp;F1214,Bonuses!$B$1:$G$1006,4,FALSE)),"",INT(VLOOKUP($AB1214&amp;"-"&amp;$E1214&amp;" "&amp;$F1214,Bonuses!$B$1:$G$1006,4,FALSE)))</f>
        <v/>
      </c>
      <c r="AE12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5" spans="1:31" s="8" customFormat="1" x14ac:dyDescent="0.25">
      <c r="A1215" s="52">
        <v>11888</v>
      </c>
      <c r="B1215" s="52">
        <f>COUNTIF(Table5[PID],A1215)</f>
        <v>1</v>
      </c>
      <c r="C1215" s="52" t="str">
        <f>IF(COUNTIF(Table3[[#All],[PID]],A1215)&gt;0,"P","B")</f>
        <v>B</v>
      </c>
      <c r="D1215" s="61" t="str">
        <f>IF($C1215="B",INDEX(Batters[[#All],[POS]],MATCH(Table5[[#This Row],[PID]],Batters[[#All],[PID]],0)),INDEX(Table3[[#All],[POS]],MATCH(Table5[[#This Row],[PID]],Table3[[#All],[PID]],0)))</f>
        <v>C</v>
      </c>
      <c r="E1215" s="54" t="str">
        <f>IF($C1215="B",INDEX(Batters[[#All],[First]],MATCH(Table5[[#This Row],[PID]],Batters[[#All],[PID]],0)),INDEX(Table3[[#All],[First]],MATCH(Table5[[#This Row],[PID]],Table3[[#All],[PID]],0)))</f>
        <v>Allen</v>
      </c>
      <c r="F1215" s="52" t="str">
        <f>IF($C1215="B",INDEX(Batters[[#All],[Last]],MATCH(A1215,Batters[[#All],[PID]],0)),INDEX(Table3[[#All],[Last]],MATCH(A1215,Table3[[#All],[PID]],0)))</f>
        <v>Gregg</v>
      </c>
      <c r="G1215" s="58">
        <f>IF($C1215="B",INDEX(Batters[[#All],[Age]],MATCH(Table5[[#This Row],[PID]],Batters[[#All],[PID]],0)),INDEX(Table3[[#All],[Age]],MATCH(Table5[[#This Row],[PID]],Table3[[#All],[PID]],0)))</f>
        <v>21</v>
      </c>
      <c r="H1215" s="54" t="str">
        <f>IF($C1215="B",INDEX(Batters[[#All],[B]],MATCH(Table5[[#This Row],[PID]],Batters[[#All],[PID]],0)),INDEX(Table3[[#All],[B]],MATCH(Table5[[#This Row],[PID]],Table3[[#All],[PID]],0)))</f>
        <v>R</v>
      </c>
      <c r="I1215" s="54" t="str">
        <f>IF($C1215="B",INDEX(Batters[[#All],[T]],MATCH(Table5[[#This Row],[PID]],Batters[[#All],[PID]],0)),INDEX(Table3[[#All],[T]],MATCH(Table5[[#This Row],[PID]],Table3[[#All],[PID]],0)))</f>
        <v>R</v>
      </c>
      <c r="J1215" s="54" t="str">
        <f>IF($C1215="B",INDEX(Batters[[#All],[WE]],MATCH(Table5[[#This Row],[PID]],Batters[[#All],[PID]],0)),INDEX(Table3[[#All],[WE]],MATCH(Table5[[#This Row],[PID]],Table3[[#All],[PID]],0)))</f>
        <v>Low</v>
      </c>
      <c r="K1215" s="54" t="str">
        <f>IF($C1215="B",INDEX(Batters[[#All],[INT]],MATCH(Table5[[#This Row],[PID]],Batters[[#All],[PID]],0)),INDEX(Table3[[#All],[INT]],MATCH(Table5[[#This Row],[PID]],Table3[[#All],[PID]],0)))</f>
        <v>Low</v>
      </c>
      <c r="L1215" s="62">
        <f>IF($C1215="B",INDEX(Batters[[#All],[CON P]],MATCH(Table5[[#This Row],[PID]],Batters[[#All],[PID]],0)),INDEX(Table3[[#All],[STU P]],MATCH(Table5[[#This Row],[PID]],Table3[[#All],[PID]],0)))</f>
        <v>2</v>
      </c>
      <c r="M1215" s="58">
        <f>IF($C1215="B",INDEX(Batters[[#All],[GAP P]],MATCH(Table5[[#This Row],[PID]],Batters[[#All],[PID]],0)),INDEX(Table3[[#All],[MOV P]],MATCH(Table5[[#This Row],[PID]],Table3[[#All],[PID]],0)))</f>
        <v>2</v>
      </c>
      <c r="N1215" s="58">
        <f>IF($C1215="B",INDEX(Batters[[#All],[POW P]],MATCH(Table5[[#This Row],[PID]],Batters[[#All],[PID]],0)),INDEX(Table3[[#All],[CON P]],MATCH(Table5[[#This Row],[PID]],Table3[[#All],[PID]],0)))</f>
        <v>3</v>
      </c>
      <c r="O1215" s="58">
        <f>IF($C1215="B",INDEX(Batters[[#All],[EYE P]],MATCH(Table5[[#This Row],[PID]],Batters[[#All],[PID]],0)),INDEX(Table3[[#All],[VELO]],MATCH(Table5[[#This Row],[PID]],Table3[[#All],[PID]],0)))</f>
        <v>5</v>
      </c>
      <c r="P1215" s="58">
        <f>IF($C1215="B",INDEX(Batters[[#All],[K P]],MATCH(Table5[[#This Row],[PID]],Batters[[#All],[PID]],0)),INDEX(Table3[[#All],[STM]],MATCH(Table5[[#This Row],[PID]],Table3[[#All],[PID]],0)))</f>
        <v>2</v>
      </c>
      <c r="Q1215" s="63">
        <f>IF($C1215="B",INDEX(Batters[[#All],[Tot]],MATCH(Table5[[#This Row],[PID]],Batters[[#All],[PID]],0)),INDEX(Table3[[#All],[Tot]],MATCH(Table5[[#This Row],[PID]],Table3[[#All],[PID]],0)))</f>
        <v>30.300870541183833</v>
      </c>
      <c r="R1215" s="54">
        <f>IF($C1215="B",INDEX(Batters[[#All],[zScore]],MATCH(Table5[[#This Row],[PID]],Batters[[#All],[PID]],0)),INDEX(Table3[[#All],[zScore]],MATCH(Table5[[#This Row],[PID]],Table3[[#All],[PID]],0)))</f>
        <v>-1.7677691730333227</v>
      </c>
      <c r="S1215" s="60" t="str">
        <f>IF($C1215="B",INDEX(Batters[[#All],[DEM]],MATCH(Table5[[#This Row],[PID]],Batters[[#All],[PID]],0)),INDEX(Table3[[#All],[DEM]],MATCH(Table5[[#This Row],[PID]],Table3[[#All],[PID]],0)))</f>
        <v>-</v>
      </c>
      <c r="T1215" s="64">
        <f>IF($C1215="B",VLOOKUP($A1215,Bat!$A$4:$AU$1417,46,FALSE),VLOOKUP($A1215,Pit!$A$4:$BD$570,55,FALSE))</f>
        <v>0</v>
      </c>
      <c r="U1215" s="52">
        <f>IF($C1215="B",VLOOKUP($A1215,Bat!$A$4:$BA$1417,47,FALSE),VLOOKUP($A1215,Pit!$A$4:$BF$570,56,FALSE))</f>
        <v>0</v>
      </c>
      <c r="V1215" s="52">
        <f>IF($C1215="B",VLOOKUP($A1215,Bat!$A$4:$BA$1417,48,FALSE),VLOOKUP($A1215,Pit!$A$4:$BF$570,57,FALSE))</f>
        <v>0</v>
      </c>
      <c r="W1215" s="52">
        <f>Table5[[#This Row],[posRnk]]+Table5[[#This Row],[zRnk]]+IF($W$3&lt;&gt;Table5[[#This Row],[Type]],50,0)</f>
        <v>1261</v>
      </c>
      <c r="X1215" s="53">
        <f>RANK(Table5[[#This Row],[zScore]],Table5[[#All],[zScore]])</f>
        <v>1211</v>
      </c>
      <c r="Y1215" s="52" t="str">
        <f>IFERROR(INDEX(DraftResults[[#All],[OVR]],MATCH(Table5[[#This Row],[PID]],DraftResults[[#All],[Player ID]],0)),"")</f>
        <v/>
      </c>
      <c r="Z12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5" s="52" t="str">
        <f>IFERROR(INDEX(DraftResults[[#All],[Pick in Round]],MATCH(Table5[[#This Row],[PID]],DraftResults[[#All],[Player ID]],0)),"")</f>
        <v/>
      </c>
      <c r="AB1215" s="52" t="str">
        <f>IFERROR(INDEX(DraftResults[[#All],[Team Name]],MATCH(Table5[[#This Row],[PID]],DraftResults[[#All],[Player ID]],0)),"")</f>
        <v/>
      </c>
      <c r="AC1215" s="52" t="str">
        <f>IF(Table5[[#This Row],[Ovr]]="","",IF(Table5[[#This Row],[cmbList]]="","",Table5[[#This Row],[cmbList]]-Table5[[#This Row],[Ovr]]))</f>
        <v/>
      </c>
      <c r="AD1215" s="56" t="str">
        <f>IF(ISERROR(VLOOKUP($AB1215&amp;"-"&amp;$E1215&amp;" "&amp;F1215,Bonuses!$B$1:$G$1006,4,FALSE)),"",INT(VLOOKUP($AB1215&amp;"-"&amp;$E1215&amp;" "&amp;$F1215,Bonuses!$B$1:$G$1006,4,FALSE)))</f>
        <v/>
      </c>
      <c r="AE12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6" spans="1:31" s="8" customFormat="1" x14ac:dyDescent="0.25">
      <c r="A1216" s="52">
        <v>13550</v>
      </c>
      <c r="B1216" s="52">
        <f>COUNTIF(Table5[PID],A1216)</f>
        <v>1</v>
      </c>
      <c r="C1216" s="52" t="str">
        <f>IF(COUNTIF(Table3[[#All],[PID]],A1216)&gt;0,"P","B")</f>
        <v>B</v>
      </c>
      <c r="D1216" s="61" t="str">
        <f>IF($C1216="B",INDEX(Batters[[#All],[POS]],MATCH(Table5[[#This Row],[PID]],Batters[[#All],[PID]],0)),INDEX(Table3[[#All],[POS]],MATCH(Table5[[#This Row],[PID]],Table3[[#All],[PID]],0)))</f>
        <v>1B</v>
      </c>
      <c r="E1216" s="54" t="str">
        <f>IF($C1216="B",INDEX(Batters[[#All],[First]],MATCH(Table5[[#This Row],[PID]],Batters[[#All],[PID]],0)),INDEX(Table3[[#All],[First]],MATCH(Table5[[#This Row],[PID]],Table3[[#All],[PID]],0)))</f>
        <v>Yasuhiro</v>
      </c>
      <c r="F1216" s="52" t="str">
        <f>IF($C1216="B",INDEX(Batters[[#All],[Last]],MATCH(A1216,Batters[[#All],[PID]],0)),INDEX(Table3[[#All],[Last]],MATCH(A1216,Table3[[#All],[PID]],0)))</f>
        <v>Murakami</v>
      </c>
      <c r="G1216" s="58">
        <f>IF($C1216="B",INDEX(Batters[[#All],[Age]],MATCH(Table5[[#This Row],[PID]],Batters[[#All],[PID]],0)),INDEX(Table3[[#All],[Age]],MATCH(Table5[[#This Row],[PID]],Table3[[#All],[PID]],0)))</f>
        <v>21</v>
      </c>
      <c r="H1216" s="54" t="str">
        <f>IF($C1216="B",INDEX(Batters[[#All],[B]],MATCH(Table5[[#This Row],[PID]],Batters[[#All],[PID]],0)),INDEX(Table3[[#All],[B]],MATCH(Table5[[#This Row],[PID]],Table3[[#All],[PID]],0)))</f>
        <v>R</v>
      </c>
      <c r="I1216" s="54" t="str">
        <f>IF($C1216="B",INDEX(Batters[[#All],[T]],MATCH(Table5[[#This Row],[PID]],Batters[[#All],[PID]],0)),INDEX(Table3[[#All],[T]],MATCH(Table5[[#This Row],[PID]],Table3[[#All],[PID]],0)))</f>
        <v>R</v>
      </c>
      <c r="J1216" s="54" t="str">
        <f>IF($C1216="B",INDEX(Batters[[#All],[WE]],MATCH(Table5[[#This Row],[PID]],Batters[[#All],[PID]],0)),INDEX(Table3[[#All],[WE]],MATCH(Table5[[#This Row],[PID]],Table3[[#All],[PID]],0)))</f>
        <v>Low</v>
      </c>
      <c r="K1216" s="54" t="str">
        <f>IF($C1216="B",INDEX(Batters[[#All],[INT]],MATCH(Table5[[#This Row],[PID]],Batters[[#All],[PID]],0)),INDEX(Table3[[#All],[INT]],MATCH(Table5[[#This Row],[PID]],Table3[[#All],[PID]],0)))</f>
        <v>Normal</v>
      </c>
      <c r="L1216" s="62">
        <f>IF($C1216="B",INDEX(Batters[[#All],[CON P]],MATCH(Table5[[#This Row],[PID]],Batters[[#All],[PID]],0)),INDEX(Table3[[#All],[STU P]],MATCH(Table5[[#This Row],[PID]],Table3[[#All],[PID]],0)))</f>
        <v>3</v>
      </c>
      <c r="M1216" s="58">
        <f>IF($C1216="B",INDEX(Batters[[#All],[GAP P]],MATCH(Table5[[#This Row],[PID]],Batters[[#All],[PID]],0)),INDEX(Table3[[#All],[MOV P]],MATCH(Table5[[#This Row],[PID]],Table3[[#All],[PID]],0)))</f>
        <v>2</v>
      </c>
      <c r="N1216" s="58">
        <f>IF($C1216="B",INDEX(Batters[[#All],[POW P]],MATCH(Table5[[#This Row],[PID]],Batters[[#All],[PID]],0)),INDEX(Table3[[#All],[CON P]],MATCH(Table5[[#This Row],[PID]],Table3[[#All],[PID]],0)))</f>
        <v>2</v>
      </c>
      <c r="O1216" s="58">
        <f>IF($C1216="B",INDEX(Batters[[#All],[EYE P]],MATCH(Table5[[#This Row],[PID]],Batters[[#All],[PID]],0)),INDEX(Table3[[#All],[VELO]],MATCH(Table5[[#This Row],[PID]],Table3[[#All],[PID]],0)))</f>
        <v>1</v>
      </c>
      <c r="P1216" s="58">
        <f>IF($C1216="B",INDEX(Batters[[#All],[K P]],MATCH(Table5[[#This Row],[PID]],Batters[[#All],[PID]],0)),INDEX(Table3[[#All],[STM]],MATCH(Table5[[#This Row],[PID]],Table3[[#All],[PID]],0)))</f>
        <v>4</v>
      </c>
      <c r="Q1216" s="63">
        <f>IF($C1216="B",INDEX(Batters[[#All],[Tot]],MATCH(Table5[[#This Row],[PID]],Batters[[#All],[PID]],0)),INDEX(Table3[[#All],[Tot]],MATCH(Table5[[#This Row],[PID]],Table3[[#All],[PID]],0)))</f>
        <v>30.288244024422809</v>
      </c>
      <c r="R1216" s="54">
        <f>IF($C1216="B",INDEX(Batters[[#All],[zScore]],MATCH(Table5[[#This Row],[PID]],Batters[[#All],[PID]],0)),INDEX(Table3[[#All],[zScore]],MATCH(Table5[[#This Row],[PID]],Table3[[#All],[PID]],0)))</f>
        <v>-1.769990724737764</v>
      </c>
      <c r="S1216" s="60" t="str">
        <f>IF($C1216="B",INDEX(Batters[[#All],[DEM]],MATCH(Table5[[#This Row],[PID]],Batters[[#All],[PID]],0)),INDEX(Table3[[#All],[DEM]],MATCH(Table5[[#This Row],[PID]],Table3[[#All],[PID]],0)))</f>
        <v>-</v>
      </c>
      <c r="T1216" s="64">
        <f>IF($C1216="B",VLOOKUP($A1216,Bat!$A$4:$AU$1417,46,FALSE),VLOOKUP($A1216,Pit!$A$4:$BD$570,55,FALSE))</f>
        <v>0</v>
      </c>
      <c r="U1216" s="52">
        <f>IF($C1216="B",VLOOKUP($A1216,Bat!$A$4:$BA$1417,47,FALSE),VLOOKUP($A1216,Pit!$A$4:$BF$570,56,FALSE))</f>
        <v>0</v>
      </c>
      <c r="V1216" s="52">
        <f>IF($C1216="B",VLOOKUP($A1216,Bat!$A$4:$BA$1417,48,FALSE),VLOOKUP($A1216,Pit!$A$4:$BF$570,57,FALSE))</f>
        <v>0</v>
      </c>
      <c r="W1216" s="52">
        <f>Table5[[#This Row],[posRnk]]+Table5[[#This Row],[zRnk]]+IF($W$3&lt;&gt;Table5[[#This Row],[Type]],50,0)</f>
        <v>1262</v>
      </c>
      <c r="X1216" s="53">
        <f>RANK(Table5[[#This Row],[zScore]],Table5[[#All],[zScore]])</f>
        <v>1212</v>
      </c>
      <c r="Y1216" s="52" t="str">
        <f>IFERROR(INDEX(DraftResults[[#All],[OVR]],MATCH(Table5[[#This Row],[PID]],DraftResults[[#All],[Player ID]],0)),"")</f>
        <v/>
      </c>
      <c r="Z12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6" s="52" t="str">
        <f>IFERROR(INDEX(DraftResults[[#All],[Pick in Round]],MATCH(Table5[[#This Row],[PID]],DraftResults[[#All],[Player ID]],0)),"")</f>
        <v/>
      </c>
      <c r="AB1216" s="52" t="str">
        <f>IFERROR(INDEX(DraftResults[[#All],[Team Name]],MATCH(Table5[[#This Row],[PID]],DraftResults[[#All],[Player ID]],0)),"")</f>
        <v/>
      </c>
      <c r="AC1216" s="52" t="str">
        <f>IF(Table5[[#This Row],[Ovr]]="","",IF(Table5[[#This Row],[cmbList]]="","",Table5[[#This Row],[cmbList]]-Table5[[#This Row],[Ovr]]))</f>
        <v/>
      </c>
      <c r="AD1216" s="56" t="str">
        <f>IF(ISERROR(VLOOKUP($AB1216&amp;"-"&amp;$E1216&amp;" "&amp;F1216,Bonuses!$B$1:$G$1006,4,FALSE)),"",INT(VLOOKUP($AB1216&amp;"-"&amp;$E1216&amp;" "&amp;$F1216,Bonuses!$B$1:$G$1006,4,FALSE)))</f>
        <v/>
      </c>
      <c r="AE12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7" spans="1:31" s="8" customFormat="1" x14ac:dyDescent="0.25">
      <c r="A1217" s="52">
        <v>5321</v>
      </c>
      <c r="B1217" s="52">
        <f>COUNTIF(Table5[PID],A1217)</f>
        <v>1</v>
      </c>
      <c r="C1217" s="52" t="str">
        <f>IF(COUNTIF(Table3[[#All],[PID]],A1217)&gt;0,"P","B")</f>
        <v>B</v>
      </c>
      <c r="D1217" s="61" t="str">
        <f>IF($C1217="B",INDEX(Batters[[#All],[POS]],MATCH(Table5[[#This Row],[PID]],Batters[[#All],[PID]],0)),INDEX(Table3[[#All],[POS]],MATCH(Table5[[#This Row],[PID]],Table3[[#All],[PID]],0)))</f>
        <v>3B</v>
      </c>
      <c r="E1217" s="54" t="str">
        <f>IF($C1217="B",INDEX(Batters[[#All],[First]],MATCH(Table5[[#This Row],[PID]],Batters[[#All],[PID]],0)),INDEX(Table3[[#All],[First]],MATCH(Table5[[#This Row],[PID]],Table3[[#All],[PID]],0)))</f>
        <v>Ryan</v>
      </c>
      <c r="F1217" s="52" t="str">
        <f>IF($C1217="B",INDEX(Batters[[#All],[Last]],MATCH(A1217,Batters[[#All],[PID]],0)),INDEX(Table3[[#All],[Last]],MATCH(A1217,Table3[[#All],[PID]],0)))</f>
        <v>Díaz</v>
      </c>
      <c r="G1217" s="58">
        <f>IF($C1217="B",INDEX(Batters[[#All],[Age]],MATCH(Table5[[#This Row],[PID]],Batters[[#All],[PID]],0)),INDEX(Table3[[#All],[Age]],MATCH(Table5[[#This Row],[PID]],Table3[[#All],[PID]],0)))</f>
        <v>22</v>
      </c>
      <c r="H1217" s="54" t="str">
        <f>IF($C1217="B",INDEX(Batters[[#All],[B]],MATCH(Table5[[#This Row],[PID]],Batters[[#All],[PID]],0)),INDEX(Table3[[#All],[B]],MATCH(Table5[[#This Row],[PID]],Table3[[#All],[PID]],0)))</f>
        <v>R</v>
      </c>
      <c r="I1217" s="54" t="str">
        <f>IF($C1217="B",INDEX(Batters[[#All],[T]],MATCH(Table5[[#This Row],[PID]],Batters[[#All],[PID]],0)),INDEX(Table3[[#All],[T]],MATCH(Table5[[#This Row],[PID]],Table3[[#All],[PID]],0)))</f>
        <v>R</v>
      </c>
      <c r="J1217" s="54" t="str">
        <f>IF($C1217="B",INDEX(Batters[[#All],[WE]],MATCH(Table5[[#This Row],[PID]],Batters[[#All],[PID]],0)),INDEX(Table3[[#All],[WE]],MATCH(Table5[[#This Row],[PID]],Table3[[#All],[PID]],0)))</f>
        <v>Low</v>
      </c>
      <c r="K1217" s="54" t="str">
        <f>IF($C1217="B",INDEX(Batters[[#All],[INT]],MATCH(Table5[[#This Row],[PID]],Batters[[#All],[PID]],0)),INDEX(Table3[[#All],[INT]],MATCH(Table5[[#This Row],[PID]],Table3[[#All],[PID]],0)))</f>
        <v>Low</v>
      </c>
      <c r="L1217" s="62">
        <f>IF($C1217="B",INDEX(Batters[[#All],[CON P]],MATCH(Table5[[#This Row],[PID]],Batters[[#All],[PID]],0)),INDEX(Table3[[#All],[STU P]],MATCH(Table5[[#This Row],[PID]],Table3[[#All],[PID]],0)))</f>
        <v>2</v>
      </c>
      <c r="M1217" s="58">
        <f>IF($C1217="B",INDEX(Batters[[#All],[GAP P]],MATCH(Table5[[#This Row],[PID]],Batters[[#All],[PID]],0)),INDEX(Table3[[#All],[MOV P]],MATCH(Table5[[#This Row],[PID]],Table3[[#All],[PID]],0)))</f>
        <v>2</v>
      </c>
      <c r="N1217" s="58">
        <f>IF($C1217="B",INDEX(Batters[[#All],[POW P]],MATCH(Table5[[#This Row],[PID]],Batters[[#All],[PID]],0)),INDEX(Table3[[#All],[CON P]],MATCH(Table5[[#This Row],[PID]],Table3[[#All],[PID]],0)))</f>
        <v>3</v>
      </c>
      <c r="O1217" s="58">
        <f>IF($C1217="B",INDEX(Batters[[#All],[EYE P]],MATCH(Table5[[#This Row],[PID]],Batters[[#All],[PID]],0)),INDEX(Table3[[#All],[VELO]],MATCH(Table5[[#This Row],[PID]],Table3[[#All],[PID]],0)))</f>
        <v>4</v>
      </c>
      <c r="P1217" s="58">
        <f>IF($C1217="B",INDEX(Batters[[#All],[K P]],MATCH(Table5[[#This Row],[PID]],Batters[[#All],[PID]],0)),INDEX(Table3[[#All],[STM]],MATCH(Table5[[#This Row],[PID]],Table3[[#All],[PID]],0)))</f>
        <v>2</v>
      </c>
      <c r="Q1217" s="63">
        <f>IF($C1217="B",INDEX(Batters[[#All],[Tot]],MATCH(Table5[[#This Row],[PID]],Batters[[#All],[PID]],0)),INDEX(Table3[[#All],[Tot]],MATCH(Table5[[#This Row],[PID]],Table3[[#All],[PID]],0)))</f>
        <v>30.216660229403153</v>
      </c>
      <c r="R1217" s="54">
        <f>IF($C1217="B",INDEX(Batters[[#All],[zScore]],MATCH(Table5[[#This Row],[PID]],Batters[[#All],[PID]],0)),INDEX(Table3[[#All],[zScore]],MATCH(Table5[[#This Row],[PID]],Table3[[#All],[PID]],0)))</f>
        <v>-1.7825854177038538</v>
      </c>
      <c r="S1217" s="60" t="str">
        <f>IF($C1217="B",INDEX(Batters[[#All],[DEM]],MATCH(Table5[[#This Row],[PID]],Batters[[#All],[PID]],0)),INDEX(Table3[[#All],[DEM]],MATCH(Table5[[#This Row],[PID]],Table3[[#All],[PID]],0)))</f>
        <v>-</v>
      </c>
      <c r="T1217" s="64">
        <f>IF($C1217="B",VLOOKUP($A1217,Bat!$A$4:$AU$1417,46,FALSE),VLOOKUP($A1217,Pit!$A$4:$BD$570,55,FALSE))</f>
        <v>0</v>
      </c>
      <c r="U1217" s="52">
        <f>IF($C1217="B",VLOOKUP($A1217,Bat!$A$4:$BA$1417,47,FALSE),VLOOKUP($A1217,Pit!$A$4:$BF$570,56,FALSE))</f>
        <v>0</v>
      </c>
      <c r="V1217" s="52">
        <f>IF($C1217="B",VLOOKUP($A1217,Bat!$A$4:$BA$1417,48,FALSE),VLOOKUP($A1217,Pit!$A$4:$BF$570,57,FALSE))</f>
        <v>0</v>
      </c>
      <c r="W1217" s="52">
        <f>Table5[[#This Row],[posRnk]]+Table5[[#This Row],[zRnk]]+IF($W$3&lt;&gt;Table5[[#This Row],[Type]],50,0)</f>
        <v>1263</v>
      </c>
      <c r="X1217" s="53">
        <f>RANK(Table5[[#This Row],[zScore]],Table5[[#All],[zScore]])</f>
        <v>1213</v>
      </c>
      <c r="Y1217" s="52" t="str">
        <f>IFERROR(INDEX(DraftResults[[#All],[OVR]],MATCH(Table5[[#This Row],[PID]],DraftResults[[#All],[Player ID]],0)),"")</f>
        <v/>
      </c>
      <c r="Z12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7" s="52" t="str">
        <f>IFERROR(INDEX(DraftResults[[#All],[Pick in Round]],MATCH(Table5[[#This Row],[PID]],DraftResults[[#All],[Player ID]],0)),"")</f>
        <v/>
      </c>
      <c r="AB1217" s="52" t="str">
        <f>IFERROR(INDEX(DraftResults[[#All],[Team Name]],MATCH(Table5[[#This Row],[PID]],DraftResults[[#All],[Player ID]],0)),"")</f>
        <v/>
      </c>
      <c r="AC1217" s="52" t="str">
        <f>IF(Table5[[#This Row],[Ovr]]="","",IF(Table5[[#This Row],[cmbList]]="","",Table5[[#This Row],[cmbList]]-Table5[[#This Row],[Ovr]]))</f>
        <v/>
      </c>
      <c r="AD1217" s="56" t="str">
        <f>IF(ISERROR(VLOOKUP($AB1217&amp;"-"&amp;$E1217&amp;" "&amp;F1217,Bonuses!$B$1:$G$1006,4,FALSE)),"",INT(VLOOKUP($AB1217&amp;"-"&amp;$E1217&amp;" "&amp;$F1217,Bonuses!$B$1:$G$1006,4,FALSE)))</f>
        <v/>
      </c>
      <c r="AE12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8" spans="1:31" s="8" customFormat="1" x14ac:dyDescent="0.25">
      <c r="A1218" s="52">
        <v>5943</v>
      </c>
      <c r="B1218" s="52">
        <f>COUNTIF(Table5[PID],A1218)</f>
        <v>1</v>
      </c>
      <c r="C1218" s="52" t="str">
        <f>IF(COUNTIF(Table3[[#All],[PID]],A1218)&gt;0,"P","B")</f>
        <v>P</v>
      </c>
      <c r="D1218" s="61" t="str">
        <f>IF($C1218="B",INDEX(Batters[[#All],[POS]],MATCH(Table5[[#This Row],[PID]],Batters[[#All],[PID]],0)),INDEX(Table3[[#All],[POS]],MATCH(Table5[[#This Row],[PID]],Table3[[#All],[PID]],0)))</f>
        <v>RP</v>
      </c>
      <c r="E1218" s="54" t="str">
        <f>IF($C1218="B",INDEX(Batters[[#All],[First]],MATCH(Table5[[#This Row],[PID]],Batters[[#All],[PID]],0)),INDEX(Table3[[#All],[First]],MATCH(Table5[[#This Row],[PID]],Table3[[#All],[PID]],0)))</f>
        <v>Garland</v>
      </c>
      <c r="F1218" s="52" t="str">
        <f>IF($C1218="B",INDEX(Batters[[#All],[Last]],MATCH(A1218,Batters[[#All],[PID]],0)),INDEX(Table3[[#All],[Last]],MATCH(A1218,Table3[[#All],[PID]],0)))</f>
        <v>Harris</v>
      </c>
      <c r="G1218" s="58">
        <f>IF($C1218="B",INDEX(Batters[[#All],[Age]],MATCH(Table5[[#This Row],[PID]],Batters[[#All],[PID]],0)),INDEX(Table3[[#All],[Age]],MATCH(Table5[[#This Row],[PID]],Table3[[#All],[PID]],0)))</f>
        <v>18</v>
      </c>
      <c r="H1218" s="54" t="str">
        <f>IF($C1218="B",INDEX(Batters[[#All],[B]],MATCH(Table5[[#This Row],[PID]],Batters[[#All],[PID]],0)),INDEX(Table3[[#All],[B]],MATCH(Table5[[#This Row],[PID]],Table3[[#All],[PID]],0)))</f>
        <v>L</v>
      </c>
      <c r="I1218" s="54" t="str">
        <f>IF($C1218="B",INDEX(Batters[[#All],[T]],MATCH(Table5[[#This Row],[PID]],Batters[[#All],[PID]],0)),INDEX(Table3[[#All],[T]],MATCH(Table5[[#This Row],[PID]],Table3[[#All],[PID]],0)))</f>
        <v>L</v>
      </c>
      <c r="J1218" s="54" t="str">
        <f>IF($C1218="B",INDEX(Batters[[#All],[WE]],MATCH(Table5[[#This Row],[PID]],Batters[[#All],[PID]],0)),INDEX(Table3[[#All],[WE]],MATCH(Table5[[#This Row],[PID]],Table3[[#All],[PID]],0)))</f>
        <v>Normal</v>
      </c>
      <c r="K1218" s="54" t="str">
        <f>IF($C1218="B",INDEX(Batters[[#All],[INT]],MATCH(Table5[[#This Row],[PID]],Batters[[#All],[PID]],0)),INDEX(Table3[[#All],[INT]],MATCH(Table5[[#This Row],[PID]],Table3[[#All],[PID]],0)))</f>
        <v>Normal</v>
      </c>
      <c r="L1218" s="62">
        <f>IF($C1218="B",INDEX(Batters[[#All],[CON P]],MATCH(Table5[[#This Row],[PID]],Batters[[#All],[PID]],0)),INDEX(Table3[[#All],[STU P]],MATCH(Table5[[#This Row],[PID]],Table3[[#All],[PID]],0)))</f>
        <v>3</v>
      </c>
      <c r="M1218" s="58">
        <f>IF($C1218="B",INDEX(Batters[[#All],[GAP P]],MATCH(Table5[[#This Row],[PID]],Batters[[#All],[PID]],0)),INDEX(Table3[[#All],[MOV P]],MATCH(Table5[[#This Row],[PID]],Table3[[#All],[PID]],0)))</f>
        <v>1</v>
      </c>
      <c r="N1218" s="58">
        <f>IF($C1218="B",INDEX(Batters[[#All],[POW P]],MATCH(Table5[[#This Row],[PID]],Batters[[#All],[PID]],0)),INDEX(Table3[[#All],[CON P]],MATCH(Table5[[#This Row],[PID]],Table3[[#All],[PID]],0)))</f>
        <v>1</v>
      </c>
      <c r="O1218" s="58" t="str">
        <f>IF($C1218="B",INDEX(Batters[[#All],[EYE P]],MATCH(Table5[[#This Row],[PID]],Batters[[#All],[PID]],0)),INDEX(Table3[[#All],[VELO]],MATCH(Table5[[#This Row],[PID]],Table3[[#All],[PID]],0)))</f>
        <v>85-87 Mph</v>
      </c>
      <c r="P1218" s="58">
        <f>IF($C1218="B",INDEX(Batters[[#All],[K P]],MATCH(Table5[[#This Row],[PID]],Batters[[#All],[PID]],0)),INDEX(Table3[[#All],[STM]],MATCH(Table5[[#This Row],[PID]],Table3[[#All],[PID]],0)))</f>
        <v>8</v>
      </c>
      <c r="Q1218" s="63">
        <f>IF($C1218="B",INDEX(Batters[[#All],[Tot]],MATCH(Table5[[#This Row],[PID]],Batters[[#All],[PID]],0)),INDEX(Table3[[#All],[Tot]],MATCH(Table5[[#This Row],[PID]],Table3[[#All],[PID]],0)))</f>
        <v>9.9711880687547563</v>
      </c>
      <c r="R1218" s="54">
        <f>IF($C1218="B",INDEX(Batters[[#All],[zScore]],MATCH(Table5[[#This Row],[PID]],Batters[[#All],[PID]],0)),INDEX(Table3[[#All],[zScore]],MATCH(Table5[[#This Row],[PID]],Table3[[#All],[PID]],0)))</f>
        <v>-1.790017466312412</v>
      </c>
      <c r="S1218" s="60" t="str">
        <f>IF($C1218="B",INDEX(Batters[[#All],[DEM]],MATCH(Table5[[#This Row],[PID]],Batters[[#All],[PID]],0)),INDEX(Table3[[#All],[DEM]],MATCH(Table5[[#This Row],[PID]],Table3[[#All],[PID]],0)))</f>
        <v>$70k</v>
      </c>
      <c r="T1218" s="64" t="e">
        <f>IF($C1218="B",VLOOKUP($A1218,Bat!$A$4:$AU$1417,46,FALSE),VLOOKUP($A1218,Pit!$A$4:$BD$570,55,FALSE))</f>
        <v>#N/A</v>
      </c>
      <c r="U1218" s="52" t="e">
        <f>IF($C1218="B",VLOOKUP($A1218,Bat!$A$4:$BA$1417,47,FALSE),VLOOKUP($A1218,Pit!$A$4:$BF$570,56,FALSE))</f>
        <v>#N/A</v>
      </c>
      <c r="V1218" s="52" t="e">
        <f>IF($C1218="B",VLOOKUP($A1218,Bat!$A$4:$BA$1417,48,FALSE),VLOOKUP($A1218,Pit!$A$4:$BF$570,57,FALSE))</f>
        <v>#N/A</v>
      </c>
      <c r="W1218" s="52" t="e">
        <f>Table5[[#This Row],[posRnk]]+Table5[[#This Row],[zRnk]]+IF($W$3&lt;&gt;Table5[[#This Row],[Type]],50,0)</f>
        <v>#N/A</v>
      </c>
      <c r="X1218" s="53">
        <f>RANK(Table5[[#This Row],[zScore]],Table5[[#All],[zScore]])</f>
        <v>1214</v>
      </c>
      <c r="Y1218" s="52" t="str">
        <f>IFERROR(INDEX(DraftResults[[#All],[OVR]],MATCH(Table5[[#This Row],[PID]],DraftResults[[#All],[Player ID]],0)),"")</f>
        <v/>
      </c>
      <c r="Z12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8" s="52" t="str">
        <f>IFERROR(INDEX(DraftResults[[#All],[Pick in Round]],MATCH(Table5[[#This Row],[PID]],DraftResults[[#All],[Player ID]],0)),"")</f>
        <v/>
      </c>
      <c r="AB1218" s="52" t="str">
        <f>IFERROR(INDEX(DraftResults[[#All],[Team Name]],MATCH(Table5[[#This Row],[PID]],DraftResults[[#All],[Player ID]],0)),"")</f>
        <v/>
      </c>
      <c r="AC1218" s="52" t="str">
        <f>IF(Table5[[#This Row],[Ovr]]="","",IF(Table5[[#This Row],[cmbList]]="","",Table5[[#This Row],[cmbList]]-Table5[[#This Row],[Ovr]]))</f>
        <v/>
      </c>
      <c r="AD1218" s="56" t="str">
        <f>IF(ISERROR(VLOOKUP($AB1218&amp;"-"&amp;$E1218&amp;" "&amp;F1218,Bonuses!$B$1:$G$1006,4,FALSE)),"",INT(VLOOKUP($AB1218&amp;"-"&amp;$E1218&amp;" "&amp;$F1218,Bonuses!$B$1:$G$1006,4,FALSE)))</f>
        <v/>
      </c>
      <c r="AE12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9" spans="1:31" s="8" customFormat="1" x14ac:dyDescent="0.25">
      <c r="A1219" s="52">
        <v>8115</v>
      </c>
      <c r="B1219" s="52">
        <f>COUNTIF(Table5[PID],A1219)</f>
        <v>1</v>
      </c>
      <c r="C1219" s="52" t="str">
        <f>IF(COUNTIF(Table3[[#All],[PID]],A1219)&gt;0,"P","B")</f>
        <v>B</v>
      </c>
      <c r="D1219" s="61" t="str">
        <f>IF($C1219="B",INDEX(Batters[[#All],[POS]],MATCH(Table5[[#This Row],[PID]],Batters[[#All],[PID]],0)),INDEX(Table3[[#All],[POS]],MATCH(Table5[[#This Row],[PID]],Table3[[#All],[PID]],0)))</f>
        <v>C</v>
      </c>
      <c r="E1219" s="54" t="str">
        <f>IF($C1219="B",INDEX(Batters[[#All],[First]],MATCH(Table5[[#This Row],[PID]],Batters[[#All],[PID]],0)),INDEX(Table3[[#All],[First]],MATCH(Table5[[#This Row],[PID]],Table3[[#All],[PID]],0)))</f>
        <v>Takamasa</v>
      </c>
      <c r="F1219" s="52" t="str">
        <f>IF($C1219="B",INDEX(Batters[[#All],[Last]],MATCH(A1219,Batters[[#All],[PID]],0)),INDEX(Table3[[#All],[Last]],MATCH(A1219,Table3[[#All],[PID]],0)))</f>
        <v>Miyashita</v>
      </c>
      <c r="G1219" s="58">
        <f>IF($C1219="B",INDEX(Batters[[#All],[Age]],MATCH(Table5[[#This Row],[PID]],Batters[[#All],[PID]],0)),INDEX(Table3[[#All],[Age]],MATCH(Table5[[#This Row],[PID]],Table3[[#All],[PID]],0)))</f>
        <v>20</v>
      </c>
      <c r="H1219" s="54" t="str">
        <f>IF($C1219="B",INDEX(Batters[[#All],[B]],MATCH(Table5[[#This Row],[PID]],Batters[[#All],[PID]],0)),INDEX(Table3[[#All],[B]],MATCH(Table5[[#This Row],[PID]],Table3[[#All],[PID]],0)))</f>
        <v>R</v>
      </c>
      <c r="I1219" s="54" t="str">
        <f>IF($C1219="B",INDEX(Batters[[#All],[T]],MATCH(Table5[[#This Row],[PID]],Batters[[#All],[PID]],0)),INDEX(Table3[[#All],[T]],MATCH(Table5[[#This Row],[PID]],Table3[[#All],[PID]],0)))</f>
        <v>R</v>
      </c>
      <c r="J1219" s="54" t="str">
        <f>IF($C1219="B",INDEX(Batters[[#All],[WE]],MATCH(Table5[[#This Row],[PID]],Batters[[#All],[PID]],0)),INDEX(Table3[[#All],[WE]],MATCH(Table5[[#This Row],[PID]],Table3[[#All],[PID]],0)))</f>
        <v>Low</v>
      </c>
      <c r="K1219" s="54" t="str">
        <f>IF($C1219="B",INDEX(Batters[[#All],[INT]],MATCH(Table5[[#This Row],[PID]],Batters[[#All],[PID]],0)),INDEX(Table3[[#All],[INT]],MATCH(Table5[[#This Row],[PID]],Table3[[#All],[PID]],0)))</f>
        <v>Normal</v>
      </c>
      <c r="L1219" s="62">
        <f>IF($C1219="B",INDEX(Batters[[#All],[CON P]],MATCH(Table5[[#This Row],[PID]],Batters[[#All],[PID]],0)),INDEX(Table3[[#All],[STU P]],MATCH(Table5[[#This Row],[PID]],Table3[[#All],[PID]],0)))</f>
        <v>2</v>
      </c>
      <c r="M1219" s="58">
        <f>IF($C1219="B",INDEX(Batters[[#All],[GAP P]],MATCH(Table5[[#This Row],[PID]],Batters[[#All],[PID]],0)),INDEX(Table3[[#All],[MOV P]],MATCH(Table5[[#This Row],[PID]],Table3[[#All],[PID]],0)))</f>
        <v>2</v>
      </c>
      <c r="N1219" s="58">
        <f>IF($C1219="B",INDEX(Batters[[#All],[POW P]],MATCH(Table5[[#This Row],[PID]],Batters[[#All],[PID]],0)),INDEX(Table3[[#All],[CON P]],MATCH(Table5[[#This Row],[PID]],Table3[[#All],[PID]],0)))</f>
        <v>3</v>
      </c>
      <c r="O1219" s="58">
        <f>IF($C1219="B",INDEX(Batters[[#All],[EYE P]],MATCH(Table5[[#This Row],[PID]],Batters[[#All],[PID]],0)),INDEX(Table3[[#All],[VELO]],MATCH(Table5[[#This Row],[PID]],Table3[[#All],[PID]],0)))</f>
        <v>4</v>
      </c>
      <c r="P1219" s="58">
        <f>IF($C1219="B",INDEX(Batters[[#All],[K P]],MATCH(Table5[[#This Row],[PID]],Batters[[#All],[PID]],0)),INDEX(Table3[[#All],[STM]],MATCH(Table5[[#This Row],[PID]],Table3[[#All],[PID]],0)))</f>
        <v>3</v>
      </c>
      <c r="Q1219" s="63">
        <f>IF($C1219="B",INDEX(Batters[[#All],[Tot]],MATCH(Table5[[#This Row],[PID]],Batters[[#All],[PID]],0)),INDEX(Table3[[#All],[Tot]],MATCH(Table5[[#This Row],[PID]],Table3[[#All],[PID]],0)))</f>
        <v>30.163522973874819</v>
      </c>
      <c r="R1219" s="54">
        <f>IF($C1219="B",INDEX(Batters[[#All],[zScore]],MATCH(Table5[[#This Row],[PID]],Batters[[#All],[PID]],0)),INDEX(Table3[[#All],[zScore]],MATCH(Table5[[#This Row],[PID]],Table3[[#All],[PID]],0)))</f>
        <v>-1.7919345646477431</v>
      </c>
      <c r="S1219" s="60" t="str">
        <f>IF($C1219="B",INDEX(Batters[[#All],[DEM]],MATCH(Table5[[#This Row],[PID]],Batters[[#All],[PID]],0)),INDEX(Table3[[#All],[DEM]],MATCH(Table5[[#This Row],[PID]],Table3[[#All],[PID]],0)))</f>
        <v>-</v>
      </c>
      <c r="T1219" s="64">
        <f>IF($C1219="B",VLOOKUP($A1219,Bat!$A$4:$AU$1417,46,FALSE),VLOOKUP($A1219,Pit!$A$4:$BD$570,55,FALSE))</f>
        <v>0</v>
      </c>
      <c r="U1219" s="52">
        <f>IF($C1219="B",VLOOKUP($A1219,Bat!$A$4:$BA$1417,47,FALSE),VLOOKUP($A1219,Pit!$A$4:$BF$570,56,FALSE))</f>
        <v>0</v>
      </c>
      <c r="V1219" s="52">
        <f>IF($C1219="B",VLOOKUP($A1219,Bat!$A$4:$BA$1417,48,FALSE),VLOOKUP($A1219,Pit!$A$4:$BF$570,57,FALSE))</f>
        <v>0</v>
      </c>
      <c r="W1219" s="52">
        <f>Table5[[#This Row],[posRnk]]+Table5[[#This Row],[zRnk]]+IF($W$3&lt;&gt;Table5[[#This Row],[Type]],50,0)</f>
        <v>1265</v>
      </c>
      <c r="X1219" s="53">
        <f>RANK(Table5[[#This Row],[zScore]],Table5[[#All],[zScore]])</f>
        <v>1215</v>
      </c>
      <c r="Y1219" s="52" t="str">
        <f>IFERROR(INDEX(DraftResults[[#All],[OVR]],MATCH(Table5[[#This Row],[PID]],DraftResults[[#All],[Player ID]],0)),"")</f>
        <v/>
      </c>
      <c r="Z12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9" s="52" t="str">
        <f>IFERROR(INDEX(DraftResults[[#All],[Pick in Round]],MATCH(Table5[[#This Row],[PID]],DraftResults[[#All],[Player ID]],0)),"")</f>
        <v/>
      </c>
      <c r="AB1219" s="52" t="str">
        <f>IFERROR(INDEX(DraftResults[[#All],[Team Name]],MATCH(Table5[[#This Row],[PID]],DraftResults[[#All],[Player ID]],0)),"")</f>
        <v/>
      </c>
      <c r="AC1219" s="52" t="str">
        <f>IF(Table5[[#This Row],[Ovr]]="","",IF(Table5[[#This Row],[cmbList]]="","",Table5[[#This Row],[cmbList]]-Table5[[#This Row],[Ovr]]))</f>
        <v/>
      </c>
      <c r="AD1219" s="56" t="str">
        <f>IF(ISERROR(VLOOKUP($AB1219&amp;"-"&amp;$E1219&amp;" "&amp;F1219,Bonuses!$B$1:$G$1006,4,FALSE)),"",INT(VLOOKUP($AB1219&amp;"-"&amp;$E1219&amp;" "&amp;$F1219,Bonuses!$B$1:$G$1006,4,FALSE)))</f>
        <v/>
      </c>
      <c r="AE12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0" spans="1:31" s="8" customFormat="1" x14ac:dyDescent="0.25">
      <c r="A1220" s="52">
        <v>6487</v>
      </c>
      <c r="B1220" s="52">
        <f>COUNTIF(Table5[PID],A1220)</f>
        <v>1</v>
      </c>
      <c r="C1220" s="52" t="str">
        <f>IF(COUNTIF(Table3[[#All],[PID]],A1220)&gt;0,"P","B")</f>
        <v>B</v>
      </c>
      <c r="D1220" s="61" t="str">
        <f>IF($C1220="B",INDEX(Batters[[#All],[POS]],MATCH(Table5[[#This Row],[PID]],Batters[[#All],[PID]],0)),INDEX(Table3[[#All],[POS]],MATCH(Table5[[#This Row],[PID]],Table3[[#All],[PID]],0)))</f>
        <v>1B</v>
      </c>
      <c r="E1220" s="54" t="str">
        <f>IF($C1220="B",INDEX(Batters[[#All],[First]],MATCH(Table5[[#This Row],[PID]],Batters[[#All],[PID]],0)),INDEX(Table3[[#All],[First]],MATCH(Table5[[#This Row],[PID]],Table3[[#All],[PID]],0)))</f>
        <v>Shotaro</v>
      </c>
      <c r="F1220" s="52" t="str">
        <f>IF($C1220="B",INDEX(Batters[[#All],[Last]],MATCH(A1220,Batters[[#All],[PID]],0)),INDEX(Table3[[#All],[Last]],MATCH(A1220,Table3[[#All],[PID]],0)))</f>
        <v>Chikafuji</v>
      </c>
      <c r="G1220" s="58">
        <f>IF($C1220="B",INDEX(Batters[[#All],[Age]],MATCH(Table5[[#This Row],[PID]],Batters[[#All],[PID]],0)),INDEX(Table3[[#All],[Age]],MATCH(Table5[[#This Row],[PID]],Table3[[#All],[PID]],0)))</f>
        <v>18</v>
      </c>
      <c r="H1220" s="54" t="str">
        <f>IF($C1220="B",INDEX(Batters[[#All],[B]],MATCH(Table5[[#This Row],[PID]],Batters[[#All],[PID]],0)),INDEX(Table3[[#All],[B]],MATCH(Table5[[#This Row],[PID]],Table3[[#All],[PID]],0)))</f>
        <v>L</v>
      </c>
      <c r="I1220" s="54" t="str">
        <f>IF($C1220="B",INDEX(Batters[[#All],[T]],MATCH(Table5[[#This Row],[PID]],Batters[[#All],[PID]],0)),INDEX(Table3[[#All],[T]],MATCH(Table5[[#This Row],[PID]],Table3[[#All],[PID]],0)))</f>
        <v>R</v>
      </c>
      <c r="J1220" s="54" t="str">
        <f>IF($C1220="B",INDEX(Batters[[#All],[WE]],MATCH(Table5[[#This Row],[PID]],Batters[[#All],[PID]],0)),INDEX(Table3[[#All],[WE]],MATCH(Table5[[#This Row],[PID]],Table3[[#All],[PID]],0)))</f>
        <v>Low</v>
      </c>
      <c r="K1220" s="54" t="str">
        <f>IF($C1220="B",INDEX(Batters[[#All],[INT]],MATCH(Table5[[#This Row],[PID]],Batters[[#All],[PID]],0)),INDEX(Table3[[#All],[INT]],MATCH(Table5[[#This Row],[PID]],Table3[[#All],[PID]],0)))</f>
        <v>Low</v>
      </c>
      <c r="L1220" s="62">
        <f>IF($C1220="B",INDEX(Batters[[#All],[CON P]],MATCH(Table5[[#This Row],[PID]],Batters[[#All],[PID]],0)),INDEX(Table3[[#All],[STU P]],MATCH(Table5[[#This Row],[PID]],Table3[[#All],[PID]],0)))</f>
        <v>2</v>
      </c>
      <c r="M1220" s="58">
        <f>IF($C1220="B",INDEX(Batters[[#All],[GAP P]],MATCH(Table5[[#This Row],[PID]],Batters[[#All],[PID]],0)),INDEX(Table3[[#All],[MOV P]],MATCH(Table5[[#This Row],[PID]],Table3[[#All],[PID]],0)))</f>
        <v>2</v>
      </c>
      <c r="N1220" s="58">
        <f>IF($C1220="B",INDEX(Batters[[#All],[POW P]],MATCH(Table5[[#This Row],[PID]],Batters[[#All],[PID]],0)),INDEX(Table3[[#All],[CON P]],MATCH(Table5[[#This Row],[PID]],Table3[[#All],[PID]],0)))</f>
        <v>2</v>
      </c>
      <c r="O1220" s="58">
        <f>IF($C1220="B",INDEX(Batters[[#All],[EYE P]],MATCH(Table5[[#This Row],[PID]],Batters[[#All],[PID]],0)),INDEX(Table3[[#All],[VELO]],MATCH(Table5[[#This Row],[PID]],Table3[[#All],[PID]],0)))</f>
        <v>1</v>
      </c>
      <c r="P1220" s="58">
        <f>IF($C1220="B",INDEX(Batters[[#All],[K P]],MATCH(Table5[[#This Row],[PID]],Batters[[#All],[PID]],0)),INDEX(Table3[[#All],[STM]],MATCH(Table5[[#This Row],[PID]],Table3[[#All],[PID]],0)))</f>
        <v>2</v>
      </c>
      <c r="Q1220" s="63">
        <f>IF($C1220="B",INDEX(Batters[[#All],[Tot]],MATCH(Table5[[#This Row],[PID]],Batters[[#All],[PID]],0)),INDEX(Table3[[#All],[Tot]],MATCH(Table5[[#This Row],[PID]],Table3[[#All],[PID]],0)))</f>
        <v>30.148074212437127</v>
      </c>
      <c r="R1220" s="54">
        <f>IF($C1220="B",INDEX(Batters[[#All],[zScore]],MATCH(Table5[[#This Row],[PID]],Batters[[#All],[PID]],0)),INDEX(Table3[[#All],[zScore]],MATCH(Table5[[#This Row],[PID]],Table3[[#All],[PID]],0)))</f>
        <v>-1.79465267154555</v>
      </c>
      <c r="S1220" s="60" t="str">
        <f>IF($C1220="B",INDEX(Batters[[#All],[DEM]],MATCH(Table5[[#This Row],[PID]],Batters[[#All],[PID]],0)),INDEX(Table3[[#All],[DEM]],MATCH(Table5[[#This Row],[PID]],Table3[[#All],[PID]],0)))</f>
        <v>$38k</v>
      </c>
      <c r="T1220" s="64">
        <f>IF($C1220="B",VLOOKUP($A1220,Bat!$A$4:$AU$1417,46,FALSE),VLOOKUP($A1220,Pit!$A$4:$BD$570,55,FALSE))</f>
        <v>0</v>
      </c>
      <c r="U1220" s="52">
        <f>IF($C1220="B",VLOOKUP($A1220,Bat!$A$4:$BA$1417,47,FALSE),VLOOKUP($A1220,Pit!$A$4:$BF$570,56,FALSE))</f>
        <v>0</v>
      </c>
      <c r="V1220" s="52">
        <f>IF($C1220="B",VLOOKUP($A1220,Bat!$A$4:$BA$1417,48,FALSE),VLOOKUP($A1220,Pit!$A$4:$BF$570,57,FALSE))</f>
        <v>0</v>
      </c>
      <c r="W1220" s="52">
        <f>Table5[[#This Row],[posRnk]]+Table5[[#This Row],[zRnk]]+IF($W$3&lt;&gt;Table5[[#This Row],[Type]],50,0)</f>
        <v>1266</v>
      </c>
      <c r="X1220" s="53">
        <f>RANK(Table5[[#This Row],[zScore]],Table5[[#All],[zScore]])</f>
        <v>1216</v>
      </c>
      <c r="Y1220" s="52" t="str">
        <f>IFERROR(INDEX(DraftResults[[#All],[OVR]],MATCH(Table5[[#This Row],[PID]],DraftResults[[#All],[Player ID]],0)),"")</f>
        <v/>
      </c>
      <c r="Z12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0" s="52" t="str">
        <f>IFERROR(INDEX(DraftResults[[#All],[Pick in Round]],MATCH(Table5[[#This Row],[PID]],DraftResults[[#All],[Player ID]],0)),"")</f>
        <v/>
      </c>
      <c r="AB1220" s="52" t="str">
        <f>IFERROR(INDEX(DraftResults[[#All],[Team Name]],MATCH(Table5[[#This Row],[PID]],DraftResults[[#All],[Player ID]],0)),"")</f>
        <v/>
      </c>
      <c r="AC1220" s="52" t="str">
        <f>IF(Table5[[#This Row],[Ovr]]="","",IF(Table5[[#This Row],[cmbList]]="","",Table5[[#This Row],[cmbList]]-Table5[[#This Row],[Ovr]]))</f>
        <v/>
      </c>
      <c r="AD1220" s="56" t="str">
        <f>IF(ISERROR(VLOOKUP($AB1220&amp;"-"&amp;$E1220&amp;" "&amp;F1220,Bonuses!$B$1:$G$1006,4,FALSE)),"",INT(VLOOKUP($AB1220&amp;"-"&amp;$E1220&amp;" "&amp;$F1220,Bonuses!$B$1:$G$1006,4,FALSE)))</f>
        <v/>
      </c>
      <c r="AE12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1" spans="1:31" s="8" customFormat="1" x14ac:dyDescent="0.25">
      <c r="A1221" s="52">
        <v>9720</v>
      </c>
      <c r="B1221" s="52">
        <f>COUNTIF(Table5[PID],A1221)</f>
        <v>1</v>
      </c>
      <c r="C1221" s="52" t="str">
        <f>IF(COUNTIF(Table3[[#All],[PID]],A1221)&gt;0,"P","B")</f>
        <v>B</v>
      </c>
      <c r="D1221" s="61" t="str">
        <f>IF($C1221="B",INDEX(Batters[[#All],[POS]],MATCH(Table5[[#This Row],[PID]],Batters[[#All],[PID]],0)),INDEX(Table3[[#All],[POS]],MATCH(Table5[[#This Row],[PID]],Table3[[#All],[PID]],0)))</f>
        <v>1B</v>
      </c>
      <c r="E1221" s="54" t="str">
        <f>IF($C1221="B",INDEX(Batters[[#All],[First]],MATCH(Table5[[#This Row],[PID]],Batters[[#All],[PID]],0)),INDEX(Table3[[#All],[First]],MATCH(Table5[[#This Row],[PID]],Table3[[#All],[PID]],0)))</f>
        <v>Carl</v>
      </c>
      <c r="F1221" s="52" t="str">
        <f>IF($C1221="B",INDEX(Batters[[#All],[Last]],MATCH(A1221,Batters[[#All],[PID]],0)),INDEX(Table3[[#All],[Last]],MATCH(A1221,Table3[[#All],[PID]],0)))</f>
        <v>Lee</v>
      </c>
      <c r="G1221" s="58">
        <f>IF($C1221="B",INDEX(Batters[[#All],[Age]],MATCH(Table5[[#This Row],[PID]],Batters[[#All],[PID]],0)),INDEX(Table3[[#All],[Age]],MATCH(Table5[[#This Row],[PID]],Table3[[#All],[PID]],0)))</f>
        <v>21</v>
      </c>
      <c r="H1221" s="54" t="str">
        <f>IF($C1221="B",INDEX(Batters[[#All],[B]],MATCH(Table5[[#This Row],[PID]],Batters[[#All],[PID]],0)),INDEX(Table3[[#All],[B]],MATCH(Table5[[#This Row],[PID]],Table3[[#All],[PID]],0)))</f>
        <v>R</v>
      </c>
      <c r="I1221" s="54" t="str">
        <f>IF($C1221="B",INDEX(Batters[[#All],[T]],MATCH(Table5[[#This Row],[PID]],Batters[[#All],[PID]],0)),INDEX(Table3[[#All],[T]],MATCH(Table5[[#This Row],[PID]],Table3[[#All],[PID]],0)))</f>
        <v>L</v>
      </c>
      <c r="J1221" s="54" t="str">
        <f>IF($C1221="B",INDEX(Batters[[#All],[WE]],MATCH(Table5[[#This Row],[PID]],Batters[[#All],[PID]],0)),INDEX(Table3[[#All],[WE]],MATCH(Table5[[#This Row],[PID]],Table3[[#All],[PID]],0)))</f>
        <v>Normal</v>
      </c>
      <c r="K1221" s="54" t="str">
        <f>IF($C1221="B",INDEX(Batters[[#All],[INT]],MATCH(Table5[[#This Row],[PID]],Batters[[#All],[PID]],0)),INDEX(Table3[[#All],[INT]],MATCH(Table5[[#This Row],[PID]],Table3[[#All],[PID]],0)))</f>
        <v>Normal</v>
      </c>
      <c r="L1221" s="62">
        <f>IF($C1221="B",INDEX(Batters[[#All],[CON P]],MATCH(Table5[[#This Row],[PID]],Batters[[#All],[PID]],0)),INDEX(Table3[[#All],[STU P]],MATCH(Table5[[#This Row],[PID]],Table3[[#All],[PID]],0)))</f>
        <v>3</v>
      </c>
      <c r="M1221" s="58">
        <f>IF($C1221="B",INDEX(Batters[[#All],[GAP P]],MATCH(Table5[[#This Row],[PID]],Batters[[#All],[PID]],0)),INDEX(Table3[[#All],[MOV P]],MATCH(Table5[[#This Row],[PID]],Table3[[#All],[PID]],0)))</f>
        <v>2</v>
      </c>
      <c r="N1221" s="58">
        <f>IF($C1221="B",INDEX(Batters[[#All],[POW P]],MATCH(Table5[[#This Row],[PID]],Batters[[#All],[PID]],0)),INDEX(Table3[[#All],[CON P]],MATCH(Table5[[#This Row],[PID]],Table3[[#All],[PID]],0)))</f>
        <v>2</v>
      </c>
      <c r="O1221" s="58">
        <f>IF($C1221="B",INDEX(Batters[[#All],[EYE P]],MATCH(Table5[[#This Row],[PID]],Batters[[#All],[PID]],0)),INDEX(Table3[[#All],[VELO]],MATCH(Table5[[#This Row],[PID]],Table3[[#All],[PID]],0)))</f>
        <v>1</v>
      </c>
      <c r="P1221" s="58">
        <f>IF($C1221="B",INDEX(Batters[[#All],[K P]],MATCH(Table5[[#This Row],[PID]],Batters[[#All],[PID]],0)),INDEX(Table3[[#All],[STM]],MATCH(Table5[[#This Row],[PID]],Table3[[#All],[PID]],0)))</f>
        <v>3</v>
      </c>
      <c r="Q1221" s="63">
        <f>IF($C1221="B",INDEX(Batters[[#All],[Tot]],MATCH(Table5[[#This Row],[PID]],Batters[[#All],[PID]],0)),INDEX(Table3[[#All],[Tot]],MATCH(Table5[[#This Row],[PID]],Table3[[#All],[PID]],0)))</f>
        <v>30.136301896256363</v>
      </c>
      <c r="R1221" s="54">
        <f>IF($C1221="B",INDEX(Batters[[#All],[zScore]],MATCH(Table5[[#This Row],[PID]],Batters[[#All],[PID]],0)),INDEX(Table3[[#All],[zScore]],MATCH(Table5[[#This Row],[PID]],Table3[[#All],[PID]],0)))</f>
        <v>-1.7967239323351705</v>
      </c>
      <c r="S1221" s="60" t="str">
        <f>IF($C1221="B",INDEX(Batters[[#All],[DEM]],MATCH(Table5[[#This Row],[PID]],Batters[[#All],[PID]],0)),INDEX(Table3[[#All],[DEM]],MATCH(Table5[[#This Row],[PID]],Table3[[#All],[PID]],0)))</f>
        <v>-</v>
      </c>
      <c r="T1221" s="64">
        <f>IF($C1221="B",VLOOKUP($A1221,Bat!$A$4:$AU$1417,46,FALSE),VLOOKUP($A1221,Pit!$A$4:$BD$570,55,FALSE))</f>
        <v>0</v>
      </c>
      <c r="U1221" s="52">
        <f>IF($C1221="B",VLOOKUP($A1221,Bat!$A$4:$BA$1417,47,FALSE),VLOOKUP($A1221,Pit!$A$4:$BF$570,56,FALSE))</f>
        <v>0</v>
      </c>
      <c r="V1221" s="52">
        <f>IF($C1221="B",VLOOKUP($A1221,Bat!$A$4:$BA$1417,48,FALSE),VLOOKUP($A1221,Pit!$A$4:$BF$570,57,FALSE))</f>
        <v>0</v>
      </c>
      <c r="W1221" s="52">
        <f>Table5[[#This Row],[posRnk]]+Table5[[#This Row],[zRnk]]+IF($W$3&lt;&gt;Table5[[#This Row],[Type]],50,0)</f>
        <v>1267</v>
      </c>
      <c r="X1221" s="53">
        <f>RANK(Table5[[#This Row],[zScore]],Table5[[#All],[zScore]])</f>
        <v>1217</v>
      </c>
      <c r="Y1221" s="52" t="str">
        <f>IFERROR(INDEX(DraftResults[[#All],[OVR]],MATCH(Table5[[#This Row],[PID]],DraftResults[[#All],[Player ID]],0)),"")</f>
        <v/>
      </c>
      <c r="Z12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1" s="52" t="str">
        <f>IFERROR(INDEX(DraftResults[[#All],[Pick in Round]],MATCH(Table5[[#This Row],[PID]],DraftResults[[#All],[Player ID]],0)),"")</f>
        <v/>
      </c>
      <c r="AB1221" s="52" t="str">
        <f>IFERROR(INDEX(DraftResults[[#All],[Team Name]],MATCH(Table5[[#This Row],[PID]],DraftResults[[#All],[Player ID]],0)),"")</f>
        <v/>
      </c>
      <c r="AC1221" s="52" t="str">
        <f>IF(Table5[[#This Row],[Ovr]]="","",IF(Table5[[#This Row],[cmbList]]="","",Table5[[#This Row],[cmbList]]-Table5[[#This Row],[Ovr]]))</f>
        <v/>
      </c>
      <c r="AD1221" s="56" t="str">
        <f>IF(ISERROR(VLOOKUP($AB1221&amp;"-"&amp;$E1221&amp;" "&amp;F1221,Bonuses!$B$1:$G$1006,4,FALSE)),"",INT(VLOOKUP($AB1221&amp;"-"&amp;$E1221&amp;" "&amp;$F1221,Bonuses!$B$1:$G$1006,4,FALSE)))</f>
        <v/>
      </c>
      <c r="AE12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2" spans="1:31" s="8" customFormat="1" x14ac:dyDescent="0.25">
      <c r="A1222" s="52">
        <v>13394</v>
      </c>
      <c r="B1222" s="52">
        <f>COUNTIF(Table5[PID],A1222)</f>
        <v>1</v>
      </c>
      <c r="C1222" s="52" t="str">
        <f>IF(COUNTIF(Table3[[#All],[PID]],A1222)&gt;0,"P","B")</f>
        <v>P</v>
      </c>
      <c r="D1222" s="61" t="str">
        <f>IF($C1222="B",INDEX(Batters[[#All],[POS]],MATCH(Table5[[#This Row],[PID]],Batters[[#All],[PID]],0)),INDEX(Table3[[#All],[POS]],MATCH(Table5[[#This Row],[PID]],Table3[[#All],[PID]],0)))</f>
        <v>RP</v>
      </c>
      <c r="E1222" s="54" t="str">
        <f>IF($C1222="B",INDEX(Batters[[#All],[First]],MATCH(Table5[[#This Row],[PID]],Batters[[#All],[PID]],0)),INDEX(Table3[[#All],[First]],MATCH(Table5[[#This Row],[PID]],Table3[[#All],[PID]],0)))</f>
        <v>Michael</v>
      </c>
      <c r="F1222" s="52" t="str">
        <f>IF($C1222="B",INDEX(Batters[[#All],[Last]],MATCH(A1222,Batters[[#All],[PID]],0)),INDEX(Table3[[#All],[Last]],MATCH(A1222,Table3[[#All],[PID]],0)))</f>
        <v>Blennerhassett</v>
      </c>
      <c r="G1222" s="58">
        <f>IF($C1222="B",INDEX(Batters[[#All],[Age]],MATCH(Table5[[#This Row],[PID]],Batters[[#All],[PID]],0)),INDEX(Table3[[#All],[Age]],MATCH(Table5[[#This Row],[PID]],Table3[[#All],[PID]],0)))</f>
        <v>21</v>
      </c>
      <c r="H1222" s="54" t="str">
        <f>IF($C1222="B",INDEX(Batters[[#All],[B]],MATCH(Table5[[#This Row],[PID]],Batters[[#All],[PID]],0)),INDEX(Table3[[#All],[B]],MATCH(Table5[[#This Row],[PID]],Table3[[#All],[PID]],0)))</f>
        <v>R</v>
      </c>
      <c r="I1222" s="54" t="str">
        <f>IF($C1222="B",INDEX(Batters[[#All],[T]],MATCH(Table5[[#This Row],[PID]],Batters[[#All],[PID]],0)),INDEX(Table3[[#All],[T]],MATCH(Table5[[#This Row],[PID]],Table3[[#All],[PID]],0)))</f>
        <v>R</v>
      </c>
      <c r="J1222" s="54" t="str">
        <f>IF($C1222="B",INDEX(Batters[[#All],[WE]],MATCH(Table5[[#This Row],[PID]],Batters[[#All],[PID]],0)),INDEX(Table3[[#All],[WE]],MATCH(Table5[[#This Row],[PID]],Table3[[#All],[PID]],0)))</f>
        <v>Low</v>
      </c>
      <c r="K1222" s="54" t="str">
        <f>IF($C1222="B",INDEX(Batters[[#All],[INT]],MATCH(Table5[[#This Row],[PID]],Batters[[#All],[PID]],0)),INDEX(Table3[[#All],[INT]],MATCH(Table5[[#This Row],[PID]],Table3[[#All],[PID]],0)))</f>
        <v>Normal</v>
      </c>
      <c r="L1222" s="62">
        <f>IF($C1222="B",INDEX(Batters[[#All],[CON P]],MATCH(Table5[[#This Row],[PID]],Batters[[#All],[PID]],0)),INDEX(Table3[[#All],[STU P]],MATCH(Table5[[#This Row],[PID]],Table3[[#All],[PID]],0)))</f>
        <v>3</v>
      </c>
      <c r="M1222" s="58">
        <f>IF($C1222="B",INDEX(Batters[[#All],[GAP P]],MATCH(Table5[[#This Row],[PID]],Batters[[#All],[PID]],0)),INDEX(Table3[[#All],[MOV P]],MATCH(Table5[[#This Row],[PID]],Table3[[#All],[PID]],0)))</f>
        <v>2</v>
      </c>
      <c r="N1222" s="58">
        <f>IF($C1222="B",INDEX(Batters[[#All],[POW P]],MATCH(Table5[[#This Row],[PID]],Batters[[#All],[PID]],0)),INDEX(Table3[[#All],[CON P]],MATCH(Table5[[#This Row],[PID]],Table3[[#All],[PID]],0)))</f>
        <v>2</v>
      </c>
      <c r="O1222" s="58" t="str">
        <f>IF($C1222="B",INDEX(Batters[[#All],[EYE P]],MATCH(Table5[[#This Row],[PID]],Batters[[#All],[PID]],0)),INDEX(Table3[[#All],[VELO]],MATCH(Table5[[#This Row],[PID]],Table3[[#All],[PID]],0)))</f>
        <v>86-88 Mph</v>
      </c>
      <c r="P1222" s="58">
        <f>IF($C1222="B",INDEX(Batters[[#All],[K P]],MATCH(Table5[[#This Row],[PID]],Batters[[#All],[PID]],0)),INDEX(Table3[[#All],[STM]],MATCH(Table5[[#This Row],[PID]],Table3[[#All],[PID]],0)))</f>
        <v>10</v>
      </c>
      <c r="Q1222" s="63">
        <f>IF($C1222="B",INDEX(Batters[[#All],[Tot]],MATCH(Table5[[#This Row],[PID]],Batters[[#All],[PID]],0)),INDEX(Table3[[#All],[Tot]],MATCH(Table5[[#This Row],[PID]],Table3[[#All],[PID]],0)))</f>
        <v>12.988481435953901</v>
      </c>
      <c r="R1222" s="54">
        <f>IF($C1222="B",INDEX(Batters[[#All],[zScore]],MATCH(Table5[[#This Row],[PID]],Batters[[#All],[PID]],0)),INDEX(Table3[[#All],[zScore]],MATCH(Table5[[#This Row],[PID]],Table3[[#All],[PID]],0)))</f>
        <v>-1.809670999543604</v>
      </c>
      <c r="S1222" s="60" t="str">
        <f>IF($C1222="B",INDEX(Batters[[#All],[DEM]],MATCH(Table5[[#This Row],[PID]],Batters[[#All],[PID]],0)),INDEX(Table3[[#All],[DEM]],MATCH(Table5[[#This Row],[PID]],Table3[[#All],[PID]],0)))</f>
        <v>-</v>
      </c>
      <c r="T1222" s="64" t="e">
        <f>IF($C1222="B",VLOOKUP($A1222,Bat!$A$4:$AU$1417,46,FALSE),VLOOKUP($A1222,Pit!$A$4:$BD$570,55,FALSE))</f>
        <v>#N/A</v>
      </c>
      <c r="U1222" s="52" t="e">
        <f>IF($C1222="B",VLOOKUP($A1222,Bat!$A$4:$BA$1417,47,FALSE),VLOOKUP($A1222,Pit!$A$4:$BF$570,56,FALSE))</f>
        <v>#N/A</v>
      </c>
      <c r="V1222" s="52" t="e">
        <f>IF($C1222="B",VLOOKUP($A1222,Bat!$A$4:$BA$1417,48,FALSE),VLOOKUP($A1222,Pit!$A$4:$BF$570,57,FALSE))</f>
        <v>#N/A</v>
      </c>
      <c r="W1222" s="52" t="e">
        <f>Table5[[#This Row],[posRnk]]+Table5[[#This Row],[zRnk]]+IF($W$3&lt;&gt;Table5[[#This Row],[Type]],50,0)</f>
        <v>#N/A</v>
      </c>
      <c r="X1222" s="53">
        <f>RANK(Table5[[#This Row],[zScore]],Table5[[#All],[zScore]])</f>
        <v>1218</v>
      </c>
      <c r="Y1222" s="52" t="str">
        <f>IFERROR(INDEX(DraftResults[[#All],[OVR]],MATCH(Table5[[#This Row],[PID]],DraftResults[[#All],[Player ID]],0)),"")</f>
        <v/>
      </c>
      <c r="Z12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2" s="52" t="str">
        <f>IFERROR(INDEX(DraftResults[[#All],[Pick in Round]],MATCH(Table5[[#This Row],[PID]],DraftResults[[#All],[Player ID]],0)),"")</f>
        <v/>
      </c>
      <c r="AB1222" s="52" t="str">
        <f>IFERROR(INDEX(DraftResults[[#All],[Team Name]],MATCH(Table5[[#This Row],[PID]],DraftResults[[#All],[Player ID]],0)),"")</f>
        <v/>
      </c>
      <c r="AC1222" s="52" t="str">
        <f>IF(Table5[[#This Row],[Ovr]]="","",IF(Table5[[#This Row],[cmbList]]="","",Table5[[#This Row],[cmbList]]-Table5[[#This Row],[Ovr]]))</f>
        <v/>
      </c>
      <c r="AD1222" s="56" t="str">
        <f>IF(ISERROR(VLOOKUP($AB1222&amp;"-"&amp;$E1222&amp;" "&amp;F1222,Bonuses!$B$1:$G$1006,4,FALSE)),"",INT(VLOOKUP($AB1222&amp;"-"&amp;$E1222&amp;" "&amp;$F1222,Bonuses!$B$1:$G$1006,4,FALSE)))</f>
        <v/>
      </c>
      <c r="AE12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3" spans="1:31" s="8" customFormat="1" x14ac:dyDescent="0.25">
      <c r="A1223" s="52">
        <v>11977</v>
      </c>
      <c r="B1223" s="52">
        <f>COUNTIF(Table5[PID],A1223)</f>
        <v>1</v>
      </c>
      <c r="C1223" s="52" t="str">
        <f>IF(COUNTIF(Table3[[#All],[PID]],A1223)&gt;0,"P","B")</f>
        <v>B</v>
      </c>
      <c r="D1223" s="61" t="str">
        <f>IF($C1223="B",INDEX(Batters[[#All],[POS]],MATCH(Table5[[#This Row],[PID]],Batters[[#All],[PID]],0)),INDEX(Table3[[#All],[POS]],MATCH(Table5[[#This Row],[PID]],Table3[[#All],[PID]],0)))</f>
        <v>2B</v>
      </c>
      <c r="E1223" s="54" t="str">
        <f>IF($C1223="B",INDEX(Batters[[#All],[First]],MATCH(Table5[[#This Row],[PID]],Batters[[#All],[PID]],0)),INDEX(Table3[[#All],[First]],MATCH(Table5[[#This Row],[PID]],Table3[[#All],[PID]],0)))</f>
        <v>Ricardo</v>
      </c>
      <c r="F1223" s="52" t="str">
        <f>IF($C1223="B",INDEX(Batters[[#All],[Last]],MATCH(A1223,Batters[[#All],[PID]],0)),INDEX(Table3[[#All],[Last]],MATCH(A1223,Table3[[#All],[PID]],0)))</f>
        <v>García</v>
      </c>
      <c r="G1223" s="58">
        <f>IF($C1223="B",INDEX(Batters[[#All],[Age]],MATCH(Table5[[#This Row],[PID]],Batters[[#All],[PID]],0)),INDEX(Table3[[#All],[Age]],MATCH(Table5[[#This Row],[PID]],Table3[[#All],[PID]],0)))</f>
        <v>21</v>
      </c>
      <c r="H1223" s="54" t="str">
        <f>IF($C1223="B",INDEX(Batters[[#All],[B]],MATCH(Table5[[#This Row],[PID]],Batters[[#All],[PID]],0)),INDEX(Table3[[#All],[B]],MATCH(Table5[[#This Row],[PID]],Table3[[#All],[PID]],0)))</f>
        <v>R</v>
      </c>
      <c r="I1223" s="54" t="str">
        <f>IF($C1223="B",INDEX(Batters[[#All],[T]],MATCH(Table5[[#This Row],[PID]],Batters[[#All],[PID]],0)),INDEX(Table3[[#All],[T]],MATCH(Table5[[#This Row],[PID]],Table3[[#All],[PID]],0)))</f>
        <v>R</v>
      </c>
      <c r="J1223" s="54" t="str">
        <f>IF($C1223="B",INDEX(Batters[[#All],[WE]],MATCH(Table5[[#This Row],[PID]],Batters[[#All],[PID]],0)),INDEX(Table3[[#All],[WE]],MATCH(Table5[[#This Row],[PID]],Table3[[#All],[PID]],0)))</f>
        <v>Normal</v>
      </c>
      <c r="K1223" s="54" t="str">
        <f>IF($C1223="B",INDEX(Batters[[#All],[INT]],MATCH(Table5[[#This Row],[PID]],Batters[[#All],[PID]],0)),INDEX(Table3[[#All],[INT]],MATCH(Table5[[#This Row],[PID]],Table3[[#All],[PID]],0)))</f>
        <v>Low</v>
      </c>
      <c r="L1223" s="62">
        <f>IF($C1223="B",INDEX(Batters[[#All],[CON P]],MATCH(Table5[[#This Row],[PID]],Batters[[#All],[PID]],0)),INDEX(Table3[[#All],[STU P]],MATCH(Table5[[#This Row],[PID]],Table3[[#All],[PID]],0)))</f>
        <v>2</v>
      </c>
      <c r="M1223" s="58">
        <f>IF($C1223="B",INDEX(Batters[[#All],[GAP P]],MATCH(Table5[[#This Row],[PID]],Batters[[#All],[PID]],0)),INDEX(Table3[[#All],[MOV P]],MATCH(Table5[[#This Row],[PID]],Table3[[#All],[PID]],0)))</f>
        <v>3</v>
      </c>
      <c r="N1223" s="58">
        <f>IF($C1223="B",INDEX(Batters[[#All],[POW P]],MATCH(Table5[[#This Row],[PID]],Batters[[#All],[PID]],0)),INDEX(Table3[[#All],[CON P]],MATCH(Table5[[#This Row],[PID]],Table3[[#All],[PID]],0)))</f>
        <v>3</v>
      </c>
      <c r="O1223" s="58">
        <f>IF($C1223="B",INDEX(Batters[[#All],[EYE P]],MATCH(Table5[[#This Row],[PID]],Batters[[#All],[PID]],0)),INDEX(Table3[[#All],[VELO]],MATCH(Table5[[#This Row],[PID]],Table3[[#All],[PID]],0)))</f>
        <v>3</v>
      </c>
      <c r="P1223" s="58">
        <f>IF($C1223="B",INDEX(Batters[[#All],[K P]],MATCH(Table5[[#This Row],[PID]],Batters[[#All],[PID]],0)),INDEX(Table3[[#All],[STM]],MATCH(Table5[[#This Row],[PID]],Table3[[#All],[PID]],0)))</f>
        <v>2</v>
      </c>
      <c r="Q1223" s="63">
        <f>IF($C1223="B",INDEX(Batters[[#All],[Tot]],MATCH(Table5[[#This Row],[PID]],Batters[[#All],[PID]],0)),INDEX(Table3[[#All],[Tot]],MATCH(Table5[[#This Row],[PID]],Table3[[#All],[PID]],0)))</f>
        <v>29.882332551006868</v>
      </c>
      <c r="R1223" s="54">
        <f>IF($C1223="B",INDEX(Batters[[#All],[zScore]],MATCH(Table5[[#This Row],[PID]],Batters[[#All],[PID]],0)),INDEX(Table3[[#All],[zScore]],MATCH(Table5[[#This Row],[PID]],Table3[[#All],[PID]],0)))</f>
        <v>-1.8414081506745019</v>
      </c>
      <c r="S1223" s="60" t="str">
        <f>IF($C1223="B",INDEX(Batters[[#All],[DEM]],MATCH(Table5[[#This Row],[PID]],Batters[[#All],[PID]],0)),INDEX(Table3[[#All],[DEM]],MATCH(Table5[[#This Row],[PID]],Table3[[#All],[PID]],0)))</f>
        <v>-</v>
      </c>
      <c r="T1223" s="64">
        <f>IF($C1223="B",VLOOKUP($A1223,Bat!$A$4:$AU$1417,46,FALSE),VLOOKUP($A1223,Pit!$A$4:$BD$570,55,FALSE))</f>
        <v>0</v>
      </c>
      <c r="U1223" s="52">
        <f>IF($C1223="B",VLOOKUP($A1223,Bat!$A$4:$BA$1417,47,FALSE),VLOOKUP($A1223,Pit!$A$4:$BF$570,56,FALSE))</f>
        <v>0</v>
      </c>
      <c r="V1223" s="52">
        <f>IF($C1223="B",VLOOKUP($A1223,Bat!$A$4:$BA$1417,48,FALSE),VLOOKUP($A1223,Pit!$A$4:$BF$570,57,FALSE))</f>
        <v>0</v>
      </c>
      <c r="W1223" s="52">
        <f>Table5[[#This Row],[posRnk]]+Table5[[#This Row],[zRnk]]+IF($W$3&lt;&gt;Table5[[#This Row],[Type]],50,0)</f>
        <v>1269</v>
      </c>
      <c r="X1223" s="53">
        <f>RANK(Table5[[#This Row],[zScore]],Table5[[#All],[zScore]])</f>
        <v>1219</v>
      </c>
      <c r="Y1223" s="52" t="str">
        <f>IFERROR(INDEX(DraftResults[[#All],[OVR]],MATCH(Table5[[#This Row],[PID]],DraftResults[[#All],[Player ID]],0)),"")</f>
        <v/>
      </c>
      <c r="Z12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3" s="52" t="str">
        <f>IFERROR(INDEX(DraftResults[[#All],[Pick in Round]],MATCH(Table5[[#This Row],[PID]],DraftResults[[#All],[Player ID]],0)),"")</f>
        <v/>
      </c>
      <c r="AB1223" s="52" t="str">
        <f>IFERROR(INDEX(DraftResults[[#All],[Team Name]],MATCH(Table5[[#This Row],[PID]],DraftResults[[#All],[Player ID]],0)),"")</f>
        <v/>
      </c>
      <c r="AC1223" s="52" t="str">
        <f>IF(Table5[[#This Row],[Ovr]]="","",IF(Table5[[#This Row],[cmbList]]="","",Table5[[#This Row],[cmbList]]-Table5[[#This Row],[Ovr]]))</f>
        <v/>
      </c>
      <c r="AD1223" s="56" t="str">
        <f>IF(ISERROR(VLOOKUP($AB1223&amp;"-"&amp;$E1223&amp;" "&amp;F1223,Bonuses!$B$1:$G$1006,4,FALSE)),"",INT(VLOOKUP($AB1223&amp;"-"&amp;$E1223&amp;" "&amp;$F1223,Bonuses!$B$1:$G$1006,4,FALSE)))</f>
        <v/>
      </c>
      <c r="AE12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4" spans="1:31" s="8" customFormat="1" x14ac:dyDescent="0.25">
      <c r="A1224" s="52">
        <v>12061</v>
      </c>
      <c r="B1224" s="52">
        <f>COUNTIF(Table5[PID],A1224)</f>
        <v>1</v>
      </c>
      <c r="C1224" s="52" t="str">
        <f>IF(COUNTIF(Table3[[#All],[PID]],A1224)&gt;0,"P","B")</f>
        <v>B</v>
      </c>
      <c r="D1224" s="61" t="str">
        <f>IF($C1224="B",INDEX(Batters[[#All],[POS]],MATCH(Table5[[#This Row],[PID]],Batters[[#All],[PID]],0)),INDEX(Table3[[#All],[POS]],MATCH(Table5[[#This Row],[PID]],Table3[[#All],[PID]],0)))</f>
        <v>1B</v>
      </c>
      <c r="E1224" s="54" t="str">
        <f>IF($C1224="B",INDEX(Batters[[#All],[First]],MATCH(Table5[[#This Row],[PID]],Batters[[#All],[PID]],0)),INDEX(Table3[[#All],[First]],MATCH(Table5[[#This Row],[PID]],Table3[[#All],[PID]],0)))</f>
        <v>Oliver</v>
      </c>
      <c r="F1224" s="52" t="str">
        <f>IF($C1224="B",INDEX(Batters[[#All],[Last]],MATCH(A1224,Batters[[#All],[PID]],0)),INDEX(Table3[[#All],[Last]],MATCH(A1224,Table3[[#All],[PID]],0)))</f>
        <v>Franco</v>
      </c>
      <c r="G1224" s="58">
        <f>IF($C1224="B",INDEX(Batters[[#All],[Age]],MATCH(Table5[[#This Row],[PID]],Batters[[#All],[PID]],0)),INDEX(Table3[[#All],[Age]],MATCH(Table5[[#This Row],[PID]],Table3[[#All],[PID]],0)))</f>
        <v>22</v>
      </c>
      <c r="H1224" s="54" t="str">
        <f>IF($C1224="B",INDEX(Batters[[#All],[B]],MATCH(Table5[[#This Row],[PID]],Batters[[#All],[PID]],0)),INDEX(Table3[[#All],[B]],MATCH(Table5[[#This Row],[PID]],Table3[[#All],[PID]],0)))</f>
        <v>S</v>
      </c>
      <c r="I1224" s="54" t="str">
        <f>IF($C1224="B",INDEX(Batters[[#All],[T]],MATCH(Table5[[#This Row],[PID]],Batters[[#All],[PID]],0)),INDEX(Table3[[#All],[T]],MATCH(Table5[[#This Row],[PID]],Table3[[#All],[PID]],0)))</f>
        <v>R</v>
      </c>
      <c r="J1224" s="54" t="str">
        <f>IF($C1224="B",INDEX(Batters[[#All],[WE]],MATCH(Table5[[#This Row],[PID]],Batters[[#All],[PID]],0)),INDEX(Table3[[#All],[WE]],MATCH(Table5[[#This Row],[PID]],Table3[[#All],[PID]],0)))</f>
        <v>High</v>
      </c>
      <c r="K1224" s="54" t="str">
        <f>IF($C1224="B",INDEX(Batters[[#All],[INT]],MATCH(Table5[[#This Row],[PID]],Batters[[#All],[PID]],0)),INDEX(Table3[[#All],[INT]],MATCH(Table5[[#This Row],[PID]],Table3[[#All],[PID]],0)))</f>
        <v>Normal</v>
      </c>
      <c r="L1224" s="62">
        <f>IF($C1224="B",INDEX(Batters[[#All],[CON P]],MATCH(Table5[[#This Row],[PID]],Batters[[#All],[PID]],0)),INDEX(Table3[[#All],[STU P]],MATCH(Table5[[#This Row],[PID]],Table3[[#All],[PID]],0)))</f>
        <v>2</v>
      </c>
      <c r="M1224" s="58">
        <f>IF($C1224="B",INDEX(Batters[[#All],[GAP P]],MATCH(Table5[[#This Row],[PID]],Batters[[#All],[PID]],0)),INDEX(Table3[[#All],[MOV P]],MATCH(Table5[[#This Row],[PID]],Table3[[#All],[PID]],0)))</f>
        <v>3</v>
      </c>
      <c r="N1224" s="58">
        <f>IF($C1224="B",INDEX(Batters[[#All],[POW P]],MATCH(Table5[[#This Row],[PID]],Batters[[#All],[PID]],0)),INDEX(Table3[[#All],[CON P]],MATCH(Table5[[#This Row],[PID]],Table3[[#All],[PID]],0)))</f>
        <v>3</v>
      </c>
      <c r="O1224" s="58">
        <f>IF($C1224="B",INDEX(Batters[[#All],[EYE P]],MATCH(Table5[[#This Row],[PID]],Batters[[#All],[PID]],0)),INDEX(Table3[[#All],[VELO]],MATCH(Table5[[#This Row],[PID]],Table3[[#All],[PID]],0)))</f>
        <v>3</v>
      </c>
      <c r="P1224" s="58">
        <f>IF($C1224="B",INDEX(Batters[[#All],[K P]],MATCH(Table5[[#This Row],[PID]],Batters[[#All],[PID]],0)),INDEX(Table3[[#All],[STM]],MATCH(Table5[[#This Row],[PID]],Table3[[#All],[PID]],0)))</f>
        <v>2</v>
      </c>
      <c r="Q1224" s="63">
        <f>IF($C1224="B",INDEX(Batters[[#All],[Tot]],MATCH(Table5[[#This Row],[PID]],Batters[[#All],[PID]],0)),INDEX(Table3[[#All],[Tot]],MATCH(Table5[[#This Row],[PID]],Table3[[#All],[PID]],0)))</f>
        <v>29.829742827303029</v>
      </c>
      <c r="R1224" s="54">
        <f>IF($C1224="B",INDEX(Batters[[#All],[zScore]],MATCH(Table5[[#This Row],[PID]],Batters[[#All],[PID]],0)),INDEX(Table3[[#All],[zScore]],MATCH(Table5[[#This Row],[PID]],Table3[[#All],[PID]],0)))</f>
        <v>-1.8506609630329343</v>
      </c>
      <c r="S1224" s="60" t="str">
        <f>IF($C1224="B",INDEX(Batters[[#All],[DEM]],MATCH(Table5[[#This Row],[PID]],Batters[[#All],[PID]],0)),INDEX(Table3[[#All],[DEM]],MATCH(Table5[[#This Row],[PID]],Table3[[#All],[PID]],0)))</f>
        <v>-</v>
      </c>
      <c r="T1224" s="64">
        <f>IF($C1224="B",VLOOKUP($A1224,Bat!$A$4:$AU$1417,46,FALSE),VLOOKUP($A1224,Pit!$A$4:$BD$570,55,FALSE))</f>
        <v>0</v>
      </c>
      <c r="U1224" s="52">
        <f>IF($C1224="B",VLOOKUP($A1224,Bat!$A$4:$BA$1417,47,FALSE),VLOOKUP($A1224,Pit!$A$4:$BF$570,56,FALSE))</f>
        <v>0</v>
      </c>
      <c r="V1224" s="52">
        <f>IF($C1224="B",VLOOKUP($A1224,Bat!$A$4:$BA$1417,48,FALSE),VLOOKUP($A1224,Pit!$A$4:$BF$570,57,FALSE))</f>
        <v>0</v>
      </c>
      <c r="W1224" s="52">
        <f>Table5[[#This Row],[posRnk]]+Table5[[#This Row],[zRnk]]+IF($W$3&lt;&gt;Table5[[#This Row],[Type]],50,0)</f>
        <v>1270</v>
      </c>
      <c r="X1224" s="53">
        <f>RANK(Table5[[#This Row],[zScore]],Table5[[#All],[zScore]])</f>
        <v>1220</v>
      </c>
      <c r="Y1224" s="52" t="str">
        <f>IFERROR(INDEX(DraftResults[[#All],[OVR]],MATCH(Table5[[#This Row],[PID]],DraftResults[[#All],[Player ID]],0)),"")</f>
        <v/>
      </c>
      <c r="Z12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4" s="52" t="str">
        <f>IFERROR(INDEX(DraftResults[[#All],[Pick in Round]],MATCH(Table5[[#This Row],[PID]],DraftResults[[#All],[Player ID]],0)),"")</f>
        <v/>
      </c>
      <c r="AB1224" s="52" t="str">
        <f>IFERROR(INDEX(DraftResults[[#All],[Team Name]],MATCH(Table5[[#This Row],[PID]],DraftResults[[#All],[Player ID]],0)),"")</f>
        <v/>
      </c>
      <c r="AC1224" s="52" t="str">
        <f>IF(Table5[[#This Row],[Ovr]]="","",IF(Table5[[#This Row],[cmbList]]="","",Table5[[#This Row],[cmbList]]-Table5[[#This Row],[Ovr]]))</f>
        <v/>
      </c>
      <c r="AD1224" s="56" t="str">
        <f>IF(ISERROR(VLOOKUP($AB1224&amp;"-"&amp;$E1224&amp;" "&amp;F1224,Bonuses!$B$1:$G$1006,4,FALSE)),"",INT(VLOOKUP($AB1224&amp;"-"&amp;$E1224&amp;" "&amp;$F1224,Bonuses!$B$1:$G$1006,4,FALSE)))</f>
        <v/>
      </c>
      <c r="AE12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5" spans="1:31" s="8" customFormat="1" x14ac:dyDescent="0.25">
      <c r="A1225" s="52">
        <v>4873</v>
      </c>
      <c r="B1225" s="52">
        <f>COUNTIF(Table5[PID],A1225)</f>
        <v>1</v>
      </c>
      <c r="C1225" s="52" t="str">
        <f>IF(COUNTIF(Table3[[#All],[PID]],A1225)&gt;0,"P","B")</f>
        <v>B</v>
      </c>
      <c r="D1225" s="61" t="str">
        <f>IF($C1225="B",INDEX(Batters[[#All],[POS]],MATCH(Table5[[#This Row],[PID]],Batters[[#All],[PID]],0)),INDEX(Table3[[#All],[POS]],MATCH(Table5[[#This Row],[PID]],Table3[[#All],[PID]],0)))</f>
        <v>1B</v>
      </c>
      <c r="E1225" s="54" t="str">
        <f>IF($C1225="B",INDEX(Batters[[#All],[First]],MATCH(Table5[[#This Row],[PID]],Batters[[#All],[PID]],0)),INDEX(Table3[[#All],[First]],MATCH(Table5[[#This Row],[PID]],Table3[[#All],[PID]],0)))</f>
        <v>Maurice</v>
      </c>
      <c r="F1225" s="52" t="str">
        <f>IF($C1225="B",INDEX(Batters[[#All],[Last]],MATCH(A1225,Batters[[#All],[PID]],0)),INDEX(Table3[[#All],[Last]],MATCH(A1225,Table3[[#All],[PID]],0)))</f>
        <v>MacNicol</v>
      </c>
      <c r="G1225" s="58">
        <f>IF($C1225="B",INDEX(Batters[[#All],[Age]],MATCH(Table5[[#This Row],[PID]],Batters[[#All],[PID]],0)),INDEX(Table3[[#All],[Age]],MATCH(Table5[[#This Row],[PID]],Table3[[#All],[PID]],0)))</f>
        <v>22</v>
      </c>
      <c r="H1225" s="54" t="str">
        <f>IF($C1225="B",INDEX(Batters[[#All],[B]],MATCH(Table5[[#This Row],[PID]],Batters[[#All],[PID]],0)),INDEX(Table3[[#All],[B]],MATCH(Table5[[#This Row],[PID]],Table3[[#All],[PID]],0)))</f>
        <v>S</v>
      </c>
      <c r="I1225" s="54" t="str">
        <f>IF($C1225="B",INDEX(Batters[[#All],[T]],MATCH(Table5[[#This Row],[PID]],Batters[[#All],[PID]],0)),INDEX(Table3[[#All],[T]],MATCH(Table5[[#This Row],[PID]],Table3[[#All],[PID]],0)))</f>
        <v>R</v>
      </c>
      <c r="J1225" s="54" t="str">
        <f>IF($C1225="B",INDEX(Batters[[#All],[WE]],MATCH(Table5[[#This Row],[PID]],Batters[[#All],[PID]],0)),INDEX(Table3[[#All],[WE]],MATCH(Table5[[#This Row],[PID]],Table3[[#All],[PID]],0)))</f>
        <v>Low</v>
      </c>
      <c r="K1225" s="54" t="str">
        <f>IF($C1225="B",INDEX(Batters[[#All],[INT]],MATCH(Table5[[#This Row],[PID]],Batters[[#All],[PID]],0)),INDEX(Table3[[#All],[INT]],MATCH(Table5[[#This Row],[PID]],Table3[[#All],[PID]],0)))</f>
        <v>Normal</v>
      </c>
      <c r="L1225" s="62">
        <f>IF($C1225="B",INDEX(Batters[[#All],[CON P]],MATCH(Table5[[#This Row],[PID]],Batters[[#All],[PID]],0)),INDEX(Table3[[#All],[STU P]],MATCH(Table5[[#This Row],[PID]],Table3[[#All],[PID]],0)))</f>
        <v>2</v>
      </c>
      <c r="M1225" s="58">
        <f>IF($C1225="B",INDEX(Batters[[#All],[GAP P]],MATCH(Table5[[#This Row],[PID]],Batters[[#All],[PID]],0)),INDEX(Table3[[#All],[MOV P]],MATCH(Table5[[#This Row],[PID]],Table3[[#All],[PID]],0)))</f>
        <v>3</v>
      </c>
      <c r="N1225" s="58">
        <f>IF($C1225="B",INDEX(Batters[[#All],[POW P]],MATCH(Table5[[#This Row],[PID]],Batters[[#All],[PID]],0)),INDEX(Table3[[#All],[CON P]],MATCH(Table5[[#This Row],[PID]],Table3[[#All],[PID]],0)))</f>
        <v>3</v>
      </c>
      <c r="O1225" s="58">
        <f>IF($C1225="B",INDEX(Batters[[#All],[EYE P]],MATCH(Table5[[#This Row],[PID]],Batters[[#All],[PID]],0)),INDEX(Table3[[#All],[VELO]],MATCH(Table5[[#This Row],[PID]],Table3[[#All],[PID]],0)))</f>
        <v>4</v>
      </c>
      <c r="P1225" s="58">
        <f>IF($C1225="B",INDEX(Batters[[#All],[K P]],MATCH(Table5[[#This Row],[PID]],Batters[[#All],[PID]],0)),INDEX(Table3[[#All],[STM]],MATCH(Table5[[#This Row],[PID]],Table3[[#All],[PID]],0)))</f>
        <v>1</v>
      </c>
      <c r="Q1225" s="63">
        <f>IF($C1225="B",INDEX(Batters[[#All],[Tot]],MATCH(Table5[[#This Row],[PID]],Batters[[#All],[PID]],0)),INDEX(Table3[[#All],[Tot]],MATCH(Table5[[#This Row],[PID]],Table3[[#All],[PID]],0)))</f>
        <v>29.82926151105352</v>
      </c>
      <c r="R1225" s="54">
        <f>IF($C1225="B",INDEX(Batters[[#All],[zScore]],MATCH(Table5[[#This Row],[PID]],Batters[[#All],[PID]],0)),INDEX(Table3[[#All],[zScore]],MATCH(Table5[[#This Row],[PID]],Table3[[#All],[PID]],0)))</f>
        <v>-1.8507456474280615</v>
      </c>
      <c r="S1225" s="60" t="str">
        <f>IF($C1225="B",INDEX(Batters[[#All],[DEM]],MATCH(Table5[[#This Row],[PID]],Batters[[#All],[PID]],0)),INDEX(Table3[[#All],[DEM]],MATCH(Table5[[#This Row],[PID]],Table3[[#All],[PID]],0)))</f>
        <v>-</v>
      </c>
      <c r="T1225" s="64">
        <f>IF($C1225="B",VLOOKUP($A1225,Bat!$A$4:$AU$1417,46,FALSE),VLOOKUP($A1225,Pit!$A$4:$BD$570,55,FALSE))</f>
        <v>0</v>
      </c>
      <c r="U1225" s="52">
        <f>IF($C1225="B",VLOOKUP($A1225,Bat!$A$4:$BA$1417,47,FALSE),VLOOKUP($A1225,Pit!$A$4:$BF$570,56,FALSE))</f>
        <v>0</v>
      </c>
      <c r="V1225" s="52">
        <f>IF($C1225="B",VLOOKUP($A1225,Bat!$A$4:$BA$1417,48,FALSE),VLOOKUP($A1225,Pit!$A$4:$BF$570,57,FALSE))</f>
        <v>0</v>
      </c>
      <c r="W1225" s="52">
        <f>Table5[[#This Row],[posRnk]]+Table5[[#This Row],[zRnk]]+IF($W$3&lt;&gt;Table5[[#This Row],[Type]],50,0)</f>
        <v>1271</v>
      </c>
      <c r="X1225" s="53">
        <f>RANK(Table5[[#This Row],[zScore]],Table5[[#All],[zScore]])</f>
        <v>1221</v>
      </c>
      <c r="Y1225" s="52" t="str">
        <f>IFERROR(INDEX(DraftResults[[#All],[OVR]],MATCH(Table5[[#This Row],[PID]],DraftResults[[#All],[Player ID]],0)),"")</f>
        <v/>
      </c>
      <c r="Z12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5" s="52" t="str">
        <f>IFERROR(INDEX(DraftResults[[#All],[Pick in Round]],MATCH(Table5[[#This Row],[PID]],DraftResults[[#All],[Player ID]],0)),"")</f>
        <v/>
      </c>
      <c r="AB1225" s="52" t="str">
        <f>IFERROR(INDEX(DraftResults[[#All],[Team Name]],MATCH(Table5[[#This Row],[PID]],DraftResults[[#All],[Player ID]],0)),"")</f>
        <v/>
      </c>
      <c r="AC1225" s="52" t="str">
        <f>IF(Table5[[#This Row],[Ovr]]="","",IF(Table5[[#This Row],[cmbList]]="","",Table5[[#This Row],[cmbList]]-Table5[[#This Row],[Ovr]]))</f>
        <v/>
      </c>
      <c r="AD1225" s="56" t="str">
        <f>IF(ISERROR(VLOOKUP($AB1225&amp;"-"&amp;$E1225&amp;" "&amp;F1225,Bonuses!$B$1:$G$1006,4,FALSE)),"",INT(VLOOKUP($AB1225&amp;"-"&amp;$E1225&amp;" "&amp;$F1225,Bonuses!$B$1:$G$1006,4,FALSE)))</f>
        <v/>
      </c>
      <c r="AE12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6" spans="1:31" s="8" customFormat="1" x14ac:dyDescent="0.25">
      <c r="A1226" s="52">
        <v>13180</v>
      </c>
      <c r="B1226" s="52">
        <f>COUNTIF(Table5[PID],A1226)</f>
        <v>1</v>
      </c>
      <c r="C1226" s="52" t="str">
        <f>IF(COUNTIF(Table3[[#All],[PID]],A1226)&gt;0,"P","B")</f>
        <v>B</v>
      </c>
      <c r="D1226" s="61" t="str">
        <f>IF($C1226="B",INDEX(Batters[[#All],[POS]],MATCH(Table5[[#This Row],[PID]],Batters[[#All],[PID]],0)),INDEX(Table3[[#All],[POS]],MATCH(Table5[[#This Row],[PID]],Table3[[#All],[PID]],0)))</f>
        <v>1B</v>
      </c>
      <c r="E1226" s="54" t="str">
        <f>IF($C1226="B",INDEX(Batters[[#All],[First]],MATCH(Table5[[#This Row],[PID]],Batters[[#All],[PID]],0)),INDEX(Table3[[#All],[First]],MATCH(Table5[[#This Row],[PID]],Table3[[#All],[PID]],0)))</f>
        <v>Elton</v>
      </c>
      <c r="F1226" s="52" t="str">
        <f>IF($C1226="B",INDEX(Batters[[#All],[Last]],MATCH(A1226,Batters[[#All],[PID]],0)),INDEX(Table3[[#All],[Last]],MATCH(A1226,Table3[[#All],[PID]],0)))</f>
        <v>Dyment</v>
      </c>
      <c r="G1226" s="58">
        <f>IF($C1226="B",INDEX(Batters[[#All],[Age]],MATCH(Table5[[#This Row],[PID]],Batters[[#All],[PID]],0)),INDEX(Table3[[#All],[Age]],MATCH(Table5[[#This Row],[PID]],Table3[[#All],[PID]],0)))</f>
        <v>22</v>
      </c>
      <c r="H1226" s="54" t="str">
        <f>IF($C1226="B",INDEX(Batters[[#All],[B]],MATCH(Table5[[#This Row],[PID]],Batters[[#All],[PID]],0)),INDEX(Table3[[#All],[B]],MATCH(Table5[[#This Row],[PID]],Table3[[#All],[PID]],0)))</f>
        <v>S</v>
      </c>
      <c r="I1226" s="54" t="str">
        <f>IF($C1226="B",INDEX(Batters[[#All],[T]],MATCH(Table5[[#This Row],[PID]],Batters[[#All],[PID]],0)),INDEX(Table3[[#All],[T]],MATCH(Table5[[#This Row],[PID]],Table3[[#All],[PID]],0)))</f>
        <v>R</v>
      </c>
      <c r="J1226" s="54" t="str">
        <f>IF($C1226="B",INDEX(Batters[[#All],[WE]],MATCH(Table5[[#This Row],[PID]],Batters[[#All],[PID]],0)),INDEX(Table3[[#All],[WE]],MATCH(Table5[[#This Row],[PID]],Table3[[#All],[PID]],0)))</f>
        <v>Normal</v>
      </c>
      <c r="K1226" s="54" t="str">
        <f>IF($C1226="B",INDEX(Batters[[#All],[INT]],MATCH(Table5[[#This Row],[PID]],Batters[[#All],[PID]],0)),INDEX(Table3[[#All],[INT]],MATCH(Table5[[#This Row],[PID]],Table3[[#All],[PID]],0)))</f>
        <v>Low</v>
      </c>
      <c r="L1226" s="62">
        <f>IF($C1226="B",INDEX(Batters[[#All],[CON P]],MATCH(Table5[[#This Row],[PID]],Batters[[#All],[PID]],0)),INDEX(Table3[[#All],[STU P]],MATCH(Table5[[#This Row],[PID]],Table3[[#All],[PID]],0)))</f>
        <v>2</v>
      </c>
      <c r="M1226" s="58">
        <f>IF($C1226="B",INDEX(Batters[[#All],[GAP P]],MATCH(Table5[[#This Row],[PID]],Batters[[#All],[PID]],0)),INDEX(Table3[[#All],[MOV P]],MATCH(Table5[[#This Row],[PID]],Table3[[#All],[PID]],0)))</f>
        <v>3</v>
      </c>
      <c r="N1226" s="58">
        <f>IF($C1226="B",INDEX(Batters[[#All],[POW P]],MATCH(Table5[[#This Row],[PID]],Batters[[#All],[PID]],0)),INDEX(Table3[[#All],[CON P]],MATCH(Table5[[#This Row],[PID]],Table3[[#All],[PID]],0)))</f>
        <v>2</v>
      </c>
      <c r="O1226" s="58">
        <f>IF($C1226="B",INDEX(Batters[[#All],[EYE P]],MATCH(Table5[[#This Row],[PID]],Batters[[#All],[PID]],0)),INDEX(Table3[[#All],[VELO]],MATCH(Table5[[#This Row],[PID]],Table3[[#All],[PID]],0)))</f>
        <v>4</v>
      </c>
      <c r="P1226" s="58">
        <f>IF($C1226="B",INDEX(Batters[[#All],[K P]],MATCH(Table5[[#This Row],[PID]],Batters[[#All],[PID]],0)),INDEX(Table3[[#All],[STM]],MATCH(Table5[[#This Row],[PID]],Table3[[#All],[PID]],0)))</f>
        <v>1</v>
      </c>
      <c r="Q1226" s="63">
        <f>IF($C1226="B",INDEX(Batters[[#All],[Tot]],MATCH(Table5[[#This Row],[PID]],Batters[[#All],[PID]],0)),INDEX(Table3[[#All],[Tot]],MATCH(Table5[[#This Row],[PID]],Table3[[#All],[PID]],0)))</f>
        <v>29.779323421326183</v>
      </c>
      <c r="R1226" s="54">
        <f>IF($C1226="B",INDEX(Batters[[#All],[zScore]],MATCH(Table5[[#This Row],[PID]],Batters[[#All],[PID]],0)),INDEX(Table3[[#All],[zScore]],MATCH(Table5[[#This Row],[PID]],Table3[[#All],[PID]],0)))</f>
        <v>-1.859531922411892</v>
      </c>
      <c r="S1226" s="60" t="str">
        <f>IF($C1226="B",INDEX(Batters[[#All],[DEM]],MATCH(Table5[[#This Row],[PID]],Batters[[#All],[PID]],0)),INDEX(Table3[[#All],[DEM]],MATCH(Table5[[#This Row],[PID]],Table3[[#All],[PID]],0)))</f>
        <v>-</v>
      </c>
      <c r="T1226" s="64">
        <f>IF($C1226="B",VLOOKUP($A1226,Bat!$A$4:$AU$1417,46,FALSE),VLOOKUP($A1226,Pit!$A$4:$BD$570,55,FALSE))</f>
        <v>0</v>
      </c>
      <c r="U1226" s="52">
        <f>IF($C1226="B",VLOOKUP($A1226,Bat!$A$4:$BA$1417,47,FALSE),VLOOKUP($A1226,Pit!$A$4:$BF$570,56,FALSE))</f>
        <v>0</v>
      </c>
      <c r="V1226" s="52">
        <f>IF($C1226="B",VLOOKUP($A1226,Bat!$A$4:$BA$1417,48,FALSE),VLOOKUP($A1226,Pit!$A$4:$BF$570,57,FALSE))</f>
        <v>0</v>
      </c>
      <c r="W1226" s="52">
        <f>Table5[[#This Row],[posRnk]]+Table5[[#This Row],[zRnk]]+IF($W$3&lt;&gt;Table5[[#This Row],[Type]],50,0)</f>
        <v>1272</v>
      </c>
      <c r="X1226" s="53">
        <f>RANK(Table5[[#This Row],[zScore]],Table5[[#All],[zScore]])</f>
        <v>1222</v>
      </c>
      <c r="Y1226" s="52" t="str">
        <f>IFERROR(INDEX(DraftResults[[#All],[OVR]],MATCH(Table5[[#This Row],[PID]],DraftResults[[#All],[Player ID]],0)),"")</f>
        <v/>
      </c>
      <c r="Z12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6" s="52" t="str">
        <f>IFERROR(INDEX(DraftResults[[#All],[Pick in Round]],MATCH(Table5[[#This Row],[PID]],DraftResults[[#All],[Player ID]],0)),"")</f>
        <v/>
      </c>
      <c r="AB1226" s="52" t="str">
        <f>IFERROR(INDEX(DraftResults[[#All],[Team Name]],MATCH(Table5[[#This Row],[PID]],DraftResults[[#All],[Player ID]],0)),"")</f>
        <v/>
      </c>
      <c r="AC1226" s="52" t="str">
        <f>IF(Table5[[#This Row],[Ovr]]="","",IF(Table5[[#This Row],[cmbList]]="","",Table5[[#This Row],[cmbList]]-Table5[[#This Row],[Ovr]]))</f>
        <v/>
      </c>
      <c r="AD1226" s="56" t="str">
        <f>IF(ISERROR(VLOOKUP($AB1226&amp;"-"&amp;$E1226&amp;" "&amp;F1226,Bonuses!$B$1:$G$1006,4,FALSE)),"",INT(VLOOKUP($AB1226&amp;"-"&amp;$E1226&amp;" "&amp;$F1226,Bonuses!$B$1:$G$1006,4,FALSE)))</f>
        <v/>
      </c>
      <c r="AE12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7" spans="1:31" s="8" customFormat="1" x14ac:dyDescent="0.25">
      <c r="A1227" s="52">
        <v>9192</v>
      </c>
      <c r="B1227" s="52">
        <f>COUNTIF(Table5[PID],A1227)</f>
        <v>1</v>
      </c>
      <c r="C1227" s="52" t="str">
        <f>IF(COUNTIF(Table3[[#All],[PID]],A1227)&gt;0,"P","B")</f>
        <v>B</v>
      </c>
      <c r="D1227" s="61" t="str">
        <f>IF($C1227="B",INDEX(Batters[[#All],[POS]],MATCH(Table5[[#This Row],[PID]],Batters[[#All],[PID]],0)),INDEX(Table3[[#All],[POS]],MATCH(Table5[[#This Row],[PID]],Table3[[#All],[PID]],0)))</f>
        <v>C</v>
      </c>
      <c r="E1227" s="54" t="str">
        <f>IF($C1227="B",INDEX(Batters[[#All],[First]],MATCH(Table5[[#This Row],[PID]],Batters[[#All],[PID]],0)),INDEX(Table3[[#All],[First]],MATCH(Table5[[#This Row],[PID]],Table3[[#All],[PID]],0)))</f>
        <v>Curtis</v>
      </c>
      <c r="F1227" s="52" t="str">
        <f>IF($C1227="B",INDEX(Batters[[#All],[Last]],MATCH(A1227,Batters[[#All],[PID]],0)),INDEX(Table3[[#All],[Last]],MATCH(A1227,Table3[[#All],[PID]],0)))</f>
        <v>Joyce</v>
      </c>
      <c r="G1227" s="58">
        <f>IF($C1227="B",INDEX(Batters[[#All],[Age]],MATCH(Table5[[#This Row],[PID]],Batters[[#All],[PID]],0)),INDEX(Table3[[#All],[Age]],MATCH(Table5[[#This Row],[PID]],Table3[[#All],[PID]],0)))</f>
        <v>22</v>
      </c>
      <c r="H1227" s="54" t="str">
        <f>IF($C1227="B",INDEX(Batters[[#All],[B]],MATCH(Table5[[#This Row],[PID]],Batters[[#All],[PID]],0)),INDEX(Table3[[#All],[B]],MATCH(Table5[[#This Row],[PID]],Table3[[#All],[PID]],0)))</f>
        <v>R</v>
      </c>
      <c r="I1227" s="54" t="str">
        <f>IF($C1227="B",INDEX(Batters[[#All],[T]],MATCH(Table5[[#This Row],[PID]],Batters[[#All],[PID]],0)),INDEX(Table3[[#All],[T]],MATCH(Table5[[#This Row],[PID]],Table3[[#All],[PID]],0)))</f>
        <v>R</v>
      </c>
      <c r="J1227" s="54" t="str">
        <f>IF($C1227="B",INDEX(Batters[[#All],[WE]],MATCH(Table5[[#This Row],[PID]],Batters[[#All],[PID]],0)),INDEX(Table3[[#All],[WE]],MATCH(Table5[[#This Row],[PID]],Table3[[#All],[PID]],0)))</f>
        <v>Low</v>
      </c>
      <c r="K1227" s="54" t="str">
        <f>IF($C1227="B",INDEX(Batters[[#All],[INT]],MATCH(Table5[[#This Row],[PID]],Batters[[#All],[PID]],0)),INDEX(Table3[[#All],[INT]],MATCH(Table5[[#This Row],[PID]],Table3[[#All],[PID]],0)))</f>
        <v>Normal</v>
      </c>
      <c r="L1227" s="62">
        <f>IF($C1227="B",INDEX(Batters[[#All],[CON P]],MATCH(Table5[[#This Row],[PID]],Batters[[#All],[PID]],0)),INDEX(Table3[[#All],[STU P]],MATCH(Table5[[#This Row],[PID]],Table3[[#All],[PID]],0)))</f>
        <v>2</v>
      </c>
      <c r="M1227" s="58">
        <f>IF($C1227="B",INDEX(Batters[[#All],[GAP P]],MATCH(Table5[[#This Row],[PID]],Batters[[#All],[PID]],0)),INDEX(Table3[[#All],[MOV P]],MATCH(Table5[[#This Row],[PID]],Table3[[#All],[PID]],0)))</f>
        <v>2</v>
      </c>
      <c r="N1227" s="58">
        <f>IF($C1227="B",INDEX(Batters[[#All],[POW P]],MATCH(Table5[[#This Row],[PID]],Batters[[#All],[PID]],0)),INDEX(Table3[[#All],[CON P]],MATCH(Table5[[#This Row],[PID]],Table3[[#All],[PID]],0)))</f>
        <v>3</v>
      </c>
      <c r="O1227" s="58">
        <f>IF($C1227="B",INDEX(Batters[[#All],[EYE P]],MATCH(Table5[[#This Row],[PID]],Batters[[#All],[PID]],0)),INDEX(Table3[[#All],[VELO]],MATCH(Table5[[#This Row],[PID]],Table3[[#All],[PID]],0)))</f>
        <v>4</v>
      </c>
      <c r="P1227" s="58">
        <f>IF($C1227="B",INDEX(Batters[[#All],[K P]],MATCH(Table5[[#This Row],[PID]],Batters[[#All],[PID]],0)),INDEX(Table3[[#All],[STM]],MATCH(Table5[[#This Row],[PID]],Table3[[#All],[PID]],0)))</f>
        <v>2</v>
      </c>
      <c r="Q1227" s="63">
        <f>IF($C1227="B",INDEX(Batters[[#All],[Tot]],MATCH(Table5[[#This Row],[PID]],Batters[[#All],[PID]],0)),INDEX(Table3[[#All],[Tot]],MATCH(Table5[[#This Row],[PID]],Table3[[#All],[PID]],0)))</f>
        <v>29.683326896069818</v>
      </c>
      <c r="R1227" s="54">
        <f>IF($C1227="B",INDEX(Batters[[#All],[zScore]],MATCH(Table5[[#This Row],[PID]],Batters[[#All],[PID]],0)),INDEX(Table3[[#All],[zScore]],MATCH(Table5[[#This Row],[PID]],Table3[[#All],[PID]],0)))</f>
        <v>-1.8764218730087194</v>
      </c>
      <c r="S1227" s="60" t="str">
        <f>IF($C1227="B",INDEX(Batters[[#All],[DEM]],MATCH(Table5[[#This Row],[PID]],Batters[[#All],[PID]],0)),INDEX(Table3[[#All],[DEM]],MATCH(Table5[[#This Row],[PID]],Table3[[#All],[PID]],0)))</f>
        <v>-</v>
      </c>
      <c r="T1227" s="64">
        <f>IF($C1227="B",VLOOKUP($A1227,Bat!$A$4:$AU$1417,46,FALSE),VLOOKUP($A1227,Pit!$A$4:$BD$570,55,FALSE))</f>
        <v>0</v>
      </c>
      <c r="U1227" s="52">
        <f>IF($C1227="B",VLOOKUP($A1227,Bat!$A$4:$BA$1417,47,FALSE),VLOOKUP($A1227,Pit!$A$4:$BF$570,56,FALSE))</f>
        <v>0</v>
      </c>
      <c r="V1227" s="52">
        <f>IF($C1227="B",VLOOKUP($A1227,Bat!$A$4:$BA$1417,48,FALSE),VLOOKUP($A1227,Pit!$A$4:$BF$570,57,FALSE))</f>
        <v>0</v>
      </c>
      <c r="W1227" s="52">
        <f>Table5[[#This Row],[posRnk]]+Table5[[#This Row],[zRnk]]+IF($W$3&lt;&gt;Table5[[#This Row],[Type]],50,0)</f>
        <v>1273</v>
      </c>
      <c r="X1227" s="53">
        <f>RANK(Table5[[#This Row],[zScore]],Table5[[#All],[zScore]])</f>
        <v>1223</v>
      </c>
      <c r="Y1227" s="52" t="str">
        <f>IFERROR(INDEX(DraftResults[[#All],[OVR]],MATCH(Table5[[#This Row],[PID]],DraftResults[[#All],[Player ID]],0)),"")</f>
        <v/>
      </c>
      <c r="Z12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7" s="52" t="str">
        <f>IFERROR(INDEX(DraftResults[[#All],[Pick in Round]],MATCH(Table5[[#This Row],[PID]],DraftResults[[#All],[Player ID]],0)),"")</f>
        <v/>
      </c>
      <c r="AB1227" s="52" t="str">
        <f>IFERROR(INDEX(DraftResults[[#All],[Team Name]],MATCH(Table5[[#This Row],[PID]],DraftResults[[#All],[Player ID]],0)),"")</f>
        <v/>
      </c>
      <c r="AC1227" s="52" t="str">
        <f>IF(Table5[[#This Row],[Ovr]]="","",IF(Table5[[#This Row],[cmbList]]="","",Table5[[#This Row],[cmbList]]-Table5[[#This Row],[Ovr]]))</f>
        <v/>
      </c>
      <c r="AD1227" s="56" t="str">
        <f>IF(ISERROR(VLOOKUP($AB1227&amp;"-"&amp;$E1227&amp;" "&amp;F1227,Bonuses!$B$1:$G$1006,4,FALSE)),"",INT(VLOOKUP($AB1227&amp;"-"&amp;$E1227&amp;" "&amp;$F1227,Bonuses!$B$1:$G$1006,4,FALSE)))</f>
        <v/>
      </c>
      <c r="AE12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8" spans="1:31" s="8" customFormat="1" x14ac:dyDescent="0.25">
      <c r="A1228" s="52">
        <v>12875</v>
      </c>
      <c r="B1228" s="52">
        <f>COUNTIF(Table5[PID],A1228)</f>
        <v>1</v>
      </c>
      <c r="C1228" s="52" t="str">
        <f>IF(COUNTIF(Table3[[#All],[PID]],A1228)&gt;0,"P","B")</f>
        <v>B</v>
      </c>
      <c r="D1228" s="61" t="str">
        <f>IF($C1228="B",INDEX(Batters[[#All],[POS]],MATCH(Table5[[#This Row],[PID]],Batters[[#All],[PID]],0)),INDEX(Table3[[#All],[POS]],MATCH(Table5[[#This Row],[PID]],Table3[[#All],[PID]],0)))</f>
        <v>3B</v>
      </c>
      <c r="E1228" s="54" t="str">
        <f>IF($C1228="B",INDEX(Batters[[#All],[First]],MATCH(Table5[[#This Row],[PID]],Batters[[#All],[PID]],0)),INDEX(Table3[[#All],[First]],MATCH(Table5[[#This Row],[PID]],Table3[[#All],[PID]],0)))</f>
        <v>Steve</v>
      </c>
      <c r="F1228" s="52" t="str">
        <f>IF($C1228="B",INDEX(Batters[[#All],[Last]],MATCH(A1228,Batters[[#All],[PID]],0)),INDEX(Table3[[#All],[Last]],MATCH(A1228,Table3[[#All],[PID]],0)))</f>
        <v>McCauley</v>
      </c>
      <c r="G1228" s="58">
        <f>IF($C1228="B",INDEX(Batters[[#All],[Age]],MATCH(Table5[[#This Row],[PID]],Batters[[#All],[PID]],0)),INDEX(Table3[[#All],[Age]],MATCH(Table5[[#This Row],[PID]],Table3[[#All],[PID]],0)))</f>
        <v>21</v>
      </c>
      <c r="H1228" s="54" t="str">
        <f>IF($C1228="B",INDEX(Batters[[#All],[B]],MATCH(Table5[[#This Row],[PID]],Batters[[#All],[PID]],0)),INDEX(Table3[[#All],[B]],MATCH(Table5[[#This Row],[PID]],Table3[[#All],[PID]],0)))</f>
        <v>R</v>
      </c>
      <c r="I1228" s="54" t="str">
        <f>IF($C1228="B",INDEX(Batters[[#All],[T]],MATCH(Table5[[#This Row],[PID]],Batters[[#All],[PID]],0)),INDEX(Table3[[#All],[T]],MATCH(Table5[[#This Row],[PID]],Table3[[#All],[PID]],0)))</f>
        <v>R</v>
      </c>
      <c r="J1228" s="54" t="str">
        <f>IF($C1228="B",INDEX(Batters[[#All],[WE]],MATCH(Table5[[#This Row],[PID]],Batters[[#All],[PID]],0)),INDEX(Table3[[#All],[WE]],MATCH(Table5[[#This Row],[PID]],Table3[[#All],[PID]],0)))</f>
        <v>Low</v>
      </c>
      <c r="K1228" s="54" t="str">
        <f>IF($C1228="B",INDEX(Batters[[#All],[INT]],MATCH(Table5[[#This Row],[PID]],Batters[[#All],[PID]],0)),INDEX(Table3[[#All],[INT]],MATCH(Table5[[#This Row],[PID]],Table3[[#All],[PID]],0)))</f>
        <v>High</v>
      </c>
      <c r="L1228" s="62">
        <f>IF($C1228="B",INDEX(Batters[[#All],[CON P]],MATCH(Table5[[#This Row],[PID]],Batters[[#All],[PID]],0)),INDEX(Table3[[#All],[STU P]],MATCH(Table5[[#This Row],[PID]],Table3[[#All],[PID]],0)))</f>
        <v>2</v>
      </c>
      <c r="M1228" s="58">
        <f>IF($C1228="B",INDEX(Batters[[#All],[GAP P]],MATCH(Table5[[#This Row],[PID]],Batters[[#All],[PID]],0)),INDEX(Table3[[#All],[MOV P]],MATCH(Table5[[#This Row],[PID]],Table3[[#All],[PID]],0)))</f>
        <v>3</v>
      </c>
      <c r="N1228" s="58">
        <f>IF($C1228="B",INDEX(Batters[[#All],[POW P]],MATCH(Table5[[#This Row],[PID]],Batters[[#All],[PID]],0)),INDEX(Table3[[#All],[CON P]],MATCH(Table5[[#This Row],[PID]],Table3[[#All],[PID]],0)))</f>
        <v>3</v>
      </c>
      <c r="O1228" s="58">
        <f>IF($C1228="B",INDEX(Batters[[#All],[EYE P]],MATCH(Table5[[#This Row],[PID]],Batters[[#All],[PID]],0)),INDEX(Table3[[#All],[VELO]],MATCH(Table5[[#This Row],[PID]],Table3[[#All],[PID]],0)))</f>
        <v>3</v>
      </c>
      <c r="P1228" s="58">
        <f>IF($C1228="B",INDEX(Batters[[#All],[K P]],MATCH(Table5[[#This Row],[PID]],Batters[[#All],[PID]],0)),INDEX(Table3[[#All],[STM]],MATCH(Table5[[#This Row],[PID]],Table3[[#All],[PID]],0)))</f>
        <v>2</v>
      </c>
      <c r="Q1228" s="63">
        <f>IF($C1228="B",INDEX(Batters[[#All],[Tot]],MATCH(Table5[[#This Row],[PID]],Batters[[#All],[PID]],0)),INDEX(Table3[[#All],[Tot]],MATCH(Table5[[#This Row],[PID]],Table3[[#All],[PID]],0)))</f>
        <v>29.515665884340201</v>
      </c>
      <c r="R1228" s="54">
        <f>IF($C1228="B",INDEX(Batters[[#All],[zScore]],MATCH(Table5[[#This Row],[PID]],Batters[[#All],[PID]],0)),INDEX(Table3[[#All],[zScore]],MATCH(Table5[[#This Row],[PID]],Table3[[#All],[PID]],0)))</f>
        <v>-1.905920713696597</v>
      </c>
      <c r="S1228" s="60" t="str">
        <f>IF($C1228="B",INDEX(Batters[[#All],[DEM]],MATCH(Table5[[#This Row],[PID]],Batters[[#All],[PID]],0)),INDEX(Table3[[#All],[DEM]],MATCH(Table5[[#This Row],[PID]],Table3[[#All],[PID]],0)))</f>
        <v>$20k</v>
      </c>
      <c r="T1228" s="64">
        <f>IF($C1228="B",VLOOKUP($A1228,Bat!$A$4:$AU$1417,46,FALSE),VLOOKUP($A1228,Pit!$A$4:$BD$570,55,FALSE))</f>
        <v>0</v>
      </c>
      <c r="U1228" s="52">
        <f>IF($C1228="B",VLOOKUP($A1228,Bat!$A$4:$BA$1417,47,FALSE),VLOOKUP($A1228,Pit!$A$4:$BF$570,56,FALSE))</f>
        <v>0</v>
      </c>
      <c r="V1228" s="52">
        <f>IF($C1228="B",VLOOKUP($A1228,Bat!$A$4:$BA$1417,48,FALSE),VLOOKUP($A1228,Pit!$A$4:$BF$570,57,FALSE))</f>
        <v>0</v>
      </c>
      <c r="W1228" s="52">
        <f>Table5[[#This Row],[posRnk]]+Table5[[#This Row],[zRnk]]+IF($W$3&lt;&gt;Table5[[#This Row],[Type]],50,0)</f>
        <v>1274</v>
      </c>
      <c r="X1228" s="53">
        <f>RANK(Table5[[#This Row],[zScore]],Table5[[#All],[zScore]])</f>
        <v>1224</v>
      </c>
      <c r="Y1228" s="52" t="str">
        <f>IFERROR(INDEX(DraftResults[[#All],[OVR]],MATCH(Table5[[#This Row],[PID]],DraftResults[[#All],[Player ID]],0)),"")</f>
        <v/>
      </c>
      <c r="Z12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8" s="52" t="str">
        <f>IFERROR(INDEX(DraftResults[[#All],[Pick in Round]],MATCH(Table5[[#This Row],[PID]],DraftResults[[#All],[Player ID]],0)),"")</f>
        <v/>
      </c>
      <c r="AB1228" s="52" t="str">
        <f>IFERROR(INDEX(DraftResults[[#All],[Team Name]],MATCH(Table5[[#This Row],[PID]],DraftResults[[#All],[Player ID]],0)),"")</f>
        <v/>
      </c>
      <c r="AC1228" s="52" t="str">
        <f>IF(Table5[[#This Row],[Ovr]]="","",IF(Table5[[#This Row],[cmbList]]="","",Table5[[#This Row],[cmbList]]-Table5[[#This Row],[Ovr]]))</f>
        <v/>
      </c>
      <c r="AD1228" s="56" t="str">
        <f>IF(ISERROR(VLOOKUP($AB1228&amp;"-"&amp;$E1228&amp;" "&amp;F1228,Bonuses!$B$1:$G$1006,4,FALSE)),"",INT(VLOOKUP($AB1228&amp;"-"&amp;$E1228&amp;" "&amp;$F1228,Bonuses!$B$1:$G$1006,4,FALSE)))</f>
        <v/>
      </c>
      <c r="AE12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9" spans="1:31" s="8" customFormat="1" x14ac:dyDescent="0.25">
      <c r="A1229" s="52">
        <v>11967</v>
      </c>
      <c r="B1229" s="52">
        <f>COUNTIF(Table5[PID],A1229)</f>
        <v>1</v>
      </c>
      <c r="C1229" s="52" t="str">
        <f>IF(COUNTIF(Table3[[#All],[PID]],A1229)&gt;0,"P","B")</f>
        <v>B</v>
      </c>
      <c r="D1229" s="61" t="str">
        <f>IF($C1229="B",INDEX(Batters[[#All],[POS]],MATCH(Table5[[#This Row],[PID]],Batters[[#All],[PID]],0)),INDEX(Table3[[#All],[POS]],MATCH(Table5[[#This Row],[PID]],Table3[[#All],[PID]],0)))</f>
        <v>C</v>
      </c>
      <c r="E1229" s="54" t="str">
        <f>IF($C1229="B",INDEX(Batters[[#All],[First]],MATCH(Table5[[#This Row],[PID]],Batters[[#All],[PID]],0)),INDEX(Table3[[#All],[First]],MATCH(Table5[[#This Row],[PID]],Table3[[#All],[PID]],0)))</f>
        <v>Lloyd</v>
      </c>
      <c r="F1229" s="52" t="str">
        <f>IF($C1229="B",INDEX(Batters[[#All],[Last]],MATCH(A1229,Batters[[#All],[PID]],0)),INDEX(Table3[[#All],[Last]],MATCH(A1229,Table3[[#All],[PID]],0)))</f>
        <v>Molina</v>
      </c>
      <c r="G1229" s="58">
        <f>IF($C1229="B",INDEX(Batters[[#All],[Age]],MATCH(Table5[[#This Row],[PID]],Batters[[#All],[PID]],0)),INDEX(Table3[[#All],[Age]],MATCH(Table5[[#This Row],[PID]],Table3[[#All],[PID]],0)))</f>
        <v>21</v>
      </c>
      <c r="H1229" s="54" t="str">
        <f>IF($C1229="B",INDEX(Batters[[#All],[B]],MATCH(Table5[[#This Row],[PID]],Batters[[#All],[PID]],0)),INDEX(Table3[[#All],[B]],MATCH(Table5[[#This Row],[PID]],Table3[[#All],[PID]],0)))</f>
        <v>R</v>
      </c>
      <c r="I1229" s="54" t="str">
        <f>IF($C1229="B",INDEX(Batters[[#All],[T]],MATCH(Table5[[#This Row],[PID]],Batters[[#All],[PID]],0)),INDEX(Table3[[#All],[T]],MATCH(Table5[[#This Row],[PID]],Table3[[#All],[PID]],0)))</f>
        <v>R</v>
      </c>
      <c r="J1229" s="54" t="str">
        <f>IF($C1229="B",INDEX(Batters[[#All],[WE]],MATCH(Table5[[#This Row],[PID]],Batters[[#All],[PID]],0)),INDEX(Table3[[#All],[WE]],MATCH(Table5[[#This Row],[PID]],Table3[[#All],[PID]],0)))</f>
        <v>Low</v>
      </c>
      <c r="K1229" s="54" t="str">
        <f>IF($C1229="B",INDEX(Batters[[#All],[INT]],MATCH(Table5[[#This Row],[PID]],Batters[[#All],[PID]],0)),INDEX(Table3[[#All],[INT]],MATCH(Table5[[#This Row],[PID]],Table3[[#All],[PID]],0)))</f>
        <v>Normal</v>
      </c>
      <c r="L1229" s="62">
        <f>IF($C1229="B",INDEX(Batters[[#All],[CON P]],MATCH(Table5[[#This Row],[PID]],Batters[[#All],[PID]],0)),INDEX(Table3[[#All],[STU P]],MATCH(Table5[[#This Row],[PID]],Table3[[#All],[PID]],0)))</f>
        <v>2</v>
      </c>
      <c r="M1229" s="58">
        <f>IF($C1229="B",INDEX(Batters[[#All],[GAP P]],MATCH(Table5[[#This Row],[PID]],Batters[[#All],[PID]],0)),INDEX(Table3[[#All],[MOV P]],MATCH(Table5[[#This Row],[PID]],Table3[[#All],[PID]],0)))</f>
        <v>3</v>
      </c>
      <c r="N1229" s="58">
        <f>IF($C1229="B",INDEX(Batters[[#All],[POW P]],MATCH(Table5[[#This Row],[PID]],Batters[[#All],[PID]],0)),INDEX(Table3[[#All],[CON P]],MATCH(Table5[[#This Row],[PID]],Table3[[#All],[PID]],0)))</f>
        <v>2</v>
      </c>
      <c r="O1229" s="58">
        <f>IF($C1229="B",INDEX(Batters[[#All],[EYE P]],MATCH(Table5[[#This Row],[PID]],Batters[[#All],[PID]],0)),INDEX(Table3[[#All],[VELO]],MATCH(Table5[[#This Row],[PID]],Table3[[#All],[PID]],0)))</f>
        <v>4</v>
      </c>
      <c r="P1229" s="58">
        <f>IF($C1229="B",INDEX(Batters[[#All],[K P]],MATCH(Table5[[#This Row],[PID]],Batters[[#All],[PID]],0)),INDEX(Table3[[#All],[STM]],MATCH(Table5[[#This Row],[PID]],Table3[[#All],[PID]],0)))</f>
        <v>2</v>
      </c>
      <c r="Q1229" s="63">
        <f>IF($C1229="B",INDEX(Batters[[#All],[Tot]],MATCH(Table5[[#This Row],[PID]],Batters[[#All],[PID]],0)),INDEX(Table3[[#All],[Tot]],MATCH(Table5[[#This Row],[PID]],Table3[[#All],[PID]],0)))</f>
        <v>29.290336568206484</v>
      </c>
      <c r="R1229" s="54">
        <f>IF($C1229="B",INDEX(Batters[[#All],[zScore]],MATCH(Table5[[#This Row],[PID]],Batters[[#All],[PID]],0)),INDEX(Table3[[#All],[zScore]],MATCH(Table5[[#This Row],[PID]],Table3[[#All],[PID]],0)))</f>
        <v>-1.9455659092633295</v>
      </c>
      <c r="S1229" s="60" t="str">
        <f>IF($C1229="B",INDEX(Batters[[#All],[DEM]],MATCH(Table5[[#This Row],[PID]],Batters[[#All],[PID]],0)),INDEX(Table3[[#All],[DEM]],MATCH(Table5[[#This Row],[PID]],Table3[[#All],[PID]],0)))</f>
        <v>$20k</v>
      </c>
      <c r="T1229" s="64">
        <f>IF($C1229="B",VLOOKUP($A1229,Bat!$A$4:$AU$1417,46,FALSE),VLOOKUP($A1229,Pit!$A$4:$BD$570,55,FALSE))</f>
        <v>0</v>
      </c>
      <c r="U1229" s="52">
        <f>IF($C1229="B",VLOOKUP($A1229,Bat!$A$4:$BA$1417,47,FALSE),VLOOKUP($A1229,Pit!$A$4:$BF$570,56,FALSE))</f>
        <v>0</v>
      </c>
      <c r="V1229" s="52">
        <f>IF($C1229="B",VLOOKUP($A1229,Bat!$A$4:$BA$1417,48,FALSE),VLOOKUP($A1229,Pit!$A$4:$BF$570,57,FALSE))</f>
        <v>0</v>
      </c>
      <c r="W1229" s="52">
        <f>Table5[[#This Row],[posRnk]]+Table5[[#This Row],[zRnk]]+IF($W$3&lt;&gt;Table5[[#This Row],[Type]],50,0)</f>
        <v>1275</v>
      </c>
      <c r="X1229" s="53">
        <f>RANK(Table5[[#This Row],[zScore]],Table5[[#All],[zScore]])</f>
        <v>1225</v>
      </c>
      <c r="Y1229" s="52" t="str">
        <f>IFERROR(INDEX(DraftResults[[#All],[OVR]],MATCH(Table5[[#This Row],[PID]],DraftResults[[#All],[Player ID]],0)),"")</f>
        <v/>
      </c>
      <c r="Z12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9" s="52" t="str">
        <f>IFERROR(INDEX(DraftResults[[#All],[Pick in Round]],MATCH(Table5[[#This Row],[PID]],DraftResults[[#All],[Player ID]],0)),"")</f>
        <v/>
      </c>
      <c r="AB1229" s="52" t="str">
        <f>IFERROR(INDEX(DraftResults[[#All],[Team Name]],MATCH(Table5[[#This Row],[PID]],DraftResults[[#All],[Player ID]],0)),"")</f>
        <v/>
      </c>
      <c r="AC1229" s="52" t="str">
        <f>IF(Table5[[#This Row],[Ovr]]="","",IF(Table5[[#This Row],[cmbList]]="","",Table5[[#This Row],[cmbList]]-Table5[[#This Row],[Ovr]]))</f>
        <v/>
      </c>
      <c r="AD1229" s="56" t="str">
        <f>IF(ISERROR(VLOOKUP($AB1229&amp;"-"&amp;$E1229&amp;" "&amp;F1229,Bonuses!$B$1:$G$1006,4,FALSE)),"",INT(VLOOKUP($AB1229&amp;"-"&amp;$E1229&amp;" "&amp;$F1229,Bonuses!$B$1:$G$1006,4,FALSE)))</f>
        <v/>
      </c>
      <c r="AE12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30" spans="1:31" s="8" customFormat="1" x14ac:dyDescent="0.25">
      <c r="A1230" s="52">
        <v>5408</v>
      </c>
      <c r="B1230" s="52">
        <f>COUNTIF(Table5[PID],A1230)</f>
        <v>1</v>
      </c>
      <c r="C1230" s="52" t="str">
        <f>IF(COUNTIF(Table3[[#All],[PID]],A1230)&gt;0,"P","B")</f>
        <v>B</v>
      </c>
      <c r="D1230" s="61" t="str">
        <f>IF($C1230="B",INDEX(Batters[[#All],[POS]],MATCH(Table5[[#This Row],[PID]],Batters[[#All],[PID]],0)),INDEX(Table3[[#All],[POS]],MATCH(Table5[[#This Row],[PID]],Table3[[#All],[PID]],0)))</f>
        <v>C</v>
      </c>
      <c r="E1230" s="54" t="str">
        <f>IF($C1230="B",INDEX(Batters[[#All],[First]],MATCH(Table5[[#This Row],[PID]],Batters[[#All],[PID]],0)),INDEX(Table3[[#All],[First]],MATCH(Table5[[#This Row],[PID]],Table3[[#All],[PID]],0)))</f>
        <v>Paul</v>
      </c>
      <c r="F1230" s="52" t="str">
        <f>IF($C1230="B",INDEX(Batters[[#All],[Last]],MATCH(A1230,Batters[[#All],[PID]],0)),INDEX(Table3[[#All],[Last]],MATCH(A1230,Table3[[#All],[PID]],0)))</f>
        <v>Baker</v>
      </c>
      <c r="G1230" s="58">
        <f>IF($C1230="B",INDEX(Batters[[#All],[Age]],MATCH(Table5[[#This Row],[PID]],Batters[[#All],[PID]],0)),INDEX(Table3[[#All],[Age]],MATCH(Table5[[#This Row],[PID]],Table3[[#All],[PID]],0)))</f>
        <v>21</v>
      </c>
      <c r="H1230" s="54" t="str">
        <f>IF($C1230="B",INDEX(Batters[[#All],[B]],MATCH(Table5[[#This Row],[PID]],Batters[[#All],[PID]],0)),INDEX(Table3[[#All],[B]],MATCH(Table5[[#This Row],[PID]],Table3[[#All],[PID]],0)))</f>
        <v>R</v>
      </c>
      <c r="I1230" s="54" t="str">
        <f>IF($C1230="B",INDEX(Batters[[#All],[T]],MATCH(Table5[[#This Row],[PID]],Batters[[#All],[PID]],0)),INDEX(Table3[[#All],[T]],MATCH(Table5[[#This Row],[PID]],Table3[[#All],[PID]],0)))</f>
        <v>R</v>
      </c>
      <c r="J1230" s="54" t="str">
        <f>IF($C1230="B",INDEX(Batters[[#All],[WE]],MATCH(Table5[[#This Row],[PID]],Batters[[#All],[PID]],0)),INDEX(Table3[[#All],[WE]],MATCH(Table5[[#This Row],[PID]],Table3[[#All],[PID]],0)))</f>
        <v>Low</v>
      </c>
      <c r="K1230" s="54" t="str">
        <f>IF($C1230="B",INDEX(Batters[[#All],[INT]],MATCH(Table5[[#This Row],[PID]],Batters[[#All],[PID]],0)),INDEX(Table3[[#All],[INT]],MATCH(Table5[[#This Row],[PID]],Table3[[#All],[PID]],0)))</f>
        <v>Normal</v>
      </c>
      <c r="L1230" s="62">
        <f>IF($C1230="B",INDEX(Batters[[#All],[CON P]],MATCH(Table5[[#This Row],[PID]],Batters[[#All],[PID]],0)),INDEX(Table3[[#All],[STU P]],MATCH(Table5[[#This Row],[PID]],Table3[[#All],[PID]],0)))</f>
        <v>2</v>
      </c>
      <c r="M1230" s="58">
        <f>IF($C1230="B",INDEX(Batters[[#All],[GAP P]],MATCH(Table5[[#This Row],[PID]],Batters[[#All],[PID]],0)),INDEX(Table3[[#All],[MOV P]],MATCH(Table5[[#This Row],[PID]],Table3[[#All],[PID]],0)))</f>
        <v>2</v>
      </c>
      <c r="N1230" s="58">
        <f>IF($C1230="B",INDEX(Batters[[#All],[POW P]],MATCH(Table5[[#This Row],[PID]],Batters[[#All],[PID]],0)),INDEX(Table3[[#All],[CON P]],MATCH(Table5[[#This Row],[PID]],Table3[[#All],[PID]],0)))</f>
        <v>2</v>
      </c>
      <c r="O1230" s="58">
        <f>IF($C1230="B",INDEX(Batters[[#All],[EYE P]],MATCH(Table5[[#This Row],[PID]],Batters[[#All],[PID]],0)),INDEX(Table3[[#All],[VELO]],MATCH(Table5[[#This Row],[PID]],Table3[[#All],[PID]],0)))</f>
        <v>4</v>
      </c>
      <c r="P1230" s="58">
        <f>IF($C1230="B",INDEX(Batters[[#All],[K P]],MATCH(Table5[[#This Row],[PID]],Batters[[#All],[PID]],0)),INDEX(Table3[[#All],[STM]],MATCH(Table5[[#This Row],[PID]],Table3[[#All],[PID]],0)))</f>
        <v>3</v>
      </c>
      <c r="Q1230" s="63">
        <f>IF($C1230="B",INDEX(Batters[[#All],[Tot]],MATCH(Table5[[#This Row],[PID]],Batters[[#All],[PID]],0)),INDEX(Table3[[#All],[Tot]],MATCH(Table5[[#This Row],[PID]],Table3[[#All],[PID]],0)))</f>
        <v>29.166785045588</v>
      </c>
      <c r="R1230" s="54">
        <f>IF($C1230="B",INDEX(Batters[[#All],[zScore]],MATCH(Table5[[#This Row],[PID]],Batters[[#All],[PID]],0)),INDEX(Table3[[#All],[zScore]],MATCH(Table5[[#This Row],[PID]],Table3[[#All],[PID]],0)))</f>
        <v>-1.9673039785071498</v>
      </c>
      <c r="S1230" s="60" t="str">
        <f>IF($C1230="B",INDEX(Batters[[#All],[DEM]],MATCH(Table5[[#This Row],[PID]],Batters[[#All],[PID]],0)),INDEX(Table3[[#All],[DEM]],MATCH(Table5[[#This Row],[PID]],Table3[[#All],[PID]],0)))</f>
        <v>-</v>
      </c>
      <c r="T1230" s="64">
        <f>IF($C1230="B",VLOOKUP($A1230,Bat!$A$4:$AU$1417,46,FALSE),VLOOKUP($A1230,Pit!$A$4:$BD$570,55,FALSE))</f>
        <v>0</v>
      </c>
      <c r="U1230" s="52">
        <f>IF($C1230="B",VLOOKUP($A1230,Bat!$A$4:$BA$1417,47,FALSE),VLOOKUP($A1230,Pit!$A$4:$BF$570,56,FALSE))</f>
        <v>0</v>
      </c>
      <c r="V1230" s="52">
        <f>IF($C1230="B",VLOOKUP($A1230,Bat!$A$4:$BA$1417,48,FALSE),VLOOKUP($A1230,Pit!$A$4:$BF$570,57,FALSE))</f>
        <v>0</v>
      </c>
      <c r="W1230" s="52">
        <f>Table5[[#This Row],[posRnk]]+Table5[[#This Row],[zRnk]]+IF($W$3&lt;&gt;Table5[[#This Row],[Type]],50,0)</f>
        <v>1276</v>
      </c>
      <c r="X1230" s="53">
        <f>RANK(Table5[[#This Row],[zScore]],Table5[[#All],[zScore]])</f>
        <v>1226</v>
      </c>
      <c r="Y1230" s="52" t="str">
        <f>IFERROR(INDEX(DraftResults[[#All],[OVR]],MATCH(Table5[[#This Row],[PID]],DraftResults[[#All],[Player ID]],0)),"")</f>
        <v/>
      </c>
      <c r="Z12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0" s="52" t="str">
        <f>IFERROR(INDEX(DraftResults[[#All],[Pick in Round]],MATCH(Table5[[#This Row],[PID]],DraftResults[[#All],[Player ID]],0)),"")</f>
        <v/>
      </c>
      <c r="AB1230" s="52" t="str">
        <f>IFERROR(INDEX(DraftResults[[#All],[Team Name]],MATCH(Table5[[#This Row],[PID]],DraftResults[[#All],[Player ID]],0)),"")</f>
        <v/>
      </c>
      <c r="AC1230" s="52" t="str">
        <f>IF(Table5[[#This Row],[Ovr]]="","",IF(Table5[[#This Row],[cmbList]]="","",Table5[[#This Row],[cmbList]]-Table5[[#This Row],[Ovr]]))</f>
        <v/>
      </c>
      <c r="AD1230" s="56" t="str">
        <f>IF(ISERROR(VLOOKUP($AB1230&amp;"-"&amp;$E1230&amp;" "&amp;F1230,Bonuses!$B$1:$G$1006,4,FALSE)),"",INT(VLOOKUP($AB1230&amp;"-"&amp;$E1230&amp;" "&amp;$F1230,Bonuses!$B$1:$G$1006,4,FALSE)))</f>
        <v/>
      </c>
      <c r="AE12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31" spans="1:31" s="8" customFormat="1" x14ac:dyDescent="0.25">
      <c r="A1231" s="52">
        <v>5477</v>
      </c>
      <c r="B1231" s="52">
        <f>COUNTIF(Table5[PID],A1231)</f>
        <v>1</v>
      </c>
      <c r="C1231" s="52" t="str">
        <f>IF(COUNTIF(Table3[[#All],[PID]],A1231)&gt;0,"P","B")</f>
        <v>B</v>
      </c>
      <c r="D1231" s="61" t="str">
        <f>IF($C1231="B",INDEX(Batters[[#All],[POS]],MATCH(Table5[[#This Row],[PID]],Batters[[#All],[PID]],0)),INDEX(Table3[[#All],[POS]],MATCH(Table5[[#This Row],[PID]],Table3[[#All],[PID]],0)))</f>
        <v>1B</v>
      </c>
      <c r="E1231" s="54" t="str">
        <f>IF($C1231="B",INDEX(Batters[[#All],[First]],MATCH(Table5[[#This Row],[PID]],Batters[[#All],[PID]],0)),INDEX(Table3[[#All],[First]],MATCH(Table5[[#This Row],[PID]],Table3[[#All],[PID]],0)))</f>
        <v>Bernardo</v>
      </c>
      <c r="F1231" s="52" t="str">
        <f>IF($C1231="B",INDEX(Batters[[#All],[Last]],MATCH(A1231,Batters[[#All],[PID]],0)),INDEX(Table3[[#All],[Last]],MATCH(A1231,Table3[[#All],[PID]],0)))</f>
        <v>Diéguez</v>
      </c>
      <c r="G1231" s="58">
        <f>IF($C1231="B",INDEX(Batters[[#All],[Age]],MATCH(Table5[[#This Row],[PID]],Batters[[#All],[PID]],0)),INDEX(Table3[[#All],[Age]],MATCH(Table5[[#This Row],[PID]],Table3[[#All],[PID]],0)))</f>
        <v>22</v>
      </c>
      <c r="H1231" s="54" t="str">
        <f>IF($C1231="B",INDEX(Batters[[#All],[B]],MATCH(Table5[[#This Row],[PID]],Batters[[#All],[PID]],0)),INDEX(Table3[[#All],[B]],MATCH(Table5[[#This Row],[PID]],Table3[[#All],[PID]],0)))</f>
        <v>S</v>
      </c>
      <c r="I1231" s="54" t="str">
        <f>IF($C1231="B",INDEX(Batters[[#All],[T]],MATCH(Table5[[#This Row],[PID]],Batters[[#All],[PID]],0)),INDEX(Table3[[#All],[T]],MATCH(Table5[[#This Row],[PID]],Table3[[#All],[PID]],0)))</f>
        <v>L</v>
      </c>
      <c r="J1231" s="54" t="str">
        <f>IF($C1231="B",INDEX(Batters[[#All],[WE]],MATCH(Table5[[#This Row],[PID]],Batters[[#All],[PID]],0)),INDEX(Table3[[#All],[WE]],MATCH(Table5[[#This Row],[PID]],Table3[[#All],[PID]],0)))</f>
        <v>Low</v>
      </c>
      <c r="K1231" s="54" t="str">
        <f>IF($C1231="B",INDEX(Batters[[#All],[INT]],MATCH(Table5[[#This Row],[PID]],Batters[[#All],[PID]],0)),INDEX(Table3[[#All],[INT]],MATCH(Table5[[#This Row],[PID]],Table3[[#All],[PID]],0)))</f>
        <v>Normal</v>
      </c>
      <c r="L1231" s="62">
        <f>IF($C1231="B",INDEX(Batters[[#All],[CON P]],MATCH(Table5[[#This Row],[PID]],Batters[[#All],[PID]],0)),INDEX(Table3[[#All],[STU P]],MATCH(Table5[[#This Row],[PID]],Table3[[#All],[PID]],0)))</f>
        <v>2</v>
      </c>
      <c r="M1231" s="58">
        <f>IF($C1231="B",INDEX(Batters[[#All],[GAP P]],MATCH(Table5[[#This Row],[PID]],Batters[[#All],[PID]],0)),INDEX(Table3[[#All],[MOV P]],MATCH(Table5[[#This Row],[PID]],Table3[[#All],[PID]],0)))</f>
        <v>2</v>
      </c>
      <c r="N1231" s="58">
        <f>IF($C1231="B",INDEX(Batters[[#All],[POW P]],MATCH(Table5[[#This Row],[PID]],Batters[[#All],[PID]],0)),INDEX(Table3[[#All],[CON P]],MATCH(Table5[[#This Row],[PID]],Table3[[#All],[PID]],0)))</f>
        <v>3</v>
      </c>
      <c r="O1231" s="58">
        <f>IF($C1231="B",INDEX(Batters[[#All],[EYE P]],MATCH(Table5[[#This Row],[PID]],Batters[[#All],[PID]],0)),INDEX(Table3[[#All],[VELO]],MATCH(Table5[[#This Row],[PID]],Table3[[#All],[PID]],0)))</f>
        <v>3</v>
      </c>
      <c r="P1231" s="58">
        <f>IF($C1231="B",INDEX(Batters[[#All],[K P]],MATCH(Table5[[#This Row],[PID]],Batters[[#All],[PID]],0)),INDEX(Table3[[#All],[STM]],MATCH(Table5[[#This Row],[PID]],Table3[[#All],[PID]],0)))</f>
        <v>3</v>
      </c>
      <c r="Q1231" s="63">
        <f>IF($C1231="B",INDEX(Batters[[#All],[Tot]],MATCH(Table5[[#This Row],[PID]],Batters[[#All],[PID]],0)),INDEX(Table3[[#All],[Tot]],MATCH(Table5[[#This Row],[PID]],Table3[[#All],[PID]],0)))</f>
        <v>28.936343568161277</v>
      </c>
      <c r="R1231" s="54">
        <f>IF($C1231="B",INDEX(Batters[[#All],[zScore]],MATCH(Table5[[#This Row],[PID]],Batters[[#All],[PID]],0)),INDEX(Table3[[#All],[zScore]],MATCH(Table5[[#This Row],[PID]],Table3[[#All],[PID]],0)))</f>
        <v>-2.007848624876412</v>
      </c>
      <c r="S1231" s="60" t="str">
        <f>IF($C1231="B",INDEX(Batters[[#All],[DEM]],MATCH(Table5[[#This Row],[PID]],Batters[[#All],[PID]],0)),INDEX(Table3[[#All],[DEM]],MATCH(Table5[[#This Row],[PID]],Table3[[#All],[PID]],0)))</f>
        <v>-</v>
      </c>
      <c r="T1231" s="64">
        <f>IF($C1231="B",VLOOKUP($A1231,Bat!$A$4:$AU$1417,46,FALSE),VLOOKUP($A1231,Pit!$A$4:$BD$570,55,FALSE))</f>
        <v>0</v>
      </c>
      <c r="U1231" s="52">
        <f>IF($C1231="B",VLOOKUP($A1231,Bat!$A$4:$BA$1417,47,FALSE),VLOOKUP($A1231,Pit!$A$4:$BF$570,56,FALSE))</f>
        <v>0</v>
      </c>
      <c r="V1231" s="52">
        <f>IF($C1231="B",VLOOKUP($A1231,Bat!$A$4:$BA$1417,48,FALSE),VLOOKUP($A1231,Pit!$A$4:$BF$570,57,FALSE))</f>
        <v>0</v>
      </c>
      <c r="W1231" s="52">
        <f>Table5[[#This Row],[posRnk]]+Table5[[#This Row],[zRnk]]+IF($W$3&lt;&gt;Table5[[#This Row],[Type]],50,0)</f>
        <v>1277</v>
      </c>
      <c r="X1231" s="53">
        <f>RANK(Table5[[#This Row],[zScore]],Table5[[#All],[zScore]])</f>
        <v>1227</v>
      </c>
      <c r="Y1231" s="52" t="str">
        <f>IFERROR(INDEX(DraftResults[[#All],[OVR]],MATCH(Table5[[#This Row],[PID]],DraftResults[[#All],[Player ID]],0)),"")</f>
        <v/>
      </c>
      <c r="Z12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1" s="52" t="str">
        <f>IFERROR(INDEX(DraftResults[[#All],[Pick in Round]],MATCH(Table5[[#This Row],[PID]],DraftResults[[#All],[Player ID]],0)),"")</f>
        <v/>
      </c>
      <c r="AB1231" s="52" t="str">
        <f>IFERROR(INDEX(DraftResults[[#All],[Team Name]],MATCH(Table5[[#This Row],[PID]],DraftResults[[#All],[Player ID]],0)),"")</f>
        <v/>
      </c>
      <c r="AC1231" s="52" t="str">
        <f>IF(Table5[[#This Row],[Ovr]]="","",IF(Table5[[#This Row],[cmbList]]="","",Table5[[#This Row],[cmbList]]-Table5[[#This Row],[Ovr]]))</f>
        <v/>
      </c>
      <c r="AD1231" s="56" t="str">
        <f>IF(ISERROR(VLOOKUP($AB1231&amp;"-"&amp;$E1231&amp;" "&amp;F1231,Bonuses!$B$1:$G$1006,4,FALSE)),"",INT(VLOOKUP($AB1231&amp;"-"&amp;$E1231&amp;" "&amp;$F1231,Bonuses!$B$1:$G$1006,4,FALSE)))</f>
        <v/>
      </c>
      <c r="AE12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32" spans="1:31" s="8" customFormat="1" x14ac:dyDescent="0.25">
      <c r="A1232" s="52">
        <v>5972</v>
      </c>
      <c r="B1232" s="52">
        <f>COUNTIF(Table5[PID],A1232)</f>
        <v>1</v>
      </c>
      <c r="C1232" s="52" t="str">
        <f>IF(COUNTIF(Table3[[#All],[PID]],A1232)&gt;0,"P","B")</f>
        <v>B</v>
      </c>
      <c r="D1232" s="61" t="str">
        <f>IF($C1232="B",INDEX(Batters[[#All],[POS]],MATCH(Table5[[#This Row],[PID]],Batters[[#All],[PID]],0)),INDEX(Table3[[#All],[POS]],MATCH(Table5[[#This Row],[PID]],Table3[[#All],[PID]],0)))</f>
        <v>C</v>
      </c>
      <c r="E1232" s="54" t="str">
        <f>IF($C1232="B",INDEX(Batters[[#All],[First]],MATCH(Table5[[#This Row],[PID]],Batters[[#All],[PID]],0)),INDEX(Table3[[#All],[First]],MATCH(Table5[[#This Row],[PID]],Table3[[#All],[PID]],0)))</f>
        <v>Fraser</v>
      </c>
      <c r="F1232" s="52" t="str">
        <f>IF($C1232="B",INDEX(Batters[[#All],[Last]],MATCH(A1232,Batters[[#All],[PID]],0)),INDEX(Table3[[#All],[Last]],MATCH(A1232,Table3[[#All],[PID]],0)))</f>
        <v>Dupont</v>
      </c>
      <c r="G1232" s="58">
        <f>IF($C1232="B",INDEX(Batters[[#All],[Age]],MATCH(Table5[[#This Row],[PID]],Batters[[#All],[PID]],0)),INDEX(Table3[[#All],[Age]],MATCH(Table5[[#This Row],[PID]],Table3[[#All],[PID]],0)))</f>
        <v>21</v>
      </c>
      <c r="H1232" s="54" t="str">
        <f>IF($C1232="B",INDEX(Batters[[#All],[B]],MATCH(Table5[[#This Row],[PID]],Batters[[#All],[PID]],0)),INDEX(Table3[[#All],[B]],MATCH(Table5[[#This Row],[PID]],Table3[[#All],[PID]],0)))</f>
        <v>R</v>
      </c>
      <c r="I1232" s="54" t="str">
        <f>IF($C1232="B",INDEX(Batters[[#All],[T]],MATCH(Table5[[#This Row],[PID]],Batters[[#All],[PID]],0)),INDEX(Table3[[#All],[T]],MATCH(Table5[[#This Row],[PID]],Table3[[#All],[PID]],0)))</f>
        <v>R</v>
      </c>
      <c r="J1232" s="54" t="str">
        <f>IF($C1232="B",INDEX(Batters[[#All],[WE]],MATCH(Table5[[#This Row],[PID]],Batters[[#All],[PID]],0)),INDEX(Table3[[#All],[WE]],MATCH(Table5[[#This Row],[PID]],Table3[[#All],[PID]],0)))</f>
        <v>Low</v>
      </c>
      <c r="K1232" s="54" t="str">
        <f>IF($C1232="B",INDEX(Batters[[#All],[INT]],MATCH(Table5[[#This Row],[PID]],Batters[[#All],[PID]],0)),INDEX(Table3[[#All],[INT]],MATCH(Table5[[#This Row],[PID]],Table3[[#All],[PID]],0)))</f>
        <v>Low</v>
      </c>
      <c r="L1232" s="62">
        <f>IF($C1232="B",INDEX(Batters[[#All],[CON P]],MATCH(Table5[[#This Row],[PID]],Batters[[#All],[PID]],0)),INDEX(Table3[[#All],[STU P]],MATCH(Table5[[#This Row],[PID]],Table3[[#All],[PID]],0)))</f>
        <v>2</v>
      </c>
      <c r="M1232" s="58">
        <f>IF($C1232="B",INDEX(Batters[[#All],[GAP P]],MATCH(Table5[[#This Row],[PID]],Batters[[#All],[PID]],0)),INDEX(Table3[[#All],[MOV P]],MATCH(Table5[[#This Row],[PID]],Table3[[#All],[PID]],0)))</f>
        <v>2</v>
      </c>
      <c r="N1232" s="58">
        <f>IF($C1232="B",INDEX(Batters[[#All],[POW P]],MATCH(Table5[[#This Row],[PID]],Batters[[#All],[PID]],0)),INDEX(Table3[[#All],[CON P]],MATCH(Table5[[#This Row],[PID]],Table3[[#All],[PID]],0)))</f>
        <v>3</v>
      </c>
      <c r="O1232" s="58">
        <f>IF($C1232="B",INDEX(Batters[[#All],[EYE P]],MATCH(Table5[[#This Row],[PID]],Batters[[#All],[PID]],0)),INDEX(Table3[[#All],[VELO]],MATCH(Table5[[#This Row],[PID]],Table3[[#All],[PID]],0)))</f>
        <v>3</v>
      </c>
      <c r="P1232" s="58">
        <f>IF($C1232="B",INDEX(Batters[[#All],[K P]],MATCH(Table5[[#This Row],[PID]],Batters[[#All],[PID]],0)),INDEX(Table3[[#All],[STM]],MATCH(Table5[[#This Row],[PID]],Table3[[#All],[PID]],0)))</f>
        <v>2</v>
      </c>
      <c r="Q1232" s="63">
        <f>IF($C1232="B",INDEX(Batters[[#All],[Tot]],MATCH(Table5[[#This Row],[PID]],Batters[[#All],[PID]],0)),INDEX(Table3[[#All],[Tot]],MATCH(Table5[[#This Row],[PID]],Table3[[#All],[PID]],0)))</f>
        <v>28.481174674287221</v>
      </c>
      <c r="R1232" s="54">
        <f>IF($C1232="B",INDEX(Batters[[#All],[zScore]],MATCH(Table5[[#This Row],[PID]],Batters[[#All],[PID]],0)),INDEX(Table3[[#All],[zScore]],MATCH(Table5[[#This Row],[PID]],Table3[[#All],[PID]],0)))</f>
        <v>-2.0879325665629955</v>
      </c>
      <c r="S1232" s="60" t="str">
        <f>IF($C1232="B",INDEX(Batters[[#All],[DEM]],MATCH(Table5[[#This Row],[PID]],Batters[[#All],[PID]],0)),INDEX(Table3[[#All],[DEM]],MATCH(Table5[[#This Row],[PID]],Table3[[#All],[PID]],0)))</f>
        <v>-</v>
      </c>
      <c r="T1232" s="64">
        <f>IF($C1232="B",VLOOKUP($A1232,Bat!$A$4:$AU$1417,46,FALSE),VLOOKUP($A1232,Pit!$A$4:$BD$570,55,FALSE))</f>
        <v>0</v>
      </c>
      <c r="U1232" s="52">
        <f>IF($C1232="B",VLOOKUP($A1232,Bat!$A$4:$BA$1417,47,FALSE),VLOOKUP($A1232,Pit!$A$4:$BF$570,56,FALSE))</f>
        <v>0</v>
      </c>
      <c r="V1232" s="52">
        <f>IF($C1232="B",VLOOKUP($A1232,Bat!$A$4:$BA$1417,48,FALSE),VLOOKUP($A1232,Pit!$A$4:$BF$570,57,FALSE))</f>
        <v>0</v>
      </c>
      <c r="W1232" s="52">
        <f>Table5[[#This Row],[posRnk]]+Table5[[#This Row],[zRnk]]+IF($W$3&lt;&gt;Table5[[#This Row],[Type]],50,0)</f>
        <v>1278</v>
      </c>
      <c r="X1232" s="53">
        <f>RANK(Table5[[#This Row],[zScore]],Table5[[#All],[zScore]])</f>
        <v>1228</v>
      </c>
      <c r="Y1232" s="52" t="str">
        <f>IFERROR(INDEX(DraftResults[[#All],[OVR]],MATCH(Table5[[#This Row],[PID]],DraftResults[[#All],[Player ID]],0)),"")</f>
        <v/>
      </c>
      <c r="Z12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2" s="52" t="str">
        <f>IFERROR(INDEX(DraftResults[[#All],[Pick in Round]],MATCH(Table5[[#This Row],[PID]],DraftResults[[#All],[Player ID]],0)),"")</f>
        <v/>
      </c>
      <c r="AB1232" s="52" t="str">
        <f>IFERROR(INDEX(DraftResults[[#All],[Team Name]],MATCH(Table5[[#This Row],[PID]],DraftResults[[#All],[Player ID]],0)),"")</f>
        <v/>
      </c>
      <c r="AC1232" s="52" t="str">
        <f>IF(Table5[[#This Row],[Ovr]]="","",IF(Table5[[#This Row],[cmbList]]="","",Table5[[#This Row],[cmbList]]-Table5[[#This Row],[Ovr]]))</f>
        <v/>
      </c>
      <c r="AD1232" s="56" t="str">
        <f>IF(ISERROR(VLOOKUP($AB1232&amp;"-"&amp;$E1232&amp;" "&amp;F1232,Bonuses!$B$1:$G$1006,4,FALSE)),"",INT(VLOOKUP($AB1232&amp;"-"&amp;$E1232&amp;" "&amp;$F1232,Bonuses!$B$1:$G$1006,4,FALSE)))</f>
        <v/>
      </c>
      <c r="AE12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33" spans="1:31" s="8" customFormat="1" x14ac:dyDescent="0.25">
      <c r="A1233" s="52">
        <v>5427</v>
      </c>
      <c r="B1233" s="52">
        <f>COUNTIF(Table5[PID],A1233)</f>
        <v>1</v>
      </c>
      <c r="C1233" s="52" t="str">
        <f>IF(COUNTIF(Table3[[#All],[PID]],A1233)&gt;0,"P","B")</f>
        <v>B</v>
      </c>
      <c r="D1233" s="61" t="str">
        <f>IF($C1233="B",INDEX(Batters[[#All],[POS]],MATCH(Table5[[#This Row],[PID]],Batters[[#All],[PID]],0)),INDEX(Table3[[#All],[POS]],MATCH(Table5[[#This Row],[PID]],Table3[[#All],[PID]],0)))</f>
        <v>2B</v>
      </c>
      <c r="E1233" s="54" t="str">
        <f>IF($C1233="B",INDEX(Batters[[#All],[First]],MATCH(Table5[[#This Row],[PID]],Batters[[#All],[PID]],0)),INDEX(Table3[[#All],[First]],MATCH(Table5[[#This Row],[PID]],Table3[[#All],[PID]],0)))</f>
        <v>Daniel</v>
      </c>
      <c r="F1233" s="52" t="str">
        <f>IF($C1233="B",INDEX(Batters[[#All],[Last]],MATCH(A1233,Batters[[#All],[PID]],0)),INDEX(Table3[[#All],[Last]],MATCH(A1233,Table3[[#All],[PID]],0)))</f>
        <v>Encarnación</v>
      </c>
      <c r="G1233" s="58">
        <f>IF($C1233="B",INDEX(Batters[[#All],[Age]],MATCH(Table5[[#This Row],[PID]],Batters[[#All],[PID]],0)),INDEX(Table3[[#All],[Age]],MATCH(Table5[[#This Row],[PID]],Table3[[#All],[PID]],0)))</f>
        <v>22</v>
      </c>
      <c r="H1233" s="54" t="str">
        <f>IF($C1233="B",INDEX(Batters[[#All],[B]],MATCH(Table5[[#This Row],[PID]],Batters[[#All],[PID]],0)),INDEX(Table3[[#All],[B]],MATCH(Table5[[#This Row],[PID]],Table3[[#All],[PID]],0)))</f>
        <v>S</v>
      </c>
      <c r="I1233" s="54" t="str">
        <f>IF($C1233="B",INDEX(Batters[[#All],[T]],MATCH(Table5[[#This Row],[PID]],Batters[[#All],[PID]],0)),INDEX(Table3[[#All],[T]],MATCH(Table5[[#This Row],[PID]],Table3[[#All],[PID]],0)))</f>
        <v>R</v>
      </c>
      <c r="J1233" s="54" t="str">
        <f>IF($C1233="B",INDEX(Batters[[#All],[WE]],MATCH(Table5[[#This Row],[PID]],Batters[[#All],[PID]],0)),INDEX(Table3[[#All],[WE]],MATCH(Table5[[#This Row],[PID]],Table3[[#All],[PID]],0)))</f>
        <v>Low</v>
      </c>
      <c r="K1233" s="54" t="str">
        <f>IF($C1233="B",INDEX(Batters[[#All],[INT]],MATCH(Table5[[#This Row],[PID]],Batters[[#All],[PID]],0)),INDEX(Table3[[#All],[INT]],MATCH(Table5[[#This Row],[PID]],Table3[[#All],[PID]],0)))</f>
        <v>Low</v>
      </c>
      <c r="L1233" s="62">
        <f>IF($C1233="B",INDEX(Batters[[#All],[CON P]],MATCH(Table5[[#This Row],[PID]],Batters[[#All],[PID]],0)),INDEX(Table3[[#All],[STU P]],MATCH(Table5[[#This Row],[PID]],Table3[[#All],[PID]],0)))</f>
        <v>2</v>
      </c>
      <c r="M1233" s="58">
        <f>IF($C1233="B",INDEX(Batters[[#All],[GAP P]],MATCH(Table5[[#This Row],[PID]],Batters[[#All],[PID]],0)),INDEX(Table3[[#All],[MOV P]],MATCH(Table5[[#This Row],[PID]],Table3[[#All],[PID]],0)))</f>
        <v>2</v>
      </c>
      <c r="N1233" s="58">
        <f>IF($C1233="B",INDEX(Batters[[#All],[POW P]],MATCH(Table5[[#This Row],[PID]],Batters[[#All],[PID]],0)),INDEX(Table3[[#All],[CON P]],MATCH(Table5[[#This Row],[PID]],Table3[[#All],[PID]],0)))</f>
        <v>2</v>
      </c>
      <c r="O1233" s="58">
        <f>IF($C1233="B",INDEX(Batters[[#All],[EYE P]],MATCH(Table5[[#This Row],[PID]],Batters[[#All],[PID]],0)),INDEX(Table3[[#All],[VELO]],MATCH(Table5[[#This Row],[PID]],Table3[[#All],[PID]],0)))</f>
        <v>4</v>
      </c>
      <c r="P1233" s="58">
        <f>IF($C1233="B",INDEX(Batters[[#All],[K P]],MATCH(Table5[[#This Row],[PID]],Batters[[#All],[PID]],0)),INDEX(Table3[[#All],[STM]],MATCH(Table5[[#This Row],[PID]],Table3[[#All],[PID]],0)))</f>
        <v>2</v>
      </c>
      <c r="Q1233" s="63">
        <f>IF($C1233="B",INDEX(Batters[[#All],[Tot]],MATCH(Table5[[#This Row],[PID]],Batters[[#All],[PID]],0)),INDEX(Table3[[#All],[Tot]],MATCH(Table5[[#This Row],[PID]],Table3[[#All],[PID]],0)))</f>
        <v>28.39555992278396</v>
      </c>
      <c r="R1233" s="54">
        <f>IF($C1233="B",INDEX(Batters[[#All],[zScore]],MATCH(Table5[[#This Row],[PID]],Batters[[#All],[PID]],0)),INDEX(Table3[[#All],[zScore]],MATCH(Table5[[#This Row],[PID]],Table3[[#All],[PID]],0)))</f>
        <v>-2.1029959130683822</v>
      </c>
      <c r="S1233" s="60" t="str">
        <f>IF($C1233="B",INDEX(Batters[[#All],[DEM]],MATCH(Table5[[#This Row],[PID]],Batters[[#All],[PID]],0)),INDEX(Table3[[#All],[DEM]],MATCH(Table5[[#This Row],[PID]],Table3[[#All],[PID]],0)))</f>
        <v>-</v>
      </c>
      <c r="T1233" s="64">
        <f>IF($C1233="B",VLOOKUP($A1233,Bat!$A$4:$AU$1417,46,FALSE),VLOOKUP($A1233,Pit!$A$4:$BD$570,55,FALSE))</f>
        <v>0</v>
      </c>
      <c r="U1233" s="52">
        <f>IF($C1233="B",VLOOKUP($A1233,Bat!$A$4:$BA$1417,47,FALSE),VLOOKUP($A1233,Pit!$A$4:$BF$570,56,FALSE))</f>
        <v>0</v>
      </c>
      <c r="V1233" s="52">
        <f>IF($C1233="B",VLOOKUP($A1233,Bat!$A$4:$BA$1417,48,FALSE),VLOOKUP($A1233,Pit!$A$4:$BF$570,57,FALSE))</f>
        <v>0</v>
      </c>
      <c r="W1233" s="52">
        <f>Table5[[#This Row],[posRnk]]+Table5[[#This Row],[zRnk]]+IF($W$3&lt;&gt;Table5[[#This Row],[Type]],50,0)</f>
        <v>1279</v>
      </c>
      <c r="X1233" s="53">
        <f>RANK(Table5[[#This Row],[zScore]],Table5[[#All],[zScore]])</f>
        <v>1229</v>
      </c>
      <c r="Y1233" s="52" t="str">
        <f>IFERROR(INDEX(DraftResults[[#All],[OVR]],MATCH(Table5[[#This Row],[PID]],DraftResults[[#All],[Player ID]],0)),"")</f>
        <v/>
      </c>
      <c r="Z12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3" s="52" t="str">
        <f>IFERROR(INDEX(DraftResults[[#All],[Pick in Round]],MATCH(Table5[[#This Row],[PID]],DraftResults[[#All],[Player ID]],0)),"")</f>
        <v/>
      </c>
      <c r="AB1233" s="52" t="str">
        <f>IFERROR(INDEX(DraftResults[[#All],[Team Name]],MATCH(Table5[[#This Row],[PID]],DraftResults[[#All],[Player ID]],0)),"")</f>
        <v/>
      </c>
      <c r="AC1233" s="52" t="str">
        <f>IF(Table5[[#This Row],[Ovr]]="","",IF(Table5[[#This Row],[cmbList]]="","",Table5[[#This Row],[cmbList]]-Table5[[#This Row],[Ovr]]))</f>
        <v/>
      </c>
      <c r="AD1233" s="56" t="str">
        <f>IF(ISERROR(VLOOKUP($AB1233&amp;"-"&amp;$E1233&amp;" "&amp;F1233,Bonuses!$B$1:$G$1006,4,FALSE)),"",INT(VLOOKUP($AB1233&amp;"-"&amp;$E1233&amp;" "&amp;$F1233,Bonuses!$B$1:$G$1006,4,FALSE)))</f>
        <v/>
      </c>
      <c r="AE12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34" spans="1:31" s="8" customFormat="1" x14ac:dyDescent="0.25">
      <c r="A1234" s="52">
        <v>10064</v>
      </c>
      <c r="B1234" s="52">
        <f>COUNTIF(Table5[PID],A1234)</f>
        <v>1</v>
      </c>
      <c r="C1234" s="52" t="str">
        <f>IF(COUNTIF(Table3[[#All],[PID]],A1234)&gt;0,"P","B")</f>
        <v>P</v>
      </c>
      <c r="D1234" s="61" t="str">
        <f>IF($C1234="B",INDEX(Batters[[#All],[POS]],MATCH(Table5[[#This Row],[PID]],Batters[[#All],[PID]],0)),INDEX(Table3[[#All],[POS]],MATCH(Table5[[#This Row],[PID]],Table3[[#All],[PID]],0)))</f>
        <v>RP</v>
      </c>
      <c r="E1234" s="54" t="str">
        <f>IF($C1234="B",INDEX(Batters[[#All],[First]],MATCH(Table5[[#This Row],[PID]],Batters[[#All],[PID]],0)),INDEX(Table3[[#All],[First]],MATCH(Table5[[#This Row],[PID]],Table3[[#All],[PID]],0)))</f>
        <v>Whit</v>
      </c>
      <c r="F1234" s="52" t="str">
        <f>IF($C1234="B",INDEX(Batters[[#All],[Last]],MATCH(A1234,Batters[[#All],[PID]],0)),INDEX(Table3[[#All],[Last]],MATCH(A1234,Table3[[#All],[PID]],0)))</f>
        <v>McIntosh</v>
      </c>
      <c r="G1234" s="58">
        <f>IF($C1234="B",INDEX(Batters[[#All],[Age]],MATCH(Table5[[#This Row],[PID]],Batters[[#All],[PID]],0)),INDEX(Table3[[#All],[Age]],MATCH(Table5[[#This Row],[PID]],Table3[[#All],[PID]],0)))</f>
        <v>20</v>
      </c>
      <c r="H1234" s="54" t="str">
        <f>IF($C1234="B",INDEX(Batters[[#All],[B]],MATCH(Table5[[#This Row],[PID]],Batters[[#All],[PID]],0)),INDEX(Table3[[#All],[B]],MATCH(Table5[[#This Row],[PID]],Table3[[#All],[PID]],0)))</f>
        <v>R</v>
      </c>
      <c r="I1234" s="54" t="str">
        <f>IF($C1234="B",INDEX(Batters[[#All],[T]],MATCH(Table5[[#This Row],[PID]],Batters[[#All],[PID]],0)),INDEX(Table3[[#All],[T]],MATCH(Table5[[#This Row],[PID]],Table3[[#All],[PID]],0)))</f>
        <v>R</v>
      </c>
      <c r="J1234" s="54" t="str">
        <f>IF($C1234="B",INDEX(Batters[[#All],[WE]],MATCH(Table5[[#This Row],[PID]],Batters[[#All],[PID]],0)),INDEX(Table3[[#All],[WE]],MATCH(Table5[[#This Row],[PID]],Table3[[#All],[PID]],0)))</f>
        <v>Low</v>
      </c>
      <c r="K1234" s="54" t="str">
        <f>IF($C1234="B",INDEX(Batters[[#All],[INT]],MATCH(Table5[[#This Row],[PID]],Batters[[#All],[PID]],0)),INDEX(Table3[[#All],[INT]],MATCH(Table5[[#This Row],[PID]],Table3[[#All],[PID]],0)))</f>
        <v>Normal</v>
      </c>
      <c r="L1234" s="62">
        <f>IF($C1234="B",INDEX(Batters[[#All],[CON P]],MATCH(Table5[[#This Row],[PID]],Batters[[#All],[PID]],0)),INDEX(Table3[[#All],[STU P]],MATCH(Table5[[#This Row],[PID]],Table3[[#All],[PID]],0)))</f>
        <v>4</v>
      </c>
      <c r="M1234" s="58">
        <f>IF($C1234="B",INDEX(Batters[[#All],[GAP P]],MATCH(Table5[[#This Row],[PID]],Batters[[#All],[PID]],0)),INDEX(Table3[[#All],[MOV P]],MATCH(Table5[[#This Row],[PID]],Table3[[#All],[PID]],0)))</f>
        <v>1</v>
      </c>
      <c r="N1234" s="58">
        <f>IF($C1234="B",INDEX(Batters[[#All],[POW P]],MATCH(Table5[[#This Row],[PID]],Batters[[#All],[PID]],0)),INDEX(Table3[[#All],[CON P]],MATCH(Table5[[#This Row],[PID]],Table3[[#All],[PID]],0)))</f>
        <v>1</v>
      </c>
      <c r="O1234" s="58" t="str">
        <f>IF($C1234="B",INDEX(Batters[[#All],[EYE P]],MATCH(Table5[[#This Row],[PID]],Batters[[#All],[PID]],0)),INDEX(Table3[[#All],[VELO]],MATCH(Table5[[#This Row],[PID]],Table3[[#All],[PID]],0)))</f>
        <v>90-92 Mph</v>
      </c>
      <c r="P1234" s="58">
        <f>IF($C1234="B",INDEX(Batters[[#All],[K P]],MATCH(Table5[[#This Row],[PID]],Batters[[#All],[PID]],0)),INDEX(Table3[[#All],[STM]],MATCH(Table5[[#This Row],[PID]],Table3[[#All],[PID]],0)))</f>
        <v>5</v>
      </c>
      <c r="Q1234" s="63">
        <f>IF($C1234="B",INDEX(Batters[[#All],[Tot]],MATCH(Table5[[#This Row],[PID]],Batters[[#All],[PID]],0)),INDEX(Table3[[#All],[Tot]],MATCH(Table5[[#This Row],[PID]],Table3[[#All],[PID]],0)))</f>
        <v>7.5838228646669883</v>
      </c>
      <c r="R1234" s="54">
        <f>IF($C1234="B",INDEX(Batters[[#All],[zScore]],MATCH(Table5[[#This Row],[PID]],Batters[[#All],[PID]],0)),INDEX(Table3[[#All],[zScore]],MATCH(Table5[[#This Row],[PID]],Table3[[#All],[PID]],0)))</f>
        <v>-2.3053012905268417</v>
      </c>
      <c r="S1234" s="60" t="str">
        <f>IF($C1234="B",INDEX(Batters[[#All],[DEM]],MATCH(Table5[[#This Row],[PID]],Batters[[#All],[PID]],0)),INDEX(Table3[[#All],[DEM]],MATCH(Table5[[#This Row],[PID]],Table3[[#All],[PID]],0)))</f>
        <v>$20k</v>
      </c>
      <c r="T1234" s="64" t="e">
        <f>IF($C1234="B",VLOOKUP($A1234,Bat!$A$4:$AU$1417,46,FALSE),VLOOKUP($A1234,Pit!$A$4:$BD$570,55,FALSE))</f>
        <v>#N/A</v>
      </c>
      <c r="U1234" s="52" t="e">
        <f>IF($C1234="B",VLOOKUP($A1234,Bat!$A$4:$BA$1417,47,FALSE),VLOOKUP($A1234,Pit!$A$4:$BF$570,56,FALSE))</f>
        <v>#N/A</v>
      </c>
      <c r="V1234" s="52" t="e">
        <f>IF($C1234="B",VLOOKUP($A1234,Bat!$A$4:$BA$1417,48,FALSE),VLOOKUP($A1234,Pit!$A$4:$BF$570,57,FALSE))</f>
        <v>#N/A</v>
      </c>
      <c r="W1234" s="52" t="e">
        <f>Table5[[#This Row],[posRnk]]+Table5[[#This Row],[zRnk]]+IF($W$3&lt;&gt;Table5[[#This Row],[Type]],50,0)</f>
        <v>#N/A</v>
      </c>
      <c r="X1234" s="53">
        <f>RANK(Table5[[#This Row],[zScore]],Table5[[#All],[zScore]])</f>
        <v>1230</v>
      </c>
      <c r="Y1234" s="52" t="str">
        <f>IFERROR(INDEX(DraftResults[[#All],[OVR]],MATCH(Table5[[#This Row],[PID]],DraftResults[[#All],[Player ID]],0)),"")</f>
        <v/>
      </c>
      <c r="Z12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4" s="52" t="str">
        <f>IFERROR(INDEX(DraftResults[[#All],[Pick in Round]],MATCH(Table5[[#This Row],[PID]],DraftResults[[#All],[Player ID]],0)),"")</f>
        <v/>
      </c>
      <c r="AB1234" s="52" t="str">
        <f>IFERROR(INDEX(DraftResults[[#All],[Team Name]],MATCH(Table5[[#This Row],[PID]],DraftResults[[#All],[Player ID]],0)),"")</f>
        <v/>
      </c>
      <c r="AC1234" s="52" t="str">
        <f>IF(Table5[[#This Row],[Ovr]]="","",IF(Table5[[#This Row],[cmbList]]="","",Table5[[#This Row],[cmbList]]-Table5[[#This Row],[Ovr]]))</f>
        <v/>
      </c>
      <c r="AD1234" s="56" t="str">
        <f>IF(ISERROR(VLOOKUP($AB1234&amp;"-"&amp;$E1234&amp;" "&amp;F1234,Bonuses!$B$1:$G$1006,4,FALSE)),"",INT(VLOOKUP($AB1234&amp;"-"&amp;$E1234&amp;" "&amp;$F1234,Bonuses!$B$1:$G$1006,4,FALSE)))</f>
        <v/>
      </c>
      <c r="AE12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</sheetData>
  <sortState xmlns:xlrd2="http://schemas.microsoft.com/office/spreadsheetml/2017/richdata2" ref="A269:AE1116">
    <sortCondition ref="Y5:Y1116"/>
    <sortCondition ref="W5:W1116"/>
    <sortCondition ref="U5:U1116"/>
    <sortCondition ref="T5:T1116"/>
    <sortCondition descending="1" ref="R5:R1116"/>
    <sortCondition ref="G5:G1116"/>
    <sortCondition ref="C5:C1116"/>
  </sortState>
  <conditionalFormatting sqref="AE6:XFD6 W5:XFD5 AF7:XFD7 AD6:AD1126 AE540:XFD1126 AD1127:AE1234 A5:W1234 W6:AC1234">
    <cfRule type="expression" dxfId="19" priority="9">
      <formula>IF($C5="B",1,0)</formula>
    </cfRule>
  </conditionalFormatting>
  <conditionalFormatting sqref="AE8:XFD30 AE32:XFD40 AF31:XFD31 AE42:XFD65 AF41:XFD41 AE67:XFD83 AF66:XFD66 AE85:XFD120 AF84:XFD84 AE122:XFD148 AF121:XFD121 AE150:XFD156 AF149:XFD149 AE158:XFD175 AF157:XFD157 AE177:XFD202 AF176:XFD176 AE204:XFD230 AF203:XFD203 AE232:XFD258 AF231:XFD231 AE260:XFD286 AF259:XFD259 AE288:XFD314 AF287:XFD287 AE316:XFD342 AF315:XFD315 AE344:XFD370 AF343:XFD343 AE372:XFD398 AF371:XFD371 AE400:XFD426 AF399:XFD399 AE428:XFD454 AF427:XFD427 AE456:XFD482 AF455:XFD455 AE484:XFD510 AF483:XFD483 AE512:XFD538 AF511:XFD511 AF539:XFD539">
    <cfRule type="expression" dxfId="18" priority="7">
      <formula>IF($C8="B",1,0)</formula>
    </cfRule>
  </conditionalFormatting>
  <conditionalFormatting sqref="AE7">
    <cfRule type="expression" dxfId="17" priority="4">
      <formula>IF($C7="B",1,0)</formula>
    </cfRule>
  </conditionalFormatting>
  <conditionalFormatting sqref="AE539 AE511 AE483 AE455 AE427 AE399 AE371 AE343 AE315 AE287 AE259 AE231 AE203 AE176 AE157 AE149 AE121 AE84 AE66 AE41 AE31">
    <cfRule type="expression" dxfId="16" priority="1">
      <formula>IF($C31="B",1,0)</formula>
    </cfRule>
  </conditionalFormatting>
  <conditionalFormatting sqref="AF1127:XFD1177">
    <cfRule type="expression" dxfId="15" priority="1435">
      <formula>IF(#REF!="B",1,0)</formula>
    </cfRule>
  </conditionalFormatting>
  <conditionalFormatting sqref="A5:X1234">
    <cfRule type="expression" dxfId="14" priority="1438">
      <formula>IF(AND($B$1=1,$Z5&lt;&gt;""),1,0)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607"/>
  <sheetViews>
    <sheetView workbookViewId="0">
      <pane xSplit="6" ySplit="3" topLeftCell="G13" activePane="bottomRight" state="frozen"/>
      <selection pane="topRight" activeCell="G1" sqref="G1"/>
      <selection pane="bottomLeft" activeCell="A4" sqref="A4"/>
      <selection pane="bottomRight" activeCell="F23" sqref="F23"/>
    </sheetView>
  </sheetViews>
  <sheetFormatPr defaultRowHeight="15" x14ac:dyDescent="0.25"/>
  <cols>
    <col min="1" max="1" width="9" bestFit="1" customWidth="1"/>
    <col min="2" max="2" width="15.85546875" bestFit="1" customWidth="1"/>
    <col min="3" max="3" width="15" customWidth="1"/>
    <col min="4" max="4" width="29.28515625" bestFit="1" customWidth="1"/>
    <col min="5" max="5" width="10.28515625" customWidth="1"/>
    <col min="6" max="8" width="11" customWidth="1"/>
    <col min="9" max="9" width="6.28515625" customWidth="1"/>
    <col min="10" max="11" width="11.7109375" customWidth="1"/>
  </cols>
  <sheetData>
    <row r="2" spans="1:11" ht="15.75" customHeight="1" x14ac:dyDescent="0.25">
      <c r="I2">
        <v>2</v>
      </c>
      <c r="J2">
        <v>3</v>
      </c>
      <c r="K2">
        <v>4</v>
      </c>
    </row>
    <row r="3" spans="1:11" x14ac:dyDescent="0.25">
      <c r="A3" t="s">
        <v>1814</v>
      </c>
      <c r="B3" t="s">
        <v>1816</v>
      </c>
      <c r="C3" t="s">
        <v>314</v>
      </c>
      <c r="D3" t="s">
        <v>315</v>
      </c>
      <c r="E3" t="s">
        <v>316</v>
      </c>
      <c r="F3" t="s">
        <v>317</v>
      </c>
      <c r="G3" t="s">
        <v>318</v>
      </c>
      <c r="H3" t="s">
        <v>1815</v>
      </c>
      <c r="I3" t="s">
        <v>122</v>
      </c>
      <c r="J3" t="s">
        <v>421</v>
      </c>
      <c r="K3" t="s">
        <v>422</v>
      </c>
    </row>
    <row r="4" spans="1:11" x14ac:dyDescent="0.25">
      <c r="A4">
        <v>1</v>
      </c>
      <c r="B4">
        <v>0</v>
      </c>
      <c r="C4">
        <v>1</v>
      </c>
      <c r="D4" t="s">
        <v>695</v>
      </c>
      <c r="E4">
        <v>160</v>
      </c>
      <c r="F4">
        <v>0</v>
      </c>
      <c r="G4" t="s">
        <v>318</v>
      </c>
      <c r="H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</v>
      </c>
      <c r="I4" t="str">
        <f>IF(DraftResults[[#This Row],[Player ID]]=0,"",INDEX(Table5[[#All],[Pos]],MATCH(DraftResults[[#This Row],[Player ID]],Table5[[#All],[PID]],0)))</f>
        <v/>
      </c>
      <c r="J4" t="str">
        <f>IF(DraftResults[[#This Row],[Player ID]]=0,"",INDEX(Table5[[#All],[First]],MATCH(DraftResults[[#This Row],[Player ID]],Table5[[#All],[PID]],0)))</f>
        <v/>
      </c>
      <c r="K4" t="str">
        <f>IF(DraftResults[[#This Row],[Player ID]]=0,"",INDEX(Table5[[#All],[Last]],MATCH(DraftResults[[#This Row],[Player ID]],Table5[[#All],[PID]],0)))</f>
        <v/>
      </c>
    </row>
    <row r="5" spans="1:11" x14ac:dyDescent="0.25">
      <c r="A5">
        <v>1</v>
      </c>
      <c r="B5">
        <v>0</v>
      </c>
      <c r="C5">
        <v>2</v>
      </c>
      <c r="D5" t="s">
        <v>694</v>
      </c>
      <c r="E5">
        <v>24</v>
      </c>
      <c r="F5">
        <v>0</v>
      </c>
      <c r="G5" t="s">
        <v>318</v>
      </c>
      <c r="H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</v>
      </c>
      <c r="I5" t="str">
        <f>IF(DraftResults[[#This Row],[Player ID]]=0,"",INDEX(Table5[[#All],[Pos]],MATCH(DraftResults[[#This Row],[Player ID]],Table5[[#All],[PID]],0)))</f>
        <v/>
      </c>
      <c r="J5" t="str">
        <f>IF(DraftResults[[#This Row],[Player ID]]=0,"",INDEX(Table5[[#All],[First]],MATCH(DraftResults[[#This Row],[Player ID]],Table5[[#All],[PID]],0)))</f>
        <v/>
      </c>
      <c r="K5" t="str">
        <f>IF(DraftResults[[#This Row],[Player ID]]=0,"",INDEX(Table5[[#All],[Last]],MATCH(DraftResults[[#This Row],[Player ID]],Table5[[#All],[PID]],0)))</f>
        <v/>
      </c>
    </row>
    <row r="6" spans="1:11" x14ac:dyDescent="0.25">
      <c r="A6">
        <v>1</v>
      </c>
      <c r="B6">
        <v>0</v>
      </c>
      <c r="C6">
        <v>3</v>
      </c>
      <c r="D6" t="s">
        <v>697</v>
      </c>
      <c r="E6">
        <v>23</v>
      </c>
      <c r="F6">
        <v>0</v>
      </c>
      <c r="G6" t="s">
        <v>318</v>
      </c>
      <c r="H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</v>
      </c>
      <c r="I6" t="str">
        <f>IF(DraftResults[[#This Row],[Player ID]]=0,"",INDEX(Table5[[#All],[Pos]],MATCH(DraftResults[[#This Row],[Player ID]],Table5[[#All],[PID]],0)))</f>
        <v/>
      </c>
      <c r="J6" t="str">
        <f>IF(DraftResults[[#This Row],[Player ID]]=0,"",INDEX(Table5[[#All],[First]],MATCH(DraftResults[[#This Row],[Player ID]],Table5[[#All],[PID]],0)))</f>
        <v/>
      </c>
      <c r="K6" t="str">
        <f>IF(DraftResults[[#This Row],[Player ID]]=0,"",INDEX(Table5[[#All],[Last]],MATCH(DraftResults[[#This Row],[Player ID]],Table5[[#All],[PID]],0)))</f>
        <v/>
      </c>
    </row>
    <row r="7" spans="1:11" x14ac:dyDescent="0.25">
      <c r="A7">
        <v>1</v>
      </c>
      <c r="B7">
        <v>0</v>
      </c>
      <c r="C7">
        <v>4</v>
      </c>
      <c r="D7" t="s">
        <v>252</v>
      </c>
      <c r="E7">
        <v>1</v>
      </c>
      <c r="F7">
        <v>0</v>
      </c>
      <c r="G7" t="s">
        <v>318</v>
      </c>
      <c r="H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</v>
      </c>
      <c r="I7" t="str">
        <f>IF(DraftResults[[#This Row],[Player ID]]=0,"",INDEX(Table5[[#All],[Pos]],MATCH(DraftResults[[#This Row],[Player ID]],Table5[[#All],[PID]],0)))</f>
        <v/>
      </c>
      <c r="J7" t="str">
        <f>IF(DraftResults[[#This Row],[Player ID]]=0,"",INDEX(Table5[[#All],[First]],MATCH(DraftResults[[#This Row],[Player ID]],Table5[[#All],[PID]],0)))</f>
        <v/>
      </c>
      <c r="K7" t="str">
        <f>IF(DraftResults[[#This Row],[Player ID]]=0,"",INDEX(Table5[[#All],[Last]],MATCH(DraftResults[[#This Row],[Player ID]],Table5[[#All],[PID]],0)))</f>
        <v/>
      </c>
    </row>
    <row r="8" spans="1:11" x14ac:dyDescent="0.25">
      <c r="A8">
        <v>1</v>
      </c>
      <c r="B8">
        <v>0</v>
      </c>
      <c r="C8">
        <v>5</v>
      </c>
      <c r="D8" t="s">
        <v>484</v>
      </c>
      <c r="E8">
        <v>164</v>
      </c>
      <c r="F8">
        <v>0</v>
      </c>
      <c r="G8" t="s">
        <v>318</v>
      </c>
      <c r="H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</v>
      </c>
      <c r="I8" t="str">
        <f>IF(DraftResults[[#This Row],[Player ID]]=0,"",INDEX(Table5[[#All],[Pos]],MATCH(DraftResults[[#This Row],[Player ID]],Table5[[#All],[PID]],0)))</f>
        <v/>
      </c>
      <c r="J8" t="str">
        <f>IF(DraftResults[[#This Row],[Player ID]]=0,"",INDEX(Table5[[#All],[First]],MATCH(DraftResults[[#This Row],[Player ID]],Table5[[#All],[PID]],0)))</f>
        <v/>
      </c>
      <c r="K8" t="str">
        <f>IF(DraftResults[[#This Row],[Player ID]]=0,"",INDEX(Table5[[#All],[Last]],MATCH(DraftResults[[#This Row],[Player ID]],Table5[[#All],[PID]],0)))</f>
        <v/>
      </c>
    </row>
    <row r="9" spans="1:11" x14ac:dyDescent="0.25">
      <c r="A9">
        <v>1</v>
      </c>
      <c r="B9">
        <v>0</v>
      </c>
      <c r="C9">
        <v>6</v>
      </c>
      <c r="D9" t="s">
        <v>254</v>
      </c>
      <c r="E9">
        <v>15</v>
      </c>
      <c r="F9">
        <v>0</v>
      </c>
      <c r="G9" t="s">
        <v>318</v>
      </c>
      <c r="H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</v>
      </c>
      <c r="I9" t="str">
        <f>IF(DraftResults[[#This Row],[Player ID]]=0,"",INDEX(Table5[[#All],[Pos]],MATCH(DraftResults[[#This Row],[Player ID]],Table5[[#All],[PID]],0)))</f>
        <v/>
      </c>
      <c r="J9" t="str">
        <f>IF(DraftResults[[#This Row],[Player ID]]=0,"",INDEX(Table5[[#All],[First]],MATCH(DraftResults[[#This Row],[Player ID]],Table5[[#All],[PID]],0)))</f>
        <v/>
      </c>
      <c r="K9" t="str">
        <f>IF(DraftResults[[#This Row],[Player ID]]=0,"",INDEX(Table5[[#All],[Last]],MATCH(DraftResults[[#This Row],[Player ID]],Table5[[#All],[PID]],0)))</f>
        <v/>
      </c>
    </row>
    <row r="10" spans="1:11" x14ac:dyDescent="0.25">
      <c r="A10">
        <v>1</v>
      </c>
      <c r="B10">
        <v>0</v>
      </c>
      <c r="C10">
        <v>7</v>
      </c>
      <c r="D10" t="s">
        <v>255</v>
      </c>
      <c r="E10">
        <v>20</v>
      </c>
      <c r="F10">
        <v>0</v>
      </c>
      <c r="G10" t="s">
        <v>318</v>
      </c>
      <c r="H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</v>
      </c>
      <c r="I10" t="str">
        <f>IF(DraftResults[[#This Row],[Player ID]]=0,"",INDEX(Table5[[#All],[Pos]],MATCH(DraftResults[[#This Row],[Player ID]],Table5[[#All],[PID]],0)))</f>
        <v/>
      </c>
      <c r="J10" t="str">
        <f>IF(DraftResults[[#This Row],[Player ID]]=0,"",INDEX(Table5[[#All],[First]],MATCH(DraftResults[[#This Row],[Player ID]],Table5[[#All],[PID]],0)))</f>
        <v/>
      </c>
      <c r="K10" t="str">
        <f>IF(DraftResults[[#This Row],[Player ID]]=0,"",INDEX(Table5[[#All],[Last]],MATCH(DraftResults[[#This Row],[Player ID]],Table5[[#All],[PID]],0)))</f>
        <v/>
      </c>
    </row>
    <row r="11" spans="1:11" x14ac:dyDescent="0.25">
      <c r="A11">
        <v>1</v>
      </c>
      <c r="B11">
        <v>0</v>
      </c>
      <c r="C11">
        <v>8</v>
      </c>
      <c r="D11" t="s">
        <v>587</v>
      </c>
      <c r="E11">
        <v>7</v>
      </c>
      <c r="F11">
        <v>0</v>
      </c>
      <c r="G11" t="s">
        <v>318</v>
      </c>
      <c r="H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</v>
      </c>
      <c r="I11" t="str">
        <f>IF(DraftResults[[#This Row],[Player ID]]=0,"",INDEX(Table5[[#All],[Pos]],MATCH(DraftResults[[#This Row],[Player ID]],Table5[[#All],[PID]],0)))</f>
        <v/>
      </c>
      <c r="J11" t="str">
        <f>IF(DraftResults[[#This Row],[Player ID]]=0,"",INDEX(Table5[[#All],[First]],MATCH(DraftResults[[#This Row],[Player ID]],Table5[[#All],[PID]],0)))</f>
        <v/>
      </c>
      <c r="K11" t="str">
        <f>IF(DraftResults[[#This Row],[Player ID]]=0,"",INDEX(Table5[[#All],[Last]],MATCH(DraftResults[[#This Row],[Player ID]],Table5[[#All],[PID]],0)))</f>
        <v/>
      </c>
    </row>
    <row r="12" spans="1:11" x14ac:dyDescent="0.25">
      <c r="A12">
        <v>1</v>
      </c>
      <c r="B12">
        <v>0</v>
      </c>
      <c r="C12">
        <v>9</v>
      </c>
      <c r="D12" t="s">
        <v>246</v>
      </c>
      <c r="E12">
        <v>21</v>
      </c>
      <c r="F12">
        <v>0</v>
      </c>
      <c r="G12" t="s">
        <v>318</v>
      </c>
      <c r="H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</v>
      </c>
      <c r="I12" t="str">
        <f>IF(DraftResults[[#This Row],[Player ID]]=0,"",INDEX(Table5[[#All],[Pos]],MATCH(DraftResults[[#This Row],[Player ID]],Table5[[#All],[PID]],0)))</f>
        <v/>
      </c>
      <c r="J12" t="str">
        <f>IF(DraftResults[[#This Row],[Player ID]]=0,"",INDEX(Table5[[#All],[First]],MATCH(DraftResults[[#This Row],[Player ID]],Table5[[#All],[PID]],0)))</f>
        <v/>
      </c>
      <c r="K12" t="str">
        <f>IF(DraftResults[[#This Row],[Player ID]]=0,"",INDEX(Table5[[#All],[Last]],MATCH(DraftResults[[#This Row],[Player ID]],Table5[[#All],[PID]],0)))</f>
        <v/>
      </c>
    </row>
    <row r="13" spans="1:11" x14ac:dyDescent="0.25">
      <c r="A13">
        <v>1</v>
      </c>
      <c r="B13">
        <v>0</v>
      </c>
      <c r="C13">
        <v>10</v>
      </c>
      <c r="D13" t="s">
        <v>588</v>
      </c>
      <c r="E13">
        <v>4</v>
      </c>
      <c r="F13">
        <v>0</v>
      </c>
      <c r="G13" t="s">
        <v>318</v>
      </c>
      <c r="H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</v>
      </c>
      <c r="I13" t="str">
        <f>IF(DraftResults[[#This Row],[Player ID]]=0,"",INDEX(Table5[[#All],[Pos]],MATCH(DraftResults[[#This Row],[Player ID]],Table5[[#All],[PID]],0)))</f>
        <v/>
      </c>
      <c r="J13" t="str">
        <f>IF(DraftResults[[#This Row],[Player ID]]=0,"",INDEX(Table5[[#All],[First]],MATCH(DraftResults[[#This Row],[Player ID]],Table5[[#All],[PID]],0)))</f>
        <v/>
      </c>
      <c r="K13" t="str">
        <f>IF(DraftResults[[#This Row],[Player ID]]=0,"",INDEX(Table5[[#All],[Last]],MATCH(DraftResults[[#This Row],[Player ID]],Table5[[#All],[PID]],0)))</f>
        <v/>
      </c>
    </row>
    <row r="14" spans="1:11" x14ac:dyDescent="0.25">
      <c r="A14">
        <v>1</v>
      </c>
      <c r="B14">
        <v>0</v>
      </c>
      <c r="C14">
        <v>11</v>
      </c>
      <c r="D14" t="s">
        <v>251</v>
      </c>
      <c r="E14">
        <v>3</v>
      </c>
      <c r="F14">
        <v>0</v>
      </c>
      <c r="G14" t="s">
        <v>318</v>
      </c>
      <c r="H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</v>
      </c>
      <c r="I14" t="str">
        <f>IF(DraftResults[[#This Row],[Player ID]]=0,"",INDEX(Table5[[#All],[Pos]],MATCH(DraftResults[[#This Row],[Player ID]],Table5[[#All],[PID]],0)))</f>
        <v/>
      </c>
      <c r="J14" t="str">
        <f>IF(DraftResults[[#This Row],[Player ID]]=0,"",INDEX(Table5[[#All],[First]],MATCH(DraftResults[[#This Row],[Player ID]],Table5[[#All],[PID]],0)))</f>
        <v/>
      </c>
      <c r="K14" t="str">
        <f>IF(DraftResults[[#This Row],[Player ID]]=0,"",INDEX(Table5[[#All],[Last]],MATCH(DraftResults[[#This Row],[Player ID]],Table5[[#All],[PID]],0)))</f>
        <v/>
      </c>
    </row>
    <row r="15" spans="1:11" x14ac:dyDescent="0.25">
      <c r="A15">
        <v>1</v>
      </c>
      <c r="B15">
        <v>0</v>
      </c>
      <c r="C15">
        <v>12</v>
      </c>
      <c r="D15" t="s">
        <v>257</v>
      </c>
      <c r="E15">
        <v>8</v>
      </c>
      <c r="F15">
        <v>0</v>
      </c>
      <c r="G15" t="s">
        <v>318</v>
      </c>
      <c r="H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</v>
      </c>
      <c r="I15" t="str">
        <f>IF(DraftResults[[#This Row],[Player ID]]=0,"",INDEX(Table5[[#All],[Pos]],MATCH(DraftResults[[#This Row],[Player ID]],Table5[[#All],[PID]],0)))</f>
        <v/>
      </c>
      <c r="J15" t="str">
        <f>IF(DraftResults[[#This Row],[Player ID]]=0,"",INDEX(Table5[[#All],[First]],MATCH(DraftResults[[#This Row],[Player ID]],Table5[[#All],[PID]],0)))</f>
        <v/>
      </c>
      <c r="K15" t="str">
        <f>IF(DraftResults[[#This Row],[Player ID]]=0,"",INDEX(Table5[[#All],[Last]],MATCH(DraftResults[[#This Row],[Player ID]],Table5[[#All],[PID]],0)))</f>
        <v/>
      </c>
    </row>
    <row r="16" spans="1:11" x14ac:dyDescent="0.25">
      <c r="A16">
        <v>1</v>
      </c>
      <c r="B16">
        <v>0</v>
      </c>
      <c r="C16">
        <v>13</v>
      </c>
      <c r="D16" t="s">
        <v>246</v>
      </c>
      <c r="E16">
        <v>21</v>
      </c>
      <c r="F16">
        <v>0</v>
      </c>
      <c r="G16" t="s">
        <v>318</v>
      </c>
      <c r="H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</v>
      </c>
      <c r="I16" t="str">
        <f>IF(DraftResults[[#This Row],[Player ID]]=0,"",INDEX(Table5[[#All],[Pos]],MATCH(DraftResults[[#This Row],[Player ID]],Table5[[#All],[PID]],0)))</f>
        <v/>
      </c>
      <c r="J16" t="str">
        <f>IF(DraftResults[[#This Row],[Player ID]]=0,"",INDEX(Table5[[#All],[First]],MATCH(DraftResults[[#This Row],[Player ID]],Table5[[#All],[PID]],0)))</f>
        <v/>
      </c>
      <c r="K16" t="str">
        <f>IF(DraftResults[[#This Row],[Player ID]]=0,"",INDEX(Table5[[#All],[Last]],MATCH(DraftResults[[#This Row],[Player ID]],Table5[[#All],[PID]],0)))</f>
        <v/>
      </c>
    </row>
    <row r="17" spans="1:11" x14ac:dyDescent="0.25">
      <c r="A17">
        <v>1</v>
      </c>
      <c r="B17">
        <v>0</v>
      </c>
      <c r="C17">
        <v>14</v>
      </c>
      <c r="D17" t="s">
        <v>489</v>
      </c>
      <c r="E17">
        <v>18</v>
      </c>
      <c r="F17">
        <v>0</v>
      </c>
      <c r="G17" t="s">
        <v>318</v>
      </c>
      <c r="H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</v>
      </c>
      <c r="I17" t="str">
        <f>IF(DraftResults[[#This Row],[Player ID]]=0,"",INDEX(Table5[[#All],[Pos]],MATCH(DraftResults[[#This Row],[Player ID]],Table5[[#All],[PID]],0)))</f>
        <v/>
      </c>
      <c r="J17" t="str">
        <f>IF(DraftResults[[#This Row],[Player ID]]=0,"",INDEX(Table5[[#All],[First]],MATCH(DraftResults[[#This Row],[Player ID]],Table5[[#All],[PID]],0)))</f>
        <v/>
      </c>
      <c r="K17" t="str">
        <f>IF(DraftResults[[#This Row],[Player ID]]=0,"",INDEX(Table5[[#All],[Last]],MATCH(DraftResults[[#This Row],[Player ID]],Table5[[#All],[PID]],0)))</f>
        <v/>
      </c>
    </row>
    <row r="18" spans="1:11" x14ac:dyDescent="0.25">
      <c r="A18">
        <v>1</v>
      </c>
      <c r="B18">
        <v>0</v>
      </c>
      <c r="C18">
        <v>15</v>
      </c>
      <c r="D18" t="s">
        <v>250</v>
      </c>
      <c r="E18">
        <v>10</v>
      </c>
      <c r="F18">
        <v>0</v>
      </c>
      <c r="G18" t="s">
        <v>318</v>
      </c>
      <c r="H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</v>
      </c>
      <c r="I18" t="str">
        <f>IF(DraftResults[[#This Row],[Player ID]]=0,"",INDEX(Table5[[#All],[Pos]],MATCH(DraftResults[[#This Row],[Player ID]],Table5[[#All],[PID]],0)))</f>
        <v/>
      </c>
      <c r="J18" t="str">
        <f>IF(DraftResults[[#This Row],[Player ID]]=0,"",INDEX(Table5[[#All],[First]],MATCH(DraftResults[[#This Row],[Player ID]],Table5[[#All],[PID]],0)))</f>
        <v/>
      </c>
      <c r="K18" t="str">
        <f>IF(DraftResults[[#This Row],[Player ID]]=0,"",INDEX(Table5[[#All],[Last]],MATCH(DraftResults[[#This Row],[Player ID]],Table5[[#All],[PID]],0)))</f>
        <v/>
      </c>
    </row>
    <row r="19" spans="1:11" x14ac:dyDescent="0.25">
      <c r="A19">
        <v>1</v>
      </c>
      <c r="B19">
        <v>0</v>
      </c>
      <c r="C19">
        <v>16</v>
      </c>
      <c r="D19" t="s">
        <v>482</v>
      </c>
      <c r="E19">
        <v>162</v>
      </c>
      <c r="F19">
        <v>0</v>
      </c>
      <c r="G19" t="s">
        <v>318</v>
      </c>
      <c r="H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</v>
      </c>
      <c r="I19" t="str">
        <f>IF(DraftResults[[#This Row],[Player ID]]=0,"",INDEX(Table5[[#All],[Pos]],MATCH(DraftResults[[#This Row],[Player ID]],Table5[[#All],[PID]],0)))</f>
        <v/>
      </c>
      <c r="J19" t="str">
        <f>IF(DraftResults[[#This Row],[Player ID]]=0,"",INDEX(Table5[[#All],[First]],MATCH(DraftResults[[#This Row],[Player ID]],Table5[[#All],[PID]],0)))</f>
        <v/>
      </c>
      <c r="K19" t="str">
        <f>IF(DraftResults[[#This Row],[Player ID]]=0,"",INDEX(Table5[[#All],[Last]],MATCH(DraftResults[[#This Row],[Player ID]],Table5[[#All],[PID]],0)))</f>
        <v/>
      </c>
    </row>
    <row r="20" spans="1:11" x14ac:dyDescent="0.25">
      <c r="A20">
        <v>1</v>
      </c>
      <c r="B20">
        <v>0</v>
      </c>
      <c r="C20">
        <v>17</v>
      </c>
      <c r="D20" t="s">
        <v>587</v>
      </c>
      <c r="E20">
        <v>7</v>
      </c>
      <c r="F20">
        <v>0</v>
      </c>
      <c r="G20" t="s">
        <v>318</v>
      </c>
      <c r="H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</v>
      </c>
      <c r="I20" t="str">
        <f>IF(DraftResults[[#This Row],[Player ID]]=0,"",INDEX(Table5[[#All],[Pos]],MATCH(DraftResults[[#This Row],[Player ID]],Table5[[#All],[PID]],0)))</f>
        <v/>
      </c>
      <c r="J20" t="str">
        <f>IF(DraftResults[[#This Row],[Player ID]]=0,"",INDEX(Table5[[#All],[First]],MATCH(DraftResults[[#This Row],[Player ID]],Table5[[#All],[PID]],0)))</f>
        <v/>
      </c>
      <c r="K20" t="str">
        <f>IF(DraftResults[[#This Row],[Player ID]]=0,"",INDEX(Table5[[#All],[Last]],MATCH(DraftResults[[#This Row],[Player ID]],Table5[[#All],[PID]],0)))</f>
        <v/>
      </c>
    </row>
    <row r="21" spans="1:11" x14ac:dyDescent="0.25">
      <c r="A21">
        <v>1</v>
      </c>
      <c r="B21">
        <v>0</v>
      </c>
      <c r="C21">
        <v>18</v>
      </c>
      <c r="D21" t="s">
        <v>258</v>
      </c>
      <c r="E21">
        <v>16</v>
      </c>
      <c r="F21">
        <v>0</v>
      </c>
      <c r="G21" t="s">
        <v>318</v>
      </c>
      <c r="H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</v>
      </c>
      <c r="I21" t="str">
        <f>IF(DraftResults[[#This Row],[Player ID]]=0,"",INDEX(Table5[[#All],[Pos]],MATCH(DraftResults[[#This Row],[Player ID]],Table5[[#All],[PID]],0)))</f>
        <v/>
      </c>
      <c r="J21" t="str">
        <f>IF(DraftResults[[#This Row],[Player ID]]=0,"",INDEX(Table5[[#All],[First]],MATCH(DraftResults[[#This Row],[Player ID]],Table5[[#All],[PID]],0)))</f>
        <v/>
      </c>
      <c r="K21" t="str">
        <f>IF(DraftResults[[#This Row],[Player ID]]=0,"",INDEX(Table5[[#All],[Last]],MATCH(DraftResults[[#This Row],[Player ID]],Table5[[#All],[PID]],0)))</f>
        <v/>
      </c>
    </row>
    <row r="22" spans="1:11" x14ac:dyDescent="0.25">
      <c r="A22">
        <v>1</v>
      </c>
      <c r="B22">
        <v>0</v>
      </c>
      <c r="C22">
        <v>19</v>
      </c>
      <c r="D22" t="s">
        <v>251</v>
      </c>
      <c r="E22">
        <v>3</v>
      </c>
      <c r="F22">
        <v>0</v>
      </c>
      <c r="G22" t="s">
        <v>318</v>
      </c>
      <c r="H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</v>
      </c>
      <c r="I22" t="str">
        <f>IF(DraftResults[[#This Row],[Player ID]]=0,"",INDEX(Table5[[#All],[Pos]],MATCH(DraftResults[[#This Row],[Player ID]],Table5[[#All],[PID]],0)))</f>
        <v/>
      </c>
      <c r="J22" t="str">
        <f>IF(DraftResults[[#This Row],[Player ID]]=0,"",INDEX(Table5[[#All],[First]],MATCH(DraftResults[[#This Row],[Player ID]],Table5[[#All],[PID]],0)))</f>
        <v/>
      </c>
      <c r="K22" t="str">
        <f>IF(DraftResults[[#This Row],[Player ID]]=0,"",INDEX(Table5[[#All],[Last]],MATCH(DraftResults[[#This Row],[Player ID]],Table5[[#All],[PID]],0)))</f>
        <v/>
      </c>
    </row>
    <row r="23" spans="1:11" x14ac:dyDescent="0.25">
      <c r="A23">
        <v>1</v>
      </c>
      <c r="B23">
        <v>0</v>
      </c>
      <c r="C23">
        <v>20</v>
      </c>
      <c r="D23" t="s">
        <v>694</v>
      </c>
      <c r="E23">
        <v>24</v>
      </c>
      <c r="F23">
        <v>0</v>
      </c>
      <c r="G23" t="s">
        <v>318</v>
      </c>
      <c r="H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</v>
      </c>
      <c r="I23" t="str">
        <f>IF(DraftResults[[#This Row],[Player ID]]=0,"",INDEX(Table5[[#All],[Pos]],MATCH(DraftResults[[#This Row],[Player ID]],Table5[[#All],[PID]],0)))</f>
        <v/>
      </c>
      <c r="J23" t="str">
        <f>IF(DraftResults[[#This Row],[Player ID]]=0,"",INDEX(Table5[[#All],[First]],MATCH(DraftResults[[#This Row],[Player ID]],Table5[[#All],[PID]],0)))</f>
        <v/>
      </c>
      <c r="K23" t="str">
        <f>IF(DraftResults[[#This Row],[Player ID]]=0,"",INDEX(Table5[[#All],[Last]],MATCH(DraftResults[[#This Row],[Player ID]],Table5[[#All],[PID]],0)))</f>
        <v/>
      </c>
    </row>
    <row r="24" spans="1:11" x14ac:dyDescent="0.25">
      <c r="A24">
        <v>1</v>
      </c>
      <c r="B24">
        <v>0</v>
      </c>
      <c r="C24">
        <v>21</v>
      </c>
      <c r="D24" t="s">
        <v>249</v>
      </c>
      <c r="E24">
        <v>11</v>
      </c>
      <c r="F24">
        <v>0</v>
      </c>
      <c r="G24" t="s">
        <v>318</v>
      </c>
      <c r="H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</v>
      </c>
      <c r="I24" t="str">
        <f>IF(DraftResults[[#This Row],[Player ID]]=0,"",INDEX(Table5[[#All],[Pos]],MATCH(DraftResults[[#This Row],[Player ID]],Table5[[#All],[PID]],0)))</f>
        <v/>
      </c>
      <c r="J24" t="str">
        <f>IF(DraftResults[[#This Row],[Player ID]]=0,"",INDEX(Table5[[#All],[First]],MATCH(DraftResults[[#This Row],[Player ID]],Table5[[#All],[PID]],0)))</f>
        <v/>
      </c>
      <c r="K24" t="str">
        <f>IF(DraftResults[[#This Row],[Player ID]]=0,"",INDEX(Table5[[#All],[Last]],MATCH(DraftResults[[#This Row],[Player ID]],Table5[[#All],[PID]],0)))</f>
        <v/>
      </c>
    </row>
    <row r="25" spans="1:11" x14ac:dyDescent="0.25">
      <c r="A25">
        <v>1</v>
      </c>
      <c r="B25">
        <v>0</v>
      </c>
      <c r="C25">
        <v>22</v>
      </c>
      <c r="D25" t="s">
        <v>255</v>
      </c>
      <c r="E25">
        <v>20</v>
      </c>
      <c r="F25">
        <v>0</v>
      </c>
      <c r="G25" t="s">
        <v>318</v>
      </c>
      <c r="H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</v>
      </c>
      <c r="I25" t="str">
        <f>IF(DraftResults[[#This Row],[Player ID]]=0,"",INDEX(Table5[[#All],[Pos]],MATCH(DraftResults[[#This Row],[Player ID]],Table5[[#All],[PID]],0)))</f>
        <v/>
      </c>
      <c r="J25" t="str">
        <f>IF(DraftResults[[#This Row],[Player ID]]=0,"",INDEX(Table5[[#All],[First]],MATCH(DraftResults[[#This Row],[Player ID]],Table5[[#All],[PID]],0)))</f>
        <v/>
      </c>
      <c r="K25" t="str">
        <f>IF(DraftResults[[#This Row],[Player ID]]=0,"",INDEX(Table5[[#All],[Last]],MATCH(DraftResults[[#This Row],[Player ID]],Table5[[#All],[PID]],0)))</f>
        <v/>
      </c>
    </row>
    <row r="26" spans="1:11" x14ac:dyDescent="0.25">
      <c r="A26">
        <v>1</v>
      </c>
      <c r="B26">
        <v>0</v>
      </c>
      <c r="C26">
        <v>23</v>
      </c>
      <c r="D26" t="s">
        <v>485</v>
      </c>
      <c r="E26">
        <v>166</v>
      </c>
      <c r="F26">
        <v>0</v>
      </c>
      <c r="G26" t="s">
        <v>318</v>
      </c>
      <c r="H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</v>
      </c>
      <c r="I26" t="str">
        <f>IF(DraftResults[[#This Row],[Player ID]]=0,"",INDEX(Table5[[#All],[Pos]],MATCH(DraftResults[[#This Row],[Player ID]],Table5[[#All],[PID]],0)))</f>
        <v/>
      </c>
      <c r="J26" t="str">
        <f>IF(DraftResults[[#This Row],[Player ID]]=0,"",INDEX(Table5[[#All],[First]],MATCH(DraftResults[[#This Row],[Player ID]],Table5[[#All],[PID]],0)))</f>
        <v/>
      </c>
      <c r="K26" t="str">
        <f>IF(DraftResults[[#This Row],[Player ID]]=0,"",INDEX(Table5[[#All],[Last]],MATCH(DraftResults[[#This Row],[Player ID]],Table5[[#All],[PID]],0)))</f>
        <v/>
      </c>
    </row>
    <row r="27" spans="1:11" x14ac:dyDescent="0.25">
      <c r="A27">
        <v>1</v>
      </c>
      <c r="B27">
        <v>0</v>
      </c>
      <c r="C27">
        <v>24</v>
      </c>
      <c r="D27" t="s">
        <v>257</v>
      </c>
      <c r="E27">
        <v>8</v>
      </c>
      <c r="F27">
        <v>0</v>
      </c>
      <c r="G27" t="s">
        <v>318</v>
      </c>
      <c r="H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</v>
      </c>
      <c r="I27" t="str">
        <f>IF(DraftResults[[#This Row],[Player ID]]=0,"",INDEX(Table5[[#All],[Pos]],MATCH(DraftResults[[#This Row],[Player ID]],Table5[[#All],[PID]],0)))</f>
        <v/>
      </c>
      <c r="J27" t="str">
        <f>IF(DraftResults[[#This Row],[Player ID]]=0,"",INDEX(Table5[[#All],[First]],MATCH(DraftResults[[#This Row],[Player ID]],Table5[[#All],[PID]],0)))</f>
        <v/>
      </c>
      <c r="K27" t="str">
        <f>IF(DraftResults[[#This Row],[Player ID]]=0,"",INDEX(Table5[[#All],[Last]],MATCH(DraftResults[[#This Row],[Player ID]],Table5[[#All],[PID]],0)))</f>
        <v/>
      </c>
    </row>
    <row r="28" spans="1:11" ht="15.75" customHeight="1" x14ac:dyDescent="0.25">
      <c r="A28">
        <v>1</v>
      </c>
      <c r="B28">
        <v>0</v>
      </c>
      <c r="C28">
        <v>25</v>
      </c>
      <c r="D28" t="s">
        <v>588</v>
      </c>
      <c r="E28">
        <v>4</v>
      </c>
      <c r="F28">
        <v>0</v>
      </c>
      <c r="G28" t="s">
        <v>318</v>
      </c>
      <c r="H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</v>
      </c>
      <c r="I28" t="str">
        <f>IF(DraftResults[[#This Row],[Player ID]]=0,"",INDEX(Table5[[#All],[Pos]],MATCH(DraftResults[[#This Row],[Player ID]],Table5[[#All],[PID]],0)))</f>
        <v/>
      </c>
      <c r="J28" t="str">
        <f>IF(DraftResults[[#This Row],[Player ID]]=0,"",INDEX(Table5[[#All],[First]],MATCH(DraftResults[[#This Row],[Player ID]],Table5[[#All],[PID]],0)))</f>
        <v/>
      </c>
      <c r="K28" t="str">
        <f>IF(DraftResults[[#This Row],[Player ID]]=0,"",INDEX(Table5[[#All],[Last]],MATCH(DraftResults[[#This Row],[Player ID]],Table5[[#All],[PID]],0)))</f>
        <v/>
      </c>
    </row>
    <row r="29" spans="1:11" x14ac:dyDescent="0.25">
      <c r="A29">
        <v>1</v>
      </c>
      <c r="B29">
        <v>0</v>
      </c>
      <c r="C29">
        <v>26</v>
      </c>
      <c r="D29" t="s">
        <v>694</v>
      </c>
      <c r="E29">
        <v>24</v>
      </c>
      <c r="F29">
        <v>0</v>
      </c>
      <c r="G29" t="s">
        <v>318</v>
      </c>
      <c r="H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</v>
      </c>
      <c r="I29" t="str">
        <f>IF(DraftResults[[#This Row],[Player ID]]=0,"",INDEX(Table5[[#All],[Pos]],MATCH(DraftResults[[#This Row],[Player ID]],Table5[[#All],[PID]],0)))</f>
        <v/>
      </c>
      <c r="J29" t="str">
        <f>IF(DraftResults[[#This Row],[Player ID]]=0,"",INDEX(Table5[[#All],[First]],MATCH(DraftResults[[#This Row],[Player ID]],Table5[[#All],[PID]],0)))</f>
        <v/>
      </c>
      <c r="K29" t="str">
        <f>IF(DraftResults[[#This Row],[Player ID]]=0,"",INDEX(Table5[[#All],[Last]],MATCH(DraftResults[[#This Row],[Player ID]],Table5[[#All],[PID]],0)))</f>
        <v/>
      </c>
    </row>
    <row r="30" spans="1:11" x14ac:dyDescent="0.25">
      <c r="A30">
        <v>1</v>
      </c>
      <c r="B30">
        <v>0</v>
      </c>
      <c r="C30">
        <v>27</v>
      </c>
      <c r="D30" t="s">
        <v>697</v>
      </c>
      <c r="E30">
        <v>23</v>
      </c>
      <c r="F30">
        <v>0</v>
      </c>
      <c r="G30" t="s">
        <v>318</v>
      </c>
      <c r="H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</v>
      </c>
      <c r="I30" t="str">
        <f>IF(DraftResults[[#This Row],[Player ID]]=0,"",INDEX(Table5[[#All],[Pos]],MATCH(DraftResults[[#This Row],[Player ID]],Table5[[#All],[PID]],0)))</f>
        <v/>
      </c>
      <c r="J30" t="str">
        <f>IF(DraftResults[[#This Row],[Player ID]]=0,"",INDEX(Table5[[#All],[First]],MATCH(DraftResults[[#This Row],[Player ID]],Table5[[#All],[PID]],0)))</f>
        <v/>
      </c>
      <c r="K30" t="str">
        <f>IF(DraftResults[[#This Row],[Player ID]]=0,"",INDEX(Table5[[#All],[Last]],MATCH(DraftResults[[#This Row],[Player ID]],Table5[[#All],[PID]],0)))</f>
        <v/>
      </c>
    </row>
    <row r="31" spans="1:11" x14ac:dyDescent="0.25">
      <c r="A31">
        <v>1</v>
      </c>
      <c r="B31">
        <v>0</v>
      </c>
      <c r="C31">
        <v>28</v>
      </c>
      <c r="D31" t="s">
        <v>694</v>
      </c>
      <c r="E31">
        <v>24</v>
      </c>
      <c r="F31">
        <v>0</v>
      </c>
      <c r="G31" t="s">
        <v>318</v>
      </c>
      <c r="H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</v>
      </c>
      <c r="I31" t="str">
        <f>IF(DraftResults[[#This Row],[Player ID]]=0,"",INDEX(Table5[[#All],[Pos]],MATCH(DraftResults[[#This Row],[Player ID]],Table5[[#All],[PID]],0)))</f>
        <v/>
      </c>
      <c r="J31" t="str">
        <f>IF(DraftResults[[#This Row],[Player ID]]=0,"",INDEX(Table5[[#All],[First]],MATCH(DraftResults[[#This Row],[Player ID]],Table5[[#All],[PID]],0)))</f>
        <v/>
      </c>
      <c r="K31" t="str">
        <f>IF(DraftResults[[#This Row],[Player ID]]=0,"",INDEX(Table5[[#All],[Last]],MATCH(DraftResults[[#This Row],[Player ID]],Table5[[#All],[PID]],0)))</f>
        <v/>
      </c>
    </row>
    <row r="32" spans="1:11" x14ac:dyDescent="0.25">
      <c r="A32">
        <v>1</v>
      </c>
      <c r="B32">
        <v>1</v>
      </c>
      <c r="C32">
        <v>1</v>
      </c>
      <c r="D32" t="s">
        <v>250</v>
      </c>
      <c r="E32">
        <v>10</v>
      </c>
      <c r="F32">
        <v>0</v>
      </c>
      <c r="G32" t="s">
        <v>318</v>
      </c>
      <c r="H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</v>
      </c>
      <c r="I32" t="str">
        <f>IF(DraftResults[[#This Row],[Player ID]]=0,"",INDEX(Table5[[#All],[Pos]],MATCH(DraftResults[[#This Row],[Player ID]],Table5[[#All],[PID]],0)))</f>
        <v/>
      </c>
      <c r="J32" t="str">
        <f>IF(DraftResults[[#This Row],[Player ID]]=0,"",INDEX(Table5[[#All],[First]],MATCH(DraftResults[[#This Row],[Player ID]],Table5[[#All],[PID]],0)))</f>
        <v/>
      </c>
      <c r="K32" t="str">
        <f>IF(DraftResults[[#This Row],[Player ID]]=0,"",INDEX(Table5[[#All],[Last]],MATCH(DraftResults[[#This Row],[Player ID]],Table5[[#All],[PID]],0)))</f>
        <v/>
      </c>
    </row>
    <row r="33" spans="1:11" x14ac:dyDescent="0.25">
      <c r="A33">
        <v>1</v>
      </c>
      <c r="B33">
        <v>1</v>
      </c>
      <c r="C33">
        <v>2</v>
      </c>
      <c r="D33" t="s">
        <v>489</v>
      </c>
      <c r="E33">
        <v>18</v>
      </c>
      <c r="F33">
        <v>0</v>
      </c>
      <c r="G33" t="s">
        <v>318</v>
      </c>
      <c r="H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</v>
      </c>
      <c r="I33" t="str">
        <f>IF(DraftResults[[#This Row],[Player ID]]=0,"",INDEX(Table5[[#All],[Pos]],MATCH(DraftResults[[#This Row],[Player ID]],Table5[[#All],[PID]],0)))</f>
        <v/>
      </c>
      <c r="J33" t="str">
        <f>IF(DraftResults[[#This Row],[Player ID]]=0,"",INDEX(Table5[[#All],[First]],MATCH(DraftResults[[#This Row],[Player ID]],Table5[[#All],[PID]],0)))</f>
        <v/>
      </c>
      <c r="K33" t="str">
        <f>IF(DraftResults[[#This Row],[Player ID]]=0,"",INDEX(Table5[[#All],[Last]],MATCH(DraftResults[[#This Row],[Player ID]],Table5[[#All],[PID]],0)))</f>
        <v/>
      </c>
    </row>
    <row r="34" spans="1:11" x14ac:dyDescent="0.25">
      <c r="A34">
        <v>1</v>
      </c>
      <c r="B34">
        <v>1</v>
      </c>
      <c r="C34">
        <v>3</v>
      </c>
      <c r="D34" t="s">
        <v>482</v>
      </c>
      <c r="E34">
        <v>162</v>
      </c>
      <c r="F34">
        <v>0</v>
      </c>
      <c r="G34" t="s">
        <v>318</v>
      </c>
      <c r="H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</v>
      </c>
      <c r="I34" t="str">
        <f>IF(DraftResults[[#This Row],[Player ID]]=0,"",INDEX(Table5[[#All],[Pos]],MATCH(DraftResults[[#This Row],[Player ID]],Table5[[#All],[PID]],0)))</f>
        <v/>
      </c>
      <c r="J34" t="str">
        <f>IF(DraftResults[[#This Row],[Player ID]]=0,"",INDEX(Table5[[#All],[First]],MATCH(DraftResults[[#This Row],[Player ID]],Table5[[#All],[PID]],0)))</f>
        <v/>
      </c>
      <c r="K34" t="str">
        <f>IF(DraftResults[[#This Row],[Player ID]]=0,"",INDEX(Table5[[#All],[Last]],MATCH(DraftResults[[#This Row],[Player ID]],Table5[[#All],[PID]],0)))</f>
        <v/>
      </c>
    </row>
    <row r="35" spans="1:11" x14ac:dyDescent="0.25">
      <c r="A35">
        <v>1</v>
      </c>
      <c r="B35">
        <v>1</v>
      </c>
      <c r="C35">
        <v>4</v>
      </c>
      <c r="D35" t="s">
        <v>258</v>
      </c>
      <c r="E35">
        <v>16</v>
      </c>
      <c r="F35">
        <v>0</v>
      </c>
      <c r="G35" t="s">
        <v>318</v>
      </c>
      <c r="H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</v>
      </c>
      <c r="I35" t="str">
        <f>IF(DraftResults[[#This Row],[Player ID]]=0,"",INDEX(Table5[[#All],[Pos]],MATCH(DraftResults[[#This Row],[Player ID]],Table5[[#All],[PID]],0)))</f>
        <v/>
      </c>
      <c r="J35" t="str">
        <f>IF(DraftResults[[#This Row],[Player ID]]=0,"",INDEX(Table5[[#All],[First]],MATCH(DraftResults[[#This Row],[Player ID]],Table5[[#All],[PID]],0)))</f>
        <v/>
      </c>
      <c r="K35" t="str">
        <f>IF(DraftResults[[#This Row],[Player ID]]=0,"",INDEX(Table5[[#All],[Last]],MATCH(DraftResults[[#This Row],[Player ID]],Table5[[#All],[PID]],0)))</f>
        <v/>
      </c>
    </row>
    <row r="36" spans="1:11" x14ac:dyDescent="0.25">
      <c r="A36">
        <v>1</v>
      </c>
      <c r="B36">
        <v>1</v>
      </c>
      <c r="C36">
        <v>5</v>
      </c>
      <c r="D36" t="s">
        <v>483</v>
      </c>
      <c r="E36">
        <v>2</v>
      </c>
      <c r="F36">
        <v>0</v>
      </c>
      <c r="G36" t="s">
        <v>318</v>
      </c>
      <c r="H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</v>
      </c>
      <c r="I36" t="str">
        <f>IF(DraftResults[[#This Row],[Player ID]]=0,"",INDEX(Table5[[#All],[Pos]],MATCH(DraftResults[[#This Row],[Player ID]],Table5[[#All],[PID]],0)))</f>
        <v/>
      </c>
      <c r="J36" t="str">
        <f>IF(DraftResults[[#This Row],[Player ID]]=0,"",INDEX(Table5[[#All],[First]],MATCH(DraftResults[[#This Row],[Player ID]],Table5[[#All],[PID]],0)))</f>
        <v/>
      </c>
      <c r="K36" t="str">
        <f>IF(DraftResults[[#This Row],[Player ID]]=0,"",INDEX(Table5[[#All],[Last]],MATCH(DraftResults[[#This Row],[Player ID]],Table5[[#All],[PID]],0)))</f>
        <v/>
      </c>
    </row>
    <row r="37" spans="1:11" x14ac:dyDescent="0.25">
      <c r="A37">
        <v>1</v>
      </c>
      <c r="B37">
        <v>1</v>
      </c>
      <c r="C37">
        <v>6</v>
      </c>
      <c r="D37" t="s">
        <v>243</v>
      </c>
      <c r="E37">
        <v>19</v>
      </c>
      <c r="F37">
        <v>0</v>
      </c>
      <c r="G37" t="s">
        <v>318</v>
      </c>
      <c r="H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</v>
      </c>
      <c r="I37" t="str">
        <f>IF(DraftResults[[#This Row],[Player ID]]=0,"",INDEX(Table5[[#All],[Pos]],MATCH(DraftResults[[#This Row],[Player ID]],Table5[[#All],[PID]],0)))</f>
        <v/>
      </c>
      <c r="J37" t="str">
        <f>IF(DraftResults[[#This Row],[Player ID]]=0,"",INDEX(Table5[[#All],[First]],MATCH(DraftResults[[#This Row],[Player ID]],Table5[[#All],[PID]],0)))</f>
        <v/>
      </c>
      <c r="K37" t="str">
        <f>IF(DraftResults[[#This Row],[Player ID]]=0,"",INDEX(Table5[[#All],[Last]],MATCH(DraftResults[[#This Row],[Player ID]],Table5[[#All],[PID]],0)))</f>
        <v/>
      </c>
    </row>
    <row r="38" spans="1:11" x14ac:dyDescent="0.25">
      <c r="A38">
        <v>1</v>
      </c>
      <c r="B38">
        <v>1</v>
      </c>
      <c r="C38">
        <v>7</v>
      </c>
      <c r="D38" t="s">
        <v>255</v>
      </c>
      <c r="E38">
        <v>20</v>
      </c>
      <c r="F38">
        <v>0</v>
      </c>
      <c r="G38" t="s">
        <v>318</v>
      </c>
      <c r="H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</v>
      </c>
      <c r="I38" t="str">
        <f>IF(DraftResults[[#This Row],[Player ID]]=0,"",INDEX(Table5[[#All],[Pos]],MATCH(DraftResults[[#This Row],[Player ID]],Table5[[#All],[PID]],0)))</f>
        <v/>
      </c>
      <c r="J38" t="str">
        <f>IF(DraftResults[[#This Row],[Player ID]]=0,"",INDEX(Table5[[#All],[First]],MATCH(DraftResults[[#This Row],[Player ID]],Table5[[#All],[PID]],0)))</f>
        <v/>
      </c>
      <c r="K38" t="str">
        <f>IF(DraftResults[[#This Row],[Player ID]]=0,"",INDEX(Table5[[#All],[Last]],MATCH(DraftResults[[#This Row],[Player ID]],Table5[[#All],[PID]],0)))</f>
        <v/>
      </c>
    </row>
    <row r="39" spans="1:11" x14ac:dyDescent="0.25">
      <c r="A39">
        <v>1</v>
      </c>
      <c r="B39">
        <v>1</v>
      </c>
      <c r="C39">
        <v>8</v>
      </c>
      <c r="D39" t="s">
        <v>488</v>
      </c>
      <c r="E39">
        <v>161</v>
      </c>
      <c r="F39">
        <v>0</v>
      </c>
      <c r="G39" t="s">
        <v>318</v>
      </c>
      <c r="H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</v>
      </c>
      <c r="I39" t="str">
        <f>IF(DraftResults[[#This Row],[Player ID]]=0,"",INDEX(Table5[[#All],[Pos]],MATCH(DraftResults[[#This Row],[Player ID]],Table5[[#All],[PID]],0)))</f>
        <v/>
      </c>
      <c r="J39" t="str">
        <f>IF(DraftResults[[#This Row],[Player ID]]=0,"",INDEX(Table5[[#All],[First]],MATCH(DraftResults[[#This Row],[Player ID]],Table5[[#All],[PID]],0)))</f>
        <v/>
      </c>
      <c r="K39" t="str">
        <f>IF(DraftResults[[#This Row],[Player ID]]=0,"",INDEX(Table5[[#All],[Last]],MATCH(DraftResults[[#This Row],[Player ID]],Table5[[#All],[PID]],0)))</f>
        <v/>
      </c>
    </row>
    <row r="40" spans="1:11" ht="15.75" customHeight="1" x14ac:dyDescent="0.25">
      <c r="A40">
        <v>1</v>
      </c>
      <c r="B40">
        <v>1</v>
      </c>
      <c r="C40">
        <v>9</v>
      </c>
      <c r="D40" t="s">
        <v>698</v>
      </c>
      <c r="E40">
        <v>9</v>
      </c>
      <c r="F40">
        <v>0</v>
      </c>
      <c r="G40" t="s">
        <v>318</v>
      </c>
      <c r="H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</v>
      </c>
      <c r="I40" t="str">
        <f>IF(DraftResults[[#This Row],[Player ID]]=0,"",INDEX(Table5[[#All],[Pos]],MATCH(DraftResults[[#This Row],[Player ID]],Table5[[#All],[PID]],0)))</f>
        <v/>
      </c>
      <c r="J40" t="str">
        <f>IF(DraftResults[[#This Row],[Player ID]]=0,"",INDEX(Table5[[#All],[First]],MATCH(DraftResults[[#This Row],[Player ID]],Table5[[#All],[PID]],0)))</f>
        <v/>
      </c>
      <c r="K40" t="str">
        <f>IF(DraftResults[[#This Row],[Player ID]]=0,"",INDEX(Table5[[#All],[Last]],MATCH(DraftResults[[#This Row],[Player ID]],Table5[[#All],[PID]],0)))</f>
        <v/>
      </c>
    </row>
    <row r="41" spans="1:11" x14ac:dyDescent="0.25">
      <c r="A41">
        <v>1</v>
      </c>
      <c r="B41">
        <v>1</v>
      </c>
      <c r="C41">
        <v>10</v>
      </c>
      <c r="D41" t="s">
        <v>486</v>
      </c>
      <c r="E41">
        <v>159</v>
      </c>
      <c r="F41">
        <v>0</v>
      </c>
      <c r="G41" t="s">
        <v>318</v>
      </c>
      <c r="H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</v>
      </c>
      <c r="I41" t="str">
        <f>IF(DraftResults[[#This Row],[Player ID]]=0,"",INDEX(Table5[[#All],[Pos]],MATCH(DraftResults[[#This Row],[Player ID]],Table5[[#All],[PID]],0)))</f>
        <v/>
      </c>
      <c r="J41" t="str">
        <f>IF(DraftResults[[#This Row],[Player ID]]=0,"",INDEX(Table5[[#All],[First]],MATCH(DraftResults[[#This Row],[Player ID]],Table5[[#All],[PID]],0)))</f>
        <v/>
      </c>
      <c r="K41" t="str">
        <f>IF(DraftResults[[#This Row],[Player ID]]=0,"",INDEX(Table5[[#All],[Last]],MATCH(DraftResults[[#This Row],[Player ID]],Table5[[#All],[PID]],0)))</f>
        <v/>
      </c>
    </row>
    <row r="42" spans="1:11" x14ac:dyDescent="0.25">
      <c r="A42">
        <v>1</v>
      </c>
      <c r="B42">
        <v>1</v>
      </c>
      <c r="C42">
        <v>11</v>
      </c>
      <c r="D42" t="s">
        <v>249</v>
      </c>
      <c r="E42">
        <v>11</v>
      </c>
      <c r="F42">
        <v>0</v>
      </c>
      <c r="G42" t="s">
        <v>318</v>
      </c>
      <c r="H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</v>
      </c>
      <c r="I42" t="str">
        <f>IF(DraftResults[[#This Row],[Player ID]]=0,"",INDEX(Table5[[#All],[Pos]],MATCH(DraftResults[[#This Row],[Player ID]],Table5[[#All],[PID]],0)))</f>
        <v/>
      </c>
      <c r="J42" t="str">
        <f>IF(DraftResults[[#This Row],[Player ID]]=0,"",INDEX(Table5[[#All],[First]],MATCH(DraftResults[[#This Row],[Player ID]],Table5[[#All],[PID]],0)))</f>
        <v/>
      </c>
      <c r="K42" t="str">
        <f>IF(DraftResults[[#This Row],[Player ID]]=0,"",INDEX(Table5[[#All],[Last]],MATCH(DraftResults[[#This Row],[Player ID]],Table5[[#All],[PID]],0)))</f>
        <v/>
      </c>
    </row>
    <row r="43" spans="1:11" x14ac:dyDescent="0.25">
      <c r="A43">
        <v>1</v>
      </c>
      <c r="B43">
        <v>1</v>
      </c>
      <c r="C43">
        <v>12</v>
      </c>
      <c r="D43" t="s">
        <v>483</v>
      </c>
      <c r="E43">
        <v>2</v>
      </c>
      <c r="F43">
        <v>0</v>
      </c>
      <c r="G43" t="s">
        <v>318</v>
      </c>
      <c r="H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</v>
      </c>
      <c r="I43" t="str">
        <f>IF(DraftResults[[#This Row],[Player ID]]=0,"",INDEX(Table5[[#All],[Pos]],MATCH(DraftResults[[#This Row],[Player ID]],Table5[[#All],[PID]],0)))</f>
        <v/>
      </c>
      <c r="J43" t="str">
        <f>IF(DraftResults[[#This Row],[Player ID]]=0,"",INDEX(Table5[[#All],[First]],MATCH(DraftResults[[#This Row],[Player ID]],Table5[[#All],[PID]],0)))</f>
        <v/>
      </c>
      <c r="K43" t="str">
        <f>IF(DraftResults[[#This Row],[Player ID]]=0,"",INDEX(Table5[[#All],[Last]],MATCH(DraftResults[[#This Row],[Player ID]],Table5[[#All],[PID]],0)))</f>
        <v/>
      </c>
    </row>
    <row r="44" spans="1:11" x14ac:dyDescent="0.25">
      <c r="A44">
        <v>1</v>
      </c>
      <c r="B44">
        <v>1</v>
      </c>
      <c r="C44">
        <v>13</v>
      </c>
      <c r="D44" t="s">
        <v>488</v>
      </c>
      <c r="E44">
        <v>161</v>
      </c>
      <c r="F44">
        <v>0</v>
      </c>
      <c r="G44" t="s">
        <v>318</v>
      </c>
      <c r="H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</v>
      </c>
      <c r="I44" t="str">
        <f>IF(DraftResults[[#This Row],[Player ID]]=0,"",INDEX(Table5[[#All],[Pos]],MATCH(DraftResults[[#This Row],[Player ID]],Table5[[#All],[PID]],0)))</f>
        <v/>
      </c>
      <c r="J44" t="str">
        <f>IF(DraftResults[[#This Row],[Player ID]]=0,"",INDEX(Table5[[#All],[First]],MATCH(DraftResults[[#This Row],[Player ID]],Table5[[#All],[PID]],0)))</f>
        <v/>
      </c>
      <c r="K44" t="str">
        <f>IF(DraftResults[[#This Row],[Player ID]]=0,"",INDEX(Table5[[#All],[Last]],MATCH(DraftResults[[#This Row],[Player ID]],Table5[[#All],[PID]],0)))</f>
        <v/>
      </c>
    </row>
    <row r="45" spans="1:11" x14ac:dyDescent="0.25">
      <c r="A45">
        <v>2</v>
      </c>
      <c r="B45">
        <v>0</v>
      </c>
      <c r="C45">
        <v>1</v>
      </c>
      <c r="D45" t="s">
        <v>694</v>
      </c>
      <c r="E45">
        <v>24</v>
      </c>
      <c r="F45">
        <v>0</v>
      </c>
      <c r="G45" t="s">
        <v>318</v>
      </c>
      <c r="H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</v>
      </c>
      <c r="I45" t="str">
        <f>IF(DraftResults[[#This Row],[Player ID]]=0,"",INDEX(Table5[[#All],[Pos]],MATCH(DraftResults[[#This Row],[Player ID]],Table5[[#All],[PID]],0)))</f>
        <v/>
      </c>
      <c r="J45" t="str">
        <f>IF(DraftResults[[#This Row],[Player ID]]=0,"",INDEX(Table5[[#All],[First]],MATCH(DraftResults[[#This Row],[Player ID]],Table5[[#All],[PID]],0)))</f>
        <v/>
      </c>
      <c r="K45" t="str">
        <f>IF(DraftResults[[#This Row],[Player ID]]=0,"",INDEX(Table5[[#All],[Last]],MATCH(DraftResults[[#This Row],[Player ID]],Table5[[#All],[PID]],0)))</f>
        <v/>
      </c>
    </row>
    <row r="46" spans="1:11" x14ac:dyDescent="0.25">
      <c r="A46">
        <v>2</v>
      </c>
      <c r="B46">
        <v>0</v>
      </c>
      <c r="C46">
        <v>2</v>
      </c>
      <c r="D46" t="s">
        <v>694</v>
      </c>
      <c r="E46">
        <v>24</v>
      </c>
      <c r="F46">
        <v>0</v>
      </c>
      <c r="G46" t="s">
        <v>318</v>
      </c>
      <c r="H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</v>
      </c>
      <c r="I46" t="str">
        <f>IF(DraftResults[[#This Row],[Player ID]]=0,"",INDEX(Table5[[#All],[Pos]],MATCH(DraftResults[[#This Row],[Player ID]],Table5[[#All],[PID]],0)))</f>
        <v/>
      </c>
      <c r="J46" t="str">
        <f>IF(DraftResults[[#This Row],[Player ID]]=0,"",INDEX(Table5[[#All],[First]],MATCH(DraftResults[[#This Row],[Player ID]],Table5[[#All],[PID]],0)))</f>
        <v/>
      </c>
      <c r="K46" t="str">
        <f>IF(DraftResults[[#This Row],[Player ID]]=0,"",INDEX(Table5[[#All],[Last]],MATCH(DraftResults[[#This Row],[Player ID]],Table5[[#All],[PID]],0)))</f>
        <v/>
      </c>
    </row>
    <row r="47" spans="1:11" x14ac:dyDescent="0.25">
      <c r="A47">
        <v>2</v>
      </c>
      <c r="B47">
        <v>0</v>
      </c>
      <c r="C47">
        <v>3</v>
      </c>
      <c r="D47" t="s">
        <v>697</v>
      </c>
      <c r="E47">
        <v>23</v>
      </c>
      <c r="F47">
        <v>0</v>
      </c>
      <c r="G47" t="s">
        <v>318</v>
      </c>
      <c r="H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</v>
      </c>
      <c r="I47" t="str">
        <f>IF(DraftResults[[#This Row],[Player ID]]=0,"",INDEX(Table5[[#All],[Pos]],MATCH(DraftResults[[#This Row],[Player ID]],Table5[[#All],[PID]],0)))</f>
        <v/>
      </c>
      <c r="J47" t="str">
        <f>IF(DraftResults[[#This Row],[Player ID]]=0,"",INDEX(Table5[[#All],[First]],MATCH(DraftResults[[#This Row],[Player ID]],Table5[[#All],[PID]],0)))</f>
        <v/>
      </c>
      <c r="K47" t="str">
        <f>IF(DraftResults[[#This Row],[Player ID]]=0,"",INDEX(Table5[[#All],[Last]],MATCH(DraftResults[[#This Row],[Player ID]],Table5[[#All],[PID]],0)))</f>
        <v/>
      </c>
    </row>
    <row r="48" spans="1:11" x14ac:dyDescent="0.25">
      <c r="A48">
        <v>2</v>
      </c>
      <c r="B48">
        <v>0</v>
      </c>
      <c r="C48">
        <v>4</v>
      </c>
      <c r="D48" t="s">
        <v>252</v>
      </c>
      <c r="E48">
        <v>1</v>
      </c>
      <c r="F48">
        <v>0</v>
      </c>
      <c r="G48" t="s">
        <v>318</v>
      </c>
      <c r="H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</v>
      </c>
      <c r="I48" t="str">
        <f>IF(DraftResults[[#This Row],[Player ID]]=0,"",INDEX(Table5[[#All],[Pos]],MATCH(DraftResults[[#This Row],[Player ID]],Table5[[#All],[PID]],0)))</f>
        <v/>
      </c>
      <c r="J48" t="str">
        <f>IF(DraftResults[[#This Row],[Player ID]]=0,"",INDEX(Table5[[#All],[First]],MATCH(DraftResults[[#This Row],[Player ID]],Table5[[#All],[PID]],0)))</f>
        <v/>
      </c>
      <c r="K48" t="str">
        <f>IF(DraftResults[[#This Row],[Player ID]]=0,"",INDEX(Table5[[#All],[Last]],MATCH(DraftResults[[#This Row],[Player ID]],Table5[[#All],[PID]],0)))</f>
        <v/>
      </c>
    </row>
    <row r="49" spans="1:11" x14ac:dyDescent="0.25">
      <c r="A49">
        <v>2</v>
      </c>
      <c r="B49">
        <v>0</v>
      </c>
      <c r="C49">
        <v>5</v>
      </c>
      <c r="D49" t="s">
        <v>484</v>
      </c>
      <c r="E49">
        <v>164</v>
      </c>
      <c r="F49">
        <v>0</v>
      </c>
      <c r="G49" t="s">
        <v>318</v>
      </c>
      <c r="H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</v>
      </c>
      <c r="I49" t="str">
        <f>IF(DraftResults[[#This Row],[Player ID]]=0,"",INDEX(Table5[[#All],[Pos]],MATCH(DraftResults[[#This Row],[Player ID]],Table5[[#All],[PID]],0)))</f>
        <v/>
      </c>
      <c r="J49" t="str">
        <f>IF(DraftResults[[#This Row],[Player ID]]=0,"",INDEX(Table5[[#All],[First]],MATCH(DraftResults[[#This Row],[Player ID]],Table5[[#All],[PID]],0)))</f>
        <v/>
      </c>
      <c r="K49" t="str">
        <f>IF(DraftResults[[#This Row],[Player ID]]=0,"",INDEX(Table5[[#All],[Last]],MATCH(DraftResults[[#This Row],[Player ID]],Table5[[#All],[PID]],0)))</f>
        <v/>
      </c>
    </row>
    <row r="50" spans="1:11" x14ac:dyDescent="0.25">
      <c r="A50">
        <v>2</v>
      </c>
      <c r="B50">
        <v>0</v>
      </c>
      <c r="C50">
        <v>6</v>
      </c>
      <c r="D50" t="s">
        <v>694</v>
      </c>
      <c r="E50">
        <v>24</v>
      </c>
      <c r="F50">
        <v>0</v>
      </c>
      <c r="G50" t="s">
        <v>318</v>
      </c>
      <c r="H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</v>
      </c>
      <c r="I50" t="str">
        <f>IF(DraftResults[[#This Row],[Player ID]]=0,"",INDEX(Table5[[#All],[Pos]],MATCH(DraftResults[[#This Row],[Player ID]],Table5[[#All],[PID]],0)))</f>
        <v/>
      </c>
      <c r="J50" t="str">
        <f>IF(DraftResults[[#This Row],[Player ID]]=0,"",INDEX(Table5[[#All],[First]],MATCH(DraftResults[[#This Row],[Player ID]],Table5[[#All],[PID]],0)))</f>
        <v/>
      </c>
      <c r="K50" t="str">
        <f>IF(DraftResults[[#This Row],[Player ID]]=0,"",INDEX(Table5[[#All],[Last]],MATCH(DraftResults[[#This Row],[Player ID]],Table5[[#All],[PID]],0)))</f>
        <v/>
      </c>
    </row>
    <row r="51" spans="1:11" x14ac:dyDescent="0.25">
      <c r="A51">
        <v>2</v>
      </c>
      <c r="B51">
        <v>0</v>
      </c>
      <c r="C51">
        <v>7</v>
      </c>
      <c r="D51" t="s">
        <v>588</v>
      </c>
      <c r="E51">
        <v>4</v>
      </c>
      <c r="F51">
        <v>0</v>
      </c>
      <c r="G51" t="s">
        <v>318</v>
      </c>
      <c r="H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</v>
      </c>
      <c r="I51" t="str">
        <f>IF(DraftResults[[#This Row],[Player ID]]=0,"",INDEX(Table5[[#All],[Pos]],MATCH(DraftResults[[#This Row],[Player ID]],Table5[[#All],[PID]],0)))</f>
        <v/>
      </c>
      <c r="J51" t="str">
        <f>IF(DraftResults[[#This Row],[Player ID]]=0,"",INDEX(Table5[[#All],[First]],MATCH(DraftResults[[#This Row],[Player ID]],Table5[[#All],[PID]],0)))</f>
        <v/>
      </c>
      <c r="K51" t="str">
        <f>IF(DraftResults[[#This Row],[Player ID]]=0,"",INDEX(Table5[[#All],[Last]],MATCH(DraftResults[[#This Row],[Player ID]],Table5[[#All],[PID]],0)))</f>
        <v/>
      </c>
    </row>
    <row r="52" spans="1:11" x14ac:dyDescent="0.25">
      <c r="A52">
        <v>2</v>
      </c>
      <c r="B52">
        <v>0</v>
      </c>
      <c r="C52">
        <v>8</v>
      </c>
      <c r="D52" t="s">
        <v>587</v>
      </c>
      <c r="E52">
        <v>7</v>
      </c>
      <c r="F52">
        <v>0</v>
      </c>
      <c r="G52" t="s">
        <v>318</v>
      </c>
      <c r="H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</v>
      </c>
      <c r="I52" t="str">
        <f>IF(DraftResults[[#This Row],[Player ID]]=0,"",INDEX(Table5[[#All],[Pos]],MATCH(DraftResults[[#This Row],[Player ID]],Table5[[#All],[PID]],0)))</f>
        <v/>
      </c>
      <c r="J52" t="str">
        <f>IF(DraftResults[[#This Row],[Player ID]]=0,"",INDEX(Table5[[#All],[First]],MATCH(DraftResults[[#This Row],[Player ID]],Table5[[#All],[PID]],0)))</f>
        <v/>
      </c>
      <c r="K52" t="str">
        <f>IF(DraftResults[[#This Row],[Player ID]]=0,"",INDEX(Table5[[#All],[Last]],MATCH(DraftResults[[#This Row],[Player ID]],Table5[[#All],[PID]],0)))</f>
        <v/>
      </c>
    </row>
    <row r="53" spans="1:11" x14ac:dyDescent="0.25">
      <c r="A53">
        <v>2</v>
      </c>
      <c r="B53">
        <v>0</v>
      </c>
      <c r="C53">
        <v>9</v>
      </c>
      <c r="D53" t="s">
        <v>246</v>
      </c>
      <c r="E53">
        <v>21</v>
      </c>
      <c r="F53">
        <v>0</v>
      </c>
      <c r="G53" t="s">
        <v>318</v>
      </c>
      <c r="H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</v>
      </c>
      <c r="I53" t="str">
        <f>IF(DraftResults[[#This Row],[Player ID]]=0,"",INDEX(Table5[[#All],[Pos]],MATCH(DraftResults[[#This Row],[Player ID]],Table5[[#All],[PID]],0)))</f>
        <v/>
      </c>
      <c r="J53" t="str">
        <f>IF(DraftResults[[#This Row],[Player ID]]=0,"",INDEX(Table5[[#All],[First]],MATCH(DraftResults[[#This Row],[Player ID]],Table5[[#All],[PID]],0)))</f>
        <v/>
      </c>
      <c r="K53" t="str">
        <f>IF(DraftResults[[#This Row],[Player ID]]=0,"",INDEX(Table5[[#All],[Last]],MATCH(DraftResults[[#This Row],[Player ID]],Table5[[#All],[PID]],0)))</f>
        <v/>
      </c>
    </row>
    <row r="54" spans="1:11" x14ac:dyDescent="0.25">
      <c r="A54">
        <v>2</v>
      </c>
      <c r="B54">
        <v>0</v>
      </c>
      <c r="C54">
        <v>10</v>
      </c>
      <c r="D54" t="s">
        <v>694</v>
      </c>
      <c r="E54">
        <v>24</v>
      </c>
      <c r="F54">
        <v>0</v>
      </c>
      <c r="G54" t="s">
        <v>318</v>
      </c>
      <c r="H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</v>
      </c>
      <c r="I54" t="str">
        <f>IF(DraftResults[[#This Row],[Player ID]]=0,"",INDEX(Table5[[#All],[Pos]],MATCH(DraftResults[[#This Row],[Player ID]],Table5[[#All],[PID]],0)))</f>
        <v/>
      </c>
      <c r="J54" t="str">
        <f>IF(DraftResults[[#This Row],[Player ID]]=0,"",INDEX(Table5[[#All],[First]],MATCH(DraftResults[[#This Row],[Player ID]],Table5[[#All],[PID]],0)))</f>
        <v/>
      </c>
      <c r="K54" t="str">
        <f>IF(DraftResults[[#This Row],[Player ID]]=0,"",INDEX(Table5[[#All],[Last]],MATCH(DraftResults[[#This Row],[Player ID]],Table5[[#All],[PID]],0)))</f>
        <v/>
      </c>
    </row>
    <row r="55" spans="1:11" x14ac:dyDescent="0.25">
      <c r="A55">
        <v>2</v>
      </c>
      <c r="B55">
        <v>0</v>
      </c>
      <c r="C55">
        <v>11</v>
      </c>
      <c r="D55" t="s">
        <v>251</v>
      </c>
      <c r="E55">
        <v>3</v>
      </c>
      <c r="F55">
        <v>0</v>
      </c>
      <c r="G55" t="s">
        <v>318</v>
      </c>
      <c r="H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</v>
      </c>
      <c r="I55" t="str">
        <f>IF(DraftResults[[#This Row],[Player ID]]=0,"",INDEX(Table5[[#All],[Pos]],MATCH(DraftResults[[#This Row],[Player ID]],Table5[[#All],[PID]],0)))</f>
        <v/>
      </c>
      <c r="J55" t="str">
        <f>IF(DraftResults[[#This Row],[Player ID]]=0,"",INDEX(Table5[[#All],[First]],MATCH(DraftResults[[#This Row],[Player ID]],Table5[[#All],[PID]],0)))</f>
        <v/>
      </c>
      <c r="K55" t="str">
        <f>IF(DraftResults[[#This Row],[Player ID]]=0,"",INDEX(Table5[[#All],[Last]],MATCH(DraftResults[[#This Row],[Player ID]],Table5[[#All],[PID]],0)))</f>
        <v/>
      </c>
    </row>
    <row r="56" spans="1:11" x14ac:dyDescent="0.25">
      <c r="A56">
        <v>2</v>
      </c>
      <c r="B56">
        <v>0</v>
      </c>
      <c r="C56">
        <v>12</v>
      </c>
      <c r="D56" t="s">
        <v>257</v>
      </c>
      <c r="E56">
        <v>8</v>
      </c>
      <c r="F56">
        <v>0</v>
      </c>
      <c r="G56" t="s">
        <v>318</v>
      </c>
      <c r="H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</v>
      </c>
      <c r="I56" t="str">
        <f>IF(DraftResults[[#This Row],[Player ID]]=0,"",INDEX(Table5[[#All],[Pos]],MATCH(DraftResults[[#This Row],[Player ID]],Table5[[#All],[PID]],0)))</f>
        <v/>
      </c>
      <c r="J56" t="str">
        <f>IF(DraftResults[[#This Row],[Player ID]]=0,"",INDEX(Table5[[#All],[First]],MATCH(DraftResults[[#This Row],[Player ID]],Table5[[#All],[PID]],0)))</f>
        <v/>
      </c>
      <c r="K56" t="str">
        <f>IF(DraftResults[[#This Row],[Player ID]]=0,"",INDEX(Table5[[#All],[Last]],MATCH(DraftResults[[#This Row],[Player ID]],Table5[[#All],[PID]],0)))</f>
        <v/>
      </c>
    </row>
    <row r="57" spans="1:11" x14ac:dyDescent="0.25">
      <c r="A57">
        <v>2</v>
      </c>
      <c r="B57">
        <v>0</v>
      </c>
      <c r="C57">
        <v>13</v>
      </c>
      <c r="D57" t="s">
        <v>246</v>
      </c>
      <c r="E57">
        <v>21</v>
      </c>
      <c r="F57">
        <v>0</v>
      </c>
      <c r="G57" t="s">
        <v>318</v>
      </c>
      <c r="H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</v>
      </c>
      <c r="I57" t="str">
        <f>IF(DraftResults[[#This Row],[Player ID]]=0,"",INDEX(Table5[[#All],[Pos]],MATCH(DraftResults[[#This Row],[Player ID]],Table5[[#All],[PID]],0)))</f>
        <v/>
      </c>
      <c r="J57" t="str">
        <f>IF(DraftResults[[#This Row],[Player ID]]=0,"",INDEX(Table5[[#All],[First]],MATCH(DraftResults[[#This Row],[Player ID]],Table5[[#All],[PID]],0)))</f>
        <v/>
      </c>
      <c r="K57" t="str">
        <f>IF(DraftResults[[#This Row],[Player ID]]=0,"",INDEX(Table5[[#All],[Last]],MATCH(DraftResults[[#This Row],[Player ID]],Table5[[#All],[PID]],0)))</f>
        <v/>
      </c>
    </row>
    <row r="58" spans="1:11" x14ac:dyDescent="0.25">
      <c r="A58">
        <v>2</v>
      </c>
      <c r="B58">
        <v>0</v>
      </c>
      <c r="C58">
        <v>14</v>
      </c>
      <c r="D58" t="s">
        <v>249</v>
      </c>
      <c r="E58">
        <v>11</v>
      </c>
      <c r="F58">
        <v>0</v>
      </c>
      <c r="G58" t="s">
        <v>318</v>
      </c>
      <c r="H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</v>
      </c>
      <c r="I58" t="str">
        <f>IF(DraftResults[[#This Row],[Player ID]]=0,"",INDEX(Table5[[#All],[Pos]],MATCH(DraftResults[[#This Row],[Player ID]],Table5[[#All],[PID]],0)))</f>
        <v/>
      </c>
      <c r="J58" t="str">
        <f>IF(DraftResults[[#This Row],[Player ID]]=0,"",INDEX(Table5[[#All],[First]],MATCH(DraftResults[[#This Row],[Player ID]],Table5[[#All],[PID]],0)))</f>
        <v/>
      </c>
      <c r="K58" t="str">
        <f>IF(DraftResults[[#This Row],[Player ID]]=0,"",INDEX(Table5[[#All],[Last]],MATCH(DraftResults[[#This Row],[Player ID]],Table5[[#All],[PID]],0)))</f>
        <v/>
      </c>
    </row>
    <row r="59" spans="1:11" x14ac:dyDescent="0.25">
      <c r="A59">
        <v>2</v>
      </c>
      <c r="B59">
        <v>0</v>
      </c>
      <c r="C59">
        <v>15</v>
      </c>
      <c r="D59" t="s">
        <v>250</v>
      </c>
      <c r="E59">
        <v>10</v>
      </c>
      <c r="F59">
        <v>0</v>
      </c>
      <c r="G59" t="s">
        <v>318</v>
      </c>
      <c r="H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</v>
      </c>
      <c r="I59" t="str">
        <f>IF(DraftResults[[#This Row],[Player ID]]=0,"",INDEX(Table5[[#All],[Pos]],MATCH(DraftResults[[#This Row],[Player ID]],Table5[[#All],[PID]],0)))</f>
        <v/>
      </c>
      <c r="J59" t="str">
        <f>IF(DraftResults[[#This Row],[Player ID]]=0,"",INDEX(Table5[[#All],[First]],MATCH(DraftResults[[#This Row],[Player ID]],Table5[[#All],[PID]],0)))</f>
        <v/>
      </c>
      <c r="K59" t="str">
        <f>IF(DraftResults[[#This Row],[Player ID]]=0,"",INDEX(Table5[[#All],[Last]],MATCH(DraftResults[[#This Row],[Player ID]],Table5[[#All],[PID]],0)))</f>
        <v/>
      </c>
    </row>
    <row r="60" spans="1:11" x14ac:dyDescent="0.25">
      <c r="A60">
        <v>2</v>
      </c>
      <c r="B60">
        <v>0</v>
      </c>
      <c r="C60">
        <v>16</v>
      </c>
      <c r="D60" t="s">
        <v>249</v>
      </c>
      <c r="E60">
        <v>11</v>
      </c>
      <c r="F60">
        <v>0</v>
      </c>
      <c r="G60" t="s">
        <v>318</v>
      </c>
      <c r="H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</v>
      </c>
      <c r="I60" t="str">
        <f>IF(DraftResults[[#This Row],[Player ID]]=0,"",INDEX(Table5[[#All],[Pos]],MATCH(DraftResults[[#This Row],[Player ID]],Table5[[#All],[PID]],0)))</f>
        <v/>
      </c>
      <c r="J60" t="str">
        <f>IF(DraftResults[[#This Row],[Player ID]]=0,"",INDEX(Table5[[#All],[First]],MATCH(DraftResults[[#This Row],[Player ID]],Table5[[#All],[PID]],0)))</f>
        <v/>
      </c>
      <c r="K60" t="str">
        <f>IF(DraftResults[[#This Row],[Player ID]]=0,"",INDEX(Table5[[#All],[Last]],MATCH(DraftResults[[#This Row],[Player ID]],Table5[[#All],[PID]],0)))</f>
        <v/>
      </c>
    </row>
    <row r="61" spans="1:11" x14ac:dyDescent="0.25">
      <c r="A61">
        <v>2</v>
      </c>
      <c r="B61">
        <v>0</v>
      </c>
      <c r="C61">
        <v>17</v>
      </c>
      <c r="D61" t="s">
        <v>258</v>
      </c>
      <c r="E61">
        <v>16</v>
      </c>
      <c r="F61">
        <v>0</v>
      </c>
      <c r="G61" t="s">
        <v>318</v>
      </c>
      <c r="H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</v>
      </c>
      <c r="I61" t="str">
        <f>IF(DraftResults[[#This Row],[Player ID]]=0,"",INDEX(Table5[[#All],[Pos]],MATCH(DraftResults[[#This Row],[Player ID]],Table5[[#All],[PID]],0)))</f>
        <v/>
      </c>
      <c r="J61" t="str">
        <f>IF(DraftResults[[#This Row],[Player ID]]=0,"",INDEX(Table5[[#All],[First]],MATCH(DraftResults[[#This Row],[Player ID]],Table5[[#All],[PID]],0)))</f>
        <v/>
      </c>
      <c r="K61" t="str">
        <f>IF(DraftResults[[#This Row],[Player ID]]=0,"",INDEX(Table5[[#All],[Last]],MATCH(DraftResults[[#This Row],[Player ID]],Table5[[#All],[PID]],0)))</f>
        <v/>
      </c>
    </row>
    <row r="62" spans="1:11" x14ac:dyDescent="0.25">
      <c r="A62">
        <v>2</v>
      </c>
      <c r="B62">
        <v>0</v>
      </c>
      <c r="C62">
        <v>18</v>
      </c>
      <c r="D62" t="s">
        <v>490</v>
      </c>
      <c r="E62">
        <v>167</v>
      </c>
      <c r="F62">
        <v>0</v>
      </c>
      <c r="G62" t="s">
        <v>318</v>
      </c>
      <c r="H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</v>
      </c>
      <c r="I62" t="str">
        <f>IF(DraftResults[[#This Row],[Player ID]]=0,"",INDEX(Table5[[#All],[Pos]],MATCH(DraftResults[[#This Row],[Player ID]],Table5[[#All],[PID]],0)))</f>
        <v/>
      </c>
      <c r="J62" t="str">
        <f>IF(DraftResults[[#This Row],[Player ID]]=0,"",INDEX(Table5[[#All],[First]],MATCH(DraftResults[[#This Row],[Player ID]],Table5[[#All],[PID]],0)))</f>
        <v/>
      </c>
      <c r="K62" t="str">
        <f>IF(DraftResults[[#This Row],[Player ID]]=0,"",INDEX(Table5[[#All],[Last]],MATCH(DraftResults[[#This Row],[Player ID]],Table5[[#All],[PID]],0)))</f>
        <v/>
      </c>
    </row>
    <row r="63" spans="1:11" x14ac:dyDescent="0.25">
      <c r="A63">
        <v>2</v>
      </c>
      <c r="B63">
        <v>0</v>
      </c>
      <c r="C63">
        <v>19</v>
      </c>
      <c r="D63" t="s">
        <v>487</v>
      </c>
      <c r="E63">
        <v>163</v>
      </c>
      <c r="F63">
        <v>0</v>
      </c>
      <c r="G63" t="s">
        <v>318</v>
      </c>
      <c r="H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</v>
      </c>
      <c r="I63" t="str">
        <f>IF(DraftResults[[#This Row],[Player ID]]=0,"",INDEX(Table5[[#All],[Pos]],MATCH(DraftResults[[#This Row],[Player ID]],Table5[[#All],[PID]],0)))</f>
        <v/>
      </c>
      <c r="J63" t="str">
        <f>IF(DraftResults[[#This Row],[Player ID]]=0,"",INDEX(Table5[[#All],[First]],MATCH(DraftResults[[#This Row],[Player ID]],Table5[[#All],[PID]],0)))</f>
        <v/>
      </c>
      <c r="K63" t="str">
        <f>IF(DraftResults[[#This Row],[Player ID]]=0,"",INDEX(Table5[[#All],[Last]],MATCH(DraftResults[[#This Row],[Player ID]],Table5[[#All],[PID]],0)))</f>
        <v/>
      </c>
    </row>
    <row r="64" spans="1:11" x14ac:dyDescent="0.25">
      <c r="A64">
        <v>2</v>
      </c>
      <c r="B64">
        <v>0</v>
      </c>
      <c r="C64">
        <v>20</v>
      </c>
      <c r="D64" t="s">
        <v>255</v>
      </c>
      <c r="E64">
        <v>20</v>
      </c>
      <c r="F64">
        <v>0</v>
      </c>
      <c r="G64" t="s">
        <v>318</v>
      </c>
      <c r="H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</v>
      </c>
      <c r="I64" t="str">
        <f>IF(DraftResults[[#This Row],[Player ID]]=0,"",INDEX(Table5[[#All],[Pos]],MATCH(DraftResults[[#This Row],[Player ID]],Table5[[#All],[PID]],0)))</f>
        <v/>
      </c>
      <c r="J64" t="str">
        <f>IF(DraftResults[[#This Row],[Player ID]]=0,"",INDEX(Table5[[#All],[First]],MATCH(DraftResults[[#This Row],[Player ID]],Table5[[#All],[PID]],0)))</f>
        <v/>
      </c>
      <c r="K64" t="str">
        <f>IF(DraftResults[[#This Row],[Player ID]]=0,"",INDEX(Table5[[#All],[Last]],MATCH(DraftResults[[#This Row],[Player ID]],Table5[[#All],[PID]],0)))</f>
        <v/>
      </c>
    </row>
    <row r="65" spans="1:11" x14ac:dyDescent="0.25">
      <c r="A65">
        <v>2</v>
      </c>
      <c r="B65">
        <v>0</v>
      </c>
      <c r="C65">
        <v>21</v>
      </c>
      <c r="D65" t="s">
        <v>485</v>
      </c>
      <c r="E65">
        <v>166</v>
      </c>
      <c r="F65">
        <v>0</v>
      </c>
      <c r="G65" t="s">
        <v>318</v>
      </c>
      <c r="H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</v>
      </c>
      <c r="I65" t="str">
        <f>IF(DraftResults[[#This Row],[Player ID]]=0,"",INDEX(Table5[[#All],[Pos]],MATCH(DraftResults[[#This Row],[Player ID]],Table5[[#All],[PID]],0)))</f>
        <v/>
      </c>
      <c r="J65" t="str">
        <f>IF(DraftResults[[#This Row],[Player ID]]=0,"",INDEX(Table5[[#All],[First]],MATCH(DraftResults[[#This Row],[Player ID]],Table5[[#All],[PID]],0)))</f>
        <v/>
      </c>
      <c r="K65" t="str">
        <f>IF(DraftResults[[#This Row],[Player ID]]=0,"",INDEX(Table5[[#All],[Last]],MATCH(DraftResults[[#This Row],[Player ID]],Table5[[#All],[PID]],0)))</f>
        <v/>
      </c>
    </row>
    <row r="66" spans="1:11" x14ac:dyDescent="0.25">
      <c r="A66">
        <v>2</v>
      </c>
      <c r="B66">
        <v>0</v>
      </c>
      <c r="C66">
        <v>22</v>
      </c>
      <c r="D66" t="s">
        <v>244</v>
      </c>
      <c r="E66">
        <v>22</v>
      </c>
      <c r="F66">
        <v>0</v>
      </c>
      <c r="G66" t="s">
        <v>318</v>
      </c>
      <c r="H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</v>
      </c>
      <c r="I66" t="str">
        <f>IF(DraftResults[[#This Row],[Player ID]]=0,"",INDEX(Table5[[#All],[Pos]],MATCH(DraftResults[[#This Row],[Player ID]],Table5[[#All],[PID]],0)))</f>
        <v/>
      </c>
      <c r="J66" t="str">
        <f>IF(DraftResults[[#This Row],[Player ID]]=0,"",INDEX(Table5[[#All],[First]],MATCH(DraftResults[[#This Row],[Player ID]],Table5[[#All],[PID]],0)))</f>
        <v/>
      </c>
      <c r="K66" t="str">
        <f>IF(DraftResults[[#This Row],[Player ID]]=0,"",INDEX(Table5[[#All],[Last]],MATCH(DraftResults[[#This Row],[Player ID]],Table5[[#All],[PID]],0)))</f>
        <v/>
      </c>
    </row>
    <row r="67" spans="1:11" x14ac:dyDescent="0.25">
      <c r="A67">
        <v>2</v>
      </c>
      <c r="B67">
        <v>0</v>
      </c>
      <c r="C67">
        <v>23</v>
      </c>
      <c r="D67" t="s">
        <v>249</v>
      </c>
      <c r="E67">
        <v>11</v>
      </c>
      <c r="F67">
        <v>0</v>
      </c>
      <c r="G67" t="s">
        <v>318</v>
      </c>
      <c r="H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</v>
      </c>
      <c r="I67" t="str">
        <f>IF(DraftResults[[#This Row],[Player ID]]=0,"",INDEX(Table5[[#All],[Pos]],MATCH(DraftResults[[#This Row],[Player ID]],Table5[[#All],[PID]],0)))</f>
        <v/>
      </c>
      <c r="J67" t="str">
        <f>IF(DraftResults[[#This Row],[Player ID]]=0,"",INDEX(Table5[[#All],[First]],MATCH(DraftResults[[#This Row],[Player ID]],Table5[[#All],[PID]],0)))</f>
        <v/>
      </c>
      <c r="K67" t="str">
        <f>IF(DraftResults[[#This Row],[Player ID]]=0,"",INDEX(Table5[[#All],[Last]],MATCH(DraftResults[[#This Row],[Player ID]],Table5[[#All],[PID]],0)))</f>
        <v/>
      </c>
    </row>
    <row r="68" spans="1:11" x14ac:dyDescent="0.25">
      <c r="A68">
        <v>2</v>
      </c>
      <c r="B68">
        <v>0</v>
      </c>
      <c r="C68">
        <v>24</v>
      </c>
      <c r="D68" t="s">
        <v>257</v>
      </c>
      <c r="E68">
        <v>8</v>
      </c>
      <c r="F68">
        <v>0</v>
      </c>
      <c r="G68" t="s">
        <v>318</v>
      </c>
      <c r="H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</v>
      </c>
      <c r="I68" t="str">
        <f>IF(DraftResults[[#This Row],[Player ID]]=0,"",INDEX(Table5[[#All],[Pos]],MATCH(DraftResults[[#This Row],[Player ID]],Table5[[#All],[PID]],0)))</f>
        <v/>
      </c>
      <c r="J68" t="str">
        <f>IF(DraftResults[[#This Row],[Player ID]]=0,"",INDEX(Table5[[#All],[First]],MATCH(DraftResults[[#This Row],[Player ID]],Table5[[#All],[PID]],0)))</f>
        <v/>
      </c>
      <c r="K68" t="str">
        <f>IF(DraftResults[[#This Row],[Player ID]]=0,"",INDEX(Table5[[#All],[Last]],MATCH(DraftResults[[#This Row],[Player ID]],Table5[[#All],[PID]],0)))</f>
        <v/>
      </c>
    </row>
    <row r="69" spans="1:11" x14ac:dyDescent="0.25">
      <c r="A69">
        <v>2</v>
      </c>
      <c r="B69">
        <v>0</v>
      </c>
      <c r="C69">
        <v>25</v>
      </c>
      <c r="D69" t="s">
        <v>694</v>
      </c>
      <c r="E69">
        <v>24</v>
      </c>
      <c r="F69">
        <v>0</v>
      </c>
      <c r="G69" t="s">
        <v>318</v>
      </c>
      <c r="H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</v>
      </c>
      <c r="I69" t="str">
        <f>IF(DraftResults[[#This Row],[Player ID]]=0,"",INDEX(Table5[[#All],[Pos]],MATCH(DraftResults[[#This Row],[Player ID]],Table5[[#All],[PID]],0)))</f>
        <v/>
      </c>
      <c r="J69" t="str">
        <f>IF(DraftResults[[#This Row],[Player ID]]=0,"",INDEX(Table5[[#All],[First]],MATCH(DraftResults[[#This Row],[Player ID]],Table5[[#All],[PID]],0)))</f>
        <v/>
      </c>
      <c r="K69" t="str">
        <f>IF(DraftResults[[#This Row],[Player ID]]=0,"",INDEX(Table5[[#All],[Last]],MATCH(DraftResults[[#This Row],[Player ID]],Table5[[#All],[PID]],0)))</f>
        <v/>
      </c>
    </row>
    <row r="70" spans="1:11" x14ac:dyDescent="0.25">
      <c r="A70">
        <v>2</v>
      </c>
      <c r="B70">
        <v>0</v>
      </c>
      <c r="C70">
        <v>26</v>
      </c>
      <c r="D70" t="s">
        <v>247</v>
      </c>
      <c r="E70">
        <v>17</v>
      </c>
      <c r="F70">
        <v>0</v>
      </c>
      <c r="G70" t="s">
        <v>318</v>
      </c>
      <c r="H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67</v>
      </c>
      <c r="I70" t="str">
        <f>IF(DraftResults[[#This Row],[Player ID]]=0,"",INDEX(Table5[[#All],[Pos]],MATCH(DraftResults[[#This Row],[Player ID]],Table5[[#All],[PID]],0)))</f>
        <v/>
      </c>
      <c r="J70" t="str">
        <f>IF(DraftResults[[#This Row],[Player ID]]=0,"",INDEX(Table5[[#All],[First]],MATCH(DraftResults[[#This Row],[Player ID]],Table5[[#All],[PID]],0)))</f>
        <v/>
      </c>
      <c r="K70" t="str">
        <f>IF(DraftResults[[#This Row],[Player ID]]=0,"",INDEX(Table5[[#All],[Last]],MATCH(DraftResults[[#This Row],[Player ID]],Table5[[#All],[PID]],0)))</f>
        <v/>
      </c>
    </row>
    <row r="71" spans="1:11" x14ac:dyDescent="0.25">
      <c r="A71">
        <v>2</v>
      </c>
      <c r="B71">
        <v>0</v>
      </c>
      <c r="C71">
        <v>27</v>
      </c>
      <c r="D71" t="s">
        <v>694</v>
      </c>
      <c r="E71">
        <v>24</v>
      </c>
      <c r="F71">
        <v>0</v>
      </c>
      <c r="G71" t="s">
        <v>318</v>
      </c>
      <c r="H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68</v>
      </c>
      <c r="I71" t="str">
        <f>IF(DraftResults[[#This Row],[Player ID]]=0,"",INDEX(Table5[[#All],[Pos]],MATCH(DraftResults[[#This Row],[Player ID]],Table5[[#All],[PID]],0)))</f>
        <v/>
      </c>
      <c r="J71" t="str">
        <f>IF(DraftResults[[#This Row],[Player ID]]=0,"",INDEX(Table5[[#All],[First]],MATCH(DraftResults[[#This Row],[Player ID]],Table5[[#All],[PID]],0)))</f>
        <v/>
      </c>
      <c r="K71" t="str">
        <f>IF(DraftResults[[#This Row],[Player ID]]=0,"",INDEX(Table5[[#All],[Last]],MATCH(DraftResults[[#This Row],[Player ID]],Table5[[#All],[PID]],0)))</f>
        <v/>
      </c>
    </row>
    <row r="72" spans="1:11" ht="15.75" customHeight="1" x14ac:dyDescent="0.25">
      <c r="A72">
        <v>2</v>
      </c>
      <c r="B72">
        <v>0</v>
      </c>
      <c r="C72">
        <v>28</v>
      </c>
      <c r="D72" t="s">
        <v>695</v>
      </c>
      <c r="E72">
        <v>160</v>
      </c>
      <c r="F72">
        <v>0</v>
      </c>
      <c r="G72" t="s">
        <v>318</v>
      </c>
      <c r="H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69</v>
      </c>
      <c r="I72" t="str">
        <f>IF(DraftResults[[#This Row],[Player ID]]=0,"",INDEX(Table5[[#All],[Pos]],MATCH(DraftResults[[#This Row],[Player ID]],Table5[[#All],[PID]],0)))</f>
        <v/>
      </c>
      <c r="J72" t="str">
        <f>IF(DraftResults[[#This Row],[Player ID]]=0,"",INDEX(Table5[[#All],[First]],MATCH(DraftResults[[#This Row],[Player ID]],Table5[[#All],[PID]],0)))</f>
        <v/>
      </c>
      <c r="K72" t="str">
        <f>IF(DraftResults[[#This Row],[Player ID]]=0,"",INDEX(Table5[[#All],[Last]],MATCH(DraftResults[[#This Row],[Player ID]],Table5[[#All],[PID]],0)))</f>
        <v/>
      </c>
    </row>
    <row r="73" spans="1:11" x14ac:dyDescent="0.25">
      <c r="A73">
        <v>2</v>
      </c>
      <c r="B73">
        <v>0</v>
      </c>
      <c r="C73">
        <v>29</v>
      </c>
      <c r="D73" t="s">
        <v>694</v>
      </c>
      <c r="E73">
        <v>24</v>
      </c>
      <c r="F73">
        <v>0</v>
      </c>
      <c r="G73" t="s">
        <v>318</v>
      </c>
      <c r="H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70</v>
      </c>
      <c r="I73" t="str">
        <f>IF(DraftResults[[#This Row],[Player ID]]=0,"",INDEX(Table5[[#All],[Pos]],MATCH(DraftResults[[#This Row],[Player ID]],Table5[[#All],[PID]],0)))</f>
        <v/>
      </c>
      <c r="J73" t="str">
        <f>IF(DraftResults[[#This Row],[Player ID]]=0,"",INDEX(Table5[[#All],[First]],MATCH(DraftResults[[#This Row],[Player ID]],Table5[[#All],[PID]],0)))</f>
        <v/>
      </c>
      <c r="K73" t="str">
        <f>IF(DraftResults[[#This Row],[Player ID]]=0,"",INDEX(Table5[[#All],[Last]],MATCH(DraftResults[[#This Row],[Player ID]],Table5[[#All],[PID]],0)))</f>
        <v/>
      </c>
    </row>
    <row r="74" spans="1:11" x14ac:dyDescent="0.25">
      <c r="A74">
        <v>3</v>
      </c>
      <c r="B74">
        <v>0</v>
      </c>
      <c r="C74">
        <v>1</v>
      </c>
      <c r="D74" t="s">
        <v>694</v>
      </c>
      <c r="E74">
        <v>24</v>
      </c>
      <c r="F74">
        <v>0</v>
      </c>
      <c r="G74" t="s">
        <v>318</v>
      </c>
      <c r="H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71</v>
      </c>
      <c r="I74" t="str">
        <f>IF(DraftResults[[#This Row],[Player ID]]=0,"",INDEX(Table5[[#All],[Pos]],MATCH(DraftResults[[#This Row],[Player ID]],Table5[[#All],[PID]],0)))</f>
        <v/>
      </c>
      <c r="J74" t="str">
        <f>IF(DraftResults[[#This Row],[Player ID]]=0,"",INDEX(Table5[[#All],[First]],MATCH(DraftResults[[#This Row],[Player ID]],Table5[[#All],[PID]],0)))</f>
        <v/>
      </c>
      <c r="K74" t="str">
        <f>IF(DraftResults[[#This Row],[Player ID]]=0,"",INDEX(Table5[[#All],[Last]],MATCH(DraftResults[[#This Row],[Player ID]],Table5[[#All],[PID]],0)))</f>
        <v/>
      </c>
    </row>
    <row r="75" spans="1:11" x14ac:dyDescent="0.25">
      <c r="A75">
        <v>3</v>
      </c>
      <c r="B75">
        <v>0</v>
      </c>
      <c r="C75">
        <v>2</v>
      </c>
      <c r="D75" t="s">
        <v>694</v>
      </c>
      <c r="E75">
        <v>24</v>
      </c>
      <c r="F75">
        <v>0</v>
      </c>
      <c r="G75" t="s">
        <v>318</v>
      </c>
      <c r="H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72</v>
      </c>
      <c r="I75" t="str">
        <f>IF(DraftResults[[#This Row],[Player ID]]=0,"",INDEX(Table5[[#All],[Pos]],MATCH(DraftResults[[#This Row],[Player ID]],Table5[[#All],[PID]],0)))</f>
        <v/>
      </c>
      <c r="J75" t="str">
        <f>IF(DraftResults[[#This Row],[Player ID]]=0,"",INDEX(Table5[[#All],[First]],MATCH(DraftResults[[#This Row],[Player ID]],Table5[[#All],[PID]],0)))</f>
        <v/>
      </c>
      <c r="K75" t="str">
        <f>IF(DraftResults[[#This Row],[Player ID]]=0,"",INDEX(Table5[[#All],[Last]],MATCH(DraftResults[[#This Row],[Player ID]],Table5[[#All],[PID]],0)))</f>
        <v/>
      </c>
    </row>
    <row r="76" spans="1:11" x14ac:dyDescent="0.25">
      <c r="A76">
        <v>3</v>
      </c>
      <c r="B76">
        <v>0</v>
      </c>
      <c r="C76">
        <v>3</v>
      </c>
      <c r="D76" t="s">
        <v>697</v>
      </c>
      <c r="E76">
        <v>23</v>
      </c>
      <c r="F76">
        <v>0</v>
      </c>
      <c r="G76" t="s">
        <v>318</v>
      </c>
      <c r="H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73</v>
      </c>
      <c r="I76" t="str">
        <f>IF(DraftResults[[#This Row],[Player ID]]=0,"",INDEX(Table5[[#All],[Pos]],MATCH(DraftResults[[#This Row],[Player ID]],Table5[[#All],[PID]],0)))</f>
        <v/>
      </c>
      <c r="J76" t="str">
        <f>IF(DraftResults[[#This Row],[Player ID]]=0,"",INDEX(Table5[[#All],[First]],MATCH(DraftResults[[#This Row],[Player ID]],Table5[[#All],[PID]],0)))</f>
        <v/>
      </c>
      <c r="K76" t="str">
        <f>IF(DraftResults[[#This Row],[Player ID]]=0,"",INDEX(Table5[[#All],[Last]],MATCH(DraftResults[[#This Row],[Player ID]],Table5[[#All],[PID]],0)))</f>
        <v/>
      </c>
    </row>
    <row r="77" spans="1:11" x14ac:dyDescent="0.25">
      <c r="A77">
        <v>3</v>
      </c>
      <c r="B77">
        <v>0</v>
      </c>
      <c r="C77">
        <v>4</v>
      </c>
      <c r="D77" t="s">
        <v>249</v>
      </c>
      <c r="E77">
        <v>11</v>
      </c>
      <c r="F77">
        <v>0</v>
      </c>
      <c r="G77" t="s">
        <v>318</v>
      </c>
      <c r="H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74</v>
      </c>
      <c r="I77" t="str">
        <f>IF(DraftResults[[#This Row],[Player ID]]=0,"",INDEX(Table5[[#All],[Pos]],MATCH(DraftResults[[#This Row],[Player ID]],Table5[[#All],[PID]],0)))</f>
        <v/>
      </c>
      <c r="J77" t="str">
        <f>IF(DraftResults[[#This Row],[Player ID]]=0,"",INDEX(Table5[[#All],[First]],MATCH(DraftResults[[#This Row],[Player ID]],Table5[[#All],[PID]],0)))</f>
        <v/>
      </c>
      <c r="K77" t="str">
        <f>IF(DraftResults[[#This Row],[Player ID]]=0,"",INDEX(Table5[[#All],[Last]],MATCH(DraftResults[[#This Row],[Player ID]],Table5[[#All],[PID]],0)))</f>
        <v/>
      </c>
    </row>
    <row r="78" spans="1:11" x14ac:dyDescent="0.25">
      <c r="A78">
        <v>3</v>
      </c>
      <c r="B78">
        <v>0</v>
      </c>
      <c r="C78">
        <v>5</v>
      </c>
      <c r="D78" t="s">
        <v>484</v>
      </c>
      <c r="E78">
        <v>164</v>
      </c>
      <c r="F78">
        <v>0</v>
      </c>
      <c r="G78" t="s">
        <v>318</v>
      </c>
      <c r="H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75</v>
      </c>
      <c r="I78" t="str">
        <f>IF(DraftResults[[#This Row],[Player ID]]=0,"",INDEX(Table5[[#All],[Pos]],MATCH(DraftResults[[#This Row],[Player ID]],Table5[[#All],[PID]],0)))</f>
        <v/>
      </c>
      <c r="J78" t="str">
        <f>IF(DraftResults[[#This Row],[Player ID]]=0,"",INDEX(Table5[[#All],[First]],MATCH(DraftResults[[#This Row],[Player ID]],Table5[[#All],[PID]],0)))</f>
        <v/>
      </c>
      <c r="K78" t="str">
        <f>IF(DraftResults[[#This Row],[Player ID]]=0,"",INDEX(Table5[[#All],[Last]],MATCH(DraftResults[[#This Row],[Player ID]],Table5[[#All],[PID]],0)))</f>
        <v/>
      </c>
    </row>
    <row r="79" spans="1:11" x14ac:dyDescent="0.25">
      <c r="A79">
        <v>3</v>
      </c>
      <c r="B79">
        <v>0</v>
      </c>
      <c r="C79">
        <v>6</v>
      </c>
      <c r="D79" t="s">
        <v>694</v>
      </c>
      <c r="E79">
        <v>24</v>
      </c>
      <c r="F79">
        <v>0</v>
      </c>
      <c r="G79" t="s">
        <v>318</v>
      </c>
      <c r="H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76</v>
      </c>
      <c r="I79" t="str">
        <f>IF(DraftResults[[#This Row],[Player ID]]=0,"",INDEX(Table5[[#All],[Pos]],MATCH(DraftResults[[#This Row],[Player ID]],Table5[[#All],[PID]],0)))</f>
        <v/>
      </c>
      <c r="J79" t="str">
        <f>IF(DraftResults[[#This Row],[Player ID]]=0,"",INDEX(Table5[[#All],[First]],MATCH(DraftResults[[#This Row],[Player ID]],Table5[[#All],[PID]],0)))</f>
        <v/>
      </c>
      <c r="K79" t="str">
        <f>IF(DraftResults[[#This Row],[Player ID]]=0,"",INDEX(Table5[[#All],[Last]],MATCH(DraftResults[[#This Row],[Player ID]],Table5[[#All],[PID]],0)))</f>
        <v/>
      </c>
    </row>
    <row r="80" spans="1:11" x14ac:dyDescent="0.25">
      <c r="A80">
        <v>3</v>
      </c>
      <c r="B80">
        <v>0</v>
      </c>
      <c r="C80">
        <v>7</v>
      </c>
      <c r="D80" t="s">
        <v>251</v>
      </c>
      <c r="E80">
        <v>3</v>
      </c>
      <c r="F80">
        <v>0</v>
      </c>
      <c r="G80" t="s">
        <v>318</v>
      </c>
      <c r="H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77</v>
      </c>
      <c r="I80" t="str">
        <f>IF(DraftResults[[#This Row],[Player ID]]=0,"",INDEX(Table5[[#All],[Pos]],MATCH(DraftResults[[#This Row],[Player ID]],Table5[[#All],[PID]],0)))</f>
        <v/>
      </c>
      <c r="J80" t="str">
        <f>IF(DraftResults[[#This Row],[Player ID]]=0,"",INDEX(Table5[[#All],[First]],MATCH(DraftResults[[#This Row],[Player ID]],Table5[[#All],[PID]],0)))</f>
        <v/>
      </c>
      <c r="K80" t="str">
        <f>IF(DraftResults[[#This Row],[Player ID]]=0,"",INDEX(Table5[[#All],[Last]],MATCH(DraftResults[[#This Row],[Player ID]],Table5[[#All],[PID]],0)))</f>
        <v/>
      </c>
    </row>
    <row r="81" spans="1:11" x14ac:dyDescent="0.25">
      <c r="A81">
        <v>3</v>
      </c>
      <c r="B81">
        <v>0</v>
      </c>
      <c r="C81">
        <v>8</v>
      </c>
      <c r="D81" t="s">
        <v>587</v>
      </c>
      <c r="E81">
        <v>7</v>
      </c>
      <c r="F81">
        <v>0</v>
      </c>
      <c r="G81" t="s">
        <v>318</v>
      </c>
      <c r="H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78</v>
      </c>
      <c r="I81" t="str">
        <f>IF(DraftResults[[#This Row],[Player ID]]=0,"",INDEX(Table5[[#All],[Pos]],MATCH(DraftResults[[#This Row],[Player ID]],Table5[[#All],[PID]],0)))</f>
        <v/>
      </c>
      <c r="J81" t="str">
        <f>IF(DraftResults[[#This Row],[Player ID]]=0,"",INDEX(Table5[[#All],[First]],MATCH(DraftResults[[#This Row],[Player ID]],Table5[[#All],[PID]],0)))</f>
        <v/>
      </c>
      <c r="K81" t="str">
        <f>IF(DraftResults[[#This Row],[Player ID]]=0,"",INDEX(Table5[[#All],[Last]],MATCH(DraftResults[[#This Row],[Player ID]],Table5[[#All],[PID]],0)))</f>
        <v/>
      </c>
    </row>
    <row r="82" spans="1:11" x14ac:dyDescent="0.25">
      <c r="A82">
        <v>3</v>
      </c>
      <c r="B82">
        <v>0</v>
      </c>
      <c r="C82">
        <v>9</v>
      </c>
      <c r="D82" t="s">
        <v>246</v>
      </c>
      <c r="E82">
        <v>21</v>
      </c>
      <c r="F82">
        <v>0</v>
      </c>
      <c r="G82" t="s">
        <v>318</v>
      </c>
      <c r="H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79</v>
      </c>
      <c r="I82" t="str">
        <f>IF(DraftResults[[#This Row],[Player ID]]=0,"",INDEX(Table5[[#All],[Pos]],MATCH(DraftResults[[#This Row],[Player ID]],Table5[[#All],[PID]],0)))</f>
        <v/>
      </c>
      <c r="J82" t="str">
        <f>IF(DraftResults[[#This Row],[Player ID]]=0,"",INDEX(Table5[[#All],[First]],MATCH(DraftResults[[#This Row],[Player ID]],Table5[[#All],[PID]],0)))</f>
        <v/>
      </c>
      <c r="K82" t="str">
        <f>IF(DraftResults[[#This Row],[Player ID]]=0,"",INDEX(Table5[[#All],[Last]],MATCH(DraftResults[[#This Row],[Player ID]],Table5[[#All],[PID]],0)))</f>
        <v/>
      </c>
    </row>
    <row r="83" spans="1:11" x14ac:dyDescent="0.25">
      <c r="A83">
        <v>3</v>
      </c>
      <c r="B83">
        <v>0</v>
      </c>
      <c r="C83">
        <v>10</v>
      </c>
      <c r="D83" t="s">
        <v>696</v>
      </c>
      <c r="E83">
        <v>13</v>
      </c>
      <c r="F83">
        <v>0</v>
      </c>
      <c r="G83" t="s">
        <v>318</v>
      </c>
      <c r="H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80</v>
      </c>
      <c r="I83" t="str">
        <f>IF(DraftResults[[#This Row],[Player ID]]=0,"",INDEX(Table5[[#All],[Pos]],MATCH(DraftResults[[#This Row],[Player ID]],Table5[[#All],[PID]],0)))</f>
        <v/>
      </c>
      <c r="J83" t="str">
        <f>IF(DraftResults[[#This Row],[Player ID]]=0,"",INDEX(Table5[[#All],[First]],MATCH(DraftResults[[#This Row],[Player ID]],Table5[[#All],[PID]],0)))</f>
        <v/>
      </c>
      <c r="K83" t="str">
        <f>IF(DraftResults[[#This Row],[Player ID]]=0,"",INDEX(Table5[[#All],[Last]],MATCH(DraftResults[[#This Row],[Player ID]],Table5[[#All],[PID]],0)))</f>
        <v/>
      </c>
    </row>
    <row r="84" spans="1:11" x14ac:dyDescent="0.25">
      <c r="A84">
        <v>3</v>
      </c>
      <c r="B84">
        <v>0</v>
      </c>
      <c r="C84">
        <v>11</v>
      </c>
      <c r="D84" t="s">
        <v>251</v>
      </c>
      <c r="E84">
        <v>3</v>
      </c>
      <c r="F84">
        <v>0</v>
      </c>
      <c r="G84" t="s">
        <v>318</v>
      </c>
      <c r="H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81</v>
      </c>
      <c r="I84" t="str">
        <f>IF(DraftResults[[#This Row],[Player ID]]=0,"",INDEX(Table5[[#All],[Pos]],MATCH(DraftResults[[#This Row],[Player ID]],Table5[[#All],[PID]],0)))</f>
        <v/>
      </c>
      <c r="J84" t="str">
        <f>IF(DraftResults[[#This Row],[Player ID]]=0,"",INDEX(Table5[[#All],[First]],MATCH(DraftResults[[#This Row],[Player ID]],Table5[[#All],[PID]],0)))</f>
        <v/>
      </c>
      <c r="K84" t="str">
        <f>IF(DraftResults[[#This Row],[Player ID]]=0,"",INDEX(Table5[[#All],[Last]],MATCH(DraftResults[[#This Row],[Player ID]],Table5[[#All],[PID]],0)))</f>
        <v/>
      </c>
    </row>
    <row r="85" spans="1:11" x14ac:dyDescent="0.25">
      <c r="A85">
        <v>3</v>
      </c>
      <c r="B85">
        <v>0</v>
      </c>
      <c r="C85">
        <v>12</v>
      </c>
      <c r="D85" t="s">
        <v>257</v>
      </c>
      <c r="E85">
        <v>8</v>
      </c>
      <c r="F85">
        <v>0</v>
      </c>
      <c r="G85" t="s">
        <v>318</v>
      </c>
      <c r="H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82</v>
      </c>
      <c r="I85" t="str">
        <f>IF(DraftResults[[#This Row],[Player ID]]=0,"",INDEX(Table5[[#All],[Pos]],MATCH(DraftResults[[#This Row],[Player ID]],Table5[[#All],[PID]],0)))</f>
        <v/>
      </c>
      <c r="J85" t="str">
        <f>IF(DraftResults[[#This Row],[Player ID]]=0,"",INDEX(Table5[[#All],[First]],MATCH(DraftResults[[#This Row],[Player ID]],Table5[[#All],[PID]],0)))</f>
        <v/>
      </c>
      <c r="K85" t="str">
        <f>IF(DraftResults[[#This Row],[Player ID]]=0,"",INDEX(Table5[[#All],[Last]],MATCH(DraftResults[[#This Row],[Player ID]],Table5[[#All],[PID]],0)))</f>
        <v/>
      </c>
    </row>
    <row r="86" spans="1:11" x14ac:dyDescent="0.25">
      <c r="A86">
        <v>3</v>
      </c>
      <c r="B86">
        <v>0</v>
      </c>
      <c r="C86">
        <v>13</v>
      </c>
      <c r="D86" t="s">
        <v>246</v>
      </c>
      <c r="E86">
        <v>21</v>
      </c>
      <c r="F86">
        <v>0</v>
      </c>
      <c r="G86" t="s">
        <v>318</v>
      </c>
      <c r="H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83</v>
      </c>
      <c r="I86" t="str">
        <f>IF(DraftResults[[#This Row],[Player ID]]=0,"",INDEX(Table5[[#All],[Pos]],MATCH(DraftResults[[#This Row],[Player ID]],Table5[[#All],[PID]],0)))</f>
        <v/>
      </c>
      <c r="J86" t="str">
        <f>IF(DraftResults[[#This Row],[Player ID]]=0,"",INDEX(Table5[[#All],[First]],MATCH(DraftResults[[#This Row],[Player ID]],Table5[[#All],[PID]],0)))</f>
        <v/>
      </c>
      <c r="K86" t="str">
        <f>IF(DraftResults[[#This Row],[Player ID]]=0,"",INDEX(Table5[[#All],[Last]],MATCH(DraftResults[[#This Row],[Player ID]],Table5[[#All],[PID]],0)))</f>
        <v/>
      </c>
    </row>
    <row r="87" spans="1:11" x14ac:dyDescent="0.25">
      <c r="A87">
        <v>3</v>
      </c>
      <c r="B87">
        <v>0</v>
      </c>
      <c r="C87">
        <v>14</v>
      </c>
      <c r="D87" t="s">
        <v>489</v>
      </c>
      <c r="E87">
        <v>18</v>
      </c>
      <c r="F87">
        <v>0</v>
      </c>
      <c r="G87" t="s">
        <v>318</v>
      </c>
      <c r="H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84</v>
      </c>
      <c r="I87" t="str">
        <f>IF(DraftResults[[#This Row],[Player ID]]=0,"",INDEX(Table5[[#All],[Pos]],MATCH(DraftResults[[#This Row],[Player ID]],Table5[[#All],[PID]],0)))</f>
        <v/>
      </c>
      <c r="J87" t="str">
        <f>IF(DraftResults[[#This Row],[Player ID]]=0,"",INDEX(Table5[[#All],[First]],MATCH(DraftResults[[#This Row],[Player ID]],Table5[[#All],[PID]],0)))</f>
        <v/>
      </c>
      <c r="K87" t="str">
        <f>IF(DraftResults[[#This Row],[Player ID]]=0,"",INDEX(Table5[[#All],[Last]],MATCH(DraftResults[[#This Row],[Player ID]],Table5[[#All],[PID]],0)))</f>
        <v/>
      </c>
    </row>
    <row r="88" spans="1:11" x14ac:dyDescent="0.25">
      <c r="A88">
        <v>3</v>
      </c>
      <c r="B88">
        <v>0</v>
      </c>
      <c r="C88">
        <v>15</v>
      </c>
      <c r="D88" t="s">
        <v>250</v>
      </c>
      <c r="E88">
        <v>10</v>
      </c>
      <c r="F88">
        <v>0</v>
      </c>
      <c r="G88" t="s">
        <v>318</v>
      </c>
      <c r="H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85</v>
      </c>
      <c r="I88" t="str">
        <f>IF(DraftResults[[#This Row],[Player ID]]=0,"",INDEX(Table5[[#All],[Pos]],MATCH(DraftResults[[#This Row],[Player ID]],Table5[[#All],[PID]],0)))</f>
        <v/>
      </c>
      <c r="J88" t="str">
        <f>IF(DraftResults[[#This Row],[Player ID]]=0,"",INDEX(Table5[[#All],[First]],MATCH(DraftResults[[#This Row],[Player ID]],Table5[[#All],[PID]],0)))</f>
        <v/>
      </c>
      <c r="K88" t="str">
        <f>IF(DraftResults[[#This Row],[Player ID]]=0,"",INDEX(Table5[[#All],[Last]],MATCH(DraftResults[[#This Row],[Player ID]],Table5[[#All],[PID]],0)))</f>
        <v/>
      </c>
    </row>
    <row r="89" spans="1:11" x14ac:dyDescent="0.25">
      <c r="A89">
        <v>3</v>
      </c>
      <c r="B89">
        <v>0</v>
      </c>
      <c r="C89">
        <v>16</v>
      </c>
      <c r="D89" t="s">
        <v>482</v>
      </c>
      <c r="E89">
        <v>162</v>
      </c>
      <c r="F89">
        <v>0</v>
      </c>
      <c r="G89" t="s">
        <v>318</v>
      </c>
      <c r="H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86</v>
      </c>
      <c r="I89" t="str">
        <f>IF(DraftResults[[#This Row],[Player ID]]=0,"",INDEX(Table5[[#All],[Pos]],MATCH(DraftResults[[#This Row],[Player ID]],Table5[[#All],[PID]],0)))</f>
        <v/>
      </c>
      <c r="J89" t="str">
        <f>IF(DraftResults[[#This Row],[Player ID]]=0,"",INDEX(Table5[[#All],[First]],MATCH(DraftResults[[#This Row],[Player ID]],Table5[[#All],[PID]],0)))</f>
        <v/>
      </c>
      <c r="K89" t="str">
        <f>IF(DraftResults[[#This Row],[Player ID]]=0,"",INDEX(Table5[[#All],[Last]],MATCH(DraftResults[[#This Row],[Player ID]],Table5[[#All],[PID]],0)))</f>
        <v/>
      </c>
    </row>
    <row r="90" spans="1:11" x14ac:dyDescent="0.25">
      <c r="A90">
        <v>3</v>
      </c>
      <c r="B90">
        <v>0</v>
      </c>
      <c r="C90">
        <v>17</v>
      </c>
      <c r="D90" t="s">
        <v>258</v>
      </c>
      <c r="E90">
        <v>16</v>
      </c>
      <c r="F90">
        <v>0</v>
      </c>
      <c r="G90" t="s">
        <v>318</v>
      </c>
      <c r="H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87</v>
      </c>
      <c r="I90" t="str">
        <f>IF(DraftResults[[#This Row],[Player ID]]=0,"",INDEX(Table5[[#All],[Pos]],MATCH(DraftResults[[#This Row],[Player ID]],Table5[[#All],[PID]],0)))</f>
        <v/>
      </c>
      <c r="J90" t="str">
        <f>IF(DraftResults[[#This Row],[Player ID]]=0,"",INDEX(Table5[[#All],[First]],MATCH(DraftResults[[#This Row],[Player ID]],Table5[[#All],[PID]],0)))</f>
        <v/>
      </c>
      <c r="K90" t="str">
        <f>IF(DraftResults[[#This Row],[Player ID]]=0,"",INDEX(Table5[[#All],[Last]],MATCH(DraftResults[[#This Row],[Player ID]],Table5[[#All],[PID]],0)))</f>
        <v/>
      </c>
    </row>
    <row r="91" spans="1:11" x14ac:dyDescent="0.25">
      <c r="A91">
        <v>3</v>
      </c>
      <c r="B91">
        <v>0</v>
      </c>
      <c r="C91">
        <v>18</v>
      </c>
      <c r="D91" t="s">
        <v>588</v>
      </c>
      <c r="E91">
        <v>4</v>
      </c>
      <c r="F91">
        <v>0</v>
      </c>
      <c r="G91" t="s">
        <v>318</v>
      </c>
      <c r="H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88</v>
      </c>
      <c r="I91" t="str">
        <f>IF(DraftResults[[#This Row],[Player ID]]=0,"",INDEX(Table5[[#All],[Pos]],MATCH(DraftResults[[#This Row],[Player ID]],Table5[[#All],[PID]],0)))</f>
        <v/>
      </c>
      <c r="J91" t="str">
        <f>IF(DraftResults[[#This Row],[Player ID]]=0,"",INDEX(Table5[[#All],[First]],MATCH(DraftResults[[#This Row],[Player ID]],Table5[[#All],[PID]],0)))</f>
        <v/>
      </c>
      <c r="K91" t="str">
        <f>IF(DraftResults[[#This Row],[Player ID]]=0,"",INDEX(Table5[[#All],[Last]],MATCH(DraftResults[[#This Row],[Player ID]],Table5[[#All],[PID]],0)))</f>
        <v/>
      </c>
    </row>
    <row r="92" spans="1:11" x14ac:dyDescent="0.25">
      <c r="A92">
        <v>3</v>
      </c>
      <c r="B92">
        <v>0</v>
      </c>
      <c r="C92">
        <v>19</v>
      </c>
      <c r="D92" t="s">
        <v>243</v>
      </c>
      <c r="E92">
        <v>19</v>
      </c>
      <c r="F92">
        <v>0</v>
      </c>
      <c r="G92" t="s">
        <v>318</v>
      </c>
      <c r="H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89</v>
      </c>
      <c r="I92" t="str">
        <f>IF(DraftResults[[#This Row],[Player ID]]=0,"",INDEX(Table5[[#All],[Pos]],MATCH(DraftResults[[#This Row],[Player ID]],Table5[[#All],[PID]],0)))</f>
        <v/>
      </c>
      <c r="J92" t="str">
        <f>IF(DraftResults[[#This Row],[Player ID]]=0,"",INDEX(Table5[[#All],[First]],MATCH(DraftResults[[#This Row],[Player ID]],Table5[[#All],[PID]],0)))</f>
        <v/>
      </c>
      <c r="K92" t="str">
        <f>IF(DraftResults[[#This Row],[Player ID]]=0,"",INDEX(Table5[[#All],[Last]],MATCH(DraftResults[[#This Row],[Player ID]],Table5[[#All],[PID]],0)))</f>
        <v/>
      </c>
    </row>
    <row r="93" spans="1:11" x14ac:dyDescent="0.25">
      <c r="A93">
        <v>3</v>
      </c>
      <c r="B93">
        <v>0</v>
      </c>
      <c r="C93">
        <v>20</v>
      </c>
      <c r="D93" t="s">
        <v>487</v>
      </c>
      <c r="E93">
        <v>163</v>
      </c>
      <c r="F93">
        <v>0</v>
      </c>
      <c r="G93" t="s">
        <v>318</v>
      </c>
      <c r="H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90</v>
      </c>
      <c r="I93" t="str">
        <f>IF(DraftResults[[#This Row],[Player ID]]=0,"",INDEX(Table5[[#All],[Pos]],MATCH(DraftResults[[#This Row],[Player ID]],Table5[[#All],[PID]],0)))</f>
        <v/>
      </c>
      <c r="J93" t="str">
        <f>IF(DraftResults[[#This Row],[Player ID]]=0,"",INDEX(Table5[[#All],[First]],MATCH(DraftResults[[#This Row],[Player ID]],Table5[[#All],[PID]],0)))</f>
        <v/>
      </c>
      <c r="K93" t="str">
        <f>IF(DraftResults[[#This Row],[Player ID]]=0,"",INDEX(Table5[[#All],[Last]],MATCH(DraftResults[[#This Row],[Player ID]],Table5[[#All],[PID]],0)))</f>
        <v/>
      </c>
    </row>
    <row r="94" spans="1:11" x14ac:dyDescent="0.25">
      <c r="A94">
        <v>3</v>
      </c>
      <c r="B94">
        <v>0</v>
      </c>
      <c r="C94">
        <v>21</v>
      </c>
      <c r="D94" t="s">
        <v>255</v>
      </c>
      <c r="E94">
        <v>20</v>
      </c>
      <c r="F94">
        <v>0</v>
      </c>
      <c r="G94" t="s">
        <v>318</v>
      </c>
      <c r="H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91</v>
      </c>
      <c r="I94" t="str">
        <f>IF(DraftResults[[#This Row],[Player ID]]=0,"",INDEX(Table5[[#All],[Pos]],MATCH(DraftResults[[#This Row],[Player ID]],Table5[[#All],[PID]],0)))</f>
        <v/>
      </c>
      <c r="J94" t="str">
        <f>IF(DraftResults[[#This Row],[Player ID]]=0,"",INDEX(Table5[[#All],[First]],MATCH(DraftResults[[#This Row],[Player ID]],Table5[[#All],[PID]],0)))</f>
        <v/>
      </c>
      <c r="K94" t="str">
        <f>IF(DraftResults[[#This Row],[Player ID]]=0,"",INDEX(Table5[[#All],[Last]],MATCH(DraftResults[[#This Row],[Player ID]],Table5[[#All],[PID]],0)))</f>
        <v/>
      </c>
    </row>
    <row r="95" spans="1:11" x14ac:dyDescent="0.25">
      <c r="A95">
        <v>3</v>
      </c>
      <c r="B95">
        <v>0</v>
      </c>
      <c r="C95">
        <v>22</v>
      </c>
      <c r="D95" t="s">
        <v>485</v>
      </c>
      <c r="E95">
        <v>166</v>
      </c>
      <c r="F95">
        <v>0</v>
      </c>
      <c r="G95" t="s">
        <v>318</v>
      </c>
      <c r="H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92</v>
      </c>
      <c r="I95" t="str">
        <f>IF(DraftResults[[#This Row],[Player ID]]=0,"",INDEX(Table5[[#All],[Pos]],MATCH(DraftResults[[#This Row],[Player ID]],Table5[[#All],[PID]],0)))</f>
        <v/>
      </c>
      <c r="J95" t="str">
        <f>IF(DraftResults[[#This Row],[Player ID]]=0,"",INDEX(Table5[[#All],[First]],MATCH(DraftResults[[#This Row],[Player ID]],Table5[[#All],[PID]],0)))</f>
        <v/>
      </c>
      <c r="K95" t="str">
        <f>IF(DraftResults[[#This Row],[Player ID]]=0,"",INDEX(Table5[[#All],[Last]],MATCH(DraftResults[[#This Row],[Player ID]],Table5[[#All],[PID]],0)))</f>
        <v/>
      </c>
    </row>
    <row r="96" spans="1:11" x14ac:dyDescent="0.25">
      <c r="A96">
        <v>3</v>
      </c>
      <c r="B96">
        <v>0</v>
      </c>
      <c r="C96">
        <v>23</v>
      </c>
      <c r="D96" t="s">
        <v>251</v>
      </c>
      <c r="E96">
        <v>3</v>
      </c>
      <c r="F96">
        <v>0</v>
      </c>
      <c r="G96" t="s">
        <v>318</v>
      </c>
      <c r="H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93</v>
      </c>
      <c r="I96" t="str">
        <f>IF(DraftResults[[#This Row],[Player ID]]=0,"",INDEX(Table5[[#All],[Pos]],MATCH(DraftResults[[#This Row],[Player ID]],Table5[[#All],[PID]],0)))</f>
        <v/>
      </c>
      <c r="J96" t="str">
        <f>IF(DraftResults[[#This Row],[Player ID]]=0,"",INDEX(Table5[[#All],[First]],MATCH(DraftResults[[#This Row],[Player ID]],Table5[[#All],[PID]],0)))</f>
        <v/>
      </c>
      <c r="K96" t="str">
        <f>IF(DraftResults[[#This Row],[Player ID]]=0,"",INDEX(Table5[[#All],[Last]],MATCH(DraftResults[[#This Row],[Player ID]],Table5[[#All],[PID]],0)))</f>
        <v/>
      </c>
    </row>
    <row r="97" spans="1:11" x14ac:dyDescent="0.25">
      <c r="A97">
        <v>3</v>
      </c>
      <c r="B97">
        <v>0</v>
      </c>
      <c r="C97">
        <v>24</v>
      </c>
      <c r="D97" t="s">
        <v>246</v>
      </c>
      <c r="E97">
        <v>21</v>
      </c>
      <c r="F97">
        <v>0</v>
      </c>
      <c r="G97" t="s">
        <v>318</v>
      </c>
      <c r="H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94</v>
      </c>
      <c r="I97" t="str">
        <f>IF(DraftResults[[#This Row],[Player ID]]=0,"",INDEX(Table5[[#All],[Pos]],MATCH(DraftResults[[#This Row],[Player ID]],Table5[[#All],[PID]],0)))</f>
        <v/>
      </c>
      <c r="J97" t="str">
        <f>IF(DraftResults[[#This Row],[Player ID]]=0,"",INDEX(Table5[[#All],[First]],MATCH(DraftResults[[#This Row],[Player ID]],Table5[[#All],[PID]],0)))</f>
        <v/>
      </c>
      <c r="K97" t="str">
        <f>IF(DraftResults[[#This Row],[Player ID]]=0,"",INDEX(Table5[[#All],[Last]],MATCH(DraftResults[[#This Row],[Player ID]],Table5[[#All],[PID]],0)))</f>
        <v/>
      </c>
    </row>
    <row r="98" spans="1:11" x14ac:dyDescent="0.25">
      <c r="A98">
        <v>3</v>
      </c>
      <c r="B98">
        <v>0</v>
      </c>
      <c r="C98">
        <v>25</v>
      </c>
      <c r="D98" t="s">
        <v>694</v>
      </c>
      <c r="E98">
        <v>24</v>
      </c>
      <c r="F98">
        <v>0</v>
      </c>
      <c r="G98" t="s">
        <v>318</v>
      </c>
      <c r="H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95</v>
      </c>
      <c r="I98" t="str">
        <f>IF(DraftResults[[#This Row],[Player ID]]=0,"",INDEX(Table5[[#All],[Pos]],MATCH(DraftResults[[#This Row],[Player ID]],Table5[[#All],[PID]],0)))</f>
        <v/>
      </c>
      <c r="J98" t="str">
        <f>IF(DraftResults[[#This Row],[Player ID]]=0,"",INDEX(Table5[[#All],[First]],MATCH(DraftResults[[#This Row],[Player ID]],Table5[[#All],[PID]],0)))</f>
        <v/>
      </c>
      <c r="K98" t="str">
        <f>IF(DraftResults[[#This Row],[Player ID]]=0,"",INDEX(Table5[[#All],[Last]],MATCH(DraftResults[[#This Row],[Player ID]],Table5[[#All],[PID]],0)))</f>
        <v/>
      </c>
    </row>
    <row r="99" spans="1:11" x14ac:dyDescent="0.25">
      <c r="A99">
        <v>3</v>
      </c>
      <c r="B99">
        <v>0</v>
      </c>
      <c r="C99">
        <v>26</v>
      </c>
      <c r="D99" t="s">
        <v>694</v>
      </c>
      <c r="E99">
        <v>24</v>
      </c>
      <c r="F99">
        <v>0</v>
      </c>
      <c r="G99" t="s">
        <v>318</v>
      </c>
      <c r="H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96</v>
      </c>
      <c r="I99" t="str">
        <f>IF(DraftResults[[#This Row],[Player ID]]=0,"",INDEX(Table5[[#All],[Pos]],MATCH(DraftResults[[#This Row],[Player ID]],Table5[[#All],[PID]],0)))</f>
        <v/>
      </c>
      <c r="J99" t="str">
        <f>IF(DraftResults[[#This Row],[Player ID]]=0,"",INDEX(Table5[[#All],[First]],MATCH(DraftResults[[#This Row],[Player ID]],Table5[[#All],[PID]],0)))</f>
        <v/>
      </c>
      <c r="K99" t="str">
        <f>IF(DraftResults[[#This Row],[Player ID]]=0,"",INDEX(Table5[[#All],[Last]],MATCH(DraftResults[[#This Row],[Player ID]],Table5[[#All],[PID]],0)))</f>
        <v/>
      </c>
    </row>
    <row r="100" spans="1:11" x14ac:dyDescent="0.25">
      <c r="A100">
        <v>3</v>
      </c>
      <c r="B100">
        <v>0</v>
      </c>
      <c r="C100">
        <v>27</v>
      </c>
      <c r="D100" t="s">
        <v>698</v>
      </c>
      <c r="E100">
        <v>9</v>
      </c>
      <c r="F100">
        <v>0</v>
      </c>
      <c r="G100" t="s">
        <v>318</v>
      </c>
      <c r="H1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97</v>
      </c>
      <c r="I100" t="str">
        <f>IF(DraftResults[[#This Row],[Player ID]]=0,"",INDEX(Table5[[#All],[Pos]],MATCH(DraftResults[[#This Row],[Player ID]],Table5[[#All],[PID]],0)))</f>
        <v/>
      </c>
      <c r="J100" t="str">
        <f>IF(DraftResults[[#This Row],[Player ID]]=0,"",INDEX(Table5[[#All],[First]],MATCH(DraftResults[[#This Row],[Player ID]],Table5[[#All],[PID]],0)))</f>
        <v/>
      </c>
      <c r="K100" t="str">
        <f>IF(DraftResults[[#This Row],[Player ID]]=0,"",INDEX(Table5[[#All],[Last]],MATCH(DraftResults[[#This Row],[Player ID]],Table5[[#All],[PID]],0)))</f>
        <v/>
      </c>
    </row>
    <row r="101" spans="1:11" x14ac:dyDescent="0.25">
      <c r="A101">
        <v>3</v>
      </c>
      <c r="B101">
        <v>0</v>
      </c>
      <c r="C101">
        <v>28</v>
      </c>
      <c r="D101" t="s">
        <v>694</v>
      </c>
      <c r="E101">
        <v>24</v>
      </c>
      <c r="F101">
        <v>0</v>
      </c>
      <c r="G101" t="s">
        <v>318</v>
      </c>
      <c r="H1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98</v>
      </c>
      <c r="I101" t="str">
        <f>IF(DraftResults[[#This Row],[Player ID]]=0,"",INDEX(Table5[[#All],[Pos]],MATCH(DraftResults[[#This Row],[Player ID]],Table5[[#All],[PID]],0)))</f>
        <v/>
      </c>
      <c r="J101" t="str">
        <f>IF(DraftResults[[#This Row],[Player ID]]=0,"",INDEX(Table5[[#All],[First]],MATCH(DraftResults[[#This Row],[Player ID]],Table5[[#All],[PID]],0)))</f>
        <v/>
      </c>
      <c r="K101" t="str">
        <f>IF(DraftResults[[#This Row],[Player ID]]=0,"",INDEX(Table5[[#All],[Last]],MATCH(DraftResults[[#This Row],[Player ID]],Table5[[#All],[PID]],0)))</f>
        <v/>
      </c>
    </row>
    <row r="102" spans="1:11" ht="15.75" customHeight="1" x14ac:dyDescent="0.25">
      <c r="A102">
        <v>4</v>
      </c>
      <c r="B102">
        <v>0</v>
      </c>
      <c r="C102">
        <v>1</v>
      </c>
      <c r="D102" t="s">
        <v>243</v>
      </c>
      <c r="E102">
        <v>19</v>
      </c>
      <c r="F102">
        <v>0</v>
      </c>
      <c r="G102" t="s">
        <v>318</v>
      </c>
      <c r="H1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99</v>
      </c>
      <c r="I102" t="str">
        <f>IF(DraftResults[[#This Row],[Player ID]]=0,"",INDEX(Table5[[#All],[Pos]],MATCH(DraftResults[[#This Row],[Player ID]],Table5[[#All],[PID]],0)))</f>
        <v/>
      </c>
      <c r="J102" t="str">
        <f>IF(DraftResults[[#This Row],[Player ID]]=0,"",INDEX(Table5[[#All],[First]],MATCH(DraftResults[[#This Row],[Player ID]],Table5[[#All],[PID]],0)))</f>
        <v/>
      </c>
      <c r="K102" t="str">
        <f>IF(DraftResults[[#This Row],[Player ID]]=0,"",INDEX(Table5[[#All],[Last]],MATCH(DraftResults[[#This Row],[Player ID]],Table5[[#All],[PID]],0)))</f>
        <v/>
      </c>
    </row>
    <row r="103" spans="1:11" x14ac:dyDescent="0.25">
      <c r="A103">
        <v>4</v>
      </c>
      <c r="B103">
        <v>0</v>
      </c>
      <c r="C103">
        <v>2</v>
      </c>
      <c r="D103" t="s">
        <v>254</v>
      </c>
      <c r="E103">
        <v>15</v>
      </c>
      <c r="F103">
        <v>0</v>
      </c>
      <c r="G103" t="s">
        <v>318</v>
      </c>
      <c r="H1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100</v>
      </c>
      <c r="I103" t="str">
        <f>IF(DraftResults[[#This Row],[Player ID]]=0,"",INDEX(Table5[[#All],[Pos]],MATCH(DraftResults[[#This Row],[Player ID]],Table5[[#All],[PID]],0)))</f>
        <v/>
      </c>
      <c r="J103" t="str">
        <f>IF(DraftResults[[#This Row],[Player ID]]=0,"",INDEX(Table5[[#All],[First]],MATCH(DraftResults[[#This Row],[Player ID]],Table5[[#All],[PID]],0)))</f>
        <v/>
      </c>
      <c r="K103" t="str">
        <f>IF(DraftResults[[#This Row],[Player ID]]=0,"",INDEX(Table5[[#All],[Last]],MATCH(DraftResults[[#This Row],[Player ID]],Table5[[#All],[PID]],0)))</f>
        <v/>
      </c>
    </row>
    <row r="104" spans="1:11" x14ac:dyDescent="0.25">
      <c r="A104">
        <v>4</v>
      </c>
      <c r="B104">
        <v>0</v>
      </c>
      <c r="C104">
        <v>3</v>
      </c>
      <c r="D104" t="s">
        <v>697</v>
      </c>
      <c r="E104">
        <v>23</v>
      </c>
      <c r="F104">
        <v>0</v>
      </c>
      <c r="G104" t="s">
        <v>318</v>
      </c>
      <c r="H1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101</v>
      </c>
      <c r="I104" t="str">
        <f>IF(DraftResults[[#This Row],[Player ID]]=0,"",INDEX(Table5[[#All],[Pos]],MATCH(DraftResults[[#This Row],[Player ID]],Table5[[#All],[PID]],0)))</f>
        <v/>
      </c>
      <c r="J104" t="str">
        <f>IF(DraftResults[[#This Row],[Player ID]]=0,"",INDEX(Table5[[#All],[First]],MATCH(DraftResults[[#This Row],[Player ID]],Table5[[#All],[PID]],0)))</f>
        <v/>
      </c>
      <c r="K104" t="str">
        <f>IF(DraftResults[[#This Row],[Player ID]]=0,"",INDEX(Table5[[#All],[Last]],MATCH(DraftResults[[#This Row],[Player ID]],Table5[[#All],[PID]],0)))</f>
        <v/>
      </c>
    </row>
    <row r="105" spans="1:11" x14ac:dyDescent="0.25">
      <c r="A105">
        <v>4</v>
      </c>
      <c r="B105">
        <v>0</v>
      </c>
      <c r="C105">
        <v>4</v>
      </c>
      <c r="D105" t="s">
        <v>252</v>
      </c>
      <c r="E105">
        <v>1</v>
      </c>
      <c r="F105">
        <v>0</v>
      </c>
      <c r="G105" t="s">
        <v>318</v>
      </c>
      <c r="H1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102</v>
      </c>
      <c r="I105" t="str">
        <f>IF(DraftResults[[#This Row],[Player ID]]=0,"",INDEX(Table5[[#All],[Pos]],MATCH(DraftResults[[#This Row],[Player ID]],Table5[[#All],[PID]],0)))</f>
        <v/>
      </c>
      <c r="J105" t="str">
        <f>IF(DraftResults[[#This Row],[Player ID]]=0,"",INDEX(Table5[[#All],[First]],MATCH(DraftResults[[#This Row],[Player ID]],Table5[[#All],[PID]],0)))</f>
        <v/>
      </c>
      <c r="K105" t="str">
        <f>IF(DraftResults[[#This Row],[Player ID]]=0,"",INDEX(Table5[[#All],[Last]],MATCH(DraftResults[[#This Row],[Player ID]],Table5[[#All],[PID]],0)))</f>
        <v/>
      </c>
    </row>
    <row r="106" spans="1:11" x14ac:dyDescent="0.25">
      <c r="A106">
        <v>4</v>
      </c>
      <c r="B106">
        <v>0</v>
      </c>
      <c r="C106">
        <v>5</v>
      </c>
      <c r="D106" t="s">
        <v>484</v>
      </c>
      <c r="E106">
        <v>164</v>
      </c>
      <c r="F106">
        <v>0</v>
      </c>
      <c r="G106" t="s">
        <v>318</v>
      </c>
      <c r="H1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103</v>
      </c>
      <c r="I106" t="str">
        <f>IF(DraftResults[[#This Row],[Player ID]]=0,"",INDEX(Table5[[#All],[Pos]],MATCH(DraftResults[[#This Row],[Player ID]],Table5[[#All],[PID]],0)))</f>
        <v/>
      </c>
      <c r="J106" t="str">
        <f>IF(DraftResults[[#This Row],[Player ID]]=0,"",INDEX(Table5[[#All],[First]],MATCH(DraftResults[[#This Row],[Player ID]],Table5[[#All],[PID]],0)))</f>
        <v/>
      </c>
      <c r="K106" t="str">
        <f>IF(DraftResults[[#This Row],[Player ID]]=0,"",INDEX(Table5[[#All],[Last]],MATCH(DraftResults[[#This Row],[Player ID]],Table5[[#All],[PID]],0)))</f>
        <v/>
      </c>
    </row>
    <row r="107" spans="1:11" x14ac:dyDescent="0.25">
      <c r="A107">
        <v>4</v>
      </c>
      <c r="B107">
        <v>0</v>
      </c>
      <c r="C107">
        <v>6</v>
      </c>
      <c r="D107" t="s">
        <v>588</v>
      </c>
      <c r="E107">
        <v>4</v>
      </c>
      <c r="F107">
        <v>0</v>
      </c>
      <c r="G107" t="s">
        <v>318</v>
      </c>
      <c r="H1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104</v>
      </c>
      <c r="I107" t="str">
        <f>IF(DraftResults[[#This Row],[Player ID]]=0,"",INDEX(Table5[[#All],[Pos]],MATCH(DraftResults[[#This Row],[Player ID]],Table5[[#All],[PID]],0)))</f>
        <v/>
      </c>
      <c r="J107" t="str">
        <f>IF(DraftResults[[#This Row],[Player ID]]=0,"",INDEX(Table5[[#All],[First]],MATCH(DraftResults[[#This Row],[Player ID]],Table5[[#All],[PID]],0)))</f>
        <v/>
      </c>
      <c r="K107" t="str">
        <f>IF(DraftResults[[#This Row],[Player ID]]=0,"",INDEX(Table5[[#All],[Last]],MATCH(DraftResults[[#This Row],[Player ID]],Table5[[#All],[PID]],0)))</f>
        <v/>
      </c>
    </row>
    <row r="108" spans="1:11" x14ac:dyDescent="0.25">
      <c r="A108">
        <v>4</v>
      </c>
      <c r="B108">
        <v>0</v>
      </c>
      <c r="C108">
        <v>7</v>
      </c>
      <c r="D108" t="s">
        <v>587</v>
      </c>
      <c r="E108">
        <v>7</v>
      </c>
      <c r="F108">
        <v>0</v>
      </c>
      <c r="G108" t="s">
        <v>318</v>
      </c>
      <c r="H1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105</v>
      </c>
      <c r="I108" t="str">
        <f>IF(DraftResults[[#This Row],[Player ID]]=0,"",INDEX(Table5[[#All],[Pos]],MATCH(DraftResults[[#This Row],[Player ID]],Table5[[#All],[PID]],0)))</f>
        <v/>
      </c>
      <c r="J108" t="str">
        <f>IF(DraftResults[[#This Row],[Player ID]]=0,"",INDEX(Table5[[#All],[First]],MATCH(DraftResults[[#This Row],[Player ID]],Table5[[#All],[PID]],0)))</f>
        <v/>
      </c>
      <c r="K108" t="str">
        <f>IF(DraftResults[[#This Row],[Player ID]]=0,"",INDEX(Table5[[#All],[Last]],MATCH(DraftResults[[#This Row],[Player ID]],Table5[[#All],[PID]],0)))</f>
        <v/>
      </c>
    </row>
    <row r="109" spans="1:11" x14ac:dyDescent="0.25">
      <c r="A109">
        <v>4</v>
      </c>
      <c r="B109">
        <v>0</v>
      </c>
      <c r="C109">
        <v>8</v>
      </c>
      <c r="D109" t="s">
        <v>246</v>
      </c>
      <c r="E109">
        <v>21</v>
      </c>
      <c r="F109">
        <v>0</v>
      </c>
      <c r="G109" t="s">
        <v>318</v>
      </c>
      <c r="H1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106</v>
      </c>
      <c r="I109" t="str">
        <f>IF(DraftResults[[#This Row],[Player ID]]=0,"",INDEX(Table5[[#All],[Pos]],MATCH(DraftResults[[#This Row],[Player ID]],Table5[[#All],[PID]],0)))</f>
        <v/>
      </c>
      <c r="J109" t="str">
        <f>IF(DraftResults[[#This Row],[Player ID]]=0,"",INDEX(Table5[[#All],[First]],MATCH(DraftResults[[#This Row],[Player ID]],Table5[[#All],[PID]],0)))</f>
        <v/>
      </c>
      <c r="K109" t="str">
        <f>IF(DraftResults[[#This Row],[Player ID]]=0,"",INDEX(Table5[[#All],[Last]],MATCH(DraftResults[[#This Row],[Player ID]],Table5[[#All],[PID]],0)))</f>
        <v/>
      </c>
    </row>
    <row r="110" spans="1:11" x14ac:dyDescent="0.25">
      <c r="A110">
        <v>4</v>
      </c>
      <c r="B110">
        <v>0</v>
      </c>
      <c r="C110">
        <v>9</v>
      </c>
      <c r="D110" t="s">
        <v>696</v>
      </c>
      <c r="E110">
        <v>13</v>
      </c>
      <c r="F110">
        <v>0</v>
      </c>
      <c r="G110" t="s">
        <v>318</v>
      </c>
      <c r="H1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107</v>
      </c>
      <c r="I110" t="str">
        <f>IF(DraftResults[[#This Row],[Player ID]]=0,"",INDEX(Table5[[#All],[Pos]],MATCH(DraftResults[[#This Row],[Player ID]],Table5[[#All],[PID]],0)))</f>
        <v/>
      </c>
      <c r="J110" t="str">
        <f>IF(DraftResults[[#This Row],[Player ID]]=0,"",INDEX(Table5[[#All],[First]],MATCH(DraftResults[[#This Row],[Player ID]],Table5[[#All],[PID]],0)))</f>
        <v/>
      </c>
      <c r="K110" t="str">
        <f>IF(DraftResults[[#This Row],[Player ID]]=0,"",INDEX(Table5[[#All],[Last]],MATCH(DraftResults[[#This Row],[Player ID]],Table5[[#All],[PID]],0)))</f>
        <v/>
      </c>
    </row>
    <row r="111" spans="1:11" x14ac:dyDescent="0.25">
      <c r="A111">
        <v>4</v>
      </c>
      <c r="B111">
        <v>0</v>
      </c>
      <c r="C111">
        <v>10</v>
      </c>
      <c r="D111" t="s">
        <v>251</v>
      </c>
      <c r="E111">
        <v>3</v>
      </c>
      <c r="F111">
        <v>0</v>
      </c>
      <c r="G111" t="s">
        <v>318</v>
      </c>
      <c r="H1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108</v>
      </c>
      <c r="I111" t="str">
        <f>IF(DraftResults[[#This Row],[Player ID]]=0,"",INDEX(Table5[[#All],[Pos]],MATCH(DraftResults[[#This Row],[Player ID]],Table5[[#All],[PID]],0)))</f>
        <v/>
      </c>
      <c r="J111" t="str">
        <f>IF(DraftResults[[#This Row],[Player ID]]=0,"",INDEX(Table5[[#All],[First]],MATCH(DraftResults[[#This Row],[Player ID]],Table5[[#All],[PID]],0)))</f>
        <v/>
      </c>
      <c r="K111" t="str">
        <f>IF(DraftResults[[#This Row],[Player ID]]=0,"",INDEX(Table5[[#All],[Last]],MATCH(DraftResults[[#This Row],[Player ID]],Table5[[#All],[PID]],0)))</f>
        <v/>
      </c>
    </row>
    <row r="112" spans="1:11" x14ac:dyDescent="0.25">
      <c r="A112">
        <v>4</v>
      </c>
      <c r="B112">
        <v>0</v>
      </c>
      <c r="C112">
        <v>11</v>
      </c>
      <c r="D112" t="s">
        <v>257</v>
      </c>
      <c r="E112">
        <v>8</v>
      </c>
      <c r="F112">
        <v>0</v>
      </c>
      <c r="G112" t="s">
        <v>318</v>
      </c>
      <c r="H1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109</v>
      </c>
      <c r="I112" t="str">
        <f>IF(DraftResults[[#This Row],[Player ID]]=0,"",INDEX(Table5[[#All],[Pos]],MATCH(DraftResults[[#This Row],[Player ID]],Table5[[#All],[PID]],0)))</f>
        <v/>
      </c>
      <c r="J112" t="str">
        <f>IF(DraftResults[[#This Row],[Player ID]]=0,"",INDEX(Table5[[#All],[First]],MATCH(DraftResults[[#This Row],[Player ID]],Table5[[#All],[PID]],0)))</f>
        <v/>
      </c>
      <c r="K112" t="str">
        <f>IF(DraftResults[[#This Row],[Player ID]]=0,"",INDEX(Table5[[#All],[Last]],MATCH(DraftResults[[#This Row],[Player ID]],Table5[[#All],[PID]],0)))</f>
        <v/>
      </c>
    </row>
    <row r="113" spans="1:11" x14ac:dyDescent="0.25">
      <c r="A113">
        <v>4</v>
      </c>
      <c r="B113">
        <v>0</v>
      </c>
      <c r="C113">
        <v>12</v>
      </c>
      <c r="D113" t="s">
        <v>252</v>
      </c>
      <c r="E113">
        <v>1</v>
      </c>
      <c r="F113">
        <v>0</v>
      </c>
      <c r="G113" t="s">
        <v>318</v>
      </c>
      <c r="H1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110</v>
      </c>
      <c r="I113" t="str">
        <f>IF(DraftResults[[#This Row],[Player ID]]=0,"",INDEX(Table5[[#All],[Pos]],MATCH(DraftResults[[#This Row],[Player ID]],Table5[[#All],[PID]],0)))</f>
        <v/>
      </c>
      <c r="J113" t="str">
        <f>IF(DraftResults[[#This Row],[Player ID]]=0,"",INDEX(Table5[[#All],[First]],MATCH(DraftResults[[#This Row],[Player ID]],Table5[[#All],[PID]],0)))</f>
        <v/>
      </c>
      <c r="K113" t="str">
        <f>IF(DraftResults[[#This Row],[Player ID]]=0,"",INDEX(Table5[[#All],[Last]],MATCH(DraftResults[[#This Row],[Player ID]],Table5[[#All],[PID]],0)))</f>
        <v/>
      </c>
    </row>
    <row r="114" spans="1:11" x14ac:dyDescent="0.25">
      <c r="A114">
        <v>4</v>
      </c>
      <c r="B114">
        <v>0</v>
      </c>
      <c r="C114">
        <v>13</v>
      </c>
      <c r="D114" t="s">
        <v>489</v>
      </c>
      <c r="E114">
        <v>18</v>
      </c>
      <c r="F114">
        <v>0</v>
      </c>
      <c r="G114" t="s">
        <v>318</v>
      </c>
      <c r="H1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111</v>
      </c>
      <c r="I114" t="str">
        <f>IF(DraftResults[[#This Row],[Player ID]]=0,"",INDEX(Table5[[#All],[Pos]],MATCH(DraftResults[[#This Row],[Player ID]],Table5[[#All],[PID]],0)))</f>
        <v/>
      </c>
      <c r="J114" t="str">
        <f>IF(DraftResults[[#This Row],[Player ID]]=0,"",INDEX(Table5[[#All],[First]],MATCH(DraftResults[[#This Row],[Player ID]],Table5[[#All],[PID]],0)))</f>
        <v/>
      </c>
      <c r="K114" t="str">
        <f>IF(DraftResults[[#This Row],[Player ID]]=0,"",INDEX(Table5[[#All],[Last]],MATCH(DraftResults[[#This Row],[Player ID]],Table5[[#All],[PID]],0)))</f>
        <v/>
      </c>
    </row>
    <row r="115" spans="1:11" x14ac:dyDescent="0.25">
      <c r="A115">
        <v>4</v>
      </c>
      <c r="B115">
        <v>0</v>
      </c>
      <c r="C115">
        <v>14</v>
      </c>
      <c r="D115" t="s">
        <v>250</v>
      </c>
      <c r="E115">
        <v>10</v>
      </c>
      <c r="F115">
        <v>0</v>
      </c>
      <c r="G115" t="s">
        <v>318</v>
      </c>
      <c r="H1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112</v>
      </c>
      <c r="I115" t="str">
        <f>IF(DraftResults[[#This Row],[Player ID]]=0,"",INDEX(Table5[[#All],[Pos]],MATCH(DraftResults[[#This Row],[Player ID]],Table5[[#All],[PID]],0)))</f>
        <v/>
      </c>
      <c r="J115" t="str">
        <f>IF(DraftResults[[#This Row],[Player ID]]=0,"",INDEX(Table5[[#All],[First]],MATCH(DraftResults[[#This Row],[Player ID]],Table5[[#All],[PID]],0)))</f>
        <v/>
      </c>
      <c r="K115" t="str">
        <f>IF(DraftResults[[#This Row],[Player ID]]=0,"",INDEX(Table5[[#All],[Last]],MATCH(DraftResults[[#This Row],[Player ID]],Table5[[#All],[PID]],0)))</f>
        <v/>
      </c>
    </row>
    <row r="116" spans="1:11" x14ac:dyDescent="0.25">
      <c r="A116">
        <v>4</v>
      </c>
      <c r="B116">
        <v>0</v>
      </c>
      <c r="C116">
        <v>15</v>
      </c>
      <c r="D116" t="s">
        <v>251</v>
      </c>
      <c r="E116">
        <v>3</v>
      </c>
      <c r="F116">
        <v>0</v>
      </c>
      <c r="G116" t="s">
        <v>318</v>
      </c>
      <c r="H1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113</v>
      </c>
      <c r="I116" t="str">
        <f>IF(DraftResults[[#This Row],[Player ID]]=0,"",INDEX(Table5[[#All],[Pos]],MATCH(DraftResults[[#This Row],[Player ID]],Table5[[#All],[PID]],0)))</f>
        <v/>
      </c>
      <c r="J116" t="str">
        <f>IF(DraftResults[[#This Row],[Player ID]]=0,"",INDEX(Table5[[#All],[First]],MATCH(DraftResults[[#This Row],[Player ID]],Table5[[#All],[PID]],0)))</f>
        <v/>
      </c>
      <c r="K116" t="str">
        <f>IF(DraftResults[[#This Row],[Player ID]]=0,"",INDEX(Table5[[#All],[Last]],MATCH(DraftResults[[#This Row],[Player ID]],Table5[[#All],[PID]],0)))</f>
        <v/>
      </c>
    </row>
    <row r="117" spans="1:11" x14ac:dyDescent="0.25">
      <c r="A117">
        <v>4</v>
      </c>
      <c r="B117">
        <v>0</v>
      </c>
      <c r="C117">
        <v>16</v>
      </c>
      <c r="D117" t="s">
        <v>483</v>
      </c>
      <c r="E117">
        <v>2</v>
      </c>
      <c r="F117">
        <v>0</v>
      </c>
      <c r="G117" t="s">
        <v>318</v>
      </c>
      <c r="H1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114</v>
      </c>
      <c r="I117" t="str">
        <f>IF(DraftResults[[#This Row],[Player ID]]=0,"",INDEX(Table5[[#All],[Pos]],MATCH(DraftResults[[#This Row],[Player ID]],Table5[[#All],[PID]],0)))</f>
        <v/>
      </c>
      <c r="J117" t="str">
        <f>IF(DraftResults[[#This Row],[Player ID]]=0,"",INDEX(Table5[[#All],[First]],MATCH(DraftResults[[#This Row],[Player ID]],Table5[[#All],[PID]],0)))</f>
        <v/>
      </c>
      <c r="K117" t="str">
        <f>IF(DraftResults[[#This Row],[Player ID]]=0,"",INDEX(Table5[[#All],[Last]],MATCH(DraftResults[[#This Row],[Player ID]],Table5[[#All],[PID]],0)))</f>
        <v/>
      </c>
    </row>
    <row r="118" spans="1:11" x14ac:dyDescent="0.25">
      <c r="A118">
        <v>4</v>
      </c>
      <c r="B118">
        <v>0</v>
      </c>
      <c r="C118">
        <v>17</v>
      </c>
      <c r="D118" t="s">
        <v>258</v>
      </c>
      <c r="E118">
        <v>16</v>
      </c>
      <c r="F118">
        <v>0</v>
      </c>
      <c r="G118" t="s">
        <v>318</v>
      </c>
      <c r="H1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115</v>
      </c>
      <c r="I118" t="str">
        <f>IF(DraftResults[[#This Row],[Player ID]]=0,"",INDEX(Table5[[#All],[Pos]],MATCH(DraftResults[[#This Row],[Player ID]],Table5[[#All],[PID]],0)))</f>
        <v/>
      </c>
      <c r="J118" t="str">
        <f>IF(DraftResults[[#This Row],[Player ID]]=0,"",INDEX(Table5[[#All],[First]],MATCH(DraftResults[[#This Row],[Player ID]],Table5[[#All],[PID]],0)))</f>
        <v/>
      </c>
      <c r="K118" t="str">
        <f>IF(DraftResults[[#This Row],[Player ID]]=0,"",INDEX(Table5[[#All],[Last]],MATCH(DraftResults[[#This Row],[Player ID]],Table5[[#All],[PID]],0)))</f>
        <v/>
      </c>
    </row>
    <row r="119" spans="1:11" x14ac:dyDescent="0.25">
      <c r="A119">
        <v>4</v>
      </c>
      <c r="B119">
        <v>0</v>
      </c>
      <c r="C119">
        <v>18</v>
      </c>
      <c r="D119" t="s">
        <v>696</v>
      </c>
      <c r="E119">
        <v>13</v>
      </c>
      <c r="F119">
        <v>0</v>
      </c>
      <c r="G119" t="s">
        <v>318</v>
      </c>
      <c r="H1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116</v>
      </c>
      <c r="I119" t="str">
        <f>IF(DraftResults[[#This Row],[Player ID]]=0,"",INDEX(Table5[[#All],[Pos]],MATCH(DraftResults[[#This Row],[Player ID]],Table5[[#All],[PID]],0)))</f>
        <v/>
      </c>
      <c r="J119" t="str">
        <f>IF(DraftResults[[#This Row],[Player ID]]=0,"",INDEX(Table5[[#All],[First]],MATCH(DraftResults[[#This Row],[Player ID]],Table5[[#All],[PID]],0)))</f>
        <v/>
      </c>
      <c r="K119" t="str">
        <f>IF(DraftResults[[#This Row],[Player ID]]=0,"",INDEX(Table5[[#All],[Last]],MATCH(DraftResults[[#This Row],[Player ID]],Table5[[#All],[PID]],0)))</f>
        <v/>
      </c>
    </row>
    <row r="120" spans="1:11" x14ac:dyDescent="0.25">
      <c r="A120">
        <v>4</v>
      </c>
      <c r="B120">
        <v>0</v>
      </c>
      <c r="C120">
        <v>19</v>
      </c>
      <c r="D120" t="s">
        <v>695</v>
      </c>
      <c r="E120">
        <v>160</v>
      </c>
      <c r="F120">
        <v>0</v>
      </c>
      <c r="G120" t="s">
        <v>318</v>
      </c>
      <c r="H1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117</v>
      </c>
      <c r="I120" t="str">
        <f>IF(DraftResults[[#This Row],[Player ID]]=0,"",INDEX(Table5[[#All],[Pos]],MATCH(DraftResults[[#This Row],[Player ID]],Table5[[#All],[PID]],0)))</f>
        <v/>
      </c>
      <c r="J120" t="str">
        <f>IF(DraftResults[[#This Row],[Player ID]]=0,"",INDEX(Table5[[#All],[First]],MATCH(DraftResults[[#This Row],[Player ID]],Table5[[#All],[PID]],0)))</f>
        <v/>
      </c>
      <c r="K120" t="str">
        <f>IF(DraftResults[[#This Row],[Player ID]]=0,"",INDEX(Table5[[#All],[Last]],MATCH(DraftResults[[#This Row],[Player ID]],Table5[[#All],[PID]],0)))</f>
        <v/>
      </c>
    </row>
    <row r="121" spans="1:11" x14ac:dyDescent="0.25">
      <c r="A121">
        <v>4</v>
      </c>
      <c r="B121">
        <v>0</v>
      </c>
      <c r="C121">
        <v>20</v>
      </c>
      <c r="D121" t="s">
        <v>487</v>
      </c>
      <c r="E121">
        <v>163</v>
      </c>
      <c r="F121">
        <v>0</v>
      </c>
      <c r="G121" t="s">
        <v>318</v>
      </c>
      <c r="H1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118</v>
      </c>
      <c r="I121" t="str">
        <f>IF(DraftResults[[#This Row],[Player ID]]=0,"",INDEX(Table5[[#All],[Pos]],MATCH(DraftResults[[#This Row],[Player ID]],Table5[[#All],[PID]],0)))</f>
        <v/>
      </c>
      <c r="J121" t="str">
        <f>IF(DraftResults[[#This Row],[Player ID]]=0,"",INDEX(Table5[[#All],[First]],MATCH(DraftResults[[#This Row],[Player ID]],Table5[[#All],[PID]],0)))</f>
        <v/>
      </c>
      <c r="K121" t="str">
        <f>IF(DraftResults[[#This Row],[Player ID]]=0,"",INDEX(Table5[[#All],[Last]],MATCH(DraftResults[[#This Row],[Player ID]],Table5[[#All],[PID]],0)))</f>
        <v/>
      </c>
    </row>
    <row r="122" spans="1:11" x14ac:dyDescent="0.25">
      <c r="A122">
        <v>4</v>
      </c>
      <c r="B122">
        <v>0</v>
      </c>
      <c r="C122">
        <v>21</v>
      </c>
      <c r="D122" t="s">
        <v>255</v>
      </c>
      <c r="E122">
        <v>20</v>
      </c>
      <c r="F122">
        <v>0</v>
      </c>
      <c r="G122" t="s">
        <v>318</v>
      </c>
      <c r="H1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119</v>
      </c>
      <c r="I122" t="str">
        <f>IF(DraftResults[[#This Row],[Player ID]]=0,"",INDEX(Table5[[#All],[Pos]],MATCH(DraftResults[[#This Row],[Player ID]],Table5[[#All],[PID]],0)))</f>
        <v/>
      </c>
      <c r="J122" t="str">
        <f>IF(DraftResults[[#This Row],[Player ID]]=0,"",INDEX(Table5[[#All],[First]],MATCH(DraftResults[[#This Row],[Player ID]],Table5[[#All],[PID]],0)))</f>
        <v/>
      </c>
      <c r="K122" t="str">
        <f>IF(DraftResults[[#This Row],[Player ID]]=0,"",INDEX(Table5[[#All],[Last]],MATCH(DraftResults[[#This Row],[Player ID]],Table5[[#All],[PID]],0)))</f>
        <v/>
      </c>
    </row>
    <row r="123" spans="1:11" x14ac:dyDescent="0.25">
      <c r="A123">
        <v>4</v>
      </c>
      <c r="B123">
        <v>0</v>
      </c>
      <c r="C123">
        <v>22</v>
      </c>
      <c r="D123" t="s">
        <v>485</v>
      </c>
      <c r="E123">
        <v>166</v>
      </c>
      <c r="F123">
        <v>0</v>
      </c>
      <c r="G123" t="s">
        <v>318</v>
      </c>
      <c r="H1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120</v>
      </c>
      <c r="I123" t="str">
        <f>IF(DraftResults[[#This Row],[Player ID]]=0,"",INDEX(Table5[[#All],[Pos]],MATCH(DraftResults[[#This Row],[Player ID]],Table5[[#All],[PID]],0)))</f>
        <v/>
      </c>
      <c r="J123" t="str">
        <f>IF(DraftResults[[#This Row],[Player ID]]=0,"",INDEX(Table5[[#All],[First]],MATCH(DraftResults[[#This Row],[Player ID]],Table5[[#All],[PID]],0)))</f>
        <v/>
      </c>
      <c r="K123" t="str">
        <f>IF(DraftResults[[#This Row],[Player ID]]=0,"",INDEX(Table5[[#All],[Last]],MATCH(DraftResults[[#This Row],[Player ID]],Table5[[#All],[PID]],0)))</f>
        <v/>
      </c>
    </row>
    <row r="124" spans="1:11" x14ac:dyDescent="0.25">
      <c r="A124">
        <v>4</v>
      </c>
      <c r="B124">
        <v>0</v>
      </c>
      <c r="C124">
        <v>23</v>
      </c>
      <c r="D124" t="s">
        <v>244</v>
      </c>
      <c r="E124">
        <v>22</v>
      </c>
      <c r="F124">
        <v>0</v>
      </c>
      <c r="G124" t="s">
        <v>318</v>
      </c>
      <c r="H1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121</v>
      </c>
      <c r="I124" t="str">
        <f>IF(DraftResults[[#This Row],[Player ID]]=0,"",INDEX(Table5[[#All],[Pos]],MATCH(DraftResults[[#This Row],[Player ID]],Table5[[#All],[PID]],0)))</f>
        <v/>
      </c>
      <c r="J124" t="str">
        <f>IF(DraftResults[[#This Row],[Player ID]]=0,"",INDEX(Table5[[#All],[First]],MATCH(DraftResults[[#This Row],[Player ID]],Table5[[#All],[PID]],0)))</f>
        <v/>
      </c>
      <c r="K124" t="str">
        <f>IF(DraftResults[[#This Row],[Player ID]]=0,"",INDEX(Table5[[#All],[Last]],MATCH(DraftResults[[#This Row],[Player ID]],Table5[[#All],[PID]],0)))</f>
        <v/>
      </c>
    </row>
    <row r="125" spans="1:11" x14ac:dyDescent="0.25">
      <c r="A125">
        <v>4</v>
      </c>
      <c r="B125">
        <v>0</v>
      </c>
      <c r="C125">
        <v>24</v>
      </c>
      <c r="D125" t="s">
        <v>257</v>
      </c>
      <c r="E125">
        <v>8</v>
      </c>
      <c r="F125">
        <v>0</v>
      </c>
      <c r="G125" t="s">
        <v>318</v>
      </c>
      <c r="H1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122</v>
      </c>
      <c r="I125" t="str">
        <f>IF(DraftResults[[#This Row],[Player ID]]=0,"",INDEX(Table5[[#All],[Pos]],MATCH(DraftResults[[#This Row],[Player ID]],Table5[[#All],[PID]],0)))</f>
        <v/>
      </c>
      <c r="J125" t="str">
        <f>IF(DraftResults[[#This Row],[Player ID]]=0,"",INDEX(Table5[[#All],[First]],MATCH(DraftResults[[#This Row],[Player ID]],Table5[[#All],[PID]],0)))</f>
        <v/>
      </c>
      <c r="K125" t="str">
        <f>IF(DraftResults[[#This Row],[Player ID]]=0,"",INDEX(Table5[[#All],[Last]],MATCH(DraftResults[[#This Row],[Player ID]],Table5[[#All],[PID]],0)))</f>
        <v/>
      </c>
    </row>
    <row r="126" spans="1:11" x14ac:dyDescent="0.25">
      <c r="A126">
        <v>4</v>
      </c>
      <c r="B126">
        <v>0</v>
      </c>
      <c r="C126">
        <v>25</v>
      </c>
      <c r="D126" t="s">
        <v>588</v>
      </c>
      <c r="E126">
        <v>4</v>
      </c>
      <c r="F126">
        <v>0</v>
      </c>
      <c r="G126" t="s">
        <v>318</v>
      </c>
      <c r="H1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123</v>
      </c>
      <c r="I126" t="str">
        <f>IF(DraftResults[[#This Row],[Player ID]]=0,"",INDEX(Table5[[#All],[Pos]],MATCH(DraftResults[[#This Row],[Player ID]],Table5[[#All],[PID]],0)))</f>
        <v/>
      </c>
      <c r="J126" t="str">
        <f>IF(DraftResults[[#This Row],[Player ID]]=0,"",INDEX(Table5[[#All],[First]],MATCH(DraftResults[[#This Row],[Player ID]],Table5[[#All],[PID]],0)))</f>
        <v/>
      </c>
      <c r="K126" t="str">
        <f>IF(DraftResults[[#This Row],[Player ID]]=0,"",INDEX(Table5[[#All],[Last]],MATCH(DraftResults[[#This Row],[Player ID]],Table5[[#All],[PID]],0)))</f>
        <v/>
      </c>
    </row>
    <row r="127" spans="1:11" x14ac:dyDescent="0.25">
      <c r="A127">
        <v>4</v>
      </c>
      <c r="B127">
        <v>0</v>
      </c>
      <c r="C127">
        <v>26</v>
      </c>
      <c r="D127" t="s">
        <v>486</v>
      </c>
      <c r="E127">
        <v>159</v>
      </c>
      <c r="F127">
        <v>0</v>
      </c>
      <c r="G127" t="s">
        <v>318</v>
      </c>
      <c r="H1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124</v>
      </c>
      <c r="I127" t="str">
        <f>IF(DraftResults[[#This Row],[Player ID]]=0,"",INDEX(Table5[[#All],[Pos]],MATCH(DraftResults[[#This Row],[Player ID]],Table5[[#All],[PID]],0)))</f>
        <v/>
      </c>
      <c r="J127" t="str">
        <f>IF(DraftResults[[#This Row],[Player ID]]=0,"",INDEX(Table5[[#All],[First]],MATCH(DraftResults[[#This Row],[Player ID]],Table5[[#All],[PID]],0)))</f>
        <v/>
      </c>
      <c r="K127" t="str">
        <f>IF(DraftResults[[#This Row],[Player ID]]=0,"",INDEX(Table5[[#All],[Last]],MATCH(DraftResults[[#This Row],[Player ID]],Table5[[#All],[PID]],0)))</f>
        <v/>
      </c>
    </row>
    <row r="128" spans="1:11" ht="15.75" customHeight="1" x14ac:dyDescent="0.25">
      <c r="A128">
        <v>4</v>
      </c>
      <c r="B128">
        <v>0</v>
      </c>
      <c r="C128">
        <v>27</v>
      </c>
      <c r="D128" t="s">
        <v>695</v>
      </c>
      <c r="E128">
        <v>160</v>
      </c>
      <c r="F128">
        <v>0</v>
      </c>
      <c r="G128" t="s">
        <v>318</v>
      </c>
      <c r="H1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125</v>
      </c>
      <c r="I128" t="str">
        <f>IF(DraftResults[[#This Row],[Player ID]]=0,"",INDEX(Table5[[#All],[Pos]],MATCH(DraftResults[[#This Row],[Player ID]],Table5[[#All],[PID]],0)))</f>
        <v/>
      </c>
      <c r="J128" t="str">
        <f>IF(DraftResults[[#This Row],[Player ID]]=0,"",INDEX(Table5[[#All],[First]],MATCH(DraftResults[[#This Row],[Player ID]],Table5[[#All],[PID]],0)))</f>
        <v/>
      </c>
      <c r="K128" t="str">
        <f>IF(DraftResults[[#This Row],[Player ID]]=0,"",INDEX(Table5[[#All],[Last]],MATCH(DraftResults[[#This Row],[Player ID]],Table5[[#All],[PID]],0)))</f>
        <v/>
      </c>
    </row>
    <row r="129" spans="1:11" x14ac:dyDescent="0.25">
      <c r="A129">
        <v>4</v>
      </c>
      <c r="B129">
        <v>0</v>
      </c>
      <c r="C129">
        <v>28</v>
      </c>
      <c r="D129" t="s">
        <v>486</v>
      </c>
      <c r="E129">
        <v>159</v>
      </c>
      <c r="F129">
        <v>0</v>
      </c>
      <c r="G129" t="s">
        <v>318</v>
      </c>
      <c r="H1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126</v>
      </c>
      <c r="I129" t="str">
        <f>IF(DraftResults[[#This Row],[Player ID]]=0,"",INDEX(Table5[[#All],[Pos]],MATCH(DraftResults[[#This Row],[Player ID]],Table5[[#All],[PID]],0)))</f>
        <v/>
      </c>
      <c r="J129" t="str">
        <f>IF(DraftResults[[#This Row],[Player ID]]=0,"",INDEX(Table5[[#All],[First]],MATCH(DraftResults[[#This Row],[Player ID]],Table5[[#All],[PID]],0)))</f>
        <v/>
      </c>
      <c r="K129" t="str">
        <f>IF(DraftResults[[#This Row],[Player ID]]=0,"",INDEX(Table5[[#All],[Last]],MATCH(DraftResults[[#This Row],[Player ID]],Table5[[#All],[PID]],0)))</f>
        <v/>
      </c>
    </row>
    <row r="130" spans="1:11" x14ac:dyDescent="0.25">
      <c r="A130">
        <v>4</v>
      </c>
      <c r="B130">
        <v>0</v>
      </c>
      <c r="C130">
        <v>29</v>
      </c>
      <c r="D130" t="s">
        <v>249</v>
      </c>
      <c r="E130">
        <v>11</v>
      </c>
      <c r="F130">
        <v>0</v>
      </c>
      <c r="G130" t="s">
        <v>318</v>
      </c>
      <c r="H1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127</v>
      </c>
      <c r="I130" t="str">
        <f>IF(DraftResults[[#This Row],[Player ID]]=0,"",INDEX(Table5[[#All],[Pos]],MATCH(DraftResults[[#This Row],[Player ID]],Table5[[#All],[PID]],0)))</f>
        <v/>
      </c>
      <c r="J130" t="str">
        <f>IF(DraftResults[[#This Row],[Player ID]]=0,"",INDEX(Table5[[#All],[First]],MATCH(DraftResults[[#This Row],[Player ID]],Table5[[#All],[PID]],0)))</f>
        <v/>
      </c>
      <c r="K130" t="str">
        <f>IF(DraftResults[[#This Row],[Player ID]]=0,"",INDEX(Table5[[#All],[Last]],MATCH(DraftResults[[#This Row],[Player ID]],Table5[[#All],[PID]],0)))</f>
        <v/>
      </c>
    </row>
    <row r="131" spans="1:11" x14ac:dyDescent="0.25">
      <c r="A131">
        <v>5</v>
      </c>
      <c r="B131">
        <v>0</v>
      </c>
      <c r="C131">
        <v>1</v>
      </c>
      <c r="D131" t="s">
        <v>694</v>
      </c>
      <c r="E131">
        <v>24</v>
      </c>
      <c r="F131">
        <v>0</v>
      </c>
      <c r="G131" t="s">
        <v>318</v>
      </c>
      <c r="H1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128</v>
      </c>
      <c r="I131" t="str">
        <f>IF(DraftResults[[#This Row],[Player ID]]=0,"",INDEX(Table5[[#All],[Pos]],MATCH(DraftResults[[#This Row],[Player ID]],Table5[[#All],[PID]],0)))</f>
        <v/>
      </c>
      <c r="J131" t="str">
        <f>IF(DraftResults[[#This Row],[Player ID]]=0,"",INDEX(Table5[[#All],[First]],MATCH(DraftResults[[#This Row],[Player ID]],Table5[[#All],[PID]],0)))</f>
        <v/>
      </c>
      <c r="K131" t="str">
        <f>IF(DraftResults[[#This Row],[Player ID]]=0,"",INDEX(Table5[[#All],[Last]],MATCH(DraftResults[[#This Row],[Player ID]],Table5[[#All],[PID]],0)))</f>
        <v/>
      </c>
    </row>
    <row r="132" spans="1:11" x14ac:dyDescent="0.25">
      <c r="A132">
        <v>5</v>
      </c>
      <c r="B132">
        <v>0</v>
      </c>
      <c r="C132">
        <v>2</v>
      </c>
      <c r="D132" t="s">
        <v>694</v>
      </c>
      <c r="E132">
        <v>24</v>
      </c>
      <c r="F132">
        <v>0</v>
      </c>
      <c r="G132" t="s">
        <v>318</v>
      </c>
      <c r="H1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129</v>
      </c>
      <c r="I132" t="str">
        <f>IF(DraftResults[[#This Row],[Player ID]]=0,"",INDEX(Table5[[#All],[Pos]],MATCH(DraftResults[[#This Row],[Player ID]],Table5[[#All],[PID]],0)))</f>
        <v/>
      </c>
      <c r="J132" t="str">
        <f>IF(DraftResults[[#This Row],[Player ID]]=0,"",INDEX(Table5[[#All],[First]],MATCH(DraftResults[[#This Row],[Player ID]],Table5[[#All],[PID]],0)))</f>
        <v/>
      </c>
      <c r="K132" t="str">
        <f>IF(DraftResults[[#This Row],[Player ID]]=0,"",INDEX(Table5[[#All],[Last]],MATCH(DraftResults[[#This Row],[Player ID]],Table5[[#All],[PID]],0)))</f>
        <v/>
      </c>
    </row>
    <row r="133" spans="1:11" x14ac:dyDescent="0.25">
      <c r="A133">
        <v>5</v>
      </c>
      <c r="B133">
        <v>0</v>
      </c>
      <c r="C133">
        <v>3</v>
      </c>
      <c r="D133" t="s">
        <v>697</v>
      </c>
      <c r="E133">
        <v>23</v>
      </c>
      <c r="F133">
        <v>0</v>
      </c>
      <c r="G133" t="s">
        <v>318</v>
      </c>
      <c r="H1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130</v>
      </c>
      <c r="I133" t="str">
        <f>IF(DraftResults[[#This Row],[Player ID]]=0,"",INDEX(Table5[[#All],[Pos]],MATCH(DraftResults[[#This Row],[Player ID]],Table5[[#All],[PID]],0)))</f>
        <v/>
      </c>
      <c r="J133" t="str">
        <f>IF(DraftResults[[#This Row],[Player ID]]=0,"",INDEX(Table5[[#All],[First]],MATCH(DraftResults[[#This Row],[Player ID]],Table5[[#All],[PID]],0)))</f>
        <v/>
      </c>
      <c r="K133" t="str">
        <f>IF(DraftResults[[#This Row],[Player ID]]=0,"",INDEX(Table5[[#All],[Last]],MATCH(DraftResults[[#This Row],[Player ID]],Table5[[#All],[PID]],0)))</f>
        <v/>
      </c>
    </row>
    <row r="134" spans="1:11" x14ac:dyDescent="0.25">
      <c r="A134">
        <v>5</v>
      </c>
      <c r="B134">
        <v>0</v>
      </c>
      <c r="C134">
        <v>4</v>
      </c>
      <c r="D134" t="s">
        <v>249</v>
      </c>
      <c r="E134">
        <v>11</v>
      </c>
      <c r="F134">
        <v>0</v>
      </c>
      <c r="G134" t="s">
        <v>318</v>
      </c>
      <c r="H1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131</v>
      </c>
      <c r="I134" t="str">
        <f>IF(DraftResults[[#This Row],[Player ID]]=0,"",INDEX(Table5[[#All],[Pos]],MATCH(DraftResults[[#This Row],[Player ID]],Table5[[#All],[PID]],0)))</f>
        <v/>
      </c>
      <c r="J134" t="str">
        <f>IF(DraftResults[[#This Row],[Player ID]]=0,"",INDEX(Table5[[#All],[First]],MATCH(DraftResults[[#This Row],[Player ID]],Table5[[#All],[PID]],0)))</f>
        <v/>
      </c>
      <c r="K134" t="str">
        <f>IF(DraftResults[[#This Row],[Player ID]]=0,"",INDEX(Table5[[#All],[Last]],MATCH(DraftResults[[#This Row],[Player ID]],Table5[[#All],[PID]],0)))</f>
        <v/>
      </c>
    </row>
    <row r="135" spans="1:11" x14ac:dyDescent="0.25">
      <c r="A135">
        <v>5</v>
      </c>
      <c r="B135">
        <v>0</v>
      </c>
      <c r="C135">
        <v>5</v>
      </c>
      <c r="D135" t="s">
        <v>484</v>
      </c>
      <c r="E135">
        <v>164</v>
      </c>
      <c r="F135">
        <v>0</v>
      </c>
      <c r="G135" t="s">
        <v>318</v>
      </c>
      <c r="H1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132</v>
      </c>
      <c r="I135" t="str">
        <f>IF(DraftResults[[#This Row],[Player ID]]=0,"",INDEX(Table5[[#All],[Pos]],MATCH(DraftResults[[#This Row],[Player ID]],Table5[[#All],[PID]],0)))</f>
        <v/>
      </c>
      <c r="J135" t="str">
        <f>IF(DraftResults[[#This Row],[Player ID]]=0,"",INDEX(Table5[[#All],[First]],MATCH(DraftResults[[#This Row],[Player ID]],Table5[[#All],[PID]],0)))</f>
        <v/>
      </c>
      <c r="K135" t="str">
        <f>IF(DraftResults[[#This Row],[Player ID]]=0,"",INDEX(Table5[[#All],[Last]],MATCH(DraftResults[[#This Row],[Player ID]],Table5[[#All],[PID]],0)))</f>
        <v/>
      </c>
    </row>
    <row r="136" spans="1:11" x14ac:dyDescent="0.25">
      <c r="A136">
        <v>5</v>
      </c>
      <c r="B136">
        <v>0</v>
      </c>
      <c r="C136">
        <v>6</v>
      </c>
      <c r="D136" t="s">
        <v>588</v>
      </c>
      <c r="E136">
        <v>4</v>
      </c>
      <c r="F136">
        <v>0</v>
      </c>
      <c r="G136" t="s">
        <v>318</v>
      </c>
      <c r="H1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133</v>
      </c>
      <c r="I136" t="str">
        <f>IF(DraftResults[[#This Row],[Player ID]]=0,"",INDEX(Table5[[#All],[Pos]],MATCH(DraftResults[[#This Row],[Player ID]],Table5[[#All],[PID]],0)))</f>
        <v/>
      </c>
      <c r="J136" t="str">
        <f>IF(DraftResults[[#This Row],[Player ID]]=0,"",INDEX(Table5[[#All],[First]],MATCH(DraftResults[[#This Row],[Player ID]],Table5[[#All],[PID]],0)))</f>
        <v/>
      </c>
      <c r="K136" t="str">
        <f>IF(DraftResults[[#This Row],[Player ID]]=0,"",INDEX(Table5[[#All],[Last]],MATCH(DraftResults[[#This Row],[Player ID]],Table5[[#All],[PID]],0)))</f>
        <v/>
      </c>
    </row>
    <row r="137" spans="1:11" x14ac:dyDescent="0.25">
      <c r="A137">
        <v>5</v>
      </c>
      <c r="B137">
        <v>0</v>
      </c>
      <c r="C137">
        <v>7</v>
      </c>
      <c r="D137" t="s">
        <v>587</v>
      </c>
      <c r="E137">
        <v>7</v>
      </c>
      <c r="F137">
        <v>0</v>
      </c>
      <c r="G137" t="s">
        <v>318</v>
      </c>
      <c r="H1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134</v>
      </c>
      <c r="I137" t="str">
        <f>IF(DraftResults[[#This Row],[Player ID]]=0,"",INDEX(Table5[[#All],[Pos]],MATCH(DraftResults[[#This Row],[Player ID]],Table5[[#All],[PID]],0)))</f>
        <v/>
      </c>
      <c r="J137" t="str">
        <f>IF(DraftResults[[#This Row],[Player ID]]=0,"",INDEX(Table5[[#All],[First]],MATCH(DraftResults[[#This Row],[Player ID]],Table5[[#All],[PID]],0)))</f>
        <v/>
      </c>
      <c r="K137" t="str">
        <f>IF(DraftResults[[#This Row],[Player ID]]=0,"",INDEX(Table5[[#All],[Last]],MATCH(DraftResults[[#This Row],[Player ID]],Table5[[#All],[PID]],0)))</f>
        <v/>
      </c>
    </row>
    <row r="138" spans="1:11" x14ac:dyDescent="0.25">
      <c r="A138">
        <v>5</v>
      </c>
      <c r="B138">
        <v>0</v>
      </c>
      <c r="C138">
        <v>8</v>
      </c>
      <c r="D138" t="s">
        <v>246</v>
      </c>
      <c r="E138">
        <v>21</v>
      </c>
      <c r="F138">
        <v>0</v>
      </c>
      <c r="G138" t="s">
        <v>318</v>
      </c>
      <c r="H1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135</v>
      </c>
      <c r="I138" t="str">
        <f>IF(DraftResults[[#This Row],[Player ID]]=0,"",INDEX(Table5[[#All],[Pos]],MATCH(DraftResults[[#This Row],[Player ID]],Table5[[#All],[PID]],0)))</f>
        <v/>
      </c>
      <c r="J138" t="str">
        <f>IF(DraftResults[[#This Row],[Player ID]]=0,"",INDEX(Table5[[#All],[First]],MATCH(DraftResults[[#This Row],[Player ID]],Table5[[#All],[PID]],0)))</f>
        <v/>
      </c>
      <c r="K138" t="str">
        <f>IF(DraftResults[[#This Row],[Player ID]]=0,"",INDEX(Table5[[#All],[Last]],MATCH(DraftResults[[#This Row],[Player ID]],Table5[[#All],[PID]],0)))</f>
        <v/>
      </c>
    </row>
    <row r="139" spans="1:11" x14ac:dyDescent="0.25">
      <c r="A139">
        <v>5</v>
      </c>
      <c r="B139">
        <v>0</v>
      </c>
      <c r="C139">
        <v>9</v>
      </c>
      <c r="D139" t="s">
        <v>696</v>
      </c>
      <c r="E139">
        <v>13</v>
      </c>
      <c r="F139">
        <v>0</v>
      </c>
      <c r="G139" t="s">
        <v>318</v>
      </c>
      <c r="H1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136</v>
      </c>
      <c r="I139" t="str">
        <f>IF(DraftResults[[#This Row],[Player ID]]=0,"",INDEX(Table5[[#All],[Pos]],MATCH(DraftResults[[#This Row],[Player ID]],Table5[[#All],[PID]],0)))</f>
        <v/>
      </c>
      <c r="J139" t="str">
        <f>IF(DraftResults[[#This Row],[Player ID]]=0,"",INDEX(Table5[[#All],[First]],MATCH(DraftResults[[#This Row],[Player ID]],Table5[[#All],[PID]],0)))</f>
        <v/>
      </c>
      <c r="K139" t="str">
        <f>IF(DraftResults[[#This Row],[Player ID]]=0,"",INDEX(Table5[[#All],[Last]],MATCH(DraftResults[[#This Row],[Player ID]],Table5[[#All],[PID]],0)))</f>
        <v/>
      </c>
    </row>
    <row r="140" spans="1:11" x14ac:dyDescent="0.25">
      <c r="A140">
        <v>5</v>
      </c>
      <c r="B140">
        <v>0</v>
      </c>
      <c r="C140">
        <v>10</v>
      </c>
      <c r="D140" t="s">
        <v>251</v>
      </c>
      <c r="E140">
        <v>3</v>
      </c>
      <c r="F140">
        <v>0</v>
      </c>
      <c r="G140" t="s">
        <v>318</v>
      </c>
      <c r="H1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137</v>
      </c>
      <c r="I140" t="str">
        <f>IF(DraftResults[[#This Row],[Player ID]]=0,"",INDEX(Table5[[#All],[Pos]],MATCH(DraftResults[[#This Row],[Player ID]],Table5[[#All],[PID]],0)))</f>
        <v/>
      </c>
      <c r="J140" t="str">
        <f>IF(DraftResults[[#This Row],[Player ID]]=0,"",INDEX(Table5[[#All],[First]],MATCH(DraftResults[[#This Row],[Player ID]],Table5[[#All],[PID]],0)))</f>
        <v/>
      </c>
      <c r="K140" t="str">
        <f>IF(DraftResults[[#This Row],[Player ID]]=0,"",INDEX(Table5[[#All],[Last]],MATCH(DraftResults[[#This Row],[Player ID]],Table5[[#All],[PID]],0)))</f>
        <v/>
      </c>
    </row>
    <row r="141" spans="1:11" x14ac:dyDescent="0.25">
      <c r="A141">
        <v>5</v>
      </c>
      <c r="B141">
        <v>0</v>
      </c>
      <c r="C141">
        <v>11</v>
      </c>
      <c r="D141" t="s">
        <v>257</v>
      </c>
      <c r="E141">
        <v>8</v>
      </c>
      <c r="F141">
        <v>0</v>
      </c>
      <c r="G141" t="s">
        <v>318</v>
      </c>
      <c r="H1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138</v>
      </c>
      <c r="I141" t="str">
        <f>IF(DraftResults[[#This Row],[Player ID]]=0,"",INDEX(Table5[[#All],[Pos]],MATCH(DraftResults[[#This Row],[Player ID]],Table5[[#All],[PID]],0)))</f>
        <v/>
      </c>
      <c r="J141" t="str">
        <f>IF(DraftResults[[#This Row],[Player ID]]=0,"",INDEX(Table5[[#All],[First]],MATCH(DraftResults[[#This Row],[Player ID]],Table5[[#All],[PID]],0)))</f>
        <v/>
      </c>
      <c r="K141" t="str">
        <f>IF(DraftResults[[#This Row],[Player ID]]=0,"",INDEX(Table5[[#All],[Last]],MATCH(DraftResults[[#This Row],[Player ID]],Table5[[#All],[PID]],0)))</f>
        <v/>
      </c>
    </row>
    <row r="142" spans="1:11" x14ac:dyDescent="0.25">
      <c r="A142">
        <v>5</v>
      </c>
      <c r="B142">
        <v>0</v>
      </c>
      <c r="C142">
        <v>12</v>
      </c>
      <c r="D142" t="s">
        <v>249</v>
      </c>
      <c r="E142">
        <v>11</v>
      </c>
      <c r="F142">
        <v>0</v>
      </c>
      <c r="G142" t="s">
        <v>318</v>
      </c>
      <c r="H1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139</v>
      </c>
      <c r="I142" t="str">
        <f>IF(DraftResults[[#This Row],[Player ID]]=0,"",INDEX(Table5[[#All],[Pos]],MATCH(DraftResults[[#This Row],[Player ID]],Table5[[#All],[PID]],0)))</f>
        <v/>
      </c>
      <c r="J142" t="str">
        <f>IF(DraftResults[[#This Row],[Player ID]]=0,"",INDEX(Table5[[#All],[First]],MATCH(DraftResults[[#This Row],[Player ID]],Table5[[#All],[PID]],0)))</f>
        <v/>
      </c>
      <c r="K142" t="str">
        <f>IF(DraftResults[[#This Row],[Player ID]]=0,"",INDEX(Table5[[#All],[Last]],MATCH(DraftResults[[#This Row],[Player ID]],Table5[[#All],[PID]],0)))</f>
        <v/>
      </c>
    </row>
    <row r="143" spans="1:11" x14ac:dyDescent="0.25">
      <c r="A143">
        <v>5</v>
      </c>
      <c r="B143">
        <v>0</v>
      </c>
      <c r="C143">
        <v>13</v>
      </c>
      <c r="D143" t="s">
        <v>489</v>
      </c>
      <c r="E143">
        <v>18</v>
      </c>
      <c r="F143">
        <v>0</v>
      </c>
      <c r="G143" t="s">
        <v>318</v>
      </c>
      <c r="H1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140</v>
      </c>
      <c r="I143" t="str">
        <f>IF(DraftResults[[#This Row],[Player ID]]=0,"",INDEX(Table5[[#All],[Pos]],MATCH(DraftResults[[#This Row],[Player ID]],Table5[[#All],[PID]],0)))</f>
        <v/>
      </c>
      <c r="J143" t="str">
        <f>IF(DraftResults[[#This Row],[Player ID]]=0,"",INDEX(Table5[[#All],[First]],MATCH(DraftResults[[#This Row],[Player ID]],Table5[[#All],[PID]],0)))</f>
        <v/>
      </c>
      <c r="K143" t="str">
        <f>IF(DraftResults[[#This Row],[Player ID]]=0,"",INDEX(Table5[[#All],[Last]],MATCH(DraftResults[[#This Row],[Player ID]],Table5[[#All],[PID]],0)))</f>
        <v/>
      </c>
    </row>
    <row r="144" spans="1:11" x14ac:dyDescent="0.25">
      <c r="A144">
        <v>5</v>
      </c>
      <c r="B144">
        <v>0</v>
      </c>
      <c r="C144">
        <v>14</v>
      </c>
      <c r="D144" t="s">
        <v>250</v>
      </c>
      <c r="E144">
        <v>10</v>
      </c>
      <c r="F144">
        <v>0</v>
      </c>
      <c r="G144" t="s">
        <v>318</v>
      </c>
      <c r="H1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141</v>
      </c>
      <c r="I144" t="str">
        <f>IF(DraftResults[[#This Row],[Player ID]]=0,"",INDEX(Table5[[#All],[Pos]],MATCH(DraftResults[[#This Row],[Player ID]],Table5[[#All],[PID]],0)))</f>
        <v/>
      </c>
      <c r="J144" t="str">
        <f>IF(DraftResults[[#This Row],[Player ID]]=0,"",INDEX(Table5[[#All],[First]],MATCH(DraftResults[[#This Row],[Player ID]],Table5[[#All],[PID]],0)))</f>
        <v/>
      </c>
      <c r="K144" t="str">
        <f>IF(DraftResults[[#This Row],[Player ID]]=0,"",INDEX(Table5[[#All],[Last]],MATCH(DraftResults[[#This Row],[Player ID]],Table5[[#All],[PID]],0)))</f>
        <v/>
      </c>
    </row>
    <row r="145" spans="1:11" x14ac:dyDescent="0.25">
      <c r="A145">
        <v>5</v>
      </c>
      <c r="B145">
        <v>0</v>
      </c>
      <c r="C145">
        <v>15</v>
      </c>
      <c r="D145" t="s">
        <v>482</v>
      </c>
      <c r="E145">
        <v>162</v>
      </c>
      <c r="F145">
        <v>0</v>
      </c>
      <c r="G145" t="s">
        <v>318</v>
      </c>
      <c r="H1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142</v>
      </c>
      <c r="I145" t="str">
        <f>IF(DraftResults[[#This Row],[Player ID]]=0,"",INDEX(Table5[[#All],[Pos]],MATCH(DraftResults[[#This Row],[Player ID]],Table5[[#All],[PID]],0)))</f>
        <v/>
      </c>
      <c r="J145" t="str">
        <f>IF(DraftResults[[#This Row],[Player ID]]=0,"",INDEX(Table5[[#All],[First]],MATCH(DraftResults[[#This Row],[Player ID]],Table5[[#All],[PID]],0)))</f>
        <v/>
      </c>
      <c r="K145" t="str">
        <f>IF(DraftResults[[#This Row],[Player ID]]=0,"",INDEX(Table5[[#All],[Last]],MATCH(DraftResults[[#This Row],[Player ID]],Table5[[#All],[PID]],0)))</f>
        <v/>
      </c>
    </row>
    <row r="146" spans="1:11" x14ac:dyDescent="0.25">
      <c r="A146">
        <v>5</v>
      </c>
      <c r="B146">
        <v>0</v>
      </c>
      <c r="C146">
        <v>16</v>
      </c>
      <c r="D146" t="s">
        <v>483</v>
      </c>
      <c r="E146">
        <v>2</v>
      </c>
      <c r="F146">
        <v>0</v>
      </c>
      <c r="G146" t="s">
        <v>318</v>
      </c>
      <c r="H1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143</v>
      </c>
      <c r="I146" t="str">
        <f>IF(DraftResults[[#This Row],[Player ID]]=0,"",INDEX(Table5[[#All],[Pos]],MATCH(DraftResults[[#This Row],[Player ID]],Table5[[#All],[PID]],0)))</f>
        <v/>
      </c>
      <c r="J146" t="str">
        <f>IF(DraftResults[[#This Row],[Player ID]]=0,"",INDEX(Table5[[#All],[First]],MATCH(DraftResults[[#This Row],[Player ID]],Table5[[#All],[PID]],0)))</f>
        <v/>
      </c>
      <c r="K146" t="str">
        <f>IF(DraftResults[[#This Row],[Player ID]]=0,"",INDEX(Table5[[#All],[Last]],MATCH(DraftResults[[#This Row],[Player ID]],Table5[[#All],[PID]],0)))</f>
        <v/>
      </c>
    </row>
    <row r="147" spans="1:11" x14ac:dyDescent="0.25">
      <c r="A147">
        <v>5</v>
      </c>
      <c r="B147">
        <v>0</v>
      </c>
      <c r="C147">
        <v>17</v>
      </c>
      <c r="D147" t="s">
        <v>258</v>
      </c>
      <c r="E147">
        <v>16</v>
      </c>
      <c r="F147">
        <v>0</v>
      </c>
      <c r="G147" t="s">
        <v>318</v>
      </c>
      <c r="H1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144</v>
      </c>
      <c r="I147" t="str">
        <f>IF(DraftResults[[#This Row],[Player ID]]=0,"",INDEX(Table5[[#All],[Pos]],MATCH(DraftResults[[#This Row],[Player ID]],Table5[[#All],[PID]],0)))</f>
        <v/>
      </c>
      <c r="J147" t="str">
        <f>IF(DraftResults[[#This Row],[Player ID]]=0,"",INDEX(Table5[[#All],[First]],MATCH(DraftResults[[#This Row],[Player ID]],Table5[[#All],[PID]],0)))</f>
        <v/>
      </c>
      <c r="K147" t="str">
        <f>IF(DraftResults[[#This Row],[Player ID]]=0,"",INDEX(Table5[[#All],[Last]],MATCH(DraftResults[[#This Row],[Player ID]],Table5[[#All],[PID]],0)))</f>
        <v/>
      </c>
    </row>
    <row r="148" spans="1:11" x14ac:dyDescent="0.25">
      <c r="A148">
        <v>5</v>
      </c>
      <c r="B148">
        <v>0</v>
      </c>
      <c r="C148">
        <v>18</v>
      </c>
      <c r="D148" t="s">
        <v>486</v>
      </c>
      <c r="E148">
        <v>159</v>
      </c>
      <c r="F148">
        <v>0</v>
      </c>
      <c r="G148" t="s">
        <v>318</v>
      </c>
      <c r="H1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145</v>
      </c>
      <c r="I148" t="str">
        <f>IF(DraftResults[[#This Row],[Player ID]]=0,"",INDEX(Table5[[#All],[Pos]],MATCH(DraftResults[[#This Row],[Player ID]],Table5[[#All],[PID]],0)))</f>
        <v/>
      </c>
      <c r="J148" t="str">
        <f>IF(DraftResults[[#This Row],[Player ID]]=0,"",INDEX(Table5[[#All],[First]],MATCH(DraftResults[[#This Row],[Player ID]],Table5[[#All],[PID]],0)))</f>
        <v/>
      </c>
      <c r="K148" t="str">
        <f>IF(DraftResults[[#This Row],[Player ID]]=0,"",INDEX(Table5[[#All],[Last]],MATCH(DraftResults[[#This Row],[Player ID]],Table5[[#All],[PID]],0)))</f>
        <v/>
      </c>
    </row>
    <row r="149" spans="1:11" x14ac:dyDescent="0.25">
      <c r="A149">
        <v>5</v>
      </c>
      <c r="B149">
        <v>0</v>
      </c>
      <c r="C149">
        <v>19</v>
      </c>
      <c r="D149" t="s">
        <v>257</v>
      </c>
      <c r="E149">
        <v>8</v>
      </c>
      <c r="F149">
        <v>0</v>
      </c>
      <c r="G149" t="s">
        <v>318</v>
      </c>
      <c r="H1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146</v>
      </c>
      <c r="I149" t="str">
        <f>IF(DraftResults[[#This Row],[Player ID]]=0,"",INDEX(Table5[[#All],[Pos]],MATCH(DraftResults[[#This Row],[Player ID]],Table5[[#All],[PID]],0)))</f>
        <v/>
      </c>
      <c r="J149" t="str">
        <f>IF(DraftResults[[#This Row],[Player ID]]=0,"",INDEX(Table5[[#All],[First]],MATCH(DraftResults[[#This Row],[Player ID]],Table5[[#All],[PID]],0)))</f>
        <v/>
      </c>
      <c r="K149" t="str">
        <f>IF(DraftResults[[#This Row],[Player ID]]=0,"",INDEX(Table5[[#All],[Last]],MATCH(DraftResults[[#This Row],[Player ID]],Table5[[#All],[PID]],0)))</f>
        <v/>
      </c>
    </row>
    <row r="150" spans="1:11" x14ac:dyDescent="0.25">
      <c r="A150">
        <v>5</v>
      </c>
      <c r="B150">
        <v>0</v>
      </c>
      <c r="C150">
        <v>20</v>
      </c>
      <c r="D150" t="s">
        <v>249</v>
      </c>
      <c r="E150">
        <v>11</v>
      </c>
      <c r="F150">
        <v>0</v>
      </c>
      <c r="G150" t="s">
        <v>318</v>
      </c>
      <c r="H1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147</v>
      </c>
      <c r="I150" t="str">
        <f>IF(DraftResults[[#This Row],[Player ID]]=0,"",INDEX(Table5[[#All],[Pos]],MATCH(DraftResults[[#This Row],[Player ID]],Table5[[#All],[PID]],0)))</f>
        <v/>
      </c>
      <c r="J150" t="str">
        <f>IF(DraftResults[[#This Row],[Player ID]]=0,"",INDEX(Table5[[#All],[First]],MATCH(DraftResults[[#This Row],[Player ID]],Table5[[#All],[PID]],0)))</f>
        <v/>
      </c>
      <c r="K150" t="str">
        <f>IF(DraftResults[[#This Row],[Player ID]]=0,"",INDEX(Table5[[#All],[Last]],MATCH(DraftResults[[#This Row],[Player ID]],Table5[[#All],[PID]],0)))</f>
        <v/>
      </c>
    </row>
    <row r="151" spans="1:11" x14ac:dyDescent="0.25">
      <c r="A151">
        <v>5</v>
      </c>
      <c r="B151">
        <v>0</v>
      </c>
      <c r="C151">
        <v>21</v>
      </c>
      <c r="D151" t="s">
        <v>255</v>
      </c>
      <c r="E151">
        <v>20</v>
      </c>
      <c r="F151">
        <v>0</v>
      </c>
      <c r="G151" t="s">
        <v>318</v>
      </c>
      <c r="H1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148</v>
      </c>
      <c r="I151" t="str">
        <f>IF(DraftResults[[#This Row],[Player ID]]=0,"",INDEX(Table5[[#All],[Pos]],MATCH(DraftResults[[#This Row],[Player ID]],Table5[[#All],[PID]],0)))</f>
        <v/>
      </c>
      <c r="J151" t="str">
        <f>IF(DraftResults[[#This Row],[Player ID]]=0,"",INDEX(Table5[[#All],[First]],MATCH(DraftResults[[#This Row],[Player ID]],Table5[[#All],[PID]],0)))</f>
        <v/>
      </c>
      <c r="K151" t="str">
        <f>IF(DraftResults[[#This Row],[Player ID]]=0,"",INDEX(Table5[[#All],[Last]],MATCH(DraftResults[[#This Row],[Player ID]],Table5[[#All],[PID]],0)))</f>
        <v/>
      </c>
    </row>
    <row r="152" spans="1:11" x14ac:dyDescent="0.25">
      <c r="A152">
        <v>5</v>
      </c>
      <c r="B152">
        <v>0</v>
      </c>
      <c r="C152">
        <v>22</v>
      </c>
      <c r="D152" t="s">
        <v>485</v>
      </c>
      <c r="E152">
        <v>166</v>
      </c>
      <c r="F152">
        <v>0</v>
      </c>
      <c r="G152" t="s">
        <v>318</v>
      </c>
      <c r="H1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149</v>
      </c>
      <c r="I152" t="str">
        <f>IF(DraftResults[[#This Row],[Player ID]]=0,"",INDEX(Table5[[#All],[Pos]],MATCH(DraftResults[[#This Row],[Player ID]],Table5[[#All],[PID]],0)))</f>
        <v/>
      </c>
      <c r="J152" t="str">
        <f>IF(DraftResults[[#This Row],[Player ID]]=0,"",INDEX(Table5[[#All],[First]],MATCH(DraftResults[[#This Row],[Player ID]],Table5[[#All],[PID]],0)))</f>
        <v/>
      </c>
      <c r="K152" t="str">
        <f>IF(DraftResults[[#This Row],[Player ID]]=0,"",INDEX(Table5[[#All],[Last]],MATCH(DraftResults[[#This Row],[Player ID]],Table5[[#All],[PID]],0)))</f>
        <v/>
      </c>
    </row>
    <row r="153" spans="1:11" x14ac:dyDescent="0.25">
      <c r="A153">
        <v>5</v>
      </c>
      <c r="B153">
        <v>0</v>
      </c>
      <c r="C153">
        <v>23</v>
      </c>
      <c r="D153" t="s">
        <v>244</v>
      </c>
      <c r="E153">
        <v>22</v>
      </c>
      <c r="F153">
        <v>0</v>
      </c>
      <c r="G153" t="s">
        <v>318</v>
      </c>
      <c r="H1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150</v>
      </c>
      <c r="I153" t="str">
        <f>IF(DraftResults[[#This Row],[Player ID]]=0,"",INDEX(Table5[[#All],[Pos]],MATCH(DraftResults[[#This Row],[Player ID]],Table5[[#All],[PID]],0)))</f>
        <v/>
      </c>
      <c r="J153" t="str">
        <f>IF(DraftResults[[#This Row],[Player ID]]=0,"",INDEX(Table5[[#All],[First]],MATCH(DraftResults[[#This Row],[Player ID]],Table5[[#All],[PID]],0)))</f>
        <v/>
      </c>
      <c r="K153" t="str">
        <f>IF(DraftResults[[#This Row],[Player ID]]=0,"",INDEX(Table5[[#All],[Last]],MATCH(DraftResults[[#This Row],[Player ID]],Table5[[#All],[PID]],0)))</f>
        <v/>
      </c>
    </row>
    <row r="154" spans="1:11" ht="15.75" customHeight="1" x14ac:dyDescent="0.25">
      <c r="A154">
        <v>5</v>
      </c>
      <c r="B154">
        <v>0</v>
      </c>
      <c r="C154">
        <v>24</v>
      </c>
      <c r="D154" t="s">
        <v>257</v>
      </c>
      <c r="E154">
        <v>8</v>
      </c>
      <c r="F154">
        <v>0</v>
      </c>
      <c r="G154" t="s">
        <v>318</v>
      </c>
      <c r="H1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151</v>
      </c>
      <c r="I154" t="str">
        <f>IF(DraftResults[[#This Row],[Player ID]]=0,"",INDEX(Table5[[#All],[Pos]],MATCH(DraftResults[[#This Row],[Player ID]],Table5[[#All],[PID]],0)))</f>
        <v/>
      </c>
      <c r="J154" t="str">
        <f>IF(DraftResults[[#This Row],[Player ID]]=0,"",INDEX(Table5[[#All],[First]],MATCH(DraftResults[[#This Row],[Player ID]],Table5[[#All],[PID]],0)))</f>
        <v/>
      </c>
      <c r="K154" t="str">
        <f>IF(DraftResults[[#This Row],[Player ID]]=0,"",INDEX(Table5[[#All],[Last]],MATCH(DraftResults[[#This Row],[Player ID]],Table5[[#All],[PID]],0)))</f>
        <v/>
      </c>
    </row>
    <row r="155" spans="1:11" x14ac:dyDescent="0.25">
      <c r="A155">
        <v>5</v>
      </c>
      <c r="B155">
        <v>0</v>
      </c>
      <c r="C155">
        <v>25</v>
      </c>
      <c r="D155" t="s">
        <v>254</v>
      </c>
      <c r="E155">
        <v>15</v>
      </c>
      <c r="F155">
        <v>0</v>
      </c>
      <c r="G155" t="s">
        <v>318</v>
      </c>
      <c r="H1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152</v>
      </c>
      <c r="I155" t="str">
        <f>IF(DraftResults[[#This Row],[Player ID]]=0,"",INDEX(Table5[[#All],[Pos]],MATCH(DraftResults[[#This Row],[Player ID]],Table5[[#All],[PID]],0)))</f>
        <v/>
      </c>
      <c r="J155" t="str">
        <f>IF(DraftResults[[#This Row],[Player ID]]=0,"",INDEX(Table5[[#All],[First]],MATCH(DraftResults[[#This Row],[Player ID]],Table5[[#All],[PID]],0)))</f>
        <v/>
      </c>
      <c r="K155" t="str">
        <f>IF(DraftResults[[#This Row],[Player ID]]=0,"",INDEX(Table5[[#All],[Last]],MATCH(DraftResults[[#This Row],[Player ID]],Table5[[#All],[PID]],0)))</f>
        <v/>
      </c>
    </row>
    <row r="156" spans="1:11" x14ac:dyDescent="0.25">
      <c r="A156">
        <v>5</v>
      </c>
      <c r="B156">
        <v>0</v>
      </c>
      <c r="C156">
        <v>26</v>
      </c>
      <c r="D156" t="s">
        <v>247</v>
      </c>
      <c r="E156">
        <v>17</v>
      </c>
      <c r="F156">
        <v>0</v>
      </c>
      <c r="G156" t="s">
        <v>318</v>
      </c>
      <c r="H1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153</v>
      </c>
      <c r="I156" t="str">
        <f>IF(DraftResults[[#This Row],[Player ID]]=0,"",INDEX(Table5[[#All],[Pos]],MATCH(DraftResults[[#This Row],[Player ID]],Table5[[#All],[PID]],0)))</f>
        <v/>
      </c>
      <c r="J156" t="str">
        <f>IF(DraftResults[[#This Row],[Player ID]]=0,"",INDEX(Table5[[#All],[First]],MATCH(DraftResults[[#This Row],[Player ID]],Table5[[#All],[PID]],0)))</f>
        <v/>
      </c>
      <c r="K156" t="str">
        <f>IF(DraftResults[[#This Row],[Player ID]]=0,"",INDEX(Table5[[#All],[Last]],MATCH(DraftResults[[#This Row],[Player ID]],Table5[[#All],[PID]],0)))</f>
        <v/>
      </c>
    </row>
    <row r="157" spans="1:11" x14ac:dyDescent="0.25">
      <c r="A157">
        <v>5</v>
      </c>
      <c r="B157">
        <v>0</v>
      </c>
      <c r="C157">
        <v>27</v>
      </c>
      <c r="D157" t="s">
        <v>247</v>
      </c>
      <c r="E157">
        <v>17</v>
      </c>
      <c r="F157">
        <v>0</v>
      </c>
      <c r="G157" t="s">
        <v>318</v>
      </c>
      <c r="H1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154</v>
      </c>
      <c r="I157" t="str">
        <f>IF(DraftResults[[#This Row],[Player ID]]=0,"",INDEX(Table5[[#All],[Pos]],MATCH(DraftResults[[#This Row],[Player ID]],Table5[[#All],[PID]],0)))</f>
        <v/>
      </c>
      <c r="J157" t="str">
        <f>IF(DraftResults[[#This Row],[Player ID]]=0,"",INDEX(Table5[[#All],[First]],MATCH(DraftResults[[#This Row],[Player ID]],Table5[[#All],[PID]],0)))</f>
        <v/>
      </c>
      <c r="K157" t="str">
        <f>IF(DraftResults[[#This Row],[Player ID]]=0,"",INDEX(Table5[[#All],[Last]],MATCH(DraftResults[[#This Row],[Player ID]],Table5[[#All],[PID]],0)))</f>
        <v/>
      </c>
    </row>
    <row r="158" spans="1:11" x14ac:dyDescent="0.25">
      <c r="A158">
        <v>5</v>
      </c>
      <c r="B158">
        <v>0</v>
      </c>
      <c r="C158">
        <v>28</v>
      </c>
      <c r="D158" t="s">
        <v>486</v>
      </c>
      <c r="E158">
        <v>159</v>
      </c>
      <c r="F158">
        <v>0</v>
      </c>
      <c r="G158" t="s">
        <v>318</v>
      </c>
      <c r="H1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155</v>
      </c>
      <c r="I158" t="str">
        <f>IF(DraftResults[[#This Row],[Player ID]]=0,"",INDEX(Table5[[#All],[Pos]],MATCH(DraftResults[[#This Row],[Player ID]],Table5[[#All],[PID]],0)))</f>
        <v/>
      </c>
      <c r="J158" t="str">
        <f>IF(DraftResults[[#This Row],[Player ID]]=0,"",INDEX(Table5[[#All],[First]],MATCH(DraftResults[[#This Row],[Player ID]],Table5[[#All],[PID]],0)))</f>
        <v/>
      </c>
      <c r="K158" t="str">
        <f>IF(DraftResults[[#This Row],[Player ID]]=0,"",INDEX(Table5[[#All],[Last]],MATCH(DraftResults[[#This Row],[Player ID]],Table5[[#All],[PID]],0)))</f>
        <v/>
      </c>
    </row>
    <row r="159" spans="1:11" x14ac:dyDescent="0.25">
      <c r="A159">
        <v>5</v>
      </c>
      <c r="B159">
        <v>0</v>
      </c>
      <c r="C159">
        <v>29</v>
      </c>
      <c r="D159" t="s">
        <v>249</v>
      </c>
      <c r="E159">
        <v>11</v>
      </c>
      <c r="F159">
        <v>0</v>
      </c>
      <c r="G159" t="s">
        <v>318</v>
      </c>
      <c r="H1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156</v>
      </c>
      <c r="I159" t="str">
        <f>IF(DraftResults[[#This Row],[Player ID]]=0,"",INDEX(Table5[[#All],[Pos]],MATCH(DraftResults[[#This Row],[Player ID]],Table5[[#All],[PID]],0)))</f>
        <v/>
      </c>
      <c r="J159" t="str">
        <f>IF(DraftResults[[#This Row],[Player ID]]=0,"",INDEX(Table5[[#All],[First]],MATCH(DraftResults[[#This Row],[Player ID]],Table5[[#All],[PID]],0)))</f>
        <v/>
      </c>
      <c r="K159" t="str">
        <f>IF(DraftResults[[#This Row],[Player ID]]=0,"",INDEX(Table5[[#All],[Last]],MATCH(DraftResults[[#This Row],[Player ID]],Table5[[#All],[PID]],0)))</f>
        <v/>
      </c>
    </row>
    <row r="160" spans="1:11" x14ac:dyDescent="0.25">
      <c r="A160">
        <v>6</v>
      </c>
      <c r="B160">
        <v>0</v>
      </c>
      <c r="C160">
        <v>1</v>
      </c>
      <c r="D160" t="s">
        <v>486</v>
      </c>
      <c r="E160">
        <v>159</v>
      </c>
      <c r="F160">
        <v>0</v>
      </c>
      <c r="G160" t="s">
        <v>318</v>
      </c>
      <c r="H1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157</v>
      </c>
      <c r="I160" t="str">
        <f>IF(DraftResults[[#This Row],[Player ID]]=0,"",INDEX(Table5[[#All],[Pos]],MATCH(DraftResults[[#This Row],[Player ID]],Table5[[#All],[PID]],0)))</f>
        <v/>
      </c>
      <c r="J160" t="str">
        <f>IF(DraftResults[[#This Row],[Player ID]]=0,"",INDEX(Table5[[#All],[First]],MATCH(DraftResults[[#This Row],[Player ID]],Table5[[#All],[PID]],0)))</f>
        <v/>
      </c>
      <c r="K160" t="str">
        <f>IF(DraftResults[[#This Row],[Player ID]]=0,"",INDEX(Table5[[#All],[Last]],MATCH(DraftResults[[#This Row],[Player ID]],Table5[[#All],[PID]],0)))</f>
        <v/>
      </c>
    </row>
    <row r="161" spans="1:11" x14ac:dyDescent="0.25">
      <c r="A161">
        <v>6</v>
      </c>
      <c r="B161">
        <v>0</v>
      </c>
      <c r="C161">
        <v>2</v>
      </c>
      <c r="D161" t="s">
        <v>694</v>
      </c>
      <c r="E161">
        <v>24</v>
      </c>
      <c r="F161">
        <v>0</v>
      </c>
      <c r="G161" t="s">
        <v>318</v>
      </c>
      <c r="H1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158</v>
      </c>
      <c r="I161" t="str">
        <f>IF(DraftResults[[#This Row],[Player ID]]=0,"",INDEX(Table5[[#All],[Pos]],MATCH(DraftResults[[#This Row],[Player ID]],Table5[[#All],[PID]],0)))</f>
        <v/>
      </c>
      <c r="J161" t="str">
        <f>IF(DraftResults[[#This Row],[Player ID]]=0,"",INDEX(Table5[[#All],[First]],MATCH(DraftResults[[#This Row],[Player ID]],Table5[[#All],[PID]],0)))</f>
        <v/>
      </c>
      <c r="K161" t="str">
        <f>IF(DraftResults[[#This Row],[Player ID]]=0,"",INDEX(Table5[[#All],[Last]],MATCH(DraftResults[[#This Row],[Player ID]],Table5[[#All],[PID]],0)))</f>
        <v/>
      </c>
    </row>
    <row r="162" spans="1:11" x14ac:dyDescent="0.25">
      <c r="A162">
        <v>6</v>
      </c>
      <c r="B162">
        <v>0</v>
      </c>
      <c r="C162">
        <v>3</v>
      </c>
      <c r="D162" t="s">
        <v>697</v>
      </c>
      <c r="E162">
        <v>23</v>
      </c>
      <c r="F162">
        <v>0</v>
      </c>
      <c r="G162" t="s">
        <v>318</v>
      </c>
      <c r="H1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159</v>
      </c>
      <c r="I162" t="str">
        <f>IF(DraftResults[[#This Row],[Player ID]]=0,"",INDEX(Table5[[#All],[Pos]],MATCH(DraftResults[[#This Row],[Player ID]],Table5[[#All],[PID]],0)))</f>
        <v/>
      </c>
      <c r="J162" t="str">
        <f>IF(DraftResults[[#This Row],[Player ID]]=0,"",INDEX(Table5[[#All],[First]],MATCH(DraftResults[[#This Row],[Player ID]],Table5[[#All],[PID]],0)))</f>
        <v/>
      </c>
      <c r="K162" t="str">
        <f>IF(DraftResults[[#This Row],[Player ID]]=0,"",INDEX(Table5[[#All],[Last]],MATCH(DraftResults[[#This Row],[Player ID]],Table5[[#All],[PID]],0)))</f>
        <v/>
      </c>
    </row>
    <row r="163" spans="1:11" x14ac:dyDescent="0.25">
      <c r="A163">
        <v>6</v>
      </c>
      <c r="B163">
        <v>0</v>
      </c>
      <c r="C163">
        <v>4</v>
      </c>
      <c r="D163" t="s">
        <v>252</v>
      </c>
      <c r="E163">
        <v>1</v>
      </c>
      <c r="F163">
        <v>0</v>
      </c>
      <c r="G163" t="s">
        <v>318</v>
      </c>
      <c r="H1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160</v>
      </c>
      <c r="I163" t="str">
        <f>IF(DraftResults[[#This Row],[Player ID]]=0,"",INDEX(Table5[[#All],[Pos]],MATCH(DraftResults[[#This Row],[Player ID]],Table5[[#All],[PID]],0)))</f>
        <v/>
      </c>
      <c r="J163" t="str">
        <f>IF(DraftResults[[#This Row],[Player ID]]=0,"",INDEX(Table5[[#All],[First]],MATCH(DraftResults[[#This Row],[Player ID]],Table5[[#All],[PID]],0)))</f>
        <v/>
      </c>
      <c r="K163" t="str">
        <f>IF(DraftResults[[#This Row],[Player ID]]=0,"",INDEX(Table5[[#All],[Last]],MATCH(DraftResults[[#This Row],[Player ID]],Table5[[#All],[PID]],0)))</f>
        <v/>
      </c>
    </row>
    <row r="164" spans="1:11" x14ac:dyDescent="0.25">
      <c r="A164">
        <v>6</v>
      </c>
      <c r="B164">
        <v>0</v>
      </c>
      <c r="C164">
        <v>5</v>
      </c>
      <c r="D164" t="s">
        <v>484</v>
      </c>
      <c r="E164">
        <v>164</v>
      </c>
      <c r="F164">
        <v>0</v>
      </c>
      <c r="G164" t="s">
        <v>318</v>
      </c>
      <c r="H1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161</v>
      </c>
      <c r="I164" t="str">
        <f>IF(DraftResults[[#This Row],[Player ID]]=0,"",INDEX(Table5[[#All],[Pos]],MATCH(DraftResults[[#This Row],[Player ID]],Table5[[#All],[PID]],0)))</f>
        <v/>
      </c>
      <c r="J164" t="str">
        <f>IF(DraftResults[[#This Row],[Player ID]]=0,"",INDEX(Table5[[#All],[First]],MATCH(DraftResults[[#This Row],[Player ID]],Table5[[#All],[PID]],0)))</f>
        <v/>
      </c>
      <c r="K164" t="str">
        <f>IF(DraftResults[[#This Row],[Player ID]]=0,"",INDEX(Table5[[#All],[Last]],MATCH(DraftResults[[#This Row],[Player ID]],Table5[[#All],[PID]],0)))</f>
        <v/>
      </c>
    </row>
    <row r="165" spans="1:11" x14ac:dyDescent="0.25">
      <c r="A165">
        <v>6</v>
      </c>
      <c r="B165">
        <v>0</v>
      </c>
      <c r="C165">
        <v>6</v>
      </c>
      <c r="D165" t="s">
        <v>485</v>
      </c>
      <c r="E165">
        <v>166</v>
      </c>
      <c r="F165">
        <v>0</v>
      </c>
      <c r="G165" t="s">
        <v>318</v>
      </c>
      <c r="H1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162</v>
      </c>
      <c r="I165" t="str">
        <f>IF(DraftResults[[#This Row],[Player ID]]=0,"",INDEX(Table5[[#All],[Pos]],MATCH(DraftResults[[#This Row],[Player ID]],Table5[[#All],[PID]],0)))</f>
        <v/>
      </c>
      <c r="J165" t="str">
        <f>IF(DraftResults[[#This Row],[Player ID]]=0,"",INDEX(Table5[[#All],[First]],MATCH(DraftResults[[#This Row],[Player ID]],Table5[[#All],[PID]],0)))</f>
        <v/>
      </c>
      <c r="K165" t="str">
        <f>IF(DraftResults[[#This Row],[Player ID]]=0,"",INDEX(Table5[[#All],[Last]],MATCH(DraftResults[[#This Row],[Player ID]],Table5[[#All],[PID]],0)))</f>
        <v/>
      </c>
    </row>
    <row r="166" spans="1:11" x14ac:dyDescent="0.25">
      <c r="A166">
        <v>6</v>
      </c>
      <c r="B166">
        <v>0</v>
      </c>
      <c r="C166">
        <v>7</v>
      </c>
      <c r="D166" t="s">
        <v>588</v>
      </c>
      <c r="E166">
        <v>4</v>
      </c>
      <c r="F166">
        <v>0</v>
      </c>
      <c r="G166" t="s">
        <v>318</v>
      </c>
      <c r="H1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163</v>
      </c>
      <c r="I166" t="str">
        <f>IF(DraftResults[[#This Row],[Player ID]]=0,"",INDEX(Table5[[#All],[Pos]],MATCH(DraftResults[[#This Row],[Player ID]],Table5[[#All],[PID]],0)))</f>
        <v/>
      </c>
      <c r="J166" t="str">
        <f>IF(DraftResults[[#This Row],[Player ID]]=0,"",INDEX(Table5[[#All],[First]],MATCH(DraftResults[[#This Row],[Player ID]],Table5[[#All],[PID]],0)))</f>
        <v/>
      </c>
      <c r="K166" t="str">
        <f>IF(DraftResults[[#This Row],[Player ID]]=0,"",INDEX(Table5[[#All],[Last]],MATCH(DraftResults[[#This Row],[Player ID]],Table5[[#All],[PID]],0)))</f>
        <v/>
      </c>
    </row>
    <row r="167" spans="1:11" x14ac:dyDescent="0.25">
      <c r="A167">
        <v>6</v>
      </c>
      <c r="B167">
        <v>0</v>
      </c>
      <c r="C167">
        <v>8</v>
      </c>
      <c r="D167" t="s">
        <v>587</v>
      </c>
      <c r="E167">
        <v>7</v>
      </c>
      <c r="F167">
        <v>0</v>
      </c>
      <c r="G167" t="s">
        <v>318</v>
      </c>
      <c r="H1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164</v>
      </c>
      <c r="I167" t="str">
        <f>IF(DraftResults[[#This Row],[Player ID]]=0,"",INDEX(Table5[[#All],[Pos]],MATCH(DraftResults[[#This Row],[Player ID]],Table5[[#All],[PID]],0)))</f>
        <v/>
      </c>
      <c r="J167" t="str">
        <f>IF(DraftResults[[#This Row],[Player ID]]=0,"",INDEX(Table5[[#All],[First]],MATCH(DraftResults[[#This Row],[Player ID]],Table5[[#All],[PID]],0)))</f>
        <v/>
      </c>
      <c r="K167" t="str">
        <f>IF(DraftResults[[#This Row],[Player ID]]=0,"",INDEX(Table5[[#All],[Last]],MATCH(DraftResults[[#This Row],[Player ID]],Table5[[#All],[PID]],0)))</f>
        <v/>
      </c>
    </row>
    <row r="168" spans="1:11" x14ac:dyDescent="0.25">
      <c r="A168">
        <v>6</v>
      </c>
      <c r="B168">
        <v>0</v>
      </c>
      <c r="C168">
        <v>9</v>
      </c>
      <c r="D168" t="s">
        <v>246</v>
      </c>
      <c r="E168">
        <v>21</v>
      </c>
      <c r="F168">
        <v>0</v>
      </c>
      <c r="G168" t="s">
        <v>318</v>
      </c>
      <c r="H1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165</v>
      </c>
      <c r="I168" t="str">
        <f>IF(DraftResults[[#This Row],[Player ID]]=0,"",INDEX(Table5[[#All],[Pos]],MATCH(DraftResults[[#This Row],[Player ID]],Table5[[#All],[PID]],0)))</f>
        <v/>
      </c>
      <c r="J168" t="str">
        <f>IF(DraftResults[[#This Row],[Player ID]]=0,"",INDEX(Table5[[#All],[First]],MATCH(DraftResults[[#This Row],[Player ID]],Table5[[#All],[PID]],0)))</f>
        <v/>
      </c>
      <c r="K168" t="str">
        <f>IF(DraftResults[[#This Row],[Player ID]]=0,"",INDEX(Table5[[#All],[Last]],MATCH(DraftResults[[#This Row],[Player ID]],Table5[[#All],[PID]],0)))</f>
        <v/>
      </c>
    </row>
    <row r="169" spans="1:11" x14ac:dyDescent="0.25">
      <c r="A169">
        <v>6</v>
      </c>
      <c r="B169">
        <v>0</v>
      </c>
      <c r="C169">
        <v>10</v>
      </c>
      <c r="D169" t="s">
        <v>696</v>
      </c>
      <c r="E169">
        <v>13</v>
      </c>
      <c r="F169">
        <v>0</v>
      </c>
      <c r="G169" t="s">
        <v>318</v>
      </c>
      <c r="H1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166</v>
      </c>
      <c r="I169" t="str">
        <f>IF(DraftResults[[#This Row],[Player ID]]=0,"",INDEX(Table5[[#All],[Pos]],MATCH(DraftResults[[#This Row],[Player ID]],Table5[[#All],[PID]],0)))</f>
        <v/>
      </c>
      <c r="J169" t="str">
        <f>IF(DraftResults[[#This Row],[Player ID]]=0,"",INDEX(Table5[[#All],[First]],MATCH(DraftResults[[#This Row],[Player ID]],Table5[[#All],[PID]],0)))</f>
        <v/>
      </c>
      <c r="K169" t="str">
        <f>IF(DraftResults[[#This Row],[Player ID]]=0,"",INDEX(Table5[[#All],[Last]],MATCH(DraftResults[[#This Row],[Player ID]],Table5[[#All],[PID]],0)))</f>
        <v/>
      </c>
    </row>
    <row r="170" spans="1:11" x14ac:dyDescent="0.25">
      <c r="A170">
        <v>6</v>
      </c>
      <c r="B170">
        <v>0</v>
      </c>
      <c r="C170">
        <v>11</v>
      </c>
      <c r="D170" t="s">
        <v>251</v>
      </c>
      <c r="E170">
        <v>3</v>
      </c>
      <c r="F170">
        <v>0</v>
      </c>
      <c r="G170" t="s">
        <v>318</v>
      </c>
      <c r="H1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167</v>
      </c>
      <c r="I170" t="str">
        <f>IF(DraftResults[[#This Row],[Player ID]]=0,"",INDEX(Table5[[#All],[Pos]],MATCH(DraftResults[[#This Row],[Player ID]],Table5[[#All],[PID]],0)))</f>
        <v/>
      </c>
      <c r="J170" t="str">
        <f>IF(DraftResults[[#This Row],[Player ID]]=0,"",INDEX(Table5[[#All],[First]],MATCH(DraftResults[[#This Row],[Player ID]],Table5[[#All],[PID]],0)))</f>
        <v/>
      </c>
      <c r="K170" t="str">
        <f>IF(DraftResults[[#This Row],[Player ID]]=0,"",INDEX(Table5[[#All],[Last]],MATCH(DraftResults[[#This Row],[Player ID]],Table5[[#All],[PID]],0)))</f>
        <v/>
      </c>
    </row>
    <row r="171" spans="1:11" x14ac:dyDescent="0.25">
      <c r="A171">
        <v>6</v>
      </c>
      <c r="B171">
        <v>0</v>
      </c>
      <c r="C171">
        <v>12</v>
      </c>
      <c r="D171" t="s">
        <v>257</v>
      </c>
      <c r="E171">
        <v>8</v>
      </c>
      <c r="F171">
        <v>0</v>
      </c>
      <c r="G171" t="s">
        <v>318</v>
      </c>
      <c r="H1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168</v>
      </c>
      <c r="I171" t="str">
        <f>IF(DraftResults[[#This Row],[Player ID]]=0,"",INDEX(Table5[[#All],[Pos]],MATCH(DraftResults[[#This Row],[Player ID]],Table5[[#All],[PID]],0)))</f>
        <v/>
      </c>
      <c r="J171" t="str">
        <f>IF(DraftResults[[#This Row],[Player ID]]=0,"",INDEX(Table5[[#All],[First]],MATCH(DraftResults[[#This Row],[Player ID]],Table5[[#All],[PID]],0)))</f>
        <v/>
      </c>
      <c r="K171" t="str">
        <f>IF(DraftResults[[#This Row],[Player ID]]=0,"",INDEX(Table5[[#All],[Last]],MATCH(DraftResults[[#This Row],[Player ID]],Table5[[#All],[PID]],0)))</f>
        <v/>
      </c>
    </row>
    <row r="172" spans="1:11" x14ac:dyDescent="0.25">
      <c r="A172">
        <v>6</v>
      </c>
      <c r="B172">
        <v>0</v>
      </c>
      <c r="C172">
        <v>13</v>
      </c>
      <c r="D172" t="s">
        <v>243</v>
      </c>
      <c r="E172">
        <v>19</v>
      </c>
      <c r="F172">
        <v>0</v>
      </c>
      <c r="G172" t="s">
        <v>318</v>
      </c>
      <c r="H1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169</v>
      </c>
      <c r="I172" t="str">
        <f>IF(DraftResults[[#This Row],[Player ID]]=0,"",INDEX(Table5[[#All],[Pos]],MATCH(DraftResults[[#This Row],[Player ID]],Table5[[#All],[PID]],0)))</f>
        <v/>
      </c>
      <c r="J172" t="str">
        <f>IF(DraftResults[[#This Row],[Player ID]]=0,"",INDEX(Table5[[#All],[First]],MATCH(DraftResults[[#This Row],[Player ID]],Table5[[#All],[PID]],0)))</f>
        <v/>
      </c>
      <c r="K172" t="str">
        <f>IF(DraftResults[[#This Row],[Player ID]]=0,"",INDEX(Table5[[#All],[Last]],MATCH(DraftResults[[#This Row],[Player ID]],Table5[[#All],[PID]],0)))</f>
        <v/>
      </c>
    </row>
    <row r="173" spans="1:11" x14ac:dyDescent="0.25">
      <c r="A173">
        <v>6</v>
      </c>
      <c r="B173">
        <v>0</v>
      </c>
      <c r="C173">
        <v>14</v>
      </c>
      <c r="D173" t="s">
        <v>698</v>
      </c>
      <c r="E173">
        <v>9</v>
      </c>
      <c r="F173">
        <v>0</v>
      </c>
      <c r="G173" t="s">
        <v>318</v>
      </c>
      <c r="H1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170</v>
      </c>
      <c r="I173" t="str">
        <f>IF(DraftResults[[#This Row],[Player ID]]=0,"",INDEX(Table5[[#All],[Pos]],MATCH(DraftResults[[#This Row],[Player ID]],Table5[[#All],[PID]],0)))</f>
        <v/>
      </c>
      <c r="J173" t="str">
        <f>IF(DraftResults[[#This Row],[Player ID]]=0,"",INDEX(Table5[[#All],[First]],MATCH(DraftResults[[#This Row],[Player ID]],Table5[[#All],[PID]],0)))</f>
        <v/>
      </c>
      <c r="K173" t="str">
        <f>IF(DraftResults[[#This Row],[Player ID]]=0,"",INDEX(Table5[[#All],[Last]],MATCH(DraftResults[[#This Row],[Player ID]],Table5[[#All],[PID]],0)))</f>
        <v/>
      </c>
    </row>
    <row r="174" spans="1:11" x14ac:dyDescent="0.25">
      <c r="A174">
        <v>6</v>
      </c>
      <c r="B174">
        <v>0</v>
      </c>
      <c r="C174">
        <v>15</v>
      </c>
      <c r="D174" t="s">
        <v>250</v>
      </c>
      <c r="E174">
        <v>10</v>
      </c>
      <c r="F174">
        <v>0</v>
      </c>
      <c r="G174" t="s">
        <v>318</v>
      </c>
      <c r="H1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171</v>
      </c>
      <c r="I174" t="str">
        <f>IF(DraftResults[[#This Row],[Player ID]]=0,"",INDEX(Table5[[#All],[Pos]],MATCH(DraftResults[[#This Row],[Player ID]],Table5[[#All],[PID]],0)))</f>
        <v/>
      </c>
      <c r="J174" t="str">
        <f>IF(DraftResults[[#This Row],[Player ID]]=0,"",INDEX(Table5[[#All],[First]],MATCH(DraftResults[[#This Row],[Player ID]],Table5[[#All],[PID]],0)))</f>
        <v/>
      </c>
      <c r="K174" t="str">
        <f>IF(DraftResults[[#This Row],[Player ID]]=0,"",INDEX(Table5[[#All],[Last]],MATCH(DraftResults[[#This Row],[Player ID]],Table5[[#All],[PID]],0)))</f>
        <v/>
      </c>
    </row>
    <row r="175" spans="1:11" x14ac:dyDescent="0.25">
      <c r="A175">
        <v>6</v>
      </c>
      <c r="B175">
        <v>0</v>
      </c>
      <c r="C175">
        <v>16</v>
      </c>
      <c r="D175" t="s">
        <v>482</v>
      </c>
      <c r="E175">
        <v>162</v>
      </c>
      <c r="F175">
        <v>0</v>
      </c>
      <c r="G175" t="s">
        <v>318</v>
      </c>
      <c r="H1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172</v>
      </c>
      <c r="I175" t="str">
        <f>IF(DraftResults[[#This Row],[Player ID]]=0,"",INDEX(Table5[[#All],[Pos]],MATCH(DraftResults[[#This Row],[Player ID]],Table5[[#All],[PID]],0)))</f>
        <v/>
      </c>
      <c r="J175" t="str">
        <f>IF(DraftResults[[#This Row],[Player ID]]=0,"",INDEX(Table5[[#All],[First]],MATCH(DraftResults[[#This Row],[Player ID]],Table5[[#All],[PID]],0)))</f>
        <v/>
      </c>
      <c r="K175" t="str">
        <f>IF(DraftResults[[#This Row],[Player ID]]=0,"",INDEX(Table5[[#All],[Last]],MATCH(DraftResults[[#This Row],[Player ID]],Table5[[#All],[PID]],0)))</f>
        <v/>
      </c>
    </row>
    <row r="176" spans="1:11" x14ac:dyDescent="0.25">
      <c r="A176">
        <v>6</v>
      </c>
      <c r="B176">
        <v>0</v>
      </c>
      <c r="C176">
        <v>17</v>
      </c>
      <c r="D176" t="s">
        <v>246</v>
      </c>
      <c r="E176">
        <v>21</v>
      </c>
      <c r="F176">
        <v>0</v>
      </c>
      <c r="G176" t="s">
        <v>318</v>
      </c>
      <c r="H1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173</v>
      </c>
      <c r="I176" t="str">
        <f>IF(DraftResults[[#This Row],[Player ID]]=0,"",INDEX(Table5[[#All],[Pos]],MATCH(DraftResults[[#This Row],[Player ID]],Table5[[#All],[PID]],0)))</f>
        <v/>
      </c>
      <c r="J176" t="str">
        <f>IF(DraftResults[[#This Row],[Player ID]]=0,"",INDEX(Table5[[#All],[First]],MATCH(DraftResults[[#This Row],[Player ID]],Table5[[#All],[PID]],0)))</f>
        <v/>
      </c>
      <c r="K176" t="str">
        <f>IF(DraftResults[[#This Row],[Player ID]]=0,"",INDEX(Table5[[#All],[Last]],MATCH(DraftResults[[#This Row],[Player ID]],Table5[[#All],[PID]],0)))</f>
        <v/>
      </c>
    </row>
    <row r="177" spans="1:11" x14ac:dyDescent="0.25">
      <c r="A177">
        <v>6</v>
      </c>
      <c r="B177">
        <v>0</v>
      </c>
      <c r="C177">
        <v>18</v>
      </c>
      <c r="D177" t="s">
        <v>258</v>
      </c>
      <c r="E177">
        <v>16</v>
      </c>
      <c r="F177">
        <v>0</v>
      </c>
      <c r="G177" t="s">
        <v>318</v>
      </c>
      <c r="H1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174</v>
      </c>
      <c r="I177" t="str">
        <f>IF(DraftResults[[#This Row],[Player ID]]=0,"",INDEX(Table5[[#All],[Pos]],MATCH(DraftResults[[#This Row],[Player ID]],Table5[[#All],[PID]],0)))</f>
        <v/>
      </c>
      <c r="J177" t="str">
        <f>IF(DraftResults[[#This Row],[Player ID]]=0,"",INDEX(Table5[[#All],[First]],MATCH(DraftResults[[#This Row],[Player ID]],Table5[[#All],[PID]],0)))</f>
        <v/>
      </c>
      <c r="K177" t="str">
        <f>IF(DraftResults[[#This Row],[Player ID]]=0,"",INDEX(Table5[[#All],[Last]],MATCH(DraftResults[[#This Row],[Player ID]],Table5[[#All],[PID]],0)))</f>
        <v/>
      </c>
    </row>
    <row r="178" spans="1:11" x14ac:dyDescent="0.25">
      <c r="A178">
        <v>6</v>
      </c>
      <c r="B178">
        <v>0</v>
      </c>
      <c r="C178">
        <v>19</v>
      </c>
      <c r="D178" t="s">
        <v>490</v>
      </c>
      <c r="E178">
        <v>167</v>
      </c>
      <c r="F178">
        <v>0</v>
      </c>
      <c r="G178" t="s">
        <v>318</v>
      </c>
      <c r="H1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175</v>
      </c>
      <c r="I178" t="str">
        <f>IF(DraftResults[[#This Row],[Player ID]]=0,"",INDEX(Table5[[#All],[Pos]],MATCH(DraftResults[[#This Row],[Player ID]],Table5[[#All],[PID]],0)))</f>
        <v/>
      </c>
      <c r="J178" t="str">
        <f>IF(DraftResults[[#This Row],[Player ID]]=0,"",INDEX(Table5[[#All],[First]],MATCH(DraftResults[[#This Row],[Player ID]],Table5[[#All],[PID]],0)))</f>
        <v/>
      </c>
      <c r="K178" t="str">
        <f>IF(DraftResults[[#This Row],[Player ID]]=0,"",INDEX(Table5[[#All],[Last]],MATCH(DraftResults[[#This Row],[Player ID]],Table5[[#All],[PID]],0)))</f>
        <v/>
      </c>
    </row>
    <row r="179" spans="1:11" x14ac:dyDescent="0.25">
      <c r="A179">
        <v>6</v>
      </c>
      <c r="B179">
        <v>0</v>
      </c>
      <c r="C179">
        <v>20</v>
      </c>
      <c r="D179" t="s">
        <v>243</v>
      </c>
      <c r="E179">
        <v>19</v>
      </c>
      <c r="F179">
        <v>0</v>
      </c>
      <c r="G179" t="s">
        <v>318</v>
      </c>
      <c r="H1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176</v>
      </c>
      <c r="I179" t="str">
        <f>IF(DraftResults[[#This Row],[Player ID]]=0,"",INDEX(Table5[[#All],[Pos]],MATCH(DraftResults[[#This Row],[Player ID]],Table5[[#All],[PID]],0)))</f>
        <v/>
      </c>
      <c r="J179" t="str">
        <f>IF(DraftResults[[#This Row],[Player ID]]=0,"",INDEX(Table5[[#All],[First]],MATCH(DraftResults[[#This Row],[Player ID]],Table5[[#All],[PID]],0)))</f>
        <v/>
      </c>
      <c r="K179" t="str">
        <f>IF(DraftResults[[#This Row],[Player ID]]=0,"",INDEX(Table5[[#All],[Last]],MATCH(DraftResults[[#This Row],[Player ID]],Table5[[#All],[PID]],0)))</f>
        <v/>
      </c>
    </row>
    <row r="180" spans="1:11" ht="15.75" customHeight="1" x14ac:dyDescent="0.25">
      <c r="A180">
        <v>6</v>
      </c>
      <c r="B180">
        <v>0</v>
      </c>
      <c r="C180">
        <v>21</v>
      </c>
      <c r="D180" t="s">
        <v>487</v>
      </c>
      <c r="E180">
        <v>163</v>
      </c>
      <c r="F180">
        <v>0</v>
      </c>
      <c r="G180" t="s">
        <v>318</v>
      </c>
      <c r="H1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177</v>
      </c>
      <c r="I180" t="str">
        <f>IF(DraftResults[[#This Row],[Player ID]]=0,"",INDEX(Table5[[#All],[Pos]],MATCH(DraftResults[[#This Row],[Player ID]],Table5[[#All],[PID]],0)))</f>
        <v/>
      </c>
      <c r="J180" t="str">
        <f>IF(DraftResults[[#This Row],[Player ID]]=0,"",INDEX(Table5[[#All],[First]],MATCH(DraftResults[[#This Row],[Player ID]],Table5[[#All],[PID]],0)))</f>
        <v/>
      </c>
      <c r="K180" t="str">
        <f>IF(DraftResults[[#This Row],[Player ID]]=0,"",INDEX(Table5[[#All],[Last]],MATCH(DraftResults[[#This Row],[Player ID]],Table5[[#All],[PID]],0)))</f>
        <v/>
      </c>
    </row>
    <row r="181" spans="1:11" x14ac:dyDescent="0.25">
      <c r="A181">
        <v>6</v>
      </c>
      <c r="B181">
        <v>0</v>
      </c>
      <c r="C181">
        <v>22</v>
      </c>
      <c r="D181" t="s">
        <v>255</v>
      </c>
      <c r="E181">
        <v>20</v>
      </c>
      <c r="F181">
        <v>0</v>
      </c>
      <c r="G181" t="s">
        <v>318</v>
      </c>
      <c r="H1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178</v>
      </c>
      <c r="I181" t="str">
        <f>IF(DraftResults[[#This Row],[Player ID]]=0,"",INDEX(Table5[[#All],[Pos]],MATCH(DraftResults[[#This Row],[Player ID]],Table5[[#All],[PID]],0)))</f>
        <v/>
      </c>
      <c r="J181" t="str">
        <f>IF(DraftResults[[#This Row],[Player ID]]=0,"",INDEX(Table5[[#All],[First]],MATCH(DraftResults[[#This Row],[Player ID]],Table5[[#All],[PID]],0)))</f>
        <v/>
      </c>
      <c r="K181" t="str">
        <f>IF(DraftResults[[#This Row],[Player ID]]=0,"",INDEX(Table5[[#All],[Last]],MATCH(DraftResults[[#This Row],[Player ID]],Table5[[#All],[PID]],0)))</f>
        <v/>
      </c>
    </row>
    <row r="182" spans="1:11" x14ac:dyDescent="0.25">
      <c r="A182">
        <v>6</v>
      </c>
      <c r="B182">
        <v>0</v>
      </c>
      <c r="C182">
        <v>23</v>
      </c>
      <c r="D182" t="s">
        <v>485</v>
      </c>
      <c r="E182">
        <v>166</v>
      </c>
      <c r="F182">
        <v>0</v>
      </c>
      <c r="G182" t="s">
        <v>318</v>
      </c>
      <c r="H1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179</v>
      </c>
      <c r="I182" t="str">
        <f>IF(DraftResults[[#This Row],[Player ID]]=0,"",INDEX(Table5[[#All],[Pos]],MATCH(DraftResults[[#This Row],[Player ID]],Table5[[#All],[PID]],0)))</f>
        <v/>
      </c>
      <c r="J182" t="str">
        <f>IF(DraftResults[[#This Row],[Player ID]]=0,"",INDEX(Table5[[#All],[First]],MATCH(DraftResults[[#This Row],[Player ID]],Table5[[#All],[PID]],0)))</f>
        <v/>
      </c>
      <c r="K182" t="str">
        <f>IF(DraftResults[[#This Row],[Player ID]]=0,"",INDEX(Table5[[#All],[Last]],MATCH(DraftResults[[#This Row],[Player ID]],Table5[[#All],[PID]],0)))</f>
        <v/>
      </c>
    </row>
    <row r="183" spans="1:11" x14ac:dyDescent="0.25">
      <c r="A183">
        <v>6</v>
      </c>
      <c r="B183">
        <v>0</v>
      </c>
      <c r="C183">
        <v>24</v>
      </c>
      <c r="D183" t="s">
        <v>244</v>
      </c>
      <c r="E183">
        <v>22</v>
      </c>
      <c r="F183">
        <v>0</v>
      </c>
      <c r="G183" t="s">
        <v>318</v>
      </c>
      <c r="H1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180</v>
      </c>
      <c r="I183" t="str">
        <f>IF(DraftResults[[#This Row],[Player ID]]=0,"",INDEX(Table5[[#All],[Pos]],MATCH(DraftResults[[#This Row],[Player ID]],Table5[[#All],[PID]],0)))</f>
        <v/>
      </c>
      <c r="J183" t="str">
        <f>IF(DraftResults[[#This Row],[Player ID]]=0,"",INDEX(Table5[[#All],[First]],MATCH(DraftResults[[#This Row],[Player ID]],Table5[[#All],[PID]],0)))</f>
        <v/>
      </c>
      <c r="K183" t="str">
        <f>IF(DraftResults[[#This Row],[Player ID]]=0,"",INDEX(Table5[[#All],[Last]],MATCH(DraftResults[[#This Row],[Player ID]],Table5[[#All],[PID]],0)))</f>
        <v/>
      </c>
    </row>
    <row r="184" spans="1:11" x14ac:dyDescent="0.25">
      <c r="A184">
        <v>6</v>
      </c>
      <c r="B184">
        <v>0</v>
      </c>
      <c r="C184">
        <v>25</v>
      </c>
      <c r="D184" t="s">
        <v>253</v>
      </c>
      <c r="E184">
        <v>14</v>
      </c>
      <c r="F184">
        <v>0</v>
      </c>
      <c r="G184" t="s">
        <v>318</v>
      </c>
      <c r="H1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181</v>
      </c>
      <c r="I184" t="str">
        <f>IF(DraftResults[[#This Row],[Player ID]]=0,"",INDEX(Table5[[#All],[Pos]],MATCH(DraftResults[[#This Row],[Player ID]],Table5[[#All],[PID]],0)))</f>
        <v/>
      </c>
      <c r="J184" t="str">
        <f>IF(DraftResults[[#This Row],[Player ID]]=0,"",INDEX(Table5[[#All],[First]],MATCH(DraftResults[[#This Row],[Player ID]],Table5[[#All],[PID]],0)))</f>
        <v/>
      </c>
      <c r="K184" t="str">
        <f>IF(DraftResults[[#This Row],[Player ID]]=0,"",INDEX(Table5[[#All],[Last]],MATCH(DraftResults[[#This Row],[Player ID]],Table5[[#All],[PID]],0)))</f>
        <v/>
      </c>
    </row>
    <row r="185" spans="1:11" x14ac:dyDescent="0.25">
      <c r="A185">
        <v>6</v>
      </c>
      <c r="B185">
        <v>0</v>
      </c>
      <c r="C185">
        <v>26</v>
      </c>
      <c r="D185" t="s">
        <v>694</v>
      </c>
      <c r="E185">
        <v>24</v>
      </c>
      <c r="F185">
        <v>0</v>
      </c>
      <c r="G185" t="s">
        <v>318</v>
      </c>
      <c r="H1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182</v>
      </c>
      <c r="I185" t="str">
        <f>IF(DraftResults[[#This Row],[Player ID]]=0,"",INDEX(Table5[[#All],[Pos]],MATCH(DraftResults[[#This Row],[Player ID]],Table5[[#All],[PID]],0)))</f>
        <v/>
      </c>
      <c r="J185" t="str">
        <f>IF(DraftResults[[#This Row],[Player ID]]=0,"",INDEX(Table5[[#All],[First]],MATCH(DraftResults[[#This Row],[Player ID]],Table5[[#All],[PID]],0)))</f>
        <v/>
      </c>
      <c r="K185" t="str">
        <f>IF(DraftResults[[#This Row],[Player ID]]=0,"",INDEX(Table5[[#All],[Last]],MATCH(DraftResults[[#This Row],[Player ID]],Table5[[#All],[PID]],0)))</f>
        <v/>
      </c>
    </row>
    <row r="186" spans="1:11" x14ac:dyDescent="0.25">
      <c r="A186">
        <v>6</v>
      </c>
      <c r="B186">
        <v>0</v>
      </c>
      <c r="C186">
        <v>27</v>
      </c>
      <c r="D186" t="s">
        <v>247</v>
      </c>
      <c r="E186">
        <v>17</v>
      </c>
      <c r="F186">
        <v>0</v>
      </c>
      <c r="G186" t="s">
        <v>318</v>
      </c>
      <c r="H1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183</v>
      </c>
      <c r="I186" t="str">
        <f>IF(DraftResults[[#This Row],[Player ID]]=0,"",INDEX(Table5[[#All],[Pos]],MATCH(DraftResults[[#This Row],[Player ID]],Table5[[#All],[PID]],0)))</f>
        <v/>
      </c>
      <c r="J186" t="str">
        <f>IF(DraftResults[[#This Row],[Player ID]]=0,"",INDEX(Table5[[#All],[First]],MATCH(DraftResults[[#This Row],[Player ID]],Table5[[#All],[PID]],0)))</f>
        <v/>
      </c>
      <c r="K186" t="str">
        <f>IF(DraftResults[[#This Row],[Player ID]]=0,"",INDEX(Table5[[#All],[Last]],MATCH(DraftResults[[#This Row],[Player ID]],Table5[[#All],[PID]],0)))</f>
        <v/>
      </c>
    </row>
    <row r="187" spans="1:11" x14ac:dyDescent="0.25">
      <c r="A187">
        <v>6</v>
      </c>
      <c r="B187">
        <v>0</v>
      </c>
      <c r="C187">
        <v>28</v>
      </c>
      <c r="D187" t="s">
        <v>698</v>
      </c>
      <c r="E187">
        <v>9</v>
      </c>
      <c r="F187">
        <v>0</v>
      </c>
      <c r="G187" t="s">
        <v>318</v>
      </c>
      <c r="H1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184</v>
      </c>
      <c r="I187" t="str">
        <f>IF(DraftResults[[#This Row],[Player ID]]=0,"",INDEX(Table5[[#All],[Pos]],MATCH(DraftResults[[#This Row],[Player ID]],Table5[[#All],[PID]],0)))</f>
        <v/>
      </c>
      <c r="J187" t="str">
        <f>IF(DraftResults[[#This Row],[Player ID]]=0,"",INDEX(Table5[[#All],[First]],MATCH(DraftResults[[#This Row],[Player ID]],Table5[[#All],[PID]],0)))</f>
        <v/>
      </c>
      <c r="K187" t="str">
        <f>IF(DraftResults[[#This Row],[Player ID]]=0,"",INDEX(Table5[[#All],[Last]],MATCH(DraftResults[[#This Row],[Player ID]],Table5[[#All],[PID]],0)))</f>
        <v/>
      </c>
    </row>
    <row r="188" spans="1:11" x14ac:dyDescent="0.25">
      <c r="A188">
        <v>6</v>
      </c>
      <c r="B188">
        <v>0</v>
      </c>
      <c r="C188">
        <v>29</v>
      </c>
      <c r="D188" t="s">
        <v>486</v>
      </c>
      <c r="E188">
        <v>159</v>
      </c>
      <c r="F188">
        <v>0</v>
      </c>
      <c r="G188" t="s">
        <v>318</v>
      </c>
      <c r="H1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185</v>
      </c>
      <c r="I188" t="str">
        <f>IF(DraftResults[[#This Row],[Player ID]]=0,"",INDEX(Table5[[#All],[Pos]],MATCH(DraftResults[[#This Row],[Player ID]],Table5[[#All],[PID]],0)))</f>
        <v/>
      </c>
      <c r="J188" t="str">
        <f>IF(DraftResults[[#This Row],[Player ID]]=0,"",INDEX(Table5[[#All],[First]],MATCH(DraftResults[[#This Row],[Player ID]],Table5[[#All],[PID]],0)))</f>
        <v/>
      </c>
      <c r="K188" t="str">
        <f>IF(DraftResults[[#This Row],[Player ID]]=0,"",INDEX(Table5[[#All],[Last]],MATCH(DraftResults[[#This Row],[Player ID]],Table5[[#All],[PID]],0)))</f>
        <v/>
      </c>
    </row>
    <row r="189" spans="1:11" x14ac:dyDescent="0.25">
      <c r="A189">
        <v>6</v>
      </c>
      <c r="B189">
        <v>0</v>
      </c>
      <c r="C189">
        <v>30</v>
      </c>
      <c r="D189" t="s">
        <v>252</v>
      </c>
      <c r="E189">
        <v>1</v>
      </c>
      <c r="F189">
        <v>0</v>
      </c>
      <c r="G189" t="s">
        <v>318</v>
      </c>
      <c r="H1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186</v>
      </c>
      <c r="I189" t="str">
        <f>IF(DraftResults[[#This Row],[Player ID]]=0,"",INDEX(Table5[[#All],[Pos]],MATCH(DraftResults[[#This Row],[Player ID]],Table5[[#All],[PID]],0)))</f>
        <v/>
      </c>
      <c r="J189" t="str">
        <f>IF(DraftResults[[#This Row],[Player ID]]=0,"",INDEX(Table5[[#All],[First]],MATCH(DraftResults[[#This Row],[Player ID]],Table5[[#All],[PID]],0)))</f>
        <v/>
      </c>
      <c r="K189" t="str">
        <f>IF(DraftResults[[#This Row],[Player ID]]=0,"",INDEX(Table5[[#All],[Last]],MATCH(DraftResults[[#This Row],[Player ID]],Table5[[#All],[PID]],0)))</f>
        <v/>
      </c>
    </row>
    <row r="190" spans="1:11" x14ac:dyDescent="0.25">
      <c r="A190">
        <v>7</v>
      </c>
      <c r="B190">
        <v>0</v>
      </c>
      <c r="C190">
        <v>1</v>
      </c>
      <c r="D190" t="s">
        <v>254</v>
      </c>
      <c r="E190">
        <v>15</v>
      </c>
      <c r="F190">
        <v>0</v>
      </c>
      <c r="G190" t="s">
        <v>318</v>
      </c>
      <c r="H1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187</v>
      </c>
      <c r="I190" t="str">
        <f>IF(DraftResults[[#This Row],[Player ID]]=0,"",INDEX(Table5[[#All],[Pos]],MATCH(DraftResults[[#This Row],[Player ID]],Table5[[#All],[PID]],0)))</f>
        <v/>
      </c>
      <c r="J190" t="str">
        <f>IF(DraftResults[[#This Row],[Player ID]]=0,"",INDEX(Table5[[#All],[First]],MATCH(DraftResults[[#This Row],[Player ID]],Table5[[#All],[PID]],0)))</f>
        <v/>
      </c>
      <c r="K190" t="str">
        <f>IF(DraftResults[[#This Row],[Player ID]]=0,"",INDEX(Table5[[#All],[Last]],MATCH(DraftResults[[#This Row],[Player ID]],Table5[[#All],[PID]],0)))</f>
        <v/>
      </c>
    </row>
    <row r="191" spans="1:11" x14ac:dyDescent="0.25">
      <c r="A191">
        <v>7</v>
      </c>
      <c r="B191">
        <v>0</v>
      </c>
      <c r="C191">
        <v>2</v>
      </c>
      <c r="D191" t="s">
        <v>697</v>
      </c>
      <c r="E191">
        <v>23</v>
      </c>
      <c r="F191">
        <v>0</v>
      </c>
      <c r="G191" t="s">
        <v>318</v>
      </c>
      <c r="H1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188</v>
      </c>
      <c r="I191" t="str">
        <f>IF(DraftResults[[#This Row],[Player ID]]=0,"",INDEX(Table5[[#All],[Pos]],MATCH(DraftResults[[#This Row],[Player ID]],Table5[[#All],[PID]],0)))</f>
        <v/>
      </c>
      <c r="J191" t="str">
        <f>IF(DraftResults[[#This Row],[Player ID]]=0,"",INDEX(Table5[[#All],[First]],MATCH(DraftResults[[#This Row],[Player ID]],Table5[[#All],[PID]],0)))</f>
        <v/>
      </c>
      <c r="K191" t="str">
        <f>IF(DraftResults[[#This Row],[Player ID]]=0,"",INDEX(Table5[[#All],[Last]],MATCH(DraftResults[[#This Row],[Player ID]],Table5[[#All],[PID]],0)))</f>
        <v/>
      </c>
    </row>
    <row r="192" spans="1:11" x14ac:dyDescent="0.25">
      <c r="A192">
        <v>7</v>
      </c>
      <c r="B192">
        <v>0</v>
      </c>
      <c r="C192">
        <v>3</v>
      </c>
      <c r="D192" t="s">
        <v>252</v>
      </c>
      <c r="E192">
        <v>1</v>
      </c>
      <c r="F192">
        <v>0</v>
      </c>
      <c r="G192" t="s">
        <v>318</v>
      </c>
      <c r="H1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189</v>
      </c>
      <c r="I192" t="str">
        <f>IF(DraftResults[[#This Row],[Player ID]]=0,"",INDEX(Table5[[#All],[Pos]],MATCH(DraftResults[[#This Row],[Player ID]],Table5[[#All],[PID]],0)))</f>
        <v/>
      </c>
      <c r="J192" t="str">
        <f>IF(DraftResults[[#This Row],[Player ID]]=0,"",INDEX(Table5[[#All],[First]],MATCH(DraftResults[[#This Row],[Player ID]],Table5[[#All],[PID]],0)))</f>
        <v/>
      </c>
      <c r="K192" t="str">
        <f>IF(DraftResults[[#This Row],[Player ID]]=0,"",INDEX(Table5[[#All],[Last]],MATCH(DraftResults[[#This Row],[Player ID]],Table5[[#All],[PID]],0)))</f>
        <v/>
      </c>
    </row>
    <row r="193" spans="1:11" x14ac:dyDescent="0.25">
      <c r="A193">
        <v>7</v>
      </c>
      <c r="B193">
        <v>0</v>
      </c>
      <c r="C193">
        <v>4</v>
      </c>
      <c r="D193" t="s">
        <v>484</v>
      </c>
      <c r="E193">
        <v>164</v>
      </c>
      <c r="F193">
        <v>0</v>
      </c>
      <c r="G193" t="s">
        <v>318</v>
      </c>
      <c r="H1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190</v>
      </c>
      <c r="I193" t="str">
        <f>IF(DraftResults[[#This Row],[Player ID]]=0,"",INDEX(Table5[[#All],[Pos]],MATCH(DraftResults[[#This Row],[Player ID]],Table5[[#All],[PID]],0)))</f>
        <v/>
      </c>
      <c r="J193" t="str">
        <f>IF(DraftResults[[#This Row],[Player ID]]=0,"",INDEX(Table5[[#All],[First]],MATCH(DraftResults[[#This Row],[Player ID]],Table5[[#All],[PID]],0)))</f>
        <v/>
      </c>
      <c r="K193" t="str">
        <f>IF(DraftResults[[#This Row],[Player ID]]=0,"",INDEX(Table5[[#All],[Last]],MATCH(DraftResults[[#This Row],[Player ID]],Table5[[#All],[PID]],0)))</f>
        <v/>
      </c>
    </row>
    <row r="194" spans="1:11" x14ac:dyDescent="0.25">
      <c r="A194">
        <v>7</v>
      </c>
      <c r="B194">
        <v>0</v>
      </c>
      <c r="C194">
        <v>5</v>
      </c>
      <c r="D194" t="s">
        <v>254</v>
      </c>
      <c r="E194">
        <v>15</v>
      </c>
      <c r="F194">
        <v>0</v>
      </c>
      <c r="G194" t="s">
        <v>318</v>
      </c>
      <c r="H1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191</v>
      </c>
      <c r="I194" t="str">
        <f>IF(DraftResults[[#This Row],[Player ID]]=0,"",INDEX(Table5[[#All],[Pos]],MATCH(DraftResults[[#This Row],[Player ID]],Table5[[#All],[PID]],0)))</f>
        <v/>
      </c>
      <c r="J194" t="str">
        <f>IF(DraftResults[[#This Row],[Player ID]]=0,"",INDEX(Table5[[#All],[First]],MATCH(DraftResults[[#This Row],[Player ID]],Table5[[#All],[PID]],0)))</f>
        <v/>
      </c>
      <c r="K194" t="str">
        <f>IF(DraftResults[[#This Row],[Player ID]]=0,"",INDEX(Table5[[#All],[Last]],MATCH(DraftResults[[#This Row],[Player ID]],Table5[[#All],[PID]],0)))</f>
        <v/>
      </c>
    </row>
    <row r="195" spans="1:11" x14ac:dyDescent="0.25">
      <c r="A195">
        <v>7</v>
      </c>
      <c r="B195">
        <v>0</v>
      </c>
      <c r="C195">
        <v>6</v>
      </c>
      <c r="D195" t="s">
        <v>588</v>
      </c>
      <c r="E195">
        <v>4</v>
      </c>
      <c r="F195">
        <v>0</v>
      </c>
      <c r="G195" t="s">
        <v>318</v>
      </c>
      <c r="H1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192</v>
      </c>
      <c r="I195" t="str">
        <f>IF(DraftResults[[#This Row],[Player ID]]=0,"",INDEX(Table5[[#All],[Pos]],MATCH(DraftResults[[#This Row],[Player ID]],Table5[[#All],[PID]],0)))</f>
        <v/>
      </c>
      <c r="J195" t="str">
        <f>IF(DraftResults[[#This Row],[Player ID]]=0,"",INDEX(Table5[[#All],[First]],MATCH(DraftResults[[#This Row],[Player ID]],Table5[[#All],[PID]],0)))</f>
        <v/>
      </c>
      <c r="K195" t="str">
        <f>IF(DraftResults[[#This Row],[Player ID]]=0,"",INDEX(Table5[[#All],[Last]],MATCH(DraftResults[[#This Row],[Player ID]],Table5[[#All],[PID]],0)))</f>
        <v/>
      </c>
    </row>
    <row r="196" spans="1:11" x14ac:dyDescent="0.25">
      <c r="A196">
        <v>7</v>
      </c>
      <c r="B196">
        <v>0</v>
      </c>
      <c r="C196">
        <v>7</v>
      </c>
      <c r="D196" t="s">
        <v>587</v>
      </c>
      <c r="E196">
        <v>7</v>
      </c>
      <c r="F196">
        <v>0</v>
      </c>
      <c r="G196" t="s">
        <v>318</v>
      </c>
      <c r="H1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193</v>
      </c>
      <c r="I196" t="str">
        <f>IF(DraftResults[[#This Row],[Player ID]]=0,"",INDEX(Table5[[#All],[Pos]],MATCH(DraftResults[[#This Row],[Player ID]],Table5[[#All],[PID]],0)))</f>
        <v/>
      </c>
      <c r="J196" t="str">
        <f>IF(DraftResults[[#This Row],[Player ID]]=0,"",INDEX(Table5[[#All],[First]],MATCH(DraftResults[[#This Row],[Player ID]],Table5[[#All],[PID]],0)))</f>
        <v/>
      </c>
      <c r="K196" t="str">
        <f>IF(DraftResults[[#This Row],[Player ID]]=0,"",INDEX(Table5[[#All],[Last]],MATCH(DraftResults[[#This Row],[Player ID]],Table5[[#All],[PID]],0)))</f>
        <v/>
      </c>
    </row>
    <row r="197" spans="1:11" x14ac:dyDescent="0.25">
      <c r="A197">
        <v>7</v>
      </c>
      <c r="B197">
        <v>0</v>
      </c>
      <c r="C197">
        <v>8</v>
      </c>
      <c r="D197" t="s">
        <v>246</v>
      </c>
      <c r="E197">
        <v>21</v>
      </c>
      <c r="F197">
        <v>0</v>
      </c>
      <c r="G197" t="s">
        <v>318</v>
      </c>
      <c r="H1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194</v>
      </c>
      <c r="I197" t="str">
        <f>IF(DraftResults[[#This Row],[Player ID]]=0,"",INDEX(Table5[[#All],[Pos]],MATCH(DraftResults[[#This Row],[Player ID]],Table5[[#All],[PID]],0)))</f>
        <v/>
      </c>
      <c r="J197" t="str">
        <f>IF(DraftResults[[#This Row],[Player ID]]=0,"",INDEX(Table5[[#All],[First]],MATCH(DraftResults[[#This Row],[Player ID]],Table5[[#All],[PID]],0)))</f>
        <v/>
      </c>
      <c r="K197" t="str">
        <f>IF(DraftResults[[#This Row],[Player ID]]=0,"",INDEX(Table5[[#All],[Last]],MATCH(DraftResults[[#This Row],[Player ID]],Table5[[#All],[PID]],0)))</f>
        <v/>
      </c>
    </row>
    <row r="198" spans="1:11" x14ac:dyDescent="0.25">
      <c r="A198">
        <v>7</v>
      </c>
      <c r="B198">
        <v>0</v>
      </c>
      <c r="C198">
        <v>9</v>
      </c>
      <c r="D198" t="s">
        <v>696</v>
      </c>
      <c r="E198">
        <v>13</v>
      </c>
      <c r="F198">
        <v>0</v>
      </c>
      <c r="G198" t="s">
        <v>318</v>
      </c>
      <c r="H1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195</v>
      </c>
      <c r="I198" t="str">
        <f>IF(DraftResults[[#This Row],[Player ID]]=0,"",INDEX(Table5[[#All],[Pos]],MATCH(DraftResults[[#This Row],[Player ID]],Table5[[#All],[PID]],0)))</f>
        <v/>
      </c>
      <c r="J198" t="str">
        <f>IF(DraftResults[[#This Row],[Player ID]]=0,"",INDEX(Table5[[#All],[First]],MATCH(DraftResults[[#This Row],[Player ID]],Table5[[#All],[PID]],0)))</f>
        <v/>
      </c>
      <c r="K198" t="str">
        <f>IF(DraftResults[[#This Row],[Player ID]]=0,"",INDEX(Table5[[#All],[Last]],MATCH(DraftResults[[#This Row],[Player ID]],Table5[[#All],[PID]],0)))</f>
        <v/>
      </c>
    </row>
    <row r="199" spans="1:11" x14ac:dyDescent="0.25">
      <c r="A199">
        <v>7</v>
      </c>
      <c r="B199">
        <v>0</v>
      </c>
      <c r="C199">
        <v>10</v>
      </c>
      <c r="D199" t="s">
        <v>251</v>
      </c>
      <c r="E199">
        <v>3</v>
      </c>
      <c r="F199">
        <v>0</v>
      </c>
      <c r="G199" t="s">
        <v>318</v>
      </c>
      <c r="H1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196</v>
      </c>
      <c r="I199" t="str">
        <f>IF(DraftResults[[#This Row],[Player ID]]=0,"",INDEX(Table5[[#All],[Pos]],MATCH(DraftResults[[#This Row],[Player ID]],Table5[[#All],[PID]],0)))</f>
        <v/>
      </c>
      <c r="J199" t="str">
        <f>IF(DraftResults[[#This Row],[Player ID]]=0,"",INDEX(Table5[[#All],[First]],MATCH(DraftResults[[#This Row],[Player ID]],Table5[[#All],[PID]],0)))</f>
        <v/>
      </c>
      <c r="K199" t="str">
        <f>IF(DraftResults[[#This Row],[Player ID]]=0,"",INDEX(Table5[[#All],[Last]],MATCH(DraftResults[[#This Row],[Player ID]],Table5[[#All],[PID]],0)))</f>
        <v/>
      </c>
    </row>
    <row r="200" spans="1:11" x14ac:dyDescent="0.25">
      <c r="A200">
        <v>7</v>
      </c>
      <c r="B200">
        <v>0</v>
      </c>
      <c r="C200">
        <v>11</v>
      </c>
      <c r="D200" t="s">
        <v>257</v>
      </c>
      <c r="E200">
        <v>8</v>
      </c>
      <c r="F200">
        <v>0</v>
      </c>
      <c r="G200" t="s">
        <v>318</v>
      </c>
      <c r="H2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197</v>
      </c>
      <c r="I200" t="str">
        <f>IF(DraftResults[[#This Row],[Player ID]]=0,"",INDEX(Table5[[#All],[Pos]],MATCH(DraftResults[[#This Row],[Player ID]],Table5[[#All],[PID]],0)))</f>
        <v/>
      </c>
      <c r="J200" t="str">
        <f>IF(DraftResults[[#This Row],[Player ID]]=0,"",INDEX(Table5[[#All],[First]],MATCH(DraftResults[[#This Row],[Player ID]],Table5[[#All],[PID]],0)))</f>
        <v/>
      </c>
      <c r="K200" t="str">
        <f>IF(DraftResults[[#This Row],[Player ID]]=0,"",INDEX(Table5[[#All],[Last]],MATCH(DraftResults[[#This Row],[Player ID]],Table5[[#All],[PID]],0)))</f>
        <v/>
      </c>
    </row>
    <row r="201" spans="1:11" x14ac:dyDescent="0.25">
      <c r="A201">
        <v>7</v>
      </c>
      <c r="B201">
        <v>0</v>
      </c>
      <c r="C201">
        <v>12</v>
      </c>
      <c r="D201" t="s">
        <v>262</v>
      </c>
      <c r="E201">
        <v>12</v>
      </c>
      <c r="F201">
        <v>0</v>
      </c>
      <c r="G201" t="s">
        <v>318</v>
      </c>
      <c r="H2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198</v>
      </c>
      <c r="I201" t="str">
        <f>IF(DraftResults[[#This Row],[Player ID]]=0,"",INDEX(Table5[[#All],[Pos]],MATCH(DraftResults[[#This Row],[Player ID]],Table5[[#All],[PID]],0)))</f>
        <v/>
      </c>
      <c r="J201" t="str">
        <f>IF(DraftResults[[#This Row],[Player ID]]=0,"",INDEX(Table5[[#All],[First]],MATCH(DraftResults[[#This Row],[Player ID]],Table5[[#All],[PID]],0)))</f>
        <v/>
      </c>
      <c r="K201" t="str">
        <f>IF(DraftResults[[#This Row],[Player ID]]=0,"",INDEX(Table5[[#All],[Last]],MATCH(DraftResults[[#This Row],[Player ID]],Table5[[#All],[PID]],0)))</f>
        <v/>
      </c>
    </row>
    <row r="202" spans="1:11" x14ac:dyDescent="0.25">
      <c r="A202">
        <v>7</v>
      </c>
      <c r="B202">
        <v>0</v>
      </c>
      <c r="C202">
        <v>13</v>
      </c>
      <c r="D202" t="s">
        <v>489</v>
      </c>
      <c r="E202">
        <v>18</v>
      </c>
      <c r="F202">
        <v>0</v>
      </c>
      <c r="G202" t="s">
        <v>318</v>
      </c>
      <c r="H2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199</v>
      </c>
      <c r="I202" t="str">
        <f>IF(DraftResults[[#This Row],[Player ID]]=0,"",INDEX(Table5[[#All],[Pos]],MATCH(DraftResults[[#This Row],[Player ID]],Table5[[#All],[PID]],0)))</f>
        <v/>
      </c>
      <c r="J202" t="str">
        <f>IF(DraftResults[[#This Row],[Player ID]]=0,"",INDEX(Table5[[#All],[First]],MATCH(DraftResults[[#This Row],[Player ID]],Table5[[#All],[PID]],0)))</f>
        <v/>
      </c>
      <c r="K202" t="str">
        <f>IF(DraftResults[[#This Row],[Player ID]]=0,"",INDEX(Table5[[#All],[Last]],MATCH(DraftResults[[#This Row],[Player ID]],Table5[[#All],[PID]],0)))</f>
        <v/>
      </c>
    </row>
    <row r="203" spans="1:11" x14ac:dyDescent="0.25">
      <c r="A203">
        <v>7</v>
      </c>
      <c r="B203">
        <v>0</v>
      </c>
      <c r="C203">
        <v>14</v>
      </c>
      <c r="D203" t="s">
        <v>250</v>
      </c>
      <c r="E203">
        <v>10</v>
      </c>
      <c r="F203">
        <v>0</v>
      </c>
      <c r="G203" t="s">
        <v>318</v>
      </c>
      <c r="H2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200</v>
      </c>
      <c r="I203" t="str">
        <f>IF(DraftResults[[#This Row],[Player ID]]=0,"",INDEX(Table5[[#All],[Pos]],MATCH(DraftResults[[#This Row],[Player ID]],Table5[[#All],[PID]],0)))</f>
        <v/>
      </c>
      <c r="J203" t="str">
        <f>IF(DraftResults[[#This Row],[Player ID]]=0,"",INDEX(Table5[[#All],[First]],MATCH(DraftResults[[#This Row],[Player ID]],Table5[[#All],[PID]],0)))</f>
        <v/>
      </c>
      <c r="K203" t="str">
        <f>IF(DraftResults[[#This Row],[Player ID]]=0,"",INDEX(Table5[[#All],[Last]],MATCH(DraftResults[[#This Row],[Player ID]],Table5[[#All],[PID]],0)))</f>
        <v/>
      </c>
    </row>
    <row r="204" spans="1:11" x14ac:dyDescent="0.25">
      <c r="A204">
        <v>7</v>
      </c>
      <c r="B204">
        <v>0</v>
      </c>
      <c r="C204">
        <v>15</v>
      </c>
      <c r="D204" t="s">
        <v>482</v>
      </c>
      <c r="E204">
        <v>162</v>
      </c>
      <c r="F204">
        <v>0</v>
      </c>
      <c r="G204" t="s">
        <v>318</v>
      </c>
      <c r="H2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201</v>
      </c>
      <c r="I204" t="str">
        <f>IF(DraftResults[[#This Row],[Player ID]]=0,"",INDEX(Table5[[#All],[Pos]],MATCH(DraftResults[[#This Row],[Player ID]],Table5[[#All],[PID]],0)))</f>
        <v/>
      </c>
      <c r="J204" t="str">
        <f>IF(DraftResults[[#This Row],[Player ID]]=0,"",INDEX(Table5[[#All],[First]],MATCH(DraftResults[[#This Row],[Player ID]],Table5[[#All],[PID]],0)))</f>
        <v/>
      </c>
      <c r="K204" t="str">
        <f>IF(DraftResults[[#This Row],[Player ID]]=0,"",INDEX(Table5[[#All],[Last]],MATCH(DraftResults[[#This Row],[Player ID]],Table5[[#All],[PID]],0)))</f>
        <v/>
      </c>
    </row>
    <row r="205" spans="1:11" x14ac:dyDescent="0.25">
      <c r="A205">
        <v>7</v>
      </c>
      <c r="B205">
        <v>0</v>
      </c>
      <c r="C205">
        <v>16</v>
      </c>
      <c r="D205" t="s">
        <v>483</v>
      </c>
      <c r="E205">
        <v>2</v>
      </c>
      <c r="F205">
        <v>0</v>
      </c>
      <c r="G205" t="s">
        <v>318</v>
      </c>
      <c r="H2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202</v>
      </c>
      <c r="I205" t="str">
        <f>IF(DraftResults[[#This Row],[Player ID]]=0,"",INDEX(Table5[[#All],[Pos]],MATCH(DraftResults[[#This Row],[Player ID]],Table5[[#All],[PID]],0)))</f>
        <v/>
      </c>
      <c r="J205" t="str">
        <f>IF(DraftResults[[#This Row],[Player ID]]=0,"",INDEX(Table5[[#All],[First]],MATCH(DraftResults[[#This Row],[Player ID]],Table5[[#All],[PID]],0)))</f>
        <v/>
      </c>
      <c r="K205" t="str">
        <f>IF(DraftResults[[#This Row],[Player ID]]=0,"",INDEX(Table5[[#All],[Last]],MATCH(DraftResults[[#This Row],[Player ID]],Table5[[#All],[PID]],0)))</f>
        <v/>
      </c>
    </row>
    <row r="206" spans="1:11" ht="15.75" customHeight="1" x14ac:dyDescent="0.25">
      <c r="A206">
        <v>7</v>
      </c>
      <c r="B206">
        <v>0</v>
      </c>
      <c r="C206">
        <v>17</v>
      </c>
      <c r="D206" t="s">
        <v>258</v>
      </c>
      <c r="E206">
        <v>16</v>
      </c>
      <c r="F206">
        <v>0</v>
      </c>
      <c r="G206" t="s">
        <v>318</v>
      </c>
      <c r="H2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203</v>
      </c>
      <c r="I206" t="str">
        <f>IF(DraftResults[[#This Row],[Player ID]]=0,"",INDEX(Table5[[#All],[Pos]],MATCH(DraftResults[[#This Row],[Player ID]],Table5[[#All],[PID]],0)))</f>
        <v/>
      </c>
      <c r="J206" t="str">
        <f>IF(DraftResults[[#This Row],[Player ID]]=0,"",INDEX(Table5[[#All],[First]],MATCH(DraftResults[[#This Row],[Player ID]],Table5[[#All],[PID]],0)))</f>
        <v/>
      </c>
      <c r="K206" t="str">
        <f>IF(DraftResults[[#This Row],[Player ID]]=0,"",INDEX(Table5[[#All],[Last]],MATCH(DraftResults[[#This Row],[Player ID]],Table5[[#All],[PID]],0)))</f>
        <v/>
      </c>
    </row>
    <row r="207" spans="1:11" x14ac:dyDescent="0.25">
      <c r="A207">
        <v>7</v>
      </c>
      <c r="B207">
        <v>0</v>
      </c>
      <c r="C207">
        <v>18</v>
      </c>
      <c r="D207" t="s">
        <v>490</v>
      </c>
      <c r="E207">
        <v>167</v>
      </c>
      <c r="F207">
        <v>0</v>
      </c>
      <c r="G207" t="s">
        <v>318</v>
      </c>
      <c r="H2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204</v>
      </c>
      <c r="I207" t="str">
        <f>IF(DraftResults[[#This Row],[Player ID]]=0,"",INDEX(Table5[[#All],[Pos]],MATCH(DraftResults[[#This Row],[Player ID]],Table5[[#All],[PID]],0)))</f>
        <v/>
      </c>
      <c r="J207" t="str">
        <f>IF(DraftResults[[#This Row],[Player ID]]=0,"",INDEX(Table5[[#All],[First]],MATCH(DraftResults[[#This Row],[Player ID]],Table5[[#All],[PID]],0)))</f>
        <v/>
      </c>
      <c r="K207" t="str">
        <f>IF(DraftResults[[#This Row],[Player ID]]=0,"",INDEX(Table5[[#All],[Last]],MATCH(DraftResults[[#This Row],[Player ID]],Table5[[#All],[PID]],0)))</f>
        <v/>
      </c>
    </row>
    <row r="208" spans="1:11" x14ac:dyDescent="0.25">
      <c r="A208">
        <v>7</v>
      </c>
      <c r="B208">
        <v>0</v>
      </c>
      <c r="C208">
        <v>19</v>
      </c>
      <c r="D208" t="s">
        <v>243</v>
      </c>
      <c r="E208">
        <v>19</v>
      </c>
      <c r="F208">
        <v>0</v>
      </c>
      <c r="G208" t="s">
        <v>318</v>
      </c>
      <c r="H2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205</v>
      </c>
      <c r="I208" t="str">
        <f>IF(DraftResults[[#This Row],[Player ID]]=0,"",INDEX(Table5[[#All],[Pos]],MATCH(DraftResults[[#This Row],[Player ID]],Table5[[#All],[PID]],0)))</f>
        <v/>
      </c>
      <c r="J208" t="str">
        <f>IF(DraftResults[[#This Row],[Player ID]]=0,"",INDEX(Table5[[#All],[First]],MATCH(DraftResults[[#This Row],[Player ID]],Table5[[#All],[PID]],0)))</f>
        <v/>
      </c>
      <c r="K208" t="str">
        <f>IF(DraftResults[[#This Row],[Player ID]]=0,"",INDEX(Table5[[#All],[Last]],MATCH(DraftResults[[#This Row],[Player ID]],Table5[[#All],[PID]],0)))</f>
        <v/>
      </c>
    </row>
    <row r="209" spans="1:11" x14ac:dyDescent="0.25">
      <c r="A209">
        <v>7</v>
      </c>
      <c r="B209">
        <v>0</v>
      </c>
      <c r="C209">
        <v>20</v>
      </c>
      <c r="D209" t="s">
        <v>487</v>
      </c>
      <c r="E209">
        <v>163</v>
      </c>
      <c r="F209">
        <v>0</v>
      </c>
      <c r="G209" t="s">
        <v>318</v>
      </c>
      <c r="H2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206</v>
      </c>
      <c r="I209" t="str">
        <f>IF(DraftResults[[#This Row],[Player ID]]=0,"",INDEX(Table5[[#All],[Pos]],MATCH(DraftResults[[#This Row],[Player ID]],Table5[[#All],[PID]],0)))</f>
        <v/>
      </c>
      <c r="J209" t="str">
        <f>IF(DraftResults[[#This Row],[Player ID]]=0,"",INDEX(Table5[[#All],[First]],MATCH(DraftResults[[#This Row],[Player ID]],Table5[[#All],[PID]],0)))</f>
        <v/>
      </c>
      <c r="K209" t="str">
        <f>IF(DraftResults[[#This Row],[Player ID]]=0,"",INDEX(Table5[[#All],[Last]],MATCH(DraftResults[[#This Row],[Player ID]],Table5[[#All],[PID]],0)))</f>
        <v/>
      </c>
    </row>
    <row r="210" spans="1:11" x14ac:dyDescent="0.25">
      <c r="A210">
        <v>7</v>
      </c>
      <c r="B210">
        <v>0</v>
      </c>
      <c r="C210">
        <v>21</v>
      </c>
      <c r="D210" t="s">
        <v>255</v>
      </c>
      <c r="E210">
        <v>20</v>
      </c>
      <c r="F210">
        <v>0</v>
      </c>
      <c r="G210" t="s">
        <v>318</v>
      </c>
      <c r="H2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207</v>
      </c>
      <c r="I210" t="str">
        <f>IF(DraftResults[[#This Row],[Player ID]]=0,"",INDEX(Table5[[#All],[Pos]],MATCH(DraftResults[[#This Row],[Player ID]],Table5[[#All],[PID]],0)))</f>
        <v/>
      </c>
      <c r="J210" t="str">
        <f>IF(DraftResults[[#This Row],[Player ID]]=0,"",INDEX(Table5[[#All],[First]],MATCH(DraftResults[[#This Row],[Player ID]],Table5[[#All],[PID]],0)))</f>
        <v/>
      </c>
      <c r="K210" t="str">
        <f>IF(DraftResults[[#This Row],[Player ID]]=0,"",INDEX(Table5[[#All],[Last]],MATCH(DraftResults[[#This Row],[Player ID]],Table5[[#All],[PID]],0)))</f>
        <v/>
      </c>
    </row>
    <row r="211" spans="1:11" x14ac:dyDescent="0.25">
      <c r="A211">
        <v>7</v>
      </c>
      <c r="B211">
        <v>0</v>
      </c>
      <c r="C211">
        <v>22</v>
      </c>
      <c r="D211" t="s">
        <v>485</v>
      </c>
      <c r="E211">
        <v>166</v>
      </c>
      <c r="F211">
        <v>0</v>
      </c>
      <c r="G211" t="s">
        <v>318</v>
      </c>
      <c r="H2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208</v>
      </c>
      <c r="I211" t="str">
        <f>IF(DraftResults[[#This Row],[Player ID]]=0,"",INDEX(Table5[[#All],[Pos]],MATCH(DraftResults[[#This Row],[Player ID]],Table5[[#All],[PID]],0)))</f>
        <v/>
      </c>
      <c r="J211" t="str">
        <f>IF(DraftResults[[#This Row],[Player ID]]=0,"",INDEX(Table5[[#All],[First]],MATCH(DraftResults[[#This Row],[Player ID]],Table5[[#All],[PID]],0)))</f>
        <v/>
      </c>
      <c r="K211" t="str">
        <f>IF(DraftResults[[#This Row],[Player ID]]=0,"",INDEX(Table5[[#All],[Last]],MATCH(DraftResults[[#This Row],[Player ID]],Table5[[#All],[PID]],0)))</f>
        <v/>
      </c>
    </row>
    <row r="212" spans="1:11" x14ac:dyDescent="0.25">
      <c r="A212">
        <v>7</v>
      </c>
      <c r="B212">
        <v>0</v>
      </c>
      <c r="C212">
        <v>23</v>
      </c>
      <c r="D212" t="s">
        <v>698</v>
      </c>
      <c r="E212">
        <v>9</v>
      </c>
      <c r="F212">
        <v>0</v>
      </c>
      <c r="G212" t="s">
        <v>318</v>
      </c>
      <c r="H2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209</v>
      </c>
      <c r="I212" t="str">
        <f>IF(DraftResults[[#This Row],[Player ID]]=0,"",INDEX(Table5[[#All],[Pos]],MATCH(DraftResults[[#This Row],[Player ID]],Table5[[#All],[PID]],0)))</f>
        <v/>
      </c>
      <c r="J212" t="str">
        <f>IF(DraftResults[[#This Row],[Player ID]]=0,"",INDEX(Table5[[#All],[First]],MATCH(DraftResults[[#This Row],[Player ID]],Table5[[#All],[PID]],0)))</f>
        <v/>
      </c>
      <c r="K212" t="str">
        <f>IF(DraftResults[[#This Row],[Player ID]]=0,"",INDEX(Table5[[#All],[Last]],MATCH(DraftResults[[#This Row],[Player ID]],Table5[[#All],[PID]],0)))</f>
        <v/>
      </c>
    </row>
    <row r="213" spans="1:11" x14ac:dyDescent="0.25">
      <c r="A213">
        <v>7</v>
      </c>
      <c r="B213">
        <v>0</v>
      </c>
      <c r="C213">
        <v>24</v>
      </c>
      <c r="D213" t="s">
        <v>253</v>
      </c>
      <c r="E213">
        <v>14</v>
      </c>
      <c r="F213">
        <v>0</v>
      </c>
      <c r="G213" t="s">
        <v>318</v>
      </c>
      <c r="H2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210</v>
      </c>
      <c r="I213" t="str">
        <f>IF(DraftResults[[#This Row],[Player ID]]=0,"",INDEX(Table5[[#All],[Pos]],MATCH(DraftResults[[#This Row],[Player ID]],Table5[[#All],[PID]],0)))</f>
        <v/>
      </c>
      <c r="J213" t="str">
        <f>IF(DraftResults[[#This Row],[Player ID]]=0,"",INDEX(Table5[[#All],[First]],MATCH(DraftResults[[#This Row],[Player ID]],Table5[[#All],[PID]],0)))</f>
        <v/>
      </c>
      <c r="K213" t="str">
        <f>IF(DraftResults[[#This Row],[Player ID]]=0,"",INDEX(Table5[[#All],[Last]],MATCH(DraftResults[[#This Row],[Player ID]],Table5[[#All],[PID]],0)))</f>
        <v/>
      </c>
    </row>
    <row r="214" spans="1:11" x14ac:dyDescent="0.25">
      <c r="A214">
        <v>7</v>
      </c>
      <c r="B214">
        <v>0</v>
      </c>
      <c r="C214">
        <v>25</v>
      </c>
      <c r="D214" t="s">
        <v>694</v>
      </c>
      <c r="E214">
        <v>24</v>
      </c>
      <c r="F214">
        <v>0</v>
      </c>
      <c r="G214" t="s">
        <v>318</v>
      </c>
      <c r="H2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211</v>
      </c>
      <c r="I214" t="str">
        <f>IF(DraftResults[[#This Row],[Player ID]]=0,"",INDEX(Table5[[#All],[Pos]],MATCH(DraftResults[[#This Row],[Player ID]],Table5[[#All],[PID]],0)))</f>
        <v/>
      </c>
      <c r="J214" t="str">
        <f>IF(DraftResults[[#This Row],[Player ID]]=0,"",INDEX(Table5[[#All],[First]],MATCH(DraftResults[[#This Row],[Player ID]],Table5[[#All],[PID]],0)))</f>
        <v/>
      </c>
      <c r="K214" t="str">
        <f>IF(DraftResults[[#This Row],[Player ID]]=0,"",INDEX(Table5[[#All],[Last]],MATCH(DraftResults[[#This Row],[Player ID]],Table5[[#All],[PID]],0)))</f>
        <v/>
      </c>
    </row>
    <row r="215" spans="1:11" x14ac:dyDescent="0.25">
      <c r="A215">
        <v>7</v>
      </c>
      <c r="B215">
        <v>0</v>
      </c>
      <c r="C215">
        <v>26</v>
      </c>
      <c r="D215" t="s">
        <v>247</v>
      </c>
      <c r="E215">
        <v>17</v>
      </c>
      <c r="F215">
        <v>0</v>
      </c>
      <c r="G215" t="s">
        <v>318</v>
      </c>
      <c r="H2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212</v>
      </c>
      <c r="I215" t="str">
        <f>IF(DraftResults[[#This Row],[Player ID]]=0,"",INDEX(Table5[[#All],[Pos]],MATCH(DraftResults[[#This Row],[Player ID]],Table5[[#All],[PID]],0)))</f>
        <v/>
      </c>
      <c r="J215" t="str">
        <f>IF(DraftResults[[#This Row],[Player ID]]=0,"",INDEX(Table5[[#All],[First]],MATCH(DraftResults[[#This Row],[Player ID]],Table5[[#All],[PID]],0)))</f>
        <v/>
      </c>
      <c r="K215" t="str">
        <f>IF(DraftResults[[#This Row],[Player ID]]=0,"",INDEX(Table5[[#All],[Last]],MATCH(DraftResults[[#This Row],[Player ID]],Table5[[#All],[PID]],0)))</f>
        <v/>
      </c>
    </row>
    <row r="216" spans="1:11" x14ac:dyDescent="0.25">
      <c r="A216">
        <v>7</v>
      </c>
      <c r="B216">
        <v>0</v>
      </c>
      <c r="C216">
        <v>27</v>
      </c>
      <c r="D216" t="s">
        <v>698</v>
      </c>
      <c r="E216">
        <v>9</v>
      </c>
      <c r="F216">
        <v>0</v>
      </c>
      <c r="G216" t="s">
        <v>318</v>
      </c>
      <c r="H2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213</v>
      </c>
      <c r="I216" t="str">
        <f>IF(DraftResults[[#This Row],[Player ID]]=0,"",INDEX(Table5[[#All],[Pos]],MATCH(DraftResults[[#This Row],[Player ID]],Table5[[#All],[PID]],0)))</f>
        <v/>
      </c>
      <c r="J216" t="str">
        <f>IF(DraftResults[[#This Row],[Player ID]]=0,"",INDEX(Table5[[#All],[First]],MATCH(DraftResults[[#This Row],[Player ID]],Table5[[#All],[PID]],0)))</f>
        <v/>
      </c>
      <c r="K216" t="str">
        <f>IF(DraftResults[[#This Row],[Player ID]]=0,"",INDEX(Table5[[#All],[Last]],MATCH(DraftResults[[#This Row],[Player ID]],Table5[[#All],[PID]],0)))</f>
        <v/>
      </c>
    </row>
    <row r="217" spans="1:11" x14ac:dyDescent="0.25">
      <c r="A217">
        <v>7</v>
      </c>
      <c r="B217">
        <v>0</v>
      </c>
      <c r="C217">
        <v>28</v>
      </c>
      <c r="D217" t="s">
        <v>486</v>
      </c>
      <c r="E217">
        <v>159</v>
      </c>
      <c r="F217">
        <v>0</v>
      </c>
      <c r="G217" t="s">
        <v>318</v>
      </c>
      <c r="H2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214</v>
      </c>
      <c r="I217" t="str">
        <f>IF(DraftResults[[#This Row],[Player ID]]=0,"",INDEX(Table5[[#All],[Pos]],MATCH(DraftResults[[#This Row],[Player ID]],Table5[[#All],[PID]],0)))</f>
        <v/>
      </c>
      <c r="J217" t="str">
        <f>IF(DraftResults[[#This Row],[Player ID]]=0,"",INDEX(Table5[[#All],[First]],MATCH(DraftResults[[#This Row],[Player ID]],Table5[[#All],[PID]],0)))</f>
        <v/>
      </c>
      <c r="K217" t="str">
        <f>IF(DraftResults[[#This Row],[Player ID]]=0,"",INDEX(Table5[[#All],[Last]],MATCH(DraftResults[[#This Row],[Player ID]],Table5[[#All],[PID]],0)))</f>
        <v/>
      </c>
    </row>
    <row r="218" spans="1:11" x14ac:dyDescent="0.25">
      <c r="A218">
        <v>7</v>
      </c>
      <c r="B218">
        <v>0</v>
      </c>
      <c r="C218">
        <v>29</v>
      </c>
      <c r="D218" t="s">
        <v>249</v>
      </c>
      <c r="E218">
        <v>11</v>
      </c>
      <c r="F218">
        <v>0</v>
      </c>
      <c r="G218" t="s">
        <v>318</v>
      </c>
      <c r="H2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215</v>
      </c>
      <c r="I218" t="str">
        <f>IF(DraftResults[[#This Row],[Player ID]]=0,"",INDEX(Table5[[#All],[Pos]],MATCH(DraftResults[[#This Row],[Player ID]],Table5[[#All],[PID]],0)))</f>
        <v/>
      </c>
      <c r="J218" t="str">
        <f>IF(DraftResults[[#This Row],[Player ID]]=0,"",INDEX(Table5[[#All],[First]],MATCH(DraftResults[[#This Row],[Player ID]],Table5[[#All],[PID]],0)))</f>
        <v/>
      </c>
      <c r="K218" t="str">
        <f>IF(DraftResults[[#This Row],[Player ID]]=0,"",INDEX(Table5[[#All],[Last]],MATCH(DraftResults[[#This Row],[Player ID]],Table5[[#All],[PID]],0)))</f>
        <v/>
      </c>
    </row>
    <row r="219" spans="1:11" x14ac:dyDescent="0.25">
      <c r="A219">
        <v>8</v>
      </c>
      <c r="B219">
        <v>0</v>
      </c>
      <c r="C219">
        <v>1</v>
      </c>
      <c r="D219" t="s">
        <v>694</v>
      </c>
      <c r="E219">
        <v>24</v>
      </c>
      <c r="F219">
        <v>0</v>
      </c>
      <c r="G219" t="s">
        <v>318</v>
      </c>
      <c r="H2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216</v>
      </c>
      <c r="I219" t="str">
        <f>IF(DraftResults[[#This Row],[Player ID]]=0,"",INDEX(Table5[[#All],[Pos]],MATCH(DraftResults[[#This Row],[Player ID]],Table5[[#All],[PID]],0)))</f>
        <v/>
      </c>
      <c r="J219" t="str">
        <f>IF(DraftResults[[#This Row],[Player ID]]=0,"",INDEX(Table5[[#All],[First]],MATCH(DraftResults[[#This Row],[Player ID]],Table5[[#All],[PID]],0)))</f>
        <v/>
      </c>
      <c r="K219" t="str">
        <f>IF(DraftResults[[#This Row],[Player ID]]=0,"",INDEX(Table5[[#All],[Last]],MATCH(DraftResults[[#This Row],[Player ID]],Table5[[#All],[PID]],0)))</f>
        <v/>
      </c>
    </row>
    <row r="220" spans="1:11" x14ac:dyDescent="0.25">
      <c r="A220">
        <v>8</v>
      </c>
      <c r="B220">
        <v>0</v>
      </c>
      <c r="C220">
        <v>2</v>
      </c>
      <c r="D220" t="s">
        <v>697</v>
      </c>
      <c r="E220">
        <v>23</v>
      </c>
      <c r="F220">
        <v>0</v>
      </c>
      <c r="G220" t="s">
        <v>318</v>
      </c>
      <c r="H2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217</v>
      </c>
      <c r="I220" t="str">
        <f>IF(DraftResults[[#This Row],[Player ID]]=0,"",INDEX(Table5[[#All],[Pos]],MATCH(DraftResults[[#This Row],[Player ID]],Table5[[#All],[PID]],0)))</f>
        <v/>
      </c>
      <c r="J220" t="str">
        <f>IF(DraftResults[[#This Row],[Player ID]]=0,"",INDEX(Table5[[#All],[First]],MATCH(DraftResults[[#This Row],[Player ID]],Table5[[#All],[PID]],0)))</f>
        <v/>
      </c>
      <c r="K220" t="str">
        <f>IF(DraftResults[[#This Row],[Player ID]]=0,"",INDEX(Table5[[#All],[Last]],MATCH(DraftResults[[#This Row],[Player ID]],Table5[[#All],[PID]],0)))</f>
        <v/>
      </c>
    </row>
    <row r="221" spans="1:11" x14ac:dyDescent="0.25">
      <c r="A221">
        <v>8</v>
      </c>
      <c r="B221">
        <v>0</v>
      </c>
      <c r="C221">
        <v>3</v>
      </c>
      <c r="D221" t="s">
        <v>249</v>
      </c>
      <c r="E221">
        <v>11</v>
      </c>
      <c r="F221">
        <v>0</v>
      </c>
      <c r="G221" t="s">
        <v>318</v>
      </c>
      <c r="H2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218</v>
      </c>
      <c r="I221" t="str">
        <f>IF(DraftResults[[#This Row],[Player ID]]=0,"",INDEX(Table5[[#All],[Pos]],MATCH(DraftResults[[#This Row],[Player ID]],Table5[[#All],[PID]],0)))</f>
        <v/>
      </c>
      <c r="J221" t="str">
        <f>IF(DraftResults[[#This Row],[Player ID]]=0,"",INDEX(Table5[[#All],[First]],MATCH(DraftResults[[#This Row],[Player ID]],Table5[[#All],[PID]],0)))</f>
        <v/>
      </c>
      <c r="K221" t="str">
        <f>IF(DraftResults[[#This Row],[Player ID]]=0,"",INDEX(Table5[[#All],[Last]],MATCH(DraftResults[[#This Row],[Player ID]],Table5[[#All],[PID]],0)))</f>
        <v/>
      </c>
    </row>
    <row r="222" spans="1:11" x14ac:dyDescent="0.25">
      <c r="A222">
        <v>8</v>
      </c>
      <c r="B222">
        <v>0</v>
      </c>
      <c r="C222">
        <v>4</v>
      </c>
      <c r="D222" t="s">
        <v>484</v>
      </c>
      <c r="E222">
        <v>164</v>
      </c>
      <c r="F222">
        <v>0</v>
      </c>
      <c r="G222" t="s">
        <v>318</v>
      </c>
      <c r="H2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219</v>
      </c>
      <c r="I222" t="str">
        <f>IF(DraftResults[[#This Row],[Player ID]]=0,"",INDEX(Table5[[#All],[Pos]],MATCH(DraftResults[[#This Row],[Player ID]],Table5[[#All],[PID]],0)))</f>
        <v/>
      </c>
      <c r="J222" t="str">
        <f>IF(DraftResults[[#This Row],[Player ID]]=0,"",INDEX(Table5[[#All],[First]],MATCH(DraftResults[[#This Row],[Player ID]],Table5[[#All],[PID]],0)))</f>
        <v/>
      </c>
      <c r="K222" t="str">
        <f>IF(DraftResults[[#This Row],[Player ID]]=0,"",INDEX(Table5[[#All],[Last]],MATCH(DraftResults[[#This Row],[Player ID]],Table5[[#All],[PID]],0)))</f>
        <v/>
      </c>
    </row>
    <row r="223" spans="1:11" x14ac:dyDescent="0.25">
      <c r="A223">
        <v>8</v>
      </c>
      <c r="B223">
        <v>0</v>
      </c>
      <c r="C223">
        <v>5</v>
      </c>
      <c r="D223" t="s">
        <v>254</v>
      </c>
      <c r="E223">
        <v>15</v>
      </c>
      <c r="F223">
        <v>0</v>
      </c>
      <c r="G223" t="s">
        <v>318</v>
      </c>
      <c r="H2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220</v>
      </c>
      <c r="I223" t="str">
        <f>IF(DraftResults[[#This Row],[Player ID]]=0,"",INDEX(Table5[[#All],[Pos]],MATCH(DraftResults[[#This Row],[Player ID]],Table5[[#All],[PID]],0)))</f>
        <v/>
      </c>
      <c r="J223" t="str">
        <f>IF(DraftResults[[#This Row],[Player ID]]=0,"",INDEX(Table5[[#All],[First]],MATCH(DraftResults[[#This Row],[Player ID]],Table5[[#All],[PID]],0)))</f>
        <v/>
      </c>
      <c r="K223" t="str">
        <f>IF(DraftResults[[#This Row],[Player ID]]=0,"",INDEX(Table5[[#All],[Last]],MATCH(DraftResults[[#This Row],[Player ID]],Table5[[#All],[PID]],0)))</f>
        <v/>
      </c>
    </row>
    <row r="224" spans="1:11" x14ac:dyDescent="0.25">
      <c r="A224">
        <v>8</v>
      </c>
      <c r="B224">
        <v>0</v>
      </c>
      <c r="C224">
        <v>6</v>
      </c>
      <c r="D224" t="s">
        <v>588</v>
      </c>
      <c r="E224">
        <v>4</v>
      </c>
      <c r="F224">
        <v>0</v>
      </c>
      <c r="G224" t="s">
        <v>318</v>
      </c>
      <c r="H2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221</v>
      </c>
      <c r="I224" t="str">
        <f>IF(DraftResults[[#This Row],[Player ID]]=0,"",INDEX(Table5[[#All],[Pos]],MATCH(DraftResults[[#This Row],[Player ID]],Table5[[#All],[PID]],0)))</f>
        <v/>
      </c>
      <c r="J224" t="str">
        <f>IF(DraftResults[[#This Row],[Player ID]]=0,"",INDEX(Table5[[#All],[First]],MATCH(DraftResults[[#This Row],[Player ID]],Table5[[#All],[PID]],0)))</f>
        <v/>
      </c>
      <c r="K224" t="str">
        <f>IF(DraftResults[[#This Row],[Player ID]]=0,"",INDEX(Table5[[#All],[Last]],MATCH(DraftResults[[#This Row],[Player ID]],Table5[[#All],[PID]],0)))</f>
        <v/>
      </c>
    </row>
    <row r="225" spans="1:11" x14ac:dyDescent="0.25">
      <c r="A225">
        <v>8</v>
      </c>
      <c r="B225">
        <v>0</v>
      </c>
      <c r="C225">
        <v>7</v>
      </c>
      <c r="D225" t="s">
        <v>587</v>
      </c>
      <c r="E225">
        <v>7</v>
      </c>
      <c r="F225">
        <v>0</v>
      </c>
      <c r="G225" t="s">
        <v>318</v>
      </c>
      <c r="H2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222</v>
      </c>
      <c r="I225" t="str">
        <f>IF(DraftResults[[#This Row],[Player ID]]=0,"",INDEX(Table5[[#All],[Pos]],MATCH(DraftResults[[#This Row],[Player ID]],Table5[[#All],[PID]],0)))</f>
        <v/>
      </c>
      <c r="J225" t="str">
        <f>IF(DraftResults[[#This Row],[Player ID]]=0,"",INDEX(Table5[[#All],[First]],MATCH(DraftResults[[#This Row],[Player ID]],Table5[[#All],[PID]],0)))</f>
        <v/>
      </c>
      <c r="K225" t="str">
        <f>IF(DraftResults[[#This Row],[Player ID]]=0,"",INDEX(Table5[[#All],[Last]],MATCH(DraftResults[[#This Row],[Player ID]],Table5[[#All],[PID]],0)))</f>
        <v/>
      </c>
    </row>
    <row r="226" spans="1:11" x14ac:dyDescent="0.25">
      <c r="A226">
        <v>8</v>
      </c>
      <c r="B226">
        <v>0</v>
      </c>
      <c r="C226">
        <v>8</v>
      </c>
      <c r="D226" t="s">
        <v>246</v>
      </c>
      <c r="E226">
        <v>21</v>
      </c>
      <c r="F226">
        <v>0</v>
      </c>
      <c r="G226" t="s">
        <v>318</v>
      </c>
      <c r="H2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223</v>
      </c>
      <c r="I226" t="str">
        <f>IF(DraftResults[[#This Row],[Player ID]]=0,"",INDEX(Table5[[#All],[Pos]],MATCH(DraftResults[[#This Row],[Player ID]],Table5[[#All],[PID]],0)))</f>
        <v/>
      </c>
      <c r="J226" t="str">
        <f>IF(DraftResults[[#This Row],[Player ID]]=0,"",INDEX(Table5[[#All],[First]],MATCH(DraftResults[[#This Row],[Player ID]],Table5[[#All],[PID]],0)))</f>
        <v/>
      </c>
      <c r="K226" t="str">
        <f>IF(DraftResults[[#This Row],[Player ID]]=0,"",INDEX(Table5[[#All],[Last]],MATCH(DraftResults[[#This Row],[Player ID]],Table5[[#All],[PID]],0)))</f>
        <v/>
      </c>
    </row>
    <row r="227" spans="1:11" x14ac:dyDescent="0.25">
      <c r="A227">
        <v>8</v>
      </c>
      <c r="B227">
        <v>0</v>
      </c>
      <c r="C227">
        <v>9</v>
      </c>
      <c r="D227" t="s">
        <v>696</v>
      </c>
      <c r="E227">
        <v>13</v>
      </c>
      <c r="F227">
        <v>0</v>
      </c>
      <c r="G227" t="s">
        <v>318</v>
      </c>
      <c r="H2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224</v>
      </c>
      <c r="I227" t="str">
        <f>IF(DraftResults[[#This Row],[Player ID]]=0,"",INDEX(Table5[[#All],[Pos]],MATCH(DraftResults[[#This Row],[Player ID]],Table5[[#All],[PID]],0)))</f>
        <v/>
      </c>
      <c r="J227" t="str">
        <f>IF(DraftResults[[#This Row],[Player ID]]=0,"",INDEX(Table5[[#All],[First]],MATCH(DraftResults[[#This Row],[Player ID]],Table5[[#All],[PID]],0)))</f>
        <v/>
      </c>
      <c r="K227" t="str">
        <f>IF(DraftResults[[#This Row],[Player ID]]=0,"",INDEX(Table5[[#All],[Last]],MATCH(DraftResults[[#This Row],[Player ID]],Table5[[#All],[PID]],0)))</f>
        <v/>
      </c>
    </row>
    <row r="228" spans="1:11" x14ac:dyDescent="0.25">
      <c r="A228">
        <v>8</v>
      </c>
      <c r="B228">
        <v>0</v>
      </c>
      <c r="C228">
        <v>10</v>
      </c>
      <c r="D228" t="s">
        <v>251</v>
      </c>
      <c r="E228">
        <v>3</v>
      </c>
      <c r="F228">
        <v>0</v>
      </c>
      <c r="G228" t="s">
        <v>318</v>
      </c>
      <c r="H2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225</v>
      </c>
      <c r="I228" t="str">
        <f>IF(DraftResults[[#This Row],[Player ID]]=0,"",INDEX(Table5[[#All],[Pos]],MATCH(DraftResults[[#This Row],[Player ID]],Table5[[#All],[PID]],0)))</f>
        <v/>
      </c>
      <c r="J228" t="str">
        <f>IF(DraftResults[[#This Row],[Player ID]]=0,"",INDEX(Table5[[#All],[First]],MATCH(DraftResults[[#This Row],[Player ID]],Table5[[#All],[PID]],0)))</f>
        <v/>
      </c>
      <c r="K228" t="str">
        <f>IF(DraftResults[[#This Row],[Player ID]]=0,"",INDEX(Table5[[#All],[Last]],MATCH(DraftResults[[#This Row],[Player ID]],Table5[[#All],[PID]],0)))</f>
        <v/>
      </c>
    </row>
    <row r="229" spans="1:11" x14ac:dyDescent="0.25">
      <c r="A229">
        <v>8</v>
      </c>
      <c r="B229">
        <v>0</v>
      </c>
      <c r="C229">
        <v>11</v>
      </c>
      <c r="D229" t="s">
        <v>257</v>
      </c>
      <c r="E229">
        <v>8</v>
      </c>
      <c r="F229">
        <v>0</v>
      </c>
      <c r="G229" t="s">
        <v>318</v>
      </c>
      <c r="H2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226</v>
      </c>
      <c r="I229" t="str">
        <f>IF(DraftResults[[#This Row],[Player ID]]=0,"",INDEX(Table5[[#All],[Pos]],MATCH(DraftResults[[#This Row],[Player ID]],Table5[[#All],[PID]],0)))</f>
        <v/>
      </c>
      <c r="J229" t="str">
        <f>IF(DraftResults[[#This Row],[Player ID]]=0,"",INDEX(Table5[[#All],[First]],MATCH(DraftResults[[#This Row],[Player ID]],Table5[[#All],[PID]],0)))</f>
        <v/>
      </c>
      <c r="K229" t="str">
        <f>IF(DraftResults[[#This Row],[Player ID]]=0,"",INDEX(Table5[[#All],[Last]],MATCH(DraftResults[[#This Row],[Player ID]],Table5[[#All],[PID]],0)))</f>
        <v/>
      </c>
    </row>
    <row r="230" spans="1:11" x14ac:dyDescent="0.25">
      <c r="A230">
        <v>8</v>
      </c>
      <c r="B230">
        <v>0</v>
      </c>
      <c r="C230">
        <v>12</v>
      </c>
      <c r="D230" t="s">
        <v>262</v>
      </c>
      <c r="E230">
        <v>12</v>
      </c>
      <c r="F230">
        <v>0</v>
      </c>
      <c r="G230" t="s">
        <v>318</v>
      </c>
      <c r="H2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227</v>
      </c>
      <c r="I230" t="str">
        <f>IF(DraftResults[[#This Row],[Player ID]]=0,"",INDEX(Table5[[#All],[Pos]],MATCH(DraftResults[[#This Row],[Player ID]],Table5[[#All],[PID]],0)))</f>
        <v/>
      </c>
      <c r="J230" t="str">
        <f>IF(DraftResults[[#This Row],[Player ID]]=0,"",INDEX(Table5[[#All],[First]],MATCH(DraftResults[[#This Row],[Player ID]],Table5[[#All],[PID]],0)))</f>
        <v/>
      </c>
      <c r="K230" t="str">
        <f>IF(DraftResults[[#This Row],[Player ID]]=0,"",INDEX(Table5[[#All],[Last]],MATCH(DraftResults[[#This Row],[Player ID]],Table5[[#All],[PID]],0)))</f>
        <v/>
      </c>
    </row>
    <row r="231" spans="1:11" x14ac:dyDescent="0.25">
      <c r="A231">
        <v>8</v>
      </c>
      <c r="B231">
        <v>0</v>
      </c>
      <c r="C231">
        <v>13</v>
      </c>
      <c r="D231" t="s">
        <v>489</v>
      </c>
      <c r="E231">
        <v>18</v>
      </c>
      <c r="F231">
        <v>0</v>
      </c>
      <c r="G231" t="s">
        <v>318</v>
      </c>
      <c r="H2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228</v>
      </c>
      <c r="I231" t="str">
        <f>IF(DraftResults[[#This Row],[Player ID]]=0,"",INDEX(Table5[[#All],[Pos]],MATCH(DraftResults[[#This Row],[Player ID]],Table5[[#All],[PID]],0)))</f>
        <v/>
      </c>
      <c r="J231" t="str">
        <f>IF(DraftResults[[#This Row],[Player ID]]=0,"",INDEX(Table5[[#All],[First]],MATCH(DraftResults[[#This Row],[Player ID]],Table5[[#All],[PID]],0)))</f>
        <v/>
      </c>
      <c r="K231" t="str">
        <f>IF(DraftResults[[#This Row],[Player ID]]=0,"",INDEX(Table5[[#All],[Last]],MATCH(DraftResults[[#This Row],[Player ID]],Table5[[#All],[PID]],0)))</f>
        <v/>
      </c>
    </row>
    <row r="232" spans="1:11" ht="15.75" customHeight="1" x14ac:dyDescent="0.25">
      <c r="A232">
        <v>8</v>
      </c>
      <c r="B232">
        <v>0</v>
      </c>
      <c r="C232">
        <v>14</v>
      </c>
      <c r="D232" t="s">
        <v>250</v>
      </c>
      <c r="E232">
        <v>10</v>
      </c>
      <c r="F232">
        <v>0</v>
      </c>
      <c r="G232" t="s">
        <v>318</v>
      </c>
      <c r="H2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229</v>
      </c>
      <c r="I232" t="str">
        <f>IF(DraftResults[[#This Row],[Player ID]]=0,"",INDEX(Table5[[#All],[Pos]],MATCH(DraftResults[[#This Row],[Player ID]],Table5[[#All],[PID]],0)))</f>
        <v/>
      </c>
      <c r="J232" t="str">
        <f>IF(DraftResults[[#This Row],[Player ID]]=0,"",INDEX(Table5[[#All],[First]],MATCH(DraftResults[[#This Row],[Player ID]],Table5[[#All],[PID]],0)))</f>
        <v/>
      </c>
      <c r="K232" t="str">
        <f>IF(DraftResults[[#This Row],[Player ID]]=0,"",INDEX(Table5[[#All],[Last]],MATCH(DraftResults[[#This Row],[Player ID]],Table5[[#All],[PID]],0)))</f>
        <v/>
      </c>
    </row>
    <row r="233" spans="1:11" x14ac:dyDescent="0.25">
      <c r="A233">
        <v>8</v>
      </c>
      <c r="B233">
        <v>0</v>
      </c>
      <c r="C233">
        <v>15</v>
      </c>
      <c r="D233" t="s">
        <v>482</v>
      </c>
      <c r="E233">
        <v>162</v>
      </c>
      <c r="F233">
        <v>0</v>
      </c>
      <c r="G233" t="s">
        <v>318</v>
      </c>
      <c r="H2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230</v>
      </c>
      <c r="I233" t="str">
        <f>IF(DraftResults[[#This Row],[Player ID]]=0,"",INDEX(Table5[[#All],[Pos]],MATCH(DraftResults[[#This Row],[Player ID]],Table5[[#All],[PID]],0)))</f>
        <v/>
      </c>
      <c r="J233" t="str">
        <f>IF(DraftResults[[#This Row],[Player ID]]=0,"",INDEX(Table5[[#All],[First]],MATCH(DraftResults[[#This Row],[Player ID]],Table5[[#All],[PID]],0)))</f>
        <v/>
      </c>
      <c r="K233" t="str">
        <f>IF(DraftResults[[#This Row],[Player ID]]=0,"",INDEX(Table5[[#All],[Last]],MATCH(DraftResults[[#This Row],[Player ID]],Table5[[#All],[PID]],0)))</f>
        <v/>
      </c>
    </row>
    <row r="234" spans="1:11" x14ac:dyDescent="0.25">
      <c r="A234">
        <v>8</v>
      </c>
      <c r="B234">
        <v>0</v>
      </c>
      <c r="C234">
        <v>16</v>
      </c>
      <c r="D234" t="s">
        <v>483</v>
      </c>
      <c r="E234">
        <v>2</v>
      </c>
      <c r="F234">
        <v>0</v>
      </c>
      <c r="G234" t="s">
        <v>318</v>
      </c>
      <c r="H2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231</v>
      </c>
      <c r="I234" t="str">
        <f>IF(DraftResults[[#This Row],[Player ID]]=0,"",INDEX(Table5[[#All],[Pos]],MATCH(DraftResults[[#This Row],[Player ID]],Table5[[#All],[PID]],0)))</f>
        <v/>
      </c>
      <c r="J234" t="str">
        <f>IF(DraftResults[[#This Row],[Player ID]]=0,"",INDEX(Table5[[#All],[First]],MATCH(DraftResults[[#This Row],[Player ID]],Table5[[#All],[PID]],0)))</f>
        <v/>
      </c>
      <c r="K234" t="str">
        <f>IF(DraftResults[[#This Row],[Player ID]]=0,"",INDEX(Table5[[#All],[Last]],MATCH(DraftResults[[#This Row],[Player ID]],Table5[[#All],[PID]],0)))</f>
        <v/>
      </c>
    </row>
    <row r="235" spans="1:11" x14ac:dyDescent="0.25">
      <c r="A235">
        <v>8</v>
      </c>
      <c r="B235">
        <v>0</v>
      </c>
      <c r="C235">
        <v>17</v>
      </c>
      <c r="D235" t="s">
        <v>258</v>
      </c>
      <c r="E235">
        <v>16</v>
      </c>
      <c r="F235">
        <v>0</v>
      </c>
      <c r="G235" t="s">
        <v>318</v>
      </c>
      <c r="H2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232</v>
      </c>
      <c r="I235" t="str">
        <f>IF(DraftResults[[#This Row],[Player ID]]=0,"",INDEX(Table5[[#All],[Pos]],MATCH(DraftResults[[#This Row],[Player ID]],Table5[[#All],[PID]],0)))</f>
        <v/>
      </c>
      <c r="J235" t="str">
        <f>IF(DraftResults[[#This Row],[Player ID]]=0,"",INDEX(Table5[[#All],[First]],MATCH(DraftResults[[#This Row],[Player ID]],Table5[[#All],[PID]],0)))</f>
        <v/>
      </c>
      <c r="K235" t="str">
        <f>IF(DraftResults[[#This Row],[Player ID]]=0,"",INDEX(Table5[[#All],[Last]],MATCH(DraftResults[[#This Row],[Player ID]],Table5[[#All],[PID]],0)))</f>
        <v/>
      </c>
    </row>
    <row r="236" spans="1:11" x14ac:dyDescent="0.25">
      <c r="A236">
        <v>8</v>
      </c>
      <c r="B236">
        <v>0</v>
      </c>
      <c r="C236">
        <v>18</v>
      </c>
      <c r="D236" t="s">
        <v>490</v>
      </c>
      <c r="E236">
        <v>167</v>
      </c>
      <c r="F236">
        <v>0</v>
      </c>
      <c r="G236" t="s">
        <v>318</v>
      </c>
      <c r="H2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233</v>
      </c>
      <c r="I236" t="str">
        <f>IF(DraftResults[[#This Row],[Player ID]]=0,"",INDEX(Table5[[#All],[Pos]],MATCH(DraftResults[[#This Row],[Player ID]],Table5[[#All],[PID]],0)))</f>
        <v/>
      </c>
      <c r="J236" t="str">
        <f>IF(DraftResults[[#This Row],[Player ID]]=0,"",INDEX(Table5[[#All],[First]],MATCH(DraftResults[[#This Row],[Player ID]],Table5[[#All],[PID]],0)))</f>
        <v/>
      </c>
      <c r="K236" t="str">
        <f>IF(DraftResults[[#This Row],[Player ID]]=0,"",INDEX(Table5[[#All],[Last]],MATCH(DraftResults[[#This Row],[Player ID]],Table5[[#All],[PID]],0)))</f>
        <v/>
      </c>
    </row>
    <row r="237" spans="1:11" x14ac:dyDescent="0.25">
      <c r="A237">
        <v>8</v>
      </c>
      <c r="B237">
        <v>0</v>
      </c>
      <c r="C237">
        <v>19</v>
      </c>
      <c r="D237" t="s">
        <v>243</v>
      </c>
      <c r="E237">
        <v>19</v>
      </c>
      <c r="F237">
        <v>0</v>
      </c>
      <c r="G237" t="s">
        <v>318</v>
      </c>
      <c r="H2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234</v>
      </c>
      <c r="I237" t="str">
        <f>IF(DraftResults[[#This Row],[Player ID]]=0,"",INDEX(Table5[[#All],[Pos]],MATCH(DraftResults[[#This Row],[Player ID]],Table5[[#All],[PID]],0)))</f>
        <v/>
      </c>
      <c r="J237" t="str">
        <f>IF(DraftResults[[#This Row],[Player ID]]=0,"",INDEX(Table5[[#All],[First]],MATCH(DraftResults[[#This Row],[Player ID]],Table5[[#All],[PID]],0)))</f>
        <v/>
      </c>
      <c r="K237" t="str">
        <f>IF(DraftResults[[#This Row],[Player ID]]=0,"",INDEX(Table5[[#All],[Last]],MATCH(DraftResults[[#This Row],[Player ID]],Table5[[#All],[PID]],0)))</f>
        <v/>
      </c>
    </row>
    <row r="238" spans="1:11" x14ac:dyDescent="0.25">
      <c r="A238">
        <v>8</v>
      </c>
      <c r="B238">
        <v>0</v>
      </c>
      <c r="C238">
        <v>20</v>
      </c>
      <c r="D238" t="s">
        <v>487</v>
      </c>
      <c r="E238">
        <v>163</v>
      </c>
      <c r="F238">
        <v>0</v>
      </c>
      <c r="G238" t="s">
        <v>318</v>
      </c>
      <c r="H2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235</v>
      </c>
      <c r="I238" t="str">
        <f>IF(DraftResults[[#This Row],[Player ID]]=0,"",INDEX(Table5[[#All],[Pos]],MATCH(DraftResults[[#This Row],[Player ID]],Table5[[#All],[PID]],0)))</f>
        <v/>
      </c>
      <c r="J238" t="str">
        <f>IF(DraftResults[[#This Row],[Player ID]]=0,"",INDEX(Table5[[#All],[First]],MATCH(DraftResults[[#This Row],[Player ID]],Table5[[#All],[PID]],0)))</f>
        <v/>
      </c>
      <c r="K238" t="str">
        <f>IF(DraftResults[[#This Row],[Player ID]]=0,"",INDEX(Table5[[#All],[Last]],MATCH(DraftResults[[#This Row],[Player ID]],Table5[[#All],[PID]],0)))</f>
        <v/>
      </c>
    </row>
    <row r="239" spans="1:11" x14ac:dyDescent="0.25">
      <c r="A239">
        <v>8</v>
      </c>
      <c r="B239">
        <v>0</v>
      </c>
      <c r="C239">
        <v>21</v>
      </c>
      <c r="D239" t="s">
        <v>255</v>
      </c>
      <c r="E239">
        <v>20</v>
      </c>
      <c r="F239">
        <v>0</v>
      </c>
      <c r="G239" t="s">
        <v>318</v>
      </c>
      <c r="H2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236</v>
      </c>
      <c r="I239" t="str">
        <f>IF(DraftResults[[#This Row],[Player ID]]=0,"",INDEX(Table5[[#All],[Pos]],MATCH(DraftResults[[#This Row],[Player ID]],Table5[[#All],[PID]],0)))</f>
        <v/>
      </c>
      <c r="J239" t="str">
        <f>IF(DraftResults[[#This Row],[Player ID]]=0,"",INDEX(Table5[[#All],[First]],MATCH(DraftResults[[#This Row],[Player ID]],Table5[[#All],[PID]],0)))</f>
        <v/>
      </c>
      <c r="K239" t="str">
        <f>IF(DraftResults[[#This Row],[Player ID]]=0,"",INDEX(Table5[[#All],[Last]],MATCH(DraftResults[[#This Row],[Player ID]],Table5[[#All],[PID]],0)))</f>
        <v/>
      </c>
    </row>
    <row r="240" spans="1:11" x14ac:dyDescent="0.25">
      <c r="A240">
        <v>8</v>
      </c>
      <c r="B240">
        <v>0</v>
      </c>
      <c r="C240">
        <v>22</v>
      </c>
      <c r="D240" t="s">
        <v>485</v>
      </c>
      <c r="E240">
        <v>166</v>
      </c>
      <c r="F240">
        <v>0</v>
      </c>
      <c r="G240" t="s">
        <v>318</v>
      </c>
      <c r="H2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237</v>
      </c>
      <c r="I240" t="str">
        <f>IF(DraftResults[[#This Row],[Player ID]]=0,"",INDEX(Table5[[#All],[Pos]],MATCH(DraftResults[[#This Row],[Player ID]],Table5[[#All],[PID]],0)))</f>
        <v/>
      </c>
      <c r="J240" t="str">
        <f>IF(DraftResults[[#This Row],[Player ID]]=0,"",INDEX(Table5[[#All],[First]],MATCH(DraftResults[[#This Row],[Player ID]],Table5[[#All],[PID]],0)))</f>
        <v/>
      </c>
      <c r="K240" t="str">
        <f>IF(DraftResults[[#This Row],[Player ID]]=0,"",INDEX(Table5[[#All],[Last]],MATCH(DraftResults[[#This Row],[Player ID]],Table5[[#All],[PID]],0)))</f>
        <v/>
      </c>
    </row>
    <row r="241" spans="1:11" x14ac:dyDescent="0.25">
      <c r="A241">
        <v>8</v>
      </c>
      <c r="B241">
        <v>0</v>
      </c>
      <c r="C241">
        <v>23</v>
      </c>
      <c r="D241" t="s">
        <v>244</v>
      </c>
      <c r="E241">
        <v>22</v>
      </c>
      <c r="F241">
        <v>0</v>
      </c>
      <c r="G241" t="s">
        <v>318</v>
      </c>
      <c r="H2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238</v>
      </c>
      <c r="I241" t="str">
        <f>IF(DraftResults[[#This Row],[Player ID]]=0,"",INDEX(Table5[[#All],[Pos]],MATCH(DraftResults[[#This Row],[Player ID]],Table5[[#All],[PID]],0)))</f>
        <v/>
      </c>
      <c r="J241" t="str">
        <f>IF(DraftResults[[#This Row],[Player ID]]=0,"",INDEX(Table5[[#All],[First]],MATCH(DraftResults[[#This Row],[Player ID]],Table5[[#All],[PID]],0)))</f>
        <v/>
      </c>
      <c r="K241" t="str">
        <f>IF(DraftResults[[#This Row],[Player ID]]=0,"",INDEX(Table5[[#All],[Last]],MATCH(DraftResults[[#This Row],[Player ID]],Table5[[#All],[PID]],0)))</f>
        <v/>
      </c>
    </row>
    <row r="242" spans="1:11" x14ac:dyDescent="0.25">
      <c r="A242">
        <v>8</v>
      </c>
      <c r="B242">
        <v>0</v>
      </c>
      <c r="C242">
        <v>24</v>
      </c>
      <c r="D242" t="s">
        <v>253</v>
      </c>
      <c r="E242">
        <v>14</v>
      </c>
      <c r="F242">
        <v>0</v>
      </c>
      <c r="G242" t="s">
        <v>318</v>
      </c>
      <c r="H2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239</v>
      </c>
      <c r="I242" t="str">
        <f>IF(DraftResults[[#This Row],[Player ID]]=0,"",INDEX(Table5[[#All],[Pos]],MATCH(DraftResults[[#This Row],[Player ID]],Table5[[#All],[PID]],0)))</f>
        <v/>
      </c>
      <c r="J242" t="str">
        <f>IF(DraftResults[[#This Row],[Player ID]]=0,"",INDEX(Table5[[#All],[First]],MATCH(DraftResults[[#This Row],[Player ID]],Table5[[#All],[PID]],0)))</f>
        <v/>
      </c>
      <c r="K242" t="str">
        <f>IF(DraftResults[[#This Row],[Player ID]]=0,"",INDEX(Table5[[#All],[Last]],MATCH(DraftResults[[#This Row],[Player ID]],Table5[[#All],[PID]],0)))</f>
        <v/>
      </c>
    </row>
    <row r="243" spans="1:11" x14ac:dyDescent="0.25">
      <c r="A243">
        <v>8</v>
      </c>
      <c r="B243">
        <v>0</v>
      </c>
      <c r="C243">
        <v>25</v>
      </c>
      <c r="D243" t="s">
        <v>254</v>
      </c>
      <c r="E243">
        <v>15</v>
      </c>
      <c r="F243">
        <v>0</v>
      </c>
      <c r="G243" t="s">
        <v>318</v>
      </c>
      <c r="H2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240</v>
      </c>
      <c r="I243" t="str">
        <f>IF(DraftResults[[#This Row],[Player ID]]=0,"",INDEX(Table5[[#All],[Pos]],MATCH(DraftResults[[#This Row],[Player ID]],Table5[[#All],[PID]],0)))</f>
        <v/>
      </c>
      <c r="J243" t="str">
        <f>IF(DraftResults[[#This Row],[Player ID]]=0,"",INDEX(Table5[[#All],[First]],MATCH(DraftResults[[#This Row],[Player ID]],Table5[[#All],[PID]],0)))</f>
        <v/>
      </c>
      <c r="K243" t="str">
        <f>IF(DraftResults[[#This Row],[Player ID]]=0,"",INDEX(Table5[[#All],[Last]],MATCH(DraftResults[[#This Row],[Player ID]],Table5[[#All],[PID]],0)))</f>
        <v/>
      </c>
    </row>
    <row r="244" spans="1:11" x14ac:dyDescent="0.25">
      <c r="A244">
        <v>8</v>
      </c>
      <c r="B244">
        <v>0</v>
      </c>
      <c r="C244">
        <v>26</v>
      </c>
      <c r="D244" t="s">
        <v>247</v>
      </c>
      <c r="E244">
        <v>17</v>
      </c>
      <c r="F244">
        <v>0</v>
      </c>
      <c r="G244" t="s">
        <v>318</v>
      </c>
      <c r="H2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241</v>
      </c>
      <c r="I244" t="str">
        <f>IF(DraftResults[[#This Row],[Player ID]]=0,"",INDEX(Table5[[#All],[Pos]],MATCH(DraftResults[[#This Row],[Player ID]],Table5[[#All],[PID]],0)))</f>
        <v/>
      </c>
      <c r="J244" t="str">
        <f>IF(DraftResults[[#This Row],[Player ID]]=0,"",INDEX(Table5[[#All],[First]],MATCH(DraftResults[[#This Row],[Player ID]],Table5[[#All],[PID]],0)))</f>
        <v/>
      </c>
      <c r="K244" t="str">
        <f>IF(DraftResults[[#This Row],[Player ID]]=0,"",INDEX(Table5[[#All],[Last]],MATCH(DraftResults[[#This Row],[Player ID]],Table5[[#All],[PID]],0)))</f>
        <v/>
      </c>
    </row>
    <row r="245" spans="1:11" x14ac:dyDescent="0.25">
      <c r="A245">
        <v>8</v>
      </c>
      <c r="B245">
        <v>0</v>
      </c>
      <c r="C245">
        <v>27</v>
      </c>
      <c r="D245" t="s">
        <v>698</v>
      </c>
      <c r="E245">
        <v>9</v>
      </c>
      <c r="F245">
        <v>0</v>
      </c>
      <c r="G245" t="s">
        <v>318</v>
      </c>
      <c r="H2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242</v>
      </c>
      <c r="I245" t="str">
        <f>IF(DraftResults[[#This Row],[Player ID]]=0,"",INDEX(Table5[[#All],[Pos]],MATCH(DraftResults[[#This Row],[Player ID]],Table5[[#All],[PID]],0)))</f>
        <v/>
      </c>
      <c r="J245" t="str">
        <f>IF(DraftResults[[#This Row],[Player ID]]=0,"",INDEX(Table5[[#All],[First]],MATCH(DraftResults[[#This Row],[Player ID]],Table5[[#All],[PID]],0)))</f>
        <v/>
      </c>
      <c r="K245" t="str">
        <f>IF(DraftResults[[#This Row],[Player ID]]=0,"",INDEX(Table5[[#All],[Last]],MATCH(DraftResults[[#This Row],[Player ID]],Table5[[#All],[PID]],0)))</f>
        <v/>
      </c>
    </row>
    <row r="246" spans="1:11" x14ac:dyDescent="0.25">
      <c r="A246">
        <v>8</v>
      </c>
      <c r="B246">
        <v>0</v>
      </c>
      <c r="C246">
        <v>28</v>
      </c>
      <c r="D246" t="s">
        <v>486</v>
      </c>
      <c r="E246">
        <v>159</v>
      </c>
      <c r="F246">
        <v>0</v>
      </c>
      <c r="G246" t="s">
        <v>318</v>
      </c>
      <c r="H2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243</v>
      </c>
      <c r="I246" t="str">
        <f>IF(DraftResults[[#This Row],[Player ID]]=0,"",INDEX(Table5[[#All],[Pos]],MATCH(DraftResults[[#This Row],[Player ID]],Table5[[#All],[PID]],0)))</f>
        <v/>
      </c>
      <c r="J246" t="str">
        <f>IF(DraftResults[[#This Row],[Player ID]]=0,"",INDEX(Table5[[#All],[First]],MATCH(DraftResults[[#This Row],[Player ID]],Table5[[#All],[PID]],0)))</f>
        <v/>
      </c>
      <c r="K246" t="str">
        <f>IF(DraftResults[[#This Row],[Player ID]]=0,"",INDEX(Table5[[#All],[Last]],MATCH(DraftResults[[#This Row],[Player ID]],Table5[[#All],[PID]],0)))</f>
        <v/>
      </c>
    </row>
    <row r="247" spans="1:11" x14ac:dyDescent="0.25">
      <c r="A247">
        <v>8</v>
      </c>
      <c r="B247">
        <v>0</v>
      </c>
      <c r="C247">
        <v>29</v>
      </c>
      <c r="D247" t="s">
        <v>249</v>
      </c>
      <c r="E247">
        <v>11</v>
      </c>
      <c r="F247">
        <v>0</v>
      </c>
      <c r="G247" t="s">
        <v>318</v>
      </c>
      <c r="H2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244</v>
      </c>
      <c r="I247" t="str">
        <f>IF(DraftResults[[#This Row],[Player ID]]=0,"",INDEX(Table5[[#All],[Pos]],MATCH(DraftResults[[#This Row],[Player ID]],Table5[[#All],[PID]],0)))</f>
        <v/>
      </c>
      <c r="J247" t="str">
        <f>IF(DraftResults[[#This Row],[Player ID]]=0,"",INDEX(Table5[[#All],[First]],MATCH(DraftResults[[#This Row],[Player ID]],Table5[[#All],[PID]],0)))</f>
        <v/>
      </c>
      <c r="K247" t="str">
        <f>IF(DraftResults[[#This Row],[Player ID]]=0,"",INDEX(Table5[[#All],[Last]],MATCH(DraftResults[[#This Row],[Player ID]],Table5[[#All],[PID]],0)))</f>
        <v/>
      </c>
    </row>
    <row r="248" spans="1:11" x14ac:dyDescent="0.25">
      <c r="A248">
        <v>9</v>
      </c>
      <c r="B248">
        <v>0</v>
      </c>
      <c r="C248">
        <v>1</v>
      </c>
      <c r="D248" t="s">
        <v>695</v>
      </c>
      <c r="E248">
        <v>160</v>
      </c>
      <c r="F248">
        <v>0</v>
      </c>
      <c r="G248" t="s">
        <v>318</v>
      </c>
      <c r="H2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245</v>
      </c>
      <c r="I248" t="str">
        <f>IF(DraftResults[[#This Row],[Player ID]]=0,"",INDEX(Table5[[#All],[Pos]],MATCH(DraftResults[[#This Row],[Player ID]],Table5[[#All],[PID]],0)))</f>
        <v/>
      </c>
      <c r="J248" t="str">
        <f>IF(DraftResults[[#This Row],[Player ID]]=0,"",INDEX(Table5[[#All],[First]],MATCH(DraftResults[[#This Row],[Player ID]],Table5[[#All],[PID]],0)))</f>
        <v/>
      </c>
      <c r="K248" t="str">
        <f>IF(DraftResults[[#This Row],[Player ID]]=0,"",INDEX(Table5[[#All],[Last]],MATCH(DraftResults[[#This Row],[Player ID]],Table5[[#All],[PID]],0)))</f>
        <v/>
      </c>
    </row>
    <row r="249" spans="1:11" x14ac:dyDescent="0.25">
      <c r="A249">
        <v>9</v>
      </c>
      <c r="B249">
        <v>0</v>
      </c>
      <c r="C249">
        <v>2</v>
      </c>
      <c r="D249" t="s">
        <v>694</v>
      </c>
      <c r="E249">
        <v>24</v>
      </c>
      <c r="F249">
        <v>0</v>
      </c>
      <c r="G249" t="s">
        <v>318</v>
      </c>
      <c r="H2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246</v>
      </c>
      <c r="I249" t="str">
        <f>IF(DraftResults[[#This Row],[Player ID]]=0,"",INDEX(Table5[[#All],[Pos]],MATCH(DraftResults[[#This Row],[Player ID]],Table5[[#All],[PID]],0)))</f>
        <v/>
      </c>
      <c r="J249" t="str">
        <f>IF(DraftResults[[#This Row],[Player ID]]=0,"",INDEX(Table5[[#All],[First]],MATCH(DraftResults[[#This Row],[Player ID]],Table5[[#All],[PID]],0)))</f>
        <v/>
      </c>
      <c r="K249" t="str">
        <f>IF(DraftResults[[#This Row],[Player ID]]=0,"",INDEX(Table5[[#All],[Last]],MATCH(DraftResults[[#This Row],[Player ID]],Table5[[#All],[PID]],0)))</f>
        <v/>
      </c>
    </row>
    <row r="250" spans="1:11" x14ac:dyDescent="0.25">
      <c r="A250">
        <v>9</v>
      </c>
      <c r="B250">
        <v>0</v>
      </c>
      <c r="C250">
        <v>3</v>
      </c>
      <c r="D250" t="s">
        <v>697</v>
      </c>
      <c r="E250">
        <v>23</v>
      </c>
      <c r="F250">
        <v>0</v>
      </c>
      <c r="G250" t="s">
        <v>318</v>
      </c>
      <c r="H2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247</v>
      </c>
      <c r="I250" t="str">
        <f>IF(DraftResults[[#This Row],[Player ID]]=0,"",INDEX(Table5[[#All],[Pos]],MATCH(DraftResults[[#This Row],[Player ID]],Table5[[#All],[PID]],0)))</f>
        <v/>
      </c>
      <c r="J250" t="str">
        <f>IF(DraftResults[[#This Row],[Player ID]]=0,"",INDEX(Table5[[#All],[First]],MATCH(DraftResults[[#This Row],[Player ID]],Table5[[#All],[PID]],0)))</f>
        <v/>
      </c>
      <c r="K250" t="str">
        <f>IF(DraftResults[[#This Row],[Player ID]]=0,"",INDEX(Table5[[#All],[Last]],MATCH(DraftResults[[#This Row],[Player ID]],Table5[[#All],[PID]],0)))</f>
        <v/>
      </c>
    </row>
    <row r="251" spans="1:11" x14ac:dyDescent="0.25">
      <c r="A251">
        <v>9</v>
      </c>
      <c r="B251">
        <v>0</v>
      </c>
      <c r="C251">
        <v>4</v>
      </c>
      <c r="D251" t="s">
        <v>252</v>
      </c>
      <c r="E251">
        <v>1</v>
      </c>
      <c r="F251">
        <v>0</v>
      </c>
      <c r="G251" t="s">
        <v>318</v>
      </c>
      <c r="H2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248</v>
      </c>
      <c r="I251" t="str">
        <f>IF(DraftResults[[#This Row],[Player ID]]=0,"",INDEX(Table5[[#All],[Pos]],MATCH(DraftResults[[#This Row],[Player ID]],Table5[[#All],[PID]],0)))</f>
        <v/>
      </c>
      <c r="J251" t="str">
        <f>IF(DraftResults[[#This Row],[Player ID]]=0,"",INDEX(Table5[[#All],[First]],MATCH(DraftResults[[#This Row],[Player ID]],Table5[[#All],[PID]],0)))</f>
        <v/>
      </c>
      <c r="K251" t="str">
        <f>IF(DraftResults[[#This Row],[Player ID]]=0,"",INDEX(Table5[[#All],[Last]],MATCH(DraftResults[[#This Row],[Player ID]],Table5[[#All],[PID]],0)))</f>
        <v/>
      </c>
    </row>
    <row r="252" spans="1:11" x14ac:dyDescent="0.25">
      <c r="A252">
        <v>9</v>
      </c>
      <c r="B252">
        <v>0</v>
      </c>
      <c r="C252">
        <v>5</v>
      </c>
      <c r="D252" t="s">
        <v>484</v>
      </c>
      <c r="E252">
        <v>164</v>
      </c>
      <c r="F252">
        <v>0</v>
      </c>
      <c r="G252" t="s">
        <v>318</v>
      </c>
      <c r="H2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249</v>
      </c>
      <c r="I252" t="str">
        <f>IF(DraftResults[[#This Row],[Player ID]]=0,"",INDEX(Table5[[#All],[Pos]],MATCH(DraftResults[[#This Row],[Player ID]],Table5[[#All],[PID]],0)))</f>
        <v/>
      </c>
      <c r="J252" t="str">
        <f>IF(DraftResults[[#This Row],[Player ID]]=0,"",INDEX(Table5[[#All],[First]],MATCH(DraftResults[[#This Row],[Player ID]],Table5[[#All],[PID]],0)))</f>
        <v/>
      </c>
      <c r="K252" t="str">
        <f>IF(DraftResults[[#This Row],[Player ID]]=0,"",INDEX(Table5[[#All],[Last]],MATCH(DraftResults[[#This Row],[Player ID]],Table5[[#All],[PID]],0)))</f>
        <v/>
      </c>
    </row>
    <row r="253" spans="1:11" x14ac:dyDescent="0.25">
      <c r="A253">
        <v>9</v>
      </c>
      <c r="B253">
        <v>0</v>
      </c>
      <c r="C253">
        <v>6</v>
      </c>
      <c r="D253" t="s">
        <v>254</v>
      </c>
      <c r="E253">
        <v>15</v>
      </c>
      <c r="F253">
        <v>0</v>
      </c>
      <c r="G253" t="s">
        <v>318</v>
      </c>
      <c r="H2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250</v>
      </c>
      <c r="I253" t="str">
        <f>IF(DraftResults[[#This Row],[Player ID]]=0,"",INDEX(Table5[[#All],[Pos]],MATCH(DraftResults[[#This Row],[Player ID]],Table5[[#All],[PID]],0)))</f>
        <v/>
      </c>
      <c r="J253" t="str">
        <f>IF(DraftResults[[#This Row],[Player ID]]=0,"",INDEX(Table5[[#All],[First]],MATCH(DraftResults[[#This Row],[Player ID]],Table5[[#All],[PID]],0)))</f>
        <v/>
      </c>
      <c r="K253" t="str">
        <f>IF(DraftResults[[#This Row],[Player ID]]=0,"",INDEX(Table5[[#All],[Last]],MATCH(DraftResults[[#This Row],[Player ID]],Table5[[#All],[PID]],0)))</f>
        <v/>
      </c>
    </row>
    <row r="254" spans="1:11" x14ac:dyDescent="0.25">
      <c r="A254">
        <v>9</v>
      </c>
      <c r="B254">
        <v>0</v>
      </c>
      <c r="C254">
        <v>7</v>
      </c>
      <c r="D254" t="s">
        <v>588</v>
      </c>
      <c r="E254">
        <v>4</v>
      </c>
      <c r="F254">
        <v>0</v>
      </c>
      <c r="G254" t="s">
        <v>318</v>
      </c>
      <c r="H2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251</v>
      </c>
      <c r="I254" t="str">
        <f>IF(DraftResults[[#This Row],[Player ID]]=0,"",INDEX(Table5[[#All],[Pos]],MATCH(DraftResults[[#This Row],[Player ID]],Table5[[#All],[PID]],0)))</f>
        <v/>
      </c>
      <c r="J254" t="str">
        <f>IF(DraftResults[[#This Row],[Player ID]]=0,"",INDEX(Table5[[#All],[First]],MATCH(DraftResults[[#This Row],[Player ID]],Table5[[#All],[PID]],0)))</f>
        <v/>
      </c>
      <c r="K254" t="str">
        <f>IF(DraftResults[[#This Row],[Player ID]]=0,"",INDEX(Table5[[#All],[Last]],MATCH(DraftResults[[#This Row],[Player ID]],Table5[[#All],[PID]],0)))</f>
        <v/>
      </c>
    </row>
    <row r="255" spans="1:11" x14ac:dyDescent="0.25">
      <c r="A255">
        <v>9</v>
      </c>
      <c r="B255">
        <v>0</v>
      </c>
      <c r="C255">
        <v>8</v>
      </c>
      <c r="D255" t="s">
        <v>587</v>
      </c>
      <c r="E255">
        <v>7</v>
      </c>
      <c r="F255">
        <v>0</v>
      </c>
      <c r="G255" t="s">
        <v>318</v>
      </c>
      <c r="H2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252</v>
      </c>
      <c r="I255" t="str">
        <f>IF(DraftResults[[#This Row],[Player ID]]=0,"",INDEX(Table5[[#All],[Pos]],MATCH(DraftResults[[#This Row],[Player ID]],Table5[[#All],[PID]],0)))</f>
        <v/>
      </c>
      <c r="J255" t="str">
        <f>IF(DraftResults[[#This Row],[Player ID]]=0,"",INDEX(Table5[[#All],[First]],MATCH(DraftResults[[#This Row],[Player ID]],Table5[[#All],[PID]],0)))</f>
        <v/>
      </c>
      <c r="K255" t="str">
        <f>IF(DraftResults[[#This Row],[Player ID]]=0,"",INDEX(Table5[[#All],[Last]],MATCH(DraftResults[[#This Row],[Player ID]],Table5[[#All],[PID]],0)))</f>
        <v/>
      </c>
    </row>
    <row r="256" spans="1:11" x14ac:dyDescent="0.25">
      <c r="A256">
        <v>9</v>
      </c>
      <c r="B256">
        <v>0</v>
      </c>
      <c r="C256">
        <v>9</v>
      </c>
      <c r="D256" t="s">
        <v>246</v>
      </c>
      <c r="E256">
        <v>21</v>
      </c>
      <c r="F256">
        <v>0</v>
      </c>
      <c r="G256" t="s">
        <v>318</v>
      </c>
      <c r="H2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253</v>
      </c>
      <c r="I256" t="str">
        <f>IF(DraftResults[[#This Row],[Player ID]]=0,"",INDEX(Table5[[#All],[Pos]],MATCH(DraftResults[[#This Row],[Player ID]],Table5[[#All],[PID]],0)))</f>
        <v/>
      </c>
      <c r="J256" t="str">
        <f>IF(DraftResults[[#This Row],[Player ID]]=0,"",INDEX(Table5[[#All],[First]],MATCH(DraftResults[[#This Row],[Player ID]],Table5[[#All],[PID]],0)))</f>
        <v/>
      </c>
      <c r="K256" t="str">
        <f>IF(DraftResults[[#This Row],[Player ID]]=0,"",INDEX(Table5[[#All],[Last]],MATCH(DraftResults[[#This Row],[Player ID]],Table5[[#All],[PID]],0)))</f>
        <v/>
      </c>
    </row>
    <row r="257" spans="1:11" x14ac:dyDescent="0.25">
      <c r="A257">
        <v>9</v>
      </c>
      <c r="B257">
        <v>0</v>
      </c>
      <c r="C257">
        <v>10</v>
      </c>
      <c r="D257" t="s">
        <v>696</v>
      </c>
      <c r="E257">
        <v>13</v>
      </c>
      <c r="F257">
        <v>0</v>
      </c>
      <c r="G257" t="s">
        <v>318</v>
      </c>
      <c r="H2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254</v>
      </c>
      <c r="I257" t="str">
        <f>IF(DraftResults[[#This Row],[Player ID]]=0,"",INDEX(Table5[[#All],[Pos]],MATCH(DraftResults[[#This Row],[Player ID]],Table5[[#All],[PID]],0)))</f>
        <v/>
      </c>
      <c r="J257" t="str">
        <f>IF(DraftResults[[#This Row],[Player ID]]=0,"",INDEX(Table5[[#All],[First]],MATCH(DraftResults[[#This Row],[Player ID]],Table5[[#All],[PID]],0)))</f>
        <v/>
      </c>
      <c r="K257" t="str">
        <f>IF(DraftResults[[#This Row],[Player ID]]=0,"",INDEX(Table5[[#All],[Last]],MATCH(DraftResults[[#This Row],[Player ID]],Table5[[#All],[PID]],0)))</f>
        <v/>
      </c>
    </row>
    <row r="258" spans="1:11" ht="15.75" customHeight="1" x14ac:dyDescent="0.25">
      <c r="A258">
        <v>9</v>
      </c>
      <c r="B258">
        <v>0</v>
      </c>
      <c r="C258">
        <v>11</v>
      </c>
      <c r="D258" t="s">
        <v>251</v>
      </c>
      <c r="E258">
        <v>3</v>
      </c>
      <c r="F258">
        <v>0</v>
      </c>
      <c r="G258" t="s">
        <v>318</v>
      </c>
      <c r="H2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255</v>
      </c>
      <c r="I258" t="str">
        <f>IF(DraftResults[[#This Row],[Player ID]]=0,"",INDEX(Table5[[#All],[Pos]],MATCH(DraftResults[[#This Row],[Player ID]],Table5[[#All],[PID]],0)))</f>
        <v/>
      </c>
      <c r="J258" t="str">
        <f>IF(DraftResults[[#This Row],[Player ID]]=0,"",INDEX(Table5[[#All],[First]],MATCH(DraftResults[[#This Row],[Player ID]],Table5[[#All],[PID]],0)))</f>
        <v/>
      </c>
      <c r="K258" t="str">
        <f>IF(DraftResults[[#This Row],[Player ID]]=0,"",INDEX(Table5[[#All],[Last]],MATCH(DraftResults[[#This Row],[Player ID]],Table5[[#All],[PID]],0)))</f>
        <v/>
      </c>
    </row>
    <row r="259" spans="1:11" x14ac:dyDescent="0.25">
      <c r="A259">
        <v>9</v>
      </c>
      <c r="B259">
        <v>0</v>
      </c>
      <c r="C259">
        <v>12</v>
      </c>
      <c r="D259" t="s">
        <v>257</v>
      </c>
      <c r="E259">
        <v>8</v>
      </c>
      <c r="F259">
        <v>0</v>
      </c>
      <c r="G259" t="s">
        <v>318</v>
      </c>
      <c r="H2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256</v>
      </c>
      <c r="I259" t="str">
        <f>IF(DraftResults[[#This Row],[Player ID]]=0,"",INDEX(Table5[[#All],[Pos]],MATCH(DraftResults[[#This Row],[Player ID]],Table5[[#All],[PID]],0)))</f>
        <v/>
      </c>
      <c r="J259" t="str">
        <f>IF(DraftResults[[#This Row],[Player ID]]=0,"",INDEX(Table5[[#All],[First]],MATCH(DraftResults[[#This Row],[Player ID]],Table5[[#All],[PID]],0)))</f>
        <v/>
      </c>
      <c r="K259" t="str">
        <f>IF(DraftResults[[#This Row],[Player ID]]=0,"",INDEX(Table5[[#All],[Last]],MATCH(DraftResults[[#This Row],[Player ID]],Table5[[#All],[PID]],0)))</f>
        <v/>
      </c>
    </row>
    <row r="260" spans="1:11" x14ac:dyDescent="0.25">
      <c r="A260">
        <v>9</v>
      </c>
      <c r="B260">
        <v>0</v>
      </c>
      <c r="C260">
        <v>13</v>
      </c>
      <c r="D260" t="s">
        <v>262</v>
      </c>
      <c r="E260">
        <v>12</v>
      </c>
      <c r="F260">
        <v>0</v>
      </c>
      <c r="G260" t="s">
        <v>318</v>
      </c>
      <c r="H2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257</v>
      </c>
      <c r="I260" t="str">
        <f>IF(DraftResults[[#This Row],[Player ID]]=0,"",INDEX(Table5[[#All],[Pos]],MATCH(DraftResults[[#This Row],[Player ID]],Table5[[#All],[PID]],0)))</f>
        <v/>
      </c>
      <c r="J260" t="str">
        <f>IF(DraftResults[[#This Row],[Player ID]]=0,"",INDEX(Table5[[#All],[First]],MATCH(DraftResults[[#This Row],[Player ID]],Table5[[#All],[PID]],0)))</f>
        <v/>
      </c>
      <c r="K260" t="str">
        <f>IF(DraftResults[[#This Row],[Player ID]]=0,"",INDEX(Table5[[#All],[Last]],MATCH(DraftResults[[#This Row],[Player ID]],Table5[[#All],[PID]],0)))</f>
        <v/>
      </c>
    </row>
    <row r="261" spans="1:11" x14ac:dyDescent="0.25">
      <c r="A261">
        <v>9</v>
      </c>
      <c r="B261">
        <v>0</v>
      </c>
      <c r="C261">
        <v>14</v>
      </c>
      <c r="D261" t="s">
        <v>489</v>
      </c>
      <c r="E261">
        <v>18</v>
      </c>
      <c r="F261">
        <v>0</v>
      </c>
      <c r="G261" t="s">
        <v>318</v>
      </c>
      <c r="H2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258</v>
      </c>
      <c r="I261" t="str">
        <f>IF(DraftResults[[#This Row],[Player ID]]=0,"",INDEX(Table5[[#All],[Pos]],MATCH(DraftResults[[#This Row],[Player ID]],Table5[[#All],[PID]],0)))</f>
        <v/>
      </c>
      <c r="J261" t="str">
        <f>IF(DraftResults[[#This Row],[Player ID]]=0,"",INDEX(Table5[[#All],[First]],MATCH(DraftResults[[#This Row],[Player ID]],Table5[[#All],[PID]],0)))</f>
        <v/>
      </c>
      <c r="K261" t="str">
        <f>IF(DraftResults[[#This Row],[Player ID]]=0,"",INDEX(Table5[[#All],[Last]],MATCH(DraftResults[[#This Row],[Player ID]],Table5[[#All],[PID]],0)))</f>
        <v/>
      </c>
    </row>
    <row r="262" spans="1:11" x14ac:dyDescent="0.25">
      <c r="A262">
        <v>9</v>
      </c>
      <c r="B262">
        <v>0</v>
      </c>
      <c r="C262">
        <v>15</v>
      </c>
      <c r="D262" t="s">
        <v>250</v>
      </c>
      <c r="E262">
        <v>10</v>
      </c>
      <c r="F262">
        <v>0</v>
      </c>
      <c r="G262" t="s">
        <v>318</v>
      </c>
      <c r="H2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259</v>
      </c>
      <c r="I262" t="str">
        <f>IF(DraftResults[[#This Row],[Player ID]]=0,"",INDEX(Table5[[#All],[Pos]],MATCH(DraftResults[[#This Row],[Player ID]],Table5[[#All],[PID]],0)))</f>
        <v/>
      </c>
      <c r="J262" t="str">
        <f>IF(DraftResults[[#This Row],[Player ID]]=0,"",INDEX(Table5[[#All],[First]],MATCH(DraftResults[[#This Row],[Player ID]],Table5[[#All],[PID]],0)))</f>
        <v/>
      </c>
      <c r="K262" t="str">
        <f>IF(DraftResults[[#This Row],[Player ID]]=0,"",INDEX(Table5[[#All],[Last]],MATCH(DraftResults[[#This Row],[Player ID]],Table5[[#All],[PID]],0)))</f>
        <v/>
      </c>
    </row>
    <row r="263" spans="1:11" x14ac:dyDescent="0.25">
      <c r="A263">
        <v>9</v>
      </c>
      <c r="B263">
        <v>0</v>
      </c>
      <c r="C263">
        <v>16</v>
      </c>
      <c r="D263" t="s">
        <v>482</v>
      </c>
      <c r="E263">
        <v>162</v>
      </c>
      <c r="F263">
        <v>0</v>
      </c>
      <c r="G263" t="s">
        <v>318</v>
      </c>
      <c r="H2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260</v>
      </c>
      <c r="I263" t="str">
        <f>IF(DraftResults[[#This Row],[Player ID]]=0,"",INDEX(Table5[[#All],[Pos]],MATCH(DraftResults[[#This Row],[Player ID]],Table5[[#All],[PID]],0)))</f>
        <v/>
      </c>
      <c r="J263" t="str">
        <f>IF(DraftResults[[#This Row],[Player ID]]=0,"",INDEX(Table5[[#All],[First]],MATCH(DraftResults[[#This Row],[Player ID]],Table5[[#All],[PID]],0)))</f>
        <v/>
      </c>
      <c r="K263" t="str">
        <f>IF(DraftResults[[#This Row],[Player ID]]=0,"",INDEX(Table5[[#All],[Last]],MATCH(DraftResults[[#This Row],[Player ID]],Table5[[#All],[PID]],0)))</f>
        <v/>
      </c>
    </row>
    <row r="264" spans="1:11" x14ac:dyDescent="0.25">
      <c r="A264">
        <v>9</v>
      </c>
      <c r="B264">
        <v>0</v>
      </c>
      <c r="C264">
        <v>17</v>
      </c>
      <c r="D264" t="s">
        <v>483</v>
      </c>
      <c r="E264">
        <v>2</v>
      </c>
      <c r="F264">
        <v>0</v>
      </c>
      <c r="G264" t="s">
        <v>318</v>
      </c>
      <c r="H2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261</v>
      </c>
      <c r="I264" t="str">
        <f>IF(DraftResults[[#This Row],[Player ID]]=0,"",INDEX(Table5[[#All],[Pos]],MATCH(DraftResults[[#This Row],[Player ID]],Table5[[#All],[PID]],0)))</f>
        <v/>
      </c>
      <c r="J264" t="str">
        <f>IF(DraftResults[[#This Row],[Player ID]]=0,"",INDEX(Table5[[#All],[First]],MATCH(DraftResults[[#This Row],[Player ID]],Table5[[#All],[PID]],0)))</f>
        <v/>
      </c>
      <c r="K264" t="str">
        <f>IF(DraftResults[[#This Row],[Player ID]]=0,"",INDEX(Table5[[#All],[Last]],MATCH(DraftResults[[#This Row],[Player ID]],Table5[[#All],[PID]],0)))</f>
        <v/>
      </c>
    </row>
    <row r="265" spans="1:11" x14ac:dyDescent="0.25">
      <c r="A265">
        <v>9</v>
      </c>
      <c r="B265">
        <v>0</v>
      </c>
      <c r="C265">
        <v>18</v>
      </c>
      <c r="D265" t="s">
        <v>258</v>
      </c>
      <c r="E265">
        <v>16</v>
      </c>
      <c r="F265">
        <v>0</v>
      </c>
      <c r="G265" t="s">
        <v>318</v>
      </c>
      <c r="H2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262</v>
      </c>
      <c r="I265" t="str">
        <f>IF(DraftResults[[#This Row],[Player ID]]=0,"",INDEX(Table5[[#All],[Pos]],MATCH(DraftResults[[#This Row],[Player ID]],Table5[[#All],[PID]],0)))</f>
        <v/>
      </c>
      <c r="J265" t="str">
        <f>IF(DraftResults[[#This Row],[Player ID]]=0,"",INDEX(Table5[[#All],[First]],MATCH(DraftResults[[#This Row],[Player ID]],Table5[[#All],[PID]],0)))</f>
        <v/>
      </c>
      <c r="K265" t="str">
        <f>IF(DraftResults[[#This Row],[Player ID]]=0,"",INDEX(Table5[[#All],[Last]],MATCH(DraftResults[[#This Row],[Player ID]],Table5[[#All],[PID]],0)))</f>
        <v/>
      </c>
    </row>
    <row r="266" spans="1:11" x14ac:dyDescent="0.25">
      <c r="A266">
        <v>9</v>
      </c>
      <c r="B266">
        <v>0</v>
      </c>
      <c r="C266">
        <v>19</v>
      </c>
      <c r="D266" t="s">
        <v>490</v>
      </c>
      <c r="E266">
        <v>167</v>
      </c>
      <c r="F266">
        <v>0</v>
      </c>
      <c r="G266" t="s">
        <v>318</v>
      </c>
      <c r="H2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263</v>
      </c>
      <c r="I266" t="str">
        <f>IF(DraftResults[[#This Row],[Player ID]]=0,"",INDEX(Table5[[#All],[Pos]],MATCH(DraftResults[[#This Row],[Player ID]],Table5[[#All],[PID]],0)))</f>
        <v/>
      </c>
      <c r="J266" t="str">
        <f>IF(DraftResults[[#This Row],[Player ID]]=0,"",INDEX(Table5[[#All],[First]],MATCH(DraftResults[[#This Row],[Player ID]],Table5[[#All],[PID]],0)))</f>
        <v/>
      </c>
      <c r="K266" t="str">
        <f>IF(DraftResults[[#This Row],[Player ID]]=0,"",INDEX(Table5[[#All],[Last]],MATCH(DraftResults[[#This Row],[Player ID]],Table5[[#All],[PID]],0)))</f>
        <v/>
      </c>
    </row>
    <row r="267" spans="1:11" x14ac:dyDescent="0.25">
      <c r="A267">
        <v>9</v>
      </c>
      <c r="B267">
        <v>0</v>
      </c>
      <c r="C267">
        <v>20</v>
      </c>
      <c r="D267" t="s">
        <v>243</v>
      </c>
      <c r="E267">
        <v>19</v>
      </c>
      <c r="F267">
        <v>0</v>
      </c>
      <c r="G267" t="s">
        <v>318</v>
      </c>
      <c r="H2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264</v>
      </c>
      <c r="I267" t="str">
        <f>IF(DraftResults[[#This Row],[Player ID]]=0,"",INDEX(Table5[[#All],[Pos]],MATCH(DraftResults[[#This Row],[Player ID]],Table5[[#All],[PID]],0)))</f>
        <v/>
      </c>
      <c r="J267" t="str">
        <f>IF(DraftResults[[#This Row],[Player ID]]=0,"",INDEX(Table5[[#All],[First]],MATCH(DraftResults[[#This Row],[Player ID]],Table5[[#All],[PID]],0)))</f>
        <v/>
      </c>
      <c r="K267" t="str">
        <f>IF(DraftResults[[#This Row],[Player ID]]=0,"",INDEX(Table5[[#All],[Last]],MATCH(DraftResults[[#This Row],[Player ID]],Table5[[#All],[PID]],0)))</f>
        <v/>
      </c>
    </row>
    <row r="268" spans="1:11" x14ac:dyDescent="0.25">
      <c r="A268">
        <v>9</v>
      </c>
      <c r="B268">
        <v>0</v>
      </c>
      <c r="C268">
        <v>21</v>
      </c>
      <c r="D268" t="s">
        <v>487</v>
      </c>
      <c r="E268">
        <v>163</v>
      </c>
      <c r="F268">
        <v>0</v>
      </c>
      <c r="G268" t="s">
        <v>318</v>
      </c>
      <c r="H2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265</v>
      </c>
      <c r="I268" t="str">
        <f>IF(DraftResults[[#This Row],[Player ID]]=0,"",INDEX(Table5[[#All],[Pos]],MATCH(DraftResults[[#This Row],[Player ID]],Table5[[#All],[PID]],0)))</f>
        <v/>
      </c>
      <c r="J268" t="str">
        <f>IF(DraftResults[[#This Row],[Player ID]]=0,"",INDEX(Table5[[#All],[First]],MATCH(DraftResults[[#This Row],[Player ID]],Table5[[#All],[PID]],0)))</f>
        <v/>
      </c>
      <c r="K268" t="str">
        <f>IF(DraftResults[[#This Row],[Player ID]]=0,"",INDEX(Table5[[#All],[Last]],MATCH(DraftResults[[#This Row],[Player ID]],Table5[[#All],[PID]],0)))</f>
        <v/>
      </c>
    </row>
    <row r="269" spans="1:11" x14ac:dyDescent="0.25">
      <c r="A269">
        <v>9</v>
      </c>
      <c r="B269">
        <v>0</v>
      </c>
      <c r="C269">
        <v>22</v>
      </c>
      <c r="D269" t="s">
        <v>255</v>
      </c>
      <c r="E269">
        <v>20</v>
      </c>
      <c r="F269">
        <v>0</v>
      </c>
      <c r="G269" t="s">
        <v>318</v>
      </c>
      <c r="H2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266</v>
      </c>
      <c r="I269" t="str">
        <f>IF(DraftResults[[#This Row],[Player ID]]=0,"",INDEX(Table5[[#All],[Pos]],MATCH(DraftResults[[#This Row],[Player ID]],Table5[[#All],[PID]],0)))</f>
        <v/>
      </c>
      <c r="J269" t="str">
        <f>IF(DraftResults[[#This Row],[Player ID]]=0,"",INDEX(Table5[[#All],[First]],MATCH(DraftResults[[#This Row],[Player ID]],Table5[[#All],[PID]],0)))</f>
        <v/>
      </c>
      <c r="K269" t="str">
        <f>IF(DraftResults[[#This Row],[Player ID]]=0,"",INDEX(Table5[[#All],[Last]],MATCH(DraftResults[[#This Row],[Player ID]],Table5[[#All],[PID]],0)))</f>
        <v/>
      </c>
    </row>
    <row r="270" spans="1:11" x14ac:dyDescent="0.25">
      <c r="A270">
        <v>9</v>
      </c>
      <c r="B270">
        <v>0</v>
      </c>
      <c r="C270">
        <v>23</v>
      </c>
      <c r="D270" t="s">
        <v>485</v>
      </c>
      <c r="E270">
        <v>166</v>
      </c>
      <c r="F270">
        <v>0</v>
      </c>
      <c r="G270" t="s">
        <v>318</v>
      </c>
      <c r="H2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267</v>
      </c>
      <c r="I270" t="str">
        <f>IF(DraftResults[[#This Row],[Player ID]]=0,"",INDEX(Table5[[#All],[Pos]],MATCH(DraftResults[[#This Row],[Player ID]],Table5[[#All],[PID]],0)))</f>
        <v/>
      </c>
      <c r="J270" t="str">
        <f>IF(DraftResults[[#This Row],[Player ID]]=0,"",INDEX(Table5[[#All],[First]],MATCH(DraftResults[[#This Row],[Player ID]],Table5[[#All],[PID]],0)))</f>
        <v/>
      </c>
      <c r="K270" t="str">
        <f>IF(DraftResults[[#This Row],[Player ID]]=0,"",INDEX(Table5[[#All],[Last]],MATCH(DraftResults[[#This Row],[Player ID]],Table5[[#All],[PID]],0)))</f>
        <v/>
      </c>
    </row>
    <row r="271" spans="1:11" x14ac:dyDescent="0.25">
      <c r="A271">
        <v>9</v>
      </c>
      <c r="B271">
        <v>0</v>
      </c>
      <c r="C271">
        <v>24</v>
      </c>
      <c r="D271" t="s">
        <v>244</v>
      </c>
      <c r="E271">
        <v>22</v>
      </c>
      <c r="F271">
        <v>0</v>
      </c>
      <c r="G271" t="s">
        <v>318</v>
      </c>
      <c r="H2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268</v>
      </c>
      <c r="I271" t="str">
        <f>IF(DraftResults[[#This Row],[Player ID]]=0,"",INDEX(Table5[[#All],[Pos]],MATCH(DraftResults[[#This Row],[Player ID]],Table5[[#All],[PID]],0)))</f>
        <v/>
      </c>
      <c r="J271" t="str">
        <f>IF(DraftResults[[#This Row],[Player ID]]=0,"",INDEX(Table5[[#All],[First]],MATCH(DraftResults[[#This Row],[Player ID]],Table5[[#All],[PID]],0)))</f>
        <v/>
      </c>
      <c r="K271" t="str">
        <f>IF(DraftResults[[#This Row],[Player ID]]=0,"",INDEX(Table5[[#All],[Last]],MATCH(DraftResults[[#This Row],[Player ID]],Table5[[#All],[PID]],0)))</f>
        <v/>
      </c>
    </row>
    <row r="272" spans="1:11" x14ac:dyDescent="0.25">
      <c r="A272">
        <v>9</v>
      </c>
      <c r="B272">
        <v>0</v>
      </c>
      <c r="C272">
        <v>25</v>
      </c>
      <c r="D272" t="s">
        <v>253</v>
      </c>
      <c r="E272">
        <v>14</v>
      </c>
      <c r="F272">
        <v>0</v>
      </c>
      <c r="G272" t="s">
        <v>318</v>
      </c>
      <c r="H2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269</v>
      </c>
      <c r="I272" t="str">
        <f>IF(DraftResults[[#This Row],[Player ID]]=0,"",INDEX(Table5[[#All],[Pos]],MATCH(DraftResults[[#This Row],[Player ID]],Table5[[#All],[PID]],0)))</f>
        <v/>
      </c>
      <c r="J272" t="str">
        <f>IF(DraftResults[[#This Row],[Player ID]]=0,"",INDEX(Table5[[#All],[First]],MATCH(DraftResults[[#This Row],[Player ID]],Table5[[#All],[PID]],0)))</f>
        <v/>
      </c>
      <c r="K272" t="str">
        <f>IF(DraftResults[[#This Row],[Player ID]]=0,"",INDEX(Table5[[#All],[Last]],MATCH(DraftResults[[#This Row],[Player ID]],Table5[[#All],[PID]],0)))</f>
        <v/>
      </c>
    </row>
    <row r="273" spans="1:11" x14ac:dyDescent="0.25">
      <c r="A273">
        <v>9</v>
      </c>
      <c r="B273">
        <v>0</v>
      </c>
      <c r="C273">
        <v>26</v>
      </c>
      <c r="D273" t="s">
        <v>694</v>
      </c>
      <c r="E273">
        <v>24</v>
      </c>
      <c r="F273">
        <v>0</v>
      </c>
      <c r="G273" t="s">
        <v>318</v>
      </c>
      <c r="H2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270</v>
      </c>
      <c r="I273" t="str">
        <f>IF(DraftResults[[#This Row],[Player ID]]=0,"",INDEX(Table5[[#All],[Pos]],MATCH(DraftResults[[#This Row],[Player ID]],Table5[[#All],[PID]],0)))</f>
        <v/>
      </c>
      <c r="J273" t="str">
        <f>IF(DraftResults[[#This Row],[Player ID]]=0,"",INDEX(Table5[[#All],[First]],MATCH(DraftResults[[#This Row],[Player ID]],Table5[[#All],[PID]],0)))</f>
        <v/>
      </c>
      <c r="K273" t="str">
        <f>IF(DraftResults[[#This Row],[Player ID]]=0,"",INDEX(Table5[[#All],[Last]],MATCH(DraftResults[[#This Row],[Player ID]],Table5[[#All],[PID]],0)))</f>
        <v/>
      </c>
    </row>
    <row r="274" spans="1:11" x14ac:dyDescent="0.25">
      <c r="A274">
        <v>9</v>
      </c>
      <c r="B274">
        <v>0</v>
      </c>
      <c r="C274">
        <v>27</v>
      </c>
      <c r="D274" t="s">
        <v>247</v>
      </c>
      <c r="E274">
        <v>17</v>
      </c>
      <c r="F274">
        <v>0</v>
      </c>
      <c r="G274" t="s">
        <v>318</v>
      </c>
      <c r="H2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271</v>
      </c>
      <c r="I274" t="str">
        <f>IF(DraftResults[[#This Row],[Player ID]]=0,"",INDEX(Table5[[#All],[Pos]],MATCH(DraftResults[[#This Row],[Player ID]],Table5[[#All],[PID]],0)))</f>
        <v/>
      </c>
      <c r="J274" t="str">
        <f>IF(DraftResults[[#This Row],[Player ID]]=0,"",INDEX(Table5[[#All],[First]],MATCH(DraftResults[[#This Row],[Player ID]],Table5[[#All],[PID]],0)))</f>
        <v/>
      </c>
      <c r="K274" t="str">
        <f>IF(DraftResults[[#This Row],[Player ID]]=0,"",INDEX(Table5[[#All],[Last]],MATCH(DraftResults[[#This Row],[Player ID]],Table5[[#All],[PID]],0)))</f>
        <v/>
      </c>
    </row>
    <row r="275" spans="1:11" x14ac:dyDescent="0.25">
      <c r="A275">
        <v>9</v>
      </c>
      <c r="B275">
        <v>0</v>
      </c>
      <c r="C275">
        <v>28</v>
      </c>
      <c r="D275" t="s">
        <v>698</v>
      </c>
      <c r="E275">
        <v>9</v>
      </c>
      <c r="F275">
        <v>0</v>
      </c>
      <c r="G275" t="s">
        <v>318</v>
      </c>
      <c r="H2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272</v>
      </c>
      <c r="I275" t="str">
        <f>IF(DraftResults[[#This Row],[Player ID]]=0,"",INDEX(Table5[[#All],[Pos]],MATCH(DraftResults[[#This Row],[Player ID]],Table5[[#All],[PID]],0)))</f>
        <v/>
      </c>
      <c r="J275" t="str">
        <f>IF(DraftResults[[#This Row],[Player ID]]=0,"",INDEX(Table5[[#All],[First]],MATCH(DraftResults[[#This Row],[Player ID]],Table5[[#All],[PID]],0)))</f>
        <v/>
      </c>
      <c r="K275" t="str">
        <f>IF(DraftResults[[#This Row],[Player ID]]=0,"",INDEX(Table5[[#All],[Last]],MATCH(DraftResults[[#This Row],[Player ID]],Table5[[#All],[PID]],0)))</f>
        <v/>
      </c>
    </row>
    <row r="276" spans="1:11" x14ac:dyDescent="0.25">
      <c r="A276">
        <v>9</v>
      </c>
      <c r="B276">
        <v>0</v>
      </c>
      <c r="C276">
        <v>29</v>
      </c>
      <c r="D276" t="s">
        <v>486</v>
      </c>
      <c r="E276">
        <v>159</v>
      </c>
      <c r="F276">
        <v>0</v>
      </c>
      <c r="G276" t="s">
        <v>318</v>
      </c>
      <c r="H2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273</v>
      </c>
      <c r="I276" t="str">
        <f>IF(DraftResults[[#This Row],[Player ID]]=0,"",INDEX(Table5[[#All],[Pos]],MATCH(DraftResults[[#This Row],[Player ID]],Table5[[#All],[PID]],0)))</f>
        <v/>
      </c>
      <c r="J276" t="str">
        <f>IF(DraftResults[[#This Row],[Player ID]]=0,"",INDEX(Table5[[#All],[First]],MATCH(DraftResults[[#This Row],[Player ID]],Table5[[#All],[PID]],0)))</f>
        <v/>
      </c>
      <c r="K276" t="str">
        <f>IF(DraftResults[[#This Row],[Player ID]]=0,"",INDEX(Table5[[#All],[Last]],MATCH(DraftResults[[#This Row],[Player ID]],Table5[[#All],[PID]],0)))</f>
        <v/>
      </c>
    </row>
    <row r="277" spans="1:11" x14ac:dyDescent="0.25">
      <c r="A277">
        <v>9</v>
      </c>
      <c r="B277">
        <v>0</v>
      </c>
      <c r="C277">
        <v>30</v>
      </c>
      <c r="D277" t="s">
        <v>262</v>
      </c>
      <c r="E277">
        <v>12</v>
      </c>
      <c r="F277">
        <v>0</v>
      </c>
      <c r="G277" t="s">
        <v>318</v>
      </c>
      <c r="H2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274</v>
      </c>
      <c r="I277" t="str">
        <f>IF(DraftResults[[#This Row],[Player ID]]=0,"",INDEX(Table5[[#All],[Pos]],MATCH(DraftResults[[#This Row],[Player ID]],Table5[[#All],[PID]],0)))</f>
        <v/>
      </c>
      <c r="J277" t="str">
        <f>IF(DraftResults[[#This Row],[Player ID]]=0,"",INDEX(Table5[[#All],[First]],MATCH(DraftResults[[#This Row],[Player ID]],Table5[[#All],[PID]],0)))</f>
        <v/>
      </c>
      <c r="K277" t="str">
        <f>IF(DraftResults[[#This Row],[Player ID]]=0,"",INDEX(Table5[[#All],[Last]],MATCH(DraftResults[[#This Row],[Player ID]],Table5[[#All],[PID]],0)))</f>
        <v/>
      </c>
    </row>
    <row r="278" spans="1:11" x14ac:dyDescent="0.25">
      <c r="A278">
        <v>10</v>
      </c>
      <c r="B278">
        <v>0</v>
      </c>
      <c r="C278">
        <v>1</v>
      </c>
      <c r="D278" t="s">
        <v>695</v>
      </c>
      <c r="E278">
        <v>160</v>
      </c>
      <c r="F278">
        <v>0</v>
      </c>
      <c r="G278" t="s">
        <v>318</v>
      </c>
      <c r="H2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275</v>
      </c>
      <c r="I278" t="str">
        <f>IF(DraftResults[[#This Row],[Player ID]]=0,"",INDEX(Table5[[#All],[Pos]],MATCH(DraftResults[[#This Row],[Player ID]],Table5[[#All],[PID]],0)))</f>
        <v/>
      </c>
      <c r="J278" t="str">
        <f>IF(DraftResults[[#This Row],[Player ID]]=0,"",INDEX(Table5[[#All],[First]],MATCH(DraftResults[[#This Row],[Player ID]],Table5[[#All],[PID]],0)))</f>
        <v/>
      </c>
      <c r="K278" t="str">
        <f>IF(DraftResults[[#This Row],[Player ID]]=0,"",INDEX(Table5[[#All],[Last]],MATCH(DraftResults[[#This Row],[Player ID]],Table5[[#All],[PID]],0)))</f>
        <v/>
      </c>
    </row>
    <row r="279" spans="1:11" x14ac:dyDescent="0.25">
      <c r="A279">
        <v>10</v>
      </c>
      <c r="B279">
        <v>0</v>
      </c>
      <c r="C279">
        <v>2</v>
      </c>
      <c r="D279" t="s">
        <v>694</v>
      </c>
      <c r="E279">
        <v>24</v>
      </c>
      <c r="F279">
        <v>0</v>
      </c>
      <c r="G279" t="s">
        <v>318</v>
      </c>
      <c r="H2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276</v>
      </c>
      <c r="I279" t="str">
        <f>IF(DraftResults[[#This Row],[Player ID]]=0,"",INDEX(Table5[[#All],[Pos]],MATCH(DraftResults[[#This Row],[Player ID]],Table5[[#All],[PID]],0)))</f>
        <v/>
      </c>
      <c r="J279" t="str">
        <f>IF(DraftResults[[#This Row],[Player ID]]=0,"",INDEX(Table5[[#All],[First]],MATCH(DraftResults[[#This Row],[Player ID]],Table5[[#All],[PID]],0)))</f>
        <v/>
      </c>
      <c r="K279" t="str">
        <f>IF(DraftResults[[#This Row],[Player ID]]=0,"",INDEX(Table5[[#All],[Last]],MATCH(DraftResults[[#This Row],[Player ID]],Table5[[#All],[PID]],0)))</f>
        <v/>
      </c>
    </row>
    <row r="280" spans="1:11" x14ac:dyDescent="0.25">
      <c r="A280">
        <v>10</v>
      </c>
      <c r="B280">
        <v>0</v>
      </c>
      <c r="C280">
        <v>3</v>
      </c>
      <c r="D280" t="s">
        <v>697</v>
      </c>
      <c r="E280">
        <v>23</v>
      </c>
      <c r="F280">
        <v>0</v>
      </c>
      <c r="G280" t="s">
        <v>318</v>
      </c>
      <c r="H2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277</v>
      </c>
      <c r="I280" t="str">
        <f>IF(DraftResults[[#This Row],[Player ID]]=0,"",INDEX(Table5[[#All],[Pos]],MATCH(DraftResults[[#This Row],[Player ID]],Table5[[#All],[PID]],0)))</f>
        <v/>
      </c>
      <c r="J280" t="str">
        <f>IF(DraftResults[[#This Row],[Player ID]]=0,"",INDEX(Table5[[#All],[First]],MATCH(DraftResults[[#This Row],[Player ID]],Table5[[#All],[PID]],0)))</f>
        <v/>
      </c>
      <c r="K280" t="str">
        <f>IF(DraftResults[[#This Row],[Player ID]]=0,"",INDEX(Table5[[#All],[Last]],MATCH(DraftResults[[#This Row],[Player ID]],Table5[[#All],[PID]],0)))</f>
        <v/>
      </c>
    </row>
    <row r="281" spans="1:11" x14ac:dyDescent="0.25">
      <c r="A281">
        <v>10</v>
      </c>
      <c r="B281">
        <v>0</v>
      </c>
      <c r="C281">
        <v>4</v>
      </c>
      <c r="D281" t="s">
        <v>252</v>
      </c>
      <c r="E281">
        <v>1</v>
      </c>
      <c r="F281">
        <v>0</v>
      </c>
      <c r="G281" t="s">
        <v>318</v>
      </c>
      <c r="H2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278</v>
      </c>
      <c r="I281" t="str">
        <f>IF(DraftResults[[#This Row],[Player ID]]=0,"",INDEX(Table5[[#All],[Pos]],MATCH(DraftResults[[#This Row],[Player ID]],Table5[[#All],[PID]],0)))</f>
        <v/>
      </c>
      <c r="J281" t="str">
        <f>IF(DraftResults[[#This Row],[Player ID]]=0,"",INDEX(Table5[[#All],[First]],MATCH(DraftResults[[#This Row],[Player ID]],Table5[[#All],[PID]],0)))</f>
        <v/>
      </c>
      <c r="K281" t="str">
        <f>IF(DraftResults[[#This Row],[Player ID]]=0,"",INDEX(Table5[[#All],[Last]],MATCH(DraftResults[[#This Row],[Player ID]],Table5[[#All],[PID]],0)))</f>
        <v/>
      </c>
    </row>
    <row r="282" spans="1:11" x14ac:dyDescent="0.25">
      <c r="A282">
        <v>10</v>
      </c>
      <c r="B282">
        <v>0</v>
      </c>
      <c r="C282">
        <v>5</v>
      </c>
      <c r="D282" t="s">
        <v>484</v>
      </c>
      <c r="E282">
        <v>164</v>
      </c>
      <c r="F282">
        <v>0</v>
      </c>
      <c r="G282" t="s">
        <v>318</v>
      </c>
      <c r="H2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279</v>
      </c>
      <c r="I282" t="str">
        <f>IF(DraftResults[[#This Row],[Player ID]]=0,"",INDEX(Table5[[#All],[Pos]],MATCH(DraftResults[[#This Row],[Player ID]],Table5[[#All],[PID]],0)))</f>
        <v/>
      </c>
      <c r="J282" t="str">
        <f>IF(DraftResults[[#This Row],[Player ID]]=0,"",INDEX(Table5[[#All],[First]],MATCH(DraftResults[[#This Row],[Player ID]],Table5[[#All],[PID]],0)))</f>
        <v/>
      </c>
      <c r="K282" t="str">
        <f>IF(DraftResults[[#This Row],[Player ID]]=0,"",INDEX(Table5[[#All],[Last]],MATCH(DraftResults[[#This Row],[Player ID]],Table5[[#All],[PID]],0)))</f>
        <v/>
      </c>
    </row>
    <row r="283" spans="1:11" x14ac:dyDescent="0.25">
      <c r="A283">
        <v>10</v>
      </c>
      <c r="B283">
        <v>0</v>
      </c>
      <c r="C283">
        <v>6</v>
      </c>
      <c r="D283" t="s">
        <v>254</v>
      </c>
      <c r="E283">
        <v>15</v>
      </c>
      <c r="F283">
        <v>0</v>
      </c>
      <c r="G283" t="s">
        <v>318</v>
      </c>
      <c r="H2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280</v>
      </c>
      <c r="I283" t="str">
        <f>IF(DraftResults[[#This Row],[Player ID]]=0,"",INDEX(Table5[[#All],[Pos]],MATCH(DraftResults[[#This Row],[Player ID]],Table5[[#All],[PID]],0)))</f>
        <v/>
      </c>
      <c r="J283" t="str">
        <f>IF(DraftResults[[#This Row],[Player ID]]=0,"",INDEX(Table5[[#All],[First]],MATCH(DraftResults[[#This Row],[Player ID]],Table5[[#All],[PID]],0)))</f>
        <v/>
      </c>
      <c r="K283" t="str">
        <f>IF(DraftResults[[#This Row],[Player ID]]=0,"",INDEX(Table5[[#All],[Last]],MATCH(DraftResults[[#This Row],[Player ID]],Table5[[#All],[PID]],0)))</f>
        <v/>
      </c>
    </row>
    <row r="284" spans="1:11" ht="15.75" customHeight="1" x14ac:dyDescent="0.25">
      <c r="A284">
        <v>10</v>
      </c>
      <c r="B284">
        <v>0</v>
      </c>
      <c r="C284">
        <v>7</v>
      </c>
      <c r="D284" t="s">
        <v>588</v>
      </c>
      <c r="E284">
        <v>4</v>
      </c>
      <c r="F284">
        <v>0</v>
      </c>
      <c r="G284" t="s">
        <v>318</v>
      </c>
      <c r="H2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281</v>
      </c>
      <c r="I284" t="str">
        <f>IF(DraftResults[[#This Row],[Player ID]]=0,"",INDEX(Table5[[#All],[Pos]],MATCH(DraftResults[[#This Row],[Player ID]],Table5[[#All],[PID]],0)))</f>
        <v/>
      </c>
      <c r="J284" t="str">
        <f>IF(DraftResults[[#This Row],[Player ID]]=0,"",INDEX(Table5[[#All],[First]],MATCH(DraftResults[[#This Row],[Player ID]],Table5[[#All],[PID]],0)))</f>
        <v/>
      </c>
      <c r="K284" t="str">
        <f>IF(DraftResults[[#This Row],[Player ID]]=0,"",INDEX(Table5[[#All],[Last]],MATCH(DraftResults[[#This Row],[Player ID]],Table5[[#All],[PID]],0)))</f>
        <v/>
      </c>
    </row>
    <row r="285" spans="1:11" x14ac:dyDescent="0.25">
      <c r="A285">
        <v>10</v>
      </c>
      <c r="B285">
        <v>0</v>
      </c>
      <c r="C285">
        <v>8</v>
      </c>
      <c r="D285" t="s">
        <v>587</v>
      </c>
      <c r="E285">
        <v>7</v>
      </c>
      <c r="F285">
        <v>0</v>
      </c>
      <c r="G285" t="s">
        <v>318</v>
      </c>
      <c r="H2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282</v>
      </c>
      <c r="I285" t="str">
        <f>IF(DraftResults[[#This Row],[Player ID]]=0,"",INDEX(Table5[[#All],[Pos]],MATCH(DraftResults[[#This Row],[Player ID]],Table5[[#All],[PID]],0)))</f>
        <v/>
      </c>
      <c r="J285" t="str">
        <f>IF(DraftResults[[#This Row],[Player ID]]=0,"",INDEX(Table5[[#All],[First]],MATCH(DraftResults[[#This Row],[Player ID]],Table5[[#All],[PID]],0)))</f>
        <v/>
      </c>
      <c r="K285" t="str">
        <f>IF(DraftResults[[#This Row],[Player ID]]=0,"",INDEX(Table5[[#All],[Last]],MATCH(DraftResults[[#This Row],[Player ID]],Table5[[#All],[PID]],0)))</f>
        <v/>
      </c>
    </row>
    <row r="286" spans="1:11" x14ac:dyDescent="0.25">
      <c r="A286">
        <v>10</v>
      </c>
      <c r="B286">
        <v>0</v>
      </c>
      <c r="C286">
        <v>9</v>
      </c>
      <c r="D286" t="s">
        <v>246</v>
      </c>
      <c r="E286">
        <v>21</v>
      </c>
      <c r="F286">
        <v>0</v>
      </c>
      <c r="G286" t="s">
        <v>318</v>
      </c>
      <c r="H2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283</v>
      </c>
      <c r="I286" t="str">
        <f>IF(DraftResults[[#This Row],[Player ID]]=0,"",INDEX(Table5[[#All],[Pos]],MATCH(DraftResults[[#This Row],[Player ID]],Table5[[#All],[PID]],0)))</f>
        <v/>
      </c>
      <c r="J286" t="str">
        <f>IF(DraftResults[[#This Row],[Player ID]]=0,"",INDEX(Table5[[#All],[First]],MATCH(DraftResults[[#This Row],[Player ID]],Table5[[#All],[PID]],0)))</f>
        <v/>
      </c>
      <c r="K286" t="str">
        <f>IF(DraftResults[[#This Row],[Player ID]]=0,"",INDEX(Table5[[#All],[Last]],MATCH(DraftResults[[#This Row],[Player ID]],Table5[[#All],[PID]],0)))</f>
        <v/>
      </c>
    </row>
    <row r="287" spans="1:11" x14ac:dyDescent="0.25">
      <c r="A287">
        <v>10</v>
      </c>
      <c r="B287">
        <v>0</v>
      </c>
      <c r="C287">
        <v>10</v>
      </c>
      <c r="D287" t="s">
        <v>696</v>
      </c>
      <c r="E287">
        <v>13</v>
      </c>
      <c r="F287">
        <v>0</v>
      </c>
      <c r="G287" t="s">
        <v>318</v>
      </c>
      <c r="H2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284</v>
      </c>
      <c r="I287" t="str">
        <f>IF(DraftResults[[#This Row],[Player ID]]=0,"",INDEX(Table5[[#All],[Pos]],MATCH(DraftResults[[#This Row],[Player ID]],Table5[[#All],[PID]],0)))</f>
        <v/>
      </c>
      <c r="J287" t="str">
        <f>IF(DraftResults[[#This Row],[Player ID]]=0,"",INDEX(Table5[[#All],[First]],MATCH(DraftResults[[#This Row],[Player ID]],Table5[[#All],[PID]],0)))</f>
        <v/>
      </c>
      <c r="K287" t="str">
        <f>IF(DraftResults[[#This Row],[Player ID]]=0,"",INDEX(Table5[[#All],[Last]],MATCH(DraftResults[[#This Row],[Player ID]],Table5[[#All],[PID]],0)))</f>
        <v/>
      </c>
    </row>
    <row r="288" spans="1:11" x14ac:dyDescent="0.25">
      <c r="A288">
        <v>10</v>
      </c>
      <c r="B288">
        <v>0</v>
      </c>
      <c r="C288">
        <v>11</v>
      </c>
      <c r="D288" t="s">
        <v>251</v>
      </c>
      <c r="E288">
        <v>3</v>
      </c>
      <c r="F288">
        <v>0</v>
      </c>
      <c r="G288" t="s">
        <v>318</v>
      </c>
      <c r="H2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285</v>
      </c>
      <c r="I288" t="str">
        <f>IF(DraftResults[[#This Row],[Player ID]]=0,"",INDEX(Table5[[#All],[Pos]],MATCH(DraftResults[[#This Row],[Player ID]],Table5[[#All],[PID]],0)))</f>
        <v/>
      </c>
      <c r="J288" t="str">
        <f>IF(DraftResults[[#This Row],[Player ID]]=0,"",INDEX(Table5[[#All],[First]],MATCH(DraftResults[[#This Row],[Player ID]],Table5[[#All],[PID]],0)))</f>
        <v/>
      </c>
      <c r="K288" t="str">
        <f>IF(DraftResults[[#This Row],[Player ID]]=0,"",INDEX(Table5[[#All],[Last]],MATCH(DraftResults[[#This Row],[Player ID]],Table5[[#All],[PID]],0)))</f>
        <v/>
      </c>
    </row>
    <row r="289" spans="1:11" x14ac:dyDescent="0.25">
      <c r="A289">
        <v>10</v>
      </c>
      <c r="B289">
        <v>0</v>
      </c>
      <c r="C289">
        <v>12</v>
      </c>
      <c r="D289" t="s">
        <v>257</v>
      </c>
      <c r="E289">
        <v>8</v>
      </c>
      <c r="F289">
        <v>0</v>
      </c>
      <c r="G289" t="s">
        <v>318</v>
      </c>
      <c r="H2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286</v>
      </c>
      <c r="I289" t="str">
        <f>IF(DraftResults[[#This Row],[Player ID]]=0,"",INDEX(Table5[[#All],[Pos]],MATCH(DraftResults[[#This Row],[Player ID]],Table5[[#All],[PID]],0)))</f>
        <v/>
      </c>
      <c r="J289" t="str">
        <f>IF(DraftResults[[#This Row],[Player ID]]=0,"",INDEX(Table5[[#All],[First]],MATCH(DraftResults[[#This Row],[Player ID]],Table5[[#All],[PID]],0)))</f>
        <v/>
      </c>
      <c r="K289" t="str">
        <f>IF(DraftResults[[#This Row],[Player ID]]=0,"",INDEX(Table5[[#All],[Last]],MATCH(DraftResults[[#This Row],[Player ID]],Table5[[#All],[PID]],0)))</f>
        <v/>
      </c>
    </row>
    <row r="290" spans="1:11" x14ac:dyDescent="0.25">
      <c r="A290">
        <v>10</v>
      </c>
      <c r="B290">
        <v>0</v>
      </c>
      <c r="C290">
        <v>13</v>
      </c>
      <c r="D290" t="s">
        <v>262</v>
      </c>
      <c r="E290">
        <v>12</v>
      </c>
      <c r="F290">
        <v>0</v>
      </c>
      <c r="G290" t="s">
        <v>318</v>
      </c>
      <c r="H2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287</v>
      </c>
      <c r="I290" t="str">
        <f>IF(DraftResults[[#This Row],[Player ID]]=0,"",INDEX(Table5[[#All],[Pos]],MATCH(DraftResults[[#This Row],[Player ID]],Table5[[#All],[PID]],0)))</f>
        <v/>
      </c>
      <c r="J290" t="str">
        <f>IF(DraftResults[[#This Row],[Player ID]]=0,"",INDEX(Table5[[#All],[First]],MATCH(DraftResults[[#This Row],[Player ID]],Table5[[#All],[PID]],0)))</f>
        <v/>
      </c>
      <c r="K290" t="str">
        <f>IF(DraftResults[[#This Row],[Player ID]]=0,"",INDEX(Table5[[#All],[Last]],MATCH(DraftResults[[#This Row],[Player ID]],Table5[[#All],[PID]],0)))</f>
        <v/>
      </c>
    </row>
    <row r="291" spans="1:11" x14ac:dyDescent="0.25">
      <c r="A291">
        <v>10</v>
      </c>
      <c r="B291">
        <v>0</v>
      </c>
      <c r="C291">
        <v>14</v>
      </c>
      <c r="D291" t="s">
        <v>489</v>
      </c>
      <c r="E291">
        <v>18</v>
      </c>
      <c r="F291">
        <v>0</v>
      </c>
      <c r="G291" t="s">
        <v>318</v>
      </c>
      <c r="H2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288</v>
      </c>
      <c r="I291" t="str">
        <f>IF(DraftResults[[#This Row],[Player ID]]=0,"",INDEX(Table5[[#All],[Pos]],MATCH(DraftResults[[#This Row],[Player ID]],Table5[[#All],[PID]],0)))</f>
        <v/>
      </c>
      <c r="J291" t="str">
        <f>IF(DraftResults[[#This Row],[Player ID]]=0,"",INDEX(Table5[[#All],[First]],MATCH(DraftResults[[#This Row],[Player ID]],Table5[[#All],[PID]],0)))</f>
        <v/>
      </c>
      <c r="K291" t="str">
        <f>IF(DraftResults[[#This Row],[Player ID]]=0,"",INDEX(Table5[[#All],[Last]],MATCH(DraftResults[[#This Row],[Player ID]],Table5[[#All],[PID]],0)))</f>
        <v/>
      </c>
    </row>
    <row r="292" spans="1:11" x14ac:dyDescent="0.25">
      <c r="A292">
        <v>10</v>
      </c>
      <c r="B292">
        <v>0</v>
      </c>
      <c r="C292">
        <v>15</v>
      </c>
      <c r="D292" t="s">
        <v>250</v>
      </c>
      <c r="E292">
        <v>10</v>
      </c>
      <c r="F292">
        <v>0</v>
      </c>
      <c r="G292" t="s">
        <v>318</v>
      </c>
      <c r="H2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289</v>
      </c>
      <c r="I292" t="str">
        <f>IF(DraftResults[[#This Row],[Player ID]]=0,"",INDEX(Table5[[#All],[Pos]],MATCH(DraftResults[[#This Row],[Player ID]],Table5[[#All],[PID]],0)))</f>
        <v/>
      </c>
      <c r="J292" t="str">
        <f>IF(DraftResults[[#This Row],[Player ID]]=0,"",INDEX(Table5[[#All],[First]],MATCH(DraftResults[[#This Row],[Player ID]],Table5[[#All],[PID]],0)))</f>
        <v/>
      </c>
      <c r="K292" t="str">
        <f>IF(DraftResults[[#This Row],[Player ID]]=0,"",INDEX(Table5[[#All],[Last]],MATCH(DraftResults[[#This Row],[Player ID]],Table5[[#All],[PID]],0)))</f>
        <v/>
      </c>
    </row>
    <row r="293" spans="1:11" x14ac:dyDescent="0.25">
      <c r="A293">
        <v>10</v>
      </c>
      <c r="B293">
        <v>0</v>
      </c>
      <c r="C293">
        <v>16</v>
      </c>
      <c r="D293" t="s">
        <v>482</v>
      </c>
      <c r="E293">
        <v>162</v>
      </c>
      <c r="F293">
        <v>0</v>
      </c>
      <c r="G293" t="s">
        <v>318</v>
      </c>
      <c r="H2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290</v>
      </c>
      <c r="I293" t="str">
        <f>IF(DraftResults[[#This Row],[Player ID]]=0,"",INDEX(Table5[[#All],[Pos]],MATCH(DraftResults[[#This Row],[Player ID]],Table5[[#All],[PID]],0)))</f>
        <v/>
      </c>
      <c r="J293" t="str">
        <f>IF(DraftResults[[#This Row],[Player ID]]=0,"",INDEX(Table5[[#All],[First]],MATCH(DraftResults[[#This Row],[Player ID]],Table5[[#All],[PID]],0)))</f>
        <v/>
      </c>
      <c r="K293" t="str">
        <f>IF(DraftResults[[#This Row],[Player ID]]=0,"",INDEX(Table5[[#All],[Last]],MATCH(DraftResults[[#This Row],[Player ID]],Table5[[#All],[PID]],0)))</f>
        <v/>
      </c>
    </row>
    <row r="294" spans="1:11" x14ac:dyDescent="0.25">
      <c r="A294">
        <v>10</v>
      </c>
      <c r="B294">
        <v>0</v>
      </c>
      <c r="C294">
        <v>17</v>
      </c>
      <c r="D294" t="s">
        <v>483</v>
      </c>
      <c r="E294">
        <v>2</v>
      </c>
      <c r="F294">
        <v>0</v>
      </c>
      <c r="G294" t="s">
        <v>318</v>
      </c>
      <c r="H2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291</v>
      </c>
      <c r="I294" t="str">
        <f>IF(DraftResults[[#This Row],[Player ID]]=0,"",INDEX(Table5[[#All],[Pos]],MATCH(DraftResults[[#This Row],[Player ID]],Table5[[#All],[PID]],0)))</f>
        <v/>
      </c>
      <c r="J294" t="str">
        <f>IF(DraftResults[[#This Row],[Player ID]]=0,"",INDEX(Table5[[#All],[First]],MATCH(DraftResults[[#This Row],[Player ID]],Table5[[#All],[PID]],0)))</f>
        <v/>
      </c>
      <c r="K294" t="str">
        <f>IF(DraftResults[[#This Row],[Player ID]]=0,"",INDEX(Table5[[#All],[Last]],MATCH(DraftResults[[#This Row],[Player ID]],Table5[[#All],[PID]],0)))</f>
        <v/>
      </c>
    </row>
    <row r="295" spans="1:11" x14ac:dyDescent="0.25">
      <c r="A295">
        <v>10</v>
      </c>
      <c r="B295">
        <v>0</v>
      </c>
      <c r="C295">
        <v>18</v>
      </c>
      <c r="D295" t="s">
        <v>258</v>
      </c>
      <c r="E295">
        <v>16</v>
      </c>
      <c r="F295">
        <v>0</v>
      </c>
      <c r="G295" t="s">
        <v>318</v>
      </c>
      <c r="H2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292</v>
      </c>
      <c r="I295" t="str">
        <f>IF(DraftResults[[#This Row],[Player ID]]=0,"",INDEX(Table5[[#All],[Pos]],MATCH(DraftResults[[#This Row],[Player ID]],Table5[[#All],[PID]],0)))</f>
        <v/>
      </c>
      <c r="J295" t="str">
        <f>IF(DraftResults[[#This Row],[Player ID]]=0,"",INDEX(Table5[[#All],[First]],MATCH(DraftResults[[#This Row],[Player ID]],Table5[[#All],[PID]],0)))</f>
        <v/>
      </c>
      <c r="K295" t="str">
        <f>IF(DraftResults[[#This Row],[Player ID]]=0,"",INDEX(Table5[[#All],[Last]],MATCH(DraftResults[[#This Row],[Player ID]],Table5[[#All],[PID]],0)))</f>
        <v/>
      </c>
    </row>
    <row r="296" spans="1:11" x14ac:dyDescent="0.25">
      <c r="A296">
        <v>10</v>
      </c>
      <c r="B296">
        <v>0</v>
      </c>
      <c r="C296">
        <v>19</v>
      </c>
      <c r="D296" t="s">
        <v>490</v>
      </c>
      <c r="E296">
        <v>167</v>
      </c>
      <c r="F296">
        <v>0</v>
      </c>
      <c r="G296" t="s">
        <v>318</v>
      </c>
      <c r="H2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293</v>
      </c>
      <c r="I296" t="str">
        <f>IF(DraftResults[[#This Row],[Player ID]]=0,"",INDEX(Table5[[#All],[Pos]],MATCH(DraftResults[[#This Row],[Player ID]],Table5[[#All],[PID]],0)))</f>
        <v/>
      </c>
      <c r="J296" t="str">
        <f>IF(DraftResults[[#This Row],[Player ID]]=0,"",INDEX(Table5[[#All],[First]],MATCH(DraftResults[[#This Row],[Player ID]],Table5[[#All],[PID]],0)))</f>
        <v/>
      </c>
      <c r="K296" t="str">
        <f>IF(DraftResults[[#This Row],[Player ID]]=0,"",INDEX(Table5[[#All],[Last]],MATCH(DraftResults[[#This Row],[Player ID]],Table5[[#All],[PID]],0)))</f>
        <v/>
      </c>
    </row>
    <row r="297" spans="1:11" x14ac:dyDescent="0.25">
      <c r="A297">
        <v>10</v>
      </c>
      <c r="B297">
        <v>0</v>
      </c>
      <c r="C297">
        <v>20</v>
      </c>
      <c r="D297" t="s">
        <v>243</v>
      </c>
      <c r="E297">
        <v>19</v>
      </c>
      <c r="F297">
        <v>0</v>
      </c>
      <c r="G297" t="s">
        <v>318</v>
      </c>
      <c r="H2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294</v>
      </c>
      <c r="I297" t="str">
        <f>IF(DraftResults[[#This Row],[Player ID]]=0,"",INDEX(Table5[[#All],[Pos]],MATCH(DraftResults[[#This Row],[Player ID]],Table5[[#All],[PID]],0)))</f>
        <v/>
      </c>
      <c r="J297" t="str">
        <f>IF(DraftResults[[#This Row],[Player ID]]=0,"",INDEX(Table5[[#All],[First]],MATCH(DraftResults[[#This Row],[Player ID]],Table5[[#All],[PID]],0)))</f>
        <v/>
      </c>
      <c r="K297" t="str">
        <f>IF(DraftResults[[#This Row],[Player ID]]=0,"",INDEX(Table5[[#All],[Last]],MATCH(DraftResults[[#This Row],[Player ID]],Table5[[#All],[PID]],0)))</f>
        <v/>
      </c>
    </row>
    <row r="298" spans="1:11" x14ac:dyDescent="0.25">
      <c r="A298">
        <v>10</v>
      </c>
      <c r="B298">
        <v>0</v>
      </c>
      <c r="C298">
        <v>21</v>
      </c>
      <c r="D298" t="s">
        <v>487</v>
      </c>
      <c r="E298">
        <v>163</v>
      </c>
      <c r="F298">
        <v>0</v>
      </c>
      <c r="G298" t="s">
        <v>318</v>
      </c>
      <c r="H2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295</v>
      </c>
      <c r="I298" t="str">
        <f>IF(DraftResults[[#This Row],[Player ID]]=0,"",INDEX(Table5[[#All],[Pos]],MATCH(DraftResults[[#This Row],[Player ID]],Table5[[#All],[PID]],0)))</f>
        <v/>
      </c>
      <c r="J298" t="str">
        <f>IF(DraftResults[[#This Row],[Player ID]]=0,"",INDEX(Table5[[#All],[First]],MATCH(DraftResults[[#This Row],[Player ID]],Table5[[#All],[PID]],0)))</f>
        <v/>
      </c>
      <c r="K298" t="str">
        <f>IF(DraftResults[[#This Row],[Player ID]]=0,"",INDEX(Table5[[#All],[Last]],MATCH(DraftResults[[#This Row],[Player ID]],Table5[[#All],[PID]],0)))</f>
        <v/>
      </c>
    </row>
    <row r="299" spans="1:11" x14ac:dyDescent="0.25">
      <c r="A299">
        <v>10</v>
      </c>
      <c r="B299">
        <v>0</v>
      </c>
      <c r="C299">
        <v>22</v>
      </c>
      <c r="D299" t="s">
        <v>255</v>
      </c>
      <c r="E299">
        <v>20</v>
      </c>
      <c r="F299">
        <v>0</v>
      </c>
      <c r="G299" t="s">
        <v>318</v>
      </c>
      <c r="H2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296</v>
      </c>
      <c r="I299" t="str">
        <f>IF(DraftResults[[#This Row],[Player ID]]=0,"",INDEX(Table5[[#All],[Pos]],MATCH(DraftResults[[#This Row],[Player ID]],Table5[[#All],[PID]],0)))</f>
        <v/>
      </c>
      <c r="J299" t="str">
        <f>IF(DraftResults[[#This Row],[Player ID]]=0,"",INDEX(Table5[[#All],[First]],MATCH(DraftResults[[#This Row],[Player ID]],Table5[[#All],[PID]],0)))</f>
        <v/>
      </c>
      <c r="K299" t="str">
        <f>IF(DraftResults[[#This Row],[Player ID]]=0,"",INDEX(Table5[[#All],[Last]],MATCH(DraftResults[[#This Row],[Player ID]],Table5[[#All],[PID]],0)))</f>
        <v/>
      </c>
    </row>
    <row r="300" spans="1:11" x14ac:dyDescent="0.25">
      <c r="A300">
        <v>10</v>
      </c>
      <c r="B300">
        <v>0</v>
      </c>
      <c r="C300">
        <v>23</v>
      </c>
      <c r="D300" t="s">
        <v>485</v>
      </c>
      <c r="E300">
        <v>166</v>
      </c>
      <c r="F300">
        <v>0</v>
      </c>
      <c r="G300" t="s">
        <v>318</v>
      </c>
      <c r="H3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297</v>
      </c>
      <c r="I300" t="str">
        <f>IF(DraftResults[[#This Row],[Player ID]]=0,"",INDEX(Table5[[#All],[Pos]],MATCH(DraftResults[[#This Row],[Player ID]],Table5[[#All],[PID]],0)))</f>
        <v/>
      </c>
      <c r="J300" t="str">
        <f>IF(DraftResults[[#This Row],[Player ID]]=0,"",INDEX(Table5[[#All],[First]],MATCH(DraftResults[[#This Row],[Player ID]],Table5[[#All],[PID]],0)))</f>
        <v/>
      </c>
      <c r="K300" t="str">
        <f>IF(DraftResults[[#This Row],[Player ID]]=0,"",INDEX(Table5[[#All],[Last]],MATCH(DraftResults[[#This Row],[Player ID]],Table5[[#All],[PID]],0)))</f>
        <v/>
      </c>
    </row>
    <row r="301" spans="1:11" x14ac:dyDescent="0.25">
      <c r="A301">
        <v>10</v>
      </c>
      <c r="B301">
        <v>0</v>
      </c>
      <c r="C301">
        <v>24</v>
      </c>
      <c r="D301" t="s">
        <v>244</v>
      </c>
      <c r="E301">
        <v>22</v>
      </c>
      <c r="F301">
        <v>0</v>
      </c>
      <c r="G301" t="s">
        <v>318</v>
      </c>
      <c r="H3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298</v>
      </c>
      <c r="I301" t="str">
        <f>IF(DraftResults[[#This Row],[Player ID]]=0,"",INDEX(Table5[[#All],[Pos]],MATCH(DraftResults[[#This Row],[Player ID]],Table5[[#All],[PID]],0)))</f>
        <v/>
      </c>
      <c r="J301" t="str">
        <f>IF(DraftResults[[#This Row],[Player ID]]=0,"",INDEX(Table5[[#All],[First]],MATCH(DraftResults[[#This Row],[Player ID]],Table5[[#All],[PID]],0)))</f>
        <v/>
      </c>
      <c r="K301" t="str">
        <f>IF(DraftResults[[#This Row],[Player ID]]=0,"",INDEX(Table5[[#All],[Last]],MATCH(DraftResults[[#This Row],[Player ID]],Table5[[#All],[PID]],0)))</f>
        <v/>
      </c>
    </row>
    <row r="302" spans="1:11" x14ac:dyDescent="0.25">
      <c r="A302">
        <v>10</v>
      </c>
      <c r="B302">
        <v>0</v>
      </c>
      <c r="C302">
        <v>25</v>
      </c>
      <c r="D302" t="s">
        <v>253</v>
      </c>
      <c r="E302">
        <v>14</v>
      </c>
      <c r="F302">
        <v>0</v>
      </c>
      <c r="G302" t="s">
        <v>318</v>
      </c>
      <c r="H3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299</v>
      </c>
      <c r="I302" t="str">
        <f>IF(DraftResults[[#This Row],[Player ID]]=0,"",INDEX(Table5[[#All],[Pos]],MATCH(DraftResults[[#This Row],[Player ID]],Table5[[#All],[PID]],0)))</f>
        <v/>
      </c>
      <c r="J302" t="str">
        <f>IF(DraftResults[[#This Row],[Player ID]]=0,"",INDEX(Table5[[#All],[First]],MATCH(DraftResults[[#This Row],[Player ID]],Table5[[#All],[PID]],0)))</f>
        <v/>
      </c>
      <c r="K302" t="str">
        <f>IF(DraftResults[[#This Row],[Player ID]]=0,"",INDEX(Table5[[#All],[Last]],MATCH(DraftResults[[#This Row],[Player ID]],Table5[[#All],[PID]],0)))</f>
        <v/>
      </c>
    </row>
    <row r="303" spans="1:11" x14ac:dyDescent="0.25">
      <c r="A303">
        <v>10</v>
      </c>
      <c r="B303">
        <v>0</v>
      </c>
      <c r="C303">
        <v>26</v>
      </c>
      <c r="D303" t="s">
        <v>694</v>
      </c>
      <c r="E303">
        <v>24</v>
      </c>
      <c r="F303">
        <v>0</v>
      </c>
      <c r="G303" t="s">
        <v>318</v>
      </c>
      <c r="H3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300</v>
      </c>
      <c r="I303" t="str">
        <f>IF(DraftResults[[#This Row],[Player ID]]=0,"",INDEX(Table5[[#All],[Pos]],MATCH(DraftResults[[#This Row],[Player ID]],Table5[[#All],[PID]],0)))</f>
        <v/>
      </c>
      <c r="J303" t="str">
        <f>IF(DraftResults[[#This Row],[Player ID]]=0,"",INDEX(Table5[[#All],[First]],MATCH(DraftResults[[#This Row],[Player ID]],Table5[[#All],[PID]],0)))</f>
        <v/>
      </c>
      <c r="K303" t="str">
        <f>IF(DraftResults[[#This Row],[Player ID]]=0,"",INDEX(Table5[[#All],[Last]],MATCH(DraftResults[[#This Row],[Player ID]],Table5[[#All],[PID]],0)))</f>
        <v/>
      </c>
    </row>
    <row r="304" spans="1:11" x14ac:dyDescent="0.25">
      <c r="A304">
        <v>10</v>
      </c>
      <c r="B304">
        <v>0</v>
      </c>
      <c r="C304">
        <v>27</v>
      </c>
      <c r="D304" t="s">
        <v>247</v>
      </c>
      <c r="E304">
        <v>17</v>
      </c>
      <c r="F304">
        <v>0</v>
      </c>
      <c r="G304" t="s">
        <v>318</v>
      </c>
      <c r="H3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301</v>
      </c>
      <c r="I304" t="str">
        <f>IF(DraftResults[[#This Row],[Player ID]]=0,"",INDEX(Table5[[#All],[Pos]],MATCH(DraftResults[[#This Row],[Player ID]],Table5[[#All],[PID]],0)))</f>
        <v/>
      </c>
      <c r="J304" t="str">
        <f>IF(DraftResults[[#This Row],[Player ID]]=0,"",INDEX(Table5[[#All],[First]],MATCH(DraftResults[[#This Row],[Player ID]],Table5[[#All],[PID]],0)))</f>
        <v/>
      </c>
      <c r="K304" t="str">
        <f>IF(DraftResults[[#This Row],[Player ID]]=0,"",INDEX(Table5[[#All],[Last]],MATCH(DraftResults[[#This Row],[Player ID]],Table5[[#All],[PID]],0)))</f>
        <v/>
      </c>
    </row>
    <row r="305" spans="1:11" x14ac:dyDescent="0.25">
      <c r="A305">
        <v>10</v>
      </c>
      <c r="B305">
        <v>0</v>
      </c>
      <c r="C305">
        <v>28</v>
      </c>
      <c r="D305" t="s">
        <v>698</v>
      </c>
      <c r="E305">
        <v>9</v>
      </c>
      <c r="F305">
        <v>0</v>
      </c>
      <c r="G305" t="s">
        <v>318</v>
      </c>
      <c r="H3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302</v>
      </c>
      <c r="I305" t="str">
        <f>IF(DraftResults[[#This Row],[Player ID]]=0,"",INDEX(Table5[[#All],[Pos]],MATCH(DraftResults[[#This Row],[Player ID]],Table5[[#All],[PID]],0)))</f>
        <v/>
      </c>
      <c r="J305" t="str">
        <f>IF(DraftResults[[#This Row],[Player ID]]=0,"",INDEX(Table5[[#All],[First]],MATCH(DraftResults[[#This Row],[Player ID]],Table5[[#All],[PID]],0)))</f>
        <v/>
      </c>
      <c r="K305" t="str">
        <f>IF(DraftResults[[#This Row],[Player ID]]=0,"",INDEX(Table5[[#All],[Last]],MATCH(DraftResults[[#This Row],[Player ID]],Table5[[#All],[PID]],0)))</f>
        <v/>
      </c>
    </row>
    <row r="306" spans="1:11" x14ac:dyDescent="0.25">
      <c r="A306">
        <v>10</v>
      </c>
      <c r="B306">
        <v>0</v>
      </c>
      <c r="C306">
        <v>29</v>
      </c>
      <c r="D306" t="s">
        <v>486</v>
      </c>
      <c r="E306">
        <v>159</v>
      </c>
      <c r="F306">
        <v>0</v>
      </c>
      <c r="G306" t="s">
        <v>318</v>
      </c>
      <c r="H3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303</v>
      </c>
      <c r="I306" t="str">
        <f>IF(DraftResults[[#This Row],[Player ID]]=0,"",INDEX(Table5[[#All],[Pos]],MATCH(DraftResults[[#This Row],[Player ID]],Table5[[#All],[PID]],0)))</f>
        <v/>
      </c>
      <c r="J306" t="str">
        <f>IF(DraftResults[[#This Row],[Player ID]]=0,"",INDEX(Table5[[#All],[First]],MATCH(DraftResults[[#This Row],[Player ID]],Table5[[#All],[PID]],0)))</f>
        <v/>
      </c>
      <c r="K306" t="str">
        <f>IF(DraftResults[[#This Row],[Player ID]]=0,"",INDEX(Table5[[#All],[Last]],MATCH(DraftResults[[#This Row],[Player ID]],Table5[[#All],[PID]],0)))</f>
        <v/>
      </c>
    </row>
    <row r="307" spans="1:11" x14ac:dyDescent="0.25">
      <c r="A307">
        <v>10</v>
      </c>
      <c r="B307">
        <v>0</v>
      </c>
      <c r="C307">
        <v>30</v>
      </c>
      <c r="D307" t="s">
        <v>249</v>
      </c>
      <c r="E307">
        <v>11</v>
      </c>
      <c r="F307">
        <v>0</v>
      </c>
      <c r="G307" t="s">
        <v>318</v>
      </c>
      <c r="H3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304</v>
      </c>
      <c r="I307" t="str">
        <f>IF(DraftResults[[#This Row],[Player ID]]=0,"",INDEX(Table5[[#All],[Pos]],MATCH(DraftResults[[#This Row],[Player ID]],Table5[[#All],[PID]],0)))</f>
        <v/>
      </c>
      <c r="J307" t="str">
        <f>IF(DraftResults[[#This Row],[Player ID]]=0,"",INDEX(Table5[[#All],[First]],MATCH(DraftResults[[#This Row],[Player ID]],Table5[[#All],[PID]],0)))</f>
        <v/>
      </c>
      <c r="K307" t="str">
        <f>IF(DraftResults[[#This Row],[Player ID]]=0,"",INDEX(Table5[[#All],[Last]],MATCH(DraftResults[[#This Row],[Player ID]],Table5[[#All],[PID]],0)))</f>
        <v/>
      </c>
    </row>
    <row r="308" spans="1:11" x14ac:dyDescent="0.25">
      <c r="A308">
        <v>11</v>
      </c>
      <c r="B308">
        <v>0</v>
      </c>
      <c r="C308">
        <v>1</v>
      </c>
      <c r="D308" t="s">
        <v>695</v>
      </c>
      <c r="E308">
        <v>160</v>
      </c>
      <c r="F308">
        <v>0</v>
      </c>
      <c r="G308" t="s">
        <v>318</v>
      </c>
      <c r="H3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305</v>
      </c>
      <c r="I308" t="str">
        <f>IF(DraftResults[[#This Row],[Player ID]]=0,"",INDEX(Table5[[#All],[Pos]],MATCH(DraftResults[[#This Row],[Player ID]],Table5[[#All],[PID]],0)))</f>
        <v/>
      </c>
      <c r="J308" t="str">
        <f>IF(DraftResults[[#This Row],[Player ID]]=0,"",INDEX(Table5[[#All],[First]],MATCH(DraftResults[[#This Row],[Player ID]],Table5[[#All],[PID]],0)))</f>
        <v/>
      </c>
      <c r="K308" t="str">
        <f>IF(DraftResults[[#This Row],[Player ID]]=0,"",INDEX(Table5[[#All],[Last]],MATCH(DraftResults[[#This Row],[Player ID]],Table5[[#All],[PID]],0)))</f>
        <v/>
      </c>
    </row>
    <row r="309" spans="1:11" x14ac:dyDescent="0.25">
      <c r="A309">
        <v>11</v>
      </c>
      <c r="B309">
        <v>0</v>
      </c>
      <c r="C309">
        <v>2</v>
      </c>
      <c r="D309" t="s">
        <v>694</v>
      </c>
      <c r="E309">
        <v>24</v>
      </c>
      <c r="F309">
        <v>0</v>
      </c>
      <c r="G309" t="s">
        <v>318</v>
      </c>
      <c r="H3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306</v>
      </c>
      <c r="I309" t="str">
        <f>IF(DraftResults[[#This Row],[Player ID]]=0,"",INDEX(Table5[[#All],[Pos]],MATCH(DraftResults[[#This Row],[Player ID]],Table5[[#All],[PID]],0)))</f>
        <v/>
      </c>
      <c r="J309" t="str">
        <f>IF(DraftResults[[#This Row],[Player ID]]=0,"",INDEX(Table5[[#All],[First]],MATCH(DraftResults[[#This Row],[Player ID]],Table5[[#All],[PID]],0)))</f>
        <v/>
      </c>
      <c r="K309" t="str">
        <f>IF(DraftResults[[#This Row],[Player ID]]=0,"",INDEX(Table5[[#All],[Last]],MATCH(DraftResults[[#This Row],[Player ID]],Table5[[#All],[PID]],0)))</f>
        <v/>
      </c>
    </row>
    <row r="310" spans="1:11" ht="15.75" customHeight="1" x14ac:dyDescent="0.25">
      <c r="A310">
        <v>11</v>
      </c>
      <c r="B310">
        <v>0</v>
      </c>
      <c r="C310">
        <v>3</v>
      </c>
      <c r="D310" t="s">
        <v>697</v>
      </c>
      <c r="E310">
        <v>23</v>
      </c>
      <c r="F310">
        <v>0</v>
      </c>
      <c r="G310" t="s">
        <v>318</v>
      </c>
      <c r="H3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307</v>
      </c>
      <c r="I310" t="str">
        <f>IF(DraftResults[[#This Row],[Player ID]]=0,"",INDEX(Table5[[#All],[Pos]],MATCH(DraftResults[[#This Row],[Player ID]],Table5[[#All],[PID]],0)))</f>
        <v/>
      </c>
      <c r="J310" t="str">
        <f>IF(DraftResults[[#This Row],[Player ID]]=0,"",INDEX(Table5[[#All],[First]],MATCH(DraftResults[[#This Row],[Player ID]],Table5[[#All],[PID]],0)))</f>
        <v/>
      </c>
      <c r="K310" t="str">
        <f>IF(DraftResults[[#This Row],[Player ID]]=0,"",INDEX(Table5[[#All],[Last]],MATCH(DraftResults[[#This Row],[Player ID]],Table5[[#All],[PID]],0)))</f>
        <v/>
      </c>
    </row>
    <row r="311" spans="1:11" x14ac:dyDescent="0.25">
      <c r="A311">
        <v>11</v>
      </c>
      <c r="B311">
        <v>0</v>
      </c>
      <c r="C311">
        <v>4</v>
      </c>
      <c r="D311" t="s">
        <v>252</v>
      </c>
      <c r="E311">
        <v>1</v>
      </c>
      <c r="F311">
        <v>0</v>
      </c>
      <c r="G311" t="s">
        <v>318</v>
      </c>
      <c r="H3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308</v>
      </c>
      <c r="I311" t="str">
        <f>IF(DraftResults[[#This Row],[Player ID]]=0,"",INDEX(Table5[[#All],[Pos]],MATCH(DraftResults[[#This Row],[Player ID]],Table5[[#All],[PID]],0)))</f>
        <v/>
      </c>
      <c r="J311" t="str">
        <f>IF(DraftResults[[#This Row],[Player ID]]=0,"",INDEX(Table5[[#All],[First]],MATCH(DraftResults[[#This Row],[Player ID]],Table5[[#All],[PID]],0)))</f>
        <v/>
      </c>
      <c r="K311" t="str">
        <f>IF(DraftResults[[#This Row],[Player ID]]=0,"",INDEX(Table5[[#All],[Last]],MATCH(DraftResults[[#This Row],[Player ID]],Table5[[#All],[PID]],0)))</f>
        <v/>
      </c>
    </row>
    <row r="312" spans="1:11" x14ac:dyDescent="0.25">
      <c r="A312">
        <v>11</v>
      </c>
      <c r="B312">
        <v>0</v>
      </c>
      <c r="C312">
        <v>5</v>
      </c>
      <c r="D312" t="s">
        <v>484</v>
      </c>
      <c r="E312">
        <v>164</v>
      </c>
      <c r="F312">
        <v>0</v>
      </c>
      <c r="G312" t="s">
        <v>318</v>
      </c>
      <c r="H3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309</v>
      </c>
      <c r="I312" t="str">
        <f>IF(DraftResults[[#This Row],[Player ID]]=0,"",INDEX(Table5[[#All],[Pos]],MATCH(DraftResults[[#This Row],[Player ID]],Table5[[#All],[PID]],0)))</f>
        <v/>
      </c>
      <c r="J312" t="str">
        <f>IF(DraftResults[[#This Row],[Player ID]]=0,"",INDEX(Table5[[#All],[First]],MATCH(DraftResults[[#This Row],[Player ID]],Table5[[#All],[PID]],0)))</f>
        <v/>
      </c>
      <c r="K312" t="str">
        <f>IF(DraftResults[[#This Row],[Player ID]]=0,"",INDEX(Table5[[#All],[Last]],MATCH(DraftResults[[#This Row],[Player ID]],Table5[[#All],[PID]],0)))</f>
        <v/>
      </c>
    </row>
    <row r="313" spans="1:11" x14ac:dyDescent="0.25">
      <c r="A313">
        <v>11</v>
      </c>
      <c r="B313">
        <v>0</v>
      </c>
      <c r="C313">
        <v>6</v>
      </c>
      <c r="D313" t="s">
        <v>254</v>
      </c>
      <c r="E313">
        <v>15</v>
      </c>
      <c r="F313">
        <v>0</v>
      </c>
      <c r="G313" t="s">
        <v>318</v>
      </c>
      <c r="H3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310</v>
      </c>
      <c r="I313" t="str">
        <f>IF(DraftResults[[#This Row],[Player ID]]=0,"",INDEX(Table5[[#All],[Pos]],MATCH(DraftResults[[#This Row],[Player ID]],Table5[[#All],[PID]],0)))</f>
        <v/>
      </c>
      <c r="J313" t="str">
        <f>IF(DraftResults[[#This Row],[Player ID]]=0,"",INDEX(Table5[[#All],[First]],MATCH(DraftResults[[#This Row],[Player ID]],Table5[[#All],[PID]],0)))</f>
        <v/>
      </c>
      <c r="K313" t="str">
        <f>IF(DraftResults[[#This Row],[Player ID]]=0,"",INDEX(Table5[[#All],[Last]],MATCH(DraftResults[[#This Row],[Player ID]],Table5[[#All],[PID]],0)))</f>
        <v/>
      </c>
    </row>
    <row r="314" spans="1:11" x14ac:dyDescent="0.25">
      <c r="A314">
        <v>11</v>
      </c>
      <c r="B314">
        <v>0</v>
      </c>
      <c r="C314">
        <v>7</v>
      </c>
      <c r="D314" t="s">
        <v>588</v>
      </c>
      <c r="E314">
        <v>4</v>
      </c>
      <c r="F314">
        <v>0</v>
      </c>
      <c r="G314" t="s">
        <v>318</v>
      </c>
      <c r="H3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311</v>
      </c>
      <c r="I314" t="str">
        <f>IF(DraftResults[[#This Row],[Player ID]]=0,"",INDEX(Table5[[#All],[Pos]],MATCH(DraftResults[[#This Row],[Player ID]],Table5[[#All],[PID]],0)))</f>
        <v/>
      </c>
      <c r="J314" t="str">
        <f>IF(DraftResults[[#This Row],[Player ID]]=0,"",INDEX(Table5[[#All],[First]],MATCH(DraftResults[[#This Row],[Player ID]],Table5[[#All],[PID]],0)))</f>
        <v/>
      </c>
      <c r="K314" t="str">
        <f>IF(DraftResults[[#This Row],[Player ID]]=0,"",INDEX(Table5[[#All],[Last]],MATCH(DraftResults[[#This Row],[Player ID]],Table5[[#All],[PID]],0)))</f>
        <v/>
      </c>
    </row>
    <row r="315" spans="1:11" x14ac:dyDescent="0.25">
      <c r="A315">
        <v>11</v>
      </c>
      <c r="B315">
        <v>0</v>
      </c>
      <c r="C315">
        <v>8</v>
      </c>
      <c r="D315" t="s">
        <v>587</v>
      </c>
      <c r="E315">
        <v>7</v>
      </c>
      <c r="F315">
        <v>0</v>
      </c>
      <c r="G315" t="s">
        <v>318</v>
      </c>
      <c r="H3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312</v>
      </c>
      <c r="I315" t="str">
        <f>IF(DraftResults[[#This Row],[Player ID]]=0,"",INDEX(Table5[[#All],[Pos]],MATCH(DraftResults[[#This Row],[Player ID]],Table5[[#All],[PID]],0)))</f>
        <v/>
      </c>
      <c r="J315" t="str">
        <f>IF(DraftResults[[#This Row],[Player ID]]=0,"",INDEX(Table5[[#All],[First]],MATCH(DraftResults[[#This Row],[Player ID]],Table5[[#All],[PID]],0)))</f>
        <v/>
      </c>
      <c r="K315" t="str">
        <f>IF(DraftResults[[#This Row],[Player ID]]=0,"",INDEX(Table5[[#All],[Last]],MATCH(DraftResults[[#This Row],[Player ID]],Table5[[#All],[PID]],0)))</f>
        <v/>
      </c>
    </row>
    <row r="316" spans="1:11" x14ac:dyDescent="0.25">
      <c r="A316">
        <v>11</v>
      </c>
      <c r="B316">
        <v>0</v>
      </c>
      <c r="C316">
        <v>9</v>
      </c>
      <c r="D316" t="s">
        <v>246</v>
      </c>
      <c r="E316">
        <v>21</v>
      </c>
      <c r="F316">
        <v>0</v>
      </c>
      <c r="G316" t="s">
        <v>318</v>
      </c>
      <c r="H3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313</v>
      </c>
      <c r="I316" t="str">
        <f>IF(DraftResults[[#This Row],[Player ID]]=0,"",INDEX(Table5[[#All],[Pos]],MATCH(DraftResults[[#This Row],[Player ID]],Table5[[#All],[PID]],0)))</f>
        <v/>
      </c>
      <c r="J316" t="str">
        <f>IF(DraftResults[[#This Row],[Player ID]]=0,"",INDEX(Table5[[#All],[First]],MATCH(DraftResults[[#This Row],[Player ID]],Table5[[#All],[PID]],0)))</f>
        <v/>
      </c>
      <c r="K316" t="str">
        <f>IF(DraftResults[[#This Row],[Player ID]]=0,"",INDEX(Table5[[#All],[Last]],MATCH(DraftResults[[#This Row],[Player ID]],Table5[[#All],[PID]],0)))</f>
        <v/>
      </c>
    </row>
    <row r="317" spans="1:11" x14ac:dyDescent="0.25">
      <c r="A317">
        <v>11</v>
      </c>
      <c r="B317">
        <v>0</v>
      </c>
      <c r="C317">
        <v>10</v>
      </c>
      <c r="D317" t="s">
        <v>696</v>
      </c>
      <c r="E317">
        <v>13</v>
      </c>
      <c r="F317">
        <v>0</v>
      </c>
      <c r="G317" t="s">
        <v>318</v>
      </c>
      <c r="H3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314</v>
      </c>
      <c r="I317" t="str">
        <f>IF(DraftResults[[#This Row],[Player ID]]=0,"",INDEX(Table5[[#All],[Pos]],MATCH(DraftResults[[#This Row],[Player ID]],Table5[[#All],[PID]],0)))</f>
        <v/>
      </c>
      <c r="J317" t="str">
        <f>IF(DraftResults[[#This Row],[Player ID]]=0,"",INDEX(Table5[[#All],[First]],MATCH(DraftResults[[#This Row],[Player ID]],Table5[[#All],[PID]],0)))</f>
        <v/>
      </c>
      <c r="K317" t="str">
        <f>IF(DraftResults[[#This Row],[Player ID]]=0,"",INDEX(Table5[[#All],[Last]],MATCH(DraftResults[[#This Row],[Player ID]],Table5[[#All],[PID]],0)))</f>
        <v/>
      </c>
    </row>
    <row r="318" spans="1:11" x14ac:dyDescent="0.25">
      <c r="A318">
        <v>11</v>
      </c>
      <c r="B318">
        <v>0</v>
      </c>
      <c r="C318">
        <v>11</v>
      </c>
      <c r="D318" t="s">
        <v>251</v>
      </c>
      <c r="E318">
        <v>3</v>
      </c>
      <c r="F318">
        <v>0</v>
      </c>
      <c r="G318" t="s">
        <v>318</v>
      </c>
      <c r="H3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315</v>
      </c>
      <c r="I318" t="str">
        <f>IF(DraftResults[[#This Row],[Player ID]]=0,"",INDEX(Table5[[#All],[Pos]],MATCH(DraftResults[[#This Row],[Player ID]],Table5[[#All],[PID]],0)))</f>
        <v/>
      </c>
      <c r="J318" t="str">
        <f>IF(DraftResults[[#This Row],[Player ID]]=0,"",INDEX(Table5[[#All],[First]],MATCH(DraftResults[[#This Row],[Player ID]],Table5[[#All],[PID]],0)))</f>
        <v/>
      </c>
      <c r="K318" t="str">
        <f>IF(DraftResults[[#This Row],[Player ID]]=0,"",INDEX(Table5[[#All],[Last]],MATCH(DraftResults[[#This Row],[Player ID]],Table5[[#All],[PID]],0)))</f>
        <v/>
      </c>
    </row>
    <row r="319" spans="1:11" x14ac:dyDescent="0.25">
      <c r="A319">
        <v>11</v>
      </c>
      <c r="B319">
        <v>0</v>
      </c>
      <c r="C319">
        <v>12</v>
      </c>
      <c r="D319" t="s">
        <v>257</v>
      </c>
      <c r="E319">
        <v>8</v>
      </c>
      <c r="F319">
        <v>0</v>
      </c>
      <c r="G319" t="s">
        <v>318</v>
      </c>
      <c r="H3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316</v>
      </c>
      <c r="I319" t="str">
        <f>IF(DraftResults[[#This Row],[Player ID]]=0,"",INDEX(Table5[[#All],[Pos]],MATCH(DraftResults[[#This Row],[Player ID]],Table5[[#All],[PID]],0)))</f>
        <v/>
      </c>
      <c r="J319" t="str">
        <f>IF(DraftResults[[#This Row],[Player ID]]=0,"",INDEX(Table5[[#All],[First]],MATCH(DraftResults[[#This Row],[Player ID]],Table5[[#All],[PID]],0)))</f>
        <v/>
      </c>
      <c r="K319" t="str">
        <f>IF(DraftResults[[#This Row],[Player ID]]=0,"",INDEX(Table5[[#All],[Last]],MATCH(DraftResults[[#This Row],[Player ID]],Table5[[#All],[PID]],0)))</f>
        <v/>
      </c>
    </row>
    <row r="320" spans="1:11" x14ac:dyDescent="0.25">
      <c r="A320">
        <v>11</v>
      </c>
      <c r="B320">
        <v>0</v>
      </c>
      <c r="C320">
        <v>13</v>
      </c>
      <c r="D320" t="s">
        <v>262</v>
      </c>
      <c r="E320">
        <v>12</v>
      </c>
      <c r="F320">
        <v>0</v>
      </c>
      <c r="G320" t="s">
        <v>318</v>
      </c>
      <c r="H3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317</v>
      </c>
      <c r="I320" t="str">
        <f>IF(DraftResults[[#This Row],[Player ID]]=0,"",INDEX(Table5[[#All],[Pos]],MATCH(DraftResults[[#This Row],[Player ID]],Table5[[#All],[PID]],0)))</f>
        <v/>
      </c>
      <c r="J320" t="str">
        <f>IF(DraftResults[[#This Row],[Player ID]]=0,"",INDEX(Table5[[#All],[First]],MATCH(DraftResults[[#This Row],[Player ID]],Table5[[#All],[PID]],0)))</f>
        <v/>
      </c>
      <c r="K320" t="str">
        <f>IF(DraftResults[[#This Row],[Player ID]]=0,"",INDEX(Table5[[#All],[Last]],MATCH(DraftResults[[#This Row],[Player ID]],Table5[[#All],[PID]],0)))</f>
        <v/>
      </c>
    </row>
    <row r="321" spans="1:11" x14ac:dyDescent="0.25">
      <c r="A321">
        <v>11</v>
      </c>
      <c r="B321">
        <v>0</v>
      </c>
      <c r="C321">
        <v>14</v>
      </c>
      <c r="D321" t="s">
        <v>489</v>
      </c>
      <c r="E321">
        <v>18</v>
      </c>
      <c r="F321">
        <v>0</v>
      </c>
      <c r="G321" t="s">
        <v>318</v>
      </c>
      <c r="H3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318</v>
      </c>
      <c r="I321" t="str">
        <f>IF(DraftResults[[#This Row],[Player ID]]=0,"",INDEX(Table5[[#All],[Pos]],MATCH(DraftResults[[#This Row],[Player ID]],Table5[[#All],[PID]],0)))</f>
        <v/>
      </c>
      <c r="J321" t="str">
        <f>IF(DraftResults[[#This Row],[Player ID]]=0,"",INDEX(Table5[[#All],[First]],MATCH(DraftResults[[#This Row],[Player ID]],Table5[[#All],[PID]],0)))</f>
        <v/>
      </c>
      <c r="K321" t="str">
        <f>IF(DraftResults[[#This Row],[Player ID]]=0,"",INDEX(Table5[[#All],[Last]],MATCH(DraftResults[[#This Row],[Player ID]],Table5[[#All],[PID]],0)))</f>
        <v/>
      </c>
    </row>
    <row r="322" spans="1:11" x14ac:dyDescent="0.25">
      <c r="A322">
        <v>11</v>
      </c>
      <c r="B322">
        <v>0</v>
      </c>
      <c r="C322">
        <v>15</v>
      </c>
      <c r="D322" t="s">
        <v>250</v>
      </c>
      <c r="E322">
        <v>10</v>
      </c>
      <c r="F322">
        <v>0</v>
      </c>
      <c r="G322" t="s">
        <v>318</v>
      </c>
      <c r="H3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319</v>
      </c>
      <c r="I322" t="str">
        <f>IF(DraftResults[[#This Row],[Player ID]]=0,"",INDEX(Table5[[#All],[Pos]],MATCH(DraftResults[[#This Row],[Player ID]],Table5[[#All],[PID]],0)))</f>
        <v/>
      </c>
      <c r="J322" t="str">
        <f>IF(DraftResults[[#This Row],[Player ID]]=0,"",INDEX(Table5[[#All],[First]],MATCH(DraftResults[[#This Row],[Player ID]],Table5[[#All],[PID]],0)))</f>
        <v/>
      </c>
      <c r="K322" t="str">
        <f>IF(DraftResults[[#This Row],[Player ID]]=0,"",INDEX(Table5[[#All],[Last]],MATCH(DraftResults[[#This Row],[Player ID]],Table5[[#All],[PID]],0)))</f>
        <v/>
      </c>
    </row>
    <row r="323" spans="1:11" x14ac:dyDescent="0.25">
      <c r="A323">
        <v>11</v>
      </c>
      <c r="B323">
        <v>0</v>
      </c>
      <c r="C323">
        <v>16</v>
      </c>
      <c r="D323" t="s">
        <v>482</v>
      </c>
      <c r="E323">
        <v>162</v>
      </c>
      <c r="F323">
        <v>0</v>
      </c>
      <c r="G323" t="s">
        <v>318</v>
      </c>
      <c r="H3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320</v>
      </c>
      <c r="I323" t="str">
        <f>IF(DraftResults[[#This Row],[Player ID]]=0,"",INDEX(Table5[[#All],[Pos]],MATCH(DraftResults[[#This Row],[Player ID]],Table5[[#All],[PID]],0)))</f>
        <v/>
      </c>
      <c r="J323" t="str">
        <f>IF(DraftResults[[#This Row],[Player ID]]=0,"",INDEX(Table5[[#All],[First]],MATCH(DraftResults[[#This Row],[Player ID]],Table5[[#All],[PID]],0)))</f>
        <v/>
      </c>
      <c r="K323" t="str">
        <f>IF(DraftResults[[#This Row],[Player ID]]=0,"",INDEX(Table5[[#All],[Last]],MATCH(DraftResults[[#This Row],[Player ID]],Table5[[#All],[PID]],0)))</f>
        <v/>
      </c>
    </row>
    <row r="324" spans="1:11" x14ac:dyDescent="0.25">
      <c r="A324">
        <v>11</v>
      </c>
      <c r="B324">
        <v>0</v>
      </c>
      <c r="C324">
        <v>17</v>
      </c>
      <c r="D324" t="s">
        <v>483</v>
      </c>
      <c r="E324">
        <v>2</v>
      </c>
      <c r="F324">
        <v>0</v>
      </c>
      <c r="G324" t="s">
        <v>318</v>
      </c>
      <c r="H3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321</v>
      </c>
      <c r="I324" t="str">
        <f>IF(DraftResults[[#This Row],[Player ID]]=0,"",INDEX(Table5[[#All],[Pos]],MATCH(DraftResults[[#This Row],[Player ID]],Table5[[#All],[PID]],0)))</f>
        <v/>
      </c>
      <c r="J324" t="str">
        <f>IF(DraftResults[[#This Row],[Player ID]]=0,"",INDEX(Table5[[#All],[First]],MATCH(DraftResults[[#This Row],[Player ID]],Table5[[#All],[PID]],0)))</f>
        <v/>
      </c>
      <c r="K324" t="str">
        <f>IF(DraftResults[[#This Row],[Player ID]]=0,"",INDEX(Table5[[#All],[Last]],MATCH(DraftResults[[#This Row],[Player ID]],Table5[[#All],[PID]],0)))</f>
        <v/>
      </c>
    </row>
    <row r="325" spans="1:11" x14ac:dyDescent="0.25">
      <c r="A325">
        <v>11</v>
      </c>
      <c r="B325">
        <v>0</v>
      </c>
      <c r="C325">
        <v>18</v>
      </c>
      <c r="D325" t="s">
        <v>258</v>
      </c>
      <c r="E325">
        <v>16</v>
      </c>
      <c r="F325">
        <v>0</v>
      </c>
      <c r="G325" t="s">
        <v>318</v>
      </c>
      <c r="H3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322</v>
      </c>
      <c r="I325" t="str">
        <f>IF(DraftResults[[#This Row],[Player ID]]=0,"",INDEX(Table5[[#All],[Pos]],MATCH(DraftResults[[#This Row],[Player ID]],Table5[[#All],[PID]],0)))</f>
        <v/>
      </c>
      <c r="J325" t="str">
        <f>IF(DraftResults[[#This Row],[Player ID]]=0,"",INDEX(Table5[[#All],[First]],MATCH(DraftResults[[#This Row],[Player ID]],Table5[[#All],[PID]],0)))</f>
        <v/>
      </c>
      <c r="K325" t="str">
        <f>IF(DraftResults[[#This Row],[Player ID]]=0,"",INDEX(Table5[[#All],[Last]],MATCH(DraftResults[[#This Row],[Player ID]],Table5[[#All],[PID]],0)))</f>
        <v/>
      </c>
    </row>
    <row r="326" spans="1:11" x14ac:dyDescent="0.25">
      <c r="A326">
        <v>11</v>
      </c>
      <c r="B326">
        <v>0</v>
      </c>
      <c r="C326">
        <v>19</v>
      </c>
      <c r="D326" t="s">
        <v>490</v>
      </c>
      <c r="E326">
        <v>167</v>
      </c>
      <c r="F326">
        <v>0</v>
      </c>
      <c r="G326" t="s">
        <v>318</v>
      </c>
      <c r="H3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323</v>
      </c>
      <c r="I326" t="str">
        <f>IF(DraftResults[[#This Row],[Player ID]]=0,"",INDEX(Table5[[#All],[Pos]],MATCH(DraftResults[[#This Row],[Player ID]],Table5[[#All],[PID]],0)))</f>
        <v/>
      </c>
      <c r="J326" t="str">
        <f>IF(DraftResults[[#This Row],[Player ID]]=0,"",INDEX(Table5[[#All],[First]],MATCH(DraftResults[[#This Row],[Player ID]],Table5[[#All],[PID]],0)))</f>
        <v/>
      </c>
      <c r="K326" t="str">
        <f>IF(DraftResults[[#This Row],[Player ID]]=0,"",INDEX(Table5[[#All],[Last]],MATCH(DraftResults[[#This Row],[Player ID]],Table5[[#All],[PID]],0)))</f>
        <v/>
      </c>
    </row>
    <row r="327" spans="1:11" x14ac:dyDescent="0.25">
      <c r="A327">
        <v>11</v>
      </c>
      <c r="B327">
        <v>0</v>
      </c>
      <c r="C327">
        <v>20</v>
      </c>
      <c r="D327" t="s">
        <v>243</v>
      </c>
      <c r="E327">
        <v>19</v>
      </c>
      <c r="F327">
        <v>0</v>
      </c>
      <c r="G327" t="s">
        <v>318</v>
      </c>
      <c r="H3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324</v>
      </c>
      <c r="I327" t="str">
        <f>IF(DraftResults[[#This Row],[Player ID]]=0,"",INDEX(Table5[[#All],[Pos]],MATCH(DraftResults[[#This Row],[Player ID]],Table5[[#All],[PID]],0)))</f>
        <v/>
      </c>
      <c r="J327" t="str">
        <f>IF(DraftResults[[#This Row],[Player ID]]=0,"",INDEX(Table5[[#All],[First]],MATCH(DraftResults[[#This Row],[Player ID]],Table5[[#All],[PID]],0)))</f>
        <v/>
      </c>
      <c r="K327" t="str">
        <f>IF(DraftResults[[#This Row],[Player ID]]=0,"",INDEX(Table5[[#All],[Last]],MATCH(DraftResults[[#This Row],[Player ID]],Table5[[#All],[PID]],0)))</f>
        <v/>
      </c>
    </row>
    <row r="328" spans="1:11" x14ac:dyDescent="0.25">
      <c r="A328">
        <v>11</v>
      </c>
      <c r="B328">
        <v>0</v>
      </c>
      <c r="C328">
        <v>21</v>
      </c>
      <c r="D328" t="s">
        <v>487</v>
      </c>
      <c r="E328">
        <v>163</v>
      </c>
      <c r="F328">
        <v>0</v>
      </c>
      <c r="G328" t="s">
        <v>318</v>
      </c>
      <c r="H3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325</v>
      </c>
      <c r="I328" t="str">
        <f>IF(DraftResults[[#This Row],[Player ID]]=0,"",INDEX(Table5[[#All],[Pos]],MATCH(DraftResults[[#This Row],[Player ID]],Table5[[#All],[PID]],0)))</f>
        <v/>
      </c>
      <c r="J328" t="str">
        <f>IF(DraftResults[[#This Row],[Player ID]]=0,"",INDEX(Table5[[#All],[First]],MATCH(DraftResults[[#This Row],[Player ID]],Table5[[#All],[PID]],0)))</f>
        <v/>
      </c>
      <c r="K328" t="str">
        <f>IF(DraftResults[[#This Row],[Player ID]]=0,"",INDEX(Table5[[#All],[Last]],MATCH(DraftResults[[#This Row],[Player ID]],Table5[[#All],[PID]],0)))</f>
        <v/>
      </c>
    </row>
    <row r="329" spans="1:11" x14ac:dyDescent="0.25">
      <c r="A329">
        <v>11</v>
      </c>
      <c r="B329">
        <v>0</v>
      </c>
      <c r="C329">
        <v>22</v>
      </c>
      <c r="D329" t="s">
        <v>255</v>
      </c>
      <c r="E329">
        <v>20</v>
      </c>
      <c r="F329">
        <v>0</v>
      </c>
      <c r="G329" t="s">
        <v>318</v>
      </c>
      <c r="H3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326</v>
      </c>
      <c r="I329" t="str">
        <f>IF(DraftResults[[#This Row],[Player ID]]=0,"",INDEX(Table5[[#All],[Pos]],MATCH(DraftResults[[#This Row],[Player ID]],Table5[[#All],[PID]],0)))</f>
        <v/>
      </c>
      <c r="J329" t="str">
        <f>IF(DraftResults[[#This Row],[Player ID]]=0,"",INDEX(Table5[[#All],[First]],MATCH(DraftResults[[#This Row],[Player ID]],Table5[[#All],[PID]],0)))</f>
        <v/>
      </c>
      <c r="K329" t="str">
        <f>IF(DraftResults[[#This Row],[Player ID]]=0,"",INDEX(Table5[[#All],[Last]],MATCH(DraftResults[[#This Row],[Player ID]],Table5[[#All],[PID]],0)))</f>
        <v/>
      </c>
    </row>
    <row r="330" spans="1:11" x14ac:dyDescent="0.25">
      <c r="A330">
        <v>11</v>
      </c>
      <c r="B330">
        <v>0</v>
      </c>
      <c r="C330">
        <v>23</v>
      </c>
      <c r="D330" t="s">
        <v>485</v>
      </c>
      <c r="E330">
        <v>166</v>
      </c>
      <c r="F330">
        <v>0</v>
      </c>
      <c r="G330" t="s">
        <v>318</v>
      </c>
      <c r="H3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327</v>
      </c>
      <c r="I330" t="str">
        <f>IF(DraftResults[[#This Row],[Player ID]]=0,"",INDEX(Table5[[#All],[Pos]],MATCH(DraftResults[[#This Row],[Player ID]],Table5[[#All],[PID]],0)))</f>
        <v/>
      </c>
      <c r="J330" t="str">
        <f>IF(DraftResults[[#This Row],[Player ID]]=0,"",INDEX(Table5[[#All],[First]],MATCH(DraftResults[[#This Row],[Player ID]],Table5[[#All],[PID]],0)))</f>
        <v/>
      </c>
      <c r="K330" t="str">
        <f>IF(DraftResults[[#This Row],[Player ID]]=0,"",INDEX(Table5[[#All],[Last]],MATCH(DraftResults[[#This Row],[Player ID]],Table5[[#All],[PID]],0)))</f>
        <v/>
      </c>
    </row>
    <row r="331" spans="1:11" x14ac:dyDescent="0.25">
      <c r="A331">
        <v>11</v>
      </c>
      <c r="B331">
        <v>0</v>
      </c>
      <c r="C331">
        <v>24</v>
      </c>
      <c r="D331" t="s">
        <v>244</v>
      </c>
      <c r="E331">
        <v>22</v>
      </c>
      <c r="F331">
        <v>0</v>
      </c>
      <c r="G331" t="s">
        <v>318</v>
      </c>
      <c r="H3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328</v>
      </c>
      <c r="I331" t="str">
        <f>IF(DraftResults[[#This Row],[Player ID]]=0,"",INDEX(Table5[[#All],[Pos]],MATCH(DraftResults[[#This Row],[Player ID]],Table5[[#All],[PID]],0)))</f>
        <v/>
      </c>
      <c r="J331" t="str">
        <f>IF(DraftResults[[#This Row],[Player ID]]=0,"",INDEX(Table5[[#All],[First]],MATCH(DraftResults[[#This Row],[Player ID]],Table5[[#All],[PID]],0)))</f>
        <v/>
      </c>
      <c r="K331" t="str">
        <f>IF(DraftResults[[#This Row],[Player ID]]=0,"",INDEX(Table5[[#All],[Last]],MATCH(DraftResults[[#This Row],[Player ID]],Table5[[#All],[PID]],0)))</f>
        <v/>
      </c>
    </row>
    <row r="332" spans="1:11" x14ac:dyDescent="0.25">
      <c r="A332">
        <v>11</v>
      </c>
      <c r="B332">
        <v>0</v>
      </c>
      <c r="C332">
        <v>25</v>
      </c>
      <c r="D332" t="s">
        <v>253</v>
      </c>
      <c r="E332">
        <v>14</v>
      </c>
      <c r="F332">
        <v>0</v>
      </c>
      <c r="G332" t="s">
        <v>318</v>
      </c>
      <c r="H3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329</v>
      </c>
      <c r="I332" t="str">
        <f>IF(DraftResults[[#This Row],[Player ID]]=0,"",INDEX(Table5[[#All],[Pos]],MATCH(DraftResults[[#This Row],[Player ID]],Table5[[#All],[PID]],0)))</f>
        <v/>
      </c>
      <c r="J332" t="str">
        <f>IF(DraftResults[[#This Row],[Player ID]]=0,"",INDEX(Table5[[#All],[First]],MATCH(DraftResults[[#This Row],[Player ID]],Table5[[#All],[PID]],0)))</f>
        <v/>
      </c>
      <c r="K332" t="str">
        <f>IF(DraftResults[[#This Row],[Player ID]]=0,"",INDEX(Table5[[#All],[Last]],MATCH(DraftResults[[#This Row],[Player ID]],Table5[[#All],[PID]],0)))</f>
        <v/>
      </c>
    </row>
    <row r="333" spans="1:11" x14ac:dyDescent="0.25">
      <c r="A333">
        <v>11</v>
      </c>
      <c r="B333">
        <v>0</v>
      </c>
      <c r="C333">
        <v>26</v>
      </c>
      <c r="D333" t="s">
        <v>694</v>
      </c>
      <c r="E333">
        <v>24</v>
      </c>
      <c r="F333">
        <v>0</v>
      </c>
      <c r="G333" t="s">
        <v>318</v>
      </c>
      <c r="H3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330</v>
      </c>
      <c r="I333" t="str">
        <f>IF(DraftResults[[#This Row],[Player ID]]=0,"",INDEX(Table5[[#All],[Pos]],MATCH(DraftResults[[#This Row],[Player ID]],Table5[[#All],[PID]],0)))</f>
        <v/>
      </c>
      <c r="J333" t="str">
        <f>IF(DraftResults[[#This Row],[Player ID]]=0,"",INDEX(Table5[[#All],[First]],MATCH(DraftResults[[#This Row],[Player ID]],Table5[[#All],[PID]],0)))</f>
        <v/>
      </c>
      <c r="K333" t="str">
        <f>IF(DraftResults[[#This Row],[Player ID]]=0,"",INDEX(Table5[[#All],[Last]],MATCH(DraftResults[[#This Row],[Player ID]],Table5[[#All],[PID]],0)))</f>
        <v/>
      </c>
    </row>
    <row r="334" spans="1:11" x14ac:dyDescent="0.25">
      <c r="A334">
        <v>11</v>
      </c>
      <c r="B334">
        <v>0</v>
      </c>
      <c r="C334">
        <v>27</v>
      </c>
      <c r="D334" t="s">
        <v>247</v>
      </c>
      <c r="E334">
        <v>17</v>
      </c>
      <c r="F334">
        <v>0</v>
      </c>
      <c r="G334" t="s">
        <v>318</v>
      </c>
      <c r="H3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331</v>
      </c>
      <c r="I334" t="str">
        <f>IF(DraftResults[[#This Row],[Player ID]]=0,"",INDEX(Table5[[#All],[Pos]],MATCH(DraftResults[[#This Row],[Player ID]],Table5[[#All],[PID]],0)))</f>
        <v/>
      </c>
      <c r="J334" t="str">
        <f>IF(DraftResults[[#This Row],[Player ID]]=0,"",INDEX(Table5[[#All],[First]],MATCH(DraftResults[[#This Row],[Player ID]],Table5[[#All],[PID]],0)))</f>
        <v/>
      </c>
      <c r="K334" t="str">
        <f>IF(DraftResults[[#This Row],[Player ID]]=0,"",INDEX(Table5[[#All],[Last]],MATCH(DraftResults[[#This Row],[Player ID]],Table5[[#All],[PID]],0)))</f>
        <v/>
      </c>
    </row>
    <row r="335" spans="1:11" x14ac:dyDescent="0.25">
      <c r="A335">
        <v>11</v>
      </c>
      <c r="B335">
        <v>0</v>
      </c>
      <c r="C335">
        <v>28</v>
      </c>
      <c r="D335" t="s">
        <v>698</v>
      </c>
      <c r="E335">
        <v>9</v>
      </c>
      <c r="F335">
        <v>0</v>
      </c>
      <c r="G335" t="s">
        <v>318</v>
      </c>
      <c r="H3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332</v>
      </c>
      <c r="I335" t="str">
        <f>IF(DraftResults[[#This Row],[Player ID]]=0,"",INDEX(Table5[[#All],[Pos]],MATCH(DraftResults[[#This Row],[Player ID]],Table5[[#All],[PID]],0)))</f>
        <v/>
      </c>
      <c r="J335" t="str">
        <f>IF(DraftResults[[#This Row],[Player ID]]=0,"",INDEX(Table5[[#All],[First]],MATCH(DraftResults[[#This Row],[Player ID]],Table5[[#All],[PID]],0)))</f>
        <v/>
      </c>
      <c r="K335" t="str">
        <f>IF(DraftResults[[#This Row],[Player ID]]=0,"",INDEX(Table5[[#All],[Last]],MATCH(DraftResults[[#This Row],[Player ID]],Table5[[#All],[PID]],0)))</f>
        <v/>
      </c>
    </row>
    <row r="336" spans="1:11" ht="15.75" customHeight="1" x14ac:dyDescent="0.25">
      <c r="A336">
        <v>11</v>
      </c>
      <c r="B336">
        <v>0</v>
      </c>
      <c r="C336">
        <v>29</v>
      </c>
      <c r="D336" t="s">
        <v>486</v>
      </c>
      <c r="E336">
        <v>159</v>
      </c>
      <c r="F336">
        <v>0</v>
      </c>
      <c r="G336" t="s">
        <v>318</v>
      </c>
      <c r="H3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333</v>
      </c>
      <c r="I336" t="str">
        <f>IF(DraftResults[[#This Row],[Player ID]]=0,"",INDEX(Table5[[#All],[Pos]],MATCH(DraftResults[[#This Row],[Player ID]],Table5[[#All],[PID]],0)))</f>
        <v/>
      </c>
      <c r="J336" t="str">
        <f>IF(DraftResults[[#This Row],[Player ID]]=0,"",INDEX(Table5[[#All],[First]],MATCH(DraftResults[[#This Row],[Player ID]],Table5[[#All],[PID]],0)))</f>
        <v/>
      </c>
      <c r="K336" t="str">
        <f>IF(DraftResults[[#This Row],[Player ID]]=0,"",INDEX(Table5[[#All],[Last]],MATCH(DraftResults[[#This Row],[Player ID]],Table5[[#All],[PID]],0)))</f>
        <v/>
      </c>
    </row>
    <row r="337" spans="1:11" x14ac:dyDescent="0.25">
      <c r="A337">
        <v>11</v>
      </c>
      <c r="B337">
        <v>0</v>
      </c>
      <c r="C337">
        <v>30</v>
      </c>
      <c r="D337" t="s">
        <v>249</v>
      </c>
      <c r="E337">
        <v>11</v>
      </c>
      <c r="F337">
        <v>0</v>
      </c>
      <c r="G337" t="s">
        <v>318</v>
      </c>
      <c r="H3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334</v>
      </c>
      <c r="I337" t="str">
        <f>IF(DraftResults[[#This Row],[Player ID]]=0,"",INDEX(Table5[[#All],[Pos]],MATCH(DraftResults[[#This Row],[Player ID]],Table5[[#All],[PID]],0)))</f>
        <v/>
      </c>
      <c r="J337" t="str">
        <f>IF(DraftResults[[#This Row],[Player ID]]=0,"",INDEX(Table5[[#All],[First]],MATCH(DraftResults[[#This Row],[Player ID]],Table5[[#All],[PID]],0)))</f>
        <v/>
      </c>
      <c r="K337" t="str">
        <f>IF(DraftResults[[#This Row],[Player ID]]=0,"",INDEX(Table5[[#All],[Last]],MATCH(DraftResults[[#This Row],[Player ID]],Table5[[#All],[PID]],0)))</f>
        <v/>
      </c>
    </row>
    <row r="338" spans="1:11" x14ac:dyDescent="0.25">
      <c r="A338">
        <v>12</v>
      </c>
      <c r="B338">
        <v>0</v>
      </c>
      <c r="C338">
        <v>1</v>
      </c>
      <c r="D338" t="s">
        <v>695</v>
      </c>
      <c r="E338">
        <v>160</v>
      </c>
      <c r="F338">
        <v>0</v>
      </c>
      <c r="G338" t="s">
        <v>318</v>
      </c>
      <c r="H3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335</v>
      </c>
      <c r="I338" t="str">
        <f>IF(DraftResults[[#This Row],[Player ID]]=0,"",INDEX(Table5[[#All],[Pos]],MATCH(DraftResults[[#This Row],[Player ID]],Table5[[#All],[PID]],0)))</f>
        <v/>
      </c>
      <c r="J338" t="str">
        <f>IF(DraftResults[[#This Row],[Player ID]]=0,"",INDEX(Table5[[#All],[First]],MATCH(DraftResults[[#This Row],[Player ID]],Table5[[#All],[PID]],0)))</f>
        <v/>
      </c>
      <c r="K338" t="str">
        <f>IF(DraftResults[[#This Row],[Player ID]]=0,"",INDEX(Table5[[#All],[Last]],MATCH(DraftResults[[#This Row],[Player ID]],Table5[[#All],[PID]],0)))</f>
        <v/>
      </c>
    </row>
    <row r="339" spans="1:11" x14ac:dyDescent="0.25">
      <c r="A339">
        <v>12</v>
      </c>
      <c r="B339">
        <v>0</v>
      </c>
      <c r="C339">
        <v>2</v>
      </c>
      <c r="D339" t="s">
        <v>694</v>
      </c>
      <c r="E339">
        <v>24</v>
      </c>
      <c r="F339">
        <v>0</v>
      </c>
      <c r="G339" t="s">
        <v>318</v>
      </c>
      <c r="H3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336</v>
      </c>
      <c r="I339" t="str">
        <f>IF(DraftResults[[#This Row],[Player ID]]=0,"",INDEX(Table5[[#All],[Pos]],MATCH(DraftResults[[#This Row],[Player ID]],Table5[[#All],[PID]],0)))</f>
        <v/>
      </c>
      <c r="J339" t="str">
        <f>IF(DraftResults[[#This Row],[Player ID]]=0,"",INDEX(Table5[[#All],[First]],MATCH(DraftResults[[#This Row],[Player ID]],Table5[[#All],[PID]],0)))</f>
        <v/>
      </c>
      <c r="K339" t="str">
        <f>IF(DraftResults[[#This Row],[Player ID]]=0,"",INDEX(Table5[[#All],[Last]],MATCH(DraftResults[[#This Row],[Player ID]],Table5[[#All],[PID]],0)))</f>
        <v/>
      </c>
    </row>
    <row r="340" spans="1:11" x14ac:dyDescent="0.25">
      <c r="A340">
        <v>12</v>
      </c>
      <c r="B340">
        <v>0</v>
      </c>
      <c r="C340">
        <v>3</v>
      </c>
      <c r="D340" t="s">
        <v>697</v>
      </c>
      <c r="E340">
        <v>23</v>
      </c>
      <c r="F340">
        <v>0</v>
      </c>
      <c r="G340" t="s">
        <v>318</v>
      </c>
      <c r="H3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337</v>
      </c>
      <c r="I340" t="str">
        <f>IF(DraftResults[[#This Row],[Player ID]]=0,"",INDEX(Table5[[#All],[Pos]],MATCH(DraftResults[[#This Row],[Player ID]],Table5[[#All],[PID]],0)))</f>
        <v/>
      </c>
      <c r="J340" t="str">
        <f>IF(DraftResults[[#This Row],[Player ID]]=0,"",INDEX(Table5[[#All],[First]],MATCH(DraftResults[[#This Row],[Player ID]],Table5[[#All],[PID]],0)))</f>
        <v/>
      </c>
      <c r="K340" t="str">
        <f>IF(DraftResults[[#This Row],[Player ID]]=0,"",INDEX(Table5[[#All],[Last]],MATCH(DraftResults[[#This Row],[Player ID]],Table5[[#All],[PID]],0)))</f>
        <v/>
      </c>
    </row>
    <row r="341" spans="1:11" x14ac:dyDescent="0.25">
      <c r="A341">
        <v>12</v>
      </c>
      <c r="B341">
        <v>0</v>
      </c>
      <c r="C341">
        <v>4</v>
      </c>
      <c r="D341" t="s">
        <v>252</v>
      </c>
      <c r="E341">
        <v>1</v>
      </c>
      <c r="F341">
        <v>0</v>
      </c>
      <c r="G341" t="s">
        <v>318</v>
      </c>
      <c r="H3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338</v>
      </c>
      <c r="I341" t="str">
        <f>IF(DraftResults[[#This Row],[Player ID]]=0,"",INDEX(Table5[[#All],[Pos]],MATCH(DraftResults[[#This Row],[Player ID]],Table5[[#All],[PID]],0)))</f>
        <v/>
      </c>
      <c r="J341" t="str">
        <f>IF(DraftResults[[#This Row],[Player ID]]=0,"",INDEX(Table5[[#All],[First]],MATCH(DraftResults[[#This Row],[Player ID]],Table5[[#All],[PID]],0)))</f>
        <v/>
      </c>
      <c r="K341" t="str">
        <f>IF(DraftResults[[#This Row],[Player ID]]=0,"",INDEX(Table5[[#All],[Last]],MATCH(DraftResults[[#This Row],[Player ID]],Table5[[#All],[PID]],0)))</f>
        <v/>
      </c>
    </row>
    <row r="342" spans="1:11" x14ac:dyDescent="0.25">
      <c r="A342">
        <v>12</v>
      </c>
      <c r="B342">
        <v>0</v>
      </c>
      <c r="C342">
        <v>5</v>
      </c>
      <c r="D342" t="s">
        <v>484</v>
      </c>
      <c r="E342">
        <v>164</v>
      </c>
      <c r="F342">
        <v>0</v>
      </c>
      <c r="G342" t="s">
        <v>318</v>
      </c>
      <c r="H3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339</v>
      </c>
      <c r="I342" t="str">
        <f>IF(DraftResults[[#This Row],[Player ID]]=0,"",INDEX(Table5[[#All],[Pos]],MATCH(DraftResults[[#This Row],[Player ID]],Table5[[#All],[PID]],0)))</f>
        <v/>
      </c>
      <c r="J342" t="str">
        <f>IF(DraftResults[[#This Row],[Player ID]]=0,"",INDEX(Table5[[#All],[First]],MATCH(DraftResults[[#This Row],[Player ID]],Table5[[#All],[PID]],0)))</f>
        <v/>
      </c>
      <c r="K342" t="str">
        <f>IF(DraftResults[[#This Row],[Player ID]]=0,"",INDEX(Table5[[#All],[Last]],MATCH(DraftResults[[#This Row],[Player ID]],Table5[[#All],[PID]],0)))</f>
        <v/>
      </c>
    </row>
    <row r="343" spans="1:11" x14ac:dyDescent="0.25">
      <c r="A343">
        <v>12</v>
      </c>
      <c r="B343">
        <v>0</v>
      </c>
      <c r="C343">
        <v>6</v>
      </c>
      <c r="D343" t="s">
        <v>254</v>
      </c>
      <c r="E343">
        <v>15</v>
      </c>
      <c r="F343">
        <v>0</v>
      </c>
      <c r="G343" t="s">
        <v>318</v>
      </c>
      <c r="H3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340</v>
      </c>
      <c r="I343" t="str">
        <f>IF(DraftResults[[#This Row],[Player ID]]=0,"",INDEX(Table5[[#All],[Pos]],MATCH(DraftResults[[#This Row],[Player ID]],Table5[[#All],[PID]],0)))</f>
        <v/>
      </c>
      <c r="J343" t="str">
        <f>IF(DraftResults[[#This Row],[Player ID]]=0,"",INDEX(Table5[[#All],[First]],MATCH(DraftResults[[#This Row],[Player ID]],Table5[[#All],[PID]],0)))</f>
        <v/>
      </c>
      <c r="K343" t="str">
        <f>IF(DraftResults[[#This Row],[Player ID]]=0,"",INDEX(Table5[[#All],[Last]],MATCH(DraftResults[[#This Row],[Player ID]],Table5[[#All],[PID]],0)))</f>
        <v/>
      </c>
    </row>
    <row r="344" spans="1:11" x14ac:dyDescent="0.25">
      <c r="A344">
        <v>12</v>
      </c>
      <c r="B344">
        <v>0</v>
      </c>
      <c r="C344">
        <v>7</v>
      </c>
      <c r="D344" t="s">
        <v>588</v>
      </c>
      <c r="E344">
        <v>4</v>
      </c>
      <c r="F344">
        <v>0</v>
      </c>
      <c r="G344" t="s">
        <v>318</v>
      </c>
      <c r="H3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341</v>
      </c>
      <c r="I344" t="str">
        <f>IF(DraftResults[[#This Row],[Player ID]]=0,"",INDEX(Table5[[#All],[Pos]],MATCH(DraftResults[[#This Row],[Player ID]],Table5[[#All],[PID]],0)))</f>
        <v/>
      </c>
      <c r="J344" t="str">
        <f>IF(DraftResults[[#This Row],[Player ID]]=0,"",INDEX(Table5[[#All],[First]],MATCH(DraftResults[[#This Row],[Player ID]],Table5[[#All],[PID]],0)))</f>
        <v/>
      </c>
      <c r="K344" t="str">
        <f>IF(DraftResults[[#This Row],[Player ID]]=0,"",INDEX(Table5[[#All],[Last]],MATCH(DraftResults[[#This Row],[Player ID]],Table5[[#All],[PID]],0)))</f>
        <v/>
      </c>
    </row>
    <row r="345" spans="1:11" x14ac:dyDescent="0.25">
      <c r="A345">
        <v>12</v>
      </c>
      <c r="B345">
        <v>0</v>
      </c>
      <c r="C345">
        <v>8</v>
      </c>
      <c r="D345" t="s">
        <v>587</v>
      </c>
      <c r="E345">
        <v>7</v>
      </c>
      <c r="F345">
        <v>0</v>
      </c>
      <c r="G345" t="s">
        <v>318</v>
      </c>
      <c r="H3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342</v>
      </c>
      <c r="I345" t="str">
        <f>IF(DraftResults[[#This Row],[Player ID]]=0,"",INDEX(Table5[[#All],[Pos]],MATCH(DraftResults[[#This Row],[Player ID]],Table5[[#All],[PID]],0)))</f>
        <v/>
      </c>
      <c r="J345" t="str">
        <f>IF(DraftResults[[#This Row],[Player ID]]=0,"",INDEX(Table5[[#All],[First]],MATCH(DraftResults[[#This Row],[Player ID]],Table5[[#All],[PID]],0)))</f>
        <v/>
      </c>
      <c r="K345" t="str">
        <f>IF(DraftResults[[#This Row],[Player ID]]=0,"",INDEX(Table5[[#All],[Last]],MATCH(DraftResults[[#This Row],[Player ID]],Table5[[#All],[PID]],0)))</f>
        <v/>
      </c>
    </row>
    <row r="346" spans="1:11" x14ac:dyDescent="0.25">
      <c r="A346">
        <v>12</v>
      </c>
      <c r="B346">
        <v>0</v>
      </c>
      <c r="C346">
        <v>9</v>
      </c>
      <c r="D346" t="s">
        <v>246</v>
      </c>
      <c r="E346">
        <v>21</v>
      </c>
      <c r="F346">
        <v>0</v>
      </c>
      <c r="G346" t="s">
        <v>318</v>
      </c>
      <c r="H3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343</v>
      </c>
      <c r="I346" t="str">
        <f>IF(DraftResults[[#This Row],[Player ID]]=0,"",INDEX(Table5[[#All],[Pos]],MATCH(DraftResults[[#This Row],[Player ID]],Table5[[#All],[PID]],0)))</f>
        <v/>
      </c>
      <c r="J346" t="str">
        <f>IF(DraftResults[[#This Row],[Player ID]]=0,"",INDEX(Table5[[#All],[First]],MATCH(DraftResults[[#This Row],[Player ID]],Table5[[#All],[PID]],0)))</f>
        <v/>
      </c>
      <c r="K346" t="str">
        <f>IF(DraftResults[[#This Row],[Player ID]]=0,"",INDEX(Table5[[#All],[Last]],MATCH(DraftResults[[#This Row],[Player ID]],Table5[[#All],[PID]],0)))</f>
        <v/>
      </c>
    </row>
    <row r="347" spans="1:11" x14ac:dyDescent="0.25">
      <c r="A347">
        <v>12</v>
      </c>
      <c r="B347">
        <v>0</v>
      </c>
      <c r="C347">
        <v>10</v>
      </c>
      <c r="D347" t="s">
        <v>696</v>
      </c>
      <c r="E347">
        <v>13</v>
      </c>
      <c r="F347">
        <v>0</v>
      </c>
      <c r="G347" t="s">
        <v>318</v>
      </c>
      <c r="H3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344</v>
      </c>
      <c r="I347" t="str">
        <f>IF(DraftResults[[#This Row],[Player ID]]=0,"",INDEX(Table5[[#All],[Pos]],MATCH(DraftResults[[#This Row],[Player ID]],Table5[[#All],[PID]],0)))</f>
        <v/>
      </c>
      <c r="J347" t="str">
        <f>IF(DraftResults[[#This Row],[Player ID]]=0,"",INDEX(Table5[[#All],[First]],MATCH(DraftResults[[#This Row],[Player ID]],Table5[[#All],[PID]],0)))</f>
        <v/>
      </c>
      <c r="K347" t="str">
        <f>IF(DraftResults[[#This Row],[Player ID]]=0,"",INDEX(Table5[[#All],[Last]],MATCH(DraftResults[[#This Row],[Player ID]],Table5[[#All],[PID]],0)))</f>
        <v/>
      </c>
    </row>
    <row r="348" spans="1:11" x14ac:dyDescent="0.25">
      <c r="A348">
        <v>12</v>
      </c>
      <c r="B348">
        <v>0</v>
      </c>
      <c r="C348">
        <v>11</v>
      </c>
      <c r="D348" t="s">
        <v>251</v>
      </c>
      <c r="E348">
        <v>3</v>
      </c>
      <c r="F348">
        <v>0</v>
      </c>
      <c r="G348" t="s">
        <v>318</v>
      </c>
      <c r="H3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345</v>
      </c>
      <c r="I348" t="str">
        <f>IF(DraftResults[[#This Row],[Player ID]]=0,"",INDEX(Table5[[#All],[Pos]],MATCH(DraftResults[[#This Row],[Player ID]],Table5[[#All],[PID]],0)))</f>
        <v/>
      </c>
      <c r="J348" t="str">
        <f>IF(DraftResults[[#This Row],[Player ID]]=0,"",INDEX(Table5[[#All],[First]],MATCH(DraftResults[[#This Row],[Player ID]],Table5[[#All],[PID]],0)))</f>
        <v/>
      </c>
      <c r="K348" t="str">
        <f>IF(DraftResults[[#This Row],[Player ID]]=0,"",INDEX(Table5[[#All],[Last]],MATCH(DraftResults[[#This Row],[Player ID]],Table5[[#All],[PID]],0)))</f>
        <v/>
      </c>
    </row>
    <row r="349" spans="1:11" x14ac:dyDescent="0.25">
      <c r="A349">
        <v>12</v>
      </c>
      <c r="B349">
        <v>0</v>
      </c>
      <c r="C349">
        <v>12</v>
      </c>
      <c r="D349" t="s">
        <v>257</v>
      </c>
      <c r="E349">
        <v>8</v>
      </c>
      <c r="F349">
        <v>0</v>
      </c>
      <c r="G349" t="s">
        <v>318</v>
      </c>
      <c r="H3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346</v>
      </c>
      <c r="I349" t="str">
        <f>IF(DraftResults[[#This Row],[Player ID]]=0,"",INDEX(Table5[[#All],[Pos]],MATCH(DraftResults[[#This Row],[Player ID]],Table5[[#All],[PID]],0)))</f>
        <v/>
      </c>
      <c r="J349" t="str">
        <f>IF(DraftResults[[#This Row],[Player ID]]=0,"",INDEX(Table5[[#All],[First]],MATCH(DraftResults[[#This Row],[Player ID]],Table5[[#All],[PID]],0)))</f>
        <v/>
      </c>
      <c r="K349" t="str">
        <f>IF(DraftResults[[#This Row],[Player ID]]=0,"",INDEX(Table5[[#All],[Last]],MATCH(DraftResults[[#This Row],[Player ID]],Table5[[#All],[PID]],0)))</f>
        <v/>
      </c>
    </row>
    <row r="350" spans="1:11" x14ac:dyDescent="0.25">
      <c r="A350">
        <v>12</v>
      </c>
      <c r="B350">
        <v>0</v>
      </c>
      <c r="C350">
        <v>13</v>
      </c>
      <c r="D350" t="s">
        <v>262</v>
      </c>
      <c r="E350">
        <v>12</v>
      </c>
      <c r="F350">
        <v>0</v>
      </c>
      <c r="G350" t="s">
        <v>318</v>
      </c>
      <c r="H3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347</v>
      </c>
      <c r="I350" t="str">
        <f>IF(DraftResults[[#This Row],[Player ID]]=0,"",INDEX(Table5[[#All],[Pos]],MATCH(DraftResults[[#This Row],[Player ID]],Table5[[#All],[PID]],0)))</f>
        <v/>
      </c>
      <c r="J350" t="str">
        <f>IF(DraftResults[[#This Row],[Player ID]]=0,"",INDEX(Table5[[#All],[First]],MATCH(DraftResults[[#This Row],[Player ID]],Table5[[#All],[PID]],0)))</f>
        <v/>
      </c>
      <c r="K350" t="str">
        <f>IF(DraftResults[[#This Row],[Player ID]]=0,"",INDEX(Table5[[#All],[Last]],MATCH(DraftResults[[#This Row],[Player ID]],Table5[[#All],[PID]],0)))</f>
        <v/>
      </c>
    </row>
    <row r="351" spans="1:11" x14ac:dyDescent="0.25">
      <c r="A351">
        <v>12</v>
      </c>
      <c r="B351">
        <v>0</v>
      </c>
      <c r="C351">
        <v>14</v>
      </c>
      <c r="D351" t="s">
        <v>489</v>
      </c>
      <c r="E351">
        <v>18</v>
      </c>
      <c r="F351">
        <v>0</v>
      </c>
      <c r="G351" t="s">
        <v>318</v>
      </c>
      <c r="H3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348</v>
      </c>
      <c r="I351" t="str">
        <f>IF(DraftResults[[#This Row],[Player ID]]=0,"",INDEX(Table5[[#All],[Pos]],MATCH(DraftResults[[#This Row],[Player ID]],Table5[[#All],[PID]],0)))</f>
        <v/>
      </c>
      <c r="J351" t="str">
        <f>IF(DraftResults[[#This Row],[Player ID]]=0,"",INDEX(Table5[[#All],[First]],MATCH(DraftResults[[#This Row],[Player ID]],Table5[[#All],[PID]],0)))</f>
        <v/>
      </c>
      <c r="K351" t="str">
        <f>IF(DraftResults[[#This Row],[Player ID]]=0,"",INDEX(Table5[[#All],[Last]],MATCH(DraftResults[[#This Row],[Player ID]],Table5[[#All],[PID]],0)))</f>
        <v/>
      </c>
    </row>
    <row r="352" spans="1:11" x14ac:dyDescent="0.25">
      <c r="A352">
        <v>12</v>
      </c>
      <c r="B352">
        <v>0</v>
      </c>
      <c r="C352">
        <v>15</v>
      </c>
      <c r="D352" t="s">
        <v>250</v>
      </c>
      <c r="E352">
        <v>10</v>
      </c>
      <c r="F352">
        <v>0</v>
      </c>
      <c r="G352" t="s">
        <v>318</v>
      </c>
      <c r="H3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349</v>
      </c>
      <c r="I352" t="str">
        <f>IF(DraftResults[[#This Row],[Player ID]]=0,"",INDEX(Table5[[#All],[Pos]],MATCH(DraftResults[[#This Row],[Player ID]],Table5[[#All],[PID]],0)))</f>
        <v/>
      </c>
      <c r="J352" t="str">
        <f>IF(DraftResults[[#This Row],[Player ID]]=0,"",INDEX(Table5[[#All],[First]],MATCH(DraftResults[[#This Row],[Player ID]],Table5[[#All],[PID]],0)))</f>
        <v/>
      </c>
      <c r="K352" t="str">
        <f>IF(DraftResults[[#This Row],[Player ID]]=0,"",INDEX(Table5[[#All],[Last]],MATCH(DraftResults[[#This Row],[Player ID]],Table5[[#All],[PID]],0)))</f>
        <v/>
      </c>
    </row>
    <row r="353" spans="1:11" x14ac:dyDescent="0.25">
      <c r="A353">
        <v>12</v>
      </c>
      <c r="B353">
        <v>0</v>
      </c>
      <c r="C353">
        <v>16</v>
      </c>
      <c r="D353" t="s">
        <v>482</v>
      </c>
      <c r="E353">
        <v>162</v>
      </c>
      <c r="F353">
        <v>0</v>
      </c>
      <c r="G353" t="s">
        <v>318</v>
      </c>
      <c r="H3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350</v>
      </c>
      <c r="I353" t="str">
        <f>IF(DraftResults[[#This Row],[Player ID]]=0,"",INDEX(Table5[[#All],[Pos]],MATCH(DraftResults[[#This Row],[Player ID]],Table5[[#All],[PID]],0)))</f>
        <v/>
      </c>
      <c r="J353" t="str">
        <f>IF(DraftResults[[#This Row],[Player ID]]=0,"",INDEX(Table5[[#All],[First]],MATCH(DraftResults[[#This Row],[Player ID]],Table5[[#All],[PID]],0)))</f>
        <v/>
      </c>
      <c r="K353" t="str">
        <f>IF(DraftResults[[#This Row],[Player ID]]=0,"",INDEX(Table5[[#All],[Last]],MATCH(DraftResults[[#This Row],[Player ID]],Table5[[#All],[PID]],0)))</f>
        <v/>
      </c>
    </row>
    <row r="354" spans="1:11" x14ac:dyDescent="0.25">
      <c r="A354">
        <v>12</v>
      </c>
      <c r="B354">
        <v>0</v>
      </c>
      <c r="C354">
        <v>17</v>
      </c>
      <c r="D354" t="s">
        <v>483</v>
      </c>
      <c r="E354">
        <v>2</v>
      </c>
      <c r="F354">
        <v>0</v>
      </c>
      <c r="G354" t="s">
        <v>318</v>
      </c>
      <c r="H3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351</v>
      </c>
      <c r="I354" t="str">
        <f>IF(DraftResults[[#This Row],[Player ID]]=0,"",INDEX(Table5[[#All],[Pos]],MATCH(DraftResults[[#This Row],[Player ID]],Table5[[#All],[PID]],0)))</f>
        <v/>
      </c>
      <c r="J354" t="str">
        <f>IF(DraftResults[[#This Row],[Player ID]]=0,"",INDEX(Table5[[#All],[First]],MATCH(DraftResults[[#This Row],[Player ID]],Table5[[#All],[PID]],0)))</f>
        <v/>
      </c>
      <c r="K354" t="str">
        <f>IF(DraftResults[[#This Row],[Player ID]]=0,"",INDEX(Table5[[#All],[Last]],MATCH(DraftResults[[#This Row],[Player ID]],Table5[[#All],[PID]],0)))</f>
        <v/>
      </c>
    </row>
    <row r="355" spans="1:11" x14ac:dyDescent="0.25">
      <c r="A355">
        <v>12</v>
      </c>
      <c r="B355">
        <v>0</v>
      </c>
      <c r="C355">
        <v>18</v>
      </c>
      <c r="D355" t="s">
        <v>258</v>
      </c>
      <c r="E355">
        <v>16</v>
      </c>
      <c r="F355">
        <v>0</v>
      </c>
      <c r="G355" t="s">
        <v>318</v>
      </c>
      <c r="H3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352</v>
      </c>
      <c r="I355" t="str">
        <f>IF(DraftResults[[#This Row],[Player ID]]=0,"",INDEX(Table5[[#All],[Pos]],MATCH(DraftResults[[#This Row],[Player ID]],Table5[[#All],[PID]],0)))</f>
        <v/>
      </c>
      <c r="J355" t="str">
        <f>IF(DraftResults[[#This Row],[Player ID]]=0,"",INDEX(Table5[[#All],[First]],MATCH(DraftResults[[#This Row],[Player ID]],Table5[[#All],[PID]],0)))</f>
        <v/>
      </c>
      <c r="K355" t="str">
        <f>IF(DraftResults[[#This Row],[Player ID]]=0,"",INDEX(Table5[[#All],[Last]],MATCH(DraftResults[[#This Row],[Player ID]],Table5[[#All],[PID]],0)))</f>
        <v/>
      </c>
    </row>
    <row r="356" spans="1:11" x14ac:dyDescent="0.25">
      <c r="A356">
        <v>12</v>
      </c>
      <c r="B356">
        <v>0</v>
      </c>
      <c r="C356">
        <v>19</v>
      </c>
      <c r="D356" t="s">
        <v>490</v>
      </c>
      <c r="E356">
        <v>167</v>
      </c>
      <c r="F356">
        <v>0</v>
      </c>
      <c r="G356" t="s">
        <v>318</v>
      </c>
      <c r="H3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353</v>
      </c>
      <c r="I356" t="str">
        <f>IF(DraftResults[[#This Row],[Player ID]]=0,"",INDEX(Table5[[#All],[Pos]],MATCH(DraftResults[[#This Row],[Player ID]],Table5[[#All],[PID]],0)))</f>
        <v/>
      </c>
      <c r="J356" t="str">
        <f>IF(DraftResults[[#This Row],[Player ID]]=0,"",INDEX(Table5[[#All],[First]],MATCH(DraftResults[[#This Row],[Player ID]],Table5[[#All],[PID]],0)))</f>
        <v/>
      </c>
      <c r="K356" t="str">
        <f>IF(DraftResults[[#This Row],[Player ID]]=0,"",INDEX(Table5[[#All],[Last]],MATCH(DraftResults[[#This Row],[Player ID]],Table5[[#All],[PID]],0)))</f>
        <v/>
      </c>
    </row>
    <row r="357" spans="1:11" x14ac:dyDescent="0.25">
      <c r="A357">
        <v>12</v>
      </c>
      <c r="B357">
        <v>0</v>
      </c>
      <c r="C357">
        <v>20</v>
      </c>
      <c r="D357" t="s">
        <v>243</v>
      </c>
      <c r="E357">
        <v>19</v>
      </c>
      <c r="F357">
        <v>0</v>
      </c>
      <c r="G357" t="s">
        <v>318</v>
      </c>
      <c r="H3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354</v>
      </c>
      <c r="I357" t="str">
        <f>IF(DraftResults[[#This Row],[Player ID]]=0,"",INDEX(Table5[[#All],[Pos]],MATCH(DraftResults[[#This Row],[Player ID]],Table5[[#All],[PID]],0)))</f>
        <v/>
      </c>
      <c r="J357" t="str">
        <f>IF(DraftResults[[#This Row],[Player ID]]=0,"",INDEX(Table5[[#All],[First]],MATCH(DraftResults[[#This Row],[Player ID]],Table5[[#All],[PID]],0)))</f>
        <v/>
      </c>
      <c r="K357" t="str">
        <f>IF(DraftResults[[#This Row],[Player ID]]=0,"",INDEX(Table5[[#All],[Last]],MATCH(DraftResults[[#This Row],[Player ID]],Table5[[#All],[PID]],0)))</f>
        <v/>
      </c>
    </row>
    <row r="358" spans="1:11" x14ac:dyDescent="0.25">
      <c r="A358">
        <v>12</v>
      </c>
      <c r="B358">
        <v>0</v>
      </c>
      <c r="C358">
        <v>21</v>
      </c>
      <c r="D358" t="s">
        <v>487</v>
      </c>
      <c r="E358">
        <v>163</v>
      </c>
      <c r="F358">
        <v>0</v>
      </c>
      <c r="G358" t="s">
        <v>318</v>
      </c>
      <c r="H3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355</v>
      </c>
      <c r="I358" t="str">
        <f>IF(DraftResults[[#This Row],[Player ID]]=0,"",INDEX(Table5[[#All],[Pos]],MATCH(DraftResults[[#This Row],[Player ID]],Table5[[#All],[PID]],0)))</f>
        <v/>
      </c>
      <c r="J358" t="str">
        <f>IF(DraftResults[[#This Row],[Player ID]]=0,"",INDEX(Table5[[#All],[First]],MATCH(DraftResults[[#This Row],[Player ID]],Table5[[#All],[PID]],0)))</f>
        <v/>
      </c>
      <c r="K358" t="str">
        <f>IF(DraftResults[[#This Row],[Player ID]]=0,"",INDEX(Table5[[#All],[Last]],MATCH(DraftResults[[#This Row],[Player ID]],Table5[[#All],[PID]],0)))</f>
        <v/>
      </c>
    </row>
    <row r="359" spans="1:11" x14ac:dyDescent="0.25">
      <c r="A359">
        <v>12</v>
      </c>
      <c r="B359">
        <v>0</v>
      </c>
      <c r="C359">
        <v>22</v>
      </c>
      <c r="D359" t="s">
        <v>255</v>
      </c>
      <c r="E359">
        <v>20</v>
      </c>
      <c r="F359">
        <v>0</v>
      </c>
      <c r="G359" t="s">
        <v>318</v>
      </c>
      <c r="H3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356</v>
      </c>
      <c r="I359" t="str">
        <f>IF(DraftResults[[#This Row],[Player ID]]=0,"",INDEX(Table5[[#All],[Pos]],MATCH(DraftResults[[#This Row],[Player ID]],Table5[[#All],[PID]],0)))</f>
        <v/>
      </c>
      <c r="J359" t="str">
        <f>IF(DraftResults[[#This Row],[Player ID]]=0,"",INDEX(Table5[[#All],[First]],MATCH(DraftResults[[#This Row],[Player ID]],Table5[[#All],[PID]],0)))</f>
        <v/>
      </c>
      <c r="K359" t="str">
        <f>IF(DraftResults[[#This Row],[Player ID]]=0,"",INDEX(Table5[[#All],[Last]],MATCH(DraftResults[[#This Row],[Player ID]],Table5[[#All],[PID]],0)))</f>
        <v/>
      </c>
    </row>
    <row r="360" spans="1:11" x14ac:dyDescent="0.25">
      <c r="A360">
        <v>12</v>
      </c>
      <c r="B360">
        <v>0</v>
      </c>
      <c r="C360">
        <v>23</v>
      </c>
      <c r="D360" t="s">
        <v>485</v>
      </c>
      <c r="E360">
        <v>166</v>
      </c>
      <c r="F360">
        <v>0</v>
      </c>
      <c r="G360" t="s">
        <v>318</v>
      </c>
      <c r="H3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357</v>
      </c>
      <c r="I360" t="str">
        <f>IF(DraftResults[[#This Row],[Player ID]]=0,"",INDEX(Table5[[#All],[Pos]],MATCH(DraftResults[[#This Row],[Player ID]],Table5[[#All],[PID]],0)))</f>
        <v/>
      </c>
      <c r="J360" t="str">
        <f>IF(DraftResults[[#This Row],[Player ID]]=0,"",INDEX(Table5[[#All],[First]],MATCH(DraftResults[[#This Row],[Player ID]],Table5[[#All],[PID]],0)))</f>
        <v/>
      </c>
      <c r="K360" t="str">
        <f>IF(DraftResults[[#This Row],[Player ID]]=0,"",INDEX(Table5[[#All],[Last]],MATCH(DraftResults[[#This Row],[Player ID]],Table5[[#All],[PID]],0)))</f>
        <v/>
      </c>
    </row>
    <row r="361" spans="1:11" x14ac:dyDescent="0.25">
      <c r="A361">
        <v>12</v>
      </c>
      <c r="B361">
        <v>0</v>
      </c>
      <c r="C361">
        <v>24</v>
      </c>
      <c r="D361" t="s">
        <v>244</v>
      </c>
      <c r="E361">
        <v>22</v>
      </c>
      <c r="F361">
        <v>0</v>
      </c>
      <c r="G361" t="s">
        <v>318</v>
      </c>
      <c r="H3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358</v>
      </c>
      <c r="I361" t="str">
        <f>IF(DraftResults[[#This Row],[Player ID]]=0,"",INDEX(Table5[[#All],[Pos]],MATCH(DraftResults[[#This Row],[Player ID]],Table5[[#All],[PID]],0)))</f>
        <v/>
      </c>
      <c r="J361" t="str">
        <f>IF(DraftResults[[#This Row],[Player ID]]=0,"",INDEX(Table5[[#All],[First]],MATCH(DraftResults[[#This Row],[Player ID]],Table5[[#All],[PID]],0)))</f>
        <v/>
      </c>
      <c r="K361" t="str">
        <f>IF(DraftResults[[#This Row],[Player ID]]=0,"",INDEX(Table5[[#All],[Last]],MATCH(DraftResults[[#This Row],[Player ID]],Table5[[#All],[PID]],0)))</f>
        <v/>
      </c>
    </row>
    <row r="362" spans="1:11" ht="15.75" customHeight="1" x14ac:dyDescent="0.25">
      <c r="A362">
        <v>12</v>
      </c>
      <c r="B362">
        <v>0</v>
      </c>
      <c r="C362">
        <v>25</v>
      </c>
      <c r="D362" t="s">
        <v>253</v>
      </c>
      <c r="E362">
        <v>14</v>
      </c>
      <c r="F362">
        <v>0</v>
      </c>
      <c r="G362" t="s">
        <v>318</v>
      </c>
      <c r="H3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359</v>
      </c>
      <c r="I362" t="str">
        <f>IF(DraftResults[[#This Row],[Player ID]]=0,"",INDEX(Table5[[#All],[Pos]],MATCH(DraftResults[[#This Row],[Player ID]],Table5[[#All],[PID]],0)))</f>
        <v/>
      </c>
      <c r="J362" t="str">
        <f>IF(DraftResults[[#This Row],[Player ID]]=0,"",INDEX(Table5[[#All],[First]],MATCH(DraftResults[[#This Row],[Player ID]],Table5[[#All],[PID]],0)))</f>
        <v/>
      </c>
      <c r="K362" t="str">
        <f>IF(DraftResults[[#This Row],[Player ID]]=0,"",INDEX(Table5[[#All],[Last]],MATCH(DraftResults[[#This Row],[Player ID]],Table5[[#All],[PID]],0)))</f>
        <v/>
      </c>
    </row>
    <row r="363" spans="1:11" x14ac:dyDescent="0.25">
      <c r="A363">
        <v>12</v>
      </c>
      <c r="B363">
        <v>0</v>
      </c>
      <c r="C363">
        <v>26</v>
      </c>
      <c r="D363" t="s">
        <v>694</v>
      </c>
      <c r="E363">
        <v>24</v>
      </c>
      <c r="F363">
        <v>0</v>
      </c>
      <c r="G363" t="s">
        <v>318</v>
      </c>
      <c r="H3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360</v>
      </c>
      <c r="I363" t="str">
        <f>IF(DraftResults[[#This Row],[Player ID]]=0,"",INDEX(Table5[[#All],[Pos]],MATCH(DraftResults[[#This Row],[Player ID]],Table5[[#All],[PID]],0)))</f>
        <v/>
      </c>
      <c r="J363" t="str">
        <f>IF(DraftResults[[#This Row],[Player ID]]=0,"",INDEX(Table5[[#All],[First]],MATCH(DraftResults[[#This Row],[Player ID]],Table5[[#All],[PID]],0)))</f>
        <v/>
      </c>
      <c r="K363" t="str">
        <f>IF(DraftResults[[#This Row],[Player ID]]=0,"",INDEX(Table5[[#All],[Last]],MATCH(DraftResults[[#This Row],[Player ID]],Table5[[#All],[PID]],0)))</f>
        <v/>
      </c>
    </row>
    <row r="364" spans="1:11" x14ac:dyDescent="0.25">
      <c r="A364">
        <v>12</v>
      </c>
      <c r="B364">
        <v>0</v>
      </c>
      <c r="C364">
        <v>27</v>
      </c>
      <c r="D364" t="s">
        <v>247</v>
      </c>
      <c r="E364">
        <v>17</v>
      </c>
      <c r="F364">
        <v>0</v>
      </c>
      <c r="G364" t="s">
        <v>318</v>
      </c>
      <c r="H3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361</v>
      </c>
      <c r="I364" t="str">
        <f>IF(DraftResults[[#This Row],[Player ID]]=0,"",INDEX(Table5[[#All],[Pos]],MATCH(DraftResults[[#This Row],[Player ID]],Table5[[#All],[PID]],0)))</f>
        <v/>
      </c>
      <c r="J364" t="str">
        <f>IF(DraftResults[[#This Row],[Player ID]]=0,"",INDEX(Table5[[#All],[First]],MATCH(DraftResults[[#This Row],[Player ID]],Table5[[#All],[PID]],0)))</f>
        <v/>
      </c>
      <c r="K364" t="str">
        <f>IF(DraftResults[[#This Row],[Player ID]]=0,"",INDEX(Table5[[#All],[Last]],MATCH(DraftResults[[#This Row],[Player ID]],Table5[[#All],[PID]],0)))</f>
        <v/>
      </c>
    </row>
    <row r="365" spans="1:11" x14ac:dyDescent="0.25">
      <c r="A365">
        <v>12</v>
      </c>
      <c r="B365">
        <v>0</v>
      </c>
      <c r="C365">
        <v>28</v>
      </c>
      <c r="D365" t="s">
        <v>698</v>
      </c>
      <c r="E365">
        <v>9</v>
      </c>
      <c r="F365">
        <v>0</v>
      </c>
      <c r="G365" t="s">
        <v>318</v>
      </c>
      <c r="H3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362</v>
      </c>
      <c r="I365" t="str">
        <f>IF(DraftResults[[#This Row],[Player ID]]=0,"",INDEX(Table5[[#All],[Pos]],MATCH(DraftResults[[#This Row],[Player ID]],Table5[[#All],[PID]],0)))</f>
        <v/>
      </c>
      <c r="J365" t="str">
        <f>IF(DraftResults[[#This Row],[Player ID]]=0,"",INDEX(Table5[[#All],[First]],MATCH(DraftResults[[#This Row],[Player ID]],Table5[[#All],[PID]],0)))</f>
        <v/>
      </c>
      <c r="K365" t="str">
        <f>IF(DraftResults[[#This Row],[Player ID]]=0,"",INDEX(Table5[[#All],[Last]],MATCH(DraftResults[[#This Row],[Player ID]],Table5[[#All],[PID]],0)))</f>
        <v/>
      </c>
    </row>
    <row r="366" spans="1:11" x14ac:dyDescent="0.25">
      <c r="A366">
        <v>12</v>
      </c>
      <c r="B366">
        <v>0</v>
      </c>
      <c r="C366">
        <v>29</v>
      </c>
      <c r="D366" t="s">
        <v>486</v>
      </c>
      <c r="E366">
        <v>159</v>
      </c>
      <c r="F366">
        <v>0</v>
      </c>
      <c r="G366" t="s">
        <v>318</v>
      </c>
      <c r="H3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363</v>
      </c>
      <c r="I366" t="str">
        <f>IF(DraftResults[[#This Row],[Player ID]]=0,"",INDEX(Table5[[#All],[Pos]],MATCH(DraftResults[[#This Row],[Player ID]],Table5[[#All],[PID]],0)))</f>
        <v/>
      </c>
      <c r="J366" t="str">
        <f>IF(DraftResults[[#This Row],[Player ID]]=0,"",INDEX(Table5[[#All],[First]],MATCH(DraftResults[[#This Row],[Player ID]],Table5[[#All],[PID]],0)))</f>
        <v/>
      </c>
      <c r="K366" t="str">
        <f>IF(DraftResults[[#This Row],[Player ID]]=0,"",INDEX(Table5[[#All],[Last]],MATCH(DraftResults[[#This Row],[Player ID]],Table5[[#All],[PID]],0)))</f>
        <v/>
      </c>
    </row>
    <row r="367" spans="1:11" x14ac:dyDescent="0.25">
      <c r="A367">
        <v>12</v>
      </c>
      <c r="B367">
        <v>0</v>
      </c>
      <c r="C367">
        <v>30</v>
      </c>
      <c r="D367" t="s">
        <v>694</v>
      </c>
      <c r="E367">
        <v>24</v>
      </c>
      <c r="F367">
        <v>0</v>
      </c>
      <c r="G367" t="s">
        <v>318</v>
      </c>
      <c r="H3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364</v>
      </c>
      <c r="I367" t="str">
        <f>IF(DraftResults[[#This Row],[Player ID]]=0,"",INDEX(Table5[[#All],[Pos]],MATCH(DraftResults[[#This Row],[Player ID]],Table5[[#All],[PID]],0)))</f>
        <v/>
      </c>
      <c r="J367" t="str">
        <f>IF(DraftResults[[#This Row],[Player ID]]=0,"",INDEX(Table5[[#All],[First]],MATCH(DraftResults[[#This Row],[Player ID]],Table5[[#All],[PID]],0)))</f>
        <v/>
      </c>
      <c r="K367" t="str">
        <f>IF(DraftResults[[#This Row],[Player ID]]=0,"",INDEX(Table5[[#All],[Last]],MATCH(DraftResults[[#This Row],[Player ID]],Table5[[#All],[PID]],0)))</f>
        <v/>
      </c>
    </row>
    <row r="368" spans="1:11" x14ac:dyDescent="0.25">
      <c r="A368">
        <v>13</v>
      </c>
      <c r="B368">
        <v>0</v>
      </c>
      <c r="C368">
        <v>1</v>
      </c>
      <c r="D368" t="s">
        <v>695</v>
      </c>
      <c r="E368">
        <v>160</v>
      </c>
      <c r="F368">
        <v>0</v>
      </c>
      <c r="G368" t="s">
        <v>318</v>
      </c>
      <c r="H3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365</v>
      </c>
      <c r="I368" t="str">
        <f>IF(DraftResults[[#This Row],[Player ID]]=0,"",INDEX(Table5[[#All],[Pos]],MATCH(DraftResults[[#This Row],[Player ID]],Table5[[#All],[PID]],0)))</f>
        <v/>
      </c>
      <c r="J368" t="str">
        <f>IF(DraftResults[[#This Row],[Player ID]]=0,"",INDEX(Table5[[#All],[First]],MATCH(DraftResults[[#This Row],[Player ID]],Table5[[#All],[PID]],0)))</f>
        <v/>
      </c>
      <c r="K368" t="str">
        <f>IF(DraftResults[[#This Row],[Player ID]]=0,"",INDEX(Table5[[#All],[Last]],MATCH(DraftResults[[#This Row],[Player ID]],Table5[[#All],[PID]],0)))</f>
        <v/>
      </c>
    </row>
    <row r="369" spans="1:11" x14ac:dyDescent="0.25">
      <c r="A369">
        <v>13</v>
      </c>
      <c r="B369">
        <v>0</v>
      </c>
      <c r="C369">
        <v>2</v>
      </c>
      <c r="D369" t="s">
        <v>694</v>
      </c>
      <c r="E369">
        <v>24</v>
      </c>
      <c r="F369">
        <v>0</v>
      </c>
      <c r="G369" t="s">
        <v>318</v>
      </c>
      <c r="H3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366</v>
      </c>
      <c r="I369" t="str">
        <f>IF(DraftResults[[#This Row],[Player ID]]=0,"",INDEX(Table5[[#All],[Pos]],MATCH(DraftResults[[#This Row],[Player ID]],Table5[[#All],[PID]],0)))</f>
        <v/>
      </c>
      <c r="J369" t="str">
        <f>IF(DraftResults[[#This Row],[Player ID]]=0,"",INDEX(Table5[[#All],[First]],MATCH(DraftResults[[#This Row],[Player ID]],Table5[[#All],[PID]],0)))</f>
        <v/>
      </c>
      <c r="K369" t="str">
        <f>IF(DraftResults[[#This Row],[Player ID]]=0,"",INDEX(Table5[[#All],[Last]],MATCH(DraftResults[[#This Row],[Player ID]],Table5[[#All],[PID]],0)))</f>
        <v/>
      </c>
    </row>
    <row r="370" spans="1:11" x14ac:dyDescent="0.25">
      <c r="A370">
        <v>13</v>
      </c>
      <c r="B370">
        <v>0</v>
      </c>
      <c r="C370">
        <v>3</v>
      </c>
      <c r="D370" t="s">
        <v>697</v>
      </c>
      <c r="E370">
        <v>23</v>
      </c>
      <c r="F370">
        <v>0</v>
      </c>
      <c r="G370" t="s">
        <v>318</v>
      </c>
      <c r="H3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367</v>
      </c>
      <c r="I370" t="str">
        <f>IF(DraftResults[[#This Row],[Player ID]]=0,"",INDEX(Table5[[#All],[Pos]],MATCH(DraftResults[[#This Row],[Player ID]],Table5[[#All],[PID]],0)))</f>
        <v/>
      </c>
      <c r="J370" t="str">
        <f>IF(DraftResults[[#This Row],[Player ID]]=0,"",INDEX(Table5[[#All],[First]],MATCH(DraftResults[[#This Row],[Player ID]],Table5[[#All],[PID]],0)))</f>
        <v/>
      </c>
      <c r="K370" t="str">
        <f>IF(DraftResults[[#This Row],[Player ID]]=0,"",INDEX(Table5[[#All],[Last]],MATCH(DraftResults[[#This Row],[Player ID]],Table5[[#All],[PID]],0)))</f>
        <v/>
      </c>
    </row>
    <row r="371" spans="1:11" x14ac:dyDescent="0.25">
      <c r="A371">
        <v>13</v>
      </c>
      <c r="B371">
        <v>0</v>
      </c>
      <c r="C371">
        <v>4</v>
      </c>
      <c r="D371" t="s">
        <v>252</v>
      </c>
      <c r="E371">
        <v>1</v>
      </c>
      <c r="F371">
        <v>0</v>
      </c>
      <c r="G371" t="s">
        <v>318</v>
      </c>
      <c r="H3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368</v>
      </c>
      <c r="I371" t="str">
        <f>IF(DraftResults[[#This Row],[Player ID]]=0,"",INDEX(Table5[[#All],[Pos]],MATCH(DraftResults[[#This Row],[Player ID]],Table5[[#All],[PID]],0)))</f>
        <v/>
      </c>
      <c r="J371" t="str">
        <f>IF(DraftResults[[#This Row],[Player ID]]=0,"",INDEX(Table5[[#All],[First]],MATCH(DraftResults[[#This Row],[Player ID]],Table5[[#All],[PID]],0)))</f>
        <v/>
      </c>
      <c r="K371" t="str">
        <f>IF(DraftResults[[#This Row],[Player ID]]=0,"",INDEX(Table5[[#All],[Last]],MATCH(DraftResults[[#This Row],[Player ID]],Table5[[#All],[PID]],0)))</f>
        <v/>
      </c>
    </row>
    <row r="372" spans="1:11" x14ac:dyDescent="0.25">
      <c r="A372">
        <v>13</v>
      </c>
      <c r="B372">
        <v>0</v>
      </c>
      <c r="C372">
        <v>5</v>
      </c>
      <c r="D372" t="s">
        <v>484</v>
      </c>
      <c r="E372">
        <v>164</v>
      </c>
      <c r="F372">
        <v>0</v>
      </c>
      <c r="G372" t="s">
        <v>318</v>
      </c>
      <c r="H3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369</v>
      </c>
      <c r="I372" t="str">
        <f>IF(DraftResults[[#This Row],[Player ID]]=0,"",INDEX(Table5[[#All],[Pos]],MATCH(DraftResults[[#This Row],[Player ID]],Table5[[#All],[PID]],0)))</f>
        <v/>
      </c>
      <c r="J372" t="str">
        <f>IF(DraftResults[[#This Row],[Player ID]]=0,"",INDEX(Table5[[#All],[First]],MATCH(DraftResults[[#This Row],[Player ID]],Table5[[#All],[PID]],0)))</f>
        <v/>
      </c>
      <c r="K372" t="str">
        <f>IF(DraftResults[[#This Row],[Player ID]]=0,"",INDEX(Table5[[#All],[Last]],MATCH(DraftResults[[#This Row],[Player ID]],Table5[[#All],[PID]],0)))</f>
        <v/>
      </c>
    </row>
    <row r="373" spans="1:11" x14ac:dyDescent="0.25">
      <c r="A373">
        <v>13</v>
      </c>
      <c r="B373">
        <v>0</v>
      </c>
      <c r="C373">
        <v>6</v>
      </c>
      <c r="D373" t="s">
        <v>254</v>
      </c>
      <c r="E373">
        <v>15</v>
      </c>
      <c r="F373">
        <v>0</v>
      </c>
      <c r="G373" t="s">
        <v>318</v>
      </c>
      <c r="H3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370</v>
      </c>
      <c r="I373" t="str">
        <f>IF(DraftResults[[#This Row],[Player ID]]=0,"",INDEX(Table5[[#All],[Pos]],MATCH(DraftResults[[#This Row],[Player ID]],Table5[[#All],[PID]],0)))</f>
        <v/>
      </c>
      <c r="J373" t="str">
        <f>IF(DraftResults[[#This Row],[Player ID]]=0,"",INDEX(Table5[[#All],[First]],MATCH(DraftResults[[#This Row],[Player ID]],Table5[[#All],[PID]],0)))</f>
        <v/>
      </c>
      <c r="K373" t="str">
        <f>IF(DraftResults[[#This Row],[Player ID]]=0,"",INDEX(Table5[[#All],[Last]],MATCH(DraftResults[[#This Row],[Player ID]],Table5[[#All],[PID]],0)))</f>
        <v/>
      </c>
    </row>
    <row r="374" spans="1:11" x14ac:dyDescent="0.25">
      <c r="A374">
        <v>13</v>
      </c>
      <c r="B374">
        <v>0</v>
      </c>
      <c r="C374">
        <v>7</v>
      </c>
      <c r="D374" t="s">
        <v>588</v>
      </c>
      <c r="E374">
        <v>4</v>
      </c>
      <c r="F374">
        <v>0</v>
      </c>
      <c r="G374" t="s">
        <v>318</v>
      </c>
      <c r="H3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371</v>
      </c>
      <c r="I374" t="str">
        <f>IF(DraftResults[[#This Row],[Player ID]]=0,"",INDEX(Table5[[#All],[Pos]],MATCH(DraftResults[[#This Row],[Player ID]],Table5[[#All],[PID]],0)))</f>
        <v/>
      </c>
      <c r="J374" t="str">
        <f>IF(DraftResults[[#This Row],[Player ID]]=0,"",INDEX(Table5[[#All],[First]],MATCH(DraftResults[[#This Row],[Player ID]],Table5[[#All],[PID]],0)))</f>
        <v/>
      </c>
      <c r="K374" t="str">
        <f>IF(DraftResults[[#This Row],[Player ID]]=0,"",INDEX(Table5[[#All],[Last]],MATCH(DraftResults[[#This Row],[Player ID]],Table5[[#All],[PID]],0)))</f>
        <v/>
      </c>
    </row>
    <row r="375" spans="1:11" x14ac:dyDescent="0.25">
      <c r="A375">
        <v>13</v>
      </c>
      <c r="B375">
        <v>0</v>
      </c>
      <c r="C375">
        <v>8</v>
      </c>
      <c r="D375" t="s">
        <v>587</v>
      </c>
      <c r="E375">
        <v>7</v>
      </c>
      <c r="F375">
        <v>0</v>
      </c>
      <c r="G375" t="s">
        <v>318</v>
      </c>
      <c r="H3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372</v>
      </c>
      <c r="I375" t="str">
        <f>IF(DraftResults[[#This Row],[Player ID]]=0,"",INDEX(Table5[[#All],[Pos]],MATCH(DraftResults[[#This Row],[Player ID]],Table5[[#All],[PID]],0)))</f>
        <v/>
      </c>
      <c r="J375" t="str">
        <f>IF(DraftResults[[#This Row],[Player ID]]=0,"",INDEX(Table5[[#All],[First]],MATCH(DraftResults[[#This Row],[Player ID]],Table5[[#All],[PID]],0)))</f>
        <v/>
      </c>
      <c r="K375" t="str">
        <f>IF(DraftResults[[#This Row],[Player ID]]=0,"",INDEX(Table5[[#All],[Last]],MATCH(DraftResults[[#This Row],[Player ID]],Table5[[#All],[PID]],0)))</f>
        <v/>
      </c>
    </row>
    <row r="376" spans="1:11" x14ac:dyDescent="0.25">
      <c r="A376">
        <v>13</v>
      </c>
      <c r="B376">
        <v>0</v>
      </c>
      <c r="C376">
        <v>9</v>
      </c>
      <c r="D376" t="s">
        <v>246</v>
      </c>
      <c r="E376">
        <v>21</v>
      </c>
      <c r="F376">
        <v>0</v>
      </c>
      <c r="G376" t="s">
        <v>318</v>
      </c>
      <c r="H3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373</v>
      </c>
      <c r="I376" t="str">
        <f>IF(DraftResults[[#This Row],[Player ID]]=0,"",INDEX(Table5[[#All],[Pos]],MATCH(DraftResults[[#This Row],[Player ID]],Table5[[#All],[PID]],0)))</f>
        <v/>
      </c>
      <c r="J376" t="str">
        <f>IF(DraftResults[[#This Row],[Player ID]]=0,"",INDEX(Table5[[#All],[First]],MATCH(DraftResults[[#This Row],[Player ID]],Table5[[#All],[PID]],0)))</f>
        <v/>
      </c>
      <c r="K376" t="str">
        <f>IF(DraftResults[[#This Row],[Player ID]]=0,"",INDEX(Table5[[#All],[Last]],MATCH(DraftResults[[#This Row],[Player ID]],Table5[[#All],[PID]],0)))</f>
        <v/>
      </c>
    </row>
    <row r="377" spans="1:11" x14ac:dyDescent="0.25">
      <c r="A377">
        <v>13</v>
      </c>
      <c r="B377">
        <v>0</v>
      </c>
      <c r="C377">
        <v>10</v>
      </c>
      <c r="D377" t="s">
        <v>696</v>
      </c>
      <c r="E377">
        <v>13</v>
      </c>
      <c r="F377">
        <v>0</v>
      </c>
      <c r="G377" t="s">
        <v>318</v>
      </c>
      <c r="H3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374</v>
      </c>
      <c r="I377" t="str">
        <f>IF(DraftResults[[#This Row],[Player ID]]=0,"",INDEX(Table5[[#All],[Pos]],MATCH(DraftResults[[#This Row],[Player ID]],Table5[[#All],[PID]],0)))</f>
        <v/>
      </c>
      <c r="J377" t="str">
        <f>IF(DraftResults[[#This Row],[Player ID]]=0,"",INDEX(Table5[[#All],[First]],MATCH(DraftResults[[#This Row],[Player ID]],Table5[[#All],[PID]],0)))</f>
        <v/>
      </c>
      <c r="K377" t="str">
        <f>IF(DraftResults[[#This Row],[Player ID]]=0,"",INDEX(Table5[[#All],[Last]],MATCH(DraftResults[[#This Row],[Player ID]],Table5[[#All],[PID]],0)))</f>
        <v/>
      </c>
    </row>
    <row r="378" spans="1:11" x14ac:dyDescent="0.25">
      <c r="A378">
        <v>13</v>
      </c>
      <c r="B378">
        <v>0</v>
      </c>
      <c r="C378">
        <v>11</v>
      </c>
      <c r="D378" t="s">
        <v>251</v>
      </c>
      <c r="E378">
        <v>3</v>
      </c>
      <c r="F378">
        <v>0</v>
      </c>
      <c r="G378" t="s">
        <v>318</v>
      </c>
      <c r="H3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375</v>
      </c>
      <c r="I378" t="str">
        <f>IF(DraftResults[[#This Row],[Player ID]]=0,"",INDEX(Table5[[#All],[Pos]],MATCH(DraftResults[[#This Row],[Player ID]],Table5[[#All],[PID]],0)))</f>
        <v/>
      </c>
      <c r="J378" t="str">
        <f>IF(DraftResults[[#This Row],[Player ID]]=0,"",INDEX(Table5[[#All],[First]],MATCH(DraftResults[[#This Row],[Player ID]],Table5[[#All],[PID]],0)))</f>
        <v/>
      </c>
      <c r="K378" t="str">
        <f>IF(DraftResults[[#This Row],[Player ID]]=0,"",INDEX(Table5[[#All],[Last]],MATCH(DraftResults[[#This Row],[Player ID]],Table5[[#All],[PID]],0)))</f>
        <v/>
      </c>
    </row>
    <row r="379" spans="1:11" x14ac:dyDescent="0.25">
      <c r="A379">
        <v>13</v>
      </c>
      <c r="B379">
        <v>0</v>
      </c>
      <c r="C379">
        <v>12</v>
      </c>
      <c r="D379" t="s">
        <v>257</v>
      </c>
      <c r="E379">
        <v>8</v>
      </c>
      <c r="F379">
        <v>0</v>
      </c>
      <c r="G379" t="s">
        <v>318</v>
      </c>
      <c r="H3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376</v>
      </c>
      <c r="I379" t="str">
        <f>IF(DraftResults[[#This Row],[Player ID]]=0,"",INDEX(Table5[[#All],[Pos]],MATCH(DraftResults[[#This Row],[Player ID]],Table5[[#All],[PID]],0)))</f>
        <v/>
      </c>
      <c r="J379" t="str">
        <f>IF(DraftResults[[#This Row],[Player ID]]=0,"",INDEX(Table5[[#All],[First]],MATCH(DraftResults[[#This Row],[Player ID]],Table5[[#All],[PID]],0)))</f>
        <v/>
      </c>
      <c r="K379" t="str">
        <f>IF(DraftResults[[#This Row],[Player ID]]=0,"",INDEX(Table5[[#All],[Last]],MATCH(DraftResults[[#This Row],[Player ID]],Table5[[#All],[PID]],0)))</f>
        <v/>
      </c>
    </row>
    <row r="380" spans="1:11" x14ac:dyDescent="0.25">
      <c r="A380">
        <v>13</v>
      </c>
      <c r="B380">
        <v>0</v>
      </c>
      <c r="C380">
        <v>13</v>
      </c>
      <c r="D380" t="s">
        <v>262</v>
      </c>
      <c r="E380">
        <v>12</v>
      </c>
      <c r="F380">
        <v>0</v>
      </c>
      <c r="G380" t="s">
        <v>318</v>
      </c>
      <c r="H3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377</v>
      </c>
      <c r="I380" t="str">
        <f>IF(DraftResults[[#This Row],[Player ID]]=0,"",INDEX(Table5[[#All],[Pos]],MATCH(DraftResults[[#This Row],[Player ID]],Table5[[#All],[PID]],0)))</f>
        <v/>
      </c>
      <c r="J380" t="str">
        <f>IF(DraftResults[[#This Row],[Player ID]]=0,"",INDEX(Table5[[#All],[First]],MATCH(DraftResults[[#This Row],[Player ID]],Table5[[#All],[PID]],0)))</f>
        <v/>
      </c>
      <c r="K380" t="str">
        <f>IF(DraftResults[[#This Row],[Player ID]]=0,"",INDEX(Table5[[#All],[Last]],MATCH(DraftResults[[#This Row],[Player ID]],Table5[[#All],[PID]],0)))</f>
        <v/>
      </c>
    </row>
    <row r="381" spans="1:11" x14ac:dyDescent="0.25">
      <c r="A381">
        <v>13</v>
      </c>
      <c r="B381">
        <v>0</v>
      </c>
      <c r="C381">
        <v>14</v>
      </c>
      <c r="D381" t="s">
        <v>489</v>
      </c>
      <c r="E381">
        <v>18</v>
      </c>
      <c r="F381">
        <v>0</v>
      </c>
      <c r="G381" t="s">
        <v>318</v>
      </c>
      <c r="H3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378</v>
      </c>
      <c r="I381" t="str">
        <f>IF(DraftResults[[#This Row],[Player ID]]=0,"",INDEX(Table5[[#All],[Pos]],MATCH(DraftResults[[#This Row],[Player ID]],Table5[[#All],[PID]],0)))</f>
        <v/>
      </c>
      <c r="J381" t="str">
        <f>IF(DraftResults[[#This Row],[Player ID]]=0,"",INDEX(Table5[[#All],[First]],MATCH(DraftResults[[#This Row],[Player ID]],Table5[[#All],[PID]],0)))</f>
        <v/>
      </c>
      <c r="K381" t="str">
        <f>IF(DraftResults[[#This Row],[Player ID]]=0,"",INDEX(Table5[[#All],[Last]],MATCH(DraftResults[[#This Row],[Player ID]],Table5[[#All],[PID]],0)))</f>
        <v/>
      </c>
    </row>
    <row r="382" spans="1:11" x14ac:dyDescent="0.25">
      <c r="A382">
        <v>13</v>
      </c>
      <c r="B382">
        <v>0</v>
      </c>
      <c r="C382">
        <v>15</v>
      </c>
      <c r="D382" t="s">
        <v>250</v>
      </c>
      <c r="E382">
        <v>10</v>
      </c>
      <c r="F382">
        <v>0</v>
      </c>
      <c r="G382" t="s">
        <v>318</v>
      </c>
      <c r="H3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379</v>
      </c>
      <c r="I382" t="str">
        <f>IF(DraftResults[[#This Row],[Player ID]]=0,"",INDEX(Table5[[#All],[Pos]],MATCH(DraftResults[[#This Row],[Player ID]],Table5[[#All],[PID]],0)))</f>
        <v/>
      </c>
      <c r="J382" t="str">
        <f>IF(DraftResults[[#This Row],[Player ID]]=0,"",INDEX(Table5[[#All],[First]],MATCH(DraftResults[[#This Row],[Player ID]],Table5[[#All],[PID]],0)))</f>
        <v/>
      </c>
      <c r="K382" t="str">
        <f>IF(DraftResults[[#This Row],[Player ID]]=0,"",INDEX(Table5[[#All],[Last]],MATCH(DraftResults[[#This Row],[Player ID]],Table5[[#All],[PID]],0)))</f>
        <v/>
      </c>
    </row>
    <row r="383" spans="1:11" x14ac:dyDescent="0.25">
      <c r="A383">
        <v>13</v>
      </c>
      <c r="B383">
        <v>0</v>
      </c>
      <c r="C383">
        <v>16</v>
      </c>
      <c r="D383" t="s">
        <v>482</v>
      </c>
      <c r="E383">
        <v>162</v>
      </c>
      <c r="F383">
        <v>0</v>
      </c>
      <c r="G383" t="s">
        <v>318</v>
      </c>
      <c r="H3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380</v>
      </c>
      <c r="I383" t="str">
        <f>IF(DraftResults[[#This Row],[Player ID]]=0,"",INDEX(Table5[[#All],[Pos]],MATCH(DraftResults[[#This Row],[Player ID]],Table5[[#All],[PID]],0)))</f>
        <v/>
      </c>
      <c r="J383" t="str">
        <f>IF(DraftResults[[#This Row],[Player ID]]=0,"",INDEX(Table5[[#All],[First]],MATCH(DraftResults[[#This Row],[Player ID]],Table5[[#All],[PID]],0)))</f>
        <v/>
      </c>
      <c r="K383" t="str">
        <f>IF(DraftResults[[#This Row],[Player ID]]=0,"",INDEX(Table5[[#All],[Last]],MATCH(DraftResults[[#This Row],[Player ID]],Table5[[#All],[PID]],0)))</f>
        <v/>
      </c>
    </row>
    <row r="384" spans="1:11" x14ac:dyDescent="0.25">
      <c r="A384">
        <v>13</v>
      </c>
      <c r="B384">
        <v>0</v>
      </c>
      <c r="C384">
        <v>17</v>
      </c>
      <c r="D384" t="s">
        <v>483</v>
      </c>
      <c r="E384">
        <v>2</v>
      </c>
      <c r="F384">
        <v>0</v>
      </c>
      <c r="G384" t="s">
        <v>318</v>
      </c>
      <c r="H3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381</v>
      </c>
      <c r="I384" t="str">
        <f>IF(DraftResults[[#This Row],[Player ID]]=0,"",INDEX(Table5[[#All],[Pos]],MATCH(DraftResults[[#This Row],[Player ID]],Table5[[#All],[PID]],0)))</f>
        <v/>
      </c>
      <c r="J384" t="str">
        <f>IF(DraftResults[[#This Row],[Player ID]]=0,"",INDEX(Table5[[#All],[First]],MATCH(DraftResults[[#This Row],[Player ID]],Table5[[#All],[PID]],0)))</f>
        <v/>
      </c>
      <c r="K384" t="str">
        <f>IF(DraftResults[[#This Row],[Player ID]]=0,"",INDEX(Table5[[#All],[Last]],MATCH(DraftResults[[#This Row],[Player ID]],Table5[[#All],[PID]],0)))</f>
        <v/>
      </c>
    </row>
    <row r="385" spans="1:11" x14ac:dyDescent="0.25">
      <c r="A385">
        <v>13</v>
      </c>
      <c r="B385">
        <v>0</v>
      </c>
      <c r="C385">
        <v>18</v>
      </c>
      <c r="D385" t="s">
        <v>258</v>
      </c>
      <c r="E385">
        <v>16</v>
      </c>
      <c r="F385">
        <v>0</v>
      </c>
      <c r="G385" t="s">
        <v>318</v>
      </c>
      <c r="H3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382</v>
      </c>
      <c r="I385" t="str">
        <f>IF(DraftResults[[#This Row],[Player ID]]=0,"",INDEX(Table5[[#All],[Pos]],MATCH(DraftResults[[#This Row],[Player ID]],Table5[[#All],[PID]],0)))</f>
        <v/>
      </c>
      <c r="J385" t="str">
        <f>IF(DraftResults[[#This Row],[Player ID]]=0,"",INDEX(Table5[[#All],[First]],MATCH(DraftResults[[#This Row],[Player ID]],Table5[[#All],[PID]],0)))</f>
        <v/>
      </c>
      <c r="K385" t="str">
        <f>IF(DraftResults[[#This Row],[Player ID]]=0,"",INDEX(Table5[[#All],[Last]],MATCH(DraftResults[[#This Row],[Player ID]],Table5[[#All],[PID]],0)))</f>
        <v/>
      </c>
    </row>
    <row r="386" spans="1:11" x14ac:dyDescent="0.25">
      <c r="A386">
        <v>13</v>
      </c>
      <c r="B386">
        <v>0</v>
      </c>
      <c r="C386">
        <v>19</v>
      </c>
      <c r="D386" t="s">
        <v>490</v>
      </c>
      <c r="E386">
        <v>167</v>
      </c>
      <c r="F386">
        <v>0</v>
      </c>
      <c r="G386" t="s">
        <v>318</v>
      </c>
      <c r="H3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383</v>
      </c>
      <c r="I386" t="str">
        <f>IF(DraftResults[[#This Row],[Player ID]]=0,"",INDEX(Table5[[#All],[Pos]],MATCH(DraftResults[[#This Row],[Player ID]],Table5[[#All],[PID]],0)))</f>
        <v/>
      </c>
      <c r="J386" t="str">
        <f>IF(DraftResults[[#This Row],[Player ID]]=0,"",INDEX(Table5[[#All],[First]],MATCH(DraftResults[[#This Row],[Player ID]],Table5[[#All],[PID]],0)))</f>
        <v/>
      </c>
      <c r="K386" t="str">
        <f>IF(DraftResults[[#This Row],[Player ID]]=0,"",INDEX(Table5[[#All],[Last]],MATCH(DraftResults[[#This Row],[Player ID]],Table5[[#All],[PID]],0)))</f>
        <v/>
      </c>
    </row>
    <row r="387" spans="1:11" x14ac:dyDescent="0.25">
      <c r="A387">
        <v>13</v>
      </c>
      <c r="B387">
        <v>0</v>
      </c>
      <c r="C387">
        <v>20</v>
      </c>
      <c r="D387" t="s">
        <v>243</v>
      </c>
      <c r="E387">
        <v>19</v>
      </c>
      <c r="F387">
        <v>0</v>
      </c>
      <c r="G387" t="s">
        <v>318</v>
      </c>
      <c r="H3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384</v>
      </c>
      <c r="I387" t="str">
        <f>IF(DraftResults[[#This Row],[Player ID]]=0,"",INDEX(Table5[[#All],[Pos]],MATCH(DraftResults[[#This Row],[Player ID]],Table5[[#All],[PID]],0)))</f>
        <v/>
      </c>
      <c r="J387" t="str">
        <f>IF(DraftResults[[#This Row],[Player ID]]=0,"",INDEX(Table5[[#All],[First]],MATCH(DraftResults[[#This Row],[Player ID]],Table5[[#All],[PID]],0)))</f>
        <v/>
      </c>
      <c r="K387" t="str">
        <f>IF(DraftResults[[#This Row],[Player ID]]=0,"",INDEX(Table5[[#All],[Last]],MATCH(DraftResults[[#This Row],[Player ID]],Table5[[#All],[PID]],0)))</f>
        <v/>
      </c>
    </row>
    <row r="388" spans="1:11" ht="15.75" customHeight="1" x14ac:dyDescent="0.25">
      <c r="A388">
        <v>13</v>
      </c>
      <c r="B388">
        <v>0</v>
      </c>
      <c r="C388">
        <v>21</v>
      </c>
      <c r="D388" t="s">
        <v>487</v>
      </c>
      <c r="E388">
        <v>163</v>
      </c>
      <c r="F388">
        <v>0</v>
      </c>
      <c r="G388" t="s">
        <v>318</v>
      </c>
      <c r="H3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385</v>
      </c>
      <c r="I388" t="str">
        <f>IF(DraftResults[[#This Row],[Player ID]]=0,"",INDEX(Table5[[#All],[Pos]],MATCH(DraftResults[[#This Row],[Player ID]],Table5[[#All],[PID]],0)))</f>
        <v/>
      </c>
      <c r="J388" t="str">
        <f>IF(DraftResults[[#This Row],[Player ID]]=0,"",INDEX(Table5[[#All],[First]],MATCH(DraftResults[[#This Row],[Player ID]],Table5[[#All],[PID]],0)))</f>
        <v/>
      </c>
      <c r="K388" t="str">
        <f>IF(DraftResults[[#This Row],[Player ID]]=0,"",INDEX(Table5[[#All],[Last]],MATCH(DraftResults[[#This Row],[Player ID]],Table5[[#All],[PID]],0)))</f>
        <v/>
      </c>
    </row>
    <row r="389" spans="1:11" x14ac:dyDescent="0.25">
      <c r="A389">
        <v>13</v>
      </c>
      <c r="B389">
        <v>0</v>
      </c>
      <c r="C389">
        <v>22</v>
      </c>
      <c r="D389" t="s">
        <v>255</v>
      </c>
      <c r="E389">
        <v>20</v>
      </c>
      <c r="F389">
        <v>0</v>
      </c>
      <c r="G389" t="s">
        <v>318</v>
      </c>
      <c r="H3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386</v>
      </c>
      <c r="I389" t="str">
        <f>IF(DraftResults[[#This Row],[Player ID]]=0,"",INDEX(Table5[[#All],[Pos]],MATCH(DraftResults[[#This Row],[Player ID]],Table5[[#All],[PID]],0)))</f>
        <v/>
      </c>
      <c r="J389" t="str">
        <f>IF(DraftResults[[#This Row],[Player ID]]=0,"",INDEX(Table5[[#All],[First]],MATCH(DraftResults[[#This Row],[Player ID]],Table5[[#All],[PID]],0)))</f>
        <v/>
      </c>
      <c r="K389" t="str">
        <f>IF(DraftResults[[#This Row],[Player ID]]=0,"",INDEX(Table5[[#All],[Last]],MATCH(DraftResults[[#This Row],[Player ID]],Table5[[#All],[PID]],0)))</f>
        <v/>
      </c>
    </row>
    <row r="390" spans="1:11" x14ac:dyDescent="0.25">
      <c r="A390">
        <v>13</v>
      </c>
      <c r="B390">
        <v>0</v>
      </c>
      <c r="C390">
        <v>23</v>
      </c>
      <c r="D390" t="s">
        <v>485</v>
      </c>
      <c r="E390">
        <v>166</v>
      </c>
      <c r="F390">
        <v>0</v>
      </c>
      <c r="G390" t="s">
        <v>318</v>
      </c>
      <c r="H3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387</v>
      </c>
      <c r="I390" t="str">
        <f>IF(DraftResults[[#This Row],[Player ID]]=0,"",INDEX(Table5[[#All],[Pos]],MATCH(DraftResults[[#This Row],[Player ID]],Table5[[#All],[PID]],0)))</f>
        <v/>
      </c>
      <c r="J390" t="str">
        <f>IF(DraftResults[[#This Row],[Player ID]]=0,"",INDEX(Table5[[#All],[First]],MATCH(DraftResults[[#This Row],[Player ID]],Table5[[#All],[PID]],0)))</f>
        <v/>
      </c>
      <c r="K390" t="str">
        <f>IF(DraftResults[[#This Row],[Player ID]]=0,"",INDEX(Table5[[#All],[Last]],MATCH(DraftResults[[#This Row],[Player ID]],Table5[[#All],[PID]],0)))</f>
        <v/>
      </c>
    </row>
    <row r="391" spans="1:11" x14ac:dyDescent="0.25">
      <c r="A391">
        <v>13</v>
      </c>
      <c r="B391">
        <v>0</v>
      </c>
      <c r="C391">
        <v>24</v>
      </c>
      <c r="D391" t="s">
        <v>244</v>
      </c>
      <c r="E391">
        <v>22</v>
      </c>
      <c r="F391">
        <v>0</v>
      </c>
      <c r="G391" t="s">
        <v>318</v>
      </c>
      <c r="H3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388</v>
      </c>
      <c r="I391" t="str">
        <f>IF(DraftResults[[#This Row],[Player ID]]=0,"",INDEX(Table5[[#All],[Pos]],MATCH(DraftResults[[#This Row],[Player ID]],Table5[[#All],[PID]],0)))</f>
        <v/>
      </c>
      <c r="J391" t="str">
        <f>IF(DraftResults[[#This Row],[Player ID]]=0,"",INDEX(Table5[[#All],[First]],MATCH(DraftResults[[#This Row],[Player ID]],Table5[[#All],[PID]],0)))</f>
        <v/>
      </c>
      <c r="K391" t="str">
        <f>IF(DraftResults[[#This Row],[Player ID]]=0,"",INDEX(Table5[[#All],[Last]],MATCH(DraftResults[[#This Row],[Player ID]],Table5[[#All],[PID]],0)))</f>
        <v/>
      </c>
    </row>
    <row r="392" spans="1:11" x14ac:dyDescent="0.25">
      <c r="A392">
        <v>13</v>
      </c>
      <c r="B392">
        <v>0</v>
      </c>
      <c r="C392">
        <v>25</v>
      </c>
      <c r="D392" t="s">
        <v>253</v>
      </c>
      <c r="E392">
        <v>14</v>
      </c>
      <c r="F392">
        <v>0</v>
      </c>
      <c r="G392" t="s">
        <v>318</v>
      </c>
      <c r="H3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389</v>
      </c>
      <c r="I392" t="str">
        <f>IF(DraftResults[[#This Row],[Player ID]]=0,"",INDEX(Table5[[#All],[Pos]],MATCH(DraftResults[[#This Row],[Player ID]],Table5[[#All],[PID]],0)))</f>
        <v/>
      </c>
      <c r="J392" t="str">
        <f>IF(DraftResults[[#This Row],[Player ID]]=0,"",INDEX(Table5[[#All],[First]],MATCH(DraftResults[[#This Row],[Player ID]],Table5[[#All],[PID]],0)))</f>
        <v/>
      </c>
      <c r="K392" t="str">
        <f>IF(DraftResults[[#This Row],[Player ID]]=0,"",INDEX(Table5[[#All],[Last]],MATCH(DraftResults[[#This Row],[Player ID]],Table5[[#All],[PID]],0)))</f>
        <v/>
      </c>
    </row>
    <row r="393" spans="1:11" x14ac:dyDescent="0.25">
      <c r="A393">
        <v>13</v>
      </c>
      <c r="B393">
        <v>0</v>
      </c>
      <c r="C393">
        <v>26</v>
      </c>
      <c r="D393" t="s">
        <v>694</v>
      </c>
      <c r="E393">
        <v>24</v>
      </c>
      <c r="F393">
        <v>0</v>
      </c>
      <c r="G393" t="s">
        <v>318</v>
      </c>
      <c r="H3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390</v>
      </c>
      <c r="I393" t="str">
        <f>IF(DraftResults[[#This Row],[Player ID]]=0,"",INDEX(Table5[[#All],[Pos]],MATCH(DraftResults[[#This Row],[Player ID]],Table5[[#All],[PID]],0)))</f>
        <v/>
      </c>
      <c r="J393" t="str">
        <f>IF(DraftResults[[#This Row],[Player ID]]=0,"",INDEX(Table5[[#All],[First]],MATCH(DraftResults[[#This Row],[Player ID]],Table5[[#All],[PID]],0)))</f>
        <v/>
      </c>
      <c r="K393" t="str">
        <f>IF(DraftResults[[#This Row],[Player ID]]=0,"",INDEX(Table5[[#All],[Last]],MATCH(DraftResults[[#This Row],[Player ID]],Table5[[#All],[PID]],0)))</f>
        <v/>
      </c>
    </row>
    <row r="394" spans="1:11" x14ac:dyDescent="0.25">
      <c r="A394">
        <v>13</v>
      </c>
      <c r="B394">
        <v>0</v>
      </c>
      <c r="C394">
        <v>27</v>
      </c>
      <c r="D394" t="s">
        <v>247</v>
      </c>
      <c r="E394">
        <v>17</v>
      </c>
      <c r="F394">
        <v>0</v>
      </c>
      <c r="G394" t="s">
        <v>318</v>
      </c>
      <c r="H3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391</v>
      </c>
      <c r="I394" t="str">
        <f>IF(DraftResults[[#This Row],[Player ID]]=0,"",INDEX(Table5[[#All],[Pos]],MATCH(DraftResults[[#This Row],[Player ID]],Table5[[#All],[PID]],0)))</f>
        <v/>
      </c>
      <c r="J394" t="str">
        <f>IF(DraftResults[[#This Row],[Player ID]]=0,"",INDEX(Table5[[#All],[First]],MATCH(DraftResults[[#This Row],[Player ID]],Table5[[#All],[PID]],0)))</f>
        <v/>
      </c>
      <c r="K394" t="str">
        <f>IF(DraftResults[[#This Row],[Player ID]]=0,"",INDEX(Table5[[#All],[Last]],MATCH(DraftResults[[#This Row],[Player ID]],Table5[[#All],[PID]],0)))</f>
        <v/>
      </c>
    </row>
    <row r="395" spans="1:11" x14ac:dyDescent="0.25">
      <c r="A395">
        <v>13</v>
      </c>
      <c r="B395">
        <v>0</v>
      </c>
      <c r="C395">
        <v>28</v>
      </c>
      <c r="D395" t="s">
        <v>698</v>
      </c>
      <c r="E395">
        <v>9</v>
      </c>
      <c r="F395">
        <v>0</v>
      </c>
      <c r="G395" t="s">
        <v>318</v>
      </c>
      <c r="H3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392</v>
      </c>
      <c r="I395" t="str">
        <f>IF(DraftResults[[#This Row],[Player ID]]=0,"",INDEX(Table5[[#All],[Pos]],MATCH(DraftResults[[#This Row],[Player ID]],Table5[[#All],[PID]],0)))</f>
        <v/>
      </c>
      <c r="J395" t="str">
        <f>IF(DraftResults[[#This Row],[Player ID]]=0,"",INDEX(Table5[[#All],[First]],MATCH(DraftResults[[#This Row],[Player ID]],Table5[[#All],[PID]],0)))</f>
        <v/>
      </c>
      <c r="K395" t="str">
        <f>IF(DraftResults[[#This Row],[Player ID]]=0,"",INDEX(Table5[[#All],[Last]],MATCH(DraftResults[[#This Row],[Player ID]],Table5[[#All],[PID]],0)))</f>
        <v/>
      </c>
    </row>
    <row r="396" spans="1:11" x14ac:dyDescent="0.25">
      <c r="A396">
        <v>13</v>
      </c>
      <c r="B396">
        <v>0</v>
      </c>
      <c r="C396">
        <v>29</v>
      </c>
      <c r="D396" t="s">
        <v>486</v>
      </c>
      <c r="E396">
        <v>159</v>
      </c>
      <c r="F396">
        <v>0</v>
      </c>
      <c r="G396" t="s">
        <v>318</v>
      </c>
      <c r="H3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393</v>
      </c>
      <c r="I396" t="str">
        <f>IF(DraftResults[[#This Row],[Player ID]]=0,"",INDEX(Table5[[#All],[Pos]],MATCH(DraftResults[[#This Row],[Player ID]],Table5[[#All],[PID]],0)))</f>
        <v/>
      </c>
      <c r="J396" t="str">
        <f>IF(DraftResults[[#This Row],[Player ID]]=0,"",INDEX(Table5[[#All],[First]],MATCH(DraftResults[[#This Row],[Player ID]],Table5[[#All],[PID]],0)))</f>
        <v/>
      </c>
      <c r="K396" t="str">
        <f>IF(DraftResults[[#This Row],[Player ID]]=0,"",INDEX(Table5[[#All],[Last]],MATCH(DraftResults[[#This Row],[Player ID]],Table5[[#All],[PID]],0)))</f>
        <v/>
      </c>
    </row>
    <row r="397" spans="1:11" x14ac:dyDescent="0.25">
      <c r="A397">
        <v>13</v>
      </c>
      <c r="B397">
        <v>0</v>
      </c>
      <c r="C397">
        <v>30</v>
      </c>
      <c r="D397" t="s">
        <v>249</v>
      </c>
      <c r="E397">
        <v>11</v>
      </c>
      <c r="F397">
        <v>0</v>
      </c>
      <c r="G397" t="s">
        <v>318</v>
      </c>
      <c r="H3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394</v>
      </c>
      <c r="I397" t="str">
        <f>IF(DraftResults[[#This Row],[Player ID]]=0,"",INDEX(Table5[[#All],[Pos]],MATCH(DraftResults[[#This Row],[Player ID]],Table5[[#All],[PID]],0)))</f>
        <v/>
      </c>
      <c r="J397" t="str">
        <f>IF(DraftResults[[#This Row],[Player ID]]=0,"",INDEX(Table5[[#All],[First]],MATCH(DraftResults[[#This Row],[Player ID]],Table5[[#All],[PID]],0)))</f>
        <v/>
      </c>
      <c r="K397" t="str">
        <f>IF(DraftResults[[#This Row],[Player ID]]=0,"",INDEX(Table5[[#All],[Last]],MATCH(DraftResults[[#This Row],[Player ID]],Table5[[#All],[PID]],0)))</f>
        <v/>
      </c>
    </row>
    <row r="398" spans="1:11" x14ac:dyDescent="0.25">
      <c r="A398">
        <v>14</v>
      </c>
      <c r="B398">
        <v>0</v>
      </c>
      <c r="C398">
        <v>1</v>
      </c>
      <c r="D398" t="s">
        <v>695</v>
      </c>
      <c r="E398">
        <v>160</v>
      </c>
      <c r="F398">
        <v>0</v>
      </c>
      <c r="G398" t="s">
        <v>318</v>
      </c>
      <c r="H3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395</v>
      </c>
      <c r="I398" t="str">
        <f>IF(DraftResults[[#This Row],[Player ID]]=0,"",INDEX(Table5[[#All],[Pos]],MATCH(DraftResults[[#This Row],[Player ID]],Table5[[#All],[PID]],0)))</f>
        <v/>
      </c>
      <c r="J398" t="str">
        <f>IF(DraftResults[[#This Row],[Player ID]]=0,"",INDEX(Table5[[#All],[First]],MATCH(DraftResults[[#This Row],[Player ID]],Table5[[#All],[PID]],0)))</f>
        <v/>
      </c>
      <c r="K398" t="str">
        <f>IF(DraftResults[[#This Row],[Player ID]]=0,"",INDEX(Table5[[#All],[Last]],MATCH(DraftResults[[#This Row],[Player ID]],Table5[[#All],[PID]],0)))</f>
        <v/>
      </c>
    </row>
    <row r="399" spans="1:11" x14ac:dyDescent="0.25">
      <c r="A399">
        <v>14</v>
      </c>
      <c r="B399">
        <v>0</v>
      </c>
      <c r="C399">
        <v>2</v>
      </c>
      <c r="D399" t="s">
        <v>694</v>
      </c>
      <c r="E399">
        <v>24</v>
      </c>
      <c r="F399">
        <v>0</v>
      </c>
      <c r="G399" t="s">
        <v>318</v>
      </c>
      <c r="H3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396</v>
      </c>
      <c r="I399" t="str">
        <f>IF(DraftResults[[#This Row],[Player ID]]=0,"",INDEX(Table5[[#All],[Pos]],MATCH(DraftResults[[#This Row],[Player ID]],Table5[[#All],[PID]],0)))</f>
        <v/>
      </c>
      <c r="J399" t="str">
        <f>IF(DraftResults[[#This Row],[Player ID]]=0,"",INDEX(Table5[[#All],[First]],MATCH(DraftResults[[#This Row],[Player ID]],Table5[[#All],[PID]],0)))</f>
        <v/>
      </c>
      <c r="K399" t="str">
        <f>IF(DraftResults[[#This Row],[Player ID]]=0,"",INDEX(Table5[[#All],[Last]],MATCH(DraftResults[[#This Row],[Player ID]],Table5[[#All],[PID]],0)))</f>
        <v/>
      </c>
    </row>
    <row r="400" spans="1:11" x14ac:dyDescent="0.25">
      <c r="A400">
        <v>14</v>
      </c>
      <c r="B400">
        <v>0</v>
      </c>
      <c r="C400">
        <v>3</v>
      </c>
      <c r="D400" t="s">
        <v>697</v>
      </c>
      <c r="E400">
        <v>23</v>
      </c>
      <c r="F400">
        <v>0</v>
      </c>
      <c r="G400" t="s">
        <v>318</v>
      </c>
      <c r="H4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397</v>
      </c>
      <c r="I400" t="str">
        <f>IF(DraftResults[[#This Row],[Player ID]]=0,"",INDEX(Table5[[#All],[Pos]],MATCH(DraftResults[[#This Row],[Player ID]],Table5[[#All],[PID]],0)))</f>
        <v/>
      </c>
      <c r="J400" t="str">
        <f>IF(DraftResults[[#This Row],[Player ID]]=0,"",INDEX(Table5[[#All],[First]],MATCH(DraftResults[[#This Row],[Player ID]],Table5[[#All],[PID]],0)))</f>
        <v/>
      </c>
      <c r="K400" t="str">
        <f>IF(DraftResults[[#This Row],[Player ID]]=0,"",INDEX(Table5[[#All],[Last]],MATCH(DraftResults[[#This Row],[Player ID]],Table5[[#All],[PID]],0)))</f>
        <v/>
      </c>
    </row>
    <row r="401" spans="1:11" x14ac:dyDescent="0.25">
      <c r="A401">
        <v>14</v>
      </c>
      <c r="B401">
        <v>0</v>
      </c>
      <c r="C401">
        <v>4</v>
      </c>
      <c r="D401" t="s">
        <v>252</v>
      </c>
      <c r="E401">
        <v>1</v>
      </c>
      <c r="F401">
        <v>0</v>
      </c>
      <c r="G401" t="s">
        <v>318</v>
      </c>
      <c r="H4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398</v>
      </c>
      <c r="I401" t="str">
        <f>IF(DraftResults[[#This Row],[Player ID]]=0,"",INDEX(Table5[[#All],[Pos]],MATCH(DraftResults[[#This Row],[Player ID]],Table5[[#All],[PID]],0)))</f>
        <v/>
      </c>
      <c r="J401" t="str">
        <f>IF(DraftResults[[#This Row],[Player ID]]=0,"",INDEX(Table5[[#All],[First]],MATCH(DraftResults[[#This Row],[Player ID]],Table5[[#All],[PID]],0)))</f>
        <v/>
      </c>
      <c r="K401" t="str">
        <f>IF(DraftResults[[#This Row],[Player ID]]=0,"",INDEX(Table5[[#All],[Last]],MATCH(DraftResults[[#This Row],[Player ID]],Table5[[#All],[PID]],0)))</f>
        <v/>
      </c>
    </row>
    <row r="402" spans="1:11" x14ac:dyDescent="0.25">
      <c r="A402">
        <v>14</v>
      </c>
      <c r="B402">
        <v>0</v>
      </c>
      <c r="C402">
        <v>5</v>
      </c>
      <c r="D402" t="s">
        <v>484</v>
      </c>
      <c r="E402">
        <v>164</v>
      </c>
      <c r="F402">
        <v>0</v>
      </c>
      <c r="G402" t="s">
        <v>318</v>
      </c>
      <c r="H4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399</v>
      </c>
      <c r="I402" t="str">
        <f>IF(DraftResults[[#This Row],[Player ID]]=0,"",INDEX(Table5[[#All],[Pos]],MATCH(DraftResults[[#This Row],[Player ID]],Table5[[#All],[PID]],0)))</f>
        <v/>
      </c>
      <c r="J402" t="str">
        <f>IF(DraftResults[[#This Row],[Player ID]]=0,"",INDEX(Table5[[#All],[First]],MATCH(DraftResults[[#This Row],[Player ID]],Table5[[#All],[PID]],0)))</f>
        <v/>
      </c>
      <c r="K402" t="str">
        <f>IF(DraftResults[[#This Row],[Player ID]]=0,"",INDEX(Table5[[#All],[Last]],MATCH(DraftResults[[#This Row],[Player ID]],Table5[[#All],[PID]],0)))</f>
        <v/>
      </c>
    </row>
    <row r="403" spans="1:11" x14ac:dyDescent="0.25">
      <c r="A403">
        <v>14</v>
      </c>
      <c r="B403">
        <v>0</v>
      </c>
      <c r="C403">
        <v>6</v>
      </c>
      <c r="D403" t="s">
        <v>254</v>
      </c>
      <c r="E403">
        <v>15</v>
      </c>
      <c r="F403">
        <v>0</v>
      </c>
      <c r="G403" t="s">
        <v>318</v>
      </c>
      <c r="H4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400</v>
      </c>
      <c r="I403" t="str">
        <f>IF(DraftResults[[#This Row],[Player ID]]=0,"",INDEX(Table5[[#All],[Pos]],MATCH(DraftResults[[#This Row],[Player ID]],Table5[[#All],[PID]],0)))</f>
        <v/>
      </c>
      <c r="J403" t="str">
        <f>IF(DraftResults[[#This Row],[Player ID]]=0,"",INDEX(Table5[[#All],[First]],MATCH(DraftResults[[#This Row],[Player ID]],Table5[[#All],[PID]],0)))</f>
        <v/>
      </c>
      <c r="K403" t="str">
        <f>IF(DraftResults[[#This Row],[Player ID]]=0,"",INDEX(Table5[[#All],[Last]],MATCH(DraftResults[[#This Row],[Player ID]],Table5[[#All],[PID]],0)))</f>
        <v/>
      </c>
    </row>
    <row r="404" spans="1:11" x14ac:dyDescent="0.25">
      <c r="A404">
        <v>14</v>
      </c>
      <c r="B404">
        <v>0</v>
      </c>
      <c r="C404">
        <v>7</v>
      </c>
      <c r="D404" t="s">
        <v>588</v>
      </c>
      <c r="E404">
        <v>4</v>
      </c>
      <c r="F404">
        <v>0</v>
      </c>
      <c r="G404" t="s">
        <v>318</v>
      </c>
      <c r="H4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401</v>
      </c>
      <c r="I404" t="str">
        <f>IF(DraftResults[[#This Row],[Player ID]]=0,"",INDEX(Table5[[#All],[Pos]],MATCH(DraftResults[[#This Row],[Player ID]],Table5[[#All],[PID]],0)))</f>
        <v/>
      </c>
      <c r="J404" t="str">
        <f>IF(DraftResults[[#This Row],[Player ID]]=0,"",INDEX(Table5[[#All],[First]],MATCH(DraftResults[[#This Row],[Player ID]],Table5[[#All],[PID]],0)))</f>
        <v/>
      </c>
      <c r="K404" t="str">
        <f>IF(DraftResults[[#This Row],[Player ID]]=0,"",INDEX(Table5[[#All],[Last]],MATCH(DraftResults[[#This Row],[Player ID]],Table5[[#All],[PID]],0)))</f>
        <v/>
      </c>
    </row>
    <row r="405" spans="1:11" x14ac:dyDescent="0.25">
      <c r="A405">
        <v>14</v>
      </c>
      <c r="B405">
        <v>0</v>
      </c>
      <c r="C405">
        <v>8</v>
      </c>
      <c r="D405" t="s">
        <v>587</v>
      </c>
      <c r="E405">
        <v>7</v>
      </c>
      <c r="F405">
        <v>0</v>
      </c>
      <c r="G405" t="s">
        <v>318</v>
      </c>
      <c r="H4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402</v>
      </c>
      <c r="I405" t="str">
        <f>IF(DraftResults[[#This Row],[Player ID]]=0,"",INDEX(Table5[[#All],[Pos]],MATCH(DraftResults[[#This Row],[Player ID]],Table5[[#All],[PID]],0)))</f>
        <v/>
      </c>
      <c r="J405" t="str">
        <f>IF(DraftResults[[#This Row],[Player ID]]=0,"",INDEX(Table5[[#All],[First]],MATCH(DraftResults[[#This Row],[Player ID]],Table5[[#All],[PID]],0)))</f>
        <v/>
      </c>
      <c r="K405" t="str">
        <f>IF(DraftResults[[#This Row],[Player ID]]=0,"",INDEX(Table5[[#All],[Last]],MATCH(DraftResults[[#This Row],[Player ID]],Table5[[#All],[PID]],0)))</f>
        <v/>
      </c>
    </row>
    <row r="406" spans="1:11" x14ac:dyDescent="0.25">
      <c r="A406">
        <v>14</v>
      </c>
      <c r="B406">
        <v>0</v>
      </c>
      <c r="C406">
        <v>9</v>
      </c>
      <c r="D406" t="s">
        <v>246</v>
      </c>
      <c r="E406">
        <v>21</v>
      </c>
      <c r="F406">
        <v>0</v>
      </c>
      <c r="G406" t="s">
        <v>318</v>
      </c>
      <c r="H4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403</v>
      </c>
      <c r="I406" t="str">
        <f>IF(DraftResults[[#This Row],[Player ID]]=0,"",INDEX(Table5[[#All],[Pos]],MATCH(DraftResults[[#This Row],[Player ID]],Table5[[#All],[PID]],0)))</f>
        <v/>
      </c>
      <c r="J406" t="str">
        <f>IF(DraftResults[[#This Row],[Player ID]]=0,"",INDEX(Table5[[#All],[First]],MATCH(DraftResults[[#This Row],[Player ID]],Table5[[#All],[PID]],0)))</f>
        <v/>
      </c>
      <c r="K406" t="str">
        <f>IF(DraftResults[[#This Row],[Player ID]]=0,"",INDEX(Table5[[#All],[Last]],MATCH(DraftResults[[#This Row],[Player ID]],Table5[[#All],[PID]],0)))</f>
        <v/>
      </c>
    </row>
    <row r="407" spans="1:11" x14ac:dyDescent="0.25">
      <c r="A407">
        <v>14</v>
      </c>
      <c r="B407">
        <v>0</v>
      </c>
      <c r="C407">
        <v>10</v>
      </c>
      <c r="D407" t="s">
        <v>696</v>
      </c>
      <c r="E407">
        <v>13</v>
      </c>
      <c r="F407">
        <v>0</v>
      </c>
      <c r="G407" t="s">
        <v>318</v>
      </c>
      <c r="H4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404</v>
      </c>
      <c r="I407" t="str">
        <f>IF(DraftResults[[#This Row],[Player ID]]=0,"",INDEX(Table5[[#All],[Pos]],MATCH(DraftResults[[#This Row],[Player ID]],Table5[[#All],[PID]],0)))</f>
        <v/>
      </c>
      <c r="J407" t="str">
        <f>IF(DraftResults[[#This Row],[Player ID]]=0,"",INDEX(Table5[[#All],[First]],MATCH(DraftResults[[#This Row],[Player ID]],Table5[[#All],[PID]],0)))</f>
        <v/>
      </c>
      <c r="K407" t="str">
        <f>IF(DraftResults[[#This Row],[Player ID]]=0,"",INDEX(Table5[[#All],[Last]],MATCH(DraftResults[[#This Row],[Player ID]],Table5[[#All],[PID]],0)))</f>
        <v/>
      </c>
    </row>
    <row r="408" spans="1:11" x14ac:dyDescent="0.25">
      <c r="A408">
        <v>14</v>
      </c>
      <c r="B408">
        <v>0</v>
      </c>
      <c r="C408">
        <v>11</v>
      </c>
      <c r="D408" t="s">
        <v>251</v>
      </c>
      <c r="E408">
        <v>3</v>
      </c>
      <c r="F408">
        <v>0</v>
      </c>
      <c r="G408" t="s">
        <v>318</v>
      </c>
      <c r="H4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405</v>
      </c>
      <c r="I408" t="str">
        <f>IF(DraftResults[[#This Row],[Player ID]]=0,"",INDEX(Table5[[#All],[Pos]],MATCH(DraftResults[[#This Row],[Player ID]],Table5[[#All],[PID]],0)))</f>
        <v/>
      </c>
      <c r="J408" t="str">
        <f>IF(DraftResults[[#This Row],[Player ID]]=0,"",INDEX(Table5[[#All],[First]],MATCH(DraftResults[[#This Row],[Player ID]],Table5[[#All],[PID]],0)))</f>
        <v/>
      </c>
      <c r="K408" t="str">
        <f>IF(DraftResults[[#This Row],[Player ID]]=0,"",INDEX(Table5[[#All],[Last]],MATCH(DraftResults[[#This Row],[Player ID]],Table5[[#All],[PID]],0)))</f>
        <v/>
      </c>
    </row>
    <row r="409" spans="1:11" x14ac:dyDescent="0.25">
      <c r="A409">
        <v>14</v>
      </c>
      <c r="B409">
        <v>0</v>
      </c>
      <c r="C409">
        <v>12</v>
      </c>
      <c r="D409" t="s">
        <v>257</v>
      </c>
      <c r="E409">
        <v>8</v>
      </c>
      <c r="F409">
        <v>0</v>
      </c>
      <c r="G409" t="s">
        <v>318</v>
      </c>
      <c r="H4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406</v>
      </c>
      <c r="I409" t="str">
        <f>IF(DraftResults[[#This Row],[Player ID]]=0,"",INDEX(Table5[[#All],[Pos]],MATCH(DraftResults[[#This Row],[Player ID]],Table5[[#All],[PID]],0)))</f>
        <v/>
      </c>
      <c r="J409" t="str">
        <f>IF(DraftResults[[#This Row],[Player ID]]=0,"",INDEX(Table5[[#All],[First]],MATCH(DraftResults[[#This Row],[Player ID]],Table5[[#All],[PID]],0)))</f>
        <v/>
      </c>
      <c r="K409" t="str">
        <f>IF(DraftResults[[#This Row],[Player ID]]=0,"",INDEX(Table5[[#All],[Last]],MATCH(DraftResults[[#This Row],[Player ID]],Table5[[#All],[PID]],0)))</f>
        <v/>
      </c>
    </row>
    <row r="410" spans="1:11" x14ac:dyDescent="0.25">
      <c r="A410">
        <v>14</v>
      </c>
      <c r="B410">
        <v>0</v>
      </c>
      <c r="C410">
        <v>13</v>
      </c>
      <c r="D410" t="s">
        <v>262</v>
      </c>
      <c r="E410">
        <v>12</v>
      </c>
      <c r="F410">
        <v>0</v>
      </c>
      <c r="G410" t="s">
        <v>318</v>
      </c>
      <c r="H4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407</v>
      </c>
      <c r="I410" t="str">
        <f>IF(DraftResults[[#This Row],[Player ID]]=0,"",INDEX(Table5[[#All],[Pos]],MATCH(DraftResults[[#This Row],[Player ID]],Table5[[#All],[PID]],0)))</f>
        <v/>
      </c>
      <c r="J410" t="str">
        <f>IF(DraftResults[[#This Row],[Player ID]]=0,"",INDEX(Table5[[#All],[First]],MATCH(DraftResults[[#This Row],[Player ID]],Table5[[#All],[PID]],0)))</f>
        <v/>
      </c>
      <c r="K410" t="str">
        <f>IF(DraftResults[[#This Row],[Player ID]]=0,"",INDEX(Table5[[#All],[Last]],MATCH(DraftResults[[#This Row],[Player ID]],Table5[[#All],[PID]],0)))</f>
        <v/>
      </c>
    </row>
    <row r="411" spans="1:11" x14ac:dyDescent="0.25">
      <c r="A411">
        <v>14</v>
      </c>
      <c r="B411">
        <v>0</v>
      </c>
      <c r="C411">
        <v>14</v>
      </c>
      <c r="D411" t="s">
        <v>489</v>
      </c>
      <c r="E411">
        <v>18</v>
      </c>
      <c r="F411">
        <v>0</v>
      </c>
      <c r="G411" t="s">
        <v>318</v>
      </c>
      <c r="H4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408</v>
      </c>
      <c r="I411" t="str">
        <f>IF(DraftResults[[#This Row],[Player ID]]=0,"",INDEX(Table5[[#All],[Pos]],MATCH(DraftResults[[#This Row],[Player ID]],Table5[[#All],[PID]],0)))</f>
        <v/>
      </c>
      <c r="J411" t="str">
        <f>IF(DraftResults[[#This Row],[Player ID]]=0,"",INDEX(Table5[[#All],[First]],MATCH(DraftResults[[#This Row],[Player ID]],Table5[[#All],[PID]],0)))</f>
        <v/>
      </c>
      <c r="K411" t="str">
        <f>IF(DraftResults[[#This Row],[Player ID]]=0,"",INDEX(Table5[[#All],[Last]],MATCH(DraftResults[[#This Row],[Player ID]],Table5[[#All],[PID]],0)))</f>
        <v/>
      </c>
    </row>
    <row r="412" spans="1:11" x14ac:dyDescent="0.25">
      <c r="A412">
        <v>14</v>
      </c>
      <c r="B412">
        <v>0</v>
      </c>
      <c r="C412">
        <v>15</v>
      </c>
      <c r="D412" t="s">
        <v>250</v>
      </c>
      <c r="E412">
        <v>10</v>
      </c>
      <c r="F412">
        <v>0</v>
      </c>
      <c r="G412" t="s">
        <v>318</v>
      </c>
      <c r="H4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409</v>
      </c>
      <c r="I412" t="str">
        <f>IF(DraftResults[[#This Row],[Player ID]]=0,"",INDEX(Table5[[#All],[Pos]],MATCH(DraftResults[[#This Row],[Player ID]],Table5[[#All],[PID]],0)))</f>
        <v/>
      </c>
      <c r="J412" t="str">
        <f>IF(DraftResults[[#This Row],[Player ID]]=0,"",INDEX(Table5[[#All],[First]],MATCH(DraftResults[[#This Row],[Player ID]],Table5[[#All],[PID]],0)))</f>
        <v/>
      </c>
      <c r="K412" t="str">
        <f>IF(DraftResults[[#This Row],[Player ID]]=0,"",INDEX(Table5[[#All],[Last]],MATCH(DraftResults[[#This Row],[Player ID]],Table5[[#All],[PID]],0)))</f>
        <v/>
      </c>
    </row>
    <row r="413" spans="1:11" x14ac:dyDescent="0.25">
      <c r="A413">
        <v>14</v>
      </c>
      <c r="B413">
        <v>0</v>
      </c>
      <c r="C413">
        <v>16</v>
      </c>
      <c r="D413" t="s">
        <v>482</v>
      </c>
      <c r="E413">
        <v>162</v>
      </c>
      <c r="F413">
        <v>0</v>
      </c>
      <c r="G413" t="s">
        <v>318</v>
      </c>
      <c r="H4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410</v>
      </c>
      <c r="I413" t="str">
        <f>IF(DraftResults[[#This Row],[Player ID]]=0,"",INDEX(Table5[[#All],[Pos]],MATCH(DraftResults[[#This Row],[Player ID]],Table5[[#All],[PID]],0)))</f>
        <v/>
      </c>
      <c r="J413" t="str">
        <f>IF(DraftResults[[#This Row],[Player ID]]=0,"",INDEX(Table5[[#All],[First]],MATCH(DraftResults[[#This Row],[Player ID]],Table5[[#All],[PID]],0)))</f>
        <v/>
      </c>
      <c r="K413" t="str">
        <f>IF(DraftResults[[#This Row],[Player ID]]=0,"",INDEX(Table5[[#All],[Last]],MATCH(DraftResults[[#This Row],[Player ID]],Table5[[#All],[PID]],0)))</f>
        <v/>
      </c>
    </row>
    <row r="414" spans="1:11" x14ac:dyDescent="0.25">
      <c r="A414">
        <v>14</v>
      </c>
      <c r="B414">
        <v>0</v>
      </c>
      <c r="C414">
        <v>17</v>
      </c>
      <c r="D414" t="s">
        <v>483</v>
      </c>
      <c r="E414">
        <v>2</v>
      </c>
      <c r="F414">
        <v>0</v>
      </c>
      <c r="G414" t="s">
        <v>318</v>
      </c>
      <c r="H4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411</v>
      </c>
      <c r="I414" t="str">
        <f>IF(DraftResults[[#This Row],[Player ID]]=0,"",INDEX(Table5[[#All],[Pos]],MATCH(DraftResults[[#This Row],[Player ID]],Table5[[#All],[PID]],0)))</f>
        <v/>
      </c>
      <c r="J414" t="str">
        <f>IF(DraftResults[[#This Row],[Player ID]]=0,"",INDEX(Table5[[#All],[First]],MATCH(DraftResults[[#This Row],[Player ID]],Table5[[#All],[PID]],0)))</f>
        <v/>
      </c>
      <c r="K414" t="str">
        <f>IF(DraftResults[[#This Row],[Player ID]]=0,"",INDEX(Table5[[#All],[Last]],MATCH(DraftResults[[#This Row],[Player ID]],Table5[[#All],[PID]],0)))</f>
        <v/>
      </c>
    </row>
    <row r="415" spans="1:11" x14ac:dyDescent="0.25">
      <c r="A415">
        <v>14</v>
      </c>
      <c r="B415">
        <v>0</v>
      </c>
      <c r="C415">
        <v>18</v>
      </c>
      <c r="D415" t="s">
        <v>258</v>
      </c>
      <c r="E415">
        <v>16</v>
      </c>
      <c r="F415">
        <v>0</v>
      </c>
      <c r="G415" t="s">
        <v>318</v>
      </c>
      <c r="H4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412</v>
      </c>
      <c r="I415" t="str">
        <f>IF(DraftResults[[#This Row],[Player ID]]=0,"",INDEX(Table5[[#All],[Pos]],MATCH(DraftResults[[#This Row],[Player ID]],Table5[[#All],[PID]],0)))</f>
        <v/>
      </c>
      <c r="J415" t="str">
        <f>IF(DraftResults[[#This Row],[Player ID]]=0,"",INDEX(Table5[[#All],[First]],MATCH(DraftResults[[#This Row],[Player ID]],Table5[[#All],[PID]],0)))</f>
        <v/>
      </c>
      <c r="K415" t="str">
        <f>IF(DraftResults[[#This Row],[Player ID]]=0,"",INDEX(Table5[[#All],[Last]],MATCH(DraftResults[[#This Row],[Player ID]],Table5[[#All],[PID]],0)))</f>
        <v/>
      </c>
    </row>
    <row r="416" spans="1:11" x14ac:dyDescent="0.25">
      <c r="A416">
        <v>14</v>
      </c>
      <c r="B416">
        <v>0</v>
      </c>
      <c r="C416">
        <v>19</v>
      </c>
      <c r="D416" t="s">
        <v>490</v>
      </c>
      <c r="E416">
        <v>167</v>
      </c>
      <c r="F416">
        <v>0</v>
      </c>
      <c r="G416" t="s">
        <v>318</v>
      </c>
      <c r="H4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413</v>
      </c>
      <c r="I416" t="str">
        <f>IF(DraftResults[[#This Row],[Player ID]]=0,"",INDEX(Table5[[#All],[Pos]],MATCH(DraftResults[[#This Row],[Player ID]],Table5[[#All],[PID]],0)))</f>
        <v/>
      </c>
      <c r="J416" t="str">
        <f>IF(DraftResults[[#This Row],[Player ID]]=0,"",INDEX(Table5[[#All],[First]],MATCH(DraftResults[[#This Row],[Player ID]],Table5[[#All],[PID]],0)))</f>
        <v/>
      </c>
      <c r="K416" t="str">
        <f>IF(DraftResults[[#This Row],[Player ID]]=0,"",INDEX(Table5[[#All],[Last]],MATCH(DraftResults[[#This Row],[Player ID]],Table5[[#All],[PID]],0)))</f>
        <v/>
      </c>
    </row>
    <row r="417" spans="1:11" x14ac:dyDescent="0.25">
      <c r="A417">
        <v>14</v>
      </c>
      <c r="B417">
        <v>0</v>
      </c>
      <c r="C417">
        <v>20</v>
      </c>
      <c r="D417" t="s">
        <v>243</v>
      </c>
      <c r="E417">
        <v>19</v>
      </c>
      <c r="F417">
        <v>0</v>
      </c>
      <c r="G417" t="s">
        <v>318</v>
      </c>
      <c r="H4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414</v>
      </c>
      <c r="I417" t="str">
        <f>IF(DraftResults[[#This Row],[Player ID]]=0,"",INDEX(Table5[[#All],[Pos]],MATCH(DraftResults[[#This Row],[Player ID]],Table5[[#All],[PID]],0)))</f>
        <v/>
      </c>
      <c r="J417" t="str">
        <f>IF(DraftResults[[#This Row],[Player ID]]=0,"",INDEX(Table5[[#All],[First]],MATCH(DraftResults[[#This Row],[Player ID]],Table5[[#All],[PID]],0)))</f>
        <v/>
      </c>
      <c r="K417" t="str">
        <f>IF(DraftResults[[#This Row],[Player ID]]=0,"",INDEX(Table5[[#All],[Last]],MATCH(DraftResults[[#This Row],[Player ID]],Table5[[#All],[PID]],0)))</f>
        <v/>
      </c>
    </row>
    <row r="418" spans="1:11" x14ac:dyDescent="0.25">
      <c r="A418">
        <v>14</v>
      </c>
      <c r="B418">
        <v>0</v>
      </c>
      <c r="C418">
        <v>21</v>
      </c>
      <c r="D418" t="s">
        <v>487</v>
      </c>
      <c r="E418">
        <v>163</v>
      </c>
      <c r="F418">
        <v>0</v>
      </c>
      <c r="G418" t="s">
        <v>318</v>
      </c>
      <c r="H4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415</v>
      </c>
      <c r="I418" t="str">
        <f>IF(DraftResults[[#This Row],[Player ID]]=0,"",INDEX(Table5[[#All],[Pos]],MATCH(DraftResults[[#This Row],[Player ID]],Table5[[#All],[PID]],0)))</f>
        <v/>
      </c>
      <c r="J418" t="str">
        <f>IF(DraftResults[[#This Row],[Player ID]]=0,"",INDEX(Table5[[#All],[First]],MATCH(DraftResults[[#This Row],[Player ID]],Table5[[#All],[PID]],0)))</f>
        <v/>
      </c>
      <c r="K418" t="str">
        <f>IF(DraftResults[[#This Row],[Player ID]]=0,"",INDEX(Table5[[#All],[Last]],MATCH(DraftResults[[#This Row],[Player ID]],Table5[[#All],[PID]],0)))</f>
        <v/>
      </c>
    </row>
    <row r="419" spans="1:11" x14ac:dyDescent="0.25">
      <c r="A419">
        <v>14</v>
      </c>
      <c r="B419">
        <v>0</v>
      </c>
      <c r="C419">
        <v>22</v>
      </c>
      <c r="D419" t="s">
        <v>255</v>
      </c>
      <c r="E419">
        <v>20</v>
      </c>
      <c r="F419">
        <v>0</v>
      </c>
      <c r="G419" t="s">
        <v>318</v>
      </c>
      <c r="H4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416</v>
      </c>
      <c r="I419" t="str">
        <f>IF(DraftResults[[#This Row],[Player ID]]=0,"",INDEX(Table5[[#All],[Pos]],MATCH(DraftResults[[#This Row],[Player ID]],Table5[[#All],[PID]],0)))</f>
        <v/>
      </c>
      <c r="J419" t="str">
        <f>IF(DraftResults[[#This Row],[Player ID]]=0,"",INDEX(Table5[[#All],[First]],MATCH(DraftResults[[#This Row],[Player ID]],Table5[[#All],[PID]],0)))</f>
        <v/>
      </c>
      <c r="K419" t="str">
        <f>IF(DraftResults[[#This Row],[Player ID]]=0,"",INDEX(Table5[[#All],[Last]],MATCH(DraftResults[[#This Row],[Player ID]],Table5[[#All],[PID]],0)))</f>
        <v/>
      </c>
    </row>
    <row r="420" spans="1:11" x14ac:dyDescent="0.25">
      <c r="A420">
        <v>14</v>
      </c>
      <c r="B420">
        <v>0</v>
      </c>
      <c r="C420">
        <v>23</v>
      </c>
      <c r="D420" t="s">
        <v>485</v>
      </c>
      <c r="E420">
        <v>166</v>
      </c>
      <c r="F420">
        <v>0</v>
      </c>
      <c r="G420" t="s">
        <v>318</v>
      </c>
      <c r="H4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417</v>
      </c>
      <c r="I420" t="str">
        <f>IF(DraftResults[[#This Row],[Player ID]]=0,"",INDEX(Table5[[#All],[Pos]],MATCH(DraftResults[[#This Row],[Player ID]],Table5[[#All],[PID]],0)))</f>
        <v/>
      </c>
      <c r="J420" t="str">
        <f>IF(DraftResults[[#This Row],[Player ID]]=0,"",INDEX(Table5[[#All],[First]],MATCH(DraftResults[[#This Row],[Player ID]],Table5[[#All],[PID]],0)))</f>
        <v/>
      </c>
      <c r="K420" t="str">
        <f>IF(DraftResults[[#This Row],[Player ID]]=0,"",INDEX(Table5[[#All],[Last]],MATCH(DraftResults[[#This Row],[Player ID]],Table5[[#All],[PID]],0)))</f>
        <v/>
      </c>
    </row>
    <row r="421" spans="1:11" x14ac:dyDescent="0.25">
      <c r="A421">
        <v>14</v>
      </c>
      <c r="B421">
        <v>0</v>
      </c>
      <c r="C421">
        <v>24</v>
      </c>
      <c r="D421" t="s">
        <v>244</v>
      </c>
      <c r="E421">
        <v>22</v>
      </c>
      <c r="F421">
        <v>0</v>
      </c>
      <c r="G421" t="s">
        <v>318</v>
      </c>
      <c r="H4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418</v>
      </c>
      <c r="I421" t="str">
        <f>IF(DraftResults[[#This Row],[Player ID]]=0,"",INDEX(Table5[[#All],[Pos]],MATCH(DraftResults[[#This Row],[Player ID]],Table5[[#All],[PID]],0)))</f>
        <v/>
      </c>
      <c r="J421" t="str">
        <f>IF(DraftResults[[#This Row],[Player ID]]=0,"",INDEX(Table5[[#All],[First]],MATCH(DraftResults[[#This Row],[Player ID]],Table5[[#All],[PID]],0)))</f>
        <v/>
      </c>
      <c r="K421" t="str">
        <f>IF(DraftResults[[#This Row],[Player ID]]=0,"",INDEX(Table5[[#All],[Last]],MATCH(DraftResults[[#This Row],[Player ID]],Table5[[#All],[PID]],0)))</f>
        <v/>
      </c>
    </row>
    <row r="422" spans="1:11" x14ac:dyDescent="0.25">
      <c r="A422">
        <v>14</v>
      </c>
      <c r="B422">
        <v>0</v>
      </c>
      <c r="C422">
        <v>25</v>
      </c>
      <c r="D422" t="s">
        <v>253</v>
      </c>
      <c r="E422">
        <v>14</v>
      </c>
      <c r="F422">
        <v>0</v>
      </c>
      <c r="G422" t="s">
        <v>318</v>
      </c>
      <c r="H4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419</v>
      </c>
      <c r="I422" t="str">
        <f>IF(DraftResults[[#This Row],[Player ID]]=0,"",INDEX(Table5[[#All],[Pos]],MATCH(DraftResults[[#This Row],[Player ID]],Table5[[#All],[PID]],0)))</f>
        <v/>
      </c>
      <c r="J422" t="str">
        <f>IF(DraftResults[[#This Row],[Player ID]]=0,"",INDEX(Table5[[#All],[First]],MATCH(DraftResults[[#This Row],[Player ID]],Table5[[#All],[PID]],0)))</f>
        <v/>
      </c>
      <c r="K422" t="str">
        <f>IF(DraftResults[[#This Row],[Player ID]]=0,"",INDEX(Table5[[#All],[Last]],MATCH(DraftResults[[#This Row],[Player ID]],Table5[[#All],[PID]],0)))</f>
        <v/>
      </c>
    </row>
    <row r="423" spans="1:11" x14ac:dyDescent="0.25">
      <c r="A423">
        <v>14</v>
      </c>
      <c r="B423">
        <v>0</v>
      </c>
      <c r="C423">
        <v>26</v>
      </c>
      <c r="D423" t="s">
        <v>694</v>
      </c>
      <c r="E423">
        <v>24</v>
      </c>
      <c r="F423">
        <v>0</v>
      </c>
      <c r="G423" t="s">
        <v>318</v>
      </c>
      <c r="H4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420</v>
      </c>
      <c r="I423" t="str">
        <f>IF(DraftResults[[#This Row],[Player ID]]=0,"",INDEX(Table5[[#All],[Pos]],MATCH(DraftResults[[#This Row],[Player ID]],Table5[[#All],[PID]],0)))</f>
        <v/>
      </c>
      <c r="J423" t="str">
        <f>IF(DraftResults[[#This Row],[Player ID]]=0,"",INDEX(Table5[[#All],[First]],MATCH(DraftResults[[#This Row],[Player ID]],Table5[[#All],[PID]],0)))</f>
        <v/>
      </c>
      <c r="K423" t="str">
        <f>IF(DraftResults[[#This Row],[Player ID]]=0,"",INDEX(Table5[[#All],[Last]],MATCH(DraftResults[[#This Row],[Player ID]],Table5[[#All],[PID]],0)))</f>
        <v/>
      </c>
    </row>
    <row r="424" spans="1:11" x14ac:dyDescent="0.25">
      <c r="A424">
        <v>14</v>
      </c>
      <c r="B424">
        <v>0</v>
      </c>
      <c r="C424">
        <v>27</v>
      </c>
      <c r="D424" t="s">
        <v>247</v>
      </c>
      <c r="E424">
        <v>17</v>
      </c>
      <c r="F424">
        <v>0</v>
      </c>
      <c r="G424" t="s">
        <v>318</v>
      </c>
      <c r="H4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421</v>
      </c>
      <c r="I424" t="str">
        <f>IF(DraftResults[[#This Row],[Player ID]]=0,"",INDEX(Table5[[#All],[Pos]],MATCH(DraftResults[[#This Row],[Player ID]],Table5[[#All],[PID]],0)))</f>
        <v/>
      </c>
      <c r="J424" t="str">
        <f>IF(DraftResults[[#This Row],[Player ID]]=0,"",INDEX(Table5[[#All],[First]],MATCH(DraftResults[[#This Row],[Player ID]],Table5[[#All],[PID]],0)))</f>
        <v/>
      </c>
      <c r="K424" t="str">
        <f>IF(DraftResults[[#This Row],[Player ID]]=0,"",INDEX(Table5[[#All],[Last]],MATCH(DraftResults[[#This Row],[Player ID]],Table5[[#All],[PID]],0)))</f>
        <v/>
      </c>
    </row>
    <row r="425" spans="1:11" x14ac:dyDescent="0.25">
      <c r="A425">
        <v>14</v>
      </c>
      <c r="B425">
        <v>0</v>
      </c>
      <c r="C425">
        <v>28</v>
      </c>
      <c r="D425" t="s">
        <v>698</v>
      </c>
      <c r="E425">
        <v>9</v>
      </c>
      <c r="F425">
        <v>0</v>
      </c>
      <c r="G425" t="s">
        <v>318</v>
      </c>
      <c r="H4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422</v>
      </c>
      <c r="I425" t="str">
        <f>IF(DraftResults[[#This Row],[Player ID]]=0,"",INDEX(Table5[[#All],[Pos]],MATCH(DraftResults[[#This Row],[Player ID]],Table5[[#All],[PID]],0)))</f>
        <v/>
      </c>
      <c r="J425" t="str">
        <f>IF(DraftResults[[#This Row],[Player ID]]=0,"",INDEX(Table5[[#All],[First]],MATCH(DraftResults[[#This Row],[Player ID]],Table5[[#All],[PID]],0)))</f>
        <v/>
      </c>
      <c r="K425" t="str">
        <f>IF(DraftResults[[#This Row],[Player ID]]=0,"",INDEX(Table5[[#All],[Last]],MATCH(DraftResults[[#This Row],[Player ID]],Table5[[#All],[PID]],0)))</f>
        <v/>
      </c>
    </row>
    <row r="426" spans="1:11" x14ac:dyDescent="0.25">
      <c r="A426">
        <v>14</v>
      </c>
      <c r="B426">
        <v>0</v>
      </c>
      <c r="C426">
        <v>29</v>
      </c>
      <c r="D426" t="s">
        <v>486</v>
      </c>
      <c r="E426">
        <v>159</v>
      </c>
      <c r="F426">
        <v>0</v>
      </c>
      <c r="G426" t="s">
        <v>318</v>
      </c>
      <c r="H4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423</v>
      </c>
      <c r="I426" t="str">
        <f>IF(DraftResults[[#This Row],[Player ID]]=0,"",INDEX(Table5[[#All],[Pos]],MATCH(DraftResults[[#This Row],[Player ID]],Table5[[#All],[PID]],0)))</f>
        <v/>
      </c>
      <c r="J426" t="str">
        <f>IF(DraftResults[[#This Row],[Player ID]]=0,"",INDEX(Table5[[#All],[First]],MATCH(DraftResults[[#This Row],[Player ID]],Table5[[#All],[PID]],0)))</f>
        <v/>
      </c>
      <c r="K426" t="str">
        <f>IF(DraftResults[[#This Row],[Player ID]]=0,"",INDEX(Table5[[#All],[Last]],MATCH(DraftResults[[#This Row],[Player ID]],Table5[[#All],[PID]],0)))</f>
        <v/>
      </c>
    </row>
    <row r="427" spans="1:11" x14ac:dyDescent="0.25">
      <c r="A427">
        <v>14</v>
      </c>
      <c r="B427">
        <v>0</v>
      </c>
      <c r="C427">
        <v>30</v>
      </c>
      <c r="D427" t="s">
        <v>249</v>
      </c>
      <c r="E427">
        <v>11</v>
      </c>
      <c r="F427">
        <v>0</v>
      </c>
      <c r="G427" t="s">
        <v>318</v>
      </c>
      <c r="H4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424</v>
      </c>
      <c r="I427" t="str">
        <f>IF(DraftResults[[#This Row],[Player ID]]=0,"",INDEX(Table5[[#All],[Pos]],MATCH(DraftResults[[#This Row],[Player ID]],Table5[[#All],[PID]],0)))</f>
        <v/>
      </c>
      <c r="J427" t="str">
        <f>IF(DraftResults[[#This Row],[Player ID]]=0,"",INDEX(Table5[[#All],[First]],MATCH(DraftResults[[#This Row],[Player ID]],Table5[[#All],[PID]],0)))</f>
        <v/>
      </c>
      <c r="K427" t="str">
        <f>IF(DraftResults[[#This Row],[Player ID]]=0,"",INDEX(Table5[[#All],[Last]],MATCH(DraftResults[[#This Row],[Player ID]],Table5[[#All],[PID]],0)))</f>
        <v/>
      </c>
    </row>
    <row r="428" spans="1:11" x14ac:dyDescent="0.25">
      <c r="A428">
        <v>15</v>
      </c>
      <c r="B428">
        <v>0</v>
      </c>
      <c r="C428">
        <v>1</v>
      </c>
      <c r="D428" t="s">
        <v>695</v>
      </c>
      <c r="E428">
        <v>160</v>
      </c>
      <c r="F428">
        <v>0</v>
      </c>
      <c r="G428" t="s">
        <v>318</v>
      </c>
      <c r="H4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425</v>
      </c>
      <c r="I428" t="str">
        <f>IF(DraftResults[[#This Row],[Player ID]]=0,"",INDEX(Table5[[#All],[Pos]],MATCH(DraftResults[[#This Row],[Player ID]],Table5[[#All],[PID]],0)))</f>
        <v/>
      </c>
      <c r="J428" t="str">
        <f>IF(DraftResults[[#This Row],[Player ID]]=0,"",INDEX(Table5[[#All],[First]],MATCH(DraftResults[[#This Row],[Player ID]],Table5[[#All],[PID]],0)))</f>
        <v/>
      </c>
      <c r="K428" t="str">
        <f>IF(DraftResults[[#This Row],[Player ID]]=0,"",INDEX(Table5[[#All],[Last]],MATCH(DraftResults[[#This Row],[Player ID]],Table5[[#All],[PID]],0)))</f>
        <v/>
      </c>
    </row>
    <row r="429" spans="1:11" x14ac:dyDescent="0.25">
      <c r="A429">
        <v>15</v>
      </c>
      <c r="B429">
        <v>0</v>
      </c>
      <c r="C429">
        <v>2</v>
      </c>
      <c r="D429" t="s">
        <v>694</v>
      </c>
      <c r="E429">
        <v>24</v>
      </c>
      <c r="F429">
        <v>0</v>
      </c>
      <c r="G429" t="s">
        <v>318</v>
      </c>
      <c r="H4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426</v>
      </c>
      <c r="I429" t="str">
        <f>IF(DraftResults[[#This Row],[Player ID]]=0,"",INDEX(Table5[[#All],[Pos]],MATCH(DraftResults[[#This Row],[Player ID]],Table5[[#All],[PID]],0)))</f>
        <v/>
      </c>
      <c r="J429" t="str">
        <f>IF(DraftResults[[#This Row],[Player ID]]=0,"",INDEX(Table5[[#All],[First]],MATCH(DraftResults[[#This Row],[Player ID]],Table5[[#All],[PID]],0)))</f>
        <v/>
      </c>
      <c r="K429" t="str">
        <f>IF(DraftResults[[#This Row],[Player ID]]=0,"",INDEX(Table5[[#All],[Last]],MATCH(DraftResults[[#This Row],[Player ID]],Table5[[#All],[PID]],0)))</f>
        <v/>
      </c>
    </row>
    <row r="430" spans="1:11" x14ac:dyDescent="0.25">
      <c r="A430">
        <v>15</v>
      </c>
      <c r="B430">
        <v>0</v>
      </c>
      <c r="C430">
        <v>3</v>
      </c>
      <c r="D430" t="s">
        <v>697</v>
      </c>
      <c r="E430">
        <v>23</v>
      </c>
      <c r="F430">
        <v>0</v>
      </c>
      <c r="G430" t="s">
        <v>318</v>
      </c>
      <c r="H4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427</v>
      </c>
      <c r="I430" t="str">
        <f>IF(DraftResults[[#This Row],[Player ID]]=0,"",INDEX(Table5[[#All],[Pos]],MATCH(DraftResults[[#This Row],[Player ID]],Table5[[#All],[PID]],0)))</f>
        <v/>
      </c>
      <c r="J430" t="str">
        <f>IF(DraftResults[[#This Row],[Player ID]]=0,"",INDEX(Table5[[#All],[First]],MATCH(DraftResults[[#This Row],[Player ID]],Table5[[#All],[PID]],0)))</f>
        <v/>
      </c>
      <c r="K430" t="str">
        <f>IF(DraftResults[[#This Row],[Player ID]]=0,"",INDEX(Table5[[#All],[Last]],MATCH(DraftResults[[#This Row],[Player ID]],Table5[[#All],[PID]],0)))</f>
        <v/>
      </c>
    </row>
    <row r="431" spans="1:11" x14ac:dyDescent="0.25">
      <c r="A431">
        <v>15</v>
      </c>
      <c r="B431">
        <v>0</v>
      </c>
      <c r="C431">
        <v>4</v>
      </c>
      <c r="D431" t="s">
        <v>262</v>
      </c>
      <c r="E431">
        <v>12</v>
      </c>
      <c r="F431">
        <v>0</v>
      </c>
      <c r="G431" t="s">
        <v>318</v>
      </c>
      <c r="H4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428</v>
      </c>
      <c r="I431" t="str">
        <f>IF(DraftResults[[#This Row],[Player ID]]=0,"",INDEX(Table5[[#All],[Pos]],MATCH(DraftResults[[#This Row],[Player ID]],Table5[[#All],[PID]],0)))</f>
        <v/>
      </c>
      <c r="J431" t="str">
        <f>IF(DraftResults[[#This Row],[Player ID]]=0,"",INDEX(Table5[[#All],[First]],MATCH(DraftResults[[#This Row],[Player ID]],Table5[[#All],[PID]],0)))</f>
        <v/>
      </c>
      <c r="K431" t="str">
        <f>IF(DraftResults[[#This Row],[Player ID]]=0,"",INDEX(Table5[[#All],[Last]],MATCH(DraftResults[[#This Row],[Player ID]],Table5[[#All],[PID]],0)))</f>
        <v/>
      </c>
    </row>
    <row r="432" spans="1:11" x14ac:dyDescent="0.25">
      <c r="A432">
        <v>15</v>
      </c>
      <c r="B432">
        <v>0</v>
      </c>
      <c r="C432">
        <v>5</v>
      </c>
      <c r="D432" t="s">
        <v>484</v>
      </c>
      <c r="E432">
        <v>164</v>
      </c>
      <c r="F432">
        <v>0</v>
      </c>
      <c r="G432" t="s">
        <v>318</v>
      </c>
      <c r="H4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429</v>
      </c>
      <c r="I432" t="str">
        <f>IF(DraftResults[[#This Row],[Player ID]]=0,"",INDEX(Table5[[#All],[Pos]],MATCH(DraftResults[[#This Row],[Player ID]],Table5[[#All],[PID]],0)))</f>
        <v/>
      </c>
      <c r="J432" t="str">
        <f>IF(DraftResults[[#This Row],[Player ID]]=0,"",INDEX(Table5[[#All],[First]],MATCH(DraftResults[[#This Row],[Player ID]],Table5[[#All],[PID]],0)))</f>
        <v/>
      </c>
      <c r="K432" t="str">
        <f>IF(DraftResults[[#This Row],[Player ID]]=0,"",INDEX(Table5[[#All],[Last]],MATCH(DraftResults[[#This Row],[Player ID]],Table5[[#All],[PID]],0)))</f>
        <v/>
      </c>
    </row>
    <row r="433" spans="1:11" x14ac:dyDescent="0.25">
      <c r="A433">
        <v>15</v>
      </c>
      <c r="B433">
        <v>0</v>
      </c>
      <c r="C433">
        <v>6</v>
      </c>
      <c r="D433" t="s">
        <v>254</v>
      </c>
      <c r="E433">
        <v>15</v>
      </c>
      <c r="F433">
        <v>0</v>
      </c>
      <c r="G433" t="s">
        <v>318</v>
      </c>
      <c r="H4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430</v>
      </c>
      <c r="I433" t="str">
        <f>IF(DraftResults[[#This Row],[Player ID]]=0,"",INDEX(Table5[[#All],[Pos]],MATCH(DraftResults[[#This Row],[Player ID]],Table5[[#All],[PID]],0)))</f>
        <v/>
      </c>
      <c r="J433" t="str">
        <f>IF(DraftResults[[#This Row],[Player ID]]=0,"",INDEX(Table5[[#All],[First]],MATCH(DraftResults[[#This Row],[Player ID]],Table5[[#All],[PID]],0)))</f>
        <v/>
      </c>
      <c r="K433" t="str">
        <f>IF(DraftResults[[#This Row],[Player ID]]=0,"",INDEX(Table5[[#All],[Last]],MATCH(DraftResults[[#This Row],[Player ID]],Table5[[#All],[PID]],0)))</f>
        <v/>
      </c>
    </row>
    <row r="434" spans="1:11" x14ac:dyDescent="0.25">
      <c r="A434">
        <v>15</v>
      </c>
      <c r="B434">
        <v>0</v>
      </c>
      <c r="C434">
        <v>7</v>
      </c>
      <c r="D434" t="s">
        <v>588</v>
      </c>
      <c r="E434">
        <v>4</v>
      </c>
      <c r="F434">
        <v>0</v>
      </c>
      <c r="G434" t="s">
        <v>318</v>
      </c>
      <c r="H4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431</v>
      </c>
      <c r="I434" t="str">
        <f>IF(DraftResults[[#This Row],[Player ID]]=0,"",INDEX(Table5[[#All],[Pos]],MATCH(DraftResults[[#This Row],[Player ID]],Table5[[#All],[PID]],0)))</f>
        <v/>
      </c>
      <c r="J434" t="str">
        <f>IF(DraftResults[[#This Row],[Player ID]]=0,"",INDEX(Table5[[#All],[First]],MATCH(DraftResults[[#This Row],[Player ID]],Table5[[#All],[PID]],0)))</f>
        <v/>
      </c>
      <c r="K434" t="str">
        <f>IF(DraftResults[[#This Row],[Player ID]]=0,"",INDEX(Table5[[#All],[Last]],MATCH(DraftResults[[#This Row],[Player ID]],Table5[[#All],[PID]],0)))</f>
        <v/>
      </c>
    </row>
    <row r="435" spans="1:11" x14ac:dyDescent="0.25">
      <c r="A435">
        <v>15</v>
      </c>
      <c r="B435">
        <v>0</v>
      </c>
      <c r="C435">
        <v>8</v>
      </c>
      <c r="D435" t="s">
        <v>587</v>
      </c>
      <c r="E435">
        <v>7</v>
      </c>
      <c r="F435">
        <v>0</v>
      </c>
      <c r="G435" t="s">
        <v>318</v>
      </c>
      <c r="H4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432</v>
      </c>
      <c r="I435" t="str">
        <f>IF(DraftResults[[#This Row],[Player ID]]=0,"",INDEX(Table5[[#All],[Pos]],MATCH(DraftResults[[#This Row],[Player ID]],Table5[[#All],[PID]],0)))</f>
        <v/>
      </c>
      <c r="J435" t="str">
        <f>IF(DraftResults[[#This Row],[Player ID]]=0,"",INDEX(Table5[[#All],[First]],MATCH(DraftResults[[#This Row],[Player ID]],Table5[[#All],[PID]],0)))</f>
        <v/>
      </c>
      <c r="K435" t="str">
        <f>IF(DraftResults[[#This Row],[Player ID]]=0,"",INDEX(Table5[[#All],[Last]],MATCH(DraftResults[[#This Row],[Player ID]],Table5[[#All],[PID]],0)))</f>
        <v/>
      </c>
    </row>
    <row r="436" spans="1:11" x14ac:dyDescent="0.25">
      <c r="A436">
        <v>15</v>
      </c>
      <c r="B436">
        <v>0</v>
      </c>
      <c r="C436">
        <v>9</v>
      </c>
      <c r="D436" t="s">
        <v>246</v>
      </c>
      <c r="E436">
        <v>21</v>
      </c>
      <c r="F436">
        <v>0</v>
      </c>
      <c r="G436" t="s">
        <v>318</v>
      </c>
      <c r="H4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433</v>
      </c>
      <c r="I436" t="str">
        <f>IF(DraftResults[[#This Row],[Player ID]]=0,"",INDEX(Table5[[#All],[Pos]],MATCH(DraftResults[[#This Row],[Player ID]],Table5[[#All],[PID]],0)))</f>
        <v/>
      </c>
      <c r="J436" t="str">
        <f>IF(DraftResults[[#This Row],[Player ID]]=0,"",INDEX(Table5[[#All],[First]],MATCH(DraftResults[[#This Row],[Player ID]],Table5[[#All],[PID]],0)))</f>
        <v/>
      </c>
      <c r="K436" t="str">
        <f>IF(DraftResults[[#This Row],[Player ID]]=0,"",INDEX(Table5[[#All],[Last]],MATCH(DraftResults[[#This Row],[Player ID]],Table5[[#All],[PID]],0)))</f>
        <v/>
      </c>
    </row>
    <row r="437" spans="1:11" x14ac:dyDescent="0.25">
      <c r="A437">
        <v>15</v>
      </c>
      <c r="B437">
        <v>0</v>
      </c>
      <c r="C437">
        <v>10</v>
      </c>
      <c r="D437" t="s">
        <v>696</v>
      </c>
      <c r="E437">
        <v>13</v>
      </c>
      <c r="F437">
        <v>0</v>
      </c>
      <c r="G437" t="s">
        <v>318</v>
      </c>
      <c r="H4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434</v>
      </c>
      <c r="I437" t="str">
        <f>IF(DraftResults[[#This Row],[Player ID]]=0,"",INDEX(Table5[[#All],[Pos]],MATCH(DraftResults[[#This Row],[Player ID]],Table5[[#All],[PID]],0)))</f>
        <v/>
      </c>
      <c r="J437" t="str">
        <f>IF(DraftResults[[#This Row],[Player ID]]=0,"",INDEX(Table5[[#All],[First]],MATCH(DraftResults[[#This Row],[Player ID]],Table5[[#All],[PID]],0)))</f>
        <v/>
      </c>
      <c r="K437" t="str">
        <f>IF(DraftResults[[#This Row],[Player ID]]=0,"",INDEX(Table5[[#All],[Last]],MATCH(DraftResults[[#This Row],[Player ID]],Table5[[#All],[PID]],0)))</f>
        <v/>
      </c>
    </row>
    <row r="438" spans="1:11" x14ac:dyDescent="0.25">
      <c r="A438">
        <v>15</v>
      </c>
      <c r="B438">
        <v>0</v>
      </c>
      <c r="C438">
        <v>11</v>
      </c>
      <c r="D438" t="s">
        <v>251</v>
      </c>
      <c r="E438">
        <v>3</v>
      </c>
      <c r="F438">
        <v>0</v>
      </c>
      <c r="G438" t="s">
        <v>318</v>
      </c>
      <c r="H4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435</v>
      </c>
      <c r="I438" t="str">
        <f>IF(DraftResults[[#This Row],[Player ID]]=0,"",INDEX(Table5[[#All],[Pos]],MATCH(DraftResults[[#This Row],[Player ID]],Table5[[#All],[PID]],0)))</f>
        <v/>
      </c>
      <c r="J438" t="str">
        <f>IF(DraftResults[[#This Row],[Player ID]]=0,"",INDEX(Table5[[#All],[First]],MATCH(DraftResults[[#This Row],[Player ID]],Table5[[#All],[PID]],0)))</f>
        <v/>
      </c>
      <c r="K438" t="str">
        <f>IF(DraftResults[[#This Row],[Player ID]]=0,"",INDEX(Table5[[#All],[Last]],MATCH(DraftResults[[#This Row],[Player ID]],Table5[[#All],[PID]],0)))</f>
        <v/>
      </c>
    </row>
    <row r="439" spans="1:11" x14ac:dyDescent="0.25">
      <c r="A439">
        <v>15</v>
      </c>
      <c r="B439">
        <v>0</v>
      </c>
      <c r="C439">
        <v>12</v>
      </c>
      <c r="D439" t="s">
        <v>257</v>
      </c>
      <c r="E439">
        <v>8</v>
      </c>
      <c r="F439">
        <v>0</v>
      </c>
      <c r="G439" t="s">
        <v>318</v>
      </c>
      <c r="H4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436</v>
      </c>
      <c r="I439" t="str">
        <f>IF(DraftResults[[#This Row],[Player ID]]=0,"",INDEX(Table5[[#All],[Pos]],MATCH(DraftResults[[#This Row],[Player ID]],Table5[[#All],[PID]],0)))</f>
        <v/>
      </c>
      <c r="J439" t="str">
        <f>IF(DraftResults[[#This Row],[Player ID]]=0,"",INDEX(Table5[[#All],[First]],MATCH(DraftResults[[#This Row],[Player ID]],Table5[[#All],[PID]],0)))</f>
        <v/>
      </c>
      <c r="K439" t="str">
        <f>IF(DraftResults[[#This Row],[Player ID]]=0,"",INDEX(Table5[[#All],[Last]],MATCH(DraftResults[[#This Row],[Player ID]],Table5[[#All],[PID]],0)))</f>
        <v/>
      </c>
    </row>
    <row r="440" spans="1:11" x14ac:dyDescent="0.25">
      <c r="A440">
        <v>15</v>
      </c>
      <c r="B440">
        <v>0</v>
      </c>
      <c r="C440">
        <v>13</v>
      </c>
      <c r="D440" t="s">
        <v>262</v>
      </c>
      <c r="E440">
        <v>12</v>
      </c>
      <c r="F440">
        <v>0</v>
      </c>
      <c r="G440" t="s">
        <v>318</v>
      </c>
      <c r="H4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437</v>
      </c>
      <c r="I440" t="str">
        <f>IF(DraftResults[[#This Row],[Player ID]]=0,"",INDEX(Table5[[#All],[Pos]],MATCH(DraftResults[[#This Row],[Player ID]],Table5[[#All],[PID]],0)))</f>
        <v/>
      </c>
      <c r="J440" t="str">
        <f>IF(DraftResults[[#This Row],[Player ID]]=0,"",INDEX(Table5[[#All],[First]],MATCH(DraftResults[[#This Row],[Player ID]],Table5[[#All],[PID]],0)))</f>
        <v/>
      </c>
      <c r="K440" t="str">
        <f>IF(DraftResults[[#This Row],[Player ID]]=0,"",INDEX(Table5[[#All],[Last]],MATCH(DraftResults[[#This Row],[Player ID]],Table5[[#All],[PID]],0)))</f>
        <v/>
      </c>
    </row>
    <row r="441" spans="1:11" x14ac:dyDescent="0.25">
      <c r="A441">
        <v>15</v>
      </c>
      <c r="B441">
        <v>0</v>
      </c>
      <c r="C441">
        <v>14</v>
      </c>
      <c r="D441" t="s">
        <v>489</v>
      </c>
      <c r="E441">
        <v>18</v>
      </c>
      <c r="F441">
        <v>0</v>
      </c>
      <c r="G441" t="s">
        <v>318</v>
      </c>
      <c r="H4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438</v>
      </c>
      <c r="I441" t="str">
        <f>IF(DraftResults[[#This Row],[Player ID]]=0,"",INDEX(Table5[[#All],[Pos]],MATCH(DraftResults[[#This Row],[Player ID]],Table5[[#All],[PID]],0)))</f>
        <v/>
      </c>
      <c r="J441" t="str">
        <f>IF(DraftResults[[#This Row],[Player ID]]=0,"",INDEX(Table5[[#All],[First]],MATCH(DraftResults[[#This Row],[Player ID]],Table5[[#All],[PID]],0)))</f>
        <v/>
      </c>
      <c r="K441" t="str">
        <f>IF(DraftResults[[#This Row],[Player ID]]=0,"",INDEX(Table5[[#All],[Last]],MATCH(DraftResults[[#This Row],[Player ID]],Table5[[#All],[PID]],0)))</f>
        <v/>
      </c>
    </row>
    <row r="442" spans="1:11" x14ac:dyDescent="0.25">
      <c r="A442">
        <v>15</v>
      </c>
      <c r="B442">
        <v>0</v>
      </c>
      <c r="C442">
        <v>15</v>
      </c>
      <c r="D442" t="s">
        <v>250</v>
      </c>
      <c r="E442">
        <v>10</v>
      </c>
      <c r="F442">
        <v>0</v>
      </c>
      <c r="G442" t="s">
        <v>318</v>
      </c>
      <c r="H4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439</v>
      </c>
      <c r="I442" t="str">
        <f>IF(DraftResults[[#This Row],[Player ID]]=0,"",INDEX(Table5[[#All],[Pos]],MATCH(DraftResults[[#This Row],[Player ID]],Table5[[#All],[PID]],0)))</f>
        <v/>
      </c>
      <c r="J442" t="str">
        <f>IF(DraftResults[[#This Row],[Player ID]]=0,"",INDEX(Table5[[#All],[First]],MATCH(DraftResults[[#This Row],[Player ID]],Table5[[#All],[PID]],0)))</f>
        <v/>
      </c>
      <c r="K442" t="str">
        <f>IF(DraftResults[[#This Row],[Player ID]]=0,"",INDEX(Table5[[#All],[Last]],MATCH(DraftResults[[#This Row],[Player ID]],Table5[[#All],[PID]],0)))</f>
        <v/>
      </c>
    </row>
    <row r="443" spans="1:11" x14ac:dyDescent="0.25">
      <c r="A443">
        <v>15</v>
      </c>
      <c r="B443">
        <v>0</v>
      </c>
      <c r="C443">
        <v>16</v>
      </c>
      <c r="D443" t="s">
        <v>482</v>
      </c>
      <c r="E443">
        <v>162</v>
      </c>
      <c r="F443">
        <v>0</v>
      </c>
      <c r="G443" t="s">
        <v>318</v>
      </c>
      <c r="H4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440</v>
      </c>
      <c r="I443" t="str">
        <f>IF(DraftResults[[#This Row],[Player ID]]=0,"",INDEX(Table5[[#All],[Pos]],MATCH(DraftResults[[#This Row],[Player ID]],Table5[[#All],[PID]],0)))</f>
        <v/>
      </c>
      <c r="J443" t="str">
        <f>IF(DraftResults[[#This Row],[Player ID]]=0,"",INDEX(Table5[[#All],[First]],MATCH(DraftResults[[#This Row],[Player ID]],Table5[[#All],[PID]],0)))</f>
        <v/>
      </c>
      <c r="K443" t="str">
        <f>IF(DraftResults[[#This Row],[Player ID]]=0,"",INDEX(Table5[[#All],[Last]],MATCH(DraftResults[[#This Row],[Player ID]],Table5[[#All],[PID]],0)))</f>
        <v/>
      </c>
    </row>
    <row r="444" spans="1:11" x14ac:dyDescent="0.25">
      <c r="A444">
        <v>15</v>
      </c>
      <c r="B444">
        <v>0</v>
      </c>
      <c r="C444">
        <v>17</v>
      </c>
      <c r="D444" t="s">
        <v>483</v>
      </c>
      <c r="E444">
        <v>2</v>
      </c>
      <c r="F444">
        <v>0</v>
      </c>
      <c r="G444" t="s">
        <v>318</v>
      </c>
      <c r="H4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441</v>
      </c>
      <c r="I444" t="str">
        <f>IF(DraftResults[[#This Row],[Player ID]]=0,"",INDEX(Table5[[#All],[Pos]],MATCH(DraftResults[[#This Row],[Player ID]],Table5[[#All],[PID]],0)))</f>
        <v/>
      </c>
      <c r="J444" t="str">
        <f>IF(DraftResults[[#This Row],[Player ID]]=0,"",INDEX(Table5[[#All],[First]],MATCH(DraftResults[[#This Row],[Player ID]],Table5[[#All],[PID]],0)))</f>
        <v/>
      </c>
      <c r="K444" t="str">
        <f>IF(DraftResults[[#This Row],[Player ID]]=0,"",INDEX(Table5[[#All],[Last]],MATCH(DraftResults[[#This Row],[Player ID]],Table5[[#All],[PID]],0)))</f>
        <v/>
      </c>
    </row>
    <row r="445" spans="1:11" x14ac:dyDescent="0.25">
      <c r="A445">
        <v>15</v>
      </c>
      <c r="B445">
        <v>0</v>
      </c>
      <c r="C445">
        <v>18</v>
      </c>
      <c r="D445" t="s">
        <v>258</v>
      </c>
      <c r="E445">
        <v>16</v>
      </c>
      <c r="F445">
        <v>0</v>
      </c>
      <c r="G445" t="s">
        <v>318</v>
      </c>
      <c r="H4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442</v>
      </c>
      <c r="I445" t="str">
        <f>IF(DraftResults[[#This Row],[Player ID]]=0,"",INDEX(Table5[[#All],[Pos]],MATCH(DraftResults[[#This Row],[Player ID]],Table5[[#All],[PID]],0)))</f>
        <v/>
      </c>
      <c r="J445" t="str">
        <f>IF(DraftResults[[#This Row],[Player ID]]=0,"",INDEX(Table5[[#All],[First]],MATCH(DraftResults[[#This Row],[Player ID]],Table5[[#All],[PID]],0)))</f>
        <v/>
      </c>
      <c r="K445" t="str">
        <f>IF(DraftResults[[#This Row],[Player ID]]=0,"",INDEX(Table5[[#All],[Last]],MATCH(DraftResults[[#This Row],[Player ID]],Table5[[#All],[PID]],0)))</f>
        <v/>
      </c>
    </row>
    <row r="446" spans="1:11" x14ac:dyDescent="0.25">
      <c r="A446">
        <v>15</v>
      </c>
      <c r="B446">
        <v>0</v>
      </c>
      <c r="C446">
        <v>19</v>
      </c>
      <c r="D446" t="s">
        <v>490</v>
      </c>
      <c r="E446">
        <v>167</v>
      </c>
      <c r="F446">
        <v>0</v>
      </c>
      <c r="G446" t="s">
        <v>318</v>
      </c>
      <c r="H4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443</v>
      </c>
      <c r="I446" t="str">
        <f>IF(DraftResults[[#This Row],[Player ID]]=0,"",INDEX(Table5[[#All],[Pos]],MATCH(DraftResults[[#This Row],[Player ID]],Table5[[#All],[PID]],0)))</f>
        <v/>
      </c>
      <c r="J446" t="str">
        <f>IF(DraftResults[[#This Row],[Player ID]]=0,"",INDEX(Table5[[#All],[First]],MATCH(DraftResults[[#This Row],[Player ID]],Table5[[#All],[PID]],0)))</f>
        <v/>
      </c>
      <c r="K446" t="str">
        <f>IF(DraftResults[[#This Row],[Player ID]]=0,"",INDEX(Table5[[#All],[Last]],MATCH(DraftResults[[#This Row],[Player ID]],Table5[[#All],[PID]],0)))</f>
        <v/>
      </c>
    </row>
    <row r="447" spans="1:11" x14ac:dyDescent="0.25">
      <c r="A447">
        <v>15</v>
      </c>
      <c r="B447">
        <v>0</v>
      </c>
      <c r="C447">
        <v>20</v>
      </c>
      <c r="D447" t="s">
        <v>243</v>
      </c>
      <c r="E447">
        <v>19</v>
      </c>
      <c r="F447">
        <v>0</v>
      </c>
      <c r="G447" t="s">
        <v>318</v>
      </c>
      <c r="H4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444</v>
      </c>
      <c r="I447" t="str">
        <f>IF(DraftResults[[#This Row],[Player ID]]=0,"",INDEX(Table5[[#All],[Pos]],MATCH(DraftResults[[#This Row],[Player ID]],Table5[[#All],[PID]],0)))</f>
        <v/>
      </c>
      <c r="J447" t="str">
        <f>IF(DraftResults[[#This Row],[Player ID]]=0,"",INDEX(Table5[[#All],[First]],MATCH(DraftResults[[#This Row],[Player ID]],Table5[[#All],[PID]],0)))</f>
        <v/>
      </c>
      <c r="K447" t="str">
        <f>IF(DraftResults[[#This Row],[Player ID]]=0,"",INDEX(Table5[[#All],[Last]],MATCH(DraftResults[[#This Row],[Player ID]],Table5[[#All],[PID]],0)))</f>
        <v/>
      </c>
    </row>
    <row r="448" spans="1:11" x14ac:dyDescent="0.25">
      <c r="A448">
        <v>15</v>
      </c>
      <c r="B448">
        <v>0</v>
      </c>
      <c r="C448">
        <v>21</v>
      </c>
      <c r="D448" t="s">
        <v>487</v>
      </c>
      <c r="E448">
        <v>163</v>
      </c>
      <c r="F448">
        <v>0</v>
      </c>
      <c r="G448" t="s">
        <v>318</v>
      </c>
      <c r="H4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445</v>
      </c>
      <c r="I448" t="str">
        <f>IF(DraftResults[[#This Row],[Player ID]]=0,"",INDEX(Table5[[#All],[Pos]],MATCH(DraftResults[[#This Row],[Player ID]],Table5[[#All],[PID]],0)))</f>
        <v/>
      </c>
      <c r="J448" t="str">
        <f>IF(DraftResults[[#This Row],[Player ID]]=0,"",INDEX(Table5[[#All],[First]],MATCH(DraftResults[[#This Row],[Player ID]],Table5[[#All],[PID]],0)))</f>
        <v/>
      </c>
      <c r="K448" t="str">
        <f>IF(DraftResults[[#This Row],[Player ID]]=0,"",INDEX(Table5[[#All],[Last]],MATCH(DraftResults[[#This Row],[Player ID]],Table5[[#All],[PID]],0)))</f>
        <v/>
      </c>
    </row>
    <row r="449" spans="1:11" x14ac:dyDescent="0.25">
      <c r="A449">
        <v>15</v>
      </c>
      <c r="B449">
        <v>0</v>
      </c>
      <c r="C449">
        <v>22</v>
      </c>
      <c r="D449" t="s">
        <v>255</v>
      </c>
      <c r="E449">
        <v>20</v>
      </c>
      <c r="F449">
        <v>0</v>
      </c>
      <c r="G449" t="s">
        <v>318</v>
      </c>
      <c r="H4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446</v>
      </c>
      <c r="I449" t="str">
        <f>IF(DraftResults[[#This Row],[Player ID]]=0,"",INDEX(Table5[[#All],[Pos]],MATCH(DraftResults[[#This Row],[Player ID]],Table5[[#All],[PID]],0)))</f>
        <v/>
      </c>
      <c r="J449" t="str">
        <f>IF(DraftResults[[#This Row],[Player ID]]=0,"",INDEX(Table5[[#All],[First]],MATCH(DraftResults[[#This Row],[Player ID]],Table5[[#All],[PID]],0)))</f>
        <v/>
      </c>
      <c r="K449" t="str">
        <f>IF(DraftResults[[#This Row],[Player ID]]=0,"",INDEX(Table5[[#All],[Last]],MATCH(DraftResults[[#This Row],[Player ID]],Table5[[#All],[PID]],0)))</f>
        <v/>
      </c>
    </row>
    <row r="450" spans="1:11" x14ac:dyDescent="0.25">
      <c r="A450">
        <v>15</v>
      </c>
      <c r="B450">
        <v>0</v>
      </c>
      <c r="C450">
        <v>23</v>
      </c>
      <c r="D450" t="s">
        <v>485</v>
      </c>
      <c r="E450">
        <v>166</v>
      </c>
      <c r="F450">
        <v>0</v>
      </c>
      <c r="G450" t="s">
        <v>318</v>
      </c>
      <c r="H4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447</v>
      </c>
      <c r="I450" t="str">
        <f>IF(DraftResults[[#This Row],[Player ID]]=0,"",INDEX(Table5[[#All],[Pos]],MATCH(DraftResults[[#This Row],[Player ID]],Table5[[#All],[PID]],0)))</f>
        <v/>
      </c>
      <c r="J450" t="str">
        <f>IF(DraftResults[[#This Row],[Player ID]]=0,"",INDEX(Table5[[#All],[First]],MATCH(DraftResults[[#This Row],[Player ID]],Table5[[#All],[PID]],0)))</f>
        <v/>
      </c>
      <c r="K450" t="str">
        <f>IF(DraftResults[[#This Row],[Player ID]]=0,"",INDEX(Table5[[#All],[Last]],MATCH(DraftResults[[#This Row],[Player ID]],Table5[[#All],[PID]],0)))</f>
        <v/>
      </c>
    </row>
    <row r="451" spans="1:11" x14ac:dyDescent="0.25">
      <c r="A451">
        <v>15</v>
      </c>
      <c r="B451">
        <v>0</v>
      </c>
      <c r="C451">
        <v>24</v>
      </c>
      <c r="D451" t="s">
        <v>244</v>
      </c>
      <c r="E451">
        <v>22</v>
      </c>
      <c r="F451">
        <v>0</v>
      </c>
      <c r="G451" t="s">
        <v>318</v>
      </c>
      <c r="H4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448</v>
      </c>
      <c r="I451" t="str">
        <f>IF(DraftResults[[#This Row],[Player ID]]=0,"",INDEX(Table5[[#All],[Pos]],MATCH(DraftResults[[#This Row],[Player ID]],Table5[[#All],[PID]],0)))</f>
        <v/>
      </c>
      <c r="J451" t="str">
        <f>IF(DraftResults[[#This Row],[Player ID]]=0,"",INDEX(Table5[[#All],[First]],MATCH(DraftResults[[#This Row],[Player ID]],Table5[[#All],[PID]],0)))</f>
        <v/>
      </c>
      <c r="K451" t="str">
        <f>IF(DraftResults[[#This Row],[Player ID]]=0,"",INDEX(Table5[[#All],[Last]],MATCH(DraftResults[[#This Row],[Player ID]],Table5[[#All],[PID]],0)))</f>
        <v/>
      </c>
    </row>
    <row r="452" spans="1:11" x14ac:dyDescent="0.25">
      <c r="A452">
        <v>15</v>
      </c>
      <c r="B452">
        <v>0</v>
      </c>
      <c r="C452">
        <v>25</v>
      </c>
      <c r="D452" t="s">
        <v>253</v>
      </c>
      <c r="E452">
        <v>14</v>
      </c>
      <c r="F452">
        <v>0</v>
      </c>
      <c r="G452" t="s">
        <v>318</v>
      </c>
      <c r="H4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449</v>
      </c>
      <c r="I452" t="str">
        <f>IF(DraftResults[[#This Row],[Player ID]]=0,"",INDEX(Table5[[#All],[Pos]],MATCH(DraftResults[[#This Row],[Player ID]],Table5[[#All],[PID]],0)))</f>
        <v/>
      </c>
      <c r="J452" t="str">
        <f>IF(DraftResults[[#This Row],[Player ID]]=0,"",INDEX(Table5[[#All],[First]],MATCH(DraftResults[[#This Row],[Player ID]],Table5[[#All],[PID]],0)))</f>
        <v/>
      </c>
      <c r="K452" t="str">
        <f>IF(DraftResults[[#This Row],[Player ID]]=0,"",INDEX(Table5[[#All],[Last]],MATCH(DraftResults[[#This Row],[Player ID]],Table5[[#All],[PID]],0)))</f>
        <v/>
      </c>
    </row>
    <row r="453" spans="1:11" x14ac:dyDescent="0.25">
      <c r="A453">
        <v>15</v>
      </c>
      <c r="B453">
        <v>0</v>
      </c>
      <c r="C453">
        <v>26</v>
      </c>
      <c r="D453" t="s">
        <v>694</v>
      </c>
      <c r="E453">
        <v>24</v>
      </c>
      <c r="F453">
        <v>0</v>
      </c>
      <c r="G453" t="s">
        <v>318</v>
      </c>
      <c r="H4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450</v>
      </c>
      <c r="I453" t="str">
        <f>IF(DraftResults[[#This Row],[Player ID]]=0,"",INDEX(Table5[[#All],[Pos]],MATCH(DraftResults[[#This Row],[Player ID]],Table5[[#All],[PID]],0)))</f>
        <v/>
      </c>
      <c r="J453" t="str">
        <f>IF(DraftResults[[#This Row],[Player ID]]=0,"",INDEX(Table5[[#All],[First]],MATCH(DraftResults[[#This Row],[Player ID]],Table5[[#All],[PID]],0)))</f>
        <v/>
      </c>
      <c r="K453" t="str">
        <f>IF(DraftResults[[#This Row],[Player ID]]=0,"",INDEX(Table5[[#All],[Last]],MATCH(DraftResults[[#This Row],[Player ID]],Table5[[#All],[PID]],0)))</f>
        <v/>
      </c>
    </row>
    <row r="454" spans="1:11" x14ac:dyDescent="0.25">
      <c r="A454">
        <v>15</v>
      </c>
      <c r="B454">
        <v>0</v>
      </c>
      <c r="C454">
        <v>27</v>
      </c>
      <c r="D454" t="s">
        <v>247</v>
      </c>
      <c r="E454">
        <v>17</v>
      </c>
      <c r="F454">
        <v>0</v>
      </c>
      <c r="G454" t="s">
        <v>318</v>
      </c>
      <c r="H4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451</v>
      </c>
      <c r="I454" t="str">
        <f>IF(DraftResults[[#This Row],[Player ID]]=0,"",INDEX(Table5[[#All],[Pos]],MATCH(DraftResults[[#This Row],[Player ID]],Table5[[#All],[PID]],0)))</f>
        <v/>
      </c>
      <c r="J454" t="str">
        <f>IF(DraftResults[[#This Row],[Player ID]]=0,"",INDEX(Table5[[#All],[First]],MATCH(DraftResults[[#This Row],[Player ID]],Table5[[#All],[PID]],0)))</f>
        <v/>
      </c>
      <c r="K454" t="str">
        <f>IF(DraftResults[[#This Row],[Player ID]]=0,"",INDEX(Table5[[#All],[Last]],MATCH(DraftResults[[#This Row],[Player ID]],Table5[[#All],[PID]],0)))</f>
        <v/>
      </c>
    </row>
    <row r="455" spans="1:11" x14ac:dyDescent="0.25">
      <c r="A455">
        <v>15</v>
      </c>
      <c r="B455">
        <v>0</v>
      </c>
      <c r="C455">
        <v>28</v>
      </c>
      <c r="D455" t="s">
        <v>698</v>
      </c>
      <c r="E455">
        <v>9</v>
      </c>
      <c r="F455">
        <v>0</v>
      </c>
      <c r="G455" t="s">
        <v>318</v>
      </c>
      <c r="H4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452</v>
      </c>
      <c r="I455" t="str">
        <f>IF(DraftResults[[#This Row],[Player ID]]=0,"",INDEX(Table5[[#All],[Pos]],MATCH(DraftResults[[#This Row],[Player ID]],Table5[[#All],[PID]],0)))</f>
        <v/>
      </c>
      <c r="J455" t="str">
        <f>IF(DraftResults[[#This Row],[Player ID]]=0,"",INDEX(Table5[[#All],[First]],MATCH(DraftResults[[#This Row],[Player ID]],Table5[[#All],[PID]],0)))</f>
        <v/>
      </c>
      <c r="K455" t="str">
        <f>IF(DraftResults[[#This Row],[Player ID]]=0,"",INDEX(Table5[[#All],[Last]],MATCH(DraftResults[[#This Row],[Player ID]],Table5[[#All],[PID]],0)))</f>
        <v/>
      </c>
    </row>
    <row r="456" spans="1:11" x14ac:dyDescent="0.25">
      <c r="A456">
        <v>15</v>
      </c>
      <c r="B456">
        <v>0</v>
      </c>
      <c r="C456">
        <v>29</v>
      </c>
      <c r="D456" t="s">
        <v>486</v>
      </c>
      <c r="E456">
        <v>159</v>
      </c>
      <c r="F456">
        <v>0</v>
      </c>
      <c r="G456" t="s">
        <v>318</v>
      </c>
      <c r="H4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453</v>
      </c>
      <c r="I456" t="str">
        <f>IF(DraftResults[[#This Row],[Player ID]]=0,"",INDEX(Table5[[#All],[Pos]],MATCH(DraftResults[[#This Row],[Player ID]],Table5[[#All],[PID]],0)))</f>
        <v/>
      </c>
      <c r="J456" t="str">
        <f>IF(DraftResults[[#This Row],[Player ID]]=0,"",INDEX(Table5[[#All],[First]],MATCH(DraftResults[[#This Row],[Player ID]],Table5[[#All],[PID]],0)))</f>
        <v/>
      </c>
      <c r="K456" t="str">
        <f>IF(DraftResults[[#This Row],[Player ID]]=0,"",INDEX(Table5[[#All],[Last]],MATCH(DraftResults[[#This Row],[Player ID]],Table5[[#All],[PID]],0)))</f>
        <v/>
      </c>
    </row>
    <row r="457" spans="1:11" x14ac:dyDescent="0.25">
      <c r="A457">
        <v>15</v>
      </c>
      <c r="B457">
        <v>0</v>
      </c>
      <c r="C457">
        <v>30</v>
      </c>
      <c r="D457" t="s">
        <v>249</v>
      </c>
      <c r="E457">
        <v>11</v>
      </c>
      <c r="F457">
        <v>0</v>
      </c>
      <c r="G457" t="s">
        <v>318</v>
      </c>
      <c r="H4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454</v>
      </c>
      <c r="I457" t="str">
        <f>IF(DraftResults[[#This Row],[Player ID]]=0,"",INDEX(Table5[[#All],[Pos]],MATCH(DraftResults[[#This Row],[Player ID]],Table5[[#All],[PID]],0)))</f>
        <v/>
      </c>
      <c r="J457" t="str">
        <f>IF(DraftResults[[#This Row],[Player ID]]=0,"",INDEX(Table5[[#All],[First]],MATCH(DraftResults[[#This Row],[Player ID]],Table5[[#All],[PID]],0)))</f>
        <v/>
      </c>
      <c r="K457" t="str">
        <f>IF(DraftResults[[#This Row],[Player ID]]=0,"",INDEX(Table5[[#All],[Last]],MATCH(DraftResults[[#This Row],[Player ID]],Table5[[#All],[PID]],0)))</f>
        <v/>
      </c>
    </row>
    <row r="458" spans="1:11" x14ac:dyDescent="0.25">
      <c r="A458">
        <v>16</v>
      </c>
      <c r="B458">
        <v>0</v>
      </c>
      <c r="C458">
        <v>1</v>
      </c>
      <c r="D458" t="s">
        <v>695</v>
      </c>
      <c r="E458">
        <v>160</v>
      </c>
      <c r="F458">
        <v>0</v>
      </c>
      <c r="G458" t="s">
        <v>318</v>
      </c>
      <c r="H4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455</v>
      </c>
      <c r="I458" t="str">
        <f>IF(DraftResults[[#This Row],[Player ID]]=0,"",INDEX(Table5[[#All],[Pos]],MATCH(DraftResults[[#This Row],[Player ID]],Table5[[#All],[PID]],0)))</f>
        <v/>
      </c>
      <c r="J458" t="str">
        <f>IF(DraftResults[[#This Row],[Player ID]]=0,"",INDEX(Table5[[#All],[First]],MATCH(DraftResults[[#This Row],[Player ID]],Table5[[#All],[PID]],0)))</f>
        <v/>
      </c>
      <c r="K458" t="str">
        <f>IF(DraftResults[[#This Row],[Player ID]]=0,"",INDEX(Table5[[#All],[Last]],MATCH(DraftResults[[#This Row],[Player ID]],Table5[[#All],[PID]],0)))</f>
        <v/>
      </c>
    </row>
    <row r="459" spans="1:11" x14ac:dyDescent="0.25">
      <c r="A459">
        <v>16</v>
      </c>
      <c r="B459">
        <v>0</v>
      </c>
      <c r="C459">
        <v>2</v>
      </c>
      <c r="D459" t="s">
        <v>694</v>
      </c>
      <c r="E459">
        <v>24</v>
      </c>
      <c r="F459">
        <v>0</v>
      </c>
      <c r="G459" t="s">
        <v>318</v>
      </c>
      <c r="H4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456</v>
      </c>
      <c r="I459" t="str">
        <f>IF(DraftResults[[#This Row],[Player ID]]=0,"",INDEX(Table5[[#All],[Pos]],MATCH(DraftResults[[#This Row],[Player ID]],Table5[[#All],[PID]],0)))</f>
        <v/>
      </c>
      <c r="J459" t="str">
        <f>IF(DraftResults[[#This Row],[Player ID]]=0,"",INDEX(Table5[[#All],[First]],MATCH(DraftResults[[#This Row],[Player ID]],Table5[[#All],[PID]],0)))</f>
        <v/>
      </c>
      <c r="K459" t="str">
        <f>IF(DraftResults[[#This Row],[Player ID]]=0,"",INDEX(Table5[[#All],[Last]],MATCH(DraftResults[[#This Row],[Player ID]],Table5[[#All],[PID]],0)))</f>
        <v/>
      </c>
    </row>
    <row r="460" spans="1:11" x14ac:dyDescent="0.25">
      <c r="A460">
        <v>16</v>
      </c>
      <c r="B460">
        <v>0</v>
      </c>
      <c r="C460">
        <v>3</v>
      </c>
      <c r="D460" t="s">
        <v>697</v>
      </c>
      <c r="E460">
        <v>23</v>
      </c>
      <c r="F460">
        <v>0</v>
      </c>
      <c r="G460" t="s">
        <v>318</v>
      </c>
      <c r="H4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457</v>
      </c>
      <c r="I460" t="str">
        <f>IF(DraftResults[[#This Row],[Player ID]]=0,"",INDEX(Table5[[#All],[Pos]],MATCH(DraftResults[[#This Row],[Player ID]],Table5[[#All],[PID]],0)))</f>
        <v/>
      </c>
      <c r="J460" t="str">
        <f>IF(DraftResults[[#This Row],[Player ID]]=0,"",INDEX(Table5[[#All],[First]],MATCH(DraftResults[[#This Row],[Player ID]],Table5[[#All],[PID]],0)))</f>
        <v/>
      </c>
      <c r="K460" t="str">
        <f>IF(DraftResults[[#This Row],[Player ID]]=0,"",INDEX(Table5[[#All],[Last]],MATCH(DraftResults[[#This Row],[Player ID]],Table5[[#All],[PID]],0)))</f>
        <v/>
      </c>
    </row>
    <row r="461" spans="1:11" x14ac:dyDescent="0.25">
      <c r="A461">
        <v>16</v>
      </c>
      <c r="B461">
        <v>0</v>
      </c>
      <c r="C461">
        <v>4</v>
      </c>
      <c r="D461" t="s">
        <v>252</v>
      </c>
      <c r="E461">
        <v>1</v>
      </c>
      <c r="F461">
        <v>0</v>
      </c>
      <c r="G461" t="s">
        <v>318</v>
      </c>
      <c r="H4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458</v>
      </c>
      <c r="I461" t="str">
        <f>IF(DraftResults[[#This Row],[Player ID]]=0,"",INDEX(Table5[[#All],[Pos]],MATCH(DraftResults[[#This Row],[Player ID]],Table5[[#All],[PID]],0)))</f>
        <v/>
      </c>
      <c r="J461" t="str">
        <f>IF(DraftResults[[#This Row],[Player ID]]=0,"",INDEX(Table5[[#All],[First]],MATCH(DraftResults[[#This Row],[Player ID]],Table5[[#All],[PID]],0)))</f>
        <v/>
      </c>
      <c r="K461" t="str">
        <f>IF(DraftResults[[#This Row],[Player ID]]=0,"",INDEX(Table5[[#All],[Last]],MATCH(DraftResults[[#This Row],[Player ID]],Table5[[#All],[PID]],0)))</f>
        <v/>
      </c>
    </row>
    <row r="462" spans="1:11" x14ac:dyDescent="0.25">
      <c r="A462">
        <v>16</v>
      </c>
      <c r="B462">
        <v>0</v>
      </c>
      <c r="C462">
        <v>5</v>
      </c>
      <c r="D462" t="s">
        <v>484</v>
      </c>
      <c r="E462">
        <v>164</v>
      </c>
      <c r="F462">
        <v>0</v>
      </c>
      <c r="G462" t="s">
        <v>318</v>
      </c>
      <c r="H4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459</v>
      </c>
      <c r="I462" t="str">
        <f>IF(DraftResults[[#This Row],[Player ID]]=0,"",INDEX(Table5[[#All],[Pos]],MATCH(DraftResults[[#This Row],[Player ID]],Table5[[#All],[PID]],0)))</f>
        <v/>
      </c>
      <c r="J462" t="str">
        <f>IF(DraftResults[[#This Row],[Player ID]]=0,"",INDEX(Table5[[#All],[First]],MATCH(DraftResults[[#This Row],[Player ID]],Table5[[#All],[PID]],0)))</f>
        <v/>
      </c>
      <c r="K462" t="str">
        <f>IF(DraftResults[[#This Row],[Player ID]]=0,"",INDEX(Table5[[#All],[Last]],MATCH(DraftResults[[#This Row],[Player ID]],Table5[[#All],[PID]],0)))</f>
        <v/>
      </c>
    </row>
    <row r="463" spans="1:11" x14ac:dyDescent="0.25">
      <c r="A463">
        <v>16</v>
      </c>
      <c r="B463">
        <v>0</v>
      </c>
      <c r="C463">
        <v>6</v>
      </c>
      <c r="D463" t="s">
        <v>254</v>
      </c>
      <c r="E463">
        <v>15</v>
      </c>
      <c r="F463">
        <v>0</v>
      </c>
      <c r="G463" t="s">
        <v>318</v>
      </c>
      <c r="H4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460</v>
      </c>
      <c r="I463" t="str">
        <f>IF(DraftResults[[#This Row],[Player ID]]=0,"",INDEX(Table5[[#All],[Pos]],MATCH(DraftResults[[#This Row],[Player ID]],Table5[[#All],[PID]],0)))</f>
        <v/>
      </c>
      <c r="J463" t="str">
        <f>IF(DraftResults[[#This Row],[Player ID]]=0,"",INDEX(Table5[[#All],[First]],MATCH(DraftResults[[#This Row],[Player ID]],Table5[[#All],[PID]],0)))</f>
        <v/>
      </c>
      <c r="K463" t="str">
        <f>IF(DraftResults[[#This Row],[Player ID]]=0,"",INDEX(Table5[[#All],[Last]],MATCH(DraftResults[[#This Row],[Player ID]],Table5[[#All],[PID]],0)))</f>
        <v/>
      </c>
    </row>
    <row r="464" spans="1:11" x14ac:dyDescent="0.25">
      <c r="A464">
        <v>16</v>
      </c>
      <c r="B464">
        <v>0</v>
      </c>
      <c r="C464">
        <v>7</v>
      </c>
      <c r="D464" t="s">
        <v>588</v>
      </c>
      <c r="E464">
        <v>4</v>
      </c>
      <c r="F464">
        <v>0</v>
      </c>
      <c r="G464" t="s">
        <v>318</v>
      </c>
      <c r="H4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461</v>
      </c>
      <c r="I464" t="str">
        <f>IF(DraftResults[[#This Row],[Player ID]]=0,"",INDEX(Table5[[#All],[Pos]],MATCH(DraftResults[[#This Row],[Player ID]],Table5[[#All],[PID]],0)))</f>
        <v/>
      </c>
      <c r="J464" t="str">
        <f>IF(DraftResults[[#This Row],[Player ID]]=0,"",INDEX(Table5[[#All],[First]],MATCH(DraftResults[[#This Row],[Player ID]],Table5[[#All],[PID]],0)))</f>
        <v/>
      </c>
      <c r="K464" t="str">
        <f>IF(DraftResults[[#This Row],[Player ID]]=0,"",INDEX(Table5[[#All],[Last]],MATCH(DraftResults[[#This Row],[Player ID]],Table5[[#All],[PID]],0)))</f>
        <v/>
      </c>
    </row>
    <row r="465" spans="1:11" x14ac:dyDescent="0.25">
      <c r="A465">
        <v>16</v>
      </c>
      <c r="B465">
        <v>0</v>
      </c>
      <c r="C465">
        <v>8</v>
      </c>
      <c r="D465" t="s">
        <v>587</v>
      </c>
      <c r="E465">
        <v>7</v>
      </c>
      <c r="F465">
        <v>0</v>
      </c>
      <c r="G465" t="s">
        <v>318</v>
      </c>
      <c r="H4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462</v>
      </c>
      <c r="I465" t="str">
        <f>IF(DraftResults[[#This Row],[Player ID]]=0,"",INDEX(Table5[[#All],[Pos]],MATCH(DraftResults[[#This Row],[Player ID]],Table5[[#All],[PID]],0)))</f>
        <v/>
      </c>
      <c r="J465" t="str">
        <f>IF(DraftResults[[#This Row],[Player ID]]=0,"",INDEX(Table5[[#All],[First]],MATCH(DraftResults[[#This Row],[Player ID]],Table5[[#All],[PID]],0)))</f>
        <v/>
      </c>
      <c r="K465" t="str">
        <f>IF(DraftResults[[#This Row],[Player ID]]=0,"",INDEX(Table5[[#All],[Last]],MATCH(DraftResults[[#This Row],[Player ID]],Table5[[#All],[PID]],0)))</f>
        <v/>
      </c>
    </row>
    <row r="466" spans="1:11" x14ac:dyDescent="0.25">
      <c r="A466">
        <v>16</v>
      </c>
      <c r="B466">
        <v>0</v>
      </c>
      <c r="C466">
        <v>9</v>
      </c>
      <c r="D466" t="s">
        <v>246</v>
      </c>
      <c r="E466">
        <v>21</v>
      </c>
      <c r="F466">
        <v>0</v>
      </c>
      <c r="G466" t="s">
        <v>318</v>
      </c>
      <c r="H4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463</v>
      </c>
      <c r="I466" t="str">
        <f>IF(DraftResults[[#This Row],[Player ID]]=0,"",INDEX(Table5[[#All],[Pos]],MATCH(DraftResults[[#This Row],[Player ID]],Table5[[#All],[PID]],0)))</f>
        <v/>
      </c>
      <c r="J466" t="str">
        <f>IF(DraftResults[[#This Row],[Player ID]]=0,"",INDEX(Table5[[#All],[First]],MATCH(DraftResults[[#This Row],[Player ID]],Table5[[#All],[PID]],0)))</f>
        <v/>
      </c>
      <c r="K466" t="str">
        <f>IF(DraftResults[[#This Row],[Player ID]]=0,"",INDEX(Table5[[#All],[Last]],MATCH(DraftResults[[#This Row],[Player ID]],Table5[[#All],[PID]],0)))</f>
        <v/>
      </c>
    </row>
    <row r="467" spans="1:11" x14ac:dyDescent="0.25">
      <c r="A467">
        <v>16</v>
      </c>
      <c r="B467">
        <v>0</v>
      </c>
      <c r="C467">
        <v>10</v>
      </c>
      <c r="D467" t="s">
        <v>696</v>
      </c>
      <c r="E467">
        <v>13</v>
      </c>
      <c r="F467">
        <v>0</v>
      </c>
      <c r="G467" t="s">
        <v>318</v>
      </c>
      <c r="H4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464</v>
      </c>
      <c r="I467" t="str">
        <f>IF(DraftResults[[#This Row],[Player ID]]=0,"",INDEX(Table5[[#All],[Pos]],MATCH(DraftResults[[#This Row],[Player ID]],Table5[[#All],[PID]],0)))</f>
        <v/>
      </c>
      <c r="J467" t="str">
        <f>IF(DraftResults[[#This Row],[Player ID]]=0,"",INDEX(Table5[[#All],[First]],MATCH(DraftResults[[#This Row],[Player ID]],Table5[[#All],[PID]],0)))</f>
        <v/>
      </c>
      <c r="K467" t="str">
        <f>IF(DraftResults[[#This Row],[Player ID]]=0,"",INDEX(Table5[[#All],[Last]],MATCH(DraftResults[[#This Row],[Player ID]],Table5[[#All],[PID]],0)))</f>
        <v/>
      </c>
    </row>
    <row r="468" spans="1:11" x14ac:dyDescent="0.25">
      <c r="A468">
        <v>16</v>
      </c>
      <c r="B468">
        <v>0</v>
      </c>
      <c r="C468">
        <v>11</v>
      </c>
      <c r="D468" t="s">
        <v>251</v>
      </c>
      <c r="E468">
        <v>3</v>
      </c>
      <c r="F468">
        <v>0</v>
      </c>
      <c r="G468" t="s">
        <v>318</v>
      </c>
      <c r="H4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465</v>
      </c>
      <c r="I468" t="str">
        <f>IF(DraftResults[[#This Row],[Player ID]]=0,"",INDEX(Table5[[#All],[Pos]],MATCH(DraftResults[[#This Row],[Player ID]],Table5[[#All],[PID]],0)))</f>
        <v/>
      </c>
      <c r="J468" t="str">
        <f>IF(DraftResults[[#This Row],[Player ID]]=0,"",INDEX(Table5[[#All],[First]],MATCH(DraftResults[[#This Row],[Player ID]],Table5[[#All],[PID]],0)))</f>
        <v/>
      </c>
      <c r="K468" t="str">
        <f>IF(DraftResults[[#This Row],[Player ID]]=0,"",INDEX(Table5[[#All],[Last]],MATCH(DraftResults[[#This Row],[Player ID]],Table5[[#All],[PID]],0)))</f>
        <v/>
      </c>
    </row>
    <row r="469" spans="1:11" x14ac:dyDescent="0.25">
      <c r="A469">
        <v>16</v>
      </c>
      <c r="B469">
        <v>0</v>
      </c>
      <c r="C469">
        <v>12</v>
      </c>
      <c r="D469" t="s">
        <v>257</v>
      </c>
      <c r="E469">
        <v>8</v>
      </c>
      <c r="F469">
        <v>0</v>
      </c>
      <c r="G469" t="s">
        <v>318</v>
      </c>
      <c r="H4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466</v>
      </c>
      <c r="I469" t="str">
        <f>IF(DraftResults[[#This Row],[Player ID]]=0,"",INDEX(Table5[[#All],[Pos]],MATCH(DraftResults[[#This Row],[Player ID]],Table5[[#All],[PID]],0)))</f>
        <v/>
      </c>
      <c r="J469" t="str">
        <f>IF(DraftResults[[#This Row],[Player ID]]=0,"",INDEX(Table5[[#All],[First]],MATCH(DraftResults[[#This Row],[Player ID]],Table5[[#All],[PID]],0)))</f>
        <v/>
      </c>
      <c r="K469" t="str">
        <f>IF(DraftResults[[#This Row],[Player ID]]=0,"",INDEX(Table5[[#All],[Last]],MATCH(DraftResults[[#This Row],[Player ID]],Table5[[#All],[PID]],0)))</f>
        <v/>
      </c>
    </row>
    <row r="470" spans="1:11" x14ac:dyDescent="0.25">
      <c r="A470">
        <v>16</v>
      </c>
      <c r="B470">
        <v>0</v>
      </c>
      <c r="C470">
        <v>13</v>
      </c>
      <c r="D470" t="s">
        <v>262</v>
      </c>
      <c r="E470">
        <v>12</v>
      </c>
      <c r="F470">
        <v>0</v>
      </c>
      <c r="G470" t="s">
        <v>318</v>
      </c>
      <c r="H4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467</v>
      </c>
      <c r="I470" t="str">
        <f>IF(DraftResults[[#This Row],[Player ID]]=0,"",INDEX(Table5[[#All],[Pos]],MATCH(DraftResults[[#This Row],[Player ID]],Table5[[#All],[PID]],0)))</f>
        <v/>
      </c>
      <c r="J470" t="str">
        <f>IF(DraftResults[[#This Row],[Player ID]]=0,"",INDEX(Table5[[#All],[First]],MATCH(DraftResults[[#This Row],[Player ID]],Table5[[#All],[PID]],0)))</f>
        <v/>
      </c>
      <c r="K470" t="str">
        <f>IF(DraftResults[[#This Row],[Player ID]]=0,"",INDEX(Table5[[#All],[Last]],MATCH(DraftResults[[#This Row],[Player ID]],Table5[[#All],[PID]],0)))</f>
        <v/>
      </c>
    </row>
    <row r="471" spans="1:11" x14ac:dyDescent="0.25">
      <c r="A471">
        <v>16</v>
      </c>
      <c r="B471">
        <v>0</v>
      </c>
      <c r="C471">
        <v>14</v>
      </c>
      <c r="D471" t="s">
        <v>489</v>
      </c>
      <c r="E471">
        <v>18</v>
      </c>
      <c r="F471">
        <v>0</v>
      </c>
      <c r="G471" t="s">
        <v>318</v>
      </c>
      <c r="H4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468</v>
      </c>
      <c r="I471" t="str">
        <f>IF(DraftResults[[#This Row],[Player ID]]=0,"",INDEX(Table5[[#All],[Pos]],MATCH(DraftResults[[#This Row],[Player ID]],Table5[[#All],[PID]],0)))</f>
        <v/>
      </c>
      <c r="J471" t="str">
        <f>IF(DraftResults[[#This Row],[Player ID]]=0,"",INDEX(Table5[[#All],[First]],MATCH(DraftResults[[#This Row],[Player ID]],Table5[[#All],[PID]],0)))</f>
        <v/>
      </c>
      <c r="K471" t="str">
        <f>IF(DraftResults[[#This Row],[Player ID]]=0,"",INDEX(Table5[[#All],[Last]],MATCH(DraftResults[[#This Row],[Player ID]],Table5[[#All],[PID]],0)))</f>
        <v/>
      </c>
    </row>
    <row r="472" spans="1:11" x14ac:dyDescent="0.25">
      <c r="A472">
        <v>16</v>
      </c>
      <c r="B472">
        <v>0</v>
      </c>
      <c r="C472">
        <v>15</v>
      </c>
      <c r="D472" t="s">
        <v>250</v>
      </c>
      <c r="E472">
        <v>10</v>
      </c>
      <c r="F472">
        <v>0</v>
      </c>
      <c r="G472" t="s">
        <v>318</v>
      </c>
      <c r="H4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469</v>
      </c>
      <c r="I472" t="str">
        <f>IF(DraftResults[[#This Row],[Player ID]]=0,"",INDEX(Table5[[#All],[Pos]],MATCH(DraftResults[[#This Row],[Player ID]],Table5[[#All],[PID]],0)))</f>
        <v/>
      </c>
      <c r="J472" t="str">
        <f>IF(DraftResults[[#This Row],[Player ID]]=0,"",INDEX(Table5[[#All],[First]],MATCH(DraftResults[[#This Row],[Player ID]],Table5[[#All],[PID]],0)))</f>
        <v/>
      </c>
      <c r="K472" t="str">
        <f>IF(DraftResults[[#This Row],[Player ID]]=0,"",INDEX(Table5[[#All],[Last]],MATCH(DraftResults[[#This Row],[Player ID]],Table5[[#All],[PID]],0)))</f>
        <v/>
      </c>
    </row>
    <row r="473" spans="1:11" x14ac:dyDescent="0.25">
      <c r="A473">
        <v>16</v>
      </c>
      <c r="B473">
        <v>0</v>
      </c>
      <c r="C473">
        <v>16</v>
      </c>
      <c r="D473" t="s">
        <v>482</v>
      </c>
      <c r="E473">
        <v>162</v>
      </c>
      <c r="F473">
        <v>0</v>
      </c>
      <c r="G473" t="s">
        <v>318</v>
      </c>
      <c r="H4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470</v>
      </c>
      <c r="I473" t="str">
        <f>IF(DraftResults[[#This Row],[Player ID]]=0,"",INDEX(Table5[[#All],[Pos]],MATCH(DraftResults[[#This Row],[Player ID]],Table5[[#All],[PID]],0)))</f>
        <v/>
      </c>
      <c r="J473" t="str">
        <f>IF(DraftResults[[#This Row],[Player ID]]=0,"",INDEX(Table5[[#All],[First]],MATCH(DraftResults[[#This Row],[Player ID]],Table5[[#All],[PID]],0)))</f>
        <v/>
      </c>
      <c r="K473" t="str">
        <f>IF(DraftResults[[#This Row],[Player ID]]=0,"",INDEX(Table5[[#All],[Last]],MATCH(DraftResults[[#This Row],[Player ID]],Table5[[#All],[PID]],0)))</f>
        <v/>
      </c>
    </row>
    <row r="474" spans="1:11" x14ac:dyDescent="0.25">
      <c r="A474">
        <v>16</v>
      </c>
      <c r="B474">
        <v>0</v>
      </c>
      <c r="C474">
        <v>17</v>
      </c>
      <c r="D474" t="s">
        <v>483</v>
      </c>
      <c r="E474">
        <v>2</v>
      </c>
      <c r="F474">
        <v>0</v>
      </c>
      <c r="G474" t="s">
        <v>318</v>
      </c>
      <c r="H4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471</v>
      </c>
      <c r="I474" t="str">
        <f>IF(DraftResults[[#This Row],[Player ID]]=0,"",INDEX(Table5[[#All],[Pos]],MATCH(DraftResults[[#This Row],[Player ID]],Table5[[#All],[PID]],0)))</f>
        <v/>
      </c>
      <c r="J474" t="str">
        <f>IF(DraftResults[[#This Row],[Player ID]]=0,"",INDEX(Table5[[#All],[First]],MATCH(DraftResults[[#This Row],[Player ID]],Table5[[#All],[PID]],0)))</f>
        <v/>
      </c>
      <c r="K474" t="str">
        <f>IF(DraftResults[[#This Row],[Player ID]]=0,"",INDEX(Table5[[#All],[Last]],MATCH(DraftResults[[#This Row],[Player ID]],Table5[[#All],[PID]],0)))</f>
        <v/>
      </c>
    </row>
    <row r="475" spans="1:11" x14ac:dyDescent="0.25">
      <c r="A475">
        <v>16</v>
      </c>
      <c r="B475">
        <v>0</v>
      </c>
      <c r="C475">
        <v>18</v>
      </c>
      <c r="D475" t="s">
        <v>258</v>
      </c>
      <c r="E475">
        <v>16</v>
      </c>
      <c r="F475">
        <v>0</v>
      </c>
      <c r="G475" t="s">
        <v>318</v>
      </c>
      <c r="H4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472</v>
      </c>
      <c r="I475" t="str">
        <f>IF(DraftResults[[#This Row],[Player ID]]=0,"",INDEX(Table5[[#All],[Pos]],MATCH(DraftResults[[#This Row],[Player ID]],Table5[[#All],[PID]],0)))</f>
        <v/>
      </c>
      <c r="J475" t="str">
        <f>IF(DraftResults[[#This Row],[Player ID]]=0,"",INDEX(Table5[[#All],[First]],MATCH(DraftResults[[#This Row],[Player ID]],Table5[[#All],[PID]],0)))</f>
        <v/>
      </c>
      <c r="K475" t="str">
        <f>IF(DraftResults[[#This Row],[Player ID]]=0,"",INDEX(Table5[[#All],[Last]],MATCH(DraftResults[[#This Row],[Player ID]],Table5[[#All],[PID]],0)))</f>
        <v/>
      </c>
    </row>
    <row r="476" spans="1:11" x14ac:dyDescent="0.25">
      <c r="A476">
        <v>16</v>
      </c>
      <c r="B476">
        <v>0</v>
      </c>
      <c r="C476">
        <v>19</v>
      </c>
      <c r="D476" t="s">
        <v>490</v>
      </c>
      <c r="E476">
        <v>167</v>
      </c>
      <c r="F476">
        <v>0</v>
      </c>
      <c r="G476" t="s">
        <v>318</v>
      </c>
      <c r="H4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473</v>
      </c>
      <c r="I476" t="str">
        <f>IF(DraftResults[[#This Row],[Player ID]]=0,"",INDEX(Table5[[#All],[Pos]],MATCH(DraftResults[[#This Row],[Player ID]],Table5[[#All],[PID]],0)))</f>
        <v/>
      </c>
      <c r="J476" t="str">
        <f>IF(DraftResults[[#This Row],[Player ID]]=0,"",INDEX(Table5[[#All],[First]],MATCH(DraftResults[[#This Row],[Player ID]],Table5[[#All],[PID]],0)))</f>
        <v/>
      </c>
      <c r="K476" t="str">
        <f>IF(DraftResults[[#This Row],[Player ID]]=0,"",INDEX(Table5[[#All],[Last]],MATCH(DraftResults[[#This Row],[Player ID]],Table5[[#All],[PID]],0)))</f>
        <v/>
      </c>
    </row>
    <row r="477" spans="1:11" x14ac:dyDescent="0.25">
      <c r="A477">
        <v>16</v>
      </c>
      <c r="B477">
        <v>0</v>
      </c>
      <c r="C477">
        <v>20</v>
      </c>
      <c r="D477" t="s">
        <v>243</v>
      </c>
      <c r="E477">
        <v>19</v>
      </c>
      <c r="F477">
        <v>0</v>
      </c>
      <c r="G477" t="s">
        <v>318</v>
      </c>
      <c r="H4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474</v>
      </c>
      <c r="I477" t="str">
        <f>IF(DraftResults[[#This Row],[Player ID]]=0,"",INDEX(Table5[[#All],[Pos]],MATCH(DraftResults[[#This Row],[Player ID]],Table5[[#All],[PID]],0)))</f>
        <v/>
      </c>
      <c r="J477" t="str">
        <f>IF(DraftResults[[#This Row],[Player ID]]=0,"",INDEX(Table5[[#All],[First]],MATCH(DraftResults[[#This Row],[Player ID]],Table5[[#All],[PID]],0)))</f>
        <v/>
      </c>
      <c r="K477" t="str">
        <f>IF(DraftResults[[#This Row],[Player ID]]=0,"",INDEX(Table5[[#All],[Last]],MATCH(DraftResults[[#This Row],[Player ID]],Table5[[#All],[PID]],0)))</f>
        <v/>
      </c>
    </row>
    <row r="478" spans="1:11" x14ac:dyDescent="0.25">
      <c r="A478">
        <v>16</v>
      </c>
      <c r="B478">
        <v>0</v>
      </c>
      <c r="C478">
        <v>21</v>
      </c>
      <c r="D478" t="s">
        <v>487</v>
      </c>
      <c r="E478">
        <v>163</v>
      </c>
      <c r="F478">
        <v>0</v>
      </c>
      <c r="G478" t="s">
        <v>318</v>
      </c>
      <c r="H4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475</v>
      </c>
      <c r="I478" t="str">
        <f>IF(DraftResults[[#This Row],[Player ID]]=0,"",INDEX(Table5[[#All],[Pos]],MATCH(DraftResults[[#This Row],[Player ID]],Table5[[#All],[PID]],0)))</f>
        <v/>
      </c>
      <c r="J478" t="str">
        <f>IF(DraftResults[[#This Row],[Player ID]]=0,"",INDEX(Table5[[#All],[First]],MATCH(DraftResults[[#This Row],[Player ID]],Table5[[#All],[PID]],0)))</f>
        <v/>
      </c>
      <c r="K478" t="str">
        <f>IF(DraftResults[[#This Row],[Player ID]]=0,"",INDEX(Table5[[#All],[Last]],MATCH(DraftResults[[#This Row],[Player ID]],Table5[[#All],[PID]],0)))</f>
        <v/>
      </c>
    </row>
    <row r="479" spans="1:11" x14ac:dyDescent="0.25">
      <c r="A479">
        <v>16</v>
      </c>
      <c r="B479">
        <v>0</v>
      </c>
      <c r="C479">
        <v>22</v>
      </c>
      <c r="D479" t="s">
        <v>255</v>
      </c>
      <c r="E479">
        <v>20</v>
      </c>
      <c r="F479">
        <v>0</v>
      </c>
      <c r="G479" t="s">
        <v>318</v>
      </c>
      <c r="H4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476</v>
      </c>
      <c r="I479" t="str">
        <f>IF(DraftResults[[#This Row],[Player ID]]=0,"",INDEX(Table5[[#All],[Pos]],MATCH(DraftResults[[#This Row],[Player ID]],Table5[[#All],[PID]],0)))</f>
        <v/>
      </c>
      <c r="J479" t="str">
        <f>IF(DraftResults[[#This Row],[Player ID]]=0,"",INDEX(Table5[[#All],[First]],MATCH(DraftResults[[#This Row],[Player ID]],Table5[[#All],[PID]],0)))</f>
        <v/>
      </c>
      <c r="K479" t="str">
        <f>IF(DraftResults[[#This Row],[Player ID]]=0,"",INDEX(Table5[[#All],[Last]],MATCH(DraftResults[[#This Row],[Player ID]],Table5[[#All],[PID]],0)))</f>
        <v/>
      </c>
    </row>
    <row r="480" spans="1:11" x14ac:dyDescent="0.25">
      <c r="A480">
        <v>16</v>
      </c>
      <c r="B480">
        <v>0</v>
      </c>
      <c r="C480">
        <v>23</v>
      </c>
      <c r="D480" t="s">
        <v>485</v>
      </c>
      <c r="E480">
        <v>166</v>
      </c>
      <c r="F480">
        <v>0</v>
      </c>
      <c r="G480" t="s">
        <v>318</v>
      </c>
      <c r="H4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477</v>
      </c>
      <c r="I480" t="str">
        <f>IF(DraftResults[[#This Row],[Player ID]]=0,"",INDEX(Table5[[#All],[Pos]],MATCH(DraftResults[[#This Row],[Player ID]],Table5[[#All],[PID]],0)))</f>
        <v/>
      </c>
      <c r="J480" t="str">
        <f>IF(DraftResults[[#This Row],[Player ID]]=0,"",INDEX(Table5[[#All],[First]],MATCH(DraftResults[[#This Row],[Player ID]],Table5[[#All],[PID]],0)))</f>
        <v/>
      </c>
      <c r="K480" t="str">
        <f>IF(DraftResults[[#This Row],[Player ID]]=0,"",INDEX(Table5[[#All],[Last]],MATCH(DraftResults[[#This Row],[Player ID]],Table5[[#All],[PID]],0)))</f>
        <v/>
      </c>
    </row>
    <row r="481" spans="1:11" x14ac:dyDescent="0.25">
      <c r="A481">
        <v>16</v>
      </c>
      <c r="B481">
        <v>0</v>
      </c>
      <c r="C481">
        <v>24</v>
      </c>
      <c r="D481" t="s">
        <v>244</v>
      </c>
      <c r="E481">
        <v>22</v>
      </c>
      <c r="F481">
        <v>0</v>
      </c>
      <c r="G481" t="s">
        <v>318</v>
      </c>
      <c r="H4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478</v>
      </c>
      <c r="I481" t="str">
        <f>IF(DraftResults[[#This Row],[Player ID]]=0,"",INDEX(Table5[[#All],[Pos]],MATCH(DraftResults[[#This Row],[Player ID]],Table5[[#All],[PID]],0)))</f>
        <v/>
      </c>
      <c r="J481" t="str">
        <f>IF(DraftResults[[#This Row],[Player ID]]=0,"",INDEX(Table5[[#All],[First]],MATCH(DraftResults[[#This Row],[Player ID]],Table5[[#All],[PID]],0)))</f>
        <v/>
      </c>
      <c r="K481" t="str">
        <f>IF(DraftResults[[#This Row],[Player ID]]=0,"",INDEX(Table5[[#All],[Last]],MATCH(DraftResults[[#This Row],[Player ID]],Table5[[#All],[PID]],0)))</f>
        <v/>
      </c>
    </row>
    <row r="482" spans="1:11" x14ac:dyDescent="0.25">
      <c r="A482">
        <v>16</v>
      </c>
      <c r="B482">
        <v>0</v>
      </c>
      <c r="C482">
        <v>25</v>
      </c>
      <c r="D482" t="s">
        <v>253</v>
      </c>
      <c r="E482">
        <v>14</v>
      </c>
      <c r="F482">
        <v>0</v>
      </c>
      <c r="G482" t="s">
        <v>318</v>
      </c>
      <c r="H4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479</v>
      </c>
      <c r="I482" t="str">
        <f>IF(DraftResults[[#This Row],[Player ID]]=0,"",INDEX(Table5[[#All],[Pos]],MATCH(DraftResults[[#This Row],[Player ID]],Table5[[#All],[PID]],0)))</f>
        <v/>
      </c>
      <c r="J482" t="str">
        <f>IF(DraftResults[[#This Row],[Player ID]]=0,"",INDEX(Table5[[#All],[First]],MATCH(DraftResults[[#This Row],[Player ID]],Table5[[#All],[PID]],0)))</f>
        <v/>
      </c>
      <c r="K482" t="str">
        <f>IF(DraftResults[[#This Row],[Player ID]]=0,"",INDEX(Table5[[#All],[Last]],MATCH(DraftResults[[#This Row],[Player ID]],Table5[[#All],[PID]],0)))</f>
        <v/>
      </c>
    </row>
    <row r="483" spans="1:11" x14ac:dyDescent="0.25">
      <c r="A483">
        <v>16</v>
      </c>
      <c r="B483">
        <v>0</v>
      </c>
      <c r="C483">
        <v>26</v>
      </c>
      <c r="D483" t="s">
        <v>694</v>
      </c>
      <c r="E483">
        <v>24</v>
      </c>
      <c r="F483">
        <v>0</v>
      </c>
      <c r="G483" t="s">
        <v>318</v>
      </c>
      <c r="H4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480</v>
      </c>
      <c r="I483" t="str">
        <f>IF(DraftResults[[#This Row],[Player ID]]=0,"",INDEX(Table5[[#All],[Pos]],MATCH(DraftResults[[#This Row],[Player ID]],Table5[[#All],[PID]],0)))</f>
        <v/>
      </c>
      <c r="J483" t="str">
        <f>IF(DraftResults[[#This Row],[Player ID]]=0,"",INDEX(Table5[[#All],[First]],MATCH(DraftResults[[#This Row],[Player ID]],Table5[[#All],[PID]],0)))</f>
        <v/>
      </c>
      <c r="K483" t="str">
        <f>IF(DraftResults[[#This Row],[Player ID]]=0,"",INDEX(Table5[[#All],[Last]],MATCH(DraftResults[[#This Row],[Player ID]],Table5[[#All],[PID]],0)))</f>
        <v/>
      </c>
    </row>
    <row r="484" spans="1:11" x14ac:dyDescent="0.25">
      <c r="A484">
        <v>16</v>
      </c>
      <c r="B484">
        <v>0</v>
      </c>
      <c r="C484">
        <v>27</v>
      </c>
      <c r="D484" t="s">
        <v>247</v>
      </c>
      <c r="E484">
        <v>17</v>
      </c>
      <c r="F484">
        <v>0</v>
      </c>
      <c r="G484" t="s">
        <v>318</v>
      </c>
      <c r="H4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481</v>
      </c>
      <c r="I484" t="str">
        <f>IF(DraftResults[[#This Row],[Player ID]]=0,"",INDEX(Table5[[#All],[Pos]],MATCH(DraftResults[[#This Row],[Player ID]],Table5[[#All],[PID]],0)))</f>
        <v/>
      </c>
      <c r="J484" t="str">
        <f>IF(DraftResults[[#This Row],[Player ID]]=0,"",INDEX(Table5[[#All],[First]],MATCH(DraftResults[[#This Row],[Player ID]],Table5[[#All],[PID]],0)))</f>
        <v/>
      </c>
      <c r="K484" t="str">
        <f>IF(DraftResults[[#This Row],[Player ID]]=0,"",INDEX(Table5[[#All],[Last]],MATCH(DraftResults[[#This Row],[Player ID]],Table5[[#All],[PID]],0)))</f>
        <v/>
      </c>
    </row>
    <row r="485" spans="1:11" x14ac:dyDescent="0.25">
      <c r="A485">
        <v>16</v>
      </c>
      <c r="B485">
        <v>0</v>
      </c>
      <c r="C485">
        <v>28</v>
      </c>
      <c r="D485" t="s">
        <v>698</v>
      </c>
      <c r="E485">
        <v>9</v>
      </c>
      <c r="F485">
        <v>0</v>
      </c>
      <c r="G485" t="s">
        <v>318</v>
      </c>
      <c r="H4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482</v>
      </c>
      <c r="I485" t="str">
        <f>IF(DraftResults[[#This Row],[Player ID]]=0,"",INDEX(Table5[[#All],[Pos]],MATCH(DraftResults[[#This Row],[Player ID]],Table5[[#All],[PID]],0)))</f>
        <v/>
      </c>
      <c r="J485" t="str">
        <f>IF(DraftResults[[#This Row],[Player ID]]=0,"",INDEX(Table5[[#All],[First]],MATCH(DraftResults[[#This Row],[Player ID]],Table5[[#All],[PID]],0)))</f>
        <v/>
      </c>
      <c r="K485" t="str">
        <f>IF(DraftResults[[#This Row],[Player ID]]=0,"",INDEX(Table5[[#All],[Last]],MATCH(DraftResults[[#This Row],[Player ID]],Table5[[#All],[PID]],0)))</f>
        <v/>
      </c>
    </row>
    <row r="486" spans="1:11" x14ac:dyDescent="0.25">
      <c r="A486">
        <v>16</v>
      </c>
      <c r="B486">
        <v>0</v>
      </c>
      <c r="C486">
        <v>29</v>
      </c>
      <c r="D486" t="s">
        <v>486</v>
      </c>
      <c r="E486">
        <v>159</v>
      </c>
      <c r="F486">
        <v>0</v>
      </c>
      <c r="G486" t="s">
        <v>318</v>
      </c>
      <c r="H4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483</v>
      </c>
      <c r="I486" t="str">
        <f>IF(DraftResults[[#This Row],[Player ID]]=0,"",INDEX(Table5[[#All],[Pos]],MATCH(DraftResults[[#This Row],[Player ID]],Table5[[#All],[PID]],0)))</f>
        <v/>
      </c>
      <c r="J486" t="str">
        <f>IF(DraftResults[[#This Row],[Player ID]]=0,"",INDEX(Table5[[#All],[First]],MATCH(DraftResults[[#This Row],[Player ID]],Table5[[#All],[PID]],0)))</f>
        <v/>
      </c>
      <c r="K486" t="str">
        <f>IF(DraftResults[[#This Row],[Player ID]]=0,"",INDEX(Table5[[#All],[Last]],MATCH(DraftResults[[#This Row],[Player ID]],Table5[[#All],[PID]],0)))</f>
        <v/>
      </c>
    </row>
    <row r="487" spans="1:11" x14ac:dyDescent="0.25">
      <c r="A487">
        <v>16</v>
      </c>
      <c r="B487">
        <v>0</v>
      </c>
      <c r="C487">
        <v>30</v>
      </c>
      <c r="D487" t="s">
        <v>249</v>
      </c>
      <c r="E487">
        <v>11</v>
      </c>
      <c r="F487">
        <v>0</v>
      </c>
      <c r="G487" t="s">
        <v>318</v>
      </c>
      <c r="H4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484</v>
      </c>
      <c r="I487" t="str">
        <f>IF(DraftResults[[#This Row],[Player ID]]=0,"",INDEX(Table5[[#All],[Pos]],MATCH(DraftResults[[#This Row],[Player ID]],Table5[[#All],[PID]],0)))</f>
        <v/>
      </c>
      <c r="J487" t="str">
        <f>IF(DraftResults[[#This Row],[Player ID]]=0,"",INDEX(Table5[[#All],[First]],MATCH(DraftResults[[#This Row],[Player ID]],Table5[[#All],[PID]],0)))</f>
        <v/>
      </c>
      <c r="K487" t="str">
        <f>IF(DraftResults[[#This Row],[Player ID]]=0,"",INDEX(Table5[[#All],[Last]],MATCH(DraftResults[[#This Row],[Player ID]],Table5[[#All],[PID]],0)))</f>
        <v/>
      </c>
    </row>
    <row r="488" spans="1:11" x14ac:dyDescent="0.25">
      <c r="A488">
        <v>17</v>
      </c>
      <c r="B488">
        <v>0</v>
      </c>
      <c r="C488">
        <v>1</v>
      </c>
      <c r="D488" t="s">
        <v>695</v>
      </c>
      <c r="E488">
        <v>160</v>
      </c>
      <c r="F488">
        <v>0</v>
      </c>
      <c r="G488" t="s">
        <v>318</v>
      </c>
      <c r="H4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485</v>
      </c>
      <c r="I488" t="str">
        <f>IF(DraftResults[[#This Row],[Player ID]]=0,"",INDEX(Table5[[#All],[Pos]],MATCH(DraftResults[[#This Row],[Player ID]],Table5[[#All],[PID]],0)))</f>
        <v/>
      </c>
      <c r="J488" t="str">
        <f>IF(DraftResults[[#This Row],[Player ID]]=0,"",INDEX(Table5[[#All],[First]],MATCH(DraftResults[[#This Row],[Player ID]],Table5[[#All],[PID]],0)))</f>
        <v/>
      </c>
      <c r="K488" t="str">
        <f>IF(DraftResults[[#This Row],[Player ID]]=0,"",INDEX(Table5[[#All],[Last]],MATCH(DraftResults[[#This Row],[Player ID]],Table5[[#All],[PID]],0)))</f>
        <v/>
      </c>
    </row>
    <row r="489" spans="1:11" x14ac:dyDescent="0.25">
      <c r="A489">
        <v>17</v>
      </c>
      <c r="B489">
        <v>0</v>
      </c>
      <c r="C489">
        <v>2</v>
      </c>
      <c r="D489" t="s">
        <v>694</v>
      </c>
      <c r="E489">
        <v>24</v>
      </c>
      <c r="F489">
        <v>0</v>
      </c>
      <c r="G489" t="s">
        <v>318</v>
      </c>
      <c r="H4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486</v>
      </c>
      <c r="I489" t="str">
        <f>IF(DraftResults[[#This Row],[Player ID]]=0,"",INDEX(Table5[[#All],[Pos]],MATCH(DraftResults[[#This Row],[Player ID]],Table5[[#All],[PID]],0)))</f>
        <v/>
      </c>
      <c r="J489" t="str">
        <f>IF(DraftResults[[#This Row],[Player ID]]=0,"",INDEX(Table5[[#All],[First]],MATCH(DraftResults[[#This Row],[Player ID]],Table5[[#All],[PID]],0)))</f>
        <v/>
      </c>
      <c r="K489" t="str">
        <f>IF(DraftResults[[#This Row],[Player ID]]=0,"",INDEX(Table5[[#All],[Last]],MATCH(DraftResults[[#This Row],[Player ID]],Table5[[#All],[PID]],0)))</f>
        <v/>
      </c>
    </row>
    <row r="490" spans="1:11" x14ac:dyDescent="0.25">
      <c r="A490">
        <v>17</v>
      </c>
      <c r="B490">
        <v>0</v>
      </c>
      <c r="C490">
        <v>3</v>
      </c>
      <c r="D490" t="s">
        <v>697</v>
      </c>
      <c r="E490">
        <v>23</v>
      </c>
      <c r="F490">
        <v>0</v>
      </c>
      <c r="G490" t="s">
        <v>318</v>
      </c>
      <c r="H4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487</v>
      </c>
      <c r="I490" t="str">
        <f>IF(DraftResults[[#This Row],[Player ID]]=0,"",INDEX(Table5[[#All],[Pos]],MATCH(DraftResults[[#This Row],[Player ID]],Table5[[#All],[PID]],0)))</f>
        <v/>
      </c>
      <c r="J490" t="str">
        <f>IF(DraftResults[[#This Row],[Player ID]]=0,"",INDEX(Table5[[#All],[First]],MATCH(DraftResults[[#This Row],[Player ID]],Table5[[#All],[PID]],0)))</f>
        <v/>
      </c>
      <c r="K490" t="str">
        <f>IF(DraftResults[[#This Row],[Player ID]]=0,"",INDEX(Table5[[#All],[Last]],MATCH(DraftResults[[#This Row],[Player ID]],Table5[[#All],[PID]],0)))</f>
        <v/>
      </c>
    </row>
    <row r="491" spans="1:11" x14ac:dyDescent="0.25">
      <c r="A491">
        <v>17</v>
      </c>
      <c r="B491">
        <v>0</v>
      </c>
      <c r="C491">
        <v>4</v>
      </c>
      <c r="D491" t="s">
        <v>252</v>
      </c>
      <c r="E491">
        <v>1</v>
      </c>
      <c r="F491">
        <v>0</v>
      </c>
      <c r="G491" t="s">
        <v>318</v>
      </c>
      <c r="H4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488</v>
      </c>
      <c r="I491" t="str">
        <f>IF(DraftResults[[#This Row],[Player ID]]=0,"",INDEX(Table5[[#All],[Pos]],MATCH(DraftResults[[#This Row],[Player ID]],Table5[[#All],[PID]],0)))</f>
        <v/>
      </c>
      <c r="J491" t="str">
        <f>IF(DraftResults[[#This Row],[Player ID]]=0,"",INDEX(Table5[[#All],[First]],MATCH(DraftResults[[#This Row],[Player ID]],Table5[[#All],[PID]],0)))</f>
        <v/>
      </c>
      <c r="K491" t="str">
        <f>IF(DraftResults[[#This Row],[Player ID]]=0,"",INDEX(Table5[[#All],[Last]],MATCH(DraftResults[[#This Row],[Player ID]],Table5[[#All],[PID]],0)))</f>
        <v/>
      </c>
    </row>
    <row r="492" spans="1:11" x14ac:dyDescent="0.25">
      <c r="A492">
        <v>17</v>
      </c>
      <c r="B492">
        <v>0</v>
      </c>
      <c r="C492">
        <v>5</v>
      </c>
      <c r="D492" t="s">
        <v>484</v>
      </c>
      <c r="E492">
        <v>164</v>
      </c>
      <c r="F492">
        <v>0</v>
      </c>
      <c r="G492" t="s">
        <v>318</v>
      </c>
      <c r="H4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489</v>
      </c>
      <c r="I492" t="str">
        <f>IF(DraftResults[[#This Row],[Player ID]]=0,"",INDEX(Table5[[#All],[Pos]],MATCH(DraftResults[[#This Row],[Player ID]],Table5[[#All],[PID]],0)))</f>
        <v/>
      </c>
      <c r="J492" t="str">
        <f>IF(DraftResults[[#This Row],[Player ID]]=0,"",INDEX(Table5[[#All],[First]],MATCH(DraftResults[[#This Row],[Player ID]],Table5[[#All],[PID]],0)))</f>
        <v/>
      </c>
      <c r="K492" t="str">
        <f>IF(DraftResults[[#This Row],[Player ID]]=0,"",INDEX(Table5[[#All],[Last]],MATCH(DraftResults[[#This Row],[Player ID]],Table5[[#All],[PID]],0)))</f>
        <v/>
      </c>
    </row>
    <row r="493" spans="1:11" x14ac:dyDescent="0.25">
      <c r="A493">
        <v>17</v>
      </c>
      <c r="B493">
        <v>0</v>
      </c>
      <c r="C493">
        <v>6</v>
      </c>
      <c r="D493" t="s">
        <v>254</v>
      </c>
      <c r="E493">
        <v>15</v>
      </c>
      <c r="F493">
        <v>0</v>
      </c>
      <c r="G493" t="s">
        <v>318</v>
      </c>
      <c r="H4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490</v>
      </c>
      <c r="I493" t="str">
        <f>IF(DraftResults[[#This Row],[Player ID]]=0,"",INDEX(Table5[[#All],[Pos]],MATCH(DraftResults[[#This Row],[Player ID]],Table5[[#All],[PID]],0)))</f>
        <v/>
      </c>
      <c r="J493" t="str">
        <f>IF(DraftResults[[#This Row],[Player ID]]=0,"",INDEX(Table5[[#All],[First]],MATCH(DraftResults[[#This Row],[Player ID]],Table5[[#All],[PID]],0)))</f>
        <v/>
      </c>
      <c r="K493" t="str">
        <f>IF(DraftResults[[#This Row],[Player ID]]=0,"",INDEX(Table5[[#All],[Last]],MATCH(DraftResults[[#This Row],[Player ID]],Table5[[#All],[PID]],0)))</f>
        <v/>
      </c>
    </row>
    <row r="494" spans="1:11" x14ac:dyDescent="0.25">
      <c r="A494">
        <v>17</v>
      </c>
      <c r="B494">
        <v>0</v>
      </c>
      <c r="C494">
        <v>7</v>
      </c>
      <c r="D494" t="s">
        <v>588</v>
      </c>
      <c r="E494">
        <v>4</v>
      </c>
      <c r="F494">
        <v>0</v>
      </c>
      <c r="G494" t="s">
        <v>318</v>
      </c>
      <c r="H4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491</v>
      </c>
      <c r="I494" t="str">
        <f>IF(DraftResults[[#This Row],[Player ID]]=0,"",INDEX(Table5[[#All],[Pos]],MATCH(DraftResults[[#This Row],[Player ID]],Table5[[#All],[PID]],0)))</f>
        <v/>
      </c>
      <c r="J494" t="str">
        <f>IF(DraftResults[[#This Row],[Player ID]]=0,"",INDEX(Table5[[#All],[First]],MATCH(DraftResults[[#This Row],[Player ID]],Table5[[#All],[PID]],0)))</f>
        <v/>
      </c>
      <c r="K494" t="str">
        <f>IF(DraftResults[[#This Row],[Player ID]]=0,"",INDEX(Table5[[#All],[Last]],MATCH(DraftResults[[#This Row],[Player ID]],Table5[[#All],[PID]],0)))</f>
        <v/>
      </c>
    </row>
    <row r="495" spans="1:11" x14ac:dyDescent="0.25">
      <c r="A495">
        <v>17</v>
      </c>
      <c r="B495">
        <v>0</v>
      </c>
      <c r="C495">
        <v>8</v>
      </c>
      <c r="D495" t="s">
        <v>587</v>
      </c>
      <c r="E495">
        <v>7</v>
      </c>
      <c r="F495">
        <v>0</v>
      </c>
      <c r="G495" t="s">
        <v>318</v>
      </c>
      <c r="H4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492</v>
      </c>
      <c r="I495" t="str">
        <f>IF(DraftResults[[#This Row],[Player ID]]=0,"",INDEX(Table5[[#All],[Pos]],MATCH(DraftResults[[#This Row],[Player ID]],Table5[[#All],[PID]],0)))</f>
        <v/>
      </c>
      <c r="J495" t="str">
        <f>IF(DraftResults[[#This Row],[Player ID]]=0,"",INDEX(Table5[[#All],[First]],MATCH(DraftResults[[#This Row],[Player ID]],Table5[[#All],[PID]],0)))</f>
        <v/>
      </c>
      <c r="K495" t="str">
        <f>IF(DraftResults[[#This Row],[Player ID]]=0,"",INDEX(Table5[[#All],[Last]],MATCH(DraftResults[[#This Row],[Player ID]],Table5[[#All],[PID]],0)))</f>
        <v/>
      </c>
    </row>
    <row r="496" spans="1:11" x14ac:dyDescent="0.25">
      <c r="A496">
        <v>17</v>
      </c>
      <c r="B496">
        <v>0</v>
      </c>
      <c r="C496">
        <v>9</v>
      </c>
      <c r="D496" t="s">
        <v>246</v>
      </c>
      <c r="E496">
        <v>21</v>
      </c>
      <c r="F496">
        <v>0</v>
      </c>
      <c r="G496" t="s">
        <v>318</v>
      </c>
      <c r="H4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493</v>
      </c>
      <c r="I496" t="str">
        <f>IF(DraftResults[[#This Row],[Player ID]]=0,"",INDEX(Table5[[#All],[Pos]],MATCH(DraftResults[[#This Row],[Player ID]],Table5[[#All],[PID]],0)))</f>
        <v/>
      </c>
      <c r="J496" t="str">
        <f>IF(DraftResults[[#This Row],[Player ID]]=0,"",INDEX(Table5[[#All],[First]],MATCH(DraftResults[[#This Row],[Player ID]],Table5[[#All],[PID]],0)))</f>
        <v/>
      </c>
      <c r="K496" t="str">
        <f>IF(DraftResults[[#This Row],[Player ID]]=0,"",INDEX(Table5[[#All],[Last]],MATCH(DraftResults[[#This Row],[Player ID]],Table5[[#All],[PID]],0)))</f>
        <v/>
      </c>
    </row>
    <row r="497" spans="1:11" x14ac:dyDescent="0.25">
      <c r="A497">
        <v>17</v>
      </c>
      <c r="B497">
        <v>0</v>
      </c>
      <c r="C497">
        <v>10</v>
      </c>
      <c r="D497" t="s">
        <v>696</v>
      </c>
      <c r="E497">
        <v>13</v>
      </c>
      <c r="F497">
        <v>0</v>
      </c>
      <c r="G497" t="s">
        <v>318</v>
      </c>
      <c r="H4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494</v>
      </c>
      <c r="I497" t="str">
        <f>IF(DraftResults[[#This Row],[Player ID]]=0,"",INDEX(Table5[[#All],[Pos]],MATCH(DraftResults[[#This Row],[Player ID]],Table5[[#All],[PID]],0)))</f>
        <v/>
      </c>
      <c r="J497" t="str">
        <f>IF(DraftResults[[#This Row],[Player ID]]=0,"",INDEX(Table5[[#All],[First]],MATCH(DraftResults[[#This Row],[Player ID]],Table5[[#All],[PID]],0)))</f>
        <v/>
      </c>
      <c r="K497" t="str">
        <f>IF(DraftResults[[#This Row],[Player ID]]=0,"",INDEX(Table5[[#All],[Last]],MATCH(DraftResults[[#This Row],[Player ID]],Table5[[#All],[PID]],0)))</f>
        <v/>
      </c>
    </row>
    <row r="498" spans="1:11" x14ac:dyDescent="0.25">
      <c r="A498">
        <v>17</v>
      </c>
      <c r="B498">
        <v>0</v>
      </c>
      <c r="C498">
        <v>11</v>
      </c>
      <c r="D498" t="s">
        <v>251</v>
      </c>
      <c r="E498">
        <v>3</v>
      </c>
      <c r="F498">
        <v>0</v>
      </c>
      <c r="G498" t="s">
        <v>318</v>
      </c>
      <c r="H4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495</v>
      </c>
      <c r="I498" t="str">
        <f>IF(DraftResults[[#This Row],[Player ID]]=0,"",INDEX(Table5[[#All],[Pos]],MATCH(DraftResults[[#This Row],[Player ID]],Table5[[#All],[PID]],0)))</f>
        <v/>
      </c>
      <c r="J498" t="str">
        <f>IF(DraftResults[[#This Row],[Player ID]]=0,"",INDEX(Table5[[#All],[First]],MATCH(DraftResults[[#This Row],[Player ID]],Table5[[#All],[PID]],0)))</f>
        <v/>
      </c>
      <c r="K498" t="str">
        <f>IF(DraftResults[[#This Row],[Player ID]]=0,"",INDEX(Table5[[#All],[Last]],MATCH(DraftResults[[#This Row],[Player ID]],Table5[[#All],[PID]],0)))</f>
        <v/>
      </c>
    </row>
    <row r="499" spans="1:11" x14ac:dyDescent="0.25">
      <c r="A499">
        <v>17</v>
      </c>
      <c r="B499">
        <v>0</v>
      </c>
      <c r="C499">
        <v>12</v>
      </c>
      <c r="D499" t="s">
        <v>257</v>
      </c>
      <c r="E499">
        <v>8</v>
      </c>
      <c r="F499">
        <v>0</v>
      </c>
      <c r="G499" t="s">
        <v>318</v>
      </c>
      <c r="H4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496</v>
      </c>
      <c r="I499" t="str">
        <f>IF(DraftResults[[#This Row],[Player ID]]=0,"",INDEX(Table5[[#All],[Pos]],MATCH(DraftResults[[#This Row],[Player ID]],Table5[[#All],[PID]],0)))</f>
        <v/>
      </c>
      <c r="J499" t="str">
        <f>IF(DraftResults[[#This Row],[Player ID]]=0,"",INDEX(Table5[[#All],[First]],MATCH(DraftResults[[#This Row],[Player ID]],Table5[[#All],[PID]],0)))</f>
        <v/>
      </c>
      <c r="K499" t="str">
        <f>IF(DraftResults[[#This Row],[Player ID]]=0,"",INDEX(Table5[[#All],[Last]],MATCH(DraftResults[[#This Row],[Player ID]],Table5[[#All],[PID]],0)))</f>
        <v/>
      </c>
    </row>
    <row r="500" spans="1:11" x14ac:dyDescent="0.25">
      <c r="A500">
        <v>17</v>
      </c>
      <c r="B500">
        <v>0</v>
      </c>
      <c r="C500">
        <v>13</v>
      </c>
      <c r="D500" t="s">
        <v>262</v>
      </c>
      <c r="E500">
        <v>12</v>
      </c>
      <c r="F500">
        <v>0</v>
      </c>
      <c r="G500" t="s">
        <v>318</v>
      </c>
      <c r="H5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497</v>
      </c>
      <c r="I500" t="str">
        <f>IF(DraftResults[[#This Row],[Player ID]]=0,"",INDEX(Table5[[#All],[Pos]],MATCH(DraftResults[[#This Row],[Player ID]],Table5[[#All],[PID]],0)))</f>
        <v/>
      </c>
      <c r="J500" t="str">
        <f>IF(DraftResults[[#This Row],[Player ID]]=0,"",INDEX(Table5[[#All],[First]],MATCH(DraftResults[[#This Row],[Player ID]],Table5[[#All],[PID]],0)))</f>
        <v/>
      </c>
      <c r="K500" t="str">
        <f>IF(DraftResults[[#This Row],[Player ID]]=0,"",INDEX(Table5[[#All],[Last]],MATCH(DraftResults[[#This Row],[Player ID]],Table5[[#All],[PID]],0)))</f>
        <v/>
      </c>
    </row>
    <row r="501" spans="1:11" x14ac:dyDescent="0.25">
      <c r="A501">
        <v>17</v>
      </c>
      <c r="B501">
        <v>0</v>
      </c>
      <c r="C501">
        <v>14</v>
      </c>
      <c r="D501" t="s">
        <v>489</v>
      </c>
      <c r="E501">
        <v>18</v>
      </c>
      <c r="F501">
        <v>0</v>
      </c>
      <c r="G501" t="s">
        <v>318</v>
      </c>
      <c r="H5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498</v>
      </c>
      <c r="I501" t="str">
        <f>IF(DraftResults[[#This Row],[Player ID]]=0,"",INDEX(Table5[[#All],[Pos]],MATCH(DraftResults[[#This Row],[Player ID]],Table5[[#All],[PID]],0)))</f>
        <v/>
      </c>
      <c r="J501" t="str">
        <f>IF(DraftResults[[#This Row],[Player ID]]=0,"",INDEX(Table5[[#All],[First]],MATCH(DraftResults[[#This Row],[Player ID]],Table5[[#All],[PID]],0)))</f>
        <v/>
      </c>
      <c r="K501" t="str">
        <f>IF(DraftResults[[#This Row],[Player ID]]=0,"",INDEX(Table5[[#All],[Last]],MATCH(DraftResults[[#This Row],[Player ID]],Table5[[#All],[PID]],0)))</f>
        <v/>
      </c>
    </row>
    <row r="502" spans="1:11" x14ac:dyDescent="0.25">
      <c r="A502">
        <v>17</v>
      </c>
      <c r="B502">
        <v>0</v>
      </c>
      <c r="C502">
        <v>15</v>
      </c>
      <c r="D502" t="s">
        <v>250</v>
      </c>
      <c r="E502">
        <v>10</v>
      </c>
      <c r="F502">
        <v>0</v>
      </c>
      <c r="G502" t="s">
        <v>318</v>
      </c>
      <c r="H5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499</v>
      </c>
      <c r="I502" t="str">
        <f>IF(DraftResults[[#This Row],[Player ID]]=0,"",INDEX(Table5[[#All],[Pos]],MATCH(DraftResults[[#This Row],[Player ID]],Table5[[#All],[PID]],0)))</f>
        <v/>
      </c>
      <c r="J502" t="str">
        <f>IF(DraftResults[[#This Row],[Player ID]]=0,"",INDEX(Table5[[#All],[First]],MATCH(DraftResults[[#This Row],[Player ID]],Table5[[#All],[PID]],0)))</f>
        <v/>
      </c>
      <c r="K502" t="str">
        <f>IF(DraftResults[[#This Row],[Player ID]]=0,"",INDEX(Table5[[#All],[Last]],MATCH(DraftResults[[#This Row],[Player ID]],Table5[[#All],[PID]],0)))</f>
        <v/>
      </c>
    </row>
    <row r="503" spans="1:11" x14ac:dyDescent="0.25">
      <c r="A503">
        <v>17</v>
      </c>
      <c r="B503">
        <v>0</v>
      </c>
      <c r="C503">
        <v>16</v>
      </c>
      <c r="D503" t="s">
        <v>482</v>
      </c>
      <c r="E503">
        <v>162</v>
      </c>
      <c r="F503">
        <v>0</v>
      </c>
      <c r="G503" t="s">
        <v>318</v>
      </c>
      <c r="H5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500</v>
      </c>
      <c r="I503" t="str">
        <f>IF(DraftResults[[#This Row],[Player ID]]=0,"",INDEX(Table5[[#All],[Pos]],MATCH(DraftResults[[#This Row],[Player ID]],Table5[[#All],[PID]],0)))</f>
        <v/>
      </c>
      <c r="J503" t="str">
        <f>IF(DraftResults[[#This Row],[Player ID]]=0,"",INDEX(Table5[[#All],[First]],MATCH(DraftResults[[#This Row],[Player ID]],Table5[[#All],[PID]],0)))</f>
        <v/>
      </c>
      <c r="K503" t="str">
        <f>IF(DraftResults[[#This Row],[Player ID]]=0,"",INDEX(Table5[[#All],[Last]],MATCH(DraftResults[[#This Row],[Player ID]],Table5[[#All],[PID]],0)))</f>
        <v/>
      </c>
    </row>
    <row r="504" spans="1:11" x14ac:dyDescent="0.25">
      <c r="A504">
        <v>17</v>
      </c>
      <c r="B504">
        <v>0</v>
      </c>
      <c r="C504">
        <v>17</v>
      </c>
      <c r="D504" t="s">
        <v>483</v>
      </c>
      <c r="E504">
        <v>2</v>
      </c>
      <c r="F504">
        <v>0</v>
      </c>
      <c r="G504" t="s">
        <v>318</v>
      </c>
      <c r="H5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501</v>
      </c>
      <c r="I504" t="str">
        <f>IF(DraftResults[[#This Row],[Player ID]]=0,"",INDEX(Table5[[#All],[Pos]],MATCH(DraftResults[[#This Row],[Player ID]],Table5[[#All],[PID]],0)))</f>
        <v/>
      </c>
      <c r="J504" t="str">
        <f>IF(DraftResults[[#This Row],[Player ID]]=0,"",INDEX(Table5[[#All],[First]],MATCH(DraftResults[[#This Row],[Player ID]],Table5[[#All],[PID]],0)))</f>
        <v/>
      </c>
      <c r="K504" t="str">
        <f>IF(DraftResults[[#This Row],[Player ID]]=0,"",INDEX(Table5[[#All],[Last]],MATCH(DraftResults[[#This Row],[Player ID]],Table5[[#All],[PID]],0)))</f>
        <v/>
      </c>
    </row>
    <row r="505" spans="1:11" x14ac:dyDescent="0.25">
      <c r="A505">
        <v>17</v>
      </c>
      <c r="B505">
        <v>0</v>
      </c>
      <c r="C505">
        <v>18</v>
      </c>
      <c r="D505" t="s">
        <v>258</v>
      </c>
      <c r="E505">
        <v>16</v>
      </c>
      <c r="F505">
        <v>0</v>
      </c>
      <c r="G505" t="s">
        <v>318</v>
      </c>
      <c r="H5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502</v>
      </c>
      <c r="I505" t="str">
        <f>IF(DraftResults[[#This Row],[Player ID]]=0,"",INDEX(Table5[[#All],[Pos]],MATCH(DraftResults[[#This Row],[Player ID]],Table5[[#All],[PID]],0)))</f>
        <v/>
      </c>
      <c r="J505" t="str">
        <f>IF(DraftResults[[#This Row],[Player ID]]=0,"",INDEX(Table5[[#All],[First]],MATCH(DraftResults[[#This Row],[Player ID]],Table5[[#All],[PID]],0)))</f>
        <v/>
      </c>
      <c r="K505" t="str">
        <f>IF(DraftResults[[#This Row],[Player ID]]=0,"",INDEX(Table5[[#All],[Last]],MATCH(DraftResults[[#This Row],[Player ID]],Table5[[#All],[PID]],0)))</f>
        <v/>
      </c>
    </row>
    <row r="506" spans="1:11" x14ac:dyDescent="0.25">
      <c r="A506">
        <v>17</v>
      </c>
      <c r="B506">
        <v>0</v>
      </c>
      <c r="C506">
        <v>19</v>
      </c>
      <c r="D506" t="s">
        <v>490</v>
      </c>
      <c r="E506">
        <v>167</v>
      </c>
      <c r="F506">
        <v>0</v>
      </c>
      <c r="G506" t="s">
        <v>318</v>
      </c>
      <c r="H5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503</v>
      </c>
      <c r="I506" t="str">
        <f>IF(DraftResults[[#This Row],[Player ID]]=0,"",INDEX(Table5[[#All],[Pos]],MATCH(DraftResults[[#This Row],[Player ID]],Table5[[#All],[PID]],0)))</f>
        <v/>
      </c>
      <c r="J506" t="str">
        <f>IF(DraftResults[[#This Row],[Player ID]]=0,"",INDEX(Table5[[#All],[First]],MATCH(DraftResults[[#This Row],[Player ID]],Table5[[#All],[PID]],0)))</f>
        <v/>
      </c>
      <c r="K506" t="str">
        <f>IF(DraftResults[[#This Row],[Player ID]]=0,"",INDEX(Table5[[#All],[Last]],MATCH(DraftResults[[#This Row],[Player ID]],Table5[[#All],[PID]],0)))</f>
        <v/>
      </c>
    </row>
    <row r="507" spans="1:11" x14ac:dyDescent="0.25">
      <c r="A507">
        <v>17</v>
      </c>
      <c r="B507">
        <v>0</v>
      </c>
      <c r="C507">
        <v>20</v>
      </c>
      <c r="D507" t="s">
        <v>243</v>
      </c>
      <c r="E507">
        <v>19</v>
      </c>
      <c r="F507">
        <v>0</v>
      </c>
      <c r="G507" t="s">
        <v>318</v>
      </c>
      <c r="H5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504</v>
      </c>
      <c r="I507" t="str">
        <f>IF(DraftResults[[#This Row],[Player ID]]=0,"",INDEX(Table5[[#All],[Pos]],MATCH(DraftResults[[#This Row],[Player ID]],Table5[[#All],[PID]],0)))</f>
        <v/>
      </c>
      <c r="J507" t="str">
        <f>IF(DraftResults[[#This Row],[Player ID]]=0,"",INDEX(Table5[[#All],[First]],MATCH(DraftResults[[#This Row],[Player ID]],Table5[[#All],[PID]],0)))</f>
        <v/>
      </c>
      <c r="K507" t="str">
        <f>IF(DraftResults[[#This Row],[Player ID]]=0,"",INDEX(Table5[[#All],[Last]],MATCH(DraftResults[[#This Row],[Player ID]],Table5[[#All],[PID]],0)))</f>
        <v/>
      </c>
    </row>
    <row r="508" spans="1:11" x14ac:dyDescent="0.25">
      <c r="A508">
        <v>17</v>
      </c>
      <c r="B508">
        <v>0</v>
      </c>
      <c r="C508">
        <v>21</v>
      </c>
      <c r="D508" t="s">
        <v>487</v>
      </c>
      <c r="E508">
        <v>163</v>
      </c>
      <c r="F508">
        <v>0</v>
      </c>
      <c r="G508" t="s">
        <v>318</v>
      </c>
      <c r="H5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505</v>
      </c>
      <c r="I508" t="str">
        <f>IF(DraftResults[[#This Row],[Player ID]]=0,"",INDEX(Table5[[#All],[Pos]],MATCH(DraftResults[[#This Row],[Player ID]],Table5[[#All],[PID]],0)))</f>
        <v/>
      </c>
      <c r="J508" t="str">
        <f>IF(DraftResults[[#This Row],[Player ID]]=0,"",INDEX(Table5[[#All],[First]],MATCH(DraftResults[[#This Row],[Player ID]],Table5[[#All],[PID]],0)))</f>
        <v/>
      </c>
      <c r="K508" t="str">
        <f>IF(DraftResults[[#This Row],[Player ID]]=0,"",INDEX(Table5[[#All],[Last]],MATCH(DraftResults[[#This Row],[Player ID]],Table5[[#All],[PID]],0)))</f>
        <v/>
      </c>
    </row>
    <row r="509" spans="1:11" x14ac:dyDescent="0.25">
      <c r="A509">
        <v>17</v>
      </c>
      <c r="B509">
        <v>0</v>
      </c>
      <c r="C509">
        <v>22</v>
      </c>
      <c r="D509" t="s">
        <v>255</v>
      </c>
      <c r="E509">
        <v>20</v>
      </c>
      <c r="F509">
        <v>0</v>
      </c>
      <c r="G509" t="s">
        <v>318</v>
      </c>
      <c r="H5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506</v>
      </c>
      <c r="I509" t="str">
        <f>IF(DraftResults[[#This Row],[Player ID]]=0,"",INDEX(Table5[[#All],[Pos]],MATCH(DraftResults[[#This Row],[Player ID]],Table5[[#All],[PID]],0)))</f>
        <v/>
      </c>
      <c r="J509" t="str">
        <f>IF(DraftResults[[#This Row],[Player ID]]=0,"",INDEX(Table5[[#All],[First]],MATCH(DraftResults[[#This Row],[Player ID]],Table5[[#All],[PID]],0)))</f>
        <v/>
      </c>
      <c r="K509" t="str">
        <f>IF(DraftResults[[#This Row],[Player ID]]=0,"",INDEX(Table5[[#All],[Last]],MATCH(DraftResults[[#This Row],[Player ID]],Table5[[#All],[PID]],0)))</f>
        <v/>
      </c>
    </row>
    <row r="510" spans="1:11" x14ac:dyDescent="0.25">
      <c r="A510">
        <v>17</v>
      </c>
      <c r="B510">
        <v>0</v>
      </c>
      <c r="C510">
        <v>23</v>
      </c>
      <c r="D510" t="s">
        <v>485</v>
      </c>
      <c r="E510">
        <v>166</v>
      </c>
      <c r="F510">
        <v>0</v>
      </c>
      <c r="G510" t="s">
        <v>318</v>
      </c>
      <c r="H5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507</v>
      </c>
      <c r="I510" t="str">
        <f>IF(DraftResults[[#This Row],[Player ID]]=0,"",INDEX(Table5[[#All],[Pos]],MATCH(DraftResults[[#This Row],[Player ID]],Table5[[#All],[PID]],0)))</f>
        <v/>
      </c>
      <c r="J510" t="str">
        <f>IF(DraftResults[[#This Row],[Player ID]]=0,"",INDEX(Table5[[#All],[First]],MATCH(DraftResults[[#This Row],[Player ID]],Table5[[#All],[PID]],0)))</f>
        <v/>
      </c>
      <c r="K510" t="str">
        <f>IF(DraftResults[[#This Row],[Player ID]]=0,"",INDEX(Table5[[#All],[Last]],MATCH(DraftResults[[#This Row],[Player ID]],Table5[[#All],[PID]],0)))</f>
        <v/>
      </c>
    </row>
    <row r="511" spans="1:11" x14ac:dyDescent="0.25">
      <c r="A511">
        <v>17</v>
      </c>
      <c r="B511">
        <v>0</v>
      </c>
      <c r="C511">
        <v>24</v>
      </c>
      <c r="D511" t="s">
        <v>244</v>
      </c>
      <c r="E511">
        <v>22</v>
      </c>
      <c r="F511">
        <v>0</v>
      </c>
      <c r="G511" t="s">
        <v>318</v>
      </c>
      <c r="H5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508</v>
      </c>
      <c r="I511" t="str">
        <f>IF(DraftResults[[#This Row],[Player ID]]=0,"",INDEX(Table5[[#All],[Pos]],MATCH(DraftResults[[#This Row],[Player ID]],Table5[[#All],[PID]],0)))</f>
        <v/>
      </c>
      <c r="J511" t="str">
        <f>IF(DraftResults[[#This Row],[Player ID]]=0,"",INDEX(Table5[[#All],[First]],MATCH(DraftResults[[#This Row],[Player ID]],Table5[[#All],[PID]],0)))</f>
        <v/>
      </c>
      <c r="K511" t="str">
        <f>IF(DraftResults[[#This Row],[Player ID]]=0,"",INDEX(Table5[[#All],[Last]],MATCH(DraftResults[[#This Row],[Player ID]],Table5[[#All],[PID]],0)))</f>
        <v/>
      </c>
    </row>
    <row r="512" spans="1:11" x14ac:dyDescent="0.25">
      <c r="A512">
        <v>17</v>
      </c>
      <c r="B512">
        <v>0</v>
      </c>
      <c r="C512">
        <v>25</v>
      </c>
      <c r="D512" t="s">
        <v>698</v>
      </c>
      <c r="E512">
        <v>9</v>
      </c>
      <c r="F512">
        <v>0</v>
      </c>
      <c r="G512" t="s">
        <v>318</v>
      </c>
      <c r="H5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509</v>
      </c>
      <c r="I512" t="str">
        <f>IF(DraftResults[[#This Row],[Player ID]]=0,"",INDEX(Table5[[#All],[Pos]],MATCH(DraftResults[[#This Row],[Player ID]],Table5[[#All],[PID]],0)))</f>
        <v/>
      </c>
      <c r="J512" t="str">
        <f>IF(DraftResults[[#This Row],[Player ID]]=0,"",INDEX(Table5[[#All],[First]],MATCH(DraftResults[[#This Row],[Player ID]],Table5[[#All],[PID]],0)))</f>
        <v/>
      </c>
      <c r="K512" t="str">
        <f>IF(DraftResults[[#This Row],[Player ID]]=0,"",INDEX(Table5[[#All],[Last]],MATCH(DraftResults[[#This Row],[Player ID]],Table5[[#All],[PID]],0)))</f>
        <v/>
      </c>
    </row>
    <row r="513" spans="1:11" x14ac:dyDescent="0.25">
      <c r="A513">
        <v>17</v>
      </c>
      <c r="B513">
        <v>0</v>
      </c>
      <c r="C513">
        <v>26</v>
      </c>
      <c r="D513" t="s">
        <v>694</v>
      </c>
      <c r="E513">
        <v>24</v>
      </c>
      <c r="F513">
        <v>0</v>
      </c>
      <c r="G513" t="s">
        <v>318</v>
      </c>
      <c r="H5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510</v>
      </c>
      <c r="I513" t="str">
        <f>IF(DraftResults[[#This Row],[Player ID]]=0,"",INDEX(Table5[[#All],[Pos]],MATCH(DraftResults[[#This Row],[Player ID]],Table5[[#All],[PID]],0)))</f>
        <v/>
      </c>
      <c r="J513" t="str">
        <f>IF(DraftResults[[#This Row],[Player ID]]=0,"",INDEX(Table5[[#All],[First]],MATCH(DraftResults[[#This Row],[Player ID]],Table5[[#All],[PID]],0)))</f>
        <v/>
      </c>
      <c r="K513" t="str">
        <f>IF(DraftResults[[#This Row],[Player ID]]=0,"",INDEX(Table5[[#All],[Last]],MATCH(DraftResults[[#This Row],[Player ID]],Table5[[#All],[PID]],0)))</f>
        <v/>
      </c>
    </row>
    <row r="514" spans="1:11" x14ac:dyDescent="0.25">
      <c r="A514">
        <v>17</v>
      </c>
      <c r="B514">
        <v>0</v>
      </c>
      <c r="C514">
        <v>27</v>
      </c>
      <c r="D514" t="s">
        <v>247</v>
      </c>
      <c r="E514">
        <v>17</v>
      </c>
      <c r="F514">
        <v>0</v>
      </c>
      <c r="G514" t="s">
        <v>318</v>
      </c>
      <c r="H5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511</v>
      </c>
      <c r="I514" t="str">
        <f>IF(DraftResults[[#This Row],[Player ID]]=0,"",INDEX(Table5[[#All],[Pos]],MATCH(DraftResults[[#This Row],[Player ID]],Table5[[#All],[PID]],0)))</f>
        <v/>
      </c>
      <c r="J514" t="str">
        <f>IF(DraftResults[[#This Row],[Player ID]]=0,"",INDEX(Table5[[#All],[First]],MATCH(DraftResults[[#This Row],[Player ID]],Table5[[#All],[PID]],0)))</f>
        <v/>
      </c>
      <c r="K514" t="str">
        <f>IF(DraftResults[[#This Row],[Player ID]]=0,"",INDEX(Table5[[#All],[Last]],MATCH(DraftResults[[#This Row],[Player ID]],Table5[[#All],[PID]],0)))</f>
        <v/>
      </c>
    </row>
    <row r="515" spans="1:11" x14ac:dyDescent="0.25">
      <c r="A515">
        <v>17</v>
      </c>
      <c r="B515">
        <v>0</v>
      </c>
      <c r="C515">
        <v>28</v>
      </c>
      <c r="D515" t="s">
        <v>253</v>
      </c>
      <c r="E515">
        <v>14</v>
      </c>
      <c r="F515">
        <v>0</v>
      </c>
      <c r="G515" t="s">
        <v>318</v>
      </c>
      <c r="H5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512</v>
      </c>
      <c r="I515" t="str">
        <f>IF(DraftResults[[#This Row],[Player ID]]=0,"",INDEX(Table5[[#All],[Pos]],MATCH(DraftResults[[#This Row],[Player ID]],Table5[[#All],[PID]],0)))</f>
        <v/>
      </c>
      <c r="J515" t="str">
        <f>IF(DraftResults[[#This Row],[Player ID]]=0,"",INDEX(Table5[[#All],[First]],MATCH(DraftResults[[#This Row],[Player ID]],Table5[[#All],[PID]],0)))</f>
        <v/>
      </c>
      <c r="K515" t="str">
        <f>IF(DraftResults[[#This Row],[Player ID]]=0,"",INDEX(Table5[[#All],[Last]],MATCH(DraftResults[[#This Row],[Player ID]],Table5[[#All],[PID]],0)))</f>
        <v/>
      </c>
    </row>
    <row r="516" spans="1:11" x14ac:dyDescent="0.25">
      <c r="A516">
        <v>17</v>
      </c>
      <c r="B516">
        <v>0</v>
      </c>
      <c r="C516">
        <v>29</v>
      </c>
      <c r="D516" t="s">
        <v>486</v>
      </c>
      <c r="E516">
        <v>159</v>
      </c>
      <c r="F516">
        <v>0</v>
      </c>
      <c r="G516" t="s">
        <v>318</v>
      </c>
      <c r="H5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513</v>
      </c>
      <c r="I516" t="str">
        <f>IF(DraftResults[[#This Row],[Player ID]]=0,"",INDEX(Table5[[#All],[Pos]],MATCH(DraftResults[[#This Row],[Player ID]],Table5[[#All],[PID]],0)))</f>
        <v/>
      </c>
      <c r="J516" t="str">
        <f>IF(DraftResults[[#This Row],[Player ID]]=0,"",INDEX(Table5[[#All],[First]],MATCH(DraftResults[[#This Row],[Player ID]],Table5[[#All],[PID]],0)))</f>
        <v/>
      </c>
      <c r="K516" t="str">
        <f>IF(DraftResults[[#This Row],[Player ID]]=0,"",INDEX(Table5[[#All],[Last]],MATCH(DraftResults[[#This Row],[Player ID]],Table5[[#All],[PID]],0)))</f>
        <v/>
      </c>
    </row>
    <row r="517" spans="1:11" x14ac:dyDescent="0.25">
      <c r="A517">
        <v>17</v>
      </c>
      <c r="B517">
        <v>0</v>
      </c>
      <c r="C517">
        <v>30</v>
      </c>
      <c r="D517" t="s">
        <v>249</v>
      </c>
      <c r="E517">
        <v>11</v>
      </c>
      <c r="F517">
        <v>0</v>
      </c>
      <c r="G517" t="s">
        <v>318</v>
      </c>
      <c r="H5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514</v>
      </c>
      <c r="I517" t="str">
        <f>IF(DraftResults[[#This Row],[Player ID]]=0,"",INDEX(Table5[[#All],[Pos]],MATCH(DraftResults[[#This Row],[Player ID]],Table5[[#All],[PID]],0)))</f>
        <v/>
      </c>
      <c r="J517" t="str">
        <f>IF(DraftResults[[#This Row],[Player ID]]=0,"",INDEX(Table5[[#All],[First]],MATCH(DraftResults[[#This Row],[Player ID]],Table5[[#All],[PID]],0)))</f>
        <v/>
      </c>
      <c r="K517" t="str">
        <f>IF(DraftResults[[#This Row],[Player ID]]=0,"",INDEX(Table5[[#All],[Last]],MATCH(DraftResults[[#This Row],[Player ID]],Table5[[#All],[PID]],0)))</f>
        <v/>
      </c>
    </row>
    <row r="518" spans="1:11" x14ac:dyDescent="0.25">
      <c r="A518">
        <v>18</v>
      </c>
      <c r="B518">
        <v>0</v>
      </c>
      <c r="C518">
        <v>1</v>
      </c>
      <c r="D518" t="s">
        <v>695</v>
      </c>
      <c r="E518">
        <v>160</v>
      </c>
      <c r="F518">
        <v>0</v>
      </c>
      <c r="G518" t="s">
        <v>318</v>
      </c>
      <c r="H5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515</v>
      </c>
      <c r="I518" t="str">
        <f>IF(DraftResults[[#This Row],[Player ID]]=0,"",INDEX(Table5[[#All],[Pos]],MATCH(DraftResults[[#This Row],[Player ID]],Table5[[#All],[PID]],0)))</f>
        <v/>
      </c>
      <c r="J518" t="str">
        <f>IF(DraftResults[[#This Row],[Player ID]]=0,"",INDEX(Table5[[#All],[First]],MATCH(DraftResults[[#This Row],[Player ID]],Table5[[#All],[PID]],0)))</f>
        <v/>
      </c>
      <c r="K518" t="str">
        <f>IF(DraftResults[[#This Row],[Player ID]]=0,"",INDEX(Table5[[#All],[Last]],MATCH(DraftResults[[#This Row],[Player ID]],Table5[[#All],[PID]],0)))</f>
        <v/>
      </c>
    </row>
    <row r="519" spans="1:11" x14ac:dyDescent="0.25">
      <c r="A519">
        <v>18</v>
      </c>
      <c r="B519">
        <v>0</v>
      </c>
      <c r="C519">
        <v>2</v>
      </c>
      <c r="D519" t="s">
        <v>694</v>
      </c>
      <c r="E519">
        <v>24</v>
      </c>
      <c r="F519">
        <v>0</v>
      </c>
      <c r="G519" t="s">
        <v>318</v>
      </c>
      <c r="H5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516</v>
      </c>
      <c r="I519" t="str">
        <f>IF(DraftResults[[#This Row],[Player ID]]=0,"",INDEX(Table5[[#All],[Pos]],MATCH(DraftResults[[#This Row],[Player ID]],Table5[[#All],[PID]],0)))</f>
        <v/>
      </c>
      <c r="J519" t="str">
        <f>IF(DraftResults[[#This Row],[Player ID]]=0,"",INDEX(Table5[[#All],[First]],MATCH(DraftResults[[#This Row],[Player ID]],Table5[[#All],[PID]],0)))</f>
        <v/>
      </c>
      <c r="K519" t="str">
        <f>IF(DraftResults[[#This Row],[Player ID]]=0,"",INDEX(Table5[[#All],[Last]],MATCH(DraftResults[[#This Row],[Player ID]],Table5[[#All],[PID]],0)))</f>
        <v/>
      </c>
    </row>
    <row r="520" spans="1:11" x14ac:dyDescent="0.25">
      <c r="A520">
        <v>18</v>
      </c>
      <c r="B520">
        <v>0</v>
      </c>
      <c r="C520">
        <v>3</v>
      </c>
      <c r="D520" t="s">
        <v>697</v>
      </c>
      <c r="E520">
        <v>23</v>
      </c>
      <c r="F520">
        <v>0</v>
      </c>
      <c r="G520" t="s">
        <v>318</v>
      </c>
      <c r="H5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517</v>
      </c>
      <c r="I520" t="str">
        <f>IF(DraftResults[[#This Row],[Player ID]]=0,"",INDEX(Table5[[#All],[Pos]],MATCH(DraftResults[[#This Row],[Player ID]],Table5[[#All],[PID]],0)))</f>
        <v/>
      </c>
      <c r="J520" t="str">
        <f>IF(DraftResults[[#This Row],[Player ID]]=0,"",INDEX(Table5[[#All],[First]],MATCH(DraftResults[[#This Row],[Player ID]],Table5[[#All],[PID]],0)))</f>
        <v/>
      </c>
      <c r="K520" t="str">
        <f>IF(DraftResults[[#This Row],[Player ID]]=0,"",INDEX(Table5[[#All],[Last]],MATCH(DraftResults[[#This Row],[Player ID]],Table5[[#All],[PID]],0)))</f>
        <v/>
      </c>
    </row>
    <row r="521" spans="1:11" x14ac:dyDescent="0.25">
      <c r="A521">
        <v>18</v>
      </c>
      <c r="B521">
        <v>0</v>
      </c>
      <c r="C521">
        <v>4</v>
      </c>
      <c r="D521" t="s">
        <v>252</v>
      </c>
      <c r="E521">
        <v>1</v>
      </c>
      <c r="F521">
        <v>0</v>
      </c>
      <c r="G521" t="s">
        <v>318</v>
      </c>
      <c r="H5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518</v>
      </c>
      <c r="I521" t="str">
        <f>IF(DraftResults[[#This Row],[Player ID]]=0,"",INDEX(Table5[[#All],[Pos]],MATCH(DraftResults[[#This Row],[Player ID]],Table5[[#All],[PID]],0)))</f>
        <v/>
      </c>
      <c r="J521" t="str">
        <f>IF(DraftResults[[#This Row],[Player ID]]=0,"",INDEX(Table5[[#All],[First]],MATCH(DraftResults[[#This Row],[Player ID]],Table5[[#All],[PID]],0)))</f>
        <v/>
      </c>
      <c r="K521" t="str">
        <f>IF(DraftResults[[#This Row],[Player ID]]=0,"",INDEX(Table5[[#All],[Last]],MATCH(DraftResults[[#This Row],[Player ID]],Table5[[#All],[PID]],0)))</f>
        <v/>
      </c>
    </row>
    <row r="522" spans="1:11" x14ac:dyDescent="0.25">
      <c r="A522">
        <v>18</v>
      </c>
      <c r="B522">
        <v>0</v>
      </c>
      <c r="C522">
        <v>5</v>
      </c>
      <c r="D522" t="s">
        <v>484</v>
      </c>
      <c r="E522">
        <v>164</v>
      </c>
      <c r="F522">
        <v>0</v>
      </c>
      <c r="G522" t="s">
        <v>318</v>
      </c>
      <c r="H5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519</v>
      </c>
      <c r="I522" t="str">
        <f>IF(DraftResults[[#This Row],[Player ID]]=0,"",INDEX(Table5[[#All],[Pos]],MATCH(DraftResults[[#This Row],[Player ID]],Table5[[#All],[PID]],0)))</f>
        <v/>
      </c>
      <c r="J522" t="str">
        <f>IF(DraftResults[[#This Row],[Player ID]]=0,"",INDEX(Table5[[#All],[First]],MATCH(DraftResults[[#This Row],[Player ID]],Table5[[#All],[PID]],0)))</f>
        <v/>
      </c>
      <c r="K522" t="str">
        <f>IF(DraftResults[[#This Row],[Player ID]]=0,"",INDEX(Table5[[#All],[Last]],MATCH(DraftResults[[#This Row],[Player ID]],Table5[[#All],[PID]],0)))</f>
        <v/>
      </c>
    </row>
    <row r="523" spans="1:11" x14ac:dyDescent="0.25">
      <c r="A523">
        <v>18</v>
      </c>
      <c r="B523">
        <v>0</v>
      </c>
      <c r="C523">
        <v>6</v>
      </c>
      <c r="D523" t="s">
        <v>254</v>
      </c>
      <c r="E523">
        <v>15</v>
      </c>
      <c r="F523">
        <v>0</v>
      </c>
      <c r="G523" t="s">
        <v>318</v>
      </c>
      <c r="H5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520</v>
      </c>
      <c r="I523" t="str">
        <f>IF(DraftResults[[#This Row],[Player ID]]=0,"",INDEX(Table5[[#All],[Pos]],MATCH(DraftResults[[#This Row],[Player ID]],Table5[[#All],[PID]],0)))</f>
        <v/>
      </c>
      <c r="J523" t="str">
        <f>IF(DraftResults[[#This Row],[Player ID]]=0,"",INDEX(Table5[[#All],[First]],MATCH(DraftResults[[#This Row],[Player ID]],Table5[[#All],[PID]],0)))</f>
        <v/>
      </c>
      <c r="K523" t="str">
        <f>IF(DraftResults[[#This Row],[Player ID]]=0,"",INDEX(Table5[[#All],[Last]],MATCH(DraftResults[[#This Row],[Player ID]],Table5[[#All],[PID]],0)))</f>
        <v/>
      </c>
    </row>
    <row r="524" spans="1:11" x14ac:dyDescent="0.25">
      <c r="A524">
        <v>18</v>
      </c>
      <c r="B524">
        <v>0</v>
      </c>
      <c r="C524">
        <v>7</v>
      </c>
      <c r="D524" t="s">
        <v>588</v>
      </c>
      <c r="E524">
        <v>4</v>
      </c>
      <c r="F524">
        <v>0</v>
      </c>
      <c r="G524" t="s">
        <v>318</v>
      </c>
      <c r="H5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521</v>
      </c>
      <c r="I524" t="str">
        <f>IF(DraftResults[[#This Row],[Player ID]]=0,"",INDEX(Table5[[#All],[Pos]],MATCH(DraftResults[[#This Row],[Player ID]],Table5[[#All],[PID]],0)))</f>
        <v/>
      </c>
      <c r="J524" t="str">
        <f>IF(DraftResults[[#This Row],[Player ID]]=0,"",INDEX(Table5[[#All],[First]],MATCH(DraftResults[[#This Row],[Player ID]],Table5[[#All],[PID]],0)))</f>
        <v/>
      </c>
      <c r="K524" t="str">
        <f>IF(DraftResults[[#This Row],[Player ID]]=0,"",INDEX(Table5[[#All],[Last]],MATCH(DraftResults[[#This Row],[Player ID]],Table5[[#All],[PID]],0)))</f>
        <v/>
      </c>
    </row>
    <row r="525" spans="1:11" x14ac:dyDescent="0.25">
      <c r="A525">
        <v>18</v>
      </c>
      <c r="B525">
        <v>0</v>
      </c>
      <c r="C525">
        <v>8</v>
      </c>
      <c r="D525" t="s">
        <v>587</v>
      </c>
      <c r="E525">
        <v>7</v>
      </c>
      <c r="F525">
        <v>0</v>
      </c>
      <c r="G525" t="s">
        <v>318</v>
      </c>
      <c r="H5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522</v>
      </c>
      <c r="I525" t="str">
        <f>IF(DraftResults[[#This Row],[Player ID]]=0,"",INDEX(Table5[[#All],[Pos]],MATCH(DraftResults[[#This Row],[Player ID]],Table5[[#All],[PID]],0)))</f>
        <v/>
      </c>
      <c r="J525" t="str">
        <f>IF(DraftResults[[#This Row],[Player ID]]=0,"",INDEX(Table5[[#All],[First]],MATCH(DraftResults[[#This Row],[Player ID]],Table5[[#All],[PID]],0)))</f>
        <v/>
      </c>
      <c r="K525" t="str">
        <f>IF(DraftResults[[#This Row],[Player ID]]=0,"",INDEX(Table5[[#All],[Last]],MATCH(DraftResults[[#This Row],[Player ID]],Table5[[#All],[PID]],0)))</f>
        <v/>
      </c>
    </row>
    <row r="526" spans="1:11" x14ac:dyDescent="0.25">
      <c r="A526">
        <v>18</v>
      </c>
      <c r="B526">
        <v>0</v>
      </c>
      <c r="C526">
        <v>9</v>
      </c>
      <c r="D526" t="s">
        <v>246</v>
      </c>
      <c r="E526">
        <v>21</v>
      </c>
      <c r="F526">
        <v>0</v>
      </c>
      <c r="G526" t="s">
        <v>318</v>
      </c>
      <c r="H5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523</v>
      </c>
      <c r="I526" t="str">
        <f>IF(DraftResults[[#This Row],[Player ID]]=0,"",INDEX(Table5[[#All],[Pos]],MATCH(DraftResults[[#This Row],[Player ID]],Table5[[#All],[PID]],0)))</f>
        <v/>
      </c>
      <c r="J526" t="str">
        <f>IF(DraftResults[[#This Row],[Player ID]]=0,"",INDEX(Table5[[#All],[First]],MATCH(DraftResults[[#This Row],[Player ID]],Table5[[#All],[PID]],0)))</f>
        <v/>
      </c>
      <c r="K526" t="str">
        <f>IF(DraftResults[[#This Row],[Player ID]]=0,"",INDEX(Table5[[#All],[Last]],MATCH(DraftResults[[#This Row],[Player ID]],Table5[[#All],[PID]],0)))</f>
        <v/>
      </c>
    </row>
    <row r="527" spans="1:11" x14ac:dyDescent="0.25">
      <c r="A527">
        <v>18</v>
      </c>
      <c r="B527">
        <v>0</v>
      </c>
      <c r="C527">
        <v>10</v>
      </c>
      <c r="D527" t="s">
        <v>696</v>
      </c>
      <c r="E527">
        <v>13</v>
      </c>
      <c r="F527">
        <v>0</v>
      </c>
      <c r="G527" t="s">
        <v>318</v>
      </c>
      <c r="H5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524</v>
      </c>
      <c r="I527" t="str">
        <f>IF(DraftResults[[#This Row],[Player ID]]=0,"",INDEX(Table5[[#All],[Pos]],MATCH(DraftResults[[#This Row],[Player ID]],Table5[[#All],[PID]],0)))</f>
        <v/>
      </c>
      <c r="J527" t="str">
        <f>IF(DraftResults[[#This Row],[Player ID]]=0,"",INDEX(Table5[[#All],[First]],MATCH(DraftResults[[#This Row],[Player ID]],Table5[[#All],[PID]],0)))</f>
        <v/>
      </c>
      <c r="K527" t="str">
        <f>IF(DraftResults[[#This Row],[Player ID]]=0,"",INDEX(Table5[[#All],[Last]],MATCH(DraftResults[[#This Row],[Player ID]],Table5[[#All],[PID]],0)))</f>
        <v/>
      </c>
    </row>
    <row r="528" spans="1:11" x14ac:dyDescent="0.25">
      <c r="A528">
        <v>18</v>
      </c>
      <c r="B528">
        <v>0</v>
      </c>
      <c r="C528">
        <v>11</v>
      </c>
      <c r="D528" t="s">
        <v>251</v>
      </c>
      <c r="E528">
        <v>3</v>
      </c>
      <c r="F528">
        <v>0</v>
      </c>
      <c r="G528" t="s">
        <v>318</v>
      </c>
      <c r="H5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525</v>
      </c>
      <c r="I528" t="str">
        <f>IF(DraftResults[[#This Row],[Player ID]]=0,"",INDEX(Table5[[#All],[Pos]],MATCH(DraftResults[[#This Row],[Player ID]],Table5[[#All],[PID]],0)))</f>
        <v/>
      </c>
      <c r="J528" t="str">
        <f>IF(DraftResults[[#This Row],[Player ID]]=0,"",INDEX(Table5[[#All],[First]],MATCH(DraftResults[[#This Row],[Player ID]],Table5[[#All],[PID]],0)))</f>
        <v/>
      </c>
      <c r="K528" t="str">
        <f>IF(DraftResults[[#This Row],[Player ID]]=0,"",INDEX(Table5[[#All],[Last]],MATCH(DraftResults[[#This Row],[Player ID]],Table5[[#All],[PID]],0)))</f>
        <v/>
      </c>
    </row>
    <row r="529" spans="1:11" x14ac:dyDescent="0.25">
      <c r="A529">
        <v>18</v>
      </c>
      <c r="B529">
        <v>0</v>
      </c>
      <c r="C529">
        <v>12</v>
      </c>
      <c r="D529" t="s">
        <v>257</v>
      </c>
      <c r="E529">
        <v>8</v>
      </c>
      <c r="F529">
        <v>0</v>
      </c>
      <c r="G529" t="s">
        <v>318</v>
      </c>
      <c r="H5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526</v>
      </c>
      <c r="I529" t="str">
        <f>IF(DraftResults[[#This Row],[Player ID]]=0,"",INDEX(Table5[[#All],[Pos]],MATCH(DraftResults[[#This Row],[Player ID]],Table5[[#All],[PID]],0)))</f>
        <v/>
      </c>
      <c r="J529" t="str">
        <f>IF(DraftResults[[#This Row],[Player ID]]=0,"",INDEX(Table5[[#All],[First]],MATCH(DraftResults[[#This Row],[Player ID]],Table5[[#All],[PID]],0)))</f>
        <v/>
      </c>
      <c r="K529" t="str">
        <f>IF(DraftResults[[#This Row],[Player ID]]=0,"",INDEX(Table5[[#All],[Last]],MATCH(DraftResults[[#This Row],[Player ID]],Table5[[#All],[PID]],0)))</f>
        <v/>
      </c>
    </row>
    <row r="530" spans="1:11" x14ac:dyDescent="0.25">
      <c r="A530">
        <v>18</v>
      </c>
      <c r="B530">
        <v>0</v>
      </c>
      <c r="C530">
        <v>13</v>
      </c>
      <c r="D530" t="s">
        <v>262</v>
      </c>
      <c r="E530">
        <v>12</v>
      </c>
      <c r="F530">
        <v>0</v>
      </c>
      <c r="G530" t="s">
        <v>318</v>
      </c>
      <c r="H5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527</v>
      </c>
      <c r="I530" t="str">
        <f>IF(DraftResults[[#This Row],[Player ID]]=0,"",INDEX(Table5[[#All],[Pos]],MATCH(DraftResults[[#This Row],[Player ID]],Table5[[#All],[PID]],0)))</f>
        <v/>
      </c>
      <c r="J530" t="str">
        <f>IF(DraftResults[[#This Row],[Player ID]]=0,"",INDEX(Table5[[#All],[First]],MATCH(DraftResults[[#This Row],[Player ID]],Table5[[#All],[PID]],0)))</f>
        <v/>
      </c>
      <c r="K530" t="str">
        <f>IF(DraftResults[[#This Row],[Player ID]]=0,"",INDEX(Table5[[#All],[Last]],MATCH(DraftResults[[#This Row],[Player ID]],Table5[[#All],[PID]],0)))</f>
        <v/>
      </c>
    </row>
    <row r="531" spans="1:11" x14ac:dyDescent="0.25">
      <c r="A531">
        <v>18</v>
      </c>
      <c r="B531">
        <v>0</v>
      </c>
      <c r="C531">
        <v>14</v>
      </c>
      <c r="D531" t="s">
        <v>489</v>
      </c>
      <c r="E531">
        <v>18</v>
      </c>
      <c r="F531">
        <v>0</v>
      </c>
      <c r="G531" t="s">
        <v>318</v>
      </c>
      <c r="H5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528</v>
      </c>
      <c r="I531" t="str">
        <f>IF(DraftResults[[#This Row],[Player ID]]=0,"",INDEX(Table5[[#All],[Pos]],MATCH(DraftResults[[#This Row],[Player ID]],Table5[[#All],[PID]],0)))</f>
        <v/>
      </c>
      <c r="J531" t="str">
        <f>IF(DraftResults[[#This Row],[Player ID]]=0,"",INDEX(Table5[[#All],[First]],MATCH(DraftResults[[#This Row],[Player ID]],Table5[[#All],[PID]],0)))</f>
        <v/>
      </c>
      <c r="K531" t="str">
        <f>IF(DraftResults[[#This Row],[Player ID]]=0,"",INDEX(Table5[[#All],[Last]],MATCH(DraftResults[[#This Row],[Player ID]],Table5[[#All],[PID]],0)))</f>
        <v/>
      </c>
    </row>
    <row r="532" spans="1:11" x14ac:dyDescent="0.25">
      <c r="A532">
        <v>18</v>
      </c>
      <c r="B532">
        <v>0</v>
      </c>
      <c r="C532">
        <v>15</v>
      </c>
      <c r="D532" t="s">
        <v>250</v>
      </c>
      <c r="E532">
        <v>10</v>
      </c>
      <c r="F532">
        <v>0</v>
      </c>
      <c r="G532" t="s">
        <v>318</v>
      </c>
      <c r="H5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529</v>
      </c>
      <c r="I532" t="str">
        <f>IF(DraftResults[[#This Row],[Player ID]]=0,"",INDEX(Table5[[#All],[Pos]],MATCH(DraftResults[[#This Row],[Player ID]],Table5[[#All],[PID]],0)))</f>
        <v/>
      </c>
      <c r="J532" t="str">
        <f>IF(DraftResults[[#This Row],[Player ID]]=0,"",INDEX(Table5[[#All],[First]],MATCH(DraftResults[[#This Row],[Player ID]],Table5[[#All],[PID]],0)))</f>
        <v/>
      </c>
      <c r="K532" t="str">
        <f>IF(DraftResults[[#This Row],[Player ID]]=0,"",INDEX(Table5[[#All],[Last]],MATCH(DraftResults[[#This Row],[Player ID]],Table5[[#All],[PID]],0)))</f>
        <v/>
      </c>
    </row>
    <row r="533" spans="1:11" x14ac:dyDescent="0.25">
      <c r="A533">
        <v>18</v>
      </c>
      <c r="B533">
        <v>0</v>
      </c>
      <c r="C533">
        <v>16</v>
      </c>
      <c r="D533" t="s">
        <v>482</v>
      </c>
      <c r="E533">
        <v>162</v>
      </c>
      <c r="F533">
        <v>0</v>
      </c>
      <c r="G533" t="s">
        <v>318</v>
      </c>
      <c r="H5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530</v>
      </c>
      <c r="I533" t="str">
        <f>IF(DraftResults[[#This Row],[Player ID]]=0,"",INDEX(Table5[[#All],[Pos]],MATCH(DraftResults[[#This Row],[Player ID]],Table5[[#All],[PID]],0)))</f>
        <v/>
      </c>
      <c r="J533" t="str">
        <f>IF(DraftResults[[#This Row],[Player ID]]=0,"",INDEX(Table5[[#All],[First]],MATCH(DraftResults[[#This Row],[Player ID]],Table5[[#All],[PID]],0)))</f>
        <v/>
      </c>
      <c r="K533" t="str">
        <f>IF(DraftResults[[#This Row],[Player ID]]=0,"",INDEX(Table5[[#All],[Last]],MATCH(DraftResults[[#This Row],[Player ID]],Table5[[#All],[PID]],0)))</f>
        <v/>
      </c>
    </row>
    <row r="534" spans="1:11" x14ac:dyDescent="0.25">
      <c r="A534">
        <v>18</v>
      </c>
      <c r="B534">
        <v>0</v>
      </c>
      <c r="C534">
        <v>17</v>
      </c>
      <c r="D534" t="s">
        <v>483</v>
      </c>
      <c r="E534">
        <v>2</v>
      </c>
      <c r="F534">
        <v>0</v>
      </c>
      <c r="G534" t="s">
        <v>318</v>
      </c>
      <c r="H5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531</v>
      </c>
      <c r="I534" t="str">
        <f>IF(DraftResults[[#This Row],[Player ID]]=0,"",INDEX(Table5[[#All],[Pos]],MATCH(DraftResults[[#This Row],[Player ID]],Table5[[#All],[PID]],0)))</f>
        <v/>
      </c>
      <c r="J534" t="str">
        <f>IF(DraftResults[[#This Row],[Player ID]]=0,"",INDEX(Table5[[#All],[First]],MATCH(DraftResults[[#This Row],[Player ID]],Table5[[#All],[PID]],0)))</f>
        <v/>
      </c>
      <c r="K534" t="str">
        <f>IF(DraftResults[[#This Row],[Player ID]]=0,"",INDEX(Table5[[#All],[Last]],MATCH(DraftResults[[#This Row],[Player ID]],Table5[[#All],[PID]],0)))</f>
        <v/>
      </c>
    </row>
    <row r="535" spans="1:11" x14ac:dyDescent="0.25">
      <c r="A535">
        <v>18</v>
      </c>
      <c r="B535">
        <v>0</v>
      </c>
      <c r="C535">
        <v>18</v>
      </c>
      <c r="D535" t="s">
        <v>258</v>
      </c>
      <c r="E535">
        <v>16</v>
      </c>
      <c r="F535">
        <v>0</v>
      </c>
      <c r="G535" t="s">
        <v>318</v>
      </c>
      <c r="H5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532</v>
      </c>
      <c r="I535" t="str">
        <f>IF(DraftResults[[#This Row],[Player ID]]=0,"",INDEX(Table5[[#All],[Pos]],MATCH(DraftResults[[#This Row],[Player ID]],Table5[[#All],[PID]],0)))</f>
        <v/>
      </c>
      <c r="J535" t="str">
        <f>IF(DraftResults[[#This Row],[Player ID]]=0,"",INDEX(Table5[[#All],[First]],MATCH(DraftResults[[#This Row],[Player ID]],Table5[[#All],[PID]],0)))</f>
        <v/>
      </c>
      <c r="K535" t="str">
        <f>IF(DraftResults[[#This Row],[Player ID]]=0,"",INDEX(Table5[[#All],[Last]],MATCH(DraftResults[[#This Row],[Player ID]],Table5[[#All],[PID]],0)))</f>
        <v/>
      </c>
    </row>
    <row r="536" spans="1:11" x14ac:dyDescent="0.25">
      <c r="A536">
        <v>18</v>
      </c>
      <c r="B536">
        <v>0</v>
      </c>
      <c r="C536">
        <v>19</v>
      </c>
      <c r="D536" t="s">
        <v>490</v>
      </c>
      <c r="E536">
        <v>167</v>
      </c>
      <c r="F536">
        <v>0</v>
      </c>
      <c r="G536" t="s">
        <v>318</v>
      </c>
      <c r="H5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533</v>
      </c>
      <c r="I536" t="str">
        <f>IF(DraftResults[[#This Row],[Player ID]]=0,"",INDEX(Table5[[#All],[Pos]],MATCH(DraftResults[[#This Row],[Player ID]],Table5[[#All],[PID]],0)))</f>
        <v/>
      </c>
      <c r="J536" t="str">
        <f>IF(DraftResults[[#This Row],[Player ID]]=0,"",INDEX(Table5[[#All],[First]],MATCH(DraftResults[[#This Row],[Player ID]],Table5[[#All],[PID]],0)))</f>
        <v/>
      </c>
      <c r="K536" t="str">
        <f>IF(DraftResults[[#This Row],[Player ID]]=0,"",INDEX(Table5[[#All],[Last]],MATCH(DraftResults[[#This Row],[Player ID]],Table5[[#All],[PID]],0)))</f>
        <v/>
      </c>
    </row>
    <row r="537" spans="1:11" x14ac:dyDescent="0.25">
      <c r="A537">
        <v>18</v>
      </c>
      <c r="B537">
        <v>0</v>
      </c>
      <c r="C537">
        <v>20</v>
      </c>
      <c r="D537" t="s">
        <v>243</v>
      </c>
      <c r="E537">
        <v>19</v>
      </c>
      <c r="F537">
        <v>0</v>
      </c>
      <c r="G537" t="s">
        <v>318</v>
      </c>
      <c r="H5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534</v>
      </c>
      <c r="I537" t="str">
        <f>IF(DraftResults[[#This Row],[Player ID]]=0,"",INDEX(Table5[[#All],[Pos]],MATCH(DraftResults[[#This Row],[Player ID]],Table5[[#All],[PID]],0)))</f>
        <v/>
      </c>
      <c r="J537" t="str">
        <f>IF(DraftResults[[#This Row],[Player ID]]=0,"",INDEX(Table5[[#All],[First]],MATCH(DraftResults[[#This Row],[Player ID]],Table5[[#All],[PID]],0)))</f>
        <v/>
      </c>
      <c r="K537" t="str">
        <f>IF(DraftResults[[#This Row],[Player ID]]=0,"",INDEX(Table5[[#All],[Last]],MATCH(DraftResults[[#This Row],[Player ID]],Table5[[#All],[PID]],0)))</f>
        <v/>
      </c>
    </row>
    <row r="538" spans="1:11" x14ac:dyDescent="0.25">
      <c r="A538">
        <v>18</v>
      </c>
      <c r="B538">
        <v>0</v>
      </c>
      <c r="C538">
        <v>21</v>
      </c>
      <c r="D538" t="s">
        <v>487</v>
      </c>
      <c r="E538">
        <v>163</v>
      </c>
      <c r="F538">
        <v>0</v>
      </c>
      <c r="G538" t="s">
        <v>318</v>
      </c>
      <c r="H5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535</v>
      </c>
      <c r="I538" t="str">
        <f>IF(DraftResults[[#This Row],[Player ID]]=0,"",INDEX(Table5[[#All],[Pos]],MATCH(DraftResults[[#This Row],[Player ID]],Table5[[#All],[PID]],0)))</f>
        <v/>
      </c>
      <c r="J538" t="str">
        <f>IF(DraftResults[[#This Row],[Player ID]]=0,"",INDEX(Table5[[#All],[First]],MATCH(DraftResults[[#This Row],[Player ID]],Table5[[#All],[PID]],0)))</f>
        <v/>
      </c>
      <c r="K538" t="str">
        <f>IF(DraftResults[[#This Row],[Player ID]]=0,"",INDEX(Table5[[#All],[Last]],MATCH(DraftResults[[#This Row],[Player ID]],Table5[[#All],[PID]],0)))</f>
        <v/>
      </c>
    </row>
    <row r="539" spans="1:11" x14ac:dyDescent="0.25">
      <c r="A539">
        <v>18</v>
      </c>
      <c r="B539">
        <v>0</v>
      </c>
      <c r="C539">
        <v>22</v>
      </c>
      <c r="D539" t="s">
        <v>255</v>
      </c>
      <c r="E539">
        <v>20</v>
      </c>
      <c r="F539">
        <v>0</v>
      </c>
      <c r="G539" t="s">
        <v>318</v>
      </c>
      <c r="H5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536</v>
      </c>
      <c r="I539" t="str">
        <f>IF(DraftResults[[#This Row],[Player ID]]=0,"",INDEX(Table5[[#All],[Pos]],MATCH(DraftResults[[#This Row],[Player ID]],Table5[[#All],[PID]],0)))</f>
        <v/>
      </c>
      <c r="J539" t="str">
        <f>IF(DraftResults[[#This Row],[Player ID]]=0,"",INDEX(Table5[[#All],[First]],MATCH(DraftResults[[#This Row],[Player ID]],Table5[[#All],[PID]],0)))</f>
        <v/>
      </c>
      <c r="K539" t="str">
        <f>IF(DraftResults[[#This Row],[Player ID]]=0,"",INDEX(Table5[[#All],[Last]],MATCH(DraftResults[[#This Row],[Player ID]],Table5[[#All],[PID]],0)))</f>
        <v/>
      </c>
    </row>
    <row r="540" spans="1:11" x14ac:dyDescent="0.25">
      <c r="A540">
        <v>18</v>
      </c>
      <c r="B540">
        <v>0</v>
      </c>
      <c r="C540">
        <v>23</v>
      </c>
      <c r="D540" t="s">
        <v>485</v>
      </c>
      <c r="E540">
        <v>166</v>
      </c>
      <c r="F540">
        <v>0</v>
      </c>
      <c r="G540" t="s">
        <v>318</v>
      </c>
      <c r="H5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537</v>
      </c>
      <c r="I540" t="str">
        <f>IF(DraftResults[[#This Row],[Player ID]]=0,"",INDEX(Table5[[#All],[Pos]],MATCH(DraftResults[[#This Row],[Player ID]],Table5[[#All],[PID]],0)))</f>
        <v/>
      </c>
      <c r="J540" t="str">
        <f>IF(DraftResults[[#This Row],[Player ID]]=0,"",INDEX(Table5[[#All],[First]],MATCH(DraftResults[[#This Row],[Player ID]],Table5[[#All],[PID]],0)))</f>
        <v/>
      </c>
      <c r="K540" t="str">
        <f>IF(DraftResults[[#This Row],[Player ID]]=0,"",INDEX(Table5[[#All],[Last]],MATCH(DraftResults[[#This Row],[Player ID]],Table5[[#All],[PID]],0)))</f>
        <v/>
      </c>
    </row>
    <row r="541" spans="1:11" x14ac:dyDescent="0.25">
      <c r="A541">
        <v>18</v>
      </c>
      <c r="B541">
        <v>0</v>
      </c>
      <c r="C541">
        <v>24</v>
      </c>
      <c r="D541" t="s">
        <v>244</v>
      </c>
      <c r="E541">
        <v>22</v>
      </c>
      <c r="F541">
        <v>0</v>
      </c>
      <c r="G541" t="s">
        <v>318</v>
      </c>
      <c r="H5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538</v>
      </c>
      <c r="I541" t="str">
        <f>IF(DraftResults[[#This Row],[Player ID]]=0,"",INDEX(Table5[[#All],[Pos]],MATCH(DraftResults[[#This Row],[Player ID]],Table5[[#All],[PID]],0)))</f>
        <v/>
      </c>
      <c r="J541" t="str">
        <f>IF(DraftResults[[#This Row],[Player ID]]=0,"",INDEX(Table5[[#All],[First]],MATCH(DraftResults[[#This Row],[Player ID]],Table5[[#All],[PID]],0)))</f>
        <v/>
      </c>
      <c r="K541" t="str">
        <f>IF(DraftResults[[#This Row],[Player ID]]=0,"",INDEX(Table5[[#All],[Last]],MATCH(DraftResults[[#This Row],[Player ID]],Table5[[#All],[PID]],0)))</f>
        <v/>
      </c>
    </row>
    <row r="542" spans="1:11" x14ac:dyDescent="0.25">
      <c r="A542">
        <v>18</v>
      </c>
      <c r="B542">
        <v>0</v>
      </c>
      <c r="C542">
        <v>25</v>
      </c>
      <c r="D542" t="s">
        <v>698</v>
      </c>
      <c r="E542">
        <v>9</v>
      </c>
      <c r="F542">
        <v>0</v>
      </c>
      <c r="G542" t="s">
        <v>318</v>
      </c>
      <c r="H5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539</v>
      </c>
      <c r="I542" t="str">
        <f>IF(DraftResults[[#This Row],[Player ID]]=0,"",INDEX(Table5[[#All],[Pos]],MATCH(DraftResults[[#This Row],[Player ID]],Table5[[#All],[PID]],0)))</f>
        <v/>
      </c>
      <c r="J542" t="str">
        <f>IF(DraftResults[[#This Row],[Player ID]]=0,"",INDEX(Table5[[#All],[First]],MATCH(DraftResults[[#This Row],[Player ID]],Table5[[#All],[PID]],0)))</f>
        <v/>
      </c>
      <c r="K542" t="str">
        <f>IF(DraftResults[[#This Row],[Player ID]]=0,"",INDEX(Table5[[#All],[Last]],MATCH(DraftResults[[#This Row],[Player ID]],Table5[[#All],[PID]],0)))</f>
        <v/>
      </c>
    </row>
    <row r="543" spans="1:11" x14ac:dyDescent="0.25">
      <c r="A543">
        <v>18</v>
      </c>
      <c r="B543">
        <v>0</v>
      </c>
      <c r="C543">
        <v>26</v>
      </c>
      <c r="D543" t="s">
        <v>694</v>
      </c>
      <c r="E543">
        <v>24</v>
      </c>
      <c r="F543">
        <v>0</v>
      </c>
      <c r="G543" t="s">
        <v>318</v>
      </c>
      <c r="H5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540</v>
      </c>
      <c r="I543" t="str">
        <f>IF(DraftResults[[#This Row],[Player ID]]=0,"",INDEX(Table5[[#All],[Pos]],MATCH(DraftResults[[#This Row],[Player ID]],Table5[[#All],[PID]],0)))</f>
        <v/>
      </c>
      <c r="J543" t="str">
        <f>IF(DraftResults[[#This Row],[Player ID]]=0,"",INDEX(Table5[[#All],[First]],MATCH(DraftResults[[#This Row],[Player ID]],Table5[[#All],[PID]],0)))</f>
        <v/>
      </c>
      <c r="K543" t="str">
        <f>IF(DraftResults[[#This Row],[Player ID]]=0,"",INDEX(Table5[[#All],[Last]],MATCH(DraftResults[[#This Row],[Player ID]],Table5[[#All],[PID]],0)))</f>
        <v/>
      </c>
    </row>
    <row r="544" spans="1:11" x14ac:dyDescent="0.25">
      <c r="A544">
        <v>18</v>
      </c>
      <c r="B544">
        <v>0</v>
      </c>
      <c r="C544">
        <v>27</v>
      </c>
      <c r="D544" t="s">
        <v>247</v>
      </c>
      <c r="E544">
        <v>17</v>
      </c>
      <c r="F544">
        <v>0</v>
      </c>
      <c r="G544" t="s">
        <v>318</v>
      </c>
      <c r="H5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541</v>
      </c>
      <c r="I544" t="str">
        <f>IF(DraftResults[[#This Row],[Player ID]]=0,"",INDEX(Table5[[#All],[Pos]],MATCH(DraftResults[[#This Row],[Player ID]],Table5[[#All],[PID]],0)))</f>
        <v/>
      </c>
      <c r="J544" t="str">
        <f>IF(DraftResults[[#This Row],[Player ID]]=0,"",INDEX(Table5[[#All],[First]],MATCH(DraftResults[[#This Row],[Player ID]],Table5[[#All],[PID]],0)))</f>
        <v/>
      </c>
      <c r="K544" t="str">
        <f>IF(DraftResults[[#This Row],[Player ID]]=0,"",INDEX(Table5[[#All],[Last]],MATCH(DraftResults[[#This Row],[Player ID]],Table5[[#All],[PID]],0)))</f>
        <v/>
      </c>
    </row>
    <row r="545" spans="1:11" x14ac:dyDescent="0.25">
      <c r="A545">
        <v>18</v>
      </c>
      <c r="B545">
        <v>0</v>
      </c>
      <c r="C545">
        <v>28</v>
      </c>
      <c r="D545" t="s">
        <v>253</v>
      </c>
      <c r="E545">
        <v>14</v>
      </c>
      <c r="F545">
        <v>0</v>
      </c>
      <c r="G545" t="s">
        <v>318</v>
      </c>
      <c r="H5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542</v>
      </c>
      <c r="I545" t="str">
        <f>IF(DraftResults[[#This Row],[Player ID]]=0,"",INDEX(Table5[[#All],[Pos]],MATCH(DraftResults[[#This Row],[Player ID]],Table5[[#All],[PID]],0)))</f>
        <v/>
      </c>
      <c r="J545" t="str">
        <f>IF(DraftResults[[#This Row],[Player ID]]=0,"",INDEX(Table5[[#All],[First]],MATCH(DraftResults[[#This Row],[Player ID]],Table5[[#All],[PID]],0)))</f>
        <v/>
      </c>
      <c r="K545" t="str">
        <f>IF(DraftResults[[#This Row],[Player ID]]=0,"",INDEX(Table5[[#All],[Last]],MATCH(DraftResults[[#This Row],[Player ID]],Table5[[#All],[PID]],0)))</f>
        <v/>
      </c>
    </row>
    <row r="546" spans="1:11" x14ac:dyDescent="0.25">
      <c r="A546">
        <v>18</v>
      </c>
      <c r="B546">
        <v>0</v>
      </c>
      <c r="C546">
        <v>29</v>
      </c>
      <c r="D546" t="s">
        <v>486</v>
      </c>
      <c r="E546">
        <v>159</v>
      </c>
      <c r="F546">
        <v>0</v>
      </c>
      <c r="G546" t="s">
        <v>318</v>
      </c>
      <c r="H5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543</v>
      </c>
      <c r="I546" t="str">
        <f>IF(DraftResults[[#This Row],[Player ID]]=0,"",INDEX(Table5[[#All],[Pos]],MATCH(DraftResults[[#This Row],[Player ID]],Table5[[#All],[PID]],0)))</f>
        <v/>
      </c>
      <c r="J546" t="str">
        <f>IF(DraftResults[[#This Row],[Player ID]]=0,"",INDEX(Table5[[#All],[First]],MATCH(DraftResults[[#This Row],[Player ID]],Table5[[#All],[PID]],0)))</f>
        <v/>
      </c>
      <c r="K546" t="str">
        <f>IF(DraftResults[[#This Row],[Player ID]]=0,"",INDEX(Table5[[#All],[Last]],MATCH(DraftResults[[#This Row],[Player ID]],Table5[[#All],[PID]],0)))</f>
        <v/>
      </c>
    </row>
    <row r="547" spans="1:11" x14ac:dyDescent="0.25">
      <c r="A547">
        <v>18</v>
      </c>
      <c r="B547">
        <v>0</v>
      </c>
      <c r="C547">
        <v>30</v>
      </c>
      <c r="D547" t="s">
        <v>249</v>
      </c>
      <c r="E547">
        <v>11</v>
      </c>
      <c r="F547">
        <v>0</v>
      </c>
      <c r="G547" t="s">
        <v>318</v>
      </c>
      <c r="H5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544</v>
      </c>
      <c r="I547" t="str">
        <f>IF(DraftResults[[#This Row],[Player ID]]=0,"",INDEX(Table5[[#All],[Pos]],MATCH(DraftResults[[#This Row],[Player ID]],Table5[[#All],[PID]],0)))</f>
        <v/>
      </c>
      <c r="J547" t="str">
        <f>IF(DraftResults[[#This Row],[Player ID]]=0,"",INDEX(Table5[[#All],[First]],MATCH(DraftResults[[#This Row],[Player ID]],Table5[[#All],[PID]],0)))</f>
        <v/>
      </c>
      <c r="K547" t="str">
        <f>IF(DraftResults[[#This Row],[Player ID]]=0,"",INDEX(Table5[[#All],[Last]],MATCH(DraftResults[[#This Row],[Player ID]],Table5[[#All],[PID]],0)))</f>
        <v/>
      </c>
    </row>
    <row r="548" spans="1:11" x14ac:dyDescent="0.25">
      <c r="A548">
        <v>19</v>
      </c>
      <c r="B548">
        <v>0</v>
      </c>
      <c r="C548">
        <v>1</v>
      </c>
      <c r="D548" t="s">
        <v>695</v>
      </c>
      <c r="E548">
        <v>160</v>
      </c>
      <c r="F548">
        <v>0</v>
      </c>
      <c r="G548" t="s">
        <v>318</v>
      </c>
      <c r="H5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545</v>
      </c>
      <c r="I548" t="str">
        <f>IF(DraftResults[[#This Row],[Player ID]]=0,"",INDEX(Table5[[#All],[Pos]],MATCH(DraftResults[[#This Row],[Player ID]],Table5[[#All],[PID]],0)))</f>
        <v/>
      </c>
      <c r="J548" t="str">
        <f>IF(DraftResults[[#This Row],[Player ID]]=0,"",INDEX(Table5[[#All],[First]],MATCH(DraftResults[[#This Row],[Player ID]],Table5[[#All],[PID]],0)))</f>
        <v/>
      </c>
      <c r="K548" t="str">
        <f>IF(DraftResults[[#This Row],[Player ID]]=0,"",INDEX(Table5[[#All],[Last]],MATCH(DraftResults[[#This Row],[Player ID]],Table5[[#All],[PID]],0)))</f>
        <v/>
      </c>
    </row>
    <row r="549" spans="1:11" x14ac:dyDescent="0.25">
      <c r="A549">
        <v>19</v>
      </c>
      <c r="B549">
        <v>0</v>
      </c>
      <c r="C549">
        <v>2</v>
      </c>
      <c r="D549" t="s">
        <v>694</v>
      </c>
      <c r="E549">
        <v>24</v>
      </c>
      <c r="F549">
        <v>0</v>
      </c>
      <c r="G549" t="s">
        <v>318</v>
      </c>
      <c r="H5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546</v>
      </c>
      <c r="I549" t="str">
        <f>IF(DraftResults[[#This Row],[Player ID]]=0,"",INDEX(Table5[[#All],[Pos]],MATCH(DraftResults[[#This Row],[Player ID]],Table5[[#All],[PID]],0)))</f>
        <v/>
      </c>
      <c r="J549" t="str">
        <f>IF(DraftResults[[#This Row],[Player ID]]=0,"",INDEX(Table5[[#All],[First]],MATCH(DraftResults[[#This Row],[Player ID]],Table5[[#All],[PID]],0)))</f>
        <v/>
      </c>
      <c r="K549" t="str">
        <f>IF(DraftResults[[#This Row],[Player ID]]=0,"",INDEX(Table5[[#All],[Last]],MATCH(DraftResults[[#This Row],[Player ID]],Table5[[#All],[PID]],0)))</f>
        <v/>
      </c>
    </row>
    <row r="550" spans="1:11" x14ac:dyDescent="0.25">
      <c r="A550">
        <v>19</v>
      </c>
      <c r="B550">
        <v>0</v>
      </c>
      <c r="C550">
        <v>3</v>
      </c>
      <c r="D550" t="s">
        <v>697</v>
      </c>
      <c r="E550">
        <v>23</v>
      </c>
      <c r="F550">
        <v>0</v>
      </c>
      <c r="G550" t="s">
        <v>318</v>
      </c>
      <c r="H5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547</v>
      </c>
      <c r="I550" t="str">
        <f>IF(DraftResults[[#This Row],[Player ID]]=0,"",INDEX(Table5[[#All],[Pos]],MATCH(DraftResults[[#This Row],[Player ID]],Table5[[#All],[PID]],0)))</f>
        <v/>
      </c>
      <c r="J550" t="str">
        <f>IF(DraftResults[[#This Row],[Player ID]]=0,"",INDEX(Table5[[#All],[First]],MATCH(DraftResults[[#This Row],[Player ID]],Table5[[#All],[PID]],0)))</f>
        <v/>
      </c>
      <c r="K550" t="str">
        <f>IF(DraftResults[[#This Row],[Player ID]]=0,"",INDEX(Table5[[#All],[Last]],MATCH(DraftResults[[#This Row],[Player ID]],Table5[[#All],[PID]],0)))</f>
        <v/>
      </c>
    </row>
    <row r="551" spans="1:11" x14ac:dyDescent="0.25">
      <c r="A551">
        <v>19</v>
      </c>
      <c r="B551">
        <v>0</v>
      </c>
      <c r="C551">
        <v>4</v>
      </c>
      <c r="D551" t="s">
        <v>252</v>
      </c>
      <c r="E551">
        <v>1</v>
      </c>
      <c r="F551">
        <v>0</v>
      </c>
      <c r="G551" t="s">
        <v>318</v>
      </c>
      <c r="H5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548</v>
      </c>
      <c r="I551" t="str">
        <f>IF(DraftResults[[#This Row],[Player ID]]=0,"",INDEX(Table5[[#All],[Pos]],MATCH(DraftResults[[#This Row],[Player ID]],Table5[[#All],[PID]],0)))</f>
        <v/>
      </c>
      <c r="J551" t="str">
        <f>IF(DraftResults[[#This Row],[Player ID]]=0,"",INDEX(Table5[[#All],[First]],MATCH(DraftResults[[#This Row],[Player ID]],Table5[[#All],[PID]],0)))</f>
        <v/>
      </c>
      <c r="K551" t="str">
        <f>IF(DraftResults[[#This Row],[Player ID]]=0,"",INDEX(Table5[[#All],[Last]],MATCH(DraftResults[[#This Row],[Player ID]],Table5[[#All],[PID]],0)))</f>
        <v/>
      </c>
    </row>
    <row r="552" spans="1:11" x14ac:dyDescent="0.25">
      <c r="A552">
        <v>19</v>
      </c>
      <c r="B552">
        <v>0</v>
      </c>
      <c r="C552">
        <v>5</v>
      </c>
      <c r="D552" t="s">
        <v>484</v>
      </c>
      <c r="E552">
        <v>164</v>
      </c>
      <c r="F552">
        <v>0</v>
      </c>
      <c r="G552" t="s">
        <v>318</v>
      </c>
      <c r="H5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549</v>
      </c>
      <c r="I552" t="str">
        <f>IF(DraftResults[[#This Row],[Player ID]]=0,"",INDEX(Table5[[#All],[Pos]],MATCH(DraftResults[[#This Row],[Player ID]],Table5[[#All],[PID]],0)))</f>
        <v/>
      </c>
      <c r="J552" t="str">
        <f>IF(DraftResults[[#This Row],[Player ID]]=0,"",INDEX(Table5[[#All],[First]],MATCH(DraftResults[[#This Row],[Player ID]],Table5[[#All],[PID]],0)))</f>
        <v/>
      </c>
      <c r="K552" t="str">
        <f>IF(DraftResults[[#This Row],[Player ID]]=0,"",INDEX(Table5[[#All],[Last]],MATCH(DraftResults[[#This Row],[Player ID]],Table5[[#All],[PID]],0)))</f>
        <v/>
      </c>
    </row>
    <row r="553" spans="1:11" x14ac:dyDescent="0.25">
      <c r="A553">
        <v>19</v>
      </c>
      <c r="B553">
        <v>0</v>
      </c>
      <c r="C553">
        <v>6</v>
      </c>
      <c r="D553" t="s">
        <v>254</v>
      </c>
      <c r="E553">
        <v>15</v>
      </c>
      <c r="F553">
        <v>0</v>
      </c>
      <c r="G553" t="s">
        <v>318</v>
      </c>
      <c r="H5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550</v>
      </c>
      <c r="I553" t="str">
        <f>IF(DraftResults[[#This Row],[Player ID]]=0,"",INDEX(Table5[[#All],[Pos]],MATCH(DraftResults[[#This Row],[Player ID]],Table5[[#All],[PID]],0)))</f>
        <v/>
      </c>
      <c r="J553" t="str">
        <f>IF(DraftResults[[#This Row],[Player ID]]=0,"",INDEX(Table5[[#All],[First]],MATCH(DraftResults[[#This Row],[Player ID]],Table5[[#All],[PID]],0)))</f>
        <v/>
      </c>
      <c r="K553" t="str">
        <f>IF(DraftResults[[#This Row],[Player ID]]=0,"",INDEX(Table5[[#All],[Last]],MATCH(DraftResults[[#This Row],[Player ID]],Table5[[#All],[PID]],0)))</f>
        <v/>
      </c>
    </row>
    <row r="554" spans="1:11" x14ac:dyDescent="0.25">
      <c r="A554">
        <v>19</v>
      </c>
      <c r="B554">
        <v>0</v>
      </c>
      <c r="C554">
        <v>7</v>
      </c>
      <c r="D554" t="s">
        <v>588</v>
      </c>
      <c r="E554">
        <v>4</v>
      </c>
      <c r="F554">
        <v>0</v>
      </c>
      <c r="G554" t="s">
        <v>318</v>
      </c>
      <c r="H5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551</v>
      </c>
      <c r="I554" t="str">
        <f>IF(DraftResults[[#This Row],[Player ID]]=0,"",INDEX(Table5[[#All],[Pos]],MATCH(DraftResults[[#This Row],[Player ID]],Table5[[#All],[PID]],0)))</f>
        <v/>
      </c>
      <c r="J554" t="str">
        <f>IF(DraftResults[[#This Row],[Player ID]]=0,"",INDEX(Table5[[#All],[First]],MATCH(DraftResults[[#This Row],[Player ID]],Table5[[#All],[PID]],0)))</f>
        <v/>
      </c>
      <c r="K554" t="str">
        <f>IF(DraftResults[[#This Row],[Player ID]]=0,"",INDEX(Table5[[#All],[Last]],MATCH(DraftResults[[#This Row],[Player ID]],Table5[[#All],[PID]],0)))</f>
        <v/>
      </c>
    </row>
    <row r="555" spans="1:11" x14ac:dyDescent="0.25">
      <c r="A555">
        <v>19</v>
      </c>
      <c r="B555">
        <v>0</v>
      </c>
      <c r="C555">
        <v>8</v>
      </c>
      <c r="D555" t="s">
        <v>587</v>
      </c>
      <c r="E555">
        <v>7</v>
      </c>
      <c r="F555">
        <v>0</v>
      </c>
      <c r="G555" t="s">
        <v>318</v>
      </c>
      <c r="H5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552</v>
      </c>
      <c r="I555" t="str">
        <f>IF(DraftResults[[#This Row],[Player ID]]=0,"",INDEX(Table5[[#All],[Pos]],MATCH(DraftResults[[#This Row],[Player ID]],Table5[[#All],[PID]],0)))</f>
        <v/>
      </c>
      <c r="J555" t="str">
        <f>IF(DraftResults[[#This Row],[Player ID]]=0,"",INDEX(Table5[[#All],[First]],MATCH(DraftResults[[#This Row],[Player ID]],Table5[[#All],[PID]],0)))</f>
        <v/>
      </c>
      <c r="K555" t="str">
        <f>IF(DraftResults[[#This Row],[Player ID]]=0,"",INDEX(Table5[[#All],[Last]],MATCH(DraftResults[[#This Row],[Player ID]],Table5[[#All],[PID]],0)))</f>
        <v/>
      </c>
    </row>
    <row r="556" spans="1:11" x14ac:dyDescent="0.25">
      <c r="A556">
        <v>19</v>
      </c>
      <c r="B556">
        <v>0</v>
      </c>
      <c r="C556">
        <v>9</v>
      </c>
      <c r="D556" t="s">
        <v>246</v>
      </c>
      <c r="E556">
        <v>21</v>
      </c>
      <c r="F556">
        <v>0</v>
      </c>
      <c r="G556" t="s">
        <v>318</v>
      </c>
      <c r="H5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553</v>
      </c>
      <c r="I556" t="str">
        <f>IF(DraftResults[[#This Row],[Player ID]]=0,"",INDEX(Table5[[#All],[Pos]],MATCH(DraftResults[[#This Row],[Player ID]],Table5[[#All],[PID]],0)))</f>
        <v/>
      </c>
      <c r="J556" t="str">
        <f>IF(DraftResults[[#This Row],[Player ID]]=0,"",INDEX(Table5[[#All],[First]],MATCH(DraftResults[[#This Row],[Player ID]],Table5[[#All],[PID]],0)))</f>
        <v/>
      </c>
      <c r="K556" t="str">
        <f>IF(DraftResults[[#This Row],[Player ID]]=0,"",INDEX(Table5[[#All],[Last]],MATCH(DraftResults[[#This Row],[Player ID]],Table5[[#All],[PID]],0)))</f>
        <v/>
      </c>
    </row>
    <row r="557" spans="1:11" x14ac:dyDescent="0.25">
      <c r="A557">
        <v>19</v>
      </c>
      <c r="B557">
        <v>0</v>
      </c>
      <c r="C557">
        <v>10</v>
      </c>
      <c r="D557" t="s">
        <v>696</v>
      </c>
      <c r="E557">
        <v>13</v>
      </c>
      <c r="F557">
        <v>0</v>
      </c>
      <c r="G557" t="s">
        <v>318</v>
      </c>
      <c r="H5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554</v>
      </c>
      <c r="I557" t="str">
        <f>IF(DraftResults[[#This Row],[Player ID]]=0,"",INDEX(Table5[[#All],[Pos]],MATCH(DraftResults[[#This Row],[Player ID]],Table5[[#All],[PID]],0)))</f>
        <v/>
      </c>
      <c r="J557" t="str">
        <f>IF(DraftResults[[#This Row],[Player ID]]=0,"",INDEX(Table5[[#All],[First]],MATCH(DraftResults[[#This Row],[Player ID]],Table5[[#All],[PID]],0)))</f>
        <v/>
      </c>
      <c r="K557" t="str">
        <f>IF(DraftResults[[#This Row],[Player ID]]=0,"",INDEX(Table5[[#All],[Last]],MATCH(DraftResults[[#This Row],[Player ID]],Table5[[#All],[PID]],0)))</f>
        <v/>
      </c>
    </row>
    <row r="558" spans="1:11" x14ac:dyDescent="0.25">
      <c r="A558">
        <v>19</v>
      </c>
      <c r="B558">
        <v>0</v>
      </c>
      <c r="C558">
        <v>11</v>
      </c>
      <c r="D558" t="s">
        <v>251</v>
      </c>
      <c r="E558">
        <v>3</v>
      </c>
      <c r="F558">
        <v>0</v>
      </c>
      <c r="G558" t="s">
        <v>318</v>
      </c>
      <c r="H5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555</v>
      </c>
      <c r="I558" t="str">
        <f>IF(DraftResults[[#This Row],[Player ID]]=0,"",INDEX(Table5[[#All],[Pos]],MATCH(DraftResults[[#This Row],[Player ID]],Table5[[#All],[PID]],0)))</f>
        <v/>
      </c>
      <c r="J558" t="str">
        <f>IF(DraftResults[[#This Row],[Player ID]]=0,"",INDEX(Table5[[#All],[First]],MATCH(DraftResults[[#This Row],[Player ID]],Table5[[#All],[PID]],0)))</f>
        <v/>
      </c>
      <c r="K558" t="str">
        <f>IF(DraftResults[[#This Row],[Player ID]]=0,"",INDEX(Table5[[#All],[Last]],MATCH(DraftResults[[#This Row],[Player ID]],Table5[[#All],[PID]],0)))</f>
        <v/>
      </c>
    </row>
    <row r="559" spans="1:11" x14ac:dyDescent="0.25">
      <c r="A559">
        <v>19</v>
      </c>
      <c r="B559">
        <v>0</v>
      </c>
      <c r="C559">
        <v>12</v>
      </c>
      <c r="D559" t="s">
        <v>257</v>
      </c>
      <c r="E559">
        <v>8</v>
      </c>
      <c r="F559">
        <v>0</v>
      </c>
      <c r="G559" t="s">
        <v>318</v>
      </c>
      <c r="H5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556</v>
      </c>
      <c r="I559" t="str">
        <f>IF(DraftResults[[#This Row],[Player ID]]=0,"",INDEX(Table5[[#All],[Pos]],MATCH(DraftResults[[#This Row],[Player ID]],Table5[[#All],[PID]],0)))</f>
        <v/>
      </c>
      <c r="J559" t="str">
        <f>IF(DraftResults[[#This Row],[Player ID]]=0,"",INDEX(Table5[[#All],[First]],MATCH(DraftResults[[#This Row],[Player ID]],Table5[[#All],[PID]],0)))</f>
        <v/>
      </c>
      <c r="K559" t="str">
        <f>IF(DraftResults[[#This Row],[Player ID]]=0,"",INDEX(Table5[[#All],[Last]],MATCH(DraftResults[[#This Row],[Player ID]],Table5[[#All],[PID]],0)))</f>
        <v/>
      </c>
    </row>
    <row r="560" spans="1:11" x14ac:dyDescent="0.25">
      <c r="A560">
        <v>19</v>
      </c>
      <c r="B560">
        <v>0</v>
      </c>
      <c r="C560">
        <v>13</v>
      </c>
      <c r="D560" t="s">
        <v>262</v>
      </c>
      <c r="E560">
        <v>12</v>
      </c>
      <c r="F560">
        <v>0</v>
      </c>
      <c r="G560" t="s">
        <v>318</v>
      </c>
      <c r="H5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557</v>
      </c>
      <c r="I560" t="str">
        <f>IF(DraftResults[[#This Row],[Player ID]]=0,"",INDEX(Table5[[#All],[Pos]],MATCH(DraftResults[[#This Row],[Player ID]],Table5[[#All],[PID]],0)))</f>
        <v/>
      </c>
      <c r="J560" t="str">
        <f>IF(DraftResults[[#This Row],[Player ID]]=0,"",INDEX(Table5[[#All],[First]],MATCH(DraftResults[[#This Row],[Player ID]],Table5[[#All],[PID]],0)))</f>
        <v/>
      </c>
      <c r="K560" t="str">
        <f>IF(DraftResults[[#This Row],[Player ID]]=0,"",INDEX(Table5[[#All],[Last]],MATCH(DraftResults[[#This Row],[Player ID]],Table5[[#All],[PID]],0)))</f>
        <v/>
      </c>
    </row>
    <row r="561" spans="1:11" x14ac:dyDescent="0.25">
      <c r="A561">
        <v>19</v>
      </c>
      <c r="B561">
        <v>0</v>
      </c>
      <c r="C561">
        <v>14</v>
      </c>
      <c r="D561" t="s">
        <v>489</v>
      </c>
      <c r="E561">
        <v>18</v>
      </c>
      <c r="F561">
        <v>0</v>
      </c>
      <c r="G561" t="s">
        <v>318</v>
      </c>
      <c r="H5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558</v>
      </c>
      <c r="I561" t="str">
        <f>IF(DraftResults[[#This Row],[Player ID]]=0,"",INDEX(Table5[[#All],[Pos]],MATCH(DraftResults[[#This Row],[Player ID]],Table5[[#All],[PID]],0)))</f>
        <v/>
      </c>
      <c r="J561" t="str">
        <f>IF(DraftResults[[#This Row],[Player ID]]=0,"",INDEX(Table5[[#All],[First]],MATCH(DraftResults[[#This Row],[Player ID]],Table5[[#All],[PID]],0)))</f>
        <v/>
      </c>
      <c r="K561" t="str">
        <f>IF(DraftResults[[#This Row],[Player ID]]=0,"",INDEX(Table5[[#All],[Last]],MATCH(DraftResults[[#This Row],[Player ID]],Table5[[#All],[PID]],0)))</f>
        <v/>
      </c>
    </row>
    <row r="562" spans="1:11" x14ac:dyDescent="0.25">
      <c r="A562">
        <v>19</v>
      </c>
      <c r="B562">
        <v>0</v>
      </c>
      <c r="C562">
        <v>15</v>
      </c>
      <c r="D562" t="s">
        <v>250</v>
      </c>
      <c r="E562">
        <v>10</v>
      </c>
      <c r="F562">
        <v>0</v>
      </c>
      <c r="G562" t="s">
        <v>318</v>
      </c>
      <c r="H5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559</v>
      </c>
      <c r="I562" t="str">
        <f>IF(DraftResults[[#This Row],[Player ID]]=0,"",INDEX(Table5[[#All],[Pos]],MATCH(DraftResults[[#This Row],[Player ID]],Table5[[#All],[PID]],0)))</f>
        <v/>
      </c>
      <c r="J562" t="str">
        <f>IF(DraftResults[[#This Row],[Player ID]]=0,"",INDEX(Table5[[#All],[First]],MATCH(DraftResults[[#This Row],[Player ID]],Table5[[#All],[PID]],0)))</f>
        <v/>
      </c>
      <c r="K562" t="str">
        <f>IF(DraftResults[[#This Row],[Player ID]]=0,"",INDEX(Table5[[#All],[Last]],MATCH(DraftResults[[#This Row],[Player ID]],Table5[[#All],[PID]],0)))</f>
        <v/>
      </c>
    </row>
    <row r="563" spans="1:11" x14ac:dyDescent="0.25">
      <c r="A563">
        <v>19</v>
      </c>
      <c r="B563">
        <v>0</v>
      </c>
      <c r="C563">
        <v>16</v>
      </c>
      <c r="D563" t="s">
        <v>482</v>
      </c>
      <c r="E563">
        <v>162</v>
      </c>
      <c r="F563">
        <v>0</v>
      </c>
      <c r="G563" t="s">
        <v>318</v>
      </c>
      <c r="H5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560</v>
      </c>
      <c r="I563" t="str">
        <f>IF(DraftResults[[#This Row],[Player ID]]=0,"",INDEX(Table5[[#All],[Pos]],MATCH(DraftResults[[#This Row],[Player ID]],Table5[[#All],[PID]],0)))</f>
        <v/>
      </c>
      <c r="J563" t="str">
        <f>IF(DraftResults[[#This Row],[Player ID]]=0,"",INDEX(Table5[[#All],[First]],MATCH(DraftResults[[#This Row],[Player ID]],Table5[[#All],[PID]],0)))</f>
        <v/>
      </c>
      <c r="K563" t="str">
        <f>IF(DraftResults[[#This Row],[Player ID]]=0,"",INDEX(Table5[[#All],[Last]],MATCH(DraftResults[[#This Row],[Player ID]],Table5[[#All],[PID]],0)))</f>
        <v/>
      </c>
    </row>
    <row r="564" spans="1:11" x14ac:dyDescent="0.25">
      <c r="A564">
        <v>19</v>
      </c>
      <c r="B564">
        <v>0</v>
      </c>
      <c r="C564">
        <v>17</v>
      </c>
      <c r="D564" t="s">
        <v>483</v>
      </c>
      <c r="E564">
        <v>2</v>
      </c>
      <c r="F564">
        <v>0</v>
      </c>
      <c r="G564" t="s">
        <v>318</v>
      </c>
      <c r="H5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561</v>
      </c>
      <c r="I564" t="str">
        <f>IF(DraftResults[[#This Row],[Player ID]]=0,"",INDEX(Table5[[#All],[Pos]],MATCH(DraftResults[[#This Row],[Player ID]],Table5[[#All],[PID]],0)))</f>
        <v/>
      </c>
      <c r="J564" t="str">
        <f>IF(DraftResults[[#This Row],[Player ID]]=0,"",INDEX(Table5[[#All],[First]],MATCH(DraftResults[[#This Row],[Player ID]],Table5[[#All],[PID]],0)))</f>
        <v/>
      </c>
      <c r="K564" t="str">
        <f>IF(DraftResults[[#This Row],[Player ID]]=0,"",INDEX(Table5[[#All],[Last]],MATCH(DraftResults[[#This Row],[Player ID]],Table5[[#All],[PID]],0)))</f>
        <v/>
      </c>
    </row>
    <row r="565" spans="1:11" x14ac:dyDescent="0.25">
      <c r="A565">
        <v>19</v>
      </c>
      <c r="B565">
        <v>0</v>
      </c>
      <c r="C565">
        <v>18</v>
      </c>
      <c r="D565" t="s">
        <v>258</v>
      </c>
      <c r="E565">
        <v>16</v>
      </c>
      <c r="F565">
        <v>0</v>
      </c>
      <c r="G565" t="s">
        <v>318</v>
      </c>
      <c r="H5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562</v>
      </c>
      <c r="I565" t="str">
        <f>IF(DraftResults[[#This Row],[Player ID]]=0,"",INDEX(Table5[[#All],[Pos]],MATCH(DraftResults[[#This Row],[Player ID]],Table5[[#All],[PID]],0)))</f>
        <v/>
      </c>
      <c r="J565" t="str">
        <f>IF(DraftResults[[#This Row],[Player ID]]=0,"",INDEX(Table5[[#All],[First]],MATCH(DraftResults[[#This Row],[Player ID]],Table5[[#All],[PID]],0)))</f>
        <v/>
      </c>
      <c r="K565" t="str">
        <f>IF(DraftResults[[#This Row],[Player ID]]=0,"",INDEX(Table5[[#All],[Last]],MATCH(DraftResults[[#This Row],[Player ID]],Table5[[#All],[PID]],0)))</f>
        <v/>
      </c>
    </row>
    <row r="566" spans="1:11" x14ac:dyDescent="0.25">
      <c r="A566">
        <v>19</v>
      </c>
      <c r="B566">
        <v>0</v>
      </c>
      <c r="C566">
        <v>19</v>
      </c>
      <c r="D566" t="s">
        <v>490</v>
      </c>
      <c r="E566">
        <v>167</v>
      </c>
      <c r="F566">
        <v>0</v>
      </c>
      <c r="G566" t="s">
        <v>318</v>
      </c>
      <c r="H5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563</v>
      </c>
      <c r="I566" t="str">
        <f>IF(DraftResults[[#This Row],[Player ID]]=0,"",INDEX(Table5[[#All],[Pos]],MATCH(DraftResults[[#This Row],[Player ID]],Table5[[#All],[PID]],0)))</f>
        <v/>
      </c>
      <c r="J566" t="str">
        <f>IF(DraftResults[[#This Row],[Player ID]]=0,"",INDEX(Table5[[#All],[First]],MATCH(DraftResults[[#This Row],[Player ID]],Table5[[#All],[PID]],0)))</f>
        <v/>
      </c>
      <c r="K566" t="str">
        <f>IF(DraftResults[[#This Row],[Player ID]]=0,"",INDEX(Table5[[#All],[Last]],MATCH(DraftResults[[#This Row],[Player ID]],Table5[[#All],[PID]],0)))</f>
        <v/>
      </c>
    </row>
    <row r="567" spans="1:11" x14ac:dyDescent="0.25">
      <c r="A567">
        <v>19</v>
      </c>
      <c r="B567">
        <v>0</v>
      </c>
      <c r="C567">
        <v>20</v>
      </c>
      <c r="D567" t="s">
        <v>243</v>
      </c>
      <c r="E567">
        <v>19</v>
      </c>
      <c r="F567">
        <v>0</v>
      </c>
      <c r="G567" t="s">
        <v>318</v>
      </c>
      <c r="H5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564</v>
      </c>
      <c r="I567" t="str">
        <f>IF(DraftResults[[#This Row],[Player ID]]=0,"",INDEX(Table5[[#All],[Pos]],MATCH(DraftResults[[#This Row],[Player ID]],Table5[[#All],[PID]],0)))</f>
        <v/>
      </c>
      <c r="J567" t="str">
        <f>IF(DraftResults[[#This Row],[Player ID]]=0,"",INDEX(Table5[[#All],[First]],MATCH(DraftResults[[#This Row],[Player ID]],Table5[[#All],[PID]],0)))</f>
        <v/>
      </c>
      <c r="K567" t="str">
        <f>IF(DraftResults[[#This Row],[Player ID]]=0,"",INDEX(Table5[[#All],[Last]],MATCH(DraftResults[[#This Row],[Player ID]],Table5[[#All],[PID]],0)))</f>
        <v/>
      </c>
    </row>
    <row r="568" spans="1:11" x14ac:dyDescent="0.25">
      <c r="A568">
        <v>19</v>
      </c>
      <c r="B568">
        <v>0</v>
      </c>
      <c r="C568">
        <v>21</v>
      </c>
      <c r="D568" t="s">
        <v>487</v>
      </c>
      <c r="E568">
        <v>163</v>
      </c>
      <c r="F568">
        <v>0</v>
      </c>
      <c r="G568" t="s">
        <v>318</v>
      </c>
      <c r="H5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565</v>
      </c>
      <c r="I568" t="str">
        <f>IF(DraftResults[[#This Row],[Player ID]]=0,"",INDEX(Table5[[#All],[Pos]],MATCH(DraftResults[[#This Row],[Player ID]],Table5[[#All],[PID]],0)))</f>
        <v/>
      </c>
      <c r="J568" t="str">
        <f>IF(DraftResults[[#This Row],[Player ID]]=0,"",INDEX(Table5[[#All],[First]],MATCH(DraftResults[[#This Row],[Player ID]],Table5[[#All],[PID]],0)))</f>
        <v/>
      </c>
      <c r="K568" t="str">
        <f>IF(DraftResults[[#This Row],[Player ID]]=0,"",INDEX(Table5[[#All],[Last]],MATCH(DraftResults[[#This Row],[Player ID]],Table5[[#All],[PID]],0)))</f>
        <v/>
      </c>
    </row>
    <row r="569" spans="1:11" x14ac:dyDescent="0.25">
      <c r="A569">
        <v>19</v>
      </c>
      <c r="B569">
        <v>0</v>
      </c>
      <c r="C569">
        <v>22</v>
      </c>
      <c r="D569" t="s">
        <v>255</v>
      </c>
      <c r="E569">
        <v>20</v>
      </c>
      <c r="F569">
        <v>0</v>
      </c>
      <c r="G569" t="s">
        <v>318</v>
      </c>
      <c r="H5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566</v>
      </c>
      <c r="I569" t="str">
        <f>IF(DraftResults[[#This Row],[Player ID]]=0,"",INDEX(Table5[[#All],[Pos]],MATCH(DraftResults[[#This Row],[Player ID]],Table5[[#All],[PID]],0)))</f>
        <v/>
      </c>
      <c r="J569" t="str">
        <f>IF(DraftResults[[#This Row],[Player ID]]=0,"",INDEX(Table5[[#All],[First]],MATCH(DraftResults[[#This Row],[Player ID]],Table5[[#All],[PID]],0)))</f>
        <v/>
      </c>
      <c r="K569" t="str">
        <f>IF(DraftResults[[#This Row],[Player ID]]=0,"",INDEX(Table5[[#All],[Last]],MATCH(DraftResults[[#This Row],[Player ID]],Table5[[#All],[PID]],0)))</f>
        <v/>
      </c>
    </row>
    <row r="570" spans="1:11" x14ac:dyDescent="0.25">
      <c r="A570">
        <v>19</v>
      </c>
      <c r="B570">
        <v>0</v>
      </c>
      <c r="C570">
        <v>23</v>
      </c>
      <c r="D570" t="s">
        <v>485</v>
      </c>
      <c r="E570">
        <v>166</v>
      </c>
      <c r="F570">
        <v>0</v>
      </c>
      <c r="G570" t="s">
        <v>318</v>
      </c>
      <c r="H5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567</v>
      </c>
      <c r="I570" t="str">
        <f>IF(DraftResults[[#This Row],[Player ID]]=0,"",INDEX(Table5[[#All],[Pos]],MATCH(DraftResults[[#This Row],[Player ID]],Table5[[#All],[PID]],0)))</f>
        <v/>
      </c>
      <c r="J570" t="str">
        <f>IF(DraftResults[[#This Row],[Player ID]]=0,"",INDEX(Table5[[#All],[First]],MATCH(DraftResults[[#This Row],[Player ID]],Table5[[#All],[PID]],0)))</f>
        <v/>
      </c>
      <c r="K570" t="str">
        <f>IF(DraftResults[[#This Row],[Player ID]]=0,"",INDEX(Table5[[#All],[Last]],MATCH(DraftResults[[#This Row],[Player ID]],Table5[[#All],[PID]],0)))</f>
        <v/>
      </c>
    </row>
    <row r="571" spans="1:11" x14ac:dyDescent="0.25">
      <c r="A571">
        <v>19</v>
      </c>
      <c r="B571">
        <v>0</v>
      </c>
      <c r="C571">
        <v>24</v>
      </c>
      <c r="D571" t="s">
        <v>244</v>
      </c>
      <c r="E571">
        <v>22</v>
      </c>
      <c r="F571">
        <v>0</v>
      </c>
      <c r="G571" t="s">
        <v>318</v>
      </c>
      <c r="H5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568</v>
      </c>
      <c r="I571" t="str">
        <f>IF(DraftResults[[#This Row],[Player ID]]=0,"",INDEX(Table5[[#All],[Pos]],MATCH(DraftResults[[#This Row],[Player ID]],Table5[[#All],[PID]],0)))</f>
        <v/>
      </c>
      <c r="J571" t="str">
        <f>IF(DraftResults[[#This Row],[Player ID]]=0,"",INDEX(Table5[[#All],[First]],MATCH(DraftResults[[#This Row],[Player ID]],Table5[[#All],[PID]],0)))</f>
        <v/>
      </c>
      <c r="K571" t="str">
        <f>IF(DraftResults[[#This Row],[Player ID]]=0,"",INDEX(Table5[[#All],[Last]],MATCH(DraftResults[[#This Row],[Player ID]],Table5[[#All],[PID]],0)))</f>
        <v/>
      </c>
    </row>
    <row r="572" spans="1:11" x14ac:dyDescent="0.25">
      <c r="A572">
        <v>19</v>
      </c>
      <c r="B572">
        <v>0</v>
      </c>
      <c r="C572">
        <v>25</v>
      </c>
      <c r="D572" t="s">
        <v>698</v>
      </c>
      <c r="E572">
        <v>9</v>
      </c>
      <c r="F572">
        <v>0</v>
      </c>
      <c r="G572" t="s">
        <v>318</v>
      </c>
      <c r="H5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569</v>
      </c>
      <c r="I572" t="str">
        <f>IF(DraftResults[[#This Row],[Player ID]]=0,"",INDEX(Table5[[#All],[Pos]],MATCH(DraftResults[[#This Row],[Player ID]],Table5[[#All],[PID]],0)))</f>
        <v/>
      </c>
      <c r="J572" t="str">
        <f>IF(DraftResults[[#This Row],[Player ID]]=0,"",INDEX(Table5[[#All],[First]],MATCH(DraftResults[[#This Row],[Player ID]],Table5[[#All],[PID]],0)))</f>
        <v/>
      </c>
      <c r="K572" t="str">
        <f>IF(DraftResults[[#This Row],[Player ID]]=0,"",INDEX(Table5[[#All],[Last]],MATCH(DraftResults[[#This Row],[Player ID]],Table5[[#All],[PID]],0)))</f>
        <v/>
      </c>
    </row>
    <row r="573" spans="1:11" x14ac:dyDescent="0.25">
      <c r="A573">
        <v>19</v>
      </c>
      <c r="B573">
        <v>0</v>
      </c>
      <c r="C573">
        <v>26</v>
      </c>
      <c r="D573" t="s">
        <v>694</v>
      </c>
      <c r="E573">
        <v>24</v>
      </c>
      <c r="F573">
        <v>0</v>
      </c>
      <c r="G573" t="s">
        <v>318</v>
      </c>
      <c r="H5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570</v>
      </c>
      <c r="I573" t="str">
        <f>IF(DraftResults[[#This Row],[Player ID]]=0,"",INDEX(Table5[[#All],[Pos]],MATCH(DraftResults[[#This Row],[Player ID]],Table5[[#All],[PID]],0)))</f>
        <v/>
      </c>
      <c r="J573" t="str">
        <f>IF(DraftResults[[#This Row],[Player ID]]=0,"",INDEX(Table5[[#All],[First]],MATCH(DraftResults[[#This Row],[Player ID]],Table5[[#All],[PID]],0)))</f>
        <v/>
      </c>
      <c r="K573" t="str">
        <f>IF(DraftResults[[#This Row],[Player ID]]=0,"",INDEX(Table5[[#All],[Last]],MATCH(DraftResults[[#This Row],[Player ID]],Table5[[#All],[PID]],0)))</f>
        <v/>
      </c>
    </row>
    <row r="574" spans="1:11" x14ac:dyDescent="0.25">
      <c r="A574">
        <v>19</v>
      </c>
      <c r="B574">
        <v>0</v>
      </c>
      <c r="C574">
        <v>27</v>
      </c>
      <c r="D574" t="s">
        <v>247</v>
      </c>
      <c r="E574">
        <v>17</v>
      </c>
      <c r="F574">
        <v>0</v>
      </c>
      <c r="G574" t="s">
        <v>318</v>
      </c>
      <c r="H5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571</v>
      </c>
      <c r="I574" t="str">
        <f>IF(DraftResults[[#This Row],[Player ID]]=0,"",INDEX(Table5[[#All],[Pos]],MATCH(DraftResults[[#This Row],[Player ID]],Table5[[#All],[PID]],0)))</f>
        <v/>
      </c>
      <c r="J574" t="str">
        <f>IF(DraftResults[[#This Row],[Player ID]]=0,"",INDEX(Table5[[#All],[First]],MATCH(DraftResults[[#This Row],[Player ID]],Table5[[#All],[PID]],0)))</f>
        <v/>
      </c>
      <c r="K574" t="str">
        <f>IF(DraftResults[[#This Row],[Player ID]]=0,"",INDEX(Table5[[#All],[Last]],MATCH(DraftResults[[#This Row],[Player ID]],Table5[[#All],[PID]],0)))</f>
        <v/>
      </c>
    </row>
    <row r="575" spans="1:11" x14ac:dyDescent="0.25">
      <c r="A575">
        <v>19</v>
      </c>
      <c r="B575">
        <v>0</v>
      </c>
      <c r="C575">
        <v>28</v>
      </c>
      <c r="D575" t="s">
        <v>253</v>
      </c>
      <c r="E575">
        <v>14</v>
      </c>
      <c r="F575">
        <v>0</v>
      </c>
      <c r="G575" t="s">
        <v>318</v>
      </c>
      <c r="H5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572</v>
      </c>
      <c r="I575" t="str">
        <f>IF(DraftResults[[#This Row],[Player ID]]=0,"",INDEX(Table5[[#All],[Pos]],MATCH(DraftResults[[#This Row],[Player ID]],Table5[[#All],[PID]],0)))</f>
        <v/>
      </c>
      <c r="J575" t="str">
        <f>IF(DraftResults[[#This Row],[Player ID]]=0,"",INDEX(Table5[[#All],[First]],MATCH(DraftResults[[#This Row],[Player ID]],Table5[[#All],[PID]],0)))</f>
        <v/>
      </c>
      <c r="K575" t="str">
        <f>IF(DraftResults[[#This Row],[Player ID]]=0,"",INDEX(Table5[[#All],[Last]],MATCH(DraftResults[[#This Row],[Player ID]],Table5[[#All],[PID]],0)))</f>
        <v/>
      </c>
    </row>
    <row r="576" spans="1:11" x14ac:dyDescent="0.25">
      <c r="A576">
        <v>19</v>
      </c>
      <c r="B576">
        <v>0</v>
      </c>
      <c r="C576">
        <v>29</v>
      </c>
      <c r="D576" t="s">
        <v>486</v>
      </c>
      <c r="E576">
        <v>159</v>
      </c>
      <c r="F576">
        <v>0</v>
      </c>
      <c r="G576" t="s">
        <v>318</v>
      </c>
      <c r="H5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573</v>
      </c>
      <c r="I576" t="str">
        <f>IF(DraftResults[[#This Row],[Player ID]]=0,"",INDEX(Table5[[#All],[Pos]],MATCH(DraftResults[[#This Row],[Player ID]],Table5[[#All],[PID]],0)))</f>
        <v/>
      </c>
      <c r="J576" t="str">
        <f>IF(DraftResults[[#This Row],[Player ID]]=0,"",INDEX(Table5[[#All],[First]],MATCH(DraftResults[[#This Row],[Player ID]],Table5[[#All],[PID]],0)))</f>
        <v/>
      </c>
      <c r="K576" t="str">
        <f>IF(DraftResults[[#This Row],[Player ID]]=0,"",INDEX(Table5[[#All],[Last]],MATCH(DraftResults[[#This Row],[Player ID]],Table5[[#All],[PID]],0)))</f>
        <v/>
      </c>
    </row>
    <row r="577" spans="1:11" x14ac:dyDescent="0.25">
      <c r="A577">
        <v>19</v>
      </c>
      <c r="B577">
        <v>0</v>
      </c>
      <c r="C577">
        <v>30</v>
      </c>
      <c r="D577" t="s">
        <v>249</v>
      </c>
      <c r="E577">
        <v>11</v>
      </c>
      <c r="F577">
        <v>0</v>
      </c>
      <c r="G577" t="s">
        <v>318</v>
      </c>
      <c r="H5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574</v>
      </c>
      <c r="I577" t="str">
        <f>IF(DraftResults[[#This Row],[Player ID]]=0,"",INDEX(Table5[[#All],[Pos]],MATCH(DraftResults[[#This Row],[Player ID]],Table5[[#All],[PID]],0)))</f>
        <v/>
      </c>
      <c r="J577" t="str">
        <f>IF(DraftResults[[#This Row],[Player ID]]=0,"",INDEX(Table5[[#All],[First]],MATCH(DraftResults[[#This Row],[Player ID]],Table5[[#All],[PID]],0)))</f>
        <v/>
      </c>
      <c r="K577" t="str">
        <f>IF(DraftResults[[#This Row],[Player ID]]=0,"",INDEX(Table5[[#All],[Last]],MATCH(DraftResults[[#This Row],[Player ID]],Table5[[#All],[PID]],0)))</f>
        <v/>
      </c>
    </row>
    <row r="578" spans="1:11" x14ac:dyDescent="0.25">
      <c r="A578">
        <v>20</v>
      </c>
      <c r="B578">
        <v>0</v>
      </c>
      <c r="C578">
        <v>1</v>
      </c>
      <c r="D578" t="s">
        <v>695</v>
      </c>
      <c r="E578">
        <v>160</v>
      </c>
      <c r="F578">
        <v>0</v>
      </c>
      <c r="G578" t="s">
        <v>318</v>
      </c>
      <c r="H5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575</v>
      </c>
      <c r="I578" t="str">
        <f>IF(DraftResults[[#This Row],[Player ID]]=0,"",INDEX(Table5[[#All],[Pos]],MATCH(DraftResults[[#This Row],[Player ID]],Table5[[#All],[PID]],0)))</f>
        <v/>
      </c>
      <c r="J578" t="str">
        <f>IF(DraftResults[[#This Row],[Player ID]]=0,"",INDEX(Table5[[#All],[First]],MATCH(DraftResults[[#This Row],[Player ID]],Table5[[#All],[PID]],0)))</f>
        <v/>
      </c>
      <c r="K578" t="str">
        <f>IF(DraftResults[[#This Row],[Player ID]]=0,"",INDEX(Table5[[#All],[Last]],MATCH(DraftResults[[#This Row],[Player ID]],Table5[[#All],[PID]],0)))</f>
        <v/>
      </c>
    </row>
    <row r="579" spans="1:11" x14ac:dyDescent="0.25">
      <c r="A579">
        <v>20</v>
      </c>
      <c r="B579">
        <v>0</v>
      </c>
      <c r="C579">
        <v>2</v>
      </c>
      <c r="D579" t="s">
        <v>694</v>
      </c>
      <c r="E579">
        <v>24</v>
      </c>
      <c r="F579">
        <v>0</v>
      </c>
      <c r="G579" t="s">
        <v>318</v>
      </c>
      <c r="H5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576</v>
      </c>
      <c r="I579" t="str">
        <f>IF(DraftResults[[#This Row],[Player ID]]=0,"",INDEX(Table5[[#All],[Pos]],MATCH(DraftResults[[#This Row],[Player ID]],Table5[[#All],[PID]],0)))</f>
        <v/>
      </c>
      <c r="J579" t="str">
        <f>IF(DraftResults[[#This Row],[Player ID]]=0,"",INDEX(Table5[[#All],[First]],MATCH(DraftResults[[#This Row],[Player ID]],Table5[[#All],[PID]],0)))</f>
        <v/>
      </c>
      <c r="K579" t="str">
        <f>IF(DraftResults[[#This Row],[Player ID]]=0,"",INDEX(Table5[[#All],[Last]],MATCH(DraftResults[[#This Row],[Player ID]],Table5[[#All],[PID]],0)))</f>
        <v/>
      </c>
    </row>
    <row r="580" spans="1:11" x14ac:dyDescent="0.25">
      <c r="A580">
        <v>20</v>
      </c>
      <c r="B580">
        <v>0</v>
      </c>
      <c r="C580">
        <v>3</v>
      </c>
      <c r="D580" t="s">
        <v>697</v>
      </c>
      <c r="E580">
        <v>23</v>
      </c>
      <c r="F580">
        <v>0</v>
      </c>
      <c r="G580" t="s">
        <v>318</v>
      </c>
      <c r="H5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577</v>
      </c>
      <c r="I580" t="str">
        <f>IF(DraftResults[[#This Row],[Player ID]]=0,"",INDEX(Table5[[#All],[Pos]],MATCH(DraftResults[[#This Row],[Player ID]],Table5[[#All],[PID]],0)))</f>
        <v/>
      </c>
      <c r="J580" t="str">
        <f>IF(DraftResults[[#This Row],[Player ID]]=0,"",INDEX(Table5[[#All],[First]],MATCH(DraftResults[[#This Row],[Player ID]],Table5[[#All],[PID]],0)))</f>
        <v/>
      </c>
      <c r="K580" t="str">
        <f>IF(DraftResults[[#This Row],[Player ID]]=0,"",INDEX(Table5[[#All],[Last]],MATCH(DraftResults[[#This Row],[Player ID]],Table5[[#All],[PID]],0)))</f>
        <v/>
      </c>
    </row>
    <row r="581" spans="1:11" x14ac:dyDescent="0.25">
      <c r="A581">
        <v>20</v>
      </c>
      <c r="B581">
        <v>0</v>
      </c>
      <c r="C581">
        <v>4</v>
      </c>
      <c r="D581" t="s">
        <v>252</v>
      </c>
      <c r="E581">
        <v>1</v>
      </c>
      <c r="F581">
        <v>0</v>
      </c>
      <c r="G581" t="s">
        <v>318</v>
      </c>
      <c r="H5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578</v>
      </c>
      <c r="I581" t="str">
        <f>IF(DraftResults[[#This Row],[Player ID]]=0,"",INDEX(Table5[[#All],[Pos]],MATCH(DraftResults[[#This Row],[Player ID]],Table5[[#All],[PID]],0)))</f>
        <v/>
      </c>
      <c r="J581" t="str">
        <f>IF(DraftResults[[#This Row],[Player ID]]=0,"",INDEX(Table5[[#All],[First]],MATCH(DraftResults[[#This Row],[Player ID]],Table5[[#All],[PID]],0)))</f>
        <v/>
      </c>
      <c r="K581" t="str">
        <f>IF(DraftResults[[#This Row],[Player ID]]=0,"",INDEX(Table5[[#All],[Last]],MATCH(DraftResults[[#This Row],[Player ID]],Table5[[#All],[PID]],0)))</f>
        <v/>
      </c>
    </row>
    <row r="582" spans="1:11" x14ac:dyDescent="0.25">
      <c r="A582">
        <v>20</v>
      </c>
      <c r="B582">
        <v>0</v>
      </c>
      <c r="C582">
        <v>5</v>
      </c>
      <c r="D582" t="s">
        <v>484</v>
      </c>
      <c r="E582">
        <v>164</v>
      </c>
      <c r="F582">
        <v>0</v>
      </c>
      <c r="G582" t="s">
        <v>318</v>
      </c>
      <c r="H5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579</v>
      </c>
      <c r="I582" t="str">
        <f>IF(DraftResults[[#This Row],[Player ID]]=0,"",INDEX(Table5[[#All],[Pos]],MATCH(DraftResults[[#This Row],[Player ID]],Table5[[#All],[PID]],0)))</f>
        <v/>
      </c>
      <c r="J582" t="str">
        <f>IF(DraftResults[[#This Row],[Player ID]]=0,"",INDEX(Table5[[#All],[First]],MATCH(DraftResults[[#This Row],[Player ID]],Table5[[#All],[PID]],0)))</f>
        <v/>
      </c>
      <c r="K582" t="str">
        <f>IF(DraftResults[[#This Row],[Player ID]]=0,"",INDEX(Table5[[#All],[Last]],MATCH(DraftResults[[#This Row],[Player ID]],Table5[[#All],[PID]],0)))</f>
        <v/>
      </c>
    </row>
    <row r="583" spans="1:11" x14ac:dyDescent="0.25">
      <c r="A583">
        <v>20</v>
      </c>
      <c r="B583">
        <v>0</v>
      </c>
      <c r="C583">
        <v>6</v>
      </c>
      <c r="D583" t="s">
        <v>254</v>
      </c>
      <c r="E583">
        <v>15</v>
      </c>
      <c r="F583">
        <v>0</v>
      </c>
      <c r="G583" t="s">
        <v>318</v>
      </c>
      <c r="H5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580</v>
      </c>
      <c r="I583" t="str">
        <f>IF(DraftResults[[#This Row],[Player ID]]=0,"",INDEX(Table5[[#All],[Pos]],MATCH(DraftResults[[#This Row],[Player ID]],Table5[[#All],[PID]],0)))</f>
        <v/>
      </c>
      <c r="J583" t="str">
        <f>IF(DraftResults[[#This Row],[Player ID]]=0,"",INDEX(Table5[[#All],[First]],MATCH(DraftResults[[#This Row],[Player ID]],Table5[[#All],[PID]],0)))</f>
        <v/>
      </c>
      <c r="K583" t="str">
        <f>IF(DraftResults[[#This Row],[Player ID]]=0,"",INDEX(Table5[[#All],[Last]],MATCH(DraftResults[[#This Row],[Player ID]],Table5[[#All],[PID]],0)))</f>
        <v/>
      </c>
    </row>
    <row r="584" spans="1:11" x14ac:dyDescent="0.25">
      <c r="A584">
        <v>20</v>
      </c>
      <c r="B584">
        <v>0</v>
      </c>
      <c r="C584">
        <v>7</v>
      </c>
      <c r="D584" t="s">
        <v>588</v>
      </c>
      <c r="E584">
        <v>4</v>
      </c>
      <c r="F584">
        <v>0</v>
      </c>
      <c r="G584" t="s">
        <v>318</v>
      </c>
      <c r="H5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581</v>
      </c>
      <c r="I584" t="str">
        <f>IF(DraftResults[[#This Row],[Player ID]]=0,"",INDEX(Table5[[#All],[Pos]],MATCH(DraftResults[[#This Row],[Player ID]],Table5[[#All],[PID]],0)))</f>
        <v/>
      </c>
      <c r="J584" t="str">
        <f>IF(DraftResults[[#This Row],[Player ID]]=0,"",INDEX(Table5[[#All],[First]],MATCH(DraftResults[[#This Row],[Player ID]],Table5[[#All],[PID]],0)))</f>
        <v/>
      </c>
      <c r="K584" t="str">
        <f>IF(DraftResults[[#This Row],[Player ID]]=0,"",INDEX(Table5[[#All],[Last]],MATCH(DraftResults[[#This Row],[Player ID]],Table5[[#All],[PID]],0)))</f>
        <v/>
      </c>
    </row>
    <row r="585" spans="1:11" x14ac:dyDescent="0.25">
      <c r="A585">
        <v>20</v>
      </c>
      <c r="B585">
        <v>0</v>
      </c>
      <c r="C585">
        <v>8</v>
      </c>
      <c r="D585" t="s">
        <v>587</v>
      </c>
      <c r="E585">
        <v>7</v>
      </c>
      <c r="F585">
        <v>0</v>
      </c>
      <c r="G585" t="s">
        <v>318</v>
      </c>
      <c r="H5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582</v>
      </c>
      <c r="I585" t="str">
        <f>IF(DraftResults[[#This Row],[Player ID]]=0,"",INDEX(Table5[[#All],[Pos]],MATCH(DraftResults[[#This Row],[Player ID]],Table5[[#All],[PID]],0)))</f>
        <v/>
      </c>
      <c r="J585" t="str">
        <f>IF(DraftResults[[#This Row],[Player ID]]=0,"",INDEX(Table5[[#All],[First]],MATCH(DraftResults[[#This Row],[Player ID]],Table5[[#All],[PID]],0)))</f>
        <v/>
      </c>
      <c r="K585" t="str">
        <f>IF(DraftResults[[#This Row],[Player ID]]=0,"",INDEX(Table5[[#All],[Last]],MATCH(DraftResults[[#This Row],[Player ID]],Table5[[#All],[PID]],0)))</f>
        <v/>
      </c>
    </row>
    <row r="586" spans="1:11" x14ac:dyDescent="0.25">
      <c r="A586">
        <v>20</v>
      </c>
      <c r="B586">
        <v>0</v>
      </c>
      <c r="C586">
        <v>9</v>
      </c>
      <c r="D586" t="s">
        <v>246</v>
      </c>
      <c r="E586">
        <v>21</v>
      </c>
      <c r="F586">
        <v>0</v>
      </c>
      <c r="G586" t="s">
        <v>318</v>
      </c>
      <c r="H5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583</v>
      </c>
      <c r="I586" t="str">
        <f>IF(DraftResults[[#This Row],[Player ID]]=0,"",INDEX(Table5[[#All],[Pos]],MATCH(DraftResults[[#This Row],[Player ID]],Table5[[#All],[PID]],0)))</f>
        <v/>
      </c>
      <c r="J586" t="str">
        <f>IF(DraftResults[[#This Row],[Player ID]]=0,"",INDEX(Table5[[#All],[First]],MATCH(DraftResults[[#This Row],[Player ID]],Table5[[#All],[PID]],0)))</f>
        <v/>
      </c>
      <c r="K586" t="str">
        <f>IF(DraftResults[[#This Row],[Player ID]]=0,"",INDEX(Table5[[#All],[Last]],MATCH(DraftResults[[#This Row],[Player ID]],Table5[[#All],[PID]],0)))</f>
        <v/>
      </c>
    </row>
    <row r="587" spans="1:11" x14ac:dyDescent="0.25">
      <c r="A587">
        <v>20</v>
      </c>
      <c r="B587">
        <v>0</v>
      </c>
      <c r="C587">
        <v>10</v>
      </c>
      <c r="D587" t="s">
        <v>696</v>
      </c>
      <c r="E587">
        <v>13</v>
      </c>
      <c r="F587">
        <v>0</v>
      </c>
      <c r="G587" t="s">
        <v>318</v>
      </c>
      <c r="H5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584</v>
      </c>
      <c r="I587" t="str">
        <f>IF(DraftResults[[#This Row],[Player ID]]=0,"",INDEX(Table5[[#All],[Pos]],MATCH(DraftResults[[#This Row],[Player ID]],Table5[[#All],[PID]],0)))</f>
        <v/>
      </c>
      <c r="J587" t="str">
        <f>IF(DraftResults[[#This Row],[Player ID]]=0,"",INDEX(Table5[[#All],[First]],MATCH(DraftResults[[#This Row],[Player ID]],Table5[[#All],[PID]],0)))</f>
        <v/>
      </c>
      <c r="K587" t="str">
        <f>IF(DraftResults[[#This Row],[Player ID]]=0,"",INDEX(Table5[[#All],[Last]],MATCH(DraftResults[[#This Row],[Player ID]],Table5[[#All],[PID]],0)))</f>
        <v/>
      </c>
    </row>
    <row r="588" spans="1:11" x14ac:dyDescent="0.25">
      <c r="A588">
        <v>20</v>
      </c>
      <c r="B588">
        <v>0</v>
      </c>
      <c r="C588">
        <v>11</v>
      </c>
      <c r="D588" t="s">
        <v>251</v>
      </c>
      <c r="E588">
        <v>3</v>
      </c>
      <c r="F588">
        <v>0</v>
      </c>
      <c r="G588" t="s">
        <v>318</v>
      </c>
      <c r="H5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585</v>
      </c>
      <c r="I588" t="str">
        <f>IF(DraftResults[[#This Row],[Player ID]]=0,"",INDEX(Table5[[#All],[Pos]],MATCH(DraftResults[[#This Row],[Player ID]],Table5[[#All],[PID]],0)))</f>
        <v/>
      </c>
      <c r="J588" t="str">
        <f>IF(DraftResults[[#This Row],[Player ID]]=0,"",INDEX(Table5[[#All],[First]],MATCH(DraftResults[[#This Row],[Player ID]],Table5[[#All],[PID]],0)))</f>
        <v/>
      </c>
      <c r="K588" t="str">
        <f>IF(DraftResults[[#This Row],[Player ID]]=0,"",INDEX(Table5[[#All],[Last]],MATCH(DraftResults[[#This Row],[Player ID]],Table5[[#All],[PID]],0)))</f>
        <v/>
      </c>
    </row>
    <row r="589" spans="1:11" x14ac:dyDescent="0.25">
      <c r="A589">
        <v>20</v>
      </c>
      <c r="B589">
        <v>0</v>
      </c>
      <c r="C589">
        <v>12</v>
      </c>
      <c r="D589" t="s">
        <v>257</v>
      </c>
      <c r="E589">
        <v>8</v>
      </c>
      <c r="F589">
        <v>0</v>
      </c>
      <c r="G589" t="s">
        <v>318</v>
      </c>
      <c r="H5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586</v>
      </c>
      <c r="I589" t="str">
        <f>IF(DraftResults[[#This Row],[Player ID]]=0,"",INDEX(Table5[[#All],[Pos]],MATCH(DraftResults[[#This Row],[Player ID]],Table5[[#All],[PID]],0)))</f>
        <v/>
      </c>
      <c r="J589" t="str">
        <f>IF(DraftResults[[#This Row],[Player ID]]=0,"",INDEX(Table5[[#All],[First]],MATCH(DraftResults[[#This Row],[Player ID]],Table5[[#All],[PID]],0)))</f>
        <v/>
      </c>
      <c r="K589" t="str">
        <f>IF(DraftResults[[#This Row],[Player ID]]=0,"",INDEX(Table5[[#All],[Last]],MATCH(DraftResults[[#This Row],[Player ID]],Table5[[#All],[PID]],0)))</f>
        <v/>
      </c>
    </row>
    <row r="590" spans="1:11" x14ac:dyDescent="0.25">
      <c r="A590">
        <v>20</v>
      </c>
      <c r="B590">
        <v>0</v>
      </c>
      <c r="C590">
        <v>13</v>
      </c>
      <c r="D590" t="s">
        <v>262</v>
      </c>
      <c r="E590">
        <v>12</v>
      </c>
      <c r="F590">
        <v>0</v>
      </c>
      <c r="G590" t="s">
        <v>318</v>
      </c>
      <c r="H5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587</v>
      </c>
      <c r="I590" t="str">
        <f>IF(DraftResults[[#This Row],[Player ID]]=0,"",INDEX(Table5[[#All],[Pos]],MATCH(DraftResults[[#This Row],[Player ID]],Table5[[#All],[PID]],0)))</f>
        <v/>
      </c>
      <c r="J590" t="str">
        <f>IF(DraftResults[[#This Row],[Player ID]]=0,"",INDEX(Table5[[#All],[First]],MATCH(DraftResults[[#This Row],[Player ID]],Table5[[#All],[PID]],0)))</f>
        <v/>
      </c>
      <c r="K590" t="str">
        <f>IF(DraftResults[[#This Row],[Player ID]]=0,"",INDEX(Table5[[#All],[Last]],MATCH(DraftResults[[#This Row],[Player ID]],Table5[[#All],[PID]],0)))</f>
        <v/>
      </c>
    </row>
    <row r="591" spans="1:11" x14ac:dyDescent="0.25">
      <c r="A591">
        <v>20</v>
      </c>
      <c r="B591">
        <v>0</v>
      </c>
      <c r="C591">
        <v>14</v>
      </c>
      <c r="D591" t="s">
        <v>489</v>
      </c>
      <c r="E591">
        <v>18</v>
      </c>
      <c r="F591">
        <v>0</v>
      </c>
      <c r="G591" t="s">
        <v>318</v>
      </c>
      <c r="H5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588</v>
      </c>
      <c r="I591" t="str">
        <f>IF(DraftResults[[#This Row],[Player ID]]=0,"",INDEX(Table5[[#All],[Pos]],MATCH(DraftResults[[#This Row],[Player ID]],Table5[[#All],[PID]],0)))</f>
        <v/>
      </c>
      <c r="J591" t="str">
        <f>IF(DraftResults[[#This Row],[Player ID]]=0,"",INDEX(Table5[[#All],[First]],MATCH(DraftResults[[#This Row],[Player ID]],Table5[[#All],[PID]],0)))</f>
        <v/>
      </c>
      <c r="K591" t="str">
        <f>IF(DraftResults[[#This Row],[Player ID]]=0,"",INDEX(Table5[[#All],[Last]],MATCH(DraftResults[[#This Row],[Player ID]],Table5[[#All],[PID]],0)))</f>
        <v/>
      </c>
    </row>
    <row r="592" spans="1:11" x14ac:dyDescent="0.25">
      <c r="A592">
        <v>20</v>
      </c>
      <c r="B592">
        <v>0</v>
      </c>
      <c r="C592">
        <v>15</v>
      </c>
      <c r="D592" t="s">
        <v>250</v>
      </c>
      <c r="E592">
        <v>10</v>
      </c>
      <c r="F592">
        <v>0</v>
      </c>
      <c r="G592" t="s">
        <v>318</v>
      </c>
      <c r="H5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589</v>
      </c>
      <c r="I592" t="str">
        <f>IF(DraftResults[[#This Row],[Player ID]]=0,"",INDEX(Table5[[#All],[Pos]],MATCH(DraftResults[[#This Row],[Player ID]],Table5[[#All],[PID]],0)))</f>
        <v/>
      </c>
      <c r="J592" t="str">
        <f>IF(DraftResults[[#This Row],[Player ID]]=0,"",INDEX(Table5[[#All],[First]],MATCH(DraftResults[[#This Row],[Player ID]],Table5[[#All],[PID]],0)))</f>
        <v/>
      </c>
      <c r="K592" t="str">
        <f>IF(DraftResults[[#This Row],[Player ID]]=0,"",INDEX(Table5[[#All],[Last]],MATCH(DraftResults[[#This Row],[Player ID]],Table5[[#All],[PID]],0)))</f>
        <v/>
      </c>
    </row>
    <row r="593" spans="1:11" x14ac:dyDescent="0.25">
      <c r="A593">
        <v>20</v>
      </c>
      <c r="B593">
        <v>0</v>
      </c>
      <c r="C593">
        <v>16</v>
      </c>
      <c r="D593" t="s">
        <v>482</v>
      </c>
      <c r="E593">
        <v>162</v>
      </c>
      <c r="F593">
        <v>0</v>
      </c>
      <c r="G593" t="s">
        <v>318</v>
      </c>
      <c r="H5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590</v>
      </c>
      <c r="I593" t="str">
        <f>IF(DraftResults[[#This Row],[Player ID]]=0,"",INDEX(Table5[[#All],[Pos]],MATCH(DraftResults[[#This Row],[Player ID]],Table5[[#All],[PID]],0)))</f>
        <v/>
      </c>
      <c r="J593" t="str">
        <f>IF(DraftResults[[#This Row],[Player ID]]=0,"",INDEX(Table5[[#All],[First]],MATCH(DraftResults[[#This Row],[Player ID]],Table5[[#All],[PID]],0)))</f>
        <v/>
      </c>
      <c r="K593" t="str">
        <f>IF(DraftResults[[#This Row],[Player ID]]=0,"",INDEX(Table5[[#All],[Last]],MATCH(DraftResults[[#This Row],[Player ID]],Table5[[#All],[PID]],0)))</f>
        <v/>
      </c>
    </row>
    <row r="594" spans="1:11" x14ac:dyDescent="0.25">
      <c r="A594">
        <v>20</v>
      </c>
      <c r="B594">
        <v>0</v>
      </c>
      <c r="C594">
        <v>17</v>
      </c>
      <c r="D594" t="s">
        <v>483</v>
      </c>
      <c r="E594">
        <v>2</v>
      </c>
      <c r="F594">
        <v>0</v>
      </c>
      <c r="G594" t="s">
        <v>318</v>
      </c>
      <c r="H5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591</v>
      </c>
      <c r="I594" t="str">
        <f>IF(DraftResults[[#This Row],[Player ID]]=0,"",INDEX(Table5[[#All],[Pos]],MATCH(DraftResults[[#This Row],[Player ID]],Table5[[#All],[PID]],0)))</f>
        <v/>
      </c>
      <c r="J594" t="str">
        <f>IF(DraftResults[[#This Row],[Player ID]]=0,"",INDEX(Table5[[#All],[First]],MATCH(DraftResults[[#This Row],[Player ID]],Table5[[#All],[PID]],0)))</f>
        <v/>
      </c>
      <c r="K594" t="str">
        <f>IF(DraftResults[[#This Row],[Player ID]]=0,"",INDEX(Table5[[#All],[Last]],MATCH(DraftResults[[#This Row],[Player ID]],Table5[[#All],[PID]],0)))</f>
        <v/>
      </c>
    </row>
    <row r="595" spans="1:11" x14ac:dyDescent="0.25">
      <c r="A595">
        <v>20</v>
      </c>
      <c r="B595">
        <v>0</v>
      </c>
      <c r="C595">
        <v>18</v>
      </c>
      <c r="D595" t="s">
        <v>258</v>
      </c>
      <c r="E595">
        <v>16</v>
      </c>
      <c r="F595">
        <v>0</v>
      </c>
      <c r="G595" t="s">
        <v>318</v>
      </c>
      <c r="H5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592</v>
      </c>
      <c r="I595" t="str">
        <f>IF(DraftResults[[#This Row],[Player ID]]=0,"",INDEX(Table5[[#All],[Pos]],MATCH(DraftResults[[#This Row],[Player ID]],Table5[[#All],[PID]],0)))</f>
        <v/>
      </c>
      <c r="J595" t="str">
        <f>IF(DraftResults[[#This Row],[Player ID]]=0,"",INDEX(Table5[[#All],[First]],MATCH(DraftResults[[#This Row],[Player ID]],Table5[[#All],[PID]],0)))</f>
        <v/>
      </c>
      <c r="K595" t="str">
        <f>IF(DraftResults[[#This Row],[Player ID]]=0,"",INDEX(Table5[[#All],[Last]],MATCH(DraftResults[[#This Row],[Player ID]],Table5[[#All],[PID]],0)))</f>
        <v/>
      </c>
    </row>
    <row r="596" spans="1:11" x14ac:dyDescent="0.25">
      <c r="A596">
        <v>20</v>
      </c>
      <c r="B596">
        <v>0</v>
      </c>
      <c r="C596">
        <v>19</v>
      </c>
      <c r="D596" t="s">
        <v>490</v>
      </c>
      <c r="E596">
        <v>167</v>
      </c>
      <c r="F596">
        <v>0</v>
      </c>
      <c r="G596" t="s">
        <v>318</v>
      </c>
      <c r="H5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593</v>
      </c>
      <c r="I596" t="str">
        <f>IF(DraftResults[[#This Row],[Player ID]]=0,"",INDEX(Table5[[#All],[Pos]],MATCH(DraftResults[[#This Row],[Player ID]],Table5[[#All],[PID]],0)))</f>
        <v/>
      </c>
      <c r="J596" t="str">
        <f>IF(DraftResults[[#This Row],[Player ID]]=0,"",INDEX(Table5[[#All],[First]],MATCH(DraftResults[[#This Row],[Player ID]],Table5[[#All],[PID]],0)))</f>
        <v/>
      </c>
      <c r="K596" t="str">
        <f>IF(DraftResults[[#This Row],[Player ID]]=0,"",INDEX(Table5[[#All],[Last]],MATCH(DraftResults[[#This Row],[Player ID]],Table5[[#All],[PID]],0)))</f>
        <v/>
      </c>
    </row>
    <row r="597" spans="1:11" x14ac:dyDescent="0.25">
      <c r="A597">
        <v>20</v>
      </c>
      <c r="B597">
        <v>0</v>
      </c>
      <c r="C597">
        <v>20</v>
      </c>
      <c r="D597" t="s">
        <v>243</v>
      </c>
      <c r="E597">
        <v>19</v>
      </c>
      <c r="F597">
        <v>0</v>
      </c>
      <c r="G597" t="s">
        <v>318</v>
      </c>
      <c r="H5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594</v>
      </c>
      <c r="I597" t="str">
        <f>IF(DraftResults[[#This Row],[Player ID]]=0,"",INDEX(Table5[[#All],[Pos]],MATCH(DraftResults[[#This Row],[Player ID]],Table5[[#All],[PID]],0)))</f>
        <v/>
      </c>
      <c r="J597" t="str">
        <f>IF(DraftResults[[#This Row],[Player ID]]=0,"",INDEX(Table5[[#All],[First]],MATCH(DraftResults[[#This Row],[Player ID]],Table5[[#All],[PID]],0)))</f>
        <v/>
      </c>
      <c r="K597" t="str">
        <f>IF(DraftResults[[#This Row],[Player ID]]=0,"",INDEX(Table5[[#All],[Last]],MATCH(DraftResults[[#This Row],[Player ID]],Table5[[#All],[PID]],0)))</f>
        <v/>
      </c>
    </row>
    <row r="598" spans="1:11" x14ac:dyDescent="0.25">
      <c r="A598">
        <v>20</v>
      </c>
      <c r="B598">
        <v>0</v>
      </c>
      <c r="C598">
        <v>21</v>
      </c>
      <c r="D598" t="s">
        <v>487</v>
      </c>
      <c r="E598">
        <v>163</v>
      </c>
      <c r="F598">
        <v>0</v>
      </c>
      <c r="G598" t="s">
        <v>318</v>
      </c>
      <c r="H5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595</v>
      </c>
      <c r="I598" t="str">
        <f>IF(DraftResults[[#This Row],[Player ID]]=0,"",INDEX(Table5[[#All],[Pos]],MATCH(DraftResults[[#This Row],[Player ID]],Table5[[#All],[PID]],0)))</f>
        <v/>
      </c>
      <c r="J598" t="str">
        <f>IF(DraftResults[[#This Row],[Player ID]]=0,"",INDEX(Table5[[#All],[First]],MATCH(DraftResults[[#This Row],[Player ID]],Table5[[#All],[PID]],0)))</f>
        <v/>
      </c>
      <c r="K598" t="str">
        <f>IF(DraftResults[[#This Row],[Player ID]]=0,"",INDEX(Table5[[#All],[Last]],MATCH(DraftResults[[#This Row],[Player ID]],Table5[[#All],[PID]],0)))</f>
        <v/>
      </c>
    </row>
    <row r="599" spans="1:11" x14ac:dyDescent="0.25">
      <c r="A599">
        <v>20</v>
      </c>
      <c r="B599">
        <v>0</v>
      </c>
      <c r="C599">
        <v>22</v>
      </c>
      <c r="D599" t="s">
        <v>255</v>
      </c>
      <c r="E599">
        <v>20</v>
      </c>
      <c r="F599">
        <v>0</v>
      </c>
      <c r="G599" t="s">
        <v>318</v>
      </c>
      <c r="H5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596</v>
      </c>
      <c r="I599" t="str">
        <f>IF(DraftResults[[#This Row],[Player ID]]=0,"",INDEX(Table5[[#All],[Pos]],MATCH(DraftResults[[#This Row],[Player ID]],Table5[[#All],[PID]],0)))</f>
        <v/>
      </c>
      <c r="J599" t="str">
        <f>IF(DraftResults[[#This Row],[Player ID]]=0,"",INDEX(Table5[[#All],[First]],MATCH(DraftResults[[#This Row],[Player ID]],Table5[[#All],[PID]],0)))</f>
        <v/>
      </c>
      <c r="K599" t="str">
        <f>IF(DraftResults[[#This Row],[Player ID]]=0,"",INDEX(Table5[[#All],[Last]],MATCH(DraftResults[[#This Row],[Player ID]],Table5[[#All],[PID]],0)))</f>
        <v/>
      </c>
    </row>
    <row r="600" spans="1:11" x14ac:dyDescent="0.25">
      <c r="A600">
        <v>20</v>
      </c>
      <c r="B600">
        <v>0</v>
      </c>
      <c r="C600">
        <v>23</v>
      </c>
      <c r="D600" t="s">
        <v>485</v>
      </c>
      <c r="E600">
        <v>166</v>
      </c>
      <c r="F600">
        <v>0</v>
      </c>
      <c r="G600" t="s">
        <v>318</v>
      </c>
      <c r="H6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597</v>
      </c>
      <c r="I600" t="str">
        <f>IF(DraftResults[[#This Row],[Player ID]]=0,"",INDEX(Table5[[#All],[Pos]],MATCH(DraftResults[[#This Row],[Player ID]],Table5[[#All],[PID]],0)))</f>
        <v/>
      </c>
      <c r="J600" t="str">
        <f>IF(DraftResults[[#This Row],[Player ID]]=0,"",INDEX(Table5[[#All],[First]],MATCH(DraftResults[[#This Row],[Player ID]],Table5[[#All],[PID]],0)))</f>
        <v/>
      </c>
      <c r="K600" t="str">
        <f>IF(DraftResults[[#This Row],[Player ID]]=0,"",INDEX(Table5[[#All],[Last]],MATCH(DraftResults[[#This Row],[Player ID]],Table5[[#All],[PID]],0)))</f>
        <v/>
      </c>
    </row>
    <row r="601" spans="1:11" x14ac:dyDescent="0.25">
      <c r="A601">
        <v>20</v>
      </c>
      <c r="B601">
        <v>0</v>
      </c>
      <c r="C601">
        <v>24</v>
      </c>
      <c r="D601" t="s">
        <v>244</v>
      </c>
      <c r="E601">
        <v>22</v>
      </c>
      <c r="F601">
        <v>0</v>
      </c>
      <c r="G601" t="s">
        <v>318</v>
      </c>
      <c r="H6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598</v>
      </c>
      <c r="I601" t="str">
        <f>IF(DraftResults[[#This Row],[Player ID]]=0,"",INDEX(Table5[[#All],[Pos]],MATCH(DraftResults[[#This Row],[Player ID]],Table5[[#All],[PID]],0)))</f>
        <v/>
      </c>
      <c r="J601" t="str">
        <f>IF(DraftResults[[#This Row],[Player ID]]=0,"",INDEX(Table5[[#All],[First]],MATCH(DraftResults[[#This Row],[Player ID]],Table5[[#All],[PID]],0)))</f>
        <v/>
      </c>
      <c r="K601" t="str">
        <f>IF(DraftResults[[#This Row],[Player ID]]=0,"",INDEX(Table5[[#All],[Last]],MATCH(DraftResults[[#This Row],[Player ID]],Table5[[#All],[PID]],0)))</f>
        <v/>
      </c>
    </row>
    <row r="602" spans="1:11" x14ac:dyDescent="0.25">
      <c r="A602">
        <v>20</v>
      </c>
      <c r="B602">
        <v>0</v>
      </c>
      <c r="C602">
        <v>25</v>
      </c>
      <c r="D602" t="s">
        <v>698</v>
      </c>
      <c r="E602">
        <v>9</v>
      </c>
      <c r="F602">
        <v>0</v>
      </c>
      <c r="G602" t="s">
        <v>318</v>
      </c>
      <c r="H6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599</v>
      </c>
      <c r="I602" t="str">
        <f>IF(DraftResults[[#This Row],[Player ID]]=0,"",INDEX(Table5[[#All],[Pos]],MATCH(DraftResults[[#This Row],[Player ID]],Table5[[#All],[PID]],0)))</f>
        <v/>
      </c>
      <c r="J602" t="str">
        <f>IF(DraftResults[[#This Row],[Player ID]]=0,"",INDEX(Table5[[#All],[First]],MATCH(DraftResults[[#This Row],[Player ID]],Table5[[#All],[PID]],0)))</f>
        <v/>
      </c>
      <c r="K602" t="str">
        <f>IF(DraftResults[[#This Row],[Player ID]]=0,"",INDEX(Table5[[#All],[Last]],MATCH(DraftResults[[#This Row],[Player ID]],Table5[[#All],[PID]],0)))</f>
        <v/>
      </c>
    </row>
    <row r="603" spans="1:11" x14ac:dyDescent="0.25">
      <c r="A603">
        <v>20</v>
      </c>
      <c r="B603">
        <v>0</v>
      </c>
      <c r="C603">
        <v>26</v>
      </c>
      <c r="D603" t="s">
        <v>694</v>
      </c>
      <c r="E603">
        <v>24</v>
      </c>
      <c r="F603">
        <v>0</v>
      </c>
      <c r="G603" t="s">
        <v>318</v>
      </c>
      <c r="H6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600</v>
      </c>
      <c r="I603" t="str">
        <f>IF(DraftResults[[#This Row],[Player ID]]=0,"",INDEX(Table5[[#All],[Pos]],MATCH(DraftResults[[#This Row],[Player ID]],Table5[[#All],[PID]],0)))</f>
        <v/>
      </c>
      <c r="J603" t="str">
        <f>IF(DraftResults[[#This Row],[Player ID]]=0,"",INDEX(Table5[[#All],[First]],MATCH(DraftResults[[#This Row],[Player ID]],Table5[[#All],[PID]],0)))</f>
        <v/>
      </c>
      <c r="K603" t="str">
        <f>IF(DraftResults[[#This Row],[Player ID]]=0,"",INDEX(Table5[[#All],[Last]],MATCH(DraftResults[[#This Row],[Player ID]],Table5[[#All],[PID]],0)))</f>
        <v/>
      </c>
    </row>
    <row r="604" spans="1:11" x14ac:dyDescent="0.25">
      <c r="A604">
        <v>20</v>
      </c>
      <c r="B604">
        <v>0</v>
      </c>
      <c r="C604">
        <v>27</v>
      </c>
      <c r="D604" t="s">
        <v>247</v>
      </c>
      <c r="E604">
        <v>17</v>
      </c>
      <c r="F604">
        <v>0</v>
      </c>
      <c r="G604" t="s">
        <v>318</v>
      </c>
      <c r="H6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601</v>
      </c>
      <c r="I604" t="str">
        <f>IF(DraftResults[[#This Row],[Player ID]]=0,"",INDEX(Table5[[#All],[Pos]],MATCH(DraftResults[[#This Row],[Player ID]],Table5[[#All],[PID]],0)))</f>
        <v/>
      </c>
      <c r="J604" t="str">
        <f>IF(DraftResults[[#This Row],[Player ID]]=0,"",INDEX(Table5[[#All],[First]],MATCH(DraftResults[[#This Row],[Player ID]],Table5[[#All],[PID]],0)))</f>
        <v/>
      </c>
      <c r="K604" t="str">
        <f>IF(DraftResults[[#This Row],[Player ID]]=0,"",INDEX(Table5[[#All],[Last]],MATCH(DraftResults[[#This Row],[Player ID]],Table5[[#All],[PID]],0)))</f>
        <v/>
      </c>
    </row>
    <row r="605" spans="1:11" x14ac:dyDescent="0.25">
      <c r="A605">
        <v>20</v>
      </c>
      <c r="B605">
        <v>0</v>
      </c>
      <c r="C605">
        <v>28</v>
      </c>
      <c r="D605" t="s">
        <v>253</v>
      </c>
      <c r="E605">
        <v>14</v>
      </c>
      <c r="F605">
        <v>0</v>
      </c>
      <c r="G605" t="s">
        <v>318</v>
      </c>
      <c r="H6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602</v>
      </c>
      <c r="I605" t="str">
        <f>IF(DraftResults[[#This Row],[Player ID]]=0,"",INDEX(Table5[[#All],[Pos]],MATCH(DraftResults[[#This Row],[Player ID]],Table5[[#All],[PID]],0)))</f>
        <v/>
      </c>
      <c r="J605" t="str">
        <f>IF(DraftResults[[#This Row],[Player ID]]=0,"",INDEX(Table5[[#All],[First]],MATCH(DraftResults[[#This Row],[Player ID]],Table5[[#All],[PID]],0)))</f>
        <v/>
      </c>
      <c r="K605" t="str">
        <f>IF(DraftResults[[#This Row],[Player ID]]=0,"",INDEX(Table5[[#All],[Last]],MATCH(DraftResults[[#This Row],[Player ID]],Table5[[#All],[PID]],0)))</f>
        <v/>
      </c>
    </row>
    <row r="606" spans="1:11" x14ac:dyDescent="0.25">
      <c r="A606">
        <v>20</v>
      </c>
      <c r="B606">
        <v>0</v>
      </c>
      <c r="C606">
        <v>29</v>
      </c>
      <c r="D606" t="s">
        <v>486</v>
      </c>
      <c r="E606">
        <v>159</v>
      </c>
      <c r="F606">
        <v>0</v>
      </c>
      <c r="G606" t="s">
        <v>318</v>
      </c>
      <c r="H6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603</v>
      </c>
      <c r="I606" t="str">
        <f>IF(DraftResults[[#This Row],[Player ID]]=0,"",INDEX(Table5[[#All],[Pos]],MATCH(DraftResults[[#This Row],[Player ID]],Table5[[#All],[PID]],0)))</f>
        <v/>
      </c>
      <c r="J606" t="str">
        <f>IF(DraftResults[[#This Row],[Player ID]]=0,"",INDEX(Table5[[#All],[First]],MATCH(DraftResults[[#This Row],[Player ID]],Table5[[#All],[PID]],0)))</f>
        <v/>
      </c>
      <c r="K606" t="str">
        <f>IF(DraftResults[[#This Row],[Player ID]]=0,"",INDEX(Table5[[#All],[Last]],MATCH(DraftResults[[#This Row],[Player ID]],Table5[[#All],[PID]],0)))</f>
        <v/>
      </c>
    </row>
    <row r="607" spans="1:11" x14ac:dyDescent="0.25">
      <c r="A607">
        <v>20</v>
      </c>
      <c r="B607">
        <v>0</v>
      </c>
      <c r="C607">
        <v>30</v>
      </c>
      <c r="D607" t="s">
        <v>249</v>
      </c>
      <c r="E607">
        <v>11</v>
      </c>
      <c r="F607">
        <v>0</v>
      </c>
      <c r="G607" t="s">
        <v>318</v>
      </c>
      <c r="H6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604</v>
      </c>
      <c r="I607" t="str">
        <f>IF(DraftResults[[#This Row],[Player ID]]=0,"",INDEX(Table5[[#All],[Pos]],MATCH(DraftResults[[#This Row],[Player ID]],Table5[[#All],[PID]],0)))</f>
        <v/>
      </c>
      <c r="J607" t="str">
        <f>IF(DraftResults[[#This Row],[Player ID]]=0,"",INDEX(Table5[[#All],[First]],MATCH(DraftResults[[#This Row],[Player ID]],Table5[[#All],[PID]],0)))</f>
        <v/>
      </c>
      <c r="K607" t="str">
        <f>IF(DraftResults[[#This Row],[Player ID]]=0,"",INDEX(Table5[[#All],[Last]],MATCH(DraftResults[[#This Row],[Player ID]],Table5[[#All],[PID]],0)))</f>
        <v/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0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A5" sqref="A5"/>
    </sheetView>
  </sheetViews>
  <sheetFormatPr defaultRowHeight="15" x14ac:dyDescent="0.25"/>
  <cols>
    <col min="1" max="1" width="8.42578125" customWidth="1"/>
    <col min="2" max="2" width="4.5703125" hidden="1" customWidth="1"/>
    <col min="3" max="3" width="5.28515625" hidden="1" customWidth="1"/>
    <col min="4" max="4" width="6" bestFit="1" customWidth="1"/>
    <col min="5" max="5" width="4.140625" style="7" bestFit="1" customWidth="1"/>
    <col min="6" max="6" width="19.140625" style="8" bestFit="1" customWidth="1"/>
    <col min="7" max="7" width="4.42578125" style="8" bestFit="1" customWidth="1"/>
    <col min="8" max="8" width="2.140625" style="8" bestFit="1" customWidth="1"/>
    <col min="9" max="9" width="2.140625" style="3" bestFit="1" customWidth="1"/>
    <col min="10" max="10" width="9.5703125" bestFit="1" customWidth="1"/>
    <col min="11" max="11" width="9.5703125" style="3" bestFit="1" customWidth="1"/>
    <col min="12" max="12" width="4.42578125" bestFit="1" customWidth="1"/>
    <col min="13" max="13" width="5" bestFit="1" customWidth="1"/>
    <col min="14" max="14" width="4.85546875" bestFit="1" customWidth="1"/>
    <col min="15" max="15" width="11.140625" bestFit="1" customWidth="1"/>
    <col min="16" max="16" width="4.42578125" style="3" bestFit="1" customWidth="1"/>
    <col min="17" max="17" width="6.5703125" bestFit="1" customWidth="1"/>
    <col min="18" max="18" width="6.7109375" style="3" bestFit="1" customWidth="1"/>
    <col min="19" max="19" width="11.5703125" bestFit="1" customWidth="1"/>
    <col min="20" max="20" width="7" style="3" bestFit="1" customWidth="1"/>
    <col min="23" max="23" width="9.140625" style="3"/>
  </cols>
  <sheetData>
    <row r="1" spans="1:31" x14ac:dyDescent="0.25">
      <c r="D1">
        <v>2</v>
      </c>
      <c r="E1" s="7">
        <v>3</v>
      </c>
      <c r="F1" s="8">
        <v>4</v>
      </c>
      <c r="G1" s="8">
        <v>5</v>
      </c>
      <c r="H1" s="8">
        <v>6</v>
      </c>
      <c r="I1" s="3">
        <v>7</v>
      </c>
      <c r="J1">
        <v>10</v>
      </c>
      <c r="K1" s="3">
        <v>11</v>
      </c>
      <c r="L1">
        <v>17</v>
      </c>
      <c r="M1">
        <v>18</v>
      </c>
      <c r="N1">
        <v>19</v>
      </c>
      <c r="O1">
        <v>20</v>
      </c>
      <c r="P1" s="3">
        <v>21</v>
      </c>
      <c r="Q1">
        <v>41</v>
      </c>
      <c r="R1" s="3">
        <v>42</v>
      </c>
      <c r="S1">
        <v>36</v>
      </c>
      <c r="T1" s="3">
        <v>46</v>
      </c>
      <c r="X1">
        <v>3</v>
      </c>
      <c r="Y1">
        <v>4</v>
      </c>
      <c r="Z1">
        <v>6</v>
      </c>
      <c r="AA1">
        <v>7</v>
      </c>
      <c r="AB1" t="s">
        <v>216</v>
      </c>
      <c r="AC1" t="e">
        <f>AVERAGE(AC5:AC105)</f>
        <v>#DIV/0!</v>
      </c>
    </row>
    <row r="2" spans="1:31" x14ac:dyDescent="0.25">
      <c r="D2">
        <v>2</v>
      </c>
      <c r="E2" s="7">
        <v>3</v>
      </c>
      <c r="F2" s="8">
        <v>4</v>
      </c>
      <c r="G2" s="8">
        <v>5</v>
      </c>
      <c r="H2" s="8">
        <v>6</v>
      </c>
      <c r="I2" s="3">
        <v>7</v>
      </c>
      <c r="J2">
        <v>10</v>
      </c>
      <c r="K2" s="3">
        <v>11</v>
      </c>
      <c r="L2">
        <v>15</v>
      </c>
      <c r="M2">
        <v>16</v>
      </c>
      <c r="N2">
        <v>17</v>
      </c>
      <c r="O2">
        <v>42</v>
      </c>
      <c r="P2" s="3">
        <v>43</v>
      </c>
      <c r="Q2">
        <v>51</v>
      </c>
      <c r="R2" s="3">
        <v>52</v>
      </c>
      <c r="S2">
        <v>45</v>
      </c>
      <c r="T2" s="3">
        <v>56</v>
      </c>
    </row>
    <row r="3" spans="1:31" x14ac:dyDescent="0.25">
      <c r="L3" t="s">
        <v>217</v>
      </c>
      <c r="M3" t="s">
        <v>218</v>
      </c>
      <c r="N3" t="s">
        <v>219</v>
      </c>
      <c r="O3" t="s">
        <v>220</v>
      </c>
      <c r="P3" s="3" t="s">
        <v>221</v>
      </c>
      <c r="S3" s="6">
        <v>2000000</v>
      </c>
      <c r="X3">
        <v>24</v>
      </c>
      <c r="Y3">
        <v>8</v>
      </c>
      <c r="AB3" t="s">
        <v>222</v>
      </c>
      <c r="AC3" t="e">
        <f>MEDIAN(AC5:AC105)</f>
        <v>#NUM!</v>
      </c>
    </row>
    <row r="4" spans="1:31" s="1" customFormat="1" x14ac:dyDescent="0.25">
      <c r="A4" s="1" t="s">
        <v>215</v>
      </c>
      <c r="B4" s="1" t="s">
        <v>238</v>
      </c>
      <c r="C4" s="1" t="s">
        <v>223</v>
      </c>
      <c r="D4" s="1" t="s">
        <v>214</v>
      </c>
      <c r="E4" s="9" t="s">
        <v>122</v>
      </c>
      <c r="F4" s="10" t="s">
        <v>1</v>
      </c>
      <c r="G4" s="10" t="s">
        <v>2</v>
      </c>
      <c r="H4" s="10" t="s">
        <v>3</v>
      </c>
      <c r="I4" s="4" t="s">
        <v>4</v>
      </c>
      <c r="J4" s="1" t="s">
        <v>6</v>
      </c>
      <c r="K4" s="4" t="s">
        <v>7</v>
      </c>
      <c r="L4" s="1" t="s">
        <v>224</v>
      </c>
      <c r="M4" s="1" t="s">
        <v>225</v>
      </c>
      <c r="N4" s="1" t="s">
        <v>217</v>
      </c>
      <c r="O4" s="1" t="s">
        <v>94</v>
      </c>
      <c r="P4" s="4" t="s">
        <v>226</v>
      </c>
      <c r="Q4" s="1" t="s">
        <v>95</v>
      </c>
      <c r="R4" s="4" t="s">
        <v>96</v>
      </c>
      <c r="S4" s="1" t="s">
        <v>227</v>
      </c>
      <c r="T4" s="4" t="s">
        <v>100</v>
      </c>
      <c r="U4" s="1" t="s">
        <v>228</v>
      </c>
      <c r="V4" s="1" t="s">
        <v>229</v>
      </c>
      <c r="W4" s="4" t="s">
        <v>230</v>
      </c>
      <c r="X4" s="1" t="s">
        <v>231</v>
      </c>
      <c r="Y4" s="1" t="s">
        <v>232</v>
      </c>
      <c r="Z4" s="1" t="s">
        <v>233</v>
      </c>
      <c r="AA4" s="1" t="s">
        <v>234</v>
      </c>
      <c r="AB4" s="1" t="s">
        <v>235</v>
      </c>
      <c r="AC4" s="1" t="s">
        <v>102</v>
      </c>
      <c r="AD4" s="1" t="s">
        <v>236</v>
      </c>
      <c r="AE4" s="1" t="s">
        <v>237</v>
      </c>
    </row>
    <row r="5" spans="1:31" s="16" customFormat="1" x14ac:dyDescent="0.25">
      <c r="A5" s="16" t="s">
        <v>282</v>
      </c>
      <c r="B5" s="16">
        <f t="shared" ref="B5:B19" si="0">COUNTIF($A$5:$A$20,A5)</f>
        <v>1</v>
      </c>
      <c r="C5" s="16" t="str">
        <f t="shared" ref="C5:C19" si="1">IF(OR(MID(A5,1,2)="SP",MID(A5,1,2)="MR",MID(A5,1,2)="CL",MID(A5,1,2)="RP"),"P","B")</f>
        <v>P</v>
      </c>
      <c r="D5" s="12" t="e">
        <f>IF($C5="B",VLOOKUP($A5,Bat!$A$4:$BG$1453,D$1,FALSE),VLOOKUP($A5,Pit!$A$4:$BA$570,D$2,FALSE))</f>
        <v>#N/A</v>
      </c>
      <c r="E5" s="11" t="e">
        <f>IF($C5="B",VLOOKUP($A5,Bat!$A$4:$BG$1453,E$1,FALSE),VLOOKUP($A5,Pit!$A$4:$BA$570,E$2,FALSE))</f>
        <v>#N/A</v>
      </c>
      <c r="F5" s="11" t="e">
        <f>IF($C5="B",VLOOKUP($A5,Bat!$A$4:$BG$1453,F$1,FALSE),VLOOKUP($A5,Pit!$A$4:$BA$570,F$2,FALSE))</f>
        <v>#N/A</v>
      </c>
      <c r="G5" s="11" t="e">
        <f>IF($C5="B",VLOOKUP($A5,Bat!$A$4:$BG$1453,G$1,FALSE),VLOOKUP($A5,Pit!$A$4:$BA$570,G$2,FALSE))</f>
        <v>#N/A</v>
      </c>
      <c r="H5" s="11" t="e">
        <f>IF($C5="B",VLOOKUP($A5,Bat!$A$4:$BG$1453,H$1,FALSE),VLOOKUP($A5,Pit!$A$4:$BA$570,H$2,FALSE))</f>
        <v>#N/A</v>
      </c>
      <c r="I5" s="11" t="e">
        <f>IF($C5="B",VLOOKUP($A5,Bat!$A$4:$BG$1453,I$1,FALSE),VLOOKUP($A5,Pit!$A$4:$BA$570,I$2,FALSE))</f>
        <v>#N/A</v>
      </c>
      <c r="J5" s="11" t="e">
        <f>IF($C5="B",VLOOKUP($A5,Bat!$A$4:$BG$1453,J$1,FALSE),VLOOKUP($A5,Pit!$A$4:$BA$570,J$2,FALSE))</f>
        <v>#N/A</v>
      </c>
      <c r="K5" s="12" t="e">
        <f>IF($C5="B",VLOOKUP($A5,Bat!$A$4:$BG$1453,K$1,FALSE),VLOOKUP($A5,Pit!$A$4:$BA$570,K$2,FALSE))</f>
        <v>#N/A</v>
      </c>
      <c r="L5" s="11" t="e">
        <f>IF($C5="B",VLOOKUP($A5,Bat!$A$4:$BG$1453,L$1,FALSE),VLOOKUP($A5,Pit!$A$4:$BA$570,L$2,FALSE))</f>
        <v>#N/A</v>
      </c>
      <c r="M5" s="11" t="e">
        <f>IF($C5="B",VLOOKUP($A5,Bat!$A$4:$BG$1453,M$1,FALSE),VLOOKUP($A5,Pit!$A$4:$BA$570,M$2,FALSE))</f>
        <v>#N/A</v>
      </c>
      <c r="N5" s="11" t="e">
        <f>IF($C5="B",VLOOKUP($A5,Bat!$A$4:$BG$1453,N$1,FALSE),VLOOKUP($A5,Pit!$A$4:$BA$570,N$2,FALSE))</f>
        <v>#N/A</v>
      </c>
      <c r="O5" s="11" t="e">
        <f>IF($C5="B",VLOOKUP($A5,Bat!$A$4:$BG$1453,O$1,FALSE),VLOOKUP($A5,Pit!$A$4:$BA$570,O$2,FALSE))</f>
        <v>#N/A</v>
      </c>
      <c r="P5" s="12" t="e">
        <f>IF($C5="B",VLOOKUP($A5,Bat!$A$4:$BG$1453,P$1,FALSE),VLOOKUP($A5,Pit!$A$4:$BA$570,P$2,FALSE))</f>
        <v>#N/A</v>
      </c>
      <c r="Q5" s="13" t="e">
        <f>IF($C5="B",VLOOKUP($A5,Bat!$A$4:$BG$1453,Q$1,FALSE),VLOOKUP($A5,Pit!$A$4:$BA$570,Q$2,FALSE))</f>
        <v>#N/A</v>
      </c>
      <c r="R5" s="14" t="e">
        <f>IF($C5="B",VLOOKUP($A5,Bat!$A$4:$BG$1453,R$1,FALSE),VLOOKUP($A5,Pit!$A$4:$BA$570,R$2,FALSE))</f>
        <v>#N/A</v>
      </c>
      <c r="S5" s="15" t="e">
        <f>IF($C5="B",VLOOKUP($A5,Bat!$A$4:$BG$1453,S$1,FALSE),VLOOKUP($A5,Pit!$A$4:$BA$570,S$2,FALSE))</f>
        <v>#N/A</v>
      </c>
      <c r="T5" s="12" t="e">
        <f>VLOOKUP(IF($C5="B",VLOOKUP($A5,Bat!$A$4:$AV$1453,T$1,FALSE),VLOOKUP($A5,Pit!$A$4:$BE$570,T$2,FALSE)),COND!$A$35:$B$41,2,FALSE)</f>
        <v>#N/A</v>
      </c>
      <c r="V5" s="16" t="e">
        <f t="shared" ref="V5:V19" si="2">IF(OR(U5=999,AND(S5&gt;$S$3,S5&lt;&gt;"Slot")),"",U5)</f>
        <v>#N/A</v>
      </c>
      <c r="W5" s="17" t="e">
        <f t="shared" ref="W5:W19" si="3">RANK(R5,$R$5:$R$891)</f>
        <v>#N/A</v>
      </c>
      <c r="X5" s="11" t="str">
        <f>IFERROR(VLOOKUP($D5,Results37!$F$3:$G$1396,X$1,FALSE),"")</f>
        <v/>
      </c>
      <c r="Y5" s="11" t="str">
        <f>IFERROR(VLOOKUP($D5,Results37!$F$3:$G$1396,Y$1,FALSE),"")</f>
        <v/>
      </c>
      <c r="Z5" s="11" t="str">
        <f>IFERROR(VLOOKUP($D5,Results37!$F$3:$G$1396,Z$1,FALSE),"")</f>
        <v/>
      </c>
      <c r="AA5" s="11" t="str">
        <f>IFERROR(VLOOKUP($D5,Results37!$F$3:$G$1396,AA$1,FALSE),"")</f>
        <v/>
      </c>
    </row>
    <row r="6" spans="1:31" s="16" customFormat="1" x14ac:dyDescent="0.25">
      <c r="A6" s="16" t="s">
        <v>289</v>
      </c>
      <c r="B6" s="16">
        <f t="shared" si="0"/>
        <v>1</v>
      </c>
      <c r="C6" s="16" t="str">
        <f t="shared" si="1"/>
        <v>B</v>
      </c>
      <c r="D6" s="12" t="e">
        <f>IF($C6="B",VLOOKUP($A6,Bat!$A$4:$BG$1453,D$1,FALSE),VLOOKUP($A6,Pit!$A$4:$BA$570,D$2,FALSE))</f>
        <v>#N/A</v>
      </c>
      <c r="E6" s="11" t="e">
        <f>IF($C6="B",VLOOKUP($A6,Bat!$A$4:$BG$1453,E$1,FALSE),VLOOKUP($A6,Pit!$A$4:$BA$570,E$2,FALSE))</f>
        <v>#N/A</v>
      </c>
      <c r="F6" s="11" t="e">
        <f>IF($C6="B",VLOOKUP($A6,Bat!$A$4:$BG$1453,F$1,FALSE),VLOOKUP($A6,Pit!$A$4:$BA$570,F$2,FALSE))</f>
        <v>#N/A</v>
      </c>
      <c r="G6" s="11" t="e">
        <f>IF($C6="B",VLOOKUP($A6,Bat!$A$4:$BG$1453,G$1,FALSE),VLOOKUP($A6,Pit!$A$4:$BA$570,G$2,FALSE))</f>
        <v>#N/A</v>
      </c>
      <c r="H6" s="11" t="e">
        <f>IF($C6="B",VLOOKUP($A6,Bat!$A$4:$BG$1453,H$1,FALSE),VLOOKUP($A6,Pit!$A$4:$BA$570,H$2,FALSE))</f>
        <v>#N/A</v>
      </c>
      <c r="I6" s="11" t="e">
        <f>IF($C6="B",VLOOKUP($A6,Bat!$A$4:$BG$1453,I$1,FALSE),VLOOKUP($A6,Pit!$A$4:$BA$570,I$2,FALSE))</f>
        <v>#N/A</v>
      </c>
      <c r="J6" s="11" t="e">
        <f>IF($C6="B",VLOOKUP($A6,Bat!$A$4:$BG$1453,J$1,FALSE),VLOOKUP($A6,Pit!$A$4:$BA$570,J$2,FALSE))</f>
        <v>#N/A</v>
      </c>
      <c r="K6" s="12" t="e">
        <f>IF($C6="B",VLOOKUP($A6,Bat!$A$4:$BG$1453,K$1,FALSE),VLOOKUP($A6,Pit!$A$4:$BA$570,K$2,FALSE))</f>
        <v>#N/A</v>
      </c>
      <c r="L6" s="11" t="e">
        <f>IF($C6="B",VLOOKUP($A6,Bat!$A$4:$BG$1453,L$1,FALSE),VLOOKUP($A6,Pit!$A$4:$BA$570,L$2,FALSE))</f>
        <v>#N/A</v>
      </c>
      <c r="M6" s="11" t="e">
        <f>IF($C6="B",VLOOKUP($A6,Bat!$A$4:$BG$1453,M$1,FALSE),VLOOKUP($A6,Pit!$A$4:$BA$570,M$2,FALSE))</f>
        <v>#N/A</v>
      </c>
      <c r="N6" s="11" t="e">
        <f>IF($C6="B",VLOOKUP($A6,Bat!$A$4:$BG$1453,N$1,FALSE),VLOOKUP($A6,Pit!$A$4:$BA$570,N$2,FALSE))</f>
        <v>#N/A</v>
      </c>
      <c r="O6" s="11" t="e">
        <f>IF($C6="B",VLOOKUP($A6,Bat!$A$4:$BG$1453,O$1,FALSE),VLOOKUP($A6,Pit!$A$4:$BA$570,O$2,FALSE))</f>
        <v>#N/A</v>
      </c>
      <c r="P6" s="12" t="e">
        <f>IF($C6="B",VLOOKUP($A6,Bat!$A$4:$BG$1453,P$1,FALSE),VLOOKUP($A6,Pit!$A$4:$BA$570,P$2,FALSE))</f>
        <v>#N/A</v>
      </c>
      <c r="Q6" s="13" t="e">
        <f>IF($C6="B",VLOOKUP($A6,Bat!$A$4:$BG$1453,Q$1,FALSE),VLOOKUP($A6,Pit!$A$4:$BA$570,Q$2,FALSE))</f>
        <v>#N/A</v>
      </c>
      <c r="R6" s="14" t="e">
        <f>IF($C6="B",VLOOKUP($A6,Bat!$A$4:$BG$1453,R$1,FALSE),VLOOKUP($A6,Pit!$A$4:$BA$570,R$2,FALSE))</f>
        <v>#N/A</v>
      </c>
      <c r="S6" s="15" t="e">
        <f>IF($C6="B",VLOOKUP($A6,Bat!$A$4:$BG$1453,S$1,FALSE),VLOOKUP($A6,Pit!$A$4:$BA$570,S$2,FALSE))</f>
        <v>#N/A</v>
      </c>
      <c r="T6" s="12" t="e">
        <f>VLOOKUP(IF($C6="B",VLOOKUP($A6,Bat!$A$4:$AV$1453,T$1,FALSE),VLOOKUP($A6,Pit!$A$4:$BE$570,T$2,FALSE)),COND!$A$35:$B$41,2,FALSE)</f>
        <v>#N/A</v>
      </c>
      <c r="V6" s="16" t="e">
        <f t="shared" si="2"/>
        <v>#N/A</v>
      </c>
      <c r="W6" s="17" t="e">
        <f t="shared" si="3"/>
        <v>#N/A</v>
      </c>
      <c r="X6" s="11" t="str">
        <f>IFERROR(VLOOKUP($D6,Results37!$F$3:$G$1396,X$1,FALSE),"")</f>
        <v/>
      </c>
      <c r="Y6" s="11" t="str">
        <f>IFERROR(VLOOKUP($D6,Results37!$F$3:$G$1396,Y$1,FALSE),"")</f>
        <v/>
      </c>
      <c r="Z6" s="11" t="str">
        <f>IFERROR(VLOOKUP($D6,Results37!$F$3:$G$1396,Z$1,FALSE),"")</f>
        <v/>
      </c>
      <c r="AA6" s="11" t="str">
        <f>IFERROR(VLOOKUP($D6,Results37!$F$3:$G$1396,AA$1,FALSE),"")</f>
        <v/>
      </c>
    </row>
    <row r="7" spans="1:31" s="16" customFormat="1" x14ac:dyDescent="0.25">
      <c r="A7" s="16" t="s">
        <v>284</v>
      </c>
      <c r="B7" s="16">
        <f t="shared" si="0"/>
        <v>1</v>
      </c>
      <c r="C7" s="16" t="str">
        <f t="shared" si="1"/>
        <v>P</v>
      </c>
      <c r="D7" s="12" t="e">
        <f>IF($C7="B",VLOOKUP($A7,Bat!$A$4:$BG$1453,D$1,FALSE),VLOOKUP($A7,Pit!$A$4:$BA$570,D$2,FALSE))</f>
        <v>#N/A</v>
      </c>
      <c r="E7" s="11" t="e">
        <f>IF($C7="B",VLOOKUP($A7,Bat!$A$4:$BG$1453,E$1,FALSE),VLOOKUP($A7,Pit!$A$4:$BA$570,E$2,FALSE))</f>
        <v>#N/A</v>
      </c>
      <c r="F7" s="11" t="e">
        <f>IF($C7="B",VLOOKUP($A7,Bat!$A$4:$BG$1453,F$1,FALSE),VLOOKUP($A7,Pit!$A$4:$BA$570,F$2,FALSE))</f>
        <v>#N/A</v>
      </c>
      <c r="G7" s="11" t="e">
        <f>IF($C7="B",VLOOKUP($A7,Bat!$A$4:$BG$1453,G$1,FALSE),VLOOKUP($A7,Pit!$A$4:$BA$570,G$2,FALSE))</f>
        <v>#N/A</v>
      </c>
      <c r="H7" s="11" t="e">
        <f>IF($C7="B",VLOOKUP($A7,Bat!$A$4:$BG$1453,H$1,FALSE),VLOOKUP($A7,Pit!$A$4:$BA$570,H$2,FALSE))</f>
        <v>#N/A</v>
      </c>
      <c r="I7" s="11" t="e">
        <f>IF($C7="B",VLOOKUP($A7,Bat!$A$4:$BG$1453,I$1,FALSE),VLOOKUP($A7,Pit!$A$4:$BA$570,I$2,FALSE))</f>
        <v>#N/A</v>
      </c>
      <c r="J7" s="11" t="e">
        <f>IF($C7="B",VLOOKUP($A7,Bat!$A$4:$BG$1453,J$1,FALSE),VLOOKUP($A7,Pit!$A$4:$BA$570,J$2,FALSE))</f>
        <v>#N/A</v>
      </c>
      <c r="K7" s="12" t="e">
        <f>IF($C7="B",VLOOKUP($A7,Bat!$A$4:$BG$1453,K$1,FALSE),VLOOKUP($A7,Pit!$A$4:$BA$570,K$2,FALSE))</f>
        <v>#N/A</v>
      </c>
      <c r="L7" s="11" t="e">
        <f>IF($C7="B",VLOOKUP($A7,Bat!$A$4:$BG$1453,L$1,FALSE),VLOOKUP($A7,Pit!$A$4:$BA$570,L$2,FALSE))</f>
        <v>#N/A</v>
      </c>
      <c r="M7" s="11" t="e">
        <f>IF($C7="B",VLOOKUP($A7,Bat!$A$4:$BG$1453,M$1,FALSE),VLOOKUP($A7,Pit!$A$4:$BA$570,M$2,FALSE))</f>
        <v>#N/A</v>
      </c>
      <c r="N7" s="11" t="e">
        <f>IF($C7="B",VLOOKUP($A7,Bat!$A$4:$BG$1453,N$1,FALSE),VLOOKUP($A7,Pit!$A$4:$BA$570,N$2,FALSE))</f>
        <v>#N/A</v>
      </c>
      <c r="O7" s="11" t="e">
        <f>IF($C7="B",VLOOKUP($A7,Bat!$A$4:$BG$1453,O$1,FALSE),VLOOKUP($A7,Pit!$A$4:$BA$570,O$2,FALSE))</f>
        <v>#N/A</v>
      </c>
      <c r="P7" s="12" t="e">
        <f>IF($C7="B",VLOOKUP($A7,Bat!$A$4:$BG$1453,P$1,FALSE),VLOOKUP($A7,Pit!$A$4:$BA$570,P$2,FALSE))</f>
        <v>#N/A</v>
      </c>
      <c r="Q7" s="13" t="e">
        <f>IF($C7="B",VLOOKUP($A7,Bat!$A$4:$BG$1453,Q$1,FALSE),VLOOKUP($A7,Pit!$A$4:$BA$570,Q$2,FALSE))</f>
        <v>#N/A</v>
      </c>
      <c r="R7" s="14" t="e">
        <f>IF($C7="B",VLOOKUP($A7,Bat!$A$4:$BG$1453,R$1,FALSE),VLOOKUP($A7,Pit!$A$4:$BA$570,R$2,FALSE))</f>
        <v>#N/A</v>
      </c>
      <c r="S7" s="15" t="e">
        <f>IF($C7="B",VLOOKUP($A7,Bat!$A$4:$BG$1453,S$1,FALSE),VLOOKUP($A7,Pit!$A$4:$BA$570,S$2,FALSE))</f>
        <v>#N/A</v>
      </c>
      <c r="T7" s="12" t="e">
        <f>VLOOKUP(IF($C7="B",VLOOKUP($A7,Bat!$A$4:$AV$1453,T$1,FALSE),VLOOKUP($A7,Pit!$A$4:$BE$570,T$2,FALSE)),COND!$A$35:$B$41,2,FALSE)</f>
        <v>#N/A</v>
      </c>
      <c r="V7" s="16" t="e">
        <f t="shared" si="2"/>
        <v>#N/A</v>
      </c>
      <c r="W7" s="17" t="e">
        <f t="shared" si="3"/>
        <v>#N/A</v>
      </c>
      <c r="X7" s="11" t="str">
        <f>IFERROR(VLOOKUP($D7,Results37!$F$3:$G$1396,X$1,FALSE),"")</f>
        <v/>
      </c>
      <c r="Y7" s="11" t="str">
        <f>IFERROR(VLOOKUP($D7,Results37!$F$3:$G$1396,Y$1,FALSE),"")</f>
        <v/>
      </c>
      <c r="Z7" s="11" t="str">
        <f>IFERROR(VLOOKUP($D7,Results37!$F$3:$G$1396,Z$1,FALSE),"")</f>
        <v/>
      </c>
      <c r="AA7" s="11" t="str">
        <f>IFERROR(VLOOKUP($D7,Results37!$F$3:$G$1396,AA$1,FALSE),"")</f>
        <v/>
      </c>
    </row>
    <row r="8" spans="1:31" s="16" customFormat="1" x14ac:dyDescent="0.25">
      <c r="A8" s="16" t="s">
        <v>278</v>
      </c>
      <c r="B8" s="16">
        <f t="shared" si="0"/>
        <v>1</v>
      </c>
      <c r="C8" s="16" t="str">
        <f t="shared" si="1"/>
        <v>B</v>
      </c>
      <c r="D8" s="12" t="e">
        <f>IF($C8="B",VLOOKUP($A8,Bat!$A$4:$BG$1453,D$1,FALSE),VLOOKUP($A8,Pit!$A$4:$BA$570,D$2,FALSE))</f>
        <v>#N/A</v>
      </c>
      <c r="E8" s="11" t="e">
        <f>IF($C8="B",VLOOKUP($A8,Bat!$A$4:$BG$1453,E$1,FALSE),VLOOKUP($A8,Pit!$A$4:$BA$570,E$2,FALSE))</f>
        <v>#N/A</v>
      </c>
      <c r="F8" s="11" t="e">
        <f>IF($C8="B",VLOOKUP($A8,Bat!$A$4:$BG$1453,F$1,FALSE),VLOOKUP($A8,Pit!$A$4:$BA$570,F$2,FALSE))</f>
        <v>#N/A</v>
      </c>
      <c r="G8" s="11" t="e">
        <f>IF($C8="B",VLOOKUP($A8,Bat!$A$4:$BG$1453,G$1,FALSE),VLOOKUP($A8,Pit!$A$4:$BA$570,G$2,FALSE))</f>
        <v>#N/A</v>
      </c>
      <c r="H8" s="11" t="e">
        <f>IF($C8="B",VLOOKUP($A8,Bat!$A$4:$BG$1453,H$1,FALSE),VLOOKUP($A8,Pit!$A$4:$BA$570,H$2,FALSE))</f>
        <v>#N/A</v>
      </c>
      <c r="I8" s="11" t="e">
        <f>IF($C8="B",VLOOKUP($A8,Bat!$A$4:$BG$1453,I$1,FALSE),VLOOKUP($A8,Pit!$A$4:$BA$570,I$2,FALSE))</f>
        <v>#N/A</v>
      </c>
      <c r="J8" s="11" t="e">
        <f>IF($C8="B",VLOOKUP($A8,Bat!$A$4:$BG$1453,J$1,FALSE),VLOOKUP($A8,Pit!$A$4:$BA$570,J$2,FALSE))</f>
        <v>#N/A</v>
      </c>
      <c r="K8" s="12" t="e">
        <f>IF($C8="B",VLOOKUP($A8,Bat!$A$4:$BG$1453,K$1,FALSE),VLOOKUP($A8,Pit!$A$4:$BA$570,K$2,FALSE))</f>
        <v>#N/A</v>
      </c>
      <c r="L8" s="11" t="e">
        <f>IF($C8="B",VLOOKUP($A8,Bat!$A$4:$BG$1453,L$1,FALSE),VLOOKUP($A8,Pit!$A$4:$BA$570,L$2,FALSE))</f>
        <v>#N/A</v>
      </c>
      <c r="M8" s="11" t="e">
        <f>IF($C8="B",VLOOKUP($A8,Bat!$A$4:$BG$1453,M$1,FALSE),VLOOKUP($A8,Pit!$A$4:$BA$570,M$2,FALSE))</f>
        <v>#N/A</v>
      </c>
      <c r="N8" s="11" t="e">
        <f>IF($C8="B",VLOOKUP($A8,Bat!$A$4:$BG$1453,N$1,FALSE),VLOOKUP($A8,Pit!$A$4:$BA$570,N$2,FALSE))</f>
        <v>#N/A</v>
      </c>
      <c r="O8" s="11" t="e">
        <f>IF($C8="B",VLOOKUP($A8,Bat!$A$4:$BG$1453,O$1,FALSE),VLOOKUP($A8,Pit!$A$4:$BA$570,O$2,FALSE))</f>
        <v>#N/A</v>
      </c>
      <c r="P8" s="12" t="e">
        <f>IF($C8="B",VLOOKUP($A8,Bat!$A$4:$BG$1453,P$1,FALSE),VLOOKUP($A8,Pit!$A$4:$BA$570,P$2,FALSE))</f>
        <v>#N/A</v>
      </c>
      <c r="Q8" s="13" t="e">
        <f>IF($C8="B",VLOOKUP($A8,Bat!$A$4:$BG$1453,Q$1,FALSE),VLOOKUP($A8,Pit!$A$4:$BA$570,Q$2,FALSE))</f>
        <v>#N/A</v>
      </c>
      <c r="R8" s="14" t="e">
        <f>IF($C8="B",VLOOKUP($A8,Bat!$A$4:$BG$1453,R$1,FALSE),VLOOKUP($A8,Pit!$A$4:$BA$570,R$2,FALSE))</f>
        <v>#N/A</v>
      </c>
      <c r="S8" s="15" t="e">
        <f>IF($C8="B",VLOOKUP($A8,Bat!$A$4:$BG$1453,S$1,FALSE),VLOOKUP($A8,Pit!$A$4:$BA$570,S$2,FALSE))</f>
        <v>#N/A</v>
      </c>
      <c r="T8" s="12" t="e">
        <f>VLOOKUP(IF($C8="B",VLOOKUP($A8,Bat!$A$4:$AV$1453,T$1,FALSE),VLOOKUP($A8,Pit!$A$4:$BE$570,T$2,FALSE)),COND!$A$35:$B$41,2,FALSE)</f>
        <v>#N/A</v>
      </c>
      <c r="V8" s="16" t="e">
        <f t="shared" si="2"/>
        <v>#N/A</v>
      </c>
      <c r="W8" s="17" t="e">
        <f t="shared" si="3"/>
        <v>#N/A</v>
      </c>
      <c r="X8" s="11" t="str">
        <f>IFERROR(VLOOKUP($D8,Results37!$F$3:$G$1396,X$1,FALSE),"")</f>
        <v/>
      </c>
      <c r="Y8" s="11" t="str">
        <f>IFERROR(VLOOKUP($D8,Results37!$F$3:$G$1396,Y$1,FALSE),"")</f>
        <v/>
      </c>
      <c r="Z8" s="11" t="str">
        <f>IFERROR(VLOOKUP($D8,Results37!$F$3:$G$1396,Z$1,FALSE),"")</f>
        <v/>
      </c>
      <c r="AA8" s="11" t="str">
        <f>IFERROR(VLOOKUP($D8,Results37!$F$3:$G$1396,AA$1,FALSE),"")</f>
        <v/>
      </c>
    </row>
    <row r="9" spans="1:31" s="16" customFormat="1" x14ac:dyDescent="0.25">
      <c r="A9" s="16" t="s">
        <v>279</v>
      </c>
      <c r="B9" s="16">
        <f t="shared" si="0"/>
        <v>1</v>
      </c>
      <c r="C9" s="16" t="str">
        <f t="shared" si="1"/>
        <v>B</v>
      </c>
      <c r="D9" s="12" t="e">
        <f>IF($C9="B",VLOOKUP($A9,Bat!$A$4:$BG$1453,D$1,FALSE),VLOOKUP($A9,Pit!$A$4:$BA$570,D$2,FALSE))</f>
        <v>#N/A</v>
      </c>
      <c r="E9" s="11" t="e">
        <f>IF($C9="B",VLOOKUP($A9,Bat!$A$4:$BG$1453,E$1,FALSE),VLOOKUP($A9,Pit!$A$4:$BA$570,E$2,FALSE))</f>
        <v>#N/A</v>
      </c>
      <c r="F9" s="11" t="e">
        <f>IF($C9="B",VLOOKUP($A9,Bat!$A$4:$BG$1453,F$1,FALSE),VLOOKUP($A9,Pit!$A$4:$BA$570,F$2,FALSE))</f>
        <v>#N/A</v>
      </c>
      <c r="G9" s="11" t="e">
        <f>IF($C9="B",VLOOKUP($A9,Bat!$A$4:$BG$1453,G$1,FALSE),VLOOKUP($A9,Pit!$A$4:$BA$570,G$2,FALSE))</f>
        <v>#N/A</v>
      </c>
      <c r="H9" s="11" t="e">
        <f>IF($C9="B",VLOOKUP($A9,Bat!$A$4:$BG$1453,H$1,FALSE),VLOOKUP($A9,Pit!$A$4:$BA$570,H$2,FALSE))</f>
        <v>#N/A</v>
      </c>
      <c r="I9" s="11" t="e">
        <f>IF($C9="B",VLOOKUP($A9,Bat!$A$4:$BG$1453,I$1,FALSE),VLOOKUP($A9,Pit!$A$4:$BA$570,I$2,FALSE))</f>
        <v>#N/A</v>
      </c>
      <c r="J9" s="11" t="e">
        <f>IF($C9="B",VLOOKUP($A9,Bat!$A$4:$BG$1453,J$1,FALSE),VLOOKUP($A9,Pit!$A$4:$BA$570,J$2,FALSE))</f>
        <v>#N/A</v>
      </c>
      <c r="K9" s="12" t="e">
        <f>IF($C9="B",VLOOKUP($A9,Bat!$A$4:$BG$1453,K$1,FALSE),VLOOKUP($A9,Pit!$A$4:$BA$570,K$2,FALSE))</f>
        <v>#N/A</v>
      </c>
      <c r="L9" s="11" t="e">
        <f>IF($C9="B",VLOOKUP($A9,Bat!$A$4:$BG$1453,L$1,FALSE),VLOOKUP($A9,Pit!$A$4:$BA$570,L$2,FALSE))</f>
        <v>#N/A</v>
      </c>
      <c r="M9" s="11" t="e">
        <f>IF($C9="B",VLOOKUP($A9,Bat!$A$4:$BG$1453,M$1,FALSE),VLOOKUP($A9,Pit!$A$4:$BA$570,M$2,FALSE))</f>
        <v>#N/A</v>
      </c>
      <c r="N9" s="11" t="e">
        <f>IF($C9="B",VLOOKUP($A9,Bat!$A$4:$BG$1453,N$1,FALSE),VLOOKUP($A9,Pit!$A$4:$BA$570,N$2,FALSE))</f>
        <v>#N/A</v>
      </c>
      <c r="O9" s="11" t="e">
        <f>IF($C9="B",VLOOKUP($A9,Bat!$A$4:$BG$1453,O$1,FALSE),VLOOKUP($A9,Pit!$A$4:$BA$570,O$2,FALSE))</f>
        <v>#N/A</v>
      </c>
      <c r="P9" s="12" t="e">
        <f>IF($C9="B",VLOOKUP($A9,Bat!$A$4:$BG$1453,P$1,FALSE),VLOOKUP($A9,Pit!$A$4:$BA$570,P$2,FALSE))</f>
        <v>#N/A</v>
      </c>
      <c r="Q9" s="13" t="e">
        <f>IF($C9="B",VLOOKUP($A9,Bat!$A$4:$BG$1453,Q$1,FALSE),VLOOKUP($A9,Pit!$A$4:$BA$570,Q$2,FALSE))</f>
        <v>#N/A</v>
      </c>
      <c r="R9" s="14" t="e">
        <f>IF($C9="B",VLOOKUP($A9,Bat!$A$4:$BG$1453,R$1,FALSE),VLOOKUP($A9,Pit!$A$4:$BA$570,R$2,FALSE))</f>
        <v>#N/A</v>
      </c>
      <c r="S9" s="15" t="e">
        <f>IF($C9="B",VLOOKUP($A9,Bat!$A$4:$BG$1453,S$1,FALSE),VLOOKUP($A9,Pit!$A$4:$BA$570,S$2,FALSE))</f>
        <v>#N/A</v>
      </c>
      <c r="T9" s="12" t="e">
        <f>VLOOKUP(IF($C9="B",VLOOKUP($A9,Bat!$A$4:$AV$1453,T$1,FALSE),VLOOKUP($A9,Pit!$A$4:$BE$570,T$2,FALSE)),COND!$A$35:$B$41,2,FALSE)</f>
        <v>#N/A</v>
      </c>
      <c r="V9" s="16" t="e">
        <f t="shared" si="2"/>
        <v>#N/A</v>
      </c>
      <c r="W9" s="17" t="e">
        <f t="shared" si="3"/>
        <v>#N/A</v>
      </c>
      <c r="X9" s="11" t="str">
        <f>IFERROR(VLOOKUP($D9,Results37!$F$3:$G$1396,X$1,FALSE),"")</f>
        <v/>
      </c>
      <c r="Y9" s="11" t="str">
        <f>IFERROR(VLOOKUP($D9,Results37!$F$3:$G$1396,Y$1,FALSE),"")</f>
        <v/>
      </c>
      <c r="Z9" s="11" t="str">
        <f>IFERROR(VLOOKUP($D9,Results37!$F$3:$G$1396,Z$1,FALSE),"")</f>
        <v/>
      </c>
      <c r="AA9" s="11" t="str">
        <f>IFERROR(VLOOKUP($D9,Results37!$F$3:$G$1396,AA$1,FALSE),"")</f>
        <v/>
      </c>
    </row>
    <row r="10" spans="1:31" s="16" customFormat="1" x14ac:dyDescent="0.25">
      <c r="A10" s="16" t="s">
        <v>283</v>
      </c>
      <c r="B10" s="16">
        <f t="shared" si="0"/>
        <v>1</v>
      </c>
      <c r="C10" s="16" t="str">
        <f t="shared" si="1"/>
        <v>P</v>
      </c>
      <c r="D10" s="12" t="e">
        <f>IF($C10="B",VLOOKUP($A10,Bat!$A$4:$BG$1453,D$1,FALSE),VLOOKUP($A10,Pit!$A$4:$BA$570,D$2,FALSE))</f>
        <v>#N/A</v>
      </c>
      <c r="E10" s="11" t="e">
        <f>IF($C10="B",VLOOKUP($A10,Bat!$A$4:$BG$1453,E$1,FALSE),VLOOKUP($A10,Pit!$A$4:$BA$570,E$2,FALSE))</f>
        <v>#N/A</v>
      </c>
      <c r="F10" s="11" t="e">
        <f>IF($C10="B",VLOOKUP($A10,Bat!$A$4:$BG$1453,F$1,FALSE),VLOOKUP($A10,Pit!$A$4:$BA$570,F$2,FALSE))</f>
        <v>#N/A</v>
      </c>
      <c r="G10" s="11" t="e">
        <f>IF($C10="B",VLOOKUP($A10,Bat!$A$4:$BG$1453,G$1,FALSE),VLOOKUP($A10,Pit!$A$4:$BA$570,G$2,FALSE))</f>
        <v>#N/A</v>
      </c>
      <c r="H10" s="11" t="e">
        <f>IF($C10="B",VLOOKUP($A10,Bat!$A$4:$BG$1453,H$1,FALSE),VLOOKUP($A10,Pit!$A$4:$BA$570,H$2,FALSE))</f>
        <v>#N/A</v>
      </c>
      <c r="I10" s="11" t="e">
        <f>IF($C10="B",VLOOKUP($A10,Bat!$A$4:$BG$1453,I$1,FALSE),VLOOKUP($A10,Pit!$A$4:$BA$570,I$2,FALSE))</f>
        <v>#N/A</v>
      </c>
      <c r="J10" s="11" t="e">
        <f>IF($C10="B",VLOOKUP($A10,Bat!$A$4:$BG$1453,J$1,FALSE),VLOOKUP($A10,Pit!$A$4:$BA$570,J$2,FALSE))</f>
        <v>#N/A</v>
      </c>
      <c r="K10" s="12" t="e">
        <f>IF($C10="B",VLOOKUP($A10,Bat!$A$4:$BG$1453,K$1,FALSE),VLOOKUP($A10,Pit!$A$4:$BA$570,K$2,FALSE))</f>
        <v>#N/A</v>
      </c>
      <c r="L10" s="11" t="e">
        <f>IF($C10="B",VLOOKUP($A10,Bat!$A$4:$BG$1453,L$1,FALSE),VLOOKUP($A10,Pit!$A$4:$BA$570,L$2,FALSE))</f>
        <v>#N/A</v>
      </c>
      <c r="M10" s="11" t="e">
        <f>IF($C10="B",VLOOKUP($A10,Bat!$A$4:$BG$1453,M$1,FALSE),VLOOKUP($A10,Pit!$A$4:$BA$570,M$2,FALSE))</f>
        <v>#N/A</v>
      </c>
      <c r="N10" s="11" t="e">
        <f>IF($C10="B",VLOOKUP($A10,Bat!$A$4:$BG$1453,N$1,FALSE),VLOOKUP($A10,Pit!$A$4:$BA$570,N$2,FALSE))</f>
        <v>#N/A</v>
      </c>
      <c r="O10" s="11" t="e">
        <f>IF($C10="B",VLOOKUP($A10,Bat!$A$4:$BG$1453,O$1,FALSE),VLOOKUP($A10,Pit!$A$4:$BA$570,O$2,FALSE))</f>
        <v>#N/A</v>
      </c>
      <c r="P10" s="12" t="e">
        <f>IF($C10="B",VLOOKUP($A10,Bat!$A$4:$BG$1453,P$1,FALSE),VLOOKUP($A10,Pit!$A$4:$BA$570,P$2,FALSE))</f>
        <v>#N/A</v>
      </c>
      <c r="Q10" s="13" t="e">
        <f>IF($C10="B",VLOOKUP($A10,Bat!$A$4:$BG$1453,Q$1,FALSE),VLOOKUP($A10,Pit!$A$4:$BA$570,Q$2,FALSE))</f>
        <v>#N/A</v>
      </c>
      <c r="R10" s="14" t="e">
        <f>IF($C10="B",VLOOKUP($A10,Bat!$A$4:$BG$1453,R$1,FALSE),VLOOKUP($A10,Pit!$A$4:$BA$570,R$2,FALSE))</f>
        <v>#N/A</v>
      </c>
      <c r="S10" s="15" t="e">
        <f>IF($C10="B",VLOOKUP($A10,Bat!$A$4:$BG$1453,S$1,FALSE),VLOOKUP($A10,Pit!$A$4:$BA$570,S$2,FALSE))</f>
        <v>#N/A</v>
      </c>
      <c r="T10" s="12" t="e">
        <f>VLOOKUP(IF($C10="B",VLOOKUP($A10,Bat!$A$4:$AV$1453,T$1,FALSE),VLOOKUP($A10,Pit!$A$4:$BE$570,T$2,FALSE)),COND!$A$35:$B$41,2,FALSE)</f>
        <v>#N/A</v>
      </c>
      <c r="V10" s="16" t="e">
        <f t="shared" si="2"/>
        <v>#N/A</v>
      </c>
      <c r="W10" s="17" t="e">
        <f t="shared" si="3"/>
        <v>#N/A</v>
      </c>
      <c r="X10" s="11" t="str">
        <f>IFERROR(VLOOKUP($D10,Results37!$F$3:$G$1396,X$1,FALSE),"")</f>
        <v/>
      </c>
      <c r="Y10" s="11" t="str">
        <f>IFERROR(VLOOKUP($D10,Results37!$F$3:$G$1396,Y$1,FALSE),"")</f>
        <v/>
      </c>
      <c r="Z10" s="11" t="str">
        <f>IFERROR(VLOOKUP($D10,Results37!$F$3:$G$1396,Z$1,FALSE),"")</f>
        <v/>
      </c>
      <c r="AA10" s="11" t="str">
        <f>IFERROR(VLOOKUP($D10,Results37!$F$3:$G$1396,AA$1,FALSE),"")</f>
        <v/>
      </c>
    </row>
    <row r="11" spans="1:31" s="16" customFormat="1" x14ac:dyDescent="0.25">
      <c r="A11" s="16" t="s">
        <v>307</v>
      </c>
      <c r="B11" s="16">
        <f t="shared" si="0"/>
        <v>1</v>
      </c>
      <c r="C11" s="16" t="str">
        <f t="shared" si="1"/>
        <v>B</v>
      </c>
      <c r="D11" s="12" t="e">
        <f>IF($C11="B",VLOOKUP($A11,Bat!$A$4:$BG$1453,D$1,FALSE),VLOOKUP($A11,Pit!$A$4:$BA$570,D$2,FALSE))</f>
        <v>#N/A</v>
      </c>
      <c r="E11" s="11" t="e">
        <f>IF($C11="B",VLOOKUP($A11,Bat!$A$4:$BG$1453,E$1,FALSE),VLOOKUP($A11,Pit!$A$4:$BA$570,E$2,FALSE))</f>
        <v>#N/A</v>
      </c>
      <c r="F11" s="11" t="e">
        <f>IF($C11="B",VLOOKUP($A11,Bat!$A$4:$BG$1453,F$1,FALSE),VLOOKUP($A11,Pit!$A$4:$BA$570,F$2,FALSE))</f>
        <v>#N/A</v>
      </c>
      <c r="G11" s="11" t="e">
        <f>IF($C11="B",VLOOKUP($A11,Bat!$A$4:$BG$1453,G$1,FALSE),VLOOKUP($A11,Pit!$A$4:$BA$570,G$2,FALSE))</f>
        <v>#N/A</v>
      </c>
      <c r="H11" s="11" t="e">
        <f>IF($C11="B",VLOOKUP($A11,Bat!$A$4:$BG$1453,H$1,FALSE),VLOOKUP($A11,Pit!$A$4:$BA$570,H$2,FALSE))</f>
        <v>#N/A</v>
      </c>
      <c r="I11" s="11" t="e">
        <f>IF($C11="B",VLOOKUP($A11,Bat!$A$4:$BG$1453,I$1,FALSE),VLOOKUP($A11,Pit!$A$4:$BA$570,I$2,FALSE))</f>
        <v>#N/A</v>
      </c>
      <c r="J11" s="11" t="e">
        <f>IF($C11="B",VLOOKUP($A11,Bat!$A$4:$BG$1453,J$1,FALSE),VLOOKUP($A11,Pit!$A$4:$BA$570,J$2,FALSE))</f>
        <v>#N/A</v>
      </c>
      <c r="K11" s="12" t="e">
        <f>IF($C11="B",VLOOKUP($A11,Bat!$A$4:$BG$1453,K$1,FALSE),VLOOKUP($A11,Pit!$A$4:$BA$570,K$2,FALSE))</f>
        <v>#N/A</v>
      </c>
      <c r="L11" s="11" t="e">
        <f>IF($C11="B",VLOOKUP($A11,Bat!$A$4:$BG$1453,L$1,FALSE),VLOOKUP($A11,Pit!$A$4:$BA$570,L$2,FALSE))</f>
        <v>#N/A</v>
      </c>
      <c r="M11" s="11" t="e">
        <f>IF($C11="B",VLOOKUP($A11,Bat!$A$4:$BG$1453,M$1,FALSE),VLOOKUP($A11,Pit!$A$4:$BA$570,M$2,FALSE))</f>
        <v>#N/A</v>
      </c>
      <c r="N11" s="11" t="e">
        <f>IF($C11="B",VLOOKUP($A11,Bat!$A$4:$BG$1453,N$1,FALSE),VLOOKUP($A11,Pit!$A$4:$BA$570,N$2,FALSE))</f>
        <v>#N/A</v>
      </c>
      <c r="O11" s="11" t="e">
        <f>IF($C11="B",VLOOKUP($A11,Bat!$A$4:$BG$1453,O$1,FALSE),VLOOKUP($A11,Pit!$A$4:$BA$570,O$2,FALSE))</f>
        <v>#N/A</v>
      </c>
      <c r="P11" s="12" t="e">
        <f>IF($C11="B",VLOOKUP($A11,Bat!$A$4:$BG$1453,P$1,FALSE),VLOOKUP($A11,Pit!$A$4:$BA$570,P$2,FALSE))</f>
        <v>#N/A</v>
      </c>
      <c r="Q11" s="13" t="e">
        <f>IF($C11="B",VLOOKUP($A11,Bat!$A$4:$BG$1453,Q$1,FALSE),VLOOKUP($A11,Pit!$A$4:$BA$570,Q$2,FALSE))</f>
        <v>#N/A</v>
      </c>
      <c r="R11" s="14" t="e">
        <f>IF($C11="B",VLOOKUP($A11,Bat!$A$4:$BG$1453,R$1,FALSE),VLOOKUP($A11,Pit!$A$4:$BA$570,R$2,FALSE))</f>
        <v>#N/A</v>
      </c>
      <c r="S11" s="15" t="e">
        <f>IF($C11="B",VLOOKUP($A11,Bat!$A$4:$BG$1453,S$1,FALSE),VLOOKUP($A11,Pit!$A$4:$BA$570,S$2,FALSE))</f>
        <v>#N/A</v>
      </c>
      <c r="T11" s="12" t="e">
        <f>VLOOKUP(IF($C11="B",VLOOKUP($A11,Bat!$A$4:$AV$1453,T$1,FALSE),VLOOKUP($A11,Pit!$A$4:$BE$570,T$2,FALSE)),COND!$A$35:$B$41,2,FALSE)</f>
        <v>#N/A</v>
      </c>
      <c r="V11" s="16" t="e">
        <f t="shared" si="2"/>
        <v>#N/A</v>
      </c>
      <c r="W11" s="17" t="e">
        <f t="shared" si="3"/>
        <v>#N/A</v>
      </c>
      <c r="X11" s="11" t="str">
        <f>IFERROR(VLOOKUP($D11,Results37!$F$3:$G$1396,X$1,FALSE),"")</f>
        <v/>
      </c>
      <c r="Y11" s="11" t="str">
        <f>IFERROR(VLOOKUP($D11,Results37!$F$3:$G$1396,Y$1,FALSE),"")</f>
        <v/>
      </c>
      <c r="Z11" s="11" t="str">
        <f>IFERROR(VLOOKUP($D11,Results37!$F$3:$G$1396,Z$1,FALSE),"")</f>
        <v/>
      </c>
      <c r="AA11" s="11" t="str">
        <f>IFERROR(VLOOKUP($D11,Results37!$F$3:$G$1396,AA$1,FALSE),"")</f>
        <v/>
      </c>
    </row>
    <row r="12" spans="1:31" s="16" customFormat="1" x14ac:dyDescent="0.25">
      <c r="A12" s="16" t="s">
        <v>288</v>
      </c>
      <c r="B12" s="16">
        <f t="shared" si="0"/>
        <v>1</v>
      </c>
      <c r="C12" s="16" t="str">
        <f t="shared" si="1"/>
        <v>P</v>
      </c>
      <c r="D12" s="12" t="e">
        <f>IF($C12="B",VLOOKUP($A12,Bat!$A$4:$BG$1453,D$1,FALSE),VLOOKUP($A12,Pit!$A$4:$BA$570,D$2,FALSE))</f>
        <v>#N/A</v>
      </c>
      <c r="E12" s="11" t="e">
        <f>IF($C12="B",VLOOKUP($A12,Bat!$A$4:$BG$1453,E$1,FALSE),VLOOKUP($A12,Pit!$A$4:$BA$570,E$2,FALSE))</f>
        <v>#N/A</v>
      </c>
      <c r="F12" s="11" t="e">
        <f>IF($C12="B",VLOOKUP($A12,Bat!$A$4:$BG$1453,F$1,FALSE),VLOOKUP($A12,Pit!$A$4:$BA$570,F$2,FALSE))</f>
        <v>#N/A</v>
      </c>
      <c r="G12" s="11" t="e">
        <f>IF($C12="B",VLOOKUP($A12,Bat!$A$4:$BG$1453,G$1,FALSE),VLOOKUP($A12,Pit!$A$4:$BA$570,G$2,FALSE))</f>
        <v>#N/A</v>
      </c>
      <c r="H12" s="11" t="e">
        <f>IF($C12="B",VLOOKUP($A12,Bat!$A$4:$BG$1453,H$1,FALSE),VLOOKUP($A12,Pit!$A$4:$BA$570,H$2,FALSE))</f>
        <v>#N/A</v>
      </c>
      <c r="I12" s="11" t="e">
        <f>IF($C12="B",VLOOKUP($A12,Bat!$A$4:$BG$1453,I$1,FALSE),VLOOKUP($A12,Pit!$A$4:$BA$570,I$2,FALSE))</f>
        <v>#N/A</v>
      </c>
      <c r="J12" s="11" t="e">
        <f>IF($C12="B",VLOOKUP($A12,Bat!$A$4:$BG$1453,J$1,FALSE),VLOOKUP($A12,Pit!$A$4:$BA$570,J$2,FALSE))</f>
        <v>#N/A</v>
      </c>
      <c r="K12" s="12" t="e">
        <f>IF($C12="B",VLOOKUP($A12,Bat!$A$4:$BG$1453,K$1,FALSE),VLOOKUP($A12,Pit!$A$4:$BA$570,K$2,FALSE))</f>
        <v>#N/A</v>
      </c>
      <c r="L12" s="11" t="e">
        <f>IF($C12="B",VLOOKUP($A12,Bat!$A$4:$BG$1453,L$1,FALSE),VLOOKUP($A12,Pit!$A$4:$BA$570,L$2,FALSE))</f>
        <v>#N/A</v>
      </c>
      <c r="M12" s="11" t="e">
        <f>IF($C12="B",VLOOKUP($A12,Bat!$A$4:$BG$1453,M$1,FALSE),VLOOKUP($A12,Pit!$A$4:$BA$570,M$2,FALSE))</f>
        <v>#N/A</v>
      </c>
      <c r="N12" s="11" t="e">
        <f>IF($C12="B",VLOOKUP($A12,Bat!$A$4:$BG$1453,N$1,FALSE),VLOOKUP($A12,Pit!$A$4:$BA$570,N$2,FALSE))</f>
        <v>#N/A</v>
      </c>
      <c r="O12" s="11" t="e">
        <f>IF($C12="B",VLOOKUP($A12,Bat!$A$4:$BG$1453,O$1,FALSE),VLOOKUP($A12,Pit!$A$4:$BA$570,O$2,FALSE))</f>
        <v>#N/A</v>
      </c>
      <c r="P12" s="12" t="e">
        <f>IF($C12="B",VLOOKUP($A12,Bat!$A$4:$BG$1453,P$1,FALSE),VLOOKUP($A12,Pit!$A$4:$BA$570,P$2,FALSE))</f>
        <v>#N/A</v>
      </c>
      <c r="Q12" s="13" t="e">
        <f>IF($C12="B",VLOOKUP($A12,Bat!$A$4:$BG$1453,Q$1,FALSE),VLOOKUP($A12,Pit!$A$4:$BA$570,Q$2,FALSE))</f>
        <v>#N/A</v>
      </c>
      <c r="R12" s="14" t="e">
        <f>IF($C12="B",VLOOKUP($A12,Bat!$A$4:$BG$1453,R$1,FALSE),VLOOKUP($A12,Pit!$A$4:$BA$570,R$2,FALSE))</f>
        <v>#N/A</v>
      </c>
      <c r="S12" s="15" t="e">
        <f>IF($C12="B",VLOOKUP($A12,Bat!$A$4:$BG$1453,S$1,FALSE),VLOOKUP($A12,Pit!$A$4:$BA$570,S$2,FALSE))</f>
        <v>#N/A</v>
      </c>
      <c r="T12" s="12" t="e">
        <f>VLOOKUP(IF($C12="B",VLOOKUP($A12,Bat!$A$4:$AV$1453,T$1,FALSE),VLOOKUP($A12,Pit!$A$4:$BE$570,T$2,FALSE)),COND!$A$35:$B$41,2,FALSE)</f>
        <v>#N/A</v>
      </c>
      <c r="V12" s="16" t="e">
        <f t="shared" si="2"/>
        <v>#N/A</v>
      </c>
      <c r="W12" s="17" t="e">
        <f t="shared" si="3"/>
        <v>#N/A</v>
      </c>
      <c r="X12" s="11" t="str">
        <f>IFERROR(VLOOKUP($D12,Results37!$F$3:$G$1396,X$1,FALSE),"")</f>
        <v/>
      </c>
      <c r="Y12" s="11" t="str">
        <f>IFERROR(VLOOKUP($D12,Results37!$F$3:$G$1396,Y$1,FALSE),"")</f>
        <v/>
      </c>
      <c r="Z12" s="11" t="str">
        <f>IFERROR(VLOOKUP($D12,Results37!$F$3:$G$1396,Z$1,FALSE),"")</f>
        <v/>
      </c>
      <c r="AA12" s="11" t="str">
        <f>IFERROR(VLOOKUP($D12,Results37!$F$3:$G$1396,AA$1,FALSE),"")</f>
        <v/>
      </c>
    </row>
    <row r="13" spans="1:31" s="16" customFormat="1" x14ac:dyDescent="0.25">
      <c r="A13" s="16" t="s">
        <v>290</v>
      </c>
      <c r="B13" s="16">
        <f t="shared" si="0"/>
        <v>1</v>
      </c>
      <c r="C13" s="16" t="str">
        <f t="shared" si="1"/>
        <v>B</v>
      </c>
      <c r="D13" s="12" t="e">
        <f>IF($C13="B",VLOOKUP($A13,Bat!$A$4:$BG$1453,D$1,FALSE),VLOOKUP($A13,Pit!$A$4:$BA$570,D$2,FALSE))</f>
        <v>#N/A</v>
      </c>
      <c r="E13" s="11" t="e">
        <f>IF($C13="B",VLOOKUP($A13,Bat!$A$4:$BG$1453,E$1,FALSE),VLOOKUP($A13,Pit!$A$4:$BA$570,E$2,FALSE))</f>
        <v>#N/A</v>
      </c>
      <c r="F13" s="11" t="e">
        <f>IF($C13="B",VLOOKUP($A13,Bat!$A$4:$BG$1453,F$1,FALSE),VLOOKUP($A13,Pit!$A$4:$BA$570,F$2,FALSE))</f>
        <v>#N/A</v>
      </c>
      <c r="G13" s="11" t="e">
        <f>IF($C13="B",VLOOKUP($A13,Bat!$A$4:$BG$1453,G$1,FALSE),VLOOKUP($A13,Pit!$A$4:$BA$570,G$2,FALSE))</f>
        <v>#N/A</v>
      </c>
      <c r="H13" s="11" t="e">
        <f>IF($C13="B",VLOOKUP($A13,Bat!$A$4:$BG$1453,H$1,FALSE),VLOOKUP($A13,Pit!$A$4:$BA$570,H$2,FALSE))</f>
        <v>#N/A</v>
      </c>
      <c r="I13" s="11" t="e">
        <f>IF($C13="B",VLOOKUP($A13,Bat!$A$4:$BG$1453,I$1,FALSE),VLOOKUP($A13,Pit!$A$4:$BA$570,I$2,FALSE))</f>
        <v>#N/A</v>
      </c>
      <c r="J13" s="11" t="e">
        <f>IF($C13="B",VLOOKUP($A13,Bat!$A$4:$BG$1453,J$1,FALSE),VLOOKUP($A13,Pit!$A$4:$BA$570,J$2,FALSE))</f>
        <v>#N/A</v>
      </c>
      <c r="K13" s="12" t="e">
        <f>IF($C13="B",VLOOKUP($A13,Bat!$A$4:$BG$1453,K$1,FALSE),VLOOKUP($A13,Pit!$A$4:$BA$570,K$2,FALSE))</f>
        <v>#N/A</v>
      </c>
      <c r="L13" s="11" t="e">
        <f>IF($C13="B",VLOOKUP($A13,Bat!$A$4:$BG$1453,L$1,FALSE),VLOOKUP($A13,Pit!$A$4:$BA$570,L$2,FALSE))</f>
        <v>#N/A</v>
      </c>
      <c r="M13" s="11" t="e">
        <f>IF($C13="B",VLOOKUP($A13,Bat!$A$4:$BG$1453,M$1,FALSE),VLOOKUP($A13,Pit!$A$4:$BA$570,M$2,FALSE))</f>
        <v>#N/A</v>
      </c>
      <c r="N13" s="11" t="e">
        <f>IF($C13="B",VLOOKUP($A13,Bat!$A$4:$BG$1453,N$1,FALSE),VLOOKUP($A13,Pit!$A$4:$BA$570,N$2,FALSE))</f>
        <v>#N/A</v>
      </c>
      <c r="O13" s="11" t="e">
        <f>IF($C13="B",VLOOKUP($A13,Bat!$A$4:$BG$1453,O$1,FALSE),VLOOKUP($A13,Pit!$A$4:$BA$570,O$2,FALSE))</f>
        <v>#N/A</v>
      </c>
      <c r="P13" s="12" t="e">
        <f>IF($C13="B",VLOOKUP($A13,Bat!$A$4:$BG$1453,P$1,FALSE),VLOOKUP($A13,Pit!$A$4:$BA$570,P$2,FALSE))</f>
        <v>#N/A</v>
      </c>
      <c r="Q13" s="13" t="e">
        <f>IF($C13="B",VLOOKUP($A13,Bat!$A$4:$BG$1453,Q$1,FALSE),VLOOKUP($A13,Pit!$A$4:$BA$570,Q$2,FALSE))</f>
        <v>#N/A</v>
      </c>
      <c r="R13" s="14" t="e">
        <f>IF($C13="B",VLOOKUP($A13,Bat!$A$4:$BG$1453,R$1,FALSE),VLOOKUP($A13,Pit!$A$4:$BA$570,R$2,FALSE))</f>
        <v>#N/A</v>
      </c>
      <c r="S13" s="15" t="e">
        <f>IF($C13="B",VLOOKUP($A13,Bat!$A$4:$BG$1453,S$1,FALSE),VLOOKUP($A13,Pit!$A$4:$BA$570,S$2,FALSE))</f>
        <v>#N/A</v>
      </c>
      <c r="T13" s="12" t="e">
        <f>VLOOKUP(IF($C13="B",VLOOKUP($A13,Bat!$A$4:$AV$1453,T$1,FALSE),VLOOKUP($A13,Pit!$A$4:$BE$570,T$2,FALSE)),COND!$A$35:$B$41,2,FALSE)</f>
        <v>#N/A</v>
      </c>
      <c r="V13" s="16" t="e">
        <f t="shared" si="2"/>
        <v>#N/A</v>
      </c>
      <c r="W13" s="17" t="e">
        <f t="shared" si="3"/>
        <v>#N/A</v>
      </c>
      <c r="X13" s="11" t="str">
        <f>IFERROR(VLOOKUP($D13,Results37!$F$3:$G$1396,X$1,FALSE),"")</f>
        <v/>
      </c>
      <c r="Y13" s="11" t="str">
        <f>IFERROR(VLOOKUP($D13,Results37!$F$3:$G$1396,Y$1,FALSE),"")</f>
        <v/>
      </c>
      <c r="Z13" s="11" t="str">
        <f>IFERROR(VLOOKUP($D13,Results37!$F$3:$G$1396,Z$1,FALSE),"")</f>
        <v/>
      </c>
      <c r="AA13" s="11" t="str">
        <f>IFERROR(VLOOKUP($D13,Results37!$F$3:$G$1396,AA$1,FALSE),"")</f>
        <v/>
      </c>
    </row>
    <row r="14" spans="1:31" s="16" customFormat="1" x14ac:dyDescent="0.25">
      <c r="A14" s="16" t="s">
        <v>280</v>
      </c>
      <c r="B14" s="16">
        <f t="shared" si="0"/>
        <v>1</v>
      </c>
      <c r="C14" s="16" t="str">
        <f t="shared" si="1"/>
        <v>B</v>
      </c>
      <c r="D14" s="12" t="e">
        <f>IF($C14="B",VLOOKUP($A14,Bat!$A$4:$BG$1453,D$1,FALSE),VLOOKUP($A14,Pit!$A$4:$BA$570,D$2,FALSE))</f>
        <v>#N/A</v>
      </c>
      <c r="E14" s="11" t="e">
        <f>IF($C14="B",VLOOKUP($A14,Bat!$A$4:$BG$1453,E$1,FALSE),VLOOKUP($A14,Pit!$A$4:$BA$570,E$2,FALSE))</f>
        <v>#N/A</v>
      </c>
      <c r="F14" s="11" t="e">
        <f>IF($C14="B",VLOOKUP($A14,Bat!$A$4:$BG$1453,F$1,FALSE),VLOOKUP($A14,Pit!$A$4:$BA$570,F$2,FALSE))</f>
        <v>#N/A</v>
      </c>
      <c r="G14" s="11" t="e">
        <f>IF($C14="B",VLOOKUP($A14,Bat!$A$4:$BG$1453,G$1,FALSE),VLOOKUP($A14,Pit!$A$4:$BA$570,G$2,FALSE))</f>
        <v>#N/A</v>
      </c>
      <c r="H14" s="11" t="e">
        <f>IF($C14="B",VLOOKUP($A14,Bat!$A$4:$BG$1453,H$1,FALSE),VLOOKUP($A14,Pit!$A$4:$BA$570,H$2,FALSE))</f>
        <v>#N/A</v>
      </c>
      <c r="I14" s="11" t="e">
        <f>IF($C14="B",VLOOKUP($A14,Bat!$A$4:$BG$1453,I$1,FALSE),VLOOKUP($A14,Pit!$A$4:$BA$570,I$2,FALSE))</f>
        <v>#N/A</v>
      </c>
      <c r="J14" s="11" t="e">
        <f>IF($C14="B",VLOOKUP($A14,Bat!$A$4:$BG$1453,J$1,FALSE),VLOOKUP($A14,Pit!$A$4:$BA$570,J$2,FALSE))</f>
        <v>#N/A</v>
      </c>
      <c r="K14" s="12" t="e">
        <f>IF($C14="B",VLOOKUP($A14,Bat!$A$4:$BG$1453,K$1,FALSE),VLOOKUP($A14,Pit!$A$4:$BA$570,K$2,FALSE))</f>
        <v>#N/A</v>
      </c>
      <c r="L14" s="11" t="e">
        <f>IF($C14="B",VLOOKUP($A14,Bat!$A$4:$BG$1453,L$1,FALSE),VLOOKUP($A14,Pit!$A$4:$BA$570,L$2,FALSE))</f>
        <v>#N/A</v>
      </c>
      <c r="M14" s="11" t="e">
        <f>IF($C14="B",VLOOKUP($A14,Bat!$A$4:$BG$1453,M$1,FALSE),VLOOKUP($A14,Pit!$A$4:$BA$570,M$2,FALSE))</f>
        <v>#N/A</v>
      </c>
      <c r="N14" s="11" t="e">
        <f>IF($C14="B",VLOOKUP($A14,Bat!$A$4:$BG$1453,N$1,FALSE),VLOOKUP($A14,Pit!$A$4:$BA$570,N$2,FALSE))</f>
        <v>#N/A</v>
      </c>
      <c r="O14" s="11" t="e">
        <f>IF($C14="B",VLOOKUP($A14,Bat!$A$4:$BG$1453,O$1,FALSE),VLOOKUP($A14,Pit!$A$4:$BA$570,O$2,FALSE))</f>
        <v>#N/A</v>
      </c>
      <c r="P14" s="12" t="e">
        <f>IF($C14="B",VLOOKUP($A14,Bat!$A$4:$BG$1453,P$1,FALSE),VLOOKUP($A14,Pit!$A$4:$BA$570,P$2,FALSE))</f>
        <v>#N/A</v>
      </c>
      <c r="Q14" s="13" t="e">
        <f>IF($C14="B",VLOOKUP($A14,Bat!$A$4:$BG$1453,Q$1,FALSE),VLOOKUP($A14,Pit!$A$4:$BA$570,Q$2,FALSE))</f>
        <v>#N/A</v>
      </c>
      <c r="R14" s="14" t="e">
        <f>IF($C14="B",VLOOKUP($A14,Bat!$A$4:$BG$1453,R$1,FALSE),VLOOKUP($A14,Pit!$A$4:$BA$570,R$2,FALSE))</f>
        <v>#N/A</v>
      </c>
      <c r="S14" s="15" t="e">
        <f>IF($C14="B",VLOOKUP($A14,Bat!$A$4:$BG$1453,S$1,FALSE),VLOOKUP($A14,Pit!$A$4:$BA$570,S$2,FALSE))</f>
        <v>#N/A</v>
      </c>
      <c r="T14" s="12" t="e">
        <f>VLOOKUP(IF($C14="B",VLOOKUP($A14,Bat!$A$4:$AV$1453,T$1,FALSE),VLOOKUP($A14,Pit!$A$4:$BE$570,T$2,FALSE)),COND!$A$35:$B$41,2,FALSE)</f>
        <v>#N/A</v>
      </c>
      <c r="V14" s="16" t="e">
        <f t="shared" si="2"/>
        <v>#N/A</v>
      </c>
      <c r="W14" s="17" t="e">
        <f t="shared" si="3"/>
        <v>#N/A</v>
      </c>
      <c r="X14" s="11" t="str">
        <f>IFERROR(VLOOKUP($D14,Results37!$F$3:$G$1396,X$1,FALSE),"")</f>
        <v/>
      </c>
      <c r="Y14" s="11" t="str">
        <f>IFERROR(VLOOKUP($D14,Results37!$F$3:$G$1396,Y$1,FALSE),"")</f>
        <v/>
      </c>
      <c r="Z14" s="11" t="str">
        <f>IFERROR(VLOOKUP($D14,Results37!$F$3:$G$1396,Z$1,FALSE),"")</f>
        <v/>
      </c>
      <c r="AA14" s="11" t="str">
        <f>IFERROR(VLOOKUP($D14,Results37!$F$3:$G$1396,AA$1,FALSE),"")</f>
        <v/>
      </c>
    </row>
    <row r="15" spans="1:31" s="16" customFormat="1" x14ac:dyDescent="0.25">
      <c r="A15" s="16" t="s">
        <v>281</v>
      </c>
      <c r="B15" s="16">
        <f t="shared" si="0"/>
        <v>1</v>
      </c>
      <c r="C15" s="16" t="str">
        <f t="shared" si="1"/>
        <v>B</v>
      </c>
      <c r="D15" s="12" t="e">
        <f>IF($C15="B",VLOOKUP($A15,Bat!$A$4:$BG$1453,D$1,FALSE),VLOOKUP($A15,Pit!$A$4:$BA$570,D$2,FALSE))</f>
        <v>#N/A</v>
      </c>
      <c r="E15" s="11" t="e">
        <f>IF($C15="B",VLOOKUP($A15,Bat!$A$4:$BG$1453,E$1,FALSE),VLOOKUP($A15,Pit!$A$4:$BA$570,E$2,FALSE))</f>
        <v>#N/A</v>
      </c>
      <c r="F15" s="11" t="e">
        <f>IF($C15="B",VLOOKUP($A15,Bat!$A$4:$BG$1453,F$1,FALSE),VLOOKUP($A15,Pit!$A$4:$BA$570,F$2,FALSE))</f>
        <v>#N/A</v>
      </c>
      <c r="G15" s="11" t="e">
        <f>IF($C15="B",VLOOKUP($A15,Bat!$A$4:$BG$1453,G$1,FALSE),VLOOKUP($A15,Pit!$A$4:$BA$570,G$2,FALSE))</f>
        <v>#N/A</v>
      </c>
      <c r="H15" s="11" t="e">
        <f>IF($C15="B",VLOOKUP($A15,Bat!$A$4:$BG$1453,H$1,FALSE),VLOOKUP($A15,Pit!$A$4:$BA$570,H$2,FALSE))</f>
        <v>#N/A</v>
      </c>
      <c r="I15" s="11" t="e">
        <f>IF($C15="B",VLOOKUP($A15,Bat!$A$4:$BG$1453,I$1,FALSE),VLOOKUP($A15,Pit!$A$4:$BA$570,I$2,FALSE))</f>
        <v>#N/A</v>
      </c>
      <c r="J15" s="11" t="e">
        <f>IF($C15="B",VLOOKUP($A15,Bat!$A$4:$BG$1453,J$1,FALSE),VLOOKUP($A15,Pit!$A$4:$BA$570,J$2,FALSE))</f>
        <v>#N/A</v>
      </c>
      <c r="K15" s="12" t="e">
        <f>IF($C15="B",VLOOKUP($A15,Bat!$A$4:$BG$1453,K$1,FALSE),VLOOKUP($A15,Pit!$A$4:$BA$570,K$2,FALSE))</f>
        <v>#N/A</v>
      </c>
      <c r="L15" s="11" t="e">
        <f>IF($C15="B",VLOOKUP($A15,Bat!$A$4:$BG$1453,L$1,FALSE),VLOOKUP($A15,Pit!$A$4:$BA$570,L$2,FALSE))</f>
        <v>#N/A</v>
      </c>
      <c r="M15" s="11" t="e">
        <f>IF($C15="B",VLOOKUP($A15,Bat!$A$4:$BG$1453,M$1,FALSE),VLOOKUP($A15,Pit!$A$4:$BA$570,M$2,FALSE))</f>
        <v>#N/A</v>
      </c>
      <c r="N15" s="11" t="e">
        <f>IF($C15="B",VLOOKUP($A15,Bat!$A$4:$BG$1453,N$1,FALSE),VLOOKUP($A15,Pit!$A$4:$BA$570,N$2,FALSE))</f>
        <v>#N/A</v>
      </c>
      <c r="O15" s="11" t="e">
        <f>IF($C15="B",VLOOKUP($A15,Bat!$A$4:$BG$1453,O$1,FALSE),VLOOKUP($A15,Pit!$A$4:$BA$570,O$2,FALSE))</f>
        <v>#N/A</v>
      </c>
      <c r="P15" s="12" t="e">
        <f>IF($C15="B",VLOOKUP($A15,Bat!$A$4:$BG$1453,P$1,FALSE),VLOOKUP($A15,Pit!$A$4:$BA$570,P$2,FALSE))</f>
        <v>#N/A</v>
      </c>
      <c r="Q15" s="13" t="e">
        <f>IF($C15="B",VLOOKUP($A15,Bat!$A$4:$BG$1453,Q$1,FALSE),VLOOKUP($A15,Pit!$A$4:$BA$570,Q$2,FALSE))</f>
        <v>#N/A</v>
      </c>
      <c r="R15" s="14" t="e">
        <f>IF($C15="B",VLOOKUP($A15,Bat!$A$4:$BG$1453,R$1,FALSE),VLOOKUP($A15,Pit!$A$4:$BA$570,R$2,FALSE))</f>
        <v>#N/A</v>
      </c>
      <c r="S15" s="15" t="e">
        <f>IF($C15="B",VLOOKUP($A15,Bat!$A$4:$BG$1453,S$1,FALSE),VLOOKUP($A15,Pit!$A$4:$BA$570,S$2,FALSE))</f>
        <v>#N/A</v>
      </c>
      <c r="T15" s="12" t="e">
        <f>VLOOKUP(IF($C15="B",VLOOKUP($A15,Bat!$A$4:$AV$1453,T$1,FALSE),VLOOKUP($A15,Pit!$A$4:$BE$570,T$2,FALSE)),COND!$A$35:$B$41,2,FALSE)</f>
        <v>#N/A</v>
      </c>
      <c r="V15" s="16" t="e">
        <f t="shared" si="2"/>
        <v>#N/A</v>
      </c>
      <c r="W15" s="17" t="e">
        <f t="shared" si="3"/>
        <v>#N/A</v>
      </c>
      <c r="X15" s="11" t="str">
        <f>IFERROR(VLOOKUP($D15,Results37!$F$3:$G$1396,X$1,FALSE),"")</f>
        <v/>
      </c>
      <c r="Y15" s="11" t="str">
        <f>IFERROR(VLOOKUP($D15,Results37!$F$3:$G$1396,Y$1,FALSE),"")</f>
        <v/>
      </c>
      <c r="Z15" s="11" t="str">
        <f>IFERROR(VLOOKUP($D15,Results37!$F$3:$G$1396,Z$1,FALSE),"")</f>
        <v/>
      </c>
      <c r="AA15" s="11" t="str">
        <f>IFERROR(VLOOKUP($D15,Results37!$F$3:$G$1396,AA$1,FALSE),"")</f>
        <v/>
      </c>
    </row>
    <row r="16" spans="1:31" s="16" customFormat="1" x14ac:dyDescent="0.25">
      <c r="A16" s="16" t="s">
        <v>285</v>
      </c>
      <c r="B16" s="16">
        <f t="shared" si="0"/>
        <v>1</v>
      </c>
      <c r="C16" s="16" t="str">
        <f t="shared" si="1"/>
        <v>P</v>
      </c>
      <c r="D16" s="12" t="e">
        <f>IF($C16="B",VLOOKUP($A16,Bat!$A$4:$BG$1453,D$1,FALSE),VLOOKUP($A16,Pit!$A$4:$BA$570,D$2,FALSE))</f>
        <v>#N/A</v>
      </c>
      <c r="E16" s="11" t="e">
        <f>IF($C16="B",VLOOKUP($A16,Bat!$A$4:$BG$1453,E$1,FALSE),VLOOKUP($A16,Pit!$A$4:$BA$570,E$2,FALSE))</f>
        <v>#N/A</v>
      </c>
      <c r="F16" s="11" t="e">
        <f>IF($C16="B",VLOOKUP($A16,Bat!$A$4:$BG$1453,F$1,FALSE),VLOOKUP($A16,Pit!$A$4:$BA$570,F$2,FALSE))</f>
        <v>#N/A</v>
      </c>
      <c r="G16" s="11" t="e">
        <f>IF($C16="B",VLOOKUP($A16,Bat!$A$4:$BG$1453,G$1,FALSE),VLOOKUP($A16,Pit!$A$4:$BA$570,G$2,FALSE))</f>
        <v>#N/A</v>
      </c>
      <c r="H16" s="11" t="e">
        <f>IF($C16="B",VLOOKUP($A16,Bat!$A$4:$BG$1453,H$1,FALSE),VLOOKUP($A16,Pit!$A$4:$BA$570,H$2,FALSE))</f>
        <v>#N/A</v>
      </c>
      <c r="I16" s="11" t="e">
        <f>IF($C16="B",VLOOKUP($A16,Bat!$A$4:$BG$1453,I$1,FALSE),VLOOKUP($A16,Pit!$A$4:$BA$570,I$2,FALSE))</f>
        <v>#N/A</v>
      </c>
      <c r="J16" s="11" t="e">
        <f>IF($C16="B",VLOOKUP($A16,Bat!$A$4:$BG$1453,J$1,FALSE),VLOOKUP($A16,Pit!$A$4:$BA$570,J$2,FALSE))</f>
        <v>#N/A</v>
      </c>
      <c r="K16" s="12" t="e">
        <f>IF($C16="B",VLOOKUP($A16,Bat!$A$4:$BG$1453,K$1,FALSE),VLOOKUP($A16,Pit!$A$4:$BA$570,K$2,FALSE))</f>
        <v>#N/A</v>
      </c>
      <c r="L16" s="11" t="e">
        <f>IF($C16="B",VLOOKUP($A16,Bat!$A$4:$BG$1453,L$1,FALSE),VLOOKUP($A16,Pit!$A$4:$BA$570,L$2,FALSE))</f>
        <v>#N/A</v>
      </c>
      <c r="M16" s="11" t="e">
        <f>IF($C16="B",VLOOKUP($A16,Bat!$A$4:$BG$1453,M$1,FALSE),VLOOKUP($A16,Pit!$A$4:$BA$570,M$2,FALSE))</f>
        <v>#N/A</v>
      </c>
      <c r="N16" s="11" t="e">
        <f>IF($C16="B",VLOOKUP($A16,Bat!$A$4:$BG$1453,N$1,FALSE),VLOOKUP($A16,Pit!$A$4:$BA$570,N$2,FALSE))</f>
        <v>#N/A</v>
      </c>
      <c r="O16" s="11" t="e">
        <f>IF($C16="B",VLOOKUP($A16,Bat!$A$4:$BG$1453,O$1,FALSE),VLOOKUP($A16,Pit!$A$4:$BA$570,O$2,FALSE))</f>
        <v>#N/A</v>
      </c>
      <c r="P16" s="12" t="e">
        <f>IF($C16="B",VLOOKUP($A16,Bat!$A$4:$BG$1453,P$1,FALSE),VLOOKUP($A16,Pit!$A$4:$BA$570,P$2,FALSE))</f>
        <v>#N/A</v>
      </c>
      <c r="Q16" s="13" t="e">
        <f>IF($C16="B",VLOOKUP($A16,Bat!$A$4:$BG$1453,Q$1,FALSE),VLOOKUP($A16,Pit!$A$4:$BA$570,Q$2,FALSE))</f>
        <v>#N/A</v>
      </c>
      <c r="R16" s="14" t="e">
        <f>IF($C16="B",VLOOKUP($A16,Bat!$A$4:$BG$1453,R$1,FALSE),VLOOKUP($A16,Pit!$A$4:$BA$570,R$2,FALSE))</f>
        <v>#N/A</v>
      </c>
      <c r="S16" s="15" t="e">
        <f>IF($C16="B",VLOOKUP($A16,Bat!$A$4:$BG$1453,S$1,FALSE),VLOOKUP($A16,Pit!$A$4:$BA$570,S$2,FALSE))</f>
        <v>#N/A</v>
      </c>
      <c r="T16" s="12" t="e">
        <f>VLOOKUP(IF($C16="B",VLOOKUP($A16,Bat!$A$4:$AV$1453,T$1,FALSE),VLOOKUP($A16,Pit!$A$4:$BE$570,T$2,FALSE)),COND!$A$35:$B$41,2,FALSE)</f>
        <v>#N/A</v>
      </c>
      <c r="V16" s="16" t="e">
        <f t="shared" si="2"/>
        <v>#N/A</v>
      </c>
      <c r="W16" s="17" t="e">
        <f t="shared" si="3"/>
        <v>#N/A</v>
      </c>
      <c r="X16" s="11" t="str">
        <f>IFERROR(VLOOKUP($D16,Results37!$F$3:$G$1396,X$1,FALSE),"")</f>
        <v/>
      </c>
      <c r="Y16" s="11" t="str">
        <f>IFERROR(VLOOKUP($D16,Results37!$F$3:$G$1396,Y$1,FALSE),"")</f>
        <v/>
      </c>
      <c r="Z16" s="11" t="str">
        <f>IFERROR(VLOOKUP($D16,Results37!$F$3:$G$1396,Z$1,FALSE),"")</f>
        <v/>
      </c>
      <c r="AA16" s="11" t="str">
        <f>IFERROR(VLOOKUP($D16,Results37!$F$3:$G$1396,AA$1,FALSE),"")</f>
        <v/>
      </c>
    </row>
    <row r="17" spans="1:27" s="16" customFormat="1" x14ac:dyDescent="0.25">
      <c r="A17" s="16" t="s">
        <v>287</v>
      </c>
      <c r="B17" s="16">
        <f t="shared" si="0"/>
        <v>1</v>
      </c>
      <c r="C17" s="16" t="str">
        <f t="shared" si="1"/>
        <v>P</v>
      </c>
      <c r="D17" s="12" t="e">
        <f>IF($C17="B",VLOOKUP($A17,Bat!$A$4:$BG$1453,D$1,FALSE),VLOOKUP($A17,Pit!$A$4:$BA$570,D$2,FALSE))</f>
        <v>#N/A</v>
      </c>
      <c r="E17" s="11" t="e">
        <f>IF($C17="B",VLOOKUP($A17,Bat!$A$4:$BG$1453,E$1,FALSE),VLOOKUP($A17,Pit!$A$4:$BA$570,E$2,FALSE))</f>
        <v>#N/A</v>
      </c>
      <c r="F17" s="11" t="e">
        <f>IF($C17="B",VLOOKUP($A17,Bat!$A$4:$BG$1453,F$1,FALSE),VLOOKUP($A17,Pit!$A$4:$BA$570,F$2,FALSE))</f>
        <v>#N/A</v>
      </c>
      <c r="G17" s="11" t="e">
        <f>IF($C17="B",VLOOKUP($A17,Bat!$A$4:$BG$1453,G$1,FALSE),VLOOKUP($A17,Pit!$A$4:$BA$570,G$2,FALSE))</f>
        <v>#N/A</v>
      </c>
      <c r="H17" s="11" t="e">
        <f>IF($C17="B",VLOOKUP($A17,Bat!$A$4:$BG$1453,H$1,FALSE),VLOOKUP($A17,Pit!$A$4:$BA$570,H$2,FALSE))</f>
        <v>#N/A</v>
      </c>
      <c r="I17" s="11" t="e">
        <f>IF($C17="B",VLOOKUP($A17,Bat!$A$4:$BG$1453,I$1,FALSE),VLOOKUP($A17,Pit!$A$4:$BA$570,I$2,FALSE))</f>
        <v>#N/A</v>
      </c>
      <c r="J17" s="11" t="e">
        <f>IF($C17="B",VLOOKUP($A17,Bat!$A$4:$BG$1453,J$1,FALSE),VLOOKUP($A17,Pit!$A$4:$BA$570,J$2,FALSE))</f>
        <v>#N/A</v>
      </c>
      <c r="K17" s="12" t="e">
        <f>IF($C17="B",VLOOKUP($A17,Bat!$A$4:$BG$1453,K$1,FALSE),VLOOKUP($A17,Pit!$A$4:$BA$570,K$2,FALSE))</f>
        <v>#N/A</v>
      </c>
      <c r="L17" s="11" t="e">
        <f>IF($C17="B",VLOOKUP($A17,Bat!$A$4:$BG$1453,L$1,FALSE),VLOOKUP($A17,Pit!$A$4:$BA$570,L$2,FALSE))</f>
        <v>#N/A</v>
      </c>
      <c r="M17" s="11" t="e">
        <f>IF($C17="B",VLOOKUP($A17,Bat!$A$4:$BG$1453,M$1,FALSE),VLOOKUP($A17,Pit!$A$4:$BA$570,M$2,FALSE))</f>
        <v>#N/A</v>
      </c>
      <c r="N17" s="11" t="e">
        <f>IF($C17="B",VLOOKUP($A17,Bat!$A$4:$BG$1453,N$1,FALSE),VLOOKUP($A17,Pit!$A$4:$BA$570,N$2,FALSE))</f>
        <v>#N/A</v>
      </c>
      <c r="O17" s="11" t="e">
        <f>IF($C17="B",VLOOKUP($A17,Bat!$A$4:$BG$1453,O$1,FALSE),VLOOKUP($A17,Pit!$A$4:$BA$570,O$2,FALSE))</f>
        <v>#N/A</v>
      </c>
      <c r="P17" s="12" t="e">
        <f>IF($C17="B",VLOOKUP($A17,Bat!$A$4:$BG$1453,P$1,FALSE),VLOOKUP($A17,Pit!$A$4:$BA$570,P$2,FALSE))</f>
        <v>#N/A</v>
      </c>
      <c r="Q17" s="13" t="e">
        <f>IF($C17="B",VLOOKUP($A17,Bat!$A$4:$BG$1453,Q$1,FALSE),VLOOKUP($A17,Pit!$A$4:$BA$570,Q$2,FALSE))</f>
        <v>#N/A</v>
      </c>
      <c r="R17" s="14" t="e">
        <f>IF($C17="B",VLOOKUP($A17,Bat!$A$4:$BG$1453,R$1,FALSE),VLOOKUP($A17,Pit!$A$4:$BA$570,R$2,FALSE))</f>
        <v>#N/A</v>
      </c>
      <c r="S17" s="15" t="e">
        <f>IF($C17="B",VLOOKUP($A17,Bat!$A$4:$BG$1453,S$1,FALSE),VLOOKUP($A17,Pit!$A$4:$BA$570,S$2,FALSE))</f>
        <v>#N/A</v>
      </c>
      <c r="T17" s="12" t="e">
        <f>VLOOKUP(IF($C17="B",VLOOKUP($A17,Bat!$A$4:$AV$1453,T$1,FALSE),VLOOKUP($A17,Pit!$A$4:$BE$570,T$2,FALSE)),COND!$A$35:$B$41,2,FALSE)</f>
        <v>#N/A</v>
      </c>
      <c r="V17" s="16" t="e">
        <f t="shared" si="2"/>
        <v>#N/A</v>
      </c>
      <c r="W17" s="17" t="e">
        <f t="shared" si="3"/>
        <v>#N/A</v>
      </c>
      <c r="X17" s="11" t="str">
        <f>IFERROR(VLOOKUP($D17,Results37!$F$3:$G$1396,X$1,FALSE),"")</f>
        <v/>
      </c>
      <c r="Y17" s="11" t="str">
        <f>IFERROR(VLOOKUP($D17,Results37!$F$3:$G$1396,Y$1,FALSE),"")</f>
        <v/>
      </c>
      <c r="Z17" s="11" t="str">
        <f>IFERROR(VLOOKUP($D17,Results37!$F$3:$G$1396,Z$1,FALSE),"")</f>
        <v/>
      </c>
      <c r="AA17" s="11" t="str">
        <f>IFERROR(VLOOKUP($D17,Results37!$F$3:$G$1396,AA$1,FALSE),"")</f>
        <v/>
      </c>
    </row>
    <row r="18" spans="1:27" s="16" customFormat="1" x14ac:dyDescent="0.25">
      <c r="A18" s="16" t="s">
        <v>308</v>
      </c>
      <c r="B18" s="16">
        <f t="shared" si="0"/>
        <v>1</v>
      </c>
      <c r="C18" s="16" t="str">
        <f t="shared" si="1"/>
        <v>P</v>
      </c>
      <c r="D18" s="12" t="e">
        <f>IF($C18="B",VLOOKUP($A18,Bat!$A$4:$BG$1453,D$1,FALSE),VLOOKUP($A18,Pit!$A$4:$BA$570,D$2,FALSE))</f>
        <v>#N/A</v>
      </c>
      <c r="E18" s="11" t="e">
        <f>IF($C18="B",VLOOKUP($A18,Bat!$A$4:$BG$1453,E$1,FALSE),VLOOKUP($A18,Pit!$A$4:$BA$570,E$2,FALSE))</f>
        <v>#N/A</v>
      </c>
      <c r="F18" s="11" t="e">
        <f>IF($C18="B",VLOOKUP($A18,Bat!$A$4:$BG$1453,F$1,FALSE),VLOOKUP($A18,Pit!$A$4:$BA$570,F$2,FALSE))</f>
        <v>#N/A</v>
      </c>
      <c r="G18" s="11" t="e">
        <f>IF($C18="B",VLOOKUP($A18,Bat!$A$4:$BG$1453,G$1,FALSE),VLOOKUP($A18,Pit!$A$4:$BA$570,G$2,FALSE))</f>
        <v>#N/A</v>
      </c>
      <c r="H18" s="11" t="e">
        <f>IF($C18="B",VLOOKUP($A18,Bat!$A$4:$BG$1453,H$1,FALSE),VLOOKUP($A18,Pit!$A$4:$BA$570,H$2,FALSE))</f>
        <v>#N/A</v>
      </c>
      <c r="I18" s="11" t="e">
        <f>IF($C18="B",VLOOKUP($A18,Bat!$A$4:$BG$1453,I$1,FALSE),VLOOKUP($A18,Pit!$A$4:$BA$570,I$2,FALSE))</f>
        <v>#N/A</v>
      </c>
      <c r="J18" s="11" t="e">
        <f>IF($C18="B",VLOOKUP($A18,Bat!$A$4:$BG$1453,J$1,FALSE),VLOOKUP($A18,Pit!$A$4:$BA$570,J$2,FALSE))</f>
        <v>#N/A</v>
      </c>
      <c r="K18" s="12" t="e">
        <f>IF($C18="B",VLOOKUP($A18,Bat!$A$4:$BG$1453,K$1,FALSE),VLOOKUP($A18,Pit!$A$4:$BA$570,K$2,FALSE))</f>
        <v>#N/A</v>
      </c>
      <c r="L18" s="11" t="e">
        <f>IF($C18="B",VLOOKUP($A18,Bat!$A$4:$BG$1453,L$1,FALSE),VLOOKUP($A18,Pit!$A$4:$BA$570,L$2,FALSE))</f>
        <v>#N/A</v>
      </c>
      <c r="M18" s="11" t="e">
        <f>IF($C18="B",VLOOKUP($A18,Bat!$A$4:$BG$1453,M$1,FALSE),VLOOKUP($A18,Pit!$A$4:$BA$570,M$2,FALSE))</f>
        <v>#N/A</v>
      </c>
      <c r="N18" s="11" t="e">
        <f>IF($C18="B",VLOOKUP($A18,Bat!$A$4:$BG$1453,N$1,FALSE),VLOOKUP($A18,Pit!$A$4:$BA$570,N$2,FALSE))</f>
        <v>#N/A</v>
      </c>
      <c r="O18" s="11" t="e">
        <f>IF($C18="B",VLOOKUP($A18,Bat!$A$4:$BG$1453,O$1,FALSE),VLOOKUP($A18,Pit!$A$4:$BA$570,O$2,FALSE))</f>
        <v>#N/A</v>
      </c>
      <c r="P18" s="12" t="e">
        <f>IF($C18="B",VLOOKUP($A18,Bat!$A$4:$BG$1453,P$1,FALSE),VLOOKUP($A18,Pit!$A$4:$BA$570,P$2,FALSE))</f>
        <v>#N/A</v>
      </c>
      <c r="Q18" s="13" t="e">
        <f>IF($C18="B",VLOOKUP($A18,Bat!$A$4:$BG$1453,Q$1,FALSE),VLOOKUP($A18,Pit!$A$4:$BA$570,Q$2,FALSE))</f>
        <v>#N/A</v>
      </c>
      <c r="R18" s="14" t="e">
        <f>IF($C18="B",VLOOKUP($A18,Bat!$A$4:$BG$1453,R$1,FALSE),VLOOKUP($A18,Pit!$A$4:$BA$570,R$2,FALSE))</f>
        <v>#N/A</v>
      </c>
      <c r="S18" s="15" t="e">
        <f>IF($C18="B",VLOOKUP($A18,Bat!$A$4:$BG$1453,S$1,FALSE),VLOOKUP($A18,Pit!$A$4:$BA$570,S$2,FALSE))</f>
        <v>#N/A</v>
      </c>
      <c r="T18" s="12" t="e">
        <f>VLOOKUP(IF($C18="B",VLOOKUP($A18,Bat!$A$4:$AV$1453,T$1,FALSE),VLOOKUP($A18,Pit!$A$4:$BE$570,T$2,FALSE)),COND!$A$35:$B$41,2,FALSE)</f>
        <v>#N/A</v>
      </c>
      <c r="V18" s="16" t="e">
        <f t="shared" si="2"/>
        <v>#N/A</v>
      </c>
      <c r="W18" s="17" t="e">
        <f t="shared" si="3"/>
        <v>#N/A</v>
      </c>
      <c r="X18" s="11" t="str">
        <f>IFERROR(VLOOKUP($D18,Results37!$F$3:$G$1396,X$1,FALSE),"")</f>
        <v/>
      </c>
      <c r="Y18" s="11" t="str">
        <f>IFERROR(VLOOKUP($D18,Results37!$F$3:$G$1396,Y$1,FALSE),"")</f>
        <v/>
      </c>
      <c r="Z18" s="11" t="str">
        <f>IFERROR(VLOOKUP($D18,Results37!$F$3:$G$1396,Z$1,FALSE),"")</f>
        <v/>
      </c>
      <c r="AA18" s="11" t="str">
        <f>IFERROR(VLOOKUP($D18,Results37!$F$3:$G$1396,AA$1,FALSE),"")</f>
        <v/>
      </c>
    </row>
    <row r="19" spans="1:27" s="16" customFormat="1" x14ac:dyDescent="0.25">
      <c r="A19" s="16" t="s">
        <v>286</v>
      </c>
      <c r="B19" s="16">
        <f t="shared" si="0"/>
        <v>1</v>
      </c>
      <c r="C19" s="16" t="str">
        <f t="shared" si="1"/>
        <v>P</v>
      </c>
      <c r="D19" s="12" t="e">
        <f>IF($C19="B",VLOOKUP($A19,Bat!$A$4:$BG$1453,D$1,FALSE),VLOOKUP($A19,Pit!$A$4:$BA$570,D$2,FALSE))</f>
        <v>#N/A</v>
      </c>
      <c r="E19" s="11" t="e">
        <f>IF($C19="B",VLOOKUP($A19,Bat!$A$4:$BG$1453,E$1,FALSE),VLOOKUP($A19,Pit!$A$4:$BA$570,E$2,FALSE))</f>
        <v>#N/A</v>
      </c>
      <c r="F19" s="11" t="e">
        <f>IF($C19="B",VLOOKUP($A19,Bat!$A$4:$BG$1453,F$1,FALSE),VLOOKUP($A19,Pit!$A$4:$BA$570,F$2,FALSE))</f>
        <v>#N/A</v>
      </c>
      <c r="G19" s="11" t="e">
        <f>IF($C19="B",VLOOKUP($A19,Bat!$A$4:$BG$1453,G$1,FALSE),VLOOKUP($A19,Pit!$A$4:$BA$570,G$2,FALSE))</f>
        <v>#N/A</v>
      </c>
      <c r="H19" s="11" t="e">
        <f>IF($C19="B",VLOOKUP($A19,Bat!$A$4:$BG$1453,H$1,FALSE),VLOOKUP($A19,Pit!$A$4:$BA$570,H$2,FALSE))</f>
        <v>#N/A</v>
      </c>
      <c r="I19" s="11" t="e">
        <f>IF($C19="B",VLOOKUP($A19,Bat!$A$4:$BG$1453,I$1,FALSE),VLOOKUP($A19,Pit!$A$4:$BA$570,I$2,FALSE))</f>
        <v>#N/A</v>
      </c>
      <c r="J19" s="11" t="e">
        <f>IF($C19="B",VLOOKUP($A19,Bat!$A$4:$BG$1453,J$1,FALSE),VLOOKUP($A19,Pit!$A$4:$BA$570,J$2,FALSE))</f>
        <v>#N/A</v>
      </c>
      <c r="K19" s="12" t="e">
        <f>IF($C19="B",VLOOKUP($A19,Bat!$A$4:$BG$1453,K$1,FALSE),VLOOKUP($A19,Pit!$A$4:$BA$570,K$2,FALSE))</f>
        <v>#N/A</v>
      </c>
      <c r="L19" s="11" t="e">
        <f>IF($C19="B",VLOOKUP($A19,Bat!$A$4:$BG$1453,L$1,FALSE),VLOOKUP($A19,Pit!$A$4:$BA$570,L$2,FALSE))</f>
        <v>#N/A</v>
      </c>
      <c r="M19" s="11" t="e">
        <f>IF($C19="B",VLOOKUP($A19,Bat!$A$4:$BG$1453,M$1,FALSE),VLOOKUP($A19,Pit!$A$4:$BA$570,M$2,FALSE))</f>
        <v>#N/A</v>
      </c>
      <c r="N19" s="11" t="e">
        <f>IF($C19="B",VLOOKUP($A19,Bat!$A$4:$BG$1453,N$1,FALSE),VLOOKUP($A19,Pit!$A$4:$BA$570,N$2,FALSE))</f>
        <v>#N/A</v>
      </c>
      <c r="O19" s="11" t="e">
        <f>IF($C19="B",VLOOKUP($A19,Bat!$A$4:$BG$1453,O$1,FALSE),VLOOKUP($A19,Pit!$A$4:$BA$570,O$2,FALSE))</f>
        <v>#N/A</v>
      </c>
      <c r="P19" s="12" t="e">
        <f>IF($C19="B",VLOOKUP($A19,Bat!$A$4:$BG$1453,P$1,FALSE),VLOOKUP($A19,Pit!$A$4:$BA$570,P$2,FALSE))</f>
        <v>#N/A</v>
      </c>
      <c r="Q19" s="13" t="e">
        <f>IF($C19="B",VLOOKUP($A19,Bat!$A$4:$BG$1453,Q$1,FALSE),VLOOKUP($A19,Pit!$A$4:$BA$570,Q$2,FALSE))</f>
        <v>#N/A</v>
      </c>
      <c r="R19" s="14" t="e">
        <f>IF($C19="B",VLOOKUP($A19,Bat!$A$4:$BG$1453,R$1,FALSE),VLOOKUP($A19,Pit!$A$4:$BA$570,R$2,FALSE))</f>
        <v>#N/A</v>
      </c>
      <c r="S19" s="15" t="e">
        <f>IF($C19="B",VLOOKUP($A19,Bat!$A$4:$BG$1453,S$1,FALSE),VLOOKUP($A19,Pit!$A$4:$BA$570,S$2,FALSE))</f>
        <v>#N/A</v>
      </c>
      <c r="T19" s="12" t="e">
        <f>VLOOKUP(IF($C19="B",VLOOKUP($A19,Bat!$A$4:$AV$1453,T$1,FALSE),VLOOKUP($A19,Pit!$A$4:$BE$570,T$2,FALSE)),COND!$A$35:$B$41,2,FALSE)</f>
        <v>#N/A</v>
      </c>
      <c r="V19" s="16" t="e">
        <f t="shared" si="2"/>
        <v>#N/A</v>
      </c>
      <c r="W19" s="17" t="e">
        <f t="shared" si="3"/>
        <v>#N/A</v>
      </c>
      <c r="X19" s="11" t="str">
        <f>IFERROR(VLOOKUP($D19,Results37!$F$3:$G$1396,X$1,FALSE),"")</f>
        <v/>
      </c>
      <c r="Y19" s="11" t="str">
        <f>IFERROR(VLOOKUP($D19,Results37!$F$3:$G$1396,Y$1,FALSE),"")</f>
        <v/>
      </c>
      <c r="Z19" s="11" t="str">
        <f>IFERROR(VLOOKUP($D19,Results37!$F$3:$G$1396,Z$1,FALSE),"")</f>
        <v/>
      </c>
      <c r="AA19" s="11" t="str">
        <f>IFERROR(VLOOKUP($D19,Results37!$F$3:$G$1396,AA$1,FALSE),"")</f>
        <v/>
      </c>
    </row>
    <row r="20" spans="1:27" s="16" customFormat="1" x14ac:dyDescent="0.25">
      <c r="B20" s="16">
        <f>COUNTIF($A$5:$A$20,A20)</f>
        <v>0</v>
      </c>
      <c r="C20" s="16" t="str">
        <f>IF(OR(MID(A20,1,2)="SP",MID(A20,1,2)="MR",MID(A20,1,2)="CL",MID(A20,1,2)="RP"),"P","B")</f>
        <v>B</v>
      </c>
      <c r="D20" s="12" t="e">
        <f>IF($C20="B",VLOOKUP($A20,Bat!$A$4:$BG$1453,D$1,FALSE),VLOOKUP($A20,Pit!$A$4:$BA$570,D$2,FALSE))</f>
        <v>#N/A</v>
      </c>
      <c r="E20" s="11" t="e">
        <f>IF($C20="B",VLOOKUP($A20,Bat!$A$4:$BG$1453,E$1,FALSE),VLOOKUP($A20,Pit!$A$4:$BA$570,E$2,FALSE))</f>
        <v>#N/A</v>
      </c>
      <c r="F20" s="11" t="e">
        <f>IF($C20="B",VLOOKUP($A20,Bat!$A$4:$BG$1453,F$1,FALSE),VLOOKUP($A20,Pit!$A$4:$BA$570,F$2,FALSE))</f>
        <v>#N/A</v>
      </c>
      <c r="G20" s="11" t="e">
        <f>IF($C20="B",VLOOKUP($A20,Bat!$A$4:$BG$1453,G$1,FALSE),VLOOKUP($A20,Pit!$A$4:$BA$570,G$2,FALSE))</f>
        <v>#N/A</v>
      </c>
      <c r="H20" s="11" t="e">
        <f>IF($C20="B",VLOOKUP($A20,Bat!$A$4:$BG$1453,H$1,FALSE),VLOOKUP($A20,Pit!$A$4:$BA$570,H$2,FALSE))</f>
        <v>#N/A</v>
      </c>
      <c r="I20" s="11" t="e">
        <f>IF($C20="B",VLOOKUP($A20,Bat!$A$4:$BG$1453,I$1,FALSE),VLOOKUP($A20,Pit!$A$4:$BA$570,I$2,FALSE))</f>
        <v>#N/A</v>
      </c>
      <c r="J20" s="11" t="e">
        <f>IF($C20="B",VLOOKUP($A20,Bat!$A$4:$BG$1453,J$1,FALSE),VLOOKUP($A20,Pit!$A$4:$BA$570,J$2,FALSE))</f>
        <v>#N/A</v>
      </c>
      <c r="K20" s="12" t="e">
        <f>IF($C20="B",VLOOKUP($A20,Bat!$A$4:$BG$1453,K$1,FALSE),VLOOKUP($A20,Pit!$A$4:$BA$570,K$2,FALSE))</f>
        <v>#N/A</v>
      </c>
      <c r="L20" s="11" t="e">
        <f>IF($C20="B",VLOOKUP($A20,Bat!$A$4:$BG$1453,L$1,FALSE),VLOOKUP($A20,Pit!$A$4:$BA$570,L$2,FALSE))</f>
        <v>#N/A</v>
      </c>
      <c r="M20" s="11" t="e">
        <f>IF($C20="B",VLOOKUP($A20,Bat!$A$4:$BG$1453,M$1,FALSE),VLOOKUP($A20,Pit!$A$4:$BA$570,M$2,FALSE))</f>
        <v>#N/A</v>
      </c>
      <c r="N20" s="11" t="e">
        <f>IF($C20="B",VLOOKUP($A20,Bat!$A$4:$BG$1453,N$1,FALSE),VLOOKUP($A20,Pit!$A$4:$BA$570,N$2,FALSE))</f>
        <v>#N/A</v>
      </c>
      <c r="O20" s="11" t="e">
        <f>IF($C20="B",VLOOKUP($A20,Bat!$A$4:$BG$1453,O$1,FALSE),VLOOKUP($A20,Pit!$A$4:$BA$570,O$2,FALSE))</f>
        <v>#N/A</v>
      </c>
      <c r="P20" s="12" t="e">
        <f>IF($C20="B",VLOOKUP($A20,Bat!$A$4:$BG$1453,P$1,FALSE),VLOOKUP($A20,Pit!$A$4:$BA$570,P$2,FALSE))</f>
        <v>#N/A</v>
      </c>
      <c r="Q20" s="13" t="e">
        <f>IF($C20="B",VLOOKUP($A20,Bat!$A$4:$BG$1453,Q$1,FALSE),VLOOKUP($A20,Pit!$A$4:$BA$570,Q$2,FALSE))</f>
        <v>#N/A</v>
      </c>
      <c r="R20" s="14" t="e">
        <f>IF($C20="B",VLOOKUP($A20,Bat!$A$4:$BG$1453,R$1,FALSE),VLOOKUP($A20,Pit!$A$4:$BA$570,R$2,FALSE))</f>
        <v>#N/A</v>
      </c>
      <c r="S20" s="15" t="e">
        <f>IF($C20="B",VLOOKUP($A20,Bat!$A$4:$BG$1453,S$1,FALSE),VLOOKUP($A20,Pit!$A$4:$BA$570,S$2,FALSE))</f>
        <v>#N/A</v>
      </c>
      <c r="T20" s="12" t="e">
        <f>VLOOKUP(IF($C20="B",VLOOKUP($A20,Bat!$A$4:$AV$1453,T$1,FALSE),VLOOKUP($A20,Pit!$A$4:$BE$570,T$2,FALSE)),COND!$A$35:$B$41,2,FALSE)</f>
        <v>#N/A</v>
      </c>
      <c r="V20" s="16" t="e">
        <f>IF(OR(U20=999,AND(S20&gt;$S$3,S20&lt;&gt;"Slot")),"",U20)</f>
        <v>#N/A</v>
      </c>
      <c r="W20" s="17" t="e">
        <f>RANK(R20,$R$5:$R$891)</f>
        <v>#N/A</v>
      </c>
      <c r="X20" s="11" t="str">
        <f>IFERROR(VLOOKUP($D20,Results37!$F$3:$G$1396,X$1,FALSE),"")</f>
        <v/>
      </c>
      <c r="Y20" s="11" t="str">
        <f>IFERROR(VLOOKUP($D20,Results37!$F$3:$G$1396,Y$1,FALSE),"")</f>
        <v/>
      </c>
      <c r="Z20" s="11" t="str">
        <f>IFERROR(VLOOKUP($D20,Results37!$F$3:$G$1396,Z$1,FALSE),"")</f>
        <v/>
      </c>
      <c r="AA20" s="11" t="str">
        <f>IFERROR(VLOOKUP($D20,Results37!$F$3:$G$1396,AA$1,FALSE),"")</f>
        <v/>
      </c>
    </row>
  </sheetData>
  <autoFilter ref="A4:AE20" xr:uid="{00000000-0009-0000-0000-000005000000}"/>
  <sortState xmlns:xlrd2="http://schemas.microsoft.com/office/spreadsheetml/2017/richdata2" ref="A5:AE19">
    <sortCondition ref="X5:X19"/>
  </sortState>
  <conditionalFormatting sqref="A5:XFD20">
    <cfRule type="expression" dxfId="13" priority="2">
      <formula>IF($C5="B",1,0)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workbookViewId="0">
      <selection activeCell="F32" sqref="F32"/>
    </sheetView>
  </sheetViews>
  <sheetFormatPr defaultRowHeight="15" x14ac:dyDescent="0.25"/>
  <cols>
    <col min="1" max="1" width="29.28515625" bestFit="1" customWidth="1"/>
    <col min="2" max="2" width="17" bestFit="1" customWidth="1"/>
    <col min="3" max="3" width="15.85546875" bestFit="1" customWidth="1"/>
    <col min="4" max="4" width="9.28515625" bestFit="1" customWidth="1"/>
    <col min="5" max="5" width="11.7109375" bestFit="1" customWidth="1"/>
    <col min="6" max="6" width="12.5703125" bestFit="1" customWidth="1"/>
    <col min="7" max="7" width="12.42578125" bestFit="1" customWidth="1"/>
    <col min="8" max="8" width="6.42578125" bestFit="1" customWidth="1"/>
  </cols>
  <sheetData>
    <row r="1" spans="1:9" x14ac:dyDescent="0.25">
      <c r="I1" s="25" t="str">
        <f>"Team"&amp;REPT(" ",Table1[[#Totals],[Len]]+2)&amp;"Dft  Elg  Sgn  UnS         Total           Avg"</f>
        <v>Team                                Dft  Elg  Sgn  UnS         Total           Avg</v>
      </c>
    </row>
    <row r="2" spans="1:9" s="1" customFormat="1" ht="15.75" x14ac:dyDescent="0.3">
      <c r="A2" s="1" t="s">
        <v>234</v>
      </c>
      <c r="B2" s="1" t="s">
        <v>269</v>
      </c>
      <c r="C2" s="1" t="s">
        <v>270</v>
      </c>
      <c r="D2" s="1" t="s">
        <v>271</v>
      </c>
      <c r="E2" s="1" t="s">
        <v>272</v>
      </c>
      <c r="F2" s="1" t="s">
        <v>274</v>
      </c>
      <c r="G2" s="1" t="s">
        <v>273</v>
      </c>
      <c r="H2" s="1" t="s">
        <v>276</v>
      </c>
      <c r="I2" s="23" t="s">
        <v>277</v>
      </c>
    </row>
    <row r="3" spans="1:9" x14ac:dyDescent="0.25">
      <c r="A3" t="s">
        <v>248</v>
      </c>
      <c r="B3">
        <f>COUNTIF('Draft List'!$AB$5:$AB$1234,$A3)</f>
        <v>0</v>
      </c>
      <c r="C3">
        <f>SUMPRODUCT(('Draft List'!$AB$5:$AB$1234=$A3)*('Draft List'!$Z$5:$Z$1234&lt;6))+SUMPRODUCT(('Draft List'!$AB$5:$AB$1234=$A3)*('Draft List'!$Z$5:$Z$1234="S1"))+SUMPRODUCT(('Draft List'!$AB$5:$AB$1234=$A3)*('Draft List'!$Z$5:$Z$1234&lt;&gt;"S1")*('Draft List'!$Z$5:$Z$1234&gt;5)*('Draft List'!$AD$5:$AD$1234&gt;0)*('Draft List'!$AD$5:$AD$1234&lt;100000000))</f>
        <v>0</v>
      </c>
      <c r="D3">
        <f>SUMPRODUCT(('Draft List'!$AB$5:$AB$1234=$A3)*('Draft List'!$AD$5:$AD$1234&gt;0)*('Draft List'!$AD$5:$AD$1234&lt;1000000000))</f>
        <v>0</v>
      </c>
      <c r="E3">
        <f t="shared" ref="E3:E28" si="0">C3-D3</f>
        <v>0</v>
      </c>
      <c r="F3" s="6">
        <f>SUMIF('Draft List'!$AB$5:$AB$1234,$A3,'Draft List'!$AD$5:$AD$1234)</f>
        <v>0</v>
      </c>
      <c r="G3" s="21">
        <f t="shared" ref="G3:G28" si="1">IF(D3&gt;0,F3/D3,0)</f>
        <v>0</v>
      </c>
      <c r="H3" s="20">
        <f>LEN(Table1[[#This Row],[Team]])</f>
        <v>20</v>
      </c>
      <c r="I3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Florida Featherheads              0    0    0    0        $0,000        $0,000</v>
      </c>
    </row>
    <row r="4" spans="1:9" x14ac:dyDescent="0.25">
      <c r="A4" t="s">
        <v>251</v>
      </c>
      <c r="B4">
        <f>COUNTIF('Draft List'!$AB$5:$AB$1234,$A4)</f>
        <v>0</v>
      </c>
      <c r="C4">
        <f>SUMPRODUCT(('Draft List'!$AB$5:$AB$1234=$A4)*('Draft List'!$Z$5:$Z$1234&lt;6))+SUMPRODUCT(('Draft List'!$AB$5:$AB$1234=$A4)*('Draft List'!$Z$5:$Z$1234="S1"))+SUMPRODUCT(('Draft List'!$AB$5:$AB$1234=$A4)*('Draft List'!$Z$5:$Z$1234&lt;&gt;"S1")*('Draft List'!$Z$5:$Z$1234&gt;5)*('Draft List'!$AD$5:$AD$1234&gt;0)*('Draft List'!$AD$5:$AD$1234&lt;100000000))</f>
        <v>0</v>
      </c>
      <c r="D4">
        <f>SUMPRODUCT(('Draft List'!$AB$5:$AB$1234=$A4)*('Draft List'!$AD$5:$AD$1234&gt;0)*('Draft List'!$AD$5:$AD$1234&lt;1000000000))</f>
        <v>0</v>
      </c>
      <c r="E4">
        <f t="shared" si="0"/>
        <v>0</v>
      </c>
      <c r="F4" s="6">
        <f>SUMIF('Draft List'!$AB$5:$AB$1234,$A4,'Draft List'!$AD$5:$AD$1234)</f>
        <v>0</v>
      </c>
      <c r="G4" s="21">
        <f t="shared" si="1"/>
        <v>0</v>
      </c>
      <c r="H4" s="20">
        <f>LEN(Table1[[#This Row],[Team]])</f>
        <v>18</v>
      </c>
      <c r="I4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London Underground                0    0    0    0        $0,000        $0,000</v>
      </c>
    </row>
    <row r="5" spans="1:9" x14ac:dyDescent="0.25">
      <c r="A5" t="s">
        <v>258</v>
      </c>
      <c r="B5">
        <f>COUNTIF('Draft List'!$AB$5:$AB$1234,$A5)</f>
        <v>0</v>
      </c>
      <c r="C5">
        <f>SUMPRODUCT(('Draft List'!$AB$5:$AB$1234=$A5)*('Draft List'!$Z$5:$Z$1234&lt;6))+SUMPRODUCT(('Draft List'!$AB$5:$AB$1234=$A5)*('Draft List'!$Z$5:$Z$1234="S1"))+SUMPRODUCT(('Draft List'!$AB$5:$AB$1234=$A5)*('Draft List'!$Z$5:$Z$1234&lt;&gt;"S1")*('Draft List'!$Z$5:$Z$1234&gt;5)*('Draft List'!$AD$5:$AD$1234&gt;0)*('Draft List'!$AD$5:$AD$1234&lt;100000000))</f>
        <v>0</v>
      </c>
      <c r="D5">
        <f>SUMPRODUCT(('Draft List'!$AB$5:$AB$1234=$A5)*('Draft List'!$AD$5:$AD$1234&gt;0)*('Draft List'!$AD$5:$AD$1234&lt;1000000000))</f>
        <v>0</v>
      </c>
      <c r="E5">
        <f t="shared" si="0"/>
        <v>0</v>
      </c>
      <c r="F5" s="6">
        <f>SUMIF('Draft List'!$AB$5:$AB$1234,$A5,'Draft List'!$AD$5:$AD$1234)</f>
        <v>0</v>
      </c>
      <c r="G5" s="21">
        <f t="shared" si="1"/>
        <v>0</v>
      </c>
      <c r="H5" s="20">
        <f>LEN(Table1[[#This Row],[Team]])</f>
        <v>15</v>
      </c>
      <c r="I5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Fargo Dinosaurs                   0    0    0    0        $0,000        $0,000</v>
      </c>
    </row>
    <row r="6" spans="1:9" x14ac:dyDescent="0.25">
      <c r="A6" t="s">
        <v>483</v>
      </c>
      <c r="B6">
        <f>COUNTIF('Draft List'!$AB$5:$AB$1234,$A6)</f>
        <v>0</v>
      </c>
      <c r="C6">
        <f>SUMPRODUCT(('Draft List'!$AB$5:$AB$1234=$A6)*('Draft List'!$Z$5:$Z$1234&lt;6))+SUMPRODUCT(('Draft List'!$AB$5:$AB$1234=$A6)*('Draft List'!$Z$5:$Z$1234="S1"))+SUMPRODUCT(('Draft List'!$AB$5:$AB$1234=$A6)*('Draft List'!$Z$5:$Z$1234&lt;&gt;"S1")*('Draft List'!$Z$5:$Z$1234&gt;5)*('Draft List'!$AD$5:$AD$1234&gt;0)*('Draft List'!$AD$5:$AD$1234&lt;100000000))</f>
        <v>0</v>
      </c>
      <c r="D6">
        <f>SUMPRODUCT(('Draft List'!$AB$5:$AB$1234=$A6)*('Draft List'!$AD$5:$AD$1234&gt;0)*('Draft List'!$AD$5:$AD$1234&lt;1000000000))</f>
        <v>0</v>
      </c>
      <c r="E6">
        <f t="shared" si="0"/>
        <v>0</v>
      </c>
      <c r="F6" s="6">
        <f>SUMIF('Draft List'!$AB$5:$AB$1234,$A6,'Draft List'!$AD$5:$AD$1234)</f>
        <v>0</v>
      </c>
      <c r="G6" s="21">
        <f t="shared" si="1"/>
        <v>0</v>
      </c>
      <c r="H6" s="20">
        <f>LEN(Table1[[#This Row],[Team]])</f>
        <v>15</v>
      </c>
      <c r="I6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Amsterdam Lions                   0    0    0    0        $0,000        $0,000</v>
      </c>
    </row>
    <row r="7" spans="1:9" x14ac:dyDescent="0.25">
      <c r="A7" t="s">
        <v>242</v>
      </c>
      <c r="B7">
        <f>COUNTIF('Draft List'!$AB$5:$AB$1234,$A7)</f>
        <v>0</v>
      </c>
      <c r="C7">
        <f>SUMPRODUCT(('Draft List'!$AB$5:$AB$1234=$A7)*('Draft List'!$Z$5:$Z$1234&lt;6))+SUMPRODUCT(('Draft List'!$AB$5:$AB$1234=$A7)*('Draft List'!$Z$5:$Z$1234="S1"))+SUMPRODUCT(('Draft List'!$AB$5:$AB$1234=$A7)*('Draft List'!$Z$5:$Z$1234&lt;&gt;"S1")*('Draft List'!$Z$5:$Z$1234&gt;5)*('Draft List'!$AD$5:$AD$1234&gt;0)*('Draft List'!$AD$5:$AD$1234&lt;100000000))</f>
        <v>0</v>
      </c>
      <c r="D7">
        <f>SUMPRODUCT(('Draft List'!$AB$5:$AB$1234=$A7)*('Draft List'!$AD$5:$AD$1234&gt;0)*('Draft List'!$AD$5:$AD$1234&lt;1000000000))</f>
        <v>0</v>
      </c>
      <c r="E7">
        <f t="shared" si="0"/>
        <v>0</v>
      </c>
      <c r="F7" s="6">
        <f>SUMIF('Draft List'!$AB$5:$AB$1234,$A7,'Draft List'!$AD$5:$AD$1234)</f>
        <v>0</v>
      </c>
      <c r="G7" s="21">
        <f t="shared" si="1"/>
        <v>0</v>
      </c>
      <c r="H7" s="20">
        <f>LEN(Table1[[#This Row],[Team]])</f>
        <v>15</v>
      </c>
      <c r="I7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Yuma Bulldozers                   0    0    0    0        $0,000        $0,000</v>
      </c>
    </row>
    <row r="8" spans="1:9" x14ac:dyDescent="0.25">
      <c r="A8" t="s">
        <v>257</v>
      </c>
      <c r="B8">
        <f>COUNTIF('Draft List'!$AB$5:$AB$1234,$A8)</f>
        <v>0</v>
      </c>
      <c r="C8">
        <f>SUMPRODUCT(('Draft List'!$AB$5:$AB$1234=$A8)*('Draft List'!$Z$5:$Z$1234&lt;6))+SUMPRODUCT(('Draft List'!$AB$5:$AB$1234=$A8)*('Draft List'!$Z$5:$Z$1234="S1"))+SUMPRODUCT(('Draft List'!$AB$5:$AB$1234=$A8)*('Draft List'!$Z$5:$Z$1234&lt;&gt;"S1")*('Draft List'!$Z$5:$Z$1234&gt;5)*('Draft List'!$AD$5:$AD$1234&gt;0)*('Draft List'!$AD$5:$AD$1234&lt;100000000))</f>
        <v>0</v>
      </c>
      <c r="D8">
        <f>SUMPRODUCT(('Draft List'!$AB$5:$AB$1234=$A8)*('Draft List'!$AD$5:$AD$1234&gt;0)*('Draft List'!$AD$5:$AD$1234&lt;1000000000))</f>
        <v>0</v>
      </c>
      <c r="E8">
        <f t="shared" si="0"/>
        <v>0</v>
      </c>
      <c r="F8" s="6">
        <f>SUMIF('Draft List'!$AB$5:$AB$1234,$A8,'Draft List'!$AD$5:$AD$1234)</f>
        <v>0</v>
      </c>
      <c r="G8" s="21">
        <f t="shared" si="1"/>
        <v>0</v>
      </c>
      <c r="H8" s="20">
        <f>LEN(Table1[[#This Row],[Team]])</f>
        <v>24</v>
      </c>
      <c r="I8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New Orleans Trendsetters          0    0    0    0        $0,000        $0,000</v>
      </c>
    </row>
    <row r="9" spans="1:9" x14ac:dyDescent="0.25">
      <c r="A9" t="s">
        <v>485</v>
      </c>
      <c r="B9">
        <f>COUNTIF('Draft List'!$AB$5:$AB$1234,$A9)</f>
        <v>0</v>
      </c>
      <c r="C9">
        <f>SUMPRODUCT(('Draft List'!$AB$5:$AB$1234=$A9)*('Draft List'!$Z$5:$Z$1234&lt;6))+SUMPRODUCT(('Draft List'!$AB$5:$AB$1234=$A9)*('Draft List'!$Z$5:$Z$1234="S1"))+SUMPRODUCT(('Draft List'!$AB$5:$AB$1234=$A9)*('Draft List'!$Z$5:$Z$1234&lt;&gt;"S1")*('Draft List'!$Z$5:$Z$1234&gt;5)*('Draft List'!$AD$5:$AD$1234&gt;0)*('Draft List'!$AD$5:$AD$1234&lt;100000000))</f>
        <v>0</v>
      </c>
      <c r="D9">
        <f>SUMPRODUCT(('Draft List'!$AB$5:$AB$1234=$A9)*('Draft List'!$AD$5:$AD$1234&gt;0)*('Draft List'!$AD$5:$AD$1234&lt;1000000000))</f>
        <v>0</v>
      </c>
      <c r="E9">
        <f t="shared" si="0"/>
        <v>0</v>
      </c>
      <c r="F9" s="6">
        <f>SUMIF('Draft List'!$AB$5:$AB$1234,$A9,'Draft List'!$AD$5:$AD$1234)</f>
        <v>0</v>
      </c>
      <c r="G9" s="21">
        <f t="shared" si="1"/>
        <v>0</v>
      </c>
      <c r="H9" s="20">
        <f>LEN(Table1[[#This Row],[Team]])</f>
        <v>19</v>
      </c>
      <c r="I9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Toyama Wind Dancers               0    0    0    0        $0,000        $0,000</v>
      </c>
    </row>
    <row r="10" spans="1:9" x14ac:dyDescent="0.25">
      <c r="A10" t="s">
        <v>250</v>
      </c>
      <c r="B10">
        <f>COUNTIF('Draft List'!$AB$5:$AB$1234,$A10)</f>
        <v>0</v>
      </c>
      <c r="C10">
        <f>SUMPRODUCT(('Draft List'!$AB$5:$AB$1234=$A10)*('Draft List'!$Z$5:$Z$1234&lt;6))+SUMPRODUCT(('Draft List'!$AB$5:$AB$1234=$A10)*('Draft List'!$Z$5:$Z$1234="S1"))+SUMPRODUCT(('Draft List'!$AB$5:$AB$1234=$A10)*('Draft List'!$Z$5:$Z$1234&lt;&gt;"S1")*('Draft List'!$Z$5:$Z$1234&gt;5)*('Draft List'!$AD$5:$AD$1234&gt;0)*('Draft List'!$AD$5:$AD$1234&lt;100000000))</f>
        <v>0</v>
      </c>
      <c r="D10">
        <f>SUMPRODUCT(('Draft List'!$AB$5:$AB$1234=$A10)*('Draft List'!$AD$5:$AD$1234&gt;0)*('Draft List'!$AD$5:$AD$1234&lt;1000000000))</f>
        <v>0</v>
      </c>
      <c r="E10">
        <f t="shared" si="0"/>
        <v>0</v>
      </c>
      <c r="F10" s="6">
        <f>SUMIF('Draft List'!$AB$5:$AB$1234,$A10,'Draft List'!$AD$5:$AD$1234)</f>
        <v>0</v>
      </c>
      <c r="G10" s="21">
        <f t="shared" si="1"/>
        <v>0</v>
      </c>
      <c r="H10" s="20">
        <f>LEN(Table1[[#This Row],[Team]])</f>
        <v>22</v>
      </c>
      <c r="I10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Kentucky Thoroughbreds            0    0    0    0        $0,000        $0,000</v>
      </c>
    </row>
    <row r="11" spans="1:9" x14ac:dyDescent="0.25">
      <c r="A11" t="s">
        <v>247</v>
      </c>
      <c r="B11">
        <f>COUNTIF('Draft List'!$AB$5:$AB$1234,$A11)</f>
        <v>0</v>
      </c>
      <c r="C11">
        <f>SUMPRODUCT(('Draft List'!$AB$5:$AB$1234=$A11)*('Draft List'!$Z$5:$Z$1234&lt;6))+SUMPRODUCT(('Draft List'!$AB$5:$AB$1234=$A11)*('Draft List'!$Z$5:$Z$1234="S1"))+SUMPRODUCT(('Draft List'!$AB$5:$AB$1234=$A11)*('Draft List'!$Z$5:$Z$1234&lt;&gt;"S1")*('Draft List'!$Z$5:$Z$1234&gt;5)*('Draft List'!$AD$5:$AD$1234&gt;0)*('Draft List'!$AD$5:$AD$1234&lt;100000000))</f>
        <v>0</v>
      </c>
      <c r="D11">
        <f>SUMPRODUCT(('Draft List'!$AB$5:$AB$1234=$A11)*('Draft List'!$AD$5:$AD$1234&gt;0)*('Draft List'!$AD$5:$AD$1234&lt;1000000000))</f>
        <v>0</v>
      </c>
      <c r="E11">
        <f t="shared" si="0"/>
        <v>0</v>
      </c>
      <c r="F11" s="6">
        <f>SUMIF('Draft List'!$AB$5:$AB$1234,$A11,'Draft List'!$AD$5:$AD$1234)</f>
        <v>0</v>
      </c>
      <c r="G11" s="21">
        <f t="shared" si="1"/>
        <v>0</v>
      </c>
      <c r="H11" s="20">
        <f>LEN(Table1[[#This Row],[Team]])</f>
        <v>17</v>
      </c>
      <c r="I11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Kalamazoo Badgers                 0    0    0    0        $0,000        $0,000</v>
      </c>
    </row>
    <row r="12" spans="1:9" x14ac:dyDescent="0.25">
      <c r="A12" t="s">
        <v>486</v>
      </c>
      <c r="B12">
        <f>COUNTIF('Draft List'!$AB$5:$AB$1234,$A12)</f>
        <v>0</v>
      </c>
      <c r="C12">
        <f>SUMPRODUCT(('Draft List'!$AB$5:$AB$1234=$A12)*('Draft List'!$Z$5:$Z$1234&lt;6))+SUMPRODUCT(('Draft List'!$AB$5:$AB$1234=$A12)*('Draft List'!$Z$5:$Z$1234="S1"))+SUMPRODUCT(('Draft List'!$AB$5:$AB$1234=$A12)*('Draft List'!$Z$5:$Z$1234&lt;&gt;"S1")*('Draft List'!$Z$5:$Z$1234&gt;5)*('Draft List'!$AD$5:$AD$1234&gt;0)*('Draft List'!$AD$5:$AD$1234&lt;100000000))</f>
        <v>0</v>
      </c>
      <c r="D12">
        <f>SUMPRODUCT(('Draft List'!$AB$5:$AB$1234=$A12)*('Draft List'!$AD$5:$AD$1234&gt;0)*('Draft List'!$AD$5:$AD$1234&lt;1000000000))</f>
        <v>0</v>
      </c>
      <c r="E12">
        <f t="shared" si="0"/>
        <v>0</v>
      </c>
      <c r="F12" s="6">
        <f>SUMIF('Draft List'!$AB$5:$AB$1234,$A12,'Draft List'!$AD$5:$AD$1234)</f>
        <v>0</v>
      </c>
      <c r="G12" s="21">
        <f t="shared" si="1"/>
        <v>0</v>
      </c>
      <c r="H12" s="20">
        <f>LEN(Table1[[#This Row],[Team]])</f>
        <v>15</v>
      </c>
      <c r="I12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Neo-Tokyo Akira                   0    0    0    0        $0,000        $0,000</v>
      </c>
    </row>
    <row r="13" spans="1:9" x14ac:dyDescent="0.25">
      <c r="A13" t="s">
        <v>252</v>
      </c>
      <c r="B13">
        <f>COUNTIF('Draft List'!$AB$5:$AB$1234,$A13)</f>
        <v>0</v>
      </c>
      <c r="C13">
        <f>SUMPRODUCT(('Draft List'!$AB$5:$AB$1234=$A13)*('Draft List'!$Z$5:$Z$1234&lt;6))+SUMPRODUCT(('Draft List'!$AB$5:$AB$1234=$A13)*('Draft List'!$Z$5:$Z$1234="S1"))+SUMPRODUCT(('Draft List'!$AB$5:$AB$1234=$A13)*('Draft List'!$Z$5:$Z$1234&lt;&gt;"S1")*('Draft List'!$Z$5:$Z$1234&gt;5)*('Draft List'!$AD$5:$AD$1234&gt;0)*('Draft List'!$AD$5:$AD$1234&lt;100000000))</f>
        <v>0</v>
      </c>
      <c r="D13">
        <f>SUMPRODUCT(('Draft List'!$AB$5:$AB$1234=$A13)*('Draft List'!$AD$5:$AD$1234&gt;0)*('Draft List'!$AD$5:$AD$1234&lt;1000000000))</f>
        <v>0</v>
      </c>
      <c r="E13">
        <f t="shared" si="0"/>
        <v>0</v>
      </c>
      <c r="F13" s="6">
        <f>SUMIF('Draft List'!$AB$5:$AB$1234,$A13,'Draft List'!$AD$5:$AD$1234)</f>
        <v>0</v>
      </c>
      <c r="G13" s="21">
        <f t="shared" si="1"/>
        <v>0</v>
      </c>
      <c r="H13" s="20">
        <f>LEN(Table1[[#This Row],[Team]])</f>
        <v>21</v>
      </c>
      <c r="I13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Arlington Bureaucrats             0    0    0    0        $0,000        $0,000</v>
      </c>
    </row>
    <row r="14" spans="1:9" x14ac:dyDescent="0.25">
      <c r="A14" t="s">
        <v>488</v>
      </c>
      <c r="B14">
        <f>COUNTIF('Draft List'!$AB$5:$AB$1234,$A14)</f>
        <v>0</v>
      </c>
      <c r="C14">
        <f>SUMPRODUCT(('Draft List'!$AB$5:$AB$1234=$A14)*('Draft List'!$Z$5:$Z$1234&lt;6))+SUMPRODUCT(('Draft List'!$AB$5:$AB$1234=$A14)*('Draft List'!$Z$5:$Z$1234="S1"))+SUMPRODUCT(('Draft List'!$AB$5:$AB$1234=$A14)*('Draft List'!$Z$5:$Z$1234&lt;&gt;"S1")*('Draft List'!$Z$5:$Z$1234&gt;5)*('Draft List'!$AD$5:$AD$1234&gt;0)*('Draft List'!$AD$5:$AD$1234&lt;100000000))</f>
        <v>0</v>
      </c>
      <c r="D14">
        <f>SUMPRODUCT(('Draft List'!$AB$5:$AB$1234=$A14)*('Draft List'!$AD$5:$AD$1234&gt;0)*('Draft List'!$AD$5:$AD$1234&lt;1000000000))</f>
        <v>0</v>
      </c>
      <c r="E14">
        <f t="shared" si="0"/>
        <v>0</v>
      </c>
      <c r="F14" s="6">
        <f>SUMIF('Draft List'!$AB$5:$AB$1234,$A14,'Draft List'!$AD$5:$AD$1234)</f>
        <v>0</v>
      </c>
      <c r="G14" s="21">
        <f t="shared" si="1"/>
        <v>0</v>
      </c>
      <c r="H14" s="20">
        <f>LEN(Table1[[#This Row],[Team]])</f>
        <v>15</v>
      </c>
      <c r="I14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Shin Seiki Evas                   0    0    0    0        $0,000        $0,000</v>
      </c>
    </row>
    <row r="15" spans="1:9" x14ac:dyDescent="0.25">
      <c r="A15" t="s">
        <v>482</v>
      </c>
      <c r="B15">
        <f>COUNTIF('Draft List'!$AB$5:$AB$1234,$A15)</f>
        <v>0</v>
      </c>
      <c r="C15">
        <f>SUMPRODUCT(('Draft List'!$AB$5:$AB$1234=$A15)*('Draft List'!$Z$5:$Z$1234&lt;6))+SUMPRODUCT(('Draft List'!$AB$5:$AB$1234=$A15)*('Draft List'!$Z$5:$Z$1234="S1"))+SUMPRODUCT(('Draft List'!$AB$5:$AB$1234=$A15)*('Draft List'!$Z$5:$Z$1234&lt;&gt;"S1")*('Draft List'!$Z$5:$Z$1234&gt;5)*('Draft List'!$AD$5:$AD$1234&gt;0)*('Draft List'!$AD$5:$AD$1234&lt;100000000))</f>
        <v>0</v>
      </c>
      <c r="D15">
        <f>SUMPRODUCT(('Draft List'!$AB$5:$AB$1234=$A15)*('Draft List'!$AD$5:$AD$1234&gt;0)*('Draft List'!$AD$5:$AD$1234&lt;1000000000))</f>
        <v>0</v>
      </c>
      <c r="E15">
        <f t="shared" si="0"/>
        <v>0</v>
      </c>
      <c r="F15" s="6">
        <f>SUMIF('Draft List'!$AB$5:$AB$1234,$A15,'Draft List'!$AD$5:$AD$1234)</f>
        <v>0</v>
      </c>
      <c r="G15" s="21">
        <f t="shared" si="1"/>
        <v>0</v>
      </c>
      <c r="H15" s="20">
        <f>LEN(Table1[[#This Row],[Team]])</f>
        <v>14</v>
      </c>
      <c r="I15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Juan Coqui                    0    0    0    0        $0,000        $0,000</v>
      </c>
    </row>
    <row r="16" spans="1:9" x14ac:dyDescent="0.25">
      <c r="A16" t="s">
        <v>243</v>
      </c>
      <c r="B16">
        <f>COUNTIF('Draft List'!$AB$5:$AB$1234,$A16)</f>
        <v>0</v>
      </c>
      <c r="C16">
        <f>SUMPRODUCT(('Draft List'!$AB$5:$AB$1234=$A16)*('Draft List'!$Z$5:$Z$1234&lt;6))+SUMPRODUCT(('Draft List'!$AB$5:$AB$1234=$A16)*('Draft List'!$Z$5:$Z$1234="S1"))+SUMPRODUCT(('Draft List'!$AB$5:$AB$1234=$A16)*('Draft List'!$Z$5:$Z$1234&lt;&gt;"S1")*('Draft List'!$Z$5:$Z$1234&gt;5)*('Draft List'!$AD$5:$AD$1234&gt;0)*('Draft List'!$AD$5:$AD$1234&lt;100000000))</f>
        <v>0</v>
      </c>
      <c r="D16">
        <f>SUMPRODUCT(('Draft List'!$AB$5:$AB$1234=$A16)*('Draft List'!$AD$5:$AD$1234&gt;0)*('Draft List'!$AD$5:$AD$1234&lt;1000000000))</f>
        <v>0</v>
      </c>
      <c r="E16">
        <f t="shared" si="0"/>
        <v>0</v>
      </c>
      <c r="F16" s="6">
        <f>SUMIF('Draft List'!$AB$5:$AB$1234,$A16,'Draft List'!$AD$5:$AD$1234)</f>
        <v>0</v>
      </c>
      <c r="G16" s="21">
        <f t="shared" si="1"/>
        <v>0</v>
      </c>
      <c r="H16" s="20">
        <f>LEN(Table1[[#This Row],[Team]])</f>
        <v>15</v>
      </c>
      <c r="I16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Aurora Borealis                   0    0    0    0        $0,000        $0,000</v>
      </c>
    </row>
    <row r="17" spans="1:9" x14ac:dyDescent="0.25">
      <c r="A17" t="s">
        <v>487</v>
      </c>
      <c r="B17">
        <f>COUNTIF('Draft List'!$AB$5:$AB$1234,$A17)</f>
        <v>0</v>
      </c>
      <c r="C17">
        <f>SUMPRODUCT(('Draft List'!$AB$5:$AB$1234=$A17)*('Draft List'!$Z$5:$Z$1234&lt;6))+SUMPRODUCT(('Draft List'!$AB$5:$AB$1234=$A17)*('Draft List'!$Z$5:$Z$1234="S1"))+SUMPRODUCT(('Draft List'!$AB$5:$AB$1234=$A17)*('Draft List'!$Z$5:$Z$1234&lt;&gt;"S1")*('Draft List'!$Z$5:$Z$1234&gt;5)*('Draft List'!$AD$5:$AD$1234&gt;0)*('Draft List'!$AD$5:$AD$1234&lt;100000000))</f>
        <v>0</v>
      </c>
      <c r="D17">
        <f>SUMPRODUCT(('Draft List'!$AB$5:$AB$1234=$A17)*('Draft List'!$AD$5:$AD$1234&gt;0)*('Draft List'!$AD$5:$AD$1234&lt;1000000000))</f>
        <v>0</v>
      </c>
      <c r="E17">
        <f t="shared" si="0"/>
        <v>0</v>
      </c>
      <c r="F17" s="6">
        <f>SUMIF('Draft List'!$AB$5:$AB$1234,$A17,'Draft List'!$AD$5:$AD$1234)</f>
        <v>0</v>
      </c>
      <c r="G17" s="21">
        <f t="shared" si="1"/>
        <v>0</v>
      </c>
      <c r="H17" s="20">
        <f>LEN(Table1[[#This Row],[Team]])</f>
        <v>13</v>
      </c>
      <c r="I17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Havana Leones                     0    0    0    0        $0,000        $0,000</v>
      </c>
    </row>
    <row r="18" spans="1:9" x14ac:dyDescent="0.25">
      <c r="A18" t="s">
        <v>255</v>
      </c>
      <c r="B18">
        <f>COUNTIF('Draft List'!$AB$5:$AB$1234,$A18)</f>
        <v>0</v>
      </c>
      <c r="C18">
        <f>SUMPRODUCT(('Draft List'!$AB$5:$AB$1234=$A18)*('Draft List'!$Z$5:$Z$1234&lt;6))+SUMPRODUCT(('Draft List'!$AB$5:$AB$1234=$A18)*('Draft List'!$Z$5:$Z$1234="S1"))+SUMPRODUCT(('Draft List'!$AB$5:$AB$1234=$A18)*('Draft List'!$Z$5:$Z$1234&lt;&gt;"S1")*('Draft List'!$Z$5:$Z$1234&gt;5)*('Draft List'!$AD$5:$AD$1234&gt;0)*('Draft List'!$AD$5:$AD$1234&lt;100000000))</f>
        <v>0</v>
      </c>
      <c r="D18">
        <f>SUMPRODUCT(('Draft List'!$AB$5:$AB$1234=$A18)*('Draft List'!$AD$5:$AD$1234&gt;0)*('Draft List'!$AD$5:$AD$1234&lt;1000000000))</f>
        <v>0</v>
      </c>
      <c r="E18">
        <f t="shared" si="0"/>
        <v>0</v>
      </c>
      <c r="F18" s="6">
        <f>SUMIF('Draft List'!$AB$5:$AB$1234,$A18,'Draft List'!$AD$5:$AD$1234)</f>
        <v>0</v>
      </c>
      <c r="G18" s="21">
        <f t="shared" si="1"/>
        <v>0</v>
      </c>
      <c r="H18" s="20">
        <f>LEN(Table1[[#This Row],[Team]])</f>
        <v>17</v>
      </c>
      <c r="I18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Bakersfield Bears                 0    0    0    0        $0,000        $0,000</v>
      </c>
    </row>
    <row r="19" spans="1:9" x14ac:dyDescent="0.25">
      <c r="A19" t="s">
        <v>249</v>
      </c>
      <c r="B19">
        <f>COUNTIF('Draft List'!$AB$5:$AB$1234,$A19)</f>
        <v>0</v>
      </c>
      <c r="C19">
        <f>SUMPRODUCT(('Draft List'!$AB$5:$AB$1234=$A19)*('Draft List'!$Z$5:$Z$1234&lt;6))+SUMPRODUCT(('Draft List'!$AB$5:$AB$1234=$A19)*('Draft List'!$Z$5:$Z$1234="S1"))+SUMPRODUCT(('Draft List'!$AB$5:$AB$1234=$A19)*('Draft List'!$Z$5:$Z$1234&lt;&gt;"S1")*('Draft List'!$Z$5:$Z$1234&gt;5)*('Draft List'!$AD$5:$AD$1234&gt;0)*('Draft List'!$AD$5:$AD$1234&lt;100000000))</f>
        <v>0</v>
      </c>
      <c r="D19">
        <f>SUMPRODUCT(('Draft List'!$AB$5:$AB$1234=$A19)*('Draft List'!$AD$5:$AD$1234&gt;0)*('Draft List'!$AD$5:$AD$1234&lt;1000000000))</f>
        <v>0</v>
      </c>
      <c r="E19">
        <f t="shared" si="0"/>
        <v>0</v>
      </c>
      <c r="F19" s="6">
        <f>SUMIF('Draft List'!$AB$5:$AB$1234,$A19,'Draft List'!$AD$5:$AD$1234)</f>
        <v>0</v>
      </c>
      <c r="G19" s="21">
        <f t="shared" si="1"/>
        <v>0</v>
      </c>
      <c r="H19" s="20">
        <f>LEN(Table1[[#This Row],[Team]])</f>
        <v>25</v>
      </c>
      <c r="I19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West Virginia Alleghenies         0    0    0    0        $0,000        $0,000</v>
      </c>
    </row>
    <row r="20" spans="1:9" x14ac:dyDescent="0.25">
      <c r="A20" t="s">
        <v>244</v>
      </c>
      <c r="B20">
        <f>COUNTIF('Draft List'!$AB$5:$AB$1234,$A20)</f>
        <v>0</v>
      </c>
      <c r="C20">
        <f>SUMPRODUCT(('Draft List'!$AB$5:$AB$1234=$A20)*('Draft List'!$Z$5:$Z$1234&lt;6))+SUMPRODUCT(('Draft List'!$AB$5:$AB$1234=$A20)*('Draft List'!$Z$5:$Z$1234="S1"))+SUMPRODUCT(('Draft List'!$AB$5:$AB$1234=$A20)*('Draft List'!$Z$5:$Z$1234&lt;&gt;"S1")*('Draft List'!$Z$5:$Z$1234&gt;5)*('Draft List'!$AD$5:$AD$1234&gt;0)*('Draft List'!$AD$5:$AD$1234&lt;100000000))</f>
        <v>0</v>
      </c>
      <c r="D20">
        <f>SUMPRODUCT(('Draft List'!$AB$5:$AB$1234=$A20)*('Draft List'!$AD$5:$AD$1234&gt;0)*('Draft List'!$AD$5:$AD$1234&lt;1000000000))</f>
        <v>0</v>
      </c>
      <c r="E20">
        <f t="shared" si="0"/>
        <v>0</v>
      </c>
      <c r="F20" s="6">
        <f>SUMIF('Draft List'!$AB$5:$AB$1234,$A20,'Draft List'!$AD$5:$AD$1234)</f>
        <v>0</v>
      </c>
      <c r="G20" s="21">
        <f t="shared" si="1"/>
        <v>0</v>
      </c>
      <c r="H20" s="20">
        <f>LEN(Table1[[#This Row],[Team]])</f>
        <v>12</v>
      </c>
      <c r="I20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Reno Zephyrs                      0    0    0    0        $0,000        $0,000</v>
      </c>
    </row>
    <row r="21" spans="1:9" x14ac:dyDescent="0.25">
      <c r="A21" t="s">
        <v>489</v>
      </c>
      <c r="B21">
        <f>COUNTIF('Draft List'!$AB$5:$AB$1234,$A21)</f>
        <v>0</v>
      </c>
      <c r="C21">
        <f>SUMPRODUCT(('Draft List'!$AB$5:$AB$1234=$A21)*('Draft List'!$Z$5:$Z$1234&lt;6))+SUMPRODUCT(('Draft List'!$AB$5:$AB$1234=$A21)*('Draft List'!$Z$5:$Z$1234="S1"))+SUMPRODUCT(('Draft List'!$AB$5:$AB$1234=$A21)*('Draft List'!$Z$5:$Z$1234&lt;&gt;"S1")*('Draft List'!$Z$5:$Z$1234&gt;5)*('Draft List'!$AD$5:$AD$1234&gt;0)*('Draft List'!$AD$5:$AD$1234&lt;100000000))</f>
        <v>0</v>
      </c>
      <c r="D21">
        <f>SUMPRODUCT(('Draft List'!$AB$5:$AB$1234=$A21)*('Draft List'!$AD$5:$AD$1234&gt;0)*('Draft List'!$AD$5:$AD$1234&lt;1000000000))</f>
        <v>0</v>
      </c>
      <c r="E21">
        <f t="shared" si="0"/>
        <v>0</v>
      </c>
      <c r="F21" s="6">
        <f>SUMIF('Draft List'!$AB$5:$AB$1234,$A21,'Draft List'!$AD$5:$AD$1234)</f>
        <v>0</v>
      </c>
      <c r="G21" s="21">
        <f t="shared" si="1"/>
        <v>0</v>
      </c>
      <c r="H21" s="20">
        <f>LEN(Table1[[#This Row],[Team]])</f>
        <v>16</v>
      </c>
      <c r="I21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Hartford Harpoon                  0    0    0    0        $0,000        $0,000</v>
      </c>
    </row>
    <row r="22" spans="1:9" x14ac:dyDescent="0.25">
      <c r="A22" t="s">
        <v>254</v>
      </c>
      <c r="B22">
        <f>COUNTIF('Draft List'!$AB$5:$AB$1234,$A22)</f>
        <v>0</v>
      </c>
      <c r="C22">
        <f>SUMPRODUCT(('Draft List'!$AB$5:$AB$1234=$A22)*('Draft List'!$Z$5:$Z$1234&lt;6))+SUMPRODUCT(('Draft List'!$AB$5:$AB$1234=$A22)*('Draft List'!$Z$5:$Z$1234="S1"))+SUMPRODUCT(('Draft List'!$AB$5:$AB$1234=$A22)*('Draft List'!$Z$5:$Z$1234&lt;&gt;"S1")*('Draft List'!$Z$5:$Z$1234&gt;5)*('Draft List'!$AD$5:$AD$1234&gt;0)*('Draft List'!$AD$5:$AD$1234&lt;100000000))</f>
        <v>0</v>
      </c>
      <c r="D22">
        <f>SUMPRODUCT(('Draft List'!$AB$5:$AB$1234=$A22)*('Draft List'!$AD$5:$AD$1234&gt;0)*('Draft List'!$AD$5:$AD$1234&lt;1000000000))</f>
        <v>0</v>
      </c>
      <c r="E22">
        <f t="shared" si="0"/>
        <v>0</v>
      </c>
      <c r="F22" s="6">
        <f>SUMIF('Draft List'!$AB$5:$AB$1234,$A22,'Draft List'!$AD$5:$AD$1234)</f>
        <v>0</v>
      </c>
      <c r="G22" s="21">
        <f t="shared" si="1"/>
        <v>0</v>
      </c>
      <c r="H22" s="20">
        <f>LEN(Table1[[#This Row],[Team]])</f>
        <v>15</v>
      </c>
      <c r="I22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Duluth Warriors                   0    0    0    0        $0,000        $0,000</v>
      </c>
    </row>
    <row r="23" spans="1:9" x14ac:dyDescent="0.25">
      <c r="A23" t="s">
        <v>490</v>
      </c>
      <c r="B23">
        <f>COUNTIF('Draft List'!$AB$5:$AB$1234,$A23)</f>
        <v>0</v>
      </c>
      <c r="C23">
        <f>SUMPRODUCT(('Draft List'!$AB$5:$AB$1234=$A23)*('Draft List'!$Z$5:$Z$1234&lt;6))+SUMPRODUCT(('Draft List'!$AB$5:$AB$1234=$A23)*('Draft List'!$Z$5:$Z$1234="S1"))+SUMPRODUCT(('Draft List'!$AB$5:$AB$1234=$A23)*('Draft List'!$Z$5:$Z$1234&lt;&gt;"S1")*('Draft List'!$Z$5:$Z$1234&gt;5)*('Draft List'!$AD$5:$AD$1234&gt;0)*('Draft List'!$AD$5:$AD$1234&lt;100000000))</f>
        <v>0</v>
      </c>
      <c r="D23">
        <f>SUMPRODUCT(('Draft List'!$AB$5:$AB$1234=$A23)*('Draft List'!$AD$5:$AD$1234&gt;0)*('Draft List'!$AD$5:$AD$1234&lt;1000000000))</f>
        <v>0</v>
      </c>
      <c r="E23">
        <f t="shared" si="0"/>
        <v>0</v>
      </c>
      <c r="F23" s="6">
        <f>SUMIF('Draft List'!$AB$5:$AB$1234,$A23,'Draft List'!$AD$5:$AD$1234)</f>
        <v>0</v>
      </c>
      <c r="G23" s="21">
        <f t="shared" si="1"/>
        <v>0</v>
      </c>
      <c r="H23" s="20">
        <f>LEN(Table1[[#This Row],[Team]])</f>
        <v>13</v>
      </c>
      <c r="I23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Okinawa Shisa                     0    0    0    0        $0,000        $0,000</v>
      </c>
    </row>
    <row r="24" spans="1:9" x14ac:dyDescent="0.25">
      <c r="A24" t="s">
        <v>484</v>
      </c>
      <c r="B24">
        <f>COUNTIF('Draft List'!$AB$5:$AB$1234,$A24)</f>
        <v>0</v>
      </c>
      <c r="C24">
        <f>SUMPRODUCT(('Draft List'!$AB$5:$AB$1234=$A24)*('Draft List'!$Z$5:$Z$1234&lt;6))+SUMPRODUCT(('Draft List'!$AB$5:$AB$1234=$A24)*('Draft List'!$Z$5:$Z$1234="S1"))+SUMPRODUCT(('Draft List'!$AB$5:$AB$1234=$A24)*('Draft List'!$Z$5:$Z$1234&lt;&gt;"S1")*('Draft List'!$Z$5:$Z$1234&gt;5)*('Draft List'!$AD$5:$AD$1234&gt;0)*('Draft List'!$AD$5:$AD$1234&lt;100000000))</f>
        <v>0</v>
      </c>
      <c r="D24">
        <f>SUMPRODUCT(('Draft List'!$AB$5:$AB$1234=$A24)*('Draft List'!$AD$5:$AD$1234&gt;0)*('Draft List'!$AD$5:$AD$1234&lt;1000000000))</f>
        <v>0</v>
      </c>
      <c r="E24">
        <f t="shared" si="0"/>
        <v>0</v>
      </c>
      <c r="F24" s="6">
        <f>SUMIF('Draft List'!$AB$5:$AB$1234,$A24,'Draft List'!$AD$5:$AD$1234)</f>
        <v>0</v>
      </c>
      <c r="G24" s="21">
        <f t="shared" si="1"/>
        <v>0</v>
      </c>
      <c r="H24" s="20">
        <f>LEN(Table1[[#This Row],[Team]])</f>
        <v>18</v>
      </c>
      <c r="I24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Scottish Claymores                0    0    0    0        $0,000        $0,000</v>
      </c>
    </row>
    <row r="25" spans="1:9" x14ac:dyDescent="0.25">
      <c r="A25" t="s">
        <v>262</v>
      </c>
      <c r="B25">
        <f>COUNTIF('Draft List'!$AB$5:$AB$1234,$A25)</f>
        <v>0</v>
      </c>
      <c r="C25">
        <f>SUMPRODUCT(('Draft List'!$AB$5:$AB$1234=$A25)*('Draft List'!$Z$5:$Z$1234&lt;6))+SUMPRODUCT(('Draft List'!$AB$5:$AB$1234=$A25)*('Draft List'!$Z$5:$Z$1234="S1"))+SUMPRODUCT(('Draft List'!$AB$5:$AB$1234=$A25)*('Draft List'!$Z$5:$Z$1234&lt;&gt;"S1")*('Draft List'!$Z$5:$Z$1234&gt;5)*('Draft List'!$AD$5:$AD$1234&gt;0)*('Draft List'!$AD$5:$AD$1234&lt;100000000))</f>
        <v>0</v>
      </c>
      <c r="D25">
        <f>SUMPRODUCT(('Draft List'!$AB$5:$AB$1234=$A25)*('Draft List'!$AD$5:$AD$1234&gt;0)*('Draft List'!$AD$5:$AD$1234&lt;1000000000))</f>
        <v>0</v>
      </c>
      <c r="E25">
        <f t="shared" si="0"/>
        <v>0</v>
      </c>
      <c r="F25" s="6">
        <f>SUMIF('Draft List'!$AB$5:$AB$1234,$A25,'Draft List'!$AD$5:$AD$1234)</f>
        <v>0</v>
      </c>
      <c r="G25" s="21">
        <f t="shared" si="1"/>
        <v>0</v>
      </c>
      <c r="H25" s="20">
        <f>LEN(Table1[[#This Row],[Team]])</f>
        <v>30</v>
      </c>
      <c r="I25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Antonio Calzones of Laredo    0    0    0    0        $0,000        $0,000</v>
      </c>
    </row>
    <row r="26" spans="1:9" x14ac:dyDescent="0.25">
      <c r="A26" t="s">
        <v>246</v>
      </c>
      <c r="B26">
        <f>COUNTIF('Draft List'!$AB$5:$AB$1234,$A26)</f>
        <v>0</v>
      </c>
      <c r="C26">
        <f>SUMPRODUCT(('Draft List'!$AB$5:$AB$1234=$A26)*('Draft List'!$Z$5:$Z$1234&lt;6))+SUMPRODUCT(('Draft List'!$AB$5:$AB$1234=$A26)*('Draft List'!$Z$5:$Z$1234="S1"))+SUMPRODUCT(('Draft List'!$AB$5:$AB$1234=$A26)*('Draft List'!$Z$5:$Z$1234&lt;&gt;"S1")*('Draft List'!$Z$5:$Z$1234&gt;5)*('Draft List'!$AD$5:$AD$1234&gt;0)*('Draft List'!$AD$5:$AD$1234&lt;100000000))</f>
        <v>0</v>
      </c>
      <c r="D26">
        <f>SUMPRODUCT(('Draft List'!$AB$5:$AB$1234=$A26)*('Draft List'!$AD$5:$AD$1234&gt;0)*('Draft List'!$AD$5:$AD$1234&lt;1000000000))</f>
        <v>0</v>
      </c>
      <c r="E26">
        <f t="shared" si="0"/>
        <v>0</v>
      </c>
      <c r="F26" s="6">
        <f>SUMIF('Draft List'!$AB$5:$AB$1234,$A26,'Draft List'!$AD$5:$AD$1234)</f>
        <v>0</v>
      </c>
      <c r="G26" s="21">
        <f t="shared" si="1"/>
        <v>0</v>
      </c>
      <c r="H26" s="20">
        <f>LEN(Table1[[#This Row],[Team]])</f>
        <v>20</v>
      </c>
      <c r="I26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Palm Springs Codgers              0    0    0    0        $0,000        $0,000</v>
      </c>
    </row>
    <row r="27" spans="1:9" x14ac:dyDescent="0.25">
      <c r="A27" t="s">
        <v>245</v>
      </c>
      <c r="B27">
        <f>COUNTIF('Draft List'!$AB$5:$AB$1234,$A27)</f>
        <v>0</v>
      </c>
      <c r="C27">
        <f>SUMPRODUCT(('Draft List'!$AB$5:$AB$1234=$A27)*('Draft List'!$Z$5:$Z$1234&lt;6))+SUMPRODUCT(('Draft List'!$AB$5:$AB$1234=$A27)*('Draft List'!$Z$5:$Z$1234="S1"))+SUMPRODUCT(('Draft List'!$AB$5:$AB$1234=$A27)*('Draft List'!$Z$5:$Z$1234&lt;&gt;"S1")*('Draft List'!$Z$5:$Z$1234&gt;5)*('Draft List'!$AD$5:$AD$1234&gt;0)*('Draft List'!$AD$5:$AD$1234&lt;100000000))</f>
        <v>0</v>
      </c>
      <c r="D27">
        <f>SUMPRODUCT(('Draft List'!$AB$5:$AB$1234=$A27)*('Draft List'!$AD$5:$AD$1234&gt;0)*('Draft List'!$AD$5:$AD$1234&lt;1000000000))</f>
        <v>0</v>
      </c>
      <c r="E27">
        <f t="shared" si="0"/>
        <v>0</v>
      </c>
      <c r="F27" s="6">
        <f>SUMIF('Draft List'!$AB$5:$AB$1234,$A27,'Draft List'!$AD$5:$AD$1234)</f>
        <v>0</v>
      </c>
      <c r="G27" s="21">
        <f t="shared" si="1"/>
        <v>0</v>
      </c>
      <c r="H27" s="20">
        <f>LEN(Table1[[#This Row],[Team]])</f>
        <v>19</v>
      </c>
      <c r="I27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Canton Longshoremen               0    0    0    0        $0,000        $0,000</v>
      </c>
    </row>
    <row r="28" spans="1:9" x14ac:dyDescent="0.25">
      <c r="A28" t="s">
        <v>253</v>
      </c>
      <c r="B28">
        <f>COUNTIF('Draft List'!$AB$5:$AB$1234,$A28)</f>
        <v>0</v>
      </c>
      <c r="C28">
        <f>SUMPRODUCT(('Draft List'!$AB$5:$AB$1234=$A28)*('Draft List'!$Z$5:$Z$1234&lt;6))+SUMPRODUCT(('Draft List'!$AB$5:$AB$1234=$A28)*('Draft List'!$Z$5:$Z$1234="S1"))+SUMPRODUCT(('Draft List'!$AB$5:$AB$1234=$A28)*('Draft List'!$Z$5:$Z$1234&lt;&gt;"S1")*('Draft List'!$Z$5:$Z$1234&gt;5)*('Draft List'!$AD$5:$AD$1234&gt;0)*('Draft List'!$AD$5:$AD$1234&lt;100000000))</f>
        <v>0</v>
      </c>
      <c r="D28">
        <f>SUMPRODUCT(('Draft List'!$AB$5:$AB$1234=$A28)*('Draft List'!$AD$5:$AD$1234&gt;0)*('Draft List'!$AD$5:$AD$1234&lt;1000000000))</f>
        <v>0</v>
      </c>
      <c r="E28">
        <f t="shared" si="0"/>
        <v>0</v>
      </c>
      <c r="F28" s="6">
        <f>SUMIF('Draft List'!$AB$5:$AB$1234,$A28,'Draft List'!$AD$5:$AD$1234)</f>
        <v>0</v>
      </c>
      <c r="G28" s="21">
        <f t="shared" si="1"/>
        <v>0</v>
      </c>
      <c r="H28" s="20">
        <f>LEN(Table1[[#This Row],[Team]])</f>
        <v>22</v>
      </c>
      <c r="I28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Crystal Lake Sandgnats            0    0    0    0        $0,000        $0,000</v>
      </c>
    </row>
    <row r="29" spans="1:9" s="1" customFormat="1" x14ac:dyDescent="0.25">
      <c r="A29" s="1" t="s">
        <v>275</v>
      </c>
      <c r="B29" s="1">
        <f>SUBTOTAL(109,Table1[Drafted Players])</f>
        <v>0</v>
      </c>
      <c r="C29" s="1">
        <f>SUBTOTAL(109,Table1[Bonus Eligible])</f>
        <v>0</v>
      </c>
      <c r="D29" s="1">
        <f>SUBTOTAL(109,Table1[Signed])</f>
        <v>0</v>
      </c>
      <c r="E29" s="1">
        <f>SUBTOTAL(109,Table1[Unsigned])</f>
        <v>0</v>
      </c>
      <c r="F29" s="22">
        <f>SUBTOTAL(109,Table1[Tot Bonus])</f>
        <v>0</v>
      </c>
      <c r="G29" s="22" t="e">
        <f>Table1[[#Totals],[Tot Bonus]]/Table1[[#Totals],[Signed]]</f>
        <v>#DIV/0!</v>
      </c>
      <c r="H29" s="1">
        <f>SUBTOTAL(104,Table1[Len])</f>
        <v>30</v>
      </c>
    </row>
  </sheetData>
  <sortState xmlns:xlrd2="http://schemas.microsoft.com/office/spreadsheetml/2017/richdata2" ref="A3:E26">
    <sortCondition ref="A2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2:E41"/>
  <sheetViews>
    <sheetView workbookViewId="0">
      <selection activeCell="D8" sqref="D8"/>
    </sheetView>
  </sheetViews>
  <sheetFormatPr defaultRowHeight="15" x14ac:dyDescent="0.25"/>
  <cols>
    <col min="1" max="1" width="14.7109375" bestFit="1" customWidth="1"/>
    <col min="2" max="2" width="8.42578125" bestFit="1" customWidth="1"/>
    <col min="3" max="3" width="5" bestFit="1" customWidth="1"/>
    <col min="4" max="4" width="5" customWidth="1"/>
    <col min="5" max="5" width="5.28515625" bestFit="1" customWidth="1"/>
  </cols>
  <sheetData>
    <row r="2" spans="1:5" x14ac:dyDescent="0.25">
      <c r="B2" t="s">
        <v>6</v>
      </c>
      <c r="C2" t="s">
        <v>7</v>
      </c>
      <c r="D2" t="s">
        <v>689</v>
      </c>
      <c r="E2" t="s">
        <v>105</v>
      </c>
    </row>
    <row r="3" spans="1:5" x14ac:dyDescent="0.25">
      <c r="A3" t="s">
        <v>51</v>
      </c>
      <c r="B3">
        <v>1.05</v>
      </c>
      <c r="C3">
        <v>1.05</v>
      </c>
      <c r="D3">
        <v>1.03</v>
      </c>
      <c r="E3" t="s">
        <v>106</v>
      </c>
    </row>
    <row r="4" spans="1:5" x14ac:dyDescent="0.25">
      <c r="A4" t="s">
        <v>47</v>
      </c>
      <c r="B4">
        <v>1.02</v>
      </c>
      <c r="C4">
        <v>1.02</v>
      </c>
      <c r="D4">
        <v>1.0149999999999999</v>
      </c>
      <c r="E4" t="s">
        <v>107</v>
      </c>
    </row>
    <row r="5" spans="1:5" x14ac:dyDescent="0.25">
      <c r="A5" t="s">
        <v>43</v>
      </c>
      <c r="B5">
        <v>1</v>
      </c>
      <c r="C5">
        <v>1</v>
      </c>
      <c r="D5">
        <v>1</v>
      </c>
      <c r="E5" t="s">
        <v>108</v>
      </c>
    </row>
    <row r="6" spans="1:5" x14ac:dyDescent="0.25">
      <c r="A6" t="s">
        <v>44</v>
      </c>
      <c r="B6">
        <v>0.98</v>
      </c>
      <c r="C6">
        <v>0.98</v>
      </c>
      <c r="D6">
        <v>0.99</v>
      </c>
      <c r="E6" t="s">
        <v>53</v>
      </c>
    </row>
    <row r="7" spans="1:5" x14ac:dyDescent="0.25">
      <c r="A7" t="s">
        <v>55</v>
      </c>
      <c r="B7">
        <v>0.9</v>
      </c>
      <c r="C7">
        <v>0.9</v>
      </c>
      <c r="D7">
        <v>0.95</v>
      </c>
      <c r="E7" t="s">
        <v>109</v>
      </c>
    </row>
    <row r="10" spans="1:5" x14ac:dyDescent="0.25">
      <c r="A10" t="s">
        <v>110</v>
      </c>
      <c r="B10" t="s">
        <v>111</v>
      </c>
    </row>
    <row r="11" spans="1:5" x14ac:dyDescent="0.25">
      <c r="A11" t="s">
        <v>112</v>
      </c>
      <c r="B11">
        <v>0.75</v>
      </c>
    </row>
    <row r="12" spans="1:5" x14ac:dyDescent="0.25">
      <c r="A12" t="s">
        <v>73</v>
      </c>
      <c r="B12">
        <v>0.85</v>
      </c>
    </row>
    <row r="13" spans="1:5" x14ac:dyDescent="0.25">
      <c r="A13" t="s">
        <v>113</v>
      </c>
      <c r="B13">
        <v>0.85</v>
      </c>
    </row>
    <row r="14" spans="1:5" x14ac:dyDescent="0.25">
      <c r="A14" t="s">
        <v>52</v>
      </c>
      <c r="B14">
        <v>0.85</v>
      </c>
    </row>
    <row r="15" spans="1:5" x14ac:dyDescent="0.25">
      <c r="A15" t="s">
        <v>70</v>
      </c>
      <c r="B15">
        <v>0.9</v>
      </c>
    </row>
    <row r="16" spans="1:5" x14ac:dyDescent="0.25">
      <c r="A16" t="s">
        <v>67</v>
      </c>
      <c r="B16">
        <v>0.9</v>
      </c>
    </row>
    <row r="17" spans="1:2" x14ac:dyDescent="0.25">
      <c r="A17" t="s">
        <v>65</v>
      </c>
      <c r="B17">
        <v>0.95</v>
      </c>
    </row>
    <row r="18" spans="1:2" x14ac:dyDescent="0.25">
      <c r="A18" t="s">
        <v>68</v>
      </c>
      <c r="B18">
        <v>0.95</v>
      </c>
    </row>
    <row r="19" spans="1:2" x14ac:dyDescent="0.25">
      <c r="A19" t="s">
        <v>64</v>
      </c>
      <c r="B19">
        <v>1</v>
      </c>
    </row>
    <row r="20" spans="1:2" x14ac:dyDescent="0.25">
      <c r="A20" t="s">
        <v>355</v>
      </c>
      <c r="B20">
        <v>1</v>
      </c>
    </row>
    <row r="21" spans="1:2" x14ac:dyDescent="0.25">
      <c r="A21" t="s">
        <v>356</v>
      </c>
      <c r="B21">
        <v>1</v>
      </c>
    </row>
    <row r="22" spans="1:2" x14ac:dyDescent="0.25">
      <c r="A22" t="s">
        <v>57</v>
      </c>
      <c r="B22">
        <v>1</v>
      </c>
    </row>
    <row r="23" spans="1:2" x14ac:dyDescent="0.25">
      <c r="A23" t="s">
        <v>56</v>
      </c>
      <c r="B23">
        <v>1</v>
      </c>
    </row>
    <row r="24" spans="1:2" x14ac:dyDescent="0.25">
      <c r="A24" t="s">
        <v>58</v>
      </c>
      <c r="B24">
        <v>1</v>
      </c>
    </row>
    <row r="25" spans="1:2" x14ac:dyDescent="0.25">
      <c r="A25" t="s">
        <v>60</v>
      </c>
      <c r="B25">
        <v>1.0249999999999999</v>
      </c>
    </row>
    <row r="26" spans="1:2" x14ac:dyDescent="0.25">
      <c r="A26" t="s">
        <v>54</v>
      </c>
      <c r="B26">
        <v>1.0249999999999999</v>
      </c>
    </row>
    <row r="27" spans="1:2" x14ac:dyDescent="0.25">
      <c r="A27" t="s">
        <v>48</v>
      </c>
      <c r="B27">
        <v>1.05</v>
      </c>
    </row>
    <row r="28" spans="1:2" x14ac:dyDescent="0.25">
      <c r="A28" t="s">
        <v>61</v>
      </c>
      <c r="B28">
        <v>1.05</v>
      </c>
    </row>
    <row r="29" spans="1:2" x14ac:dyDescent="0.25">
      <c r="A29" t="s">
        <v>46</v>
      </c>
      <c r="B29">
        <v>1.05</v>
      </c>
    </row>
    <row r="30" spans="1:2" x14ac:dyDescent="0.25">
      <c r="A30" t="s">
        <v>59</v>
      </c>
      <c r="B30">
        <v>1.075</v>
      </c>
    </row>
    <row r="31" spans="1:2" x14ac:dyDescent="0.25">
      <c r="A31" t="s">
        <v>63</v>
      </c>
      <c r="B31">
        <v>1.075</v>
      </c>
    </row>
    <row r="32" spans="1:2" x14ac:dyDescent="0.25">
      <c r="A32" t="s">
        <v>114</v>
      </c>
      <c r="B32">
        <v>1.075</v>
      </c>
    </row>
    <row r="35" spans="1:2" x14ac:dyDescent="0.25">
      <c r="A35" t="s">
        <v>115</v>
      </c>
      <c r="B35" t="s">
        <v>105</v>
      </c>
    </row>
    <row r="36" spans="1:2" x14ac:dyDescent="0.25">
      <c r="A36" t="s">
        <v>103</v>
      </c>
      <c r="B36" t="s">
        <v>116</v>
      </c>
    </row>
    <row r="37" spans="1:2" x14ac:dyDescent="0.25">
      <c r="A37" t="s">
        <v>117</v>
      </c>
      <c r="B37" t="s">
        <v>107</v>
      </c>
    </row>
    <row r="38" spans="1:2" x14ac:dyDescent="0.25">
      <c r="A38" t="s">
        <v>43</v>
      </c>
      <c r="B38" t="s">
        <v>108</v>
      </c>
    </row>
    <row r="39" spans="1:2" x14ac:dyDescent="0.25">
      <c r="A39" t="s">
        <v>118</v>
      </c>
      <c r="B39" t="s">
        <v>119</v>
      </c>
    </row>
    <row r="40" spans="1:2" x14ac:dyDescent="0.25">
      <c r="A40" t="s">
        <v>104</v>
      </c>
      <c r="B40" t="s">
        <v>120</v>
      </c>
    </row>
    <row r="41" spans="1:2" x14ac:dyDescent="0.25">
      <c r="A41">
        <v>0</v>
      </c>
      <c r="B41" t="s">
        <v>239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6"/>
  <sheetViews>
    <sheetView topLeftCell="A49" workbookViewId="0">
      <selection activeCell="A62" sqref="A62"/>
    </sheetView>
  </sheetViews>
  <sheetFormatPr defaultRowHeight="15" x14ac:dyDescent="0.25"/>
  <cols>
    <col min="1" max="1" width="138.85546875" bestFit="1" customWidth="1"/>
    <col min="2" max="2" width="11.42578125" customWidth="1"/>
    <col min="3" max="3" width="20.28515625" bestFit="1" customWidth="1"/>
    <col min="4" max="4" width="24.5703125" bestFit="1" customWidth="1"/>
    <col min="5" max="5" width="10.140625" bestFit="1" customWidth="1"/>
    <col min="6" max="6" width="10.5703125" bestFit="1" customWidth="1"/>
  </cols>
  <sheetData>
    <row r="1" spans="1:7" s="1" customFormat="1" x14ac:dyDescent="0.25">
      <c r="A1" s="1" t="s">
        <v>263</v>
      </c>
      <c r="B1" s="1" t="s">
        <v>268</v>
      </c>
      <c r="C1" s="1" t="s">
        <v>241</v>
      </c>
      <c r="D1" s="1" t="s">
        <v>234</v>
      </c>
      <c r="E1" s="1" t="s">
        <v>264</v>
      </c>
      <c r="F1" s="1" t="s">
        <v>266</v>
      </c>
      <c r="G1" s="1" t="s">
        <v>267</v>
      </c>
    </row>
    <row r="2" spans="1:7" s="1" customFormat="1" x14ac:dyDescent="0.25">
      <c r="A2" s="29" t="s">
        <v>240</v>
      </c>
      <c r="B2" s="30">
        <v>3000000</v>
      </c>
      <c r="C2" t="s">
        <v>309</v>
      </c>
    </row>
    <row r="3" spans="1:7" s="1" customFormat="1" x14ac:dyDescent="0.25">
      <c r="A3" s="29" t="s">
        <v>256</v>
      </c>
      <c r="B3" s="30">
        <v>1000000</v>
      </c>
      <c r="C3" s="31" t="s">
        <v>310</v>
      </c>
    </row>
    <row r="4" spans="1:7" s="1" customFormat="1" x14ac:dyDescent="0.25">
      <c r="A4" s="29" t="s">
        <v>259</v>
      </c>
      <c r="B4" s="30">
        <v>400000</v>
      </c>
      <c r="C4" s="31" t="s">
        <v>311</v>
      </c>
    </row>
    <row r="5" spans="1:7" s="1" customFormat="1" x14ac:dyDescent="0.25">
      <c r="A5" s="29" t="s">
        <v>260</v>
      </c>
      <c r="B5" s="30">
        <v>300000</v>
      </c>
      <c r="C5" s="31" t="s">
        <v>312</v>
      </c>
    </row>
    <row r="6" spans="1:7" s="1" customFormat="1" x14ac:dyDescent="0.25">
      <c r="A6" s="29" t="s">
        <v>261</v>
      </c>
      <c r="B6" s="30">
        <v>250000</v>
      </c>
      <c r="C6" s="31" t="s">
        <v>313</v>
      </c>
    </row>
    <row r="7" spans="1:7" s="1" customFormat="1" x14ac:dyDescent="0.25"/>
    <row r="8" spans="1:7" x14ac:dyDescent="0.25">
      <c r="A8" t="s">
        <v>492</v>
      </c>
      <c r="B8" t="str">
        <f>D8&amp;"-"&amp;C8</f>
        <v>Amsterdam Lions-Alberto Flores</v>
      </c>
      <c r="C8" t="str">
        <f>MID(A8,FIND("Signed",A8)+7,FIND("to a minor",A8)-FIND("Signed",A8)-8)</f>
        <v>Alberto Flores</v>
      </c>
      <c r="D8" t="str">
        <f>MID($A8,1,FIND(":",$A8)-1)</f>
        <v>Amsterdam Lions</v>
      </c>
      <c r="E8" t="str">
        <f>IF(ISERROR(FIND("major league contract",$A8)),MID($A8,FIND("$",$A8),FIND(".",$A8,FIND("$",$A8))-FIND("$",$A8)),MID($A8,FIND("$",$A8),FIND(" ",$A8,FIND("$",$A8))-FIND("$",$A8)))</f>
        <v>$2,000,000</v>
      </c>
      <c r="F8" t="str">
        <f>IF(ISERROR(FIND("major league contract",$A8)),"",MID($A8,FIND("major league contract",$A8)+39,LEN($A8)-FIND("major league contract",$A8)-39))</f>
        <v/>
      </c>
      <c r="G8" t="str">
        <f>IF(ISERROR(FIND("major league contract",$A8)),"",MID($A8,FIND("major league contract",$A8)-7,1))</f>
        <v/>
      </c>
    </row>
    <row r="9" spans="1:7" x14ac:dyDescent="0.25">
      <c r="A9" t="s">
        <v>493</v>
      </c>
      <c r="B9" t="str">
        <f t="shared" ref="B9:B72" si="0">D9&amp;"-"&amp;C9</f>
        <v>Amsterdam Lions-Alonso González</v>
      </c>
      <c r="C9" t="str">
        <f t="shared" ref="C9:C72" si="1">MID(A9,FIND("Signed",A9)+7,FIND("to a minor",A9)-FIND("Signed",A9)-8)</f>
        <v>Alonso González</v>
      </c>
      <c r="D9" t="str">
        <f t="shared" ref="D9:D72" si="2">MID($A9,1,FIND(":",$A9)-1)</f>
        <v>Amsterdam Lions</v>
      </c>
      <c r="E9" t="str">
        <f t="shared" ref="E9:E72" si="3">IF(ISERROR(FIND("major league contract",$A9)),MID($A9,FIND("$",$A9),FIND(".",$A9,FIND("$",$A9))-FIND("$",$A9)),MID($A9,FIND("$",$A9),FIND(" ",$A9,FIND("$",$A9))-FIND("$",$A9)))</f>
        <v>$600,000</v>
      </c>
      <c r="F9" t="str">
        <f t="shared" ref="F9:F72" si="4">IF(ISERROR(FIND("major league contract",$A9)),"",MID($A9,FIND("major league contract",$A9)+39,LEN($A9)-FIND("major league contract",$A9)-39))</f>
        <v/>
      </c>
      <c r="G9" t="str">
        <f t="shared" ref="G9:G72" si="5">IF(ISERROR(FIND("major league contract",$A9)),"",MID($A9,FIND("major league contract",$A9)-7,1))</f>
        <v/>
      </c>
    </row>
    <row r="10" spans="1:7" x14ac:dyDescent="0.25">
      <c r="A10" t="s">
        <v>494</v>
      </c>
      <c r="B10" t="str">
        <f t="shared" si="0"/>
        <v>Amsterdam Lions-Ashton Gilbert</v>
      </c>
      <c r="C10" t="str">
        <f t="shared" si="1"/>
        <v>Ashton Gilbert</v>
      </c>
      <c r="D10" t="str">
        <f t="shared" si="2"/>
        <v>Amsterdam Lions</v>
      </c>
      <c r="E10" t="str">
        <f t="shared" si="3"/>
        <v>$140,000</v>
      </c>
      <c r="F10" t="str">
        <f t="shared" si="4"/>
        <v/>
      </c>
      <c r="G10" t="str">
        <f t="shared" si="5"/>
        <v/>
      </c>
    </row>
    <row r="11" spans="1:7" x14ac:dyDescent="0.25">
      <c r="A11" t="s">
        <v>495</v>
      </c>
      <c r="B11" t="str">
        <f t="shared" si="0"/>
        <v>Amsterdam Lions-Ewan Carne</v>
      </c>
      <c r="C11" t="str">
        <f t="shared" si="1"/>
        <v>Ewan Carne</v>
      </c>
      <c r="D11" t="str">
        <f t="shared" si="2"/>
        <v>Amsterdam Lions</v>
      </c>
      <c r="E11" t="str">
        <f t="shared" si="3"/>
        <v>$1,200,000</v>
      </c>
      <c r="F11" t="str">
        <f t="shared" si="4"/>
        <v/>
      </c>
      <c r="G11" t="str">
        <f t="shared" si="5"/>
        <v/>
      </c>
    </row>
    <row r="12" spans="1:7" x14ac:dyDescent="0.25">
      <c r="A12" t="s">
        <v>496</v>
      </c>
      <c r="B12" t="str">
        <f t="shared" si="0"/>
        <v>Amsterdam Lions-Mark de Vries</v>
      </c>
      <c r="C12" t="str">
        <f t="shared" si="1"/>
        <v>Mark de Vries</v>
      </c>
      <c r="D12" t="str">
        <f t="shared" si="2"/>
        <v>Amsterdam Lions</v>
      </c>
      <c r="E12" t="str">
        <f t="shared" si="3"/>
        <v>$330,000</v>
      </c>
      <c r="F12" t="str">
        <f t="shared" si="4"/>
        <v/>
      </c>
      <c r="G12" t="str">
        <f t="shared" si="5"/>
        <v/>
      </c>
    </row>
    <row r="13" spans="1:7" x14ac:dyDescent="0.25">
      <c r="A13" t="s">
        <v>497</v>
      </c>
      <c r="B13" t="str">
        <f t="shared" si="0"/>
        <v>Arlington Bureaucrats-Erskine Hill</v>
      </c>
      <c r="C13" t="str">
        <f t="shared" si="1"/>
        <v>Erskine Hill</v>
      </c>
      <c r="D13" t="str">
        <f t="shared" si="2"/>
        <v>Arlington Bureaucrats</v>
      </c>
      <c r="E13" t="str">
        <f t="shared" si="3"/>
        <v>$510,000</v>
      </c>
      <c r="F13" t="str">
        <f t="shared" si="4"/>
        <v/>
      </c>
      <c r="G13" t="str">
        <f t="shared" si="5"/>
        <v/>
      </c>
    </row>
    <row r="14" spans="1:7" x14ac:dyDescent="0.25">
      <c r="A14" t="s">
        <v>498</v>
      </c>
      <c r="B14" t="str">
        <f t="shared" si="0"/>
        <v>Arlington Bureaucrats-Jerry Flores</v>
      </c>
      <c r="C14" t="str">
        <f t="shared" si="1"/>
        <v>Jerry Flores</v>
      </c>
      <c r="D14" t="str">
        <f t="shared" si="2"/>
        <v>Arlington Bureaucrats</v>
      </c>
      <c r="E14" t="str">
        <f t="shared" si="3"/>
        <v>$200,000</v>
      </c>
      <c r="F14" t="str">
        <f t="shared" si="4"/>
        <v/>
      </c>
      <c r="G14" t="str">
        <f t="shared" si="5"/>
        <v/>
      </c>
    </row>
    <row r="15" spans="1:7" x14ac:dyDescent="0.25">
      <c r="A15" t="s">
        <v>499</v>
      </c>
      <c r="B15" t="str">
        <f t="shared" si="0"/>
        <v>Arlington Bureaucrats-Torcall Penrose</v>
      </c>
      <c r="C15" t="str">
        <f t="shared" si="1"/>
        <v>Torcall Penrose</v>
      </c>
      <c r="D15" t="str">
        <f t="shared" si="2"/>
        <v>Arlington Bureaucrats</v>
      </c>
      <c r="E15" t="str">
        <f t="shared" si="3"/>
        <v>$1,370,000</v>
      </c>
      <c r="F15" t="str">
        <f t="shared" si="4"/>
        <v/>
      </c>
      <c r="G15" t="str">
        <f t="shared" si="5"/>
        <v/>
      </c>
    </row>
    <row r="16" spans="1:7" x14ac:dyDescent="0.25">
      <c r="A16" t="s">
        <v>500</v>
      </c>
      <c r="B16" t="str">
        <f t="shared" si="0"/>
        <v>Aurora Borealis-Humberto Hernández</v>
      </c>
      <c r="C16" t="str">
        <f t="shared" si="1"/>
        <v>Humberto Hernández</v>
      </c>
      <c r="D16" t="str">
        <f t="shared" si="2"/>
        <v>Aurora Borealis</v>
      </c>
      <c r="E16" t="str">
        <f t="shared" si="3"/>
        <v>$240,000</v>
      </c>
      <c r="F16" t="str">
        <f t="shared" si="4"/>
        <v/>
      </c>
      <c r="G16" t="str">
        <f t="shared" si="5"/>
        <v/>
      </c>
    </row>
    <row r="17" spans="1:7" x14ac:dyDescent="0.25">
      <c r="A17" t="s">
        <v>501</v>
      </c>
      <c r="B17" t="str">
        <f t="shared" si="0"/>
        <v>Aurora Borealis-James Ostrander</v>
      </c>
      <c r="C17" t="str">
        <f t="shared" si="1"/>
        <v>James Ostrander</v>
      </c>
      <c r="D17" t="str">
        <f t="shared" si="2"/>
        <v>Aurora Borealis</v>
      </c>
      <c r="E17" t="str">
        <f t="shared" si="3"/>
        <v>$400,000</v>
      </c>
      <c r="F17" t="str">
        <f t="shared" si="4"/>
        <v/>
      </c>
      <c r="G17" t="str">
        <f t="shared" si="5"/>
        <v/>
      </c>
    </row>
    <row r="18" spans="1:7" x14ac:dyDescent="0.25">
      <c r="A18" t="s">
        <v>502</v>
      </c>
      <c r="B18" t="str">
        <f t="shared" si="0"/>
        <v>Bakersfield Bears-Haywood Riley</v>
      </c>
      <c r="C18" t="str">
        <f t="shared" si="1"/>
        <v>Haywood Riley</v>
      </c>
      <c r="D18" t="str">
        <f t="shared" si="2"/>
        <v>Bakersfield Bears</v>
      </c>
      <c r="E18" t="str">
        <f t="shared" si="3"/>
        <v>$350,000</v>
      </c>
      <c r="F18" t="str">
        <f t="shared" si="4"/>
        <v/>
      </c>
      <c r="G18" t="str">
        <f t="shared" si="5"/>
        <v/>
      </c>
    </row>
    <row r="19" spans="1:7" x14ac:dyDescent="0.25">
      <c r="A19" t="s">
        <v>503</v>
      </c>
      <c r="B19" t="str">
        <f t="shared" si="0"/>
        <v>Bakersfield Bears-Lenny Horrocks</v>
      </c>
      <c r="C19" t="str">
        <f t="shared" si="1"/>
        <v>Lenny Horrocks</v>
      </c>
      <c r="D19" t="str">
        <f t="shared" si="2"/>
        <v>Bakersfield Bears</v>
      </c>
      <c r="E19" t="str">
        <f t="shared" si="3"/>
        <v>$250,000</v>
      </c>
      <c r="F19" t="str">
        <f t="shared" si="4"/>
        <v/>
      </c>
      <c r="G19" t="str">
        <f t="shared" si="5"/>
        <v/>
      </c>
    </row>
    <row r="20" spans="1:7" x14ac:dyDescent="0.25">
      <c r="A20" t="s">
        <v>504</v>
      </c>
      <c r="B20" t="str">
        <f t="shared" si="0"/>
        <v>Duluth Warriors-Callum MacInnes</v>
      </c>
      <c r="C20" t="str">
        <f t="shared" si="1"/>
        <v>Callum MacInnes</v>
      </c>
      <c r="D20" t="str">
        <f t="shared" si="2"/>
        <v>Duluth Warriors</v>
      </c>
      <c r="E20" t="str">
        <f t="shared" si="3"/>
        <v>$140,000</v>
      </c>
      <c r="F20" t="str">
        <f t="shared" si="4"/>
        <v/>
      </c>
      <c r="G20" t="str">
        <f t="shared" si="5"/>
        <v/>
      </c>
    </row>
    <row r="21" spans="1:7" x14ac:dyDescent="0.25">
      <c r="A21" t="s">
        <v>505</v>
      </c>
      <c r="B21" t="str">
        <f t="shared" si="0"/>
        <v>Duluth Warriors-Paquito de la Cruz</v>
      </c>
      <c r="C21" t="str">
        <f t="shared" si="1"/>
        <v>Paquito de la Cruz</v>
      </c>
      <c r="D21" t="str">
        <f t="shared" si="2"/>
        <v>Duluth Warriors</v>
      </c>
      <c r="E21" t="str">
        <f t="shared" si="3"/>
        <v>$180,000</v>
      </c>
      <c r="F21" t="str">
        <f t="shared" si="4"/>
        <v/>
      </c>
      <c r="G21" t="str">
        <f t="shared" si="5"/>
        <v/>
      </c>
    </row>
    <row r="22" spans="1:7" x14ac:dyDescent="0.25">
      <c r="A22" t="s">
        <v>506</v>
      </c>
      <c r="B22" t="str">
        <f t="shared" si="0"/>
        <v>Fargo Dinosaurs-Alexander Ogilvy</v>
      </c>
      <c r="C22" t="str">
        <f t="shared" si="1"/>
        <v>Alexander Ogilvy</v>
      </c>
      <c r="D22" t="str">
        <f t="shared" si="2"/>
        <v>Fargo Dinosaurs</v>
      </c>
      <c r="E22" t="str">
        <f t="shared" si="3"/>
        <v>$190,000</v>
      </c>
      <c r="F22" t="str">
        <f t="shared" si="4"/>
        <v/>
      </c>
      <c r="G22" t="str">
        <f t="shared" si="5"/>
        <v/>
      </c>
    </row>
    <row r="23" spans="1:7" x14ac:dyDescent="0.25">
      <c r="A23" t="s">
        <v>507</v>
      </c>
      <c r="B23" t="str">
        <f t="shared" si="0"/>
        <v>Fargo Dinosaurs-Dave Dixon</v>
      </c>
      <c r="C23" t="str">
        <f t="shared" si="1"/>
        <v>Dave Dixon</v>
      </c>
      <c r="D23" t="str">
        <f t="shared" si="2"/>
        <v>Fargo Dinosaurs</v>
      </c>
      <c r="E23" t="str">
        <f t="shared" si="3"/>
        <v>$4,000,000</v>
      </c>
      <c r="F23" t="str">
        <f t="shared" si="4"/>
        <v/>
      </c>
      <c r="G23" t="str">
        <f t="shared" si="5"/>
        <v/>
      </c>
    </row>
    <row r="24" spans="1:7" x14ac:dyDescent="0.25">
      <c r="A24" t="s">
        <v>508</v>
      </c>
      <c r="B24" t="str">
        <f t="shared" si="0"/>
        <v>Fargo Dinosaurs-Kevin Kirkpatrick</v>
      </c>
      <c r="C24" t="str">
        <f t="shared" si="1"/>
        <v>Kevin Kirkpatrick</v>
      </c>
      <c r="D24" t="str">
        <f t="shared" si="2"/>
        <v>Fargo Dinosaurs</v>
      </c>
      <c r="E24" t="str">
        <f t="shared" si="3"/>
        <v>$460,000</v>
      </c>
      <c r="F24" t="str">
        <f t="shared" si="4"/>
        <v/>
      </c>
      <c r="G24" t="str">
        <f t="shared" si="5"/>
        <v/>
      </c>
    </row>
    <row r="25" spans="1:7" x14ac:dyDescent="0.25">
      <c r="A25" t="s">
        <v>509</v>
      </c>
      <c r="B25" t="str">
        <f t="shared" si="0"/>
        <v>Florida Featherheads-Bas Lorentz</v>
      </c>
      <c r="C25" t="str">
        <f t="shared" si="1"/>
        <v>Bas Lorentz</v>
      </c>
      <c r="D25" t="str">
        <f t="shared" si="2"/>
        <v>Florida Featherheads</v>
      </c>
      <c r="E25" t="str">
        <f t="shared" si="3"/>
        <v>$180,000</v>
      </c>
      <c r="F25" t="str">
        <f t="shared" si="4"/>
        <v/>
      </c>
      <c r="G25" t="str">
        <f t="shared" si="5"/>
        <v/>
      </c>
    </row>
    <row r="26" spans="1:7" x14ac:dyDescent="0.25">
      <c r="A26" t="s">
        <v>510</v>
      </c>
      <c r="B26" t="str">
        <f t="shared" si="0"/>
        <v>Florida Featherheads-Lou Drewery</v>
      </c>
      <c r="C26" t="str">
        <f t="shared" si="1"/>
        <v>Lou Drewery</v>
      </c>
      <c r="D26" t="str">
        <f t="shared" si="2"/>
        <v>Florida Featherheads</v>
      </c>
      <c r="E26" t="str">
        <f t="shared" si="3"/>
        <v>$2,200,000</v>
      </c>
      <c r="F26" t="str">
        <f t="shared" si="4"/>
        <v/>
      </c>
      <c r="G26" t="str">
        <f t="shared" si="5"/>
        <v/>
      </c>
    </row>
    <row r="27" spans="1:7" x14ac:dyDescent="0.25">
      <c r="A27" t="s">
        <v>511</v>
      </c>
      <c r="B27" t="str">
        <f t="shared" si="0"/>
        <v>Florida Featherheads-Mike Thompson</v>
      </c>
      <c r="C27" t="str">
        <f t="shared" si="1"/>
        <v>Mike Thompson</v>
      </c>
      <c r="D27" t="str">
        <f t="shared" si="2"/>
        <v>Florida Featherheads</v>
      </c>
      <c r="E27" t="str">
        <f t="shared" si="3"/>
        <v>$850,000</v>
      </c>
      <c r="F27" t="str">
        <f t="shared" si="4"/>
        <v/>
      </c>
      <c r="G27" t="str">
        <f t="shared" si="5"/>
        <v/>
      </c>
    </row>
    <row r="28" spans="1:7" x14ac:dyDescent="0.25">
      <c r="A28" t="s">
        <v>512</v>
      </c>
      <c r="B28" t="str">
        <f t="shared" si="0"/>
        <v>Florida Featherheads-Ryan Tate</v>
      </c>
      <c r="C28" t="str">
        <f t="shared" si="1"/>
        <v>Ryan Tate</v>
      </c>
      <c r="D28" t="str">
        <f t="shared" si="2"/>
        <v>Florida Featherheads</v>
      </c>
      <c r="E28" t="str">
        <f t="shared" si="3"/>
        <v>$4,400,000</v>
      </c>
      <c r="F28" t="str">
        <f t="shared" si="4"/>
        <v/>
      </c>
      <c r="G28" t="str">
        <f t="shared" si="5"/>
        <v/>
      </c>
    </row>
    <row r="29" spans="1:7" x14ac:dyDescent="0.25">
      <c r="A29" t="s">
        <v>513</v>
      </c>
      <c r="B29" t="str">
        <f t="shared" si="0"/>
        <v>Hartford Harpoon-Ed Black</v>
      </c>
      <c r="C29" t="str">
        <f t="shared" si="1"/>
        <v>Ed Black</v>
      </c>
      <c r="D29" t="str">
        <f t="shared" si="2"/>
        <v>Hartford Harpoon</v>
      </c>
      <c r="E29" t="str">
        <f t="shared" si="3"/>
        <v>$370,000</v>
      </c>
      <c r="F29" t="str">
        <f t="shared" si="4"/>
        <v/>
      </c>
      <c r="G29" t="str">
        <f t="shared" si="5"/>
        <v/>
      </c>
    </row>
    <row r="30" spans="1:7" x14ac:dyDescent="0.25">
      <c r="A30" t="s">
        <v>514</v>
      </c>
      <c r="B30" t="str">
        <f t="shared" si="0"/>
        <v>Havana Leones-Sean Makepeace</v>
      </c>
      <c r="C30" t="str">
        <f t="shared" si="1"/>
        <v>Sean Makepeace</v>
      </c>
      <c r="D30" t="str">
        <f t="shared" si="2"/>
        <v>Havana Leones</v>
      </c>
      <c r="E30" t="str">
        <f t="shared" si="3"/>
        <v>$600,000</v>
      </c>
      <c r="F30" t="str">
        <f t="shared" si="4"/>
        <v/>
      </c>
      <c r="G30" t="str">
        <f t="shared" si="5"/>
        <v/>
      </c>
    </row>
    <row r="31" spans="1:7" x14ac:dyDescent="0.25">
      <c r="A31" t="s">
        <v>515</v>
      </c>
      <c r="B31" t="str">
        <f t="shared" si="0"/>
        <v>Kalamazoo Badgers-Alex Payne</v>
      </c>
      <c r="C31" t="str">
        <f t="shared" si="1"/>
        <v>Alex Payne</v>
      </c>
      <c r="D31" t="str">
        <f t="shared" si="2"/>
        <v>Kalamazoo Badgers</v>
      </c>
      <c r="E31" t="str">
        <f t="shared" si="3"/>
        <v>$220,000</v>
      </c>
      <c r="F31" t="str">
        <f t="shared" si="4"/>
        <v/>
      </c>
      <c r="G31" t="str">
        <f t="shared" si="5"/>
        <v/>
      </c>
    </row>
    <row r="32" spans="1:7" x14ac:dyDescent="0.25">
      <c r="A32" t="s">
        <v>516</v>
      </c>
      <c r="B32" t="str">
        <f t="shared" si="0"/>
        <v>Kalamazoo Badgers-Ogai Ono</v>
      </c>
      <c r="C32" t="str">
        <f t="shared" si="1"/>
        <v>Ogai Ono</v>
      </c>
      <c r="D32" t="str">
        <f t="shared" si="2"/>
        <v>Kalamazoo Badgers</v>
      </c>
      <c r="E32" t="str">
        <f t="shared" si="3"/>
        <v>$2,000,000</v>
      </c>
      <c r="F32" t="str">
        <f t="shared" si="4"/>
        <v/>
      </c>
      <c r="G32" t="str">
        <f t="shared" si="5"/>
        <v/>
      </c>
    </row>
    <row r="33" spans="1:7" x14ac:dyDescent="0.25">
      <c r="A33" t="s">
        <v>517</v>
      </c>
      <c r="B33" t="str">
        <f t="shared" si="0"/>
        <v>Kentucky Thoroughbreds-Ánibal Delgado</v>
      </c>
      <c r="C33" t="str">
        <f t="shared" si="1"/>
        <v>Ánibal Delgado</v>
      </c>
      <c r="D33" t="str">
        <f t="shared" si="2"/>
        <v>Kentucky Thoroughbreds</v>
      </c>
      <c r="E33" t="str">
        <f t="shared" si="3"/>
        <v>$500,000</v>
      </c>
      <c r="F33" t="str">
        <f t="shared" si="4"/>
        <v/>
      </c>
      <c r="G33" t="str">
        <f t="shared" si="5"/>
        <v/>
      </c>
    </row>
    <row r="34" spans="1:7" x14ac:dyDescent="0.25">
      <c r="A34" t="s">
        <v>518</v>
      </c>
      <c r="B34" t="str">
        <f t="shared" si="0"/>
        <v>Kentucky Thoroughbreds-José Mora</v>
      </c>
      <c r="C34" t="str">
        <f t="shared" si="1"/>
        <v>José Mora</v>
      </c>
      <c r="D34" t="str">
        <f t="shared" si="2"/>
        <v>Kentucky Thoroughbreds</v>
      </c>
      <c r="E34" t="str">
        <f t="shared" si="3"/>
        <v>$1,800,000</v>
      </c>
      <c r="F34" t="str">
        <f t="shared" si="4"/>
        <v/>
      </c>
      <c r="G34" t="str">
        <f t="shared" si="5"/>
        <v/>
      </c>
    </row>
    <row r="35" spans="1:7" x14ac:dyDescent="0.25">
      <c r="A35" t="s">
        <v>519</v>
      </c>
      <c r="B35" t="str">
        <f t="shared" si="0"/>
        <v>London Underground-Duane Moss</v>
      </c>
      <c r="C35" t="str">
        <f t="shared" si="1"/>
        <v>Duane Moss</v>
      </c>
      <c r="D35" t="str">
        <f t="shared" si="2"/>
        <v>London Underground</v>
      </c>
      <c r="E35" t="str">
        <f t="shared" si="3"/>
        <v>$4,500,000</v>
      </c>
      <c r="F35" t="str">
        <f t="shared" si="4"/>
        <v/>
      </c>
      <c r="G35" t="str">
        <f t="shared" si="5"/>
        <v/>
      </c>
    </row>
    <row r="36" spans="1:7" x14ac:dyDescent="0.25">
      <c r="A36" t="s">
        <v>520</v>
      </c>
      <c r="B36" t="str">
        <f t="shared" si="0"/>
        <v>London Underground-Roberto Alaniz</v>
      </c>
      <c r="C36" t="str">
        <f t="shared" si="1"/>
        <v>Roberto Alaniz</v>
      </c>
      <c r="D36" t="str">
        <f t="shared" si="2"/>
        <v>London Underground</v>
      </c>
      <c r="E36" t="str">
        <f t="shared" si="3"/>
        <v>$220,000</v>
      </c>
      <c r="F36" t="str">
        <f t="shared" si="4"/>
        <v/>
      </c>
      <c r="G36" t="str">
        <f t="shared" si="5"/>
        <v/>
      </c>
    </row>
    <row r="37" spans="1:7" x14ac:dyDescent="0.25">
      <c r="A37" t="s">
        <v>521</v>
      </c>
      <c r="B37" t="str">
        <f t="shared" si="0"/>
        <v>Neo-Tokyo Akira-António Bonilla</v>
      </c>
      <c r="C37" t="str">
        <f t="shared" si="1"/>
        <v>António Bonilla</v>
      </c>
      <c r="D37" t="str">
        <f t="shared" si="2"/>
        <v>Neo-Tokyo Akira</v>
      </c>
      <c r="E37" t="str">
        <f t="shared" si="3"/>
        <v>$140,000</v>
      </c>
      <c r="F37" t="str">
        <f t="shared" si="4"/>
        <v/>
      </c>
      <c r="G37" t="str">
        <f t="shared" si="5"/>
        <v/>
      </c>
    </row>
    <row r="38" spans="1:7" x14ac:dyDescent="0.25">
      <c r="A38" t="s">
        <v>522</v>
      </c>
      <c r="B38" t="str">
        <f t="shared" si="0"/>
        <v>Neo-Tokyo Akira-Ben Wallace</v>
      </c>
      <c r="C38" t="str">
        <f t="shared" si="1"/>
        <v>Ben Wallace</v>
      </c>
      <c r="D38" t="str">
        <f t="shared" si="2"/>
        <v>Neo-Tokyo Akira</v>
      </c>
      <c r="E38" t="str">
        <f t="shared" si="3"/>
        <v>$300,000</v>
      </c>
      <c r="F38" t="str">
        <f t="shared" si="4"/>
        <v/>
      </c>
      <c r="G38" t="str">
        <f t="shared" si="5"/>
        <v/>
      </c>
    </row>
    <row r="39" spans="1:7" x14ac:dyDescent="0.25">
      <c r="A39" t="s">
        <v>523</v>
      </c>
      <c r="B39" t="str">
        <f t="shared" si="0"/>
        <v>Neo-Tokyo Akira-Ernesto Martínez</v>
      </c>
      <c r="C39" t="str">
        <f t="shared" si="1"/>
        <v>Ernesto Martínez</v>
      </c>
      <c r="D39" t="str">
        <f t="shared" si="2"/>
        <v>Neo-Tokyo Akira</v>
      </c>
      <c r="E39" t="str">
        <f t="shared" si="3"/>
        <v>$1,520,000</v>
      </c>
      <c r="F39" t="str">
        <f t="shared" si="4"/>
        <v/>
      </c>
      <c r="G39" t="str">
        <f t="shared" si="5"/>
        <v/>
      </c>
    </row>
    <row r="40" spans="1:7" x14ac:dyDescent="0.25">
      <c r="A40" t="s">
        <v>524</v>
      </c>
      <c r="B40" t="str">
        <f t="shared" si="0"/>
        <v>Neo-Tokyo Akira-Jake Conrad</v>
      </c>
      <c r="C40" t="str">
        <f t="shared" si="1"/>
        <v>Jake Conrad</v>
      </c>
      <c r="D40" t="str">
        <f t="shared" si="2"/>
        <v>Neo-Tokyo Akira</v>
      </c>
      <c r="E40" t="str">
        <f t="shared" si="3"/>
        <v>$200,000</v>
      </c>
      <c r="F40" t="str">
        <f t="shared" si="4"/>
        <v/>
      </c>
      <c r="G40" t="str">
        <f t="shared" si="5"/>
        <v/>
      </c>
    </row>
    <row r="41" spans="1:7" x14ac:dyDescent="0.25">
      <c r="A41" t="s">
        <v>525</v>
      </c>
      <c r="B41" t="str">
        <f t="shared" si="0"/>
        <v>New Orleans Trendsetters-Jason King</v>
      </c>
      <c r="C41" t="str">
        <f t="shared" si="1"/>
        <v>Jason King</v>
      </c>
      <c r="D41" t="str">
        <f t="shared" si="2"/>
        <v>New Orleans Trendsetters</v>
      </c>
      <c r="E41" t="str">
        <f t="shared" si="3"/>
        <v>$500,000</v>
      </c>
      <c r="F41" t="str">
        <f t="shared" si="4"/>
        <v/>
      </c>
      <c r="G41" t="str">
        <f t="shared" si="5"/>
        <v/>
      </c>
    </row>
    <row r="42" spans="1:7" x14ac:dyDescent="0.25">
      <c r="A42" t="s">
        <v>526</v>
      </c>
      <c r="B42" t="str">
        <f t="shared" si="0"/>
        <v>New Orleans Trendsetters-Júlio Nieves</v>
      </c>
      <c r="C42" t="str">
        <f t="shared" si="1"/>
        <v>Júlio Nieves</v>
      </c>
      <c r="D42" t="str">
        <f t="shared" si="2"/>
        <v>New Orleans Trendsetters</v>
      </c>
      <c r="E42" t="str">
        <f t="shared" si="3"/>
        <v>$2,500,000</v>
      </c>
      <c r="F42" t="str">
        <f t="shared" si="4"/>
        <v/>
      </c>
      <c r="G42" t="str">
        <f t="shared" si="5"/>
        <v/>
      </c>
    </row>
    <row r="43" spans="1:7" x14ac:dyDescent="0.25">
      <c r="A43" t="s">
        <v>527</v>
      </c>
      <c r="B43" t="str">
        <f t="shared" si="0"/>
        <v>New Orleans Trendsetters-Naizen Kato</v>
      </c>
      <c r="C43" t="str">
        <f t="shared" si="1"/>
        <v>Naizen Kato</v>
      </c>
      <c r="D43" t="str">
        <f t="shared" si="2"/>
        <v>New Orleans Trendsetters</v>
      </c>
      <c r="E43" t="str">
        <f t="shared" si="3"/>
        <v>$300,000</v>
      </c>
      <c r="F43" t="str">
        <f t="shared" si="4"/>
        <v/>
      </c>
      <c r="G43" t="str">
        <f t="shared" si="5"/>
        <v/>
      </c>
    </row>
    <row r="44" spans="1:7" x14ac:dyDescent="0.25">
      <c r="A44" t="s">
        <v>528</v>
      </c>
      <c r="B44" t="str">
        <f t="shared" si="0"/>
        <v>New Orleans Trendsetters-Toby Woods</v>
      </c>
      <c r="C44" t="str">
        <f t="shared" si="1"/>
        <v>Toby Woods</v>
      </c>
      <c r="D44" t="str">
        <f t="shared" si="2"/>
        <v>New Orleans Trendsetters</v>
      </c>
      <c r="E44" t="str">
        <f t="shared" si="3"/>
        <v>$350,000</v>
      </c>
      <c r="F44" t="str">
        <f t="shared" si="4"/>
        <v/>
      </c>
      <c r="G44" t="str">
        <f t="shared" si="5"/>
        <v/>
      </c>
    </row>
    <row r="45" spans="1:7" x14ac:dyDescent="0.25">
      <c r="A45" t="s">
        <v>529</v>
      </c>
      <c r="B45" t="str">
        <f t="shared" si="0"/>
        <v>Okinawa Shisa-César López</v>
      </c>
      <c r="C45" t="str">
        <f t="shared" si="1"/>
        <v>César López</v>
      </c>
      <c r="D45" t="str">
        <f t="shared" si="2"/>
        <v>Okinawa Shisa</v>
      </c>
      <c r="E45" t="str">
        <f t="shared" si="3"/>
        <v>$170,000</v>
      </c>
      <c r="F45" t="str">
        <f t="shared" si="4"/>
        <v/>
      </c>
      <c r="G45" t="str">
        <f t="shared" si="5"/>
        <v/>
      </c>
    </row>
    <row r="46" spans="1:7" x14ac:dyDescent="0.25">
      <c r="A46" t="s">
        <v>530</v>
      </c>
      <c r="B46" t="str">
        <f t="shared" si="0"/>
        <v>Okinawa Shisa-Yoshiki Ikeda</v>
      </c>
      <c r="C46" t="str">
        <f t="shared" si="1"/>
        <v>Yoshiki Ikeda</v>
      </c>
      <c r="D46" t="str">
        <f t="shared" si="2"/>
        <v>Okinawa Shisa</v>
      </c>
      <c r="E46" t="str">
        <f t="shared" si="3"/>
        <v>$150,000</v>
      </c>
      <c r="F46" t="str">
        <f t="shared" si="4"/>
        <v/>
      </c>
      <c r="G46" t="str">
        <f t="shared" si="5"/>
        <v/>
      </c>
    </row>
    <row r="47" spans="1:7" x14ac:dyDescent="0.25">
      <c r="A47" t="s">
        <v>531</v>
      </c>
      <c r="B47" t="str">
        <f t="shared" si="0"/>
        <v>Reno Zephyrs-Geert Neefs</v>
      </c>
      <c r="C47" t="str">
        <f t="shared" si="1"/>
        <v>Geert Neefs</v>
      </c>
      <c r="D47" t="str">
        <f t="shared" si="2"/>
        <v>Reno Zephyrs</v>
      </c>
      <c r="E47" t="str">
        <f t="shared" si="3"/>
        <v>$350,000</v>
      </c>
      <c r="F47" t="str">
        <f t="shared" si="4"/>
        <v/>
      </c>
      <c r="G47" t="str">
        <f t="shared" si="5"/>
        <v/>
      </c>
    </row>
    <row r="48" spans="1:7" x14ac:dyDescent="0.25">
      <c r="A48" t="s">
        <v>532</v>
      </c>
      <c r="B48" t="str">
        <f t="shared" si="0"/>
        <v>Reno Zephyrs-Jorge Hart</v>
      </c>
      <c r="C48" t="str">
        <f t="shared" si="1"/>
        <v>Jorge Hart</v>
      </c>
      <c r="D48" t="str">
        <f t="shared" si="2"/>
        <v>Reno Zephyrs</v>
      </c>
      <c r="E48" t="str">
        <f t="shared" si="3"/>
        <v>$220,000</v>
      </c>
      <c r="F48" t="str">
        <f t="shared" si="4"/>
        <v/>
      </c>
      <c r="G48" t="str">
        <f t="shared" si="5"/>
        <v/>
      </c>
    </row>
    <row r="49" spans="1:7" x14ac:dyDescent="0.25">
      <c r="A49" t="s">
        <v>533</v>
      </c>
      <c r="B49" t="str">
        <f t="shared" si="0"/>
        <v>San Juan Coqui-Simon Eykelbosch</v>
      </c>
      <c r="C49" t="str">
        <f t="shared" si="1"/>
        <v>Simon Eykelbosch</v>
      </c>
      <c r="D49" t="str">
        <f t="shared" si="2"/>
        <v>San Juan Coqui</v>
      </c>
      <c r="E49" t="str">
        <f t="shared" si="3"/>
        <v>$1,000,000</v>
      </c>
      <c r="F49" t="str">
        <f t="shared" si="4"/>
        <v/>
      </c>
      <c r="G49" t="str">
        <f t="shared" si="5"/>
        <v/>
      </c>
    </row>
    <row r="50" spans="1:7" x14ac:dyDescent="0.25">
      <c r="A50" t="s">
        <v>534</v>
      </c>
      <c r="B50" t="str">
        <f t="shared" si="0"/>
        <v>Scottish Claymores-Corbin King</v>
      </c>
      <c r="C50" t="str">
        <f t="shared" si="1"/>
        <v>Corbin King</v>
      </c>
      <c r="D50" t="str">
        <f t="shared" si="2"/>
        <v>Scottish Claymores</v>
      </c>
      <c r="E50" t="str">
        <f t="shared" si="3"/>
        <v>$140,000</v>
      </c>
      <c r="F50" t="str">
        <f t="shared" si="4"/>
        <v/>
      </c>
      <c r="G50" t="str">
        <f t="shared" si="5"/>
        <v/>
      </c>
    </row>
    <row r="51" spans="1:7" x14ac:dyDescent="0.25">
      <c r="A51" t="s">
        <v>535</v>
      </c>
      <c r="B51" t="str">
        <f t="shared" si="0"/>
        <v>Shin Seiki Evas-Nolan McMahon</v>
      </c>
      <c r="C51" t="str">
        <f t="shared" si="1"/>
        <v>Nolan McMahon</v>
      </c>
      <c r="D51" t="str">
        <f t="shared" si="2"/>
        <v>Shin Seiki Evas</v>
      </c>
      <c r="E51" t="str">
        <f t="shared" si="3"/>
        <v>$250,000</v>
      </c>
      <c r="F51" t="str">
        <f t="shared" si="4"/>
        <v/>
      </c>
      <c r="G51" t="str">
        <f t="shared" si="5"/>
        <v/>
      </c>
    </row>
    <row r="52" spans="1:7" x14ac:dyDescent="0.25">
      <c r="A52" t="s">
        <v>536</v>
      </c>
      <c r="B52" t="str">
        <f t="shared" si="0"/>
        <v>Shin Seiki Evas-Ronald Turner</v>
      </c>
      <c r="C52" t="str">
        <f t="shared" si="1"/>
        <v>Ronald Turner</v>
      </c>
      <c r="D52" t="str">
        <f t="shared" si="2"/>
        <v>Shin Seiki Evas</v>
      </c>
      <c r="E52" t="str">
        <f t="shared" si="3"/>
        <v>$950,000</v>
      </c>
      <c r="F52" t="str">
        <f t="shared" si="4"/>
        <v/>
      </c>
      <c r="G52" t="str">
        <f t="shared" si="5"/>
        <v/>
      </c>
    </row>
    <row r="53" spans="1:7" x14ac:dyDescent="0.25">
      <c r="A53" t="s">
        <v>537</v>
      </c>
      <c r="B53" t="str">
        <f t="shared" si="0"/>
        <v>Toyama Wind Dancers-Juan Encarnación</v>
      </c>
      <c r="C53" t="str">
        <f t="shared" si="1"/>
        <v>Juan Encarnación</v>
      </c>
      <c r="D53" t="str">
        <f t="shared" si="2"/>
        <v>Toyama Wind Dancers</v>
      </c>
      <c r="E53" t="str">
        <f t="shared" si="3"/>
        <v>$320,000</v>
      </c>
      <c r="F53" t="str">
        <f t="shared" si="4"/>
        <v/>
      </c>
      <c r="G53" t="str">
        <f t="shared" si="5"/>
        <v/>
      </c>
    </row>
    <row r="54" spans="1:7" x14ac:dyDescent="0.25">
      <c r="A54" t="s">
        <v>538</v>
      </c>
      <c r="B54" t="str">
        <f t="shared" si="0"/>
        <v>Toyama Wind Dancers-Neal Roach</v>
      </c>
      <c r="C54" t="str">
        <f t="shared" si="1"/>
        <v>Neal Roach</v>
      </c>
      <c r="D54" t="str">
        <f t="shared" si="2"/>
        <v>Toyama Wind Dancers</v>
      </c>
      <c r="E54" t="str">
        <f t="shared" si="3"/>
        <v>$140,000</v>
      </c>
      <c r="F54" t="str">
        <f t="shared" si="4"/>
        <v/>
      </c>
      <c r="G54" t="str">
        <f t="shared" si="5"/>
        <v/>
      </c>
    </row>
    <row r="55" spans="1:7" x14ac:dyDescent="0.25">
      <c r="A55" t="s">
        <v>539</v>
      </c>
      <c r="B55" t="str">
        <f t="shared" si="0"/>
        <v>Toyama Wind Dancers-Zenko Okada</v>
      </c>
      <c r="C55" t="str">
        <f t="shared" si="1"/>
        <v>Zenko Okada</v>
      </c>
      <c r="D55" t="str">
        <f t="shared" si="2"/>
        <v>Toyama Wind Dancers</v>
      </c>
      <c r="E55" t="str">
        <f t="shared" si="3"/>
        <v>$2,600,000</v>
      </c>
      <c r="F55" t="str">
        <f t="shared" si="4"/>
        <v/>
      </c>
      <c r="G55" t="str">
        <f t="shared" si="5"/>
        <v/>
      </c>
    </row>
    <row r="56" spans="1:7" x14ac:dyDescent="0.25">
      <c r="A56" t="s">
        <v>540</v>
      </c>
      <c r="B56" t="str">
        <f t="shared" si="0"/>
        <v>West Virginia Alleghenies-David Lawson</v>
      </c>
      <c r="C56" t="str">
        <f t="shared" si="1"/>
        <v>David Lawson</v>
      </c>
      <c r="D56" t="str">
        <f t="shared" si="2"/>
        <v>West Virginia Alleghenies</v>
      </c>
      <c r="E56" t="str">
        <f t="shared" si="3"/>
        <v>$140,000</v>
      </c>
      <c r="F56" t="str">
        <f t="shared" si="4"/>
        <v/>
      </c>
      <c r="G56" t="str">
        <f t="shared" si="5"/>
        <v/>
      </c>
    </row>
    <row r="57" spans="1:7" x14ac:dyDescent="0.25">
      <c r="A57" t="s">
        <v>541</v>
      </c>
      <c r="B57" t="str">
        <f t="shared" si="0"/>
        <v>West Virginia Alleghenies-Mason Gallagher</v>
      </c>
      <c r="C57" t="str">
        <f t="shared" si="1"/>
        <v>Mason Gallagher</v>
      </c>
      <c r="D57" t="str">
        <f t="shared" si="2"/>
        <v>West Virginia Alleghenies</v>
      </c>
      <c r="E57" t="str">
        <f t="shared" si="3"/>
        <v>$440,000</v>
      </c>
      <c r="F57" t="str">
        <f t="shared" si="4"/>
        <v/>
      </c>
      <c r="G57" t="str">
        <f t="shared" si="5"/>
        <v/>
      </c>
    </row>
    <row r="58" spans="1:7" x14ac:dyDescent="0.25">
      <c r="A58" t="s">
        <v>542</v>
      </c>
      <c r="B58" t="str">
        <f t="shared" si="0"/>
        <v>Yuma Bulldozers-Bryan Lee</v>
      </c>
      <c r="C58" t="str">
        <f t="shared" si="1"/>
        <v>Bryan Lee</v>
      </c>
      <c r="D58" t="str">
        <f t="shared" si="2"/>
        <v>Yuma Bulldozers</v>
      </c>
      <c r="E58" t="str">
        <f t="shared" si="3"/>
        <v>$3,000,000</v>
      </c>
      <c r="F58" t="str">
        <f t="shared" si="4"/>
        <v/>
      </c>
      <c r="G58" t="str">
        <f t="shared" si="5"/>
        <v/>
      </c>
    </row>
    <row r="59" spans="1:7" x14ac:dyDescent="0.25">
      <c r="A59" t="s">
        <v>543</v>
      </c>
      <c r="B59" t="str">
        <f t="shared" si="0"/>
        <v>Yuma Bulldozers-Gus Meikleham</v>
      </c>
      <c r="C59" t="str">
        <f t="shared" si="1"/>
        <v>Gus Meikleham</v>
      </c>
      <c r="D59" t="str">
        <f t="shared" si="2"/>
        <v>Yuma Bulldozers</v>
      </c>
      <c r="E59" t="str">
        <f t="shared" si="3"/>
        <v>$300,000</v>
      </c>
      <c r="F59" t="str">
        <f t="shared" si="4"/>
        <v/>
      </c>
      <c r="G59" t="str">
        <f t="shared" si="5"/>
        <v/>
      </c>
    </row>
    <row r="60" spans="1:7" x14ac:dyDescent="0.25">
      <c r="A60" t="s">
        <v>544</v>
      </c>
      <c r="B60" t="str">
        <f t="shared" si="0"/>
        <v>Yuma Bulldozers-John Winters</v>
      </c>
      <c r="C60" t="str">
        <f t="shared" si="1"/>
        <v>John Winters</v>
      </c>
      <c r="D60" t="str">
        <f t="shared" si="2"/>
        <v>Yuma Bulldozers</v>
      </c>
      <c r="E60" t="str">
        <f t="shared" si="3"/>
        <v>$300,000</v>
      </c>
      <c r="F60" t="str">
        <f t="shared" si="4"/>
        <v/>
      </c>
      <c r="G60" t="str">
        <f t="shared" si="5"/>
        <v/>
      </c>
    </row>
    <row r="61" spans="1:7" x14ac:dyDescent="0.25">
      <c r="A61" t="s">
        <v>545</v>
      </c>
      <c r="B61" t="str">
        <f t="shared" si="0"/>
        <v>Yuma Bulldozers-Ryan Coyfe</v>
      </c>
      <c r="C61" t="str">
        <f t="shared" si="1"/>
        <v>Ryan Coyfe</v>
      </c>
      <c r="D61" t="str">
        <f t="shared" si="2"/>
        <v>Yuma Bulldozers</v>
      </c>
      <c r="E61" t="str">
        <f t="shared" si="3"/>
        <v>$500,000</v>
      </c>
      <c r="F61" t="str">
        <f t="shared" si="4"/>
        <v/>
      </c>
      <c r="G61" t="str">
        <f t="shared" si="5"/>
        <v/>
      </c>
    </row>
    <row r="62" spans="1:7" x14ac:dyDescent="0.25">
      <c r="B62" t="e">
        <f t="shared" si="0"/>
        <v>#VALUE!</v>
      </c>
      <c r="C62" t="e">
        <f t="shared" si="1"/>
        <v>#VALUE!</v>
      </c>
      <c r="D62" t="e">
        <f t="shared" si="2"/>
        <v>#VALUE!</v>
      </c>
      <c r="E62" t="e">
        <f t="shared" si="3"/>
        <v>#VALUE!</v>
      </c>
      <c r="F62" t="str">
        <f t="shared" si="4"/>
        <v/>
      </c>
      <c r="G62" t="str">
        <f t="shared" si="5"/>
        <v/>
      </c>
    </row>
    <row r="63" spans="1:7" x14ac:dyDescent="0.25">
      <c r="B63" t="e">
        <f t="shared" si="0"/>
        <v>#VALUE!</v>
      </c>
      <c r="C63" t="e">
        <f t="shared" si="1"/>
        <v>#VALUE!</v>
      </c>
      <c r="D63" t="e">
        <f t="shared" si="2"/>
        <v>#VALUE!</v>
      </c>
      <c r="E63" t="e">
        <f t="shared" si="3"/>
        <v>#VALUE!</v>
      </c>
      <c r="F63" t="str">
        <f t="shared" si="4"/>
        <v/>
      </c>
      <c r="G63" t="str">
        <f t="shared" si="5"/>
        <v/>
      </c>
    </row>
    <row r="64" spans="1:7" x14ac:dyDescent="0.25">
      <c r="B64" t="e">
        <f t="shared" si="0"/>
        <v>#VALUE!</v>
      </c>
      <c r="C64" t="e">
        <f t="shared" si="1"/>
        <v>#VALUE!</v>
      </c>
      <c r="D64" t="e">
        <f t="shared" si="2"/>
        <v>#VALUE!</v>
      </c>
      <c r="E64" t="e">
        <f t="shared" si="3"/>
        <v>#VALUE!</v>
      </c>
      <c r="F64" t="str">
        <f t="shared" si="4"/>
        <v/>
      </c>
      <c r="G64" t="str">
        <f t="shared" si="5"/>
        <v/>
      </c>
    </row>
    <row r="65" spans="2:7" x14ac:dyDescent="0.25">
      <c r="B65" t="e">
        <f t="shared" si="0"/>
        <v>#VALUE!</v>
      </c>
      <c r="C65" t="e">
        <f t="shared" si="1"/>
        <v>#VALUE!</v>
      </c>
      <c r="D65" t="e">
        <f t="shared" si="2"/>
        <v>#VALUE!</v>
      </c>
      <c r="E65" t="e">
        <f t="shared" si="3"/>
        <v>#VALUE!</v>
      </c>
      <c r="F65" t="str">
        <f t="shared" si="4"/>
        <v/>
      </c>
      <c r="G65" t="str">
        <f t="shared" si="5"/>
        <v/>
      </c>
    </row>
    <row r="66" spans="2:7" x14ac:dyDescent="0.25">
      <c r="B66" t="e">
        <f t="shared" si="0"/>
        <v>#VALUE!</v>
      </c>
      <c r="C66" t="e">
        <f t="shared" si="1"/>
        <v>#VALUE!</v>
      </c>
      <c r="D66" t="e">
        <f t="shared" si="2"/>
        <v>#VALUE!</v>
      </c>
      <c r="E66" t="e">
        <f t="shared" si="3"/>
        <v>#VALUE!</v>
      </c>
      <c r="F66" t="str">
        <f t="shared" si="4"/>
        <v/>
      </c>
      <c r="G66" t="str">
        <f t="shared" si="5"/>
        <v/>
      </c>
    </row>
    <row r="67" spans="2:7" x14ac:dyDescent="0.25">
      <c r="B67" t="e">
        <f t="shared" si="0"/>
        <v>#VALUE!</v>
      </c>
      <c r="C67" t="e">
        <f t="shared" si="1"/>
        <v>#VALUE!</v>
      </c>
      <c r="D67" t="e">
        <f t="shared" si="2"/>
        <v>#VALUE!</v>
      </c>
      <c r="E67" t="e">
        <f t="shared" si="3"/>
        <v>#VALUE!</v>
      </c>
      <c r="F67" t="str">
        <f t="shared" si="4"/>
        <v/>
      </c>
      <c r="G67" t="str">
        <f t="shared" si="5"/>
        <v/>
      </c>
    </row>
    <row r="68" spans="2:7" x14ac:dyDescent="0.25">
      <c r="B68" t="e">
        <f t="shared" si="0"/>
        <v>#VALUE!</v>
      </c>
      <c r="C68" t="e">
        <f t="shared" si="1"/>
        <v>#VALUE!</v>
      </c>
      <c r="D68" t="e">
        <f t="shared" si="2"/>
        <v>#VALUE!</v>
      </c>
      <c r="E68" t="e">
        <f t="shared" si="3"/>
        <v>#VALUE!</v>
      </c>
      <c r="F68" t="str">
        <f t="shared" si="4"/>
        <v/>
      </c>
      <c r="G68" t="str">
        <f t="shared" si="5"/>
        <v/>
      </c>
    </row>
    <row r="69" spans="2:7" x14ac:dyDescent="0.25">
      <c r="B69" t="e">
        <f t="shared" si="0"/>
        <v>#VALUE!</v>
      </c>
      <c r="C69" t="e">
        <f t="shared" si="1"/>
        <v>#VALUE!</v>
      </c>
      <c r="D69" t="e">
        <f t="shared" si="2"/>
        <v>#VALUE!</v>
      </c>
      <c r="E69" t="e">
        <f t="shared" si="3"/>
        <v>#VALUE!</v>
      </c>
      <c r="F69" t="str">
        <f t="shared" si="4"/>
        <v/>
      </c>
      <c r="G69" t="str">
        <f t="shared" si="5"/>
        <v/>
      </c>
    </row>
    <row r="70" spans="2:7" x14ac:dyDescent="0.25">
      <c r="B70" t="e">
        <f t="shared" si="0"/>
        <v>#VALUE!</v>
      </c>
      <c r="C70" t="e">
        <f t="shared" si="1"/>
        <v>#VALUE!</v>
      </c>
      <c r="D70" t="e">
        <f t="shared" si="2"/>
        <v>#VALUE!</v>
      </c>
      <c r="E70" t="e">
        <f t="shared" si="3"/>
        <v>#VALUE!</v>
      </c>
      <c r="F70" t="str">
        <f t="shared" si="4"/>
        <v/>
      </c>
      <c r="G70" t="str">
        <f t="shared" si="5"/>
        <v/>
      </c>
    </row>
    <row r="71" spans="2:7" x14ac:dyDescent="0.25">
      <c r="B71" t="e">
        <f t="shared" si="0"/>
        <v>#VALUE!</v>
      </c>
      <c r="C71" t="e">
        <f t="shared" si="1"/>
        <v>#VALUE!</v>
      </c>
      <c r="D71" t="e">
        <f t="shared" si="2"/>
        <v>#VALUE!</v>
      </c>
      <c r="E71" t="e">
        <f t="shared" si="3"/>
        <v>#VALUE!</v>
      </c>
      <c r="F71" t="str">
        <f t="shared" si="4"/>
        <v/>
      </c>
      <c r="G71" t="str">
        <f t="shared" si="5"/>
        <v/>
      </c>
    </row>
    <row r="72" spans="2:7" x14ac:dyDescent="0.25">
      <c r="B72" t="e">
        <f t="shared" si="0"/>
        <v>#VALUE!</v>
      </c>
      <c r="C72" t="e">
        <f t="shared" si="1"/>
        <v>#VALUE!</v>
      </c>
      <c r="D72" t="e">
        <f t="shared" si="2"/>
        <v>#VALUE!</v>
      </c>
      <c r="E72" t="e">
        <f t="shared" si="3"/>
        <v>#VALUE!</v>
      </c>
      <c r="F72" t="str">
        <f t="shared" si="4"/>
        <v/>
      </c>
      <c r="G72" t="str">
        <f t="shared" si="5"/>
        <v/>
      </c>
    </row>
    <row r="73" spans="2:7" x14ac:dyDescent="0.25">
      <c r="B73" t="e">
        <f t="shared" ref="B73:B106" si="6">D73&amp;"-"&amp;C73</f>
        <v>#VALUE!</v>
      </c>
      <c r="C73" t="e">
        <f t="shared" ref="C73:C106" si="7">MID(A73,FIND("Signed",A73)+7,FIND("to a minor",A73)-FIND("Signed",A73)-8)</f>
        <v>#VALUE!</v>
      </c>
      <c r="D73" t="e">
        <f t="shared" ref="D73:D106" si="8">MID($A73,1,FIND(":",$A73)-1)</f>
        <v>#VALUE!</v>
      </c>
      <c r="E73" t="e">
        <f t="shared" ref="E73:E106" si="9">IF(ISERROR(FIND("major league contract",$A73)),MID($A73,FIND("$",$A73),FIND(".",$A73,FIND("$",$A73))-FIND("$",$A73)),MID($A73,FIND("$",$A73),FIND(" ",$A73,FIND("$",$A73))-FIND("$",$A73)))</f>
        <v>#VALUE!</v>
      </c>
      <c r="F73" t="str">
        <f t="shared" ref="F73:F106" si="10">IF(ISERROR(FIND("major league contract",$A73)),"",MID($A73,FIND("major league contract",$A73)+39,LEN($A73)-FIND("major league contract",$A73)-39))</f>
        <v/>
      </c>
      <c r="G73" t="str">
        <f t="shared" ref="G73:G106" si="11">IF(ISERROR(FIND("major league contract",$A73)),"",MID($A73,FIND("major league contract",$A73)-7,1))</f>
        <v/>
      </c>
    </row>
    <row r="74" spans="2:7" x14ac:dyDescent="0.25">
      <c r="B74" t="e">
        <f t="shared" si="6"/>
        <v>#VALUE!</v>
      </c>
      <c r="C74" t="e">
        <f t="shared" si="7"/>
        <v>#VALUE!</v>
      </c>
      <c r="D74" t="e">
        <f t="shared" si="8"/>
        <v>#VALUE!</v>
      </c>
      <c r="E74" t="e">
        <f t="shared" si="9"/>
        <v>#VALUE!</v>
      </c>
      <c r="F74" t="str">
        <f t="shared" si="10"/>
        <v/>
      </c>
      <c r="G74" t="str">
        <f t="shared" si="11"/>
        <v/>
      </c>
    </row>
    <row r="75" spans="2:7" x14ac:dyDescent="0.25">
      <c r="B75" t="e">
        <f t="shared" si="6"/>
        <v>#VALUE!</v>
      </c>
      <c r="C75" t="e">
        <f t="shared" si="7"/>
        <v>#VALUE!</v>
      </c>
      <c r="D75" t="e">
        <f t="shared" si="8"/>
        <v>#VALUE!</v>
      </c>
      <c r="E75" t="e">
        <f t="shared" si="9"/>
        <v>#VALUE!</v>
      </c>
      <c r="F75" t="str">
        <f t="shared" si="10"/>
        <v/>
      </c>
      <c r="G75" t="str">
        <f t="shared" si="11"/>
        <v/>
      </c>
    </row>
    <row r="76" spans="2:7" x14ac:dyDescent="0.25">
      <c r="B76" t="e">
        <f t="shared" si="6"/>
        <v>#VALUE!</v>
      </c>
      <c r="C76" t="e">
        <f t="shared" si="7"/>
        <v>#VALUE!</v>
      </c>
      <c r="D76" t="e">
        <f t="shared" si="8"/>
        <v>#VALUE!</v>
      </c>
      <c r="E76" t="e">
        <f t="shared" si="9"/>
        <v>#VALUE!</v>
      </c>
      <c r="F76" t="str">
        <f t="shared" si="10"/>
        <v/>
      </c>
      <c r="G76" t="str">
        <f t="shared" si="11"/>
        <v/>
      </c>
    </row>
    <row r="77" spans="2:7" x14ac:dyDescent="0.25">
      <c r="B77" t="e">
        <f t="shared" si="6"/>
        <v>#VALUE!</v>
      </c>
      <c r="C77" t="e">
        <f t="shared" si="7"/>
        <v>#VALUE!</v>
      </c>
      <c r="D77" t="e">
        <f t="shared" si="8"/>
        <v>#VALUE!</v>
      </c>
      <c r="E77" t="e">
        <f t="shared" si="9"/>
        <v>#VALUE!</v>
      </c>
      <c r="F77" t="str">
        <f t="shared" si="10"/>
        <v/>
      </c>
      <c r="G77" t="str">
        <f t="shared" si="11"/>
        <v/>
      </c>
    </row>
    <row r="78" spans="2:7" x14ac:dyDescent="0.25">
      <c r="B78" t="e">
        <f t="shared" si="6"/>
        <v>#VALUE!</v>
      </c>
      <c r="C78" t="e">
        <f t="shared" si="7"/>
        <v>#VALUE!</v>
      </c>
      <c r="D78" t="e">
        <f t="shared" si="8"/>
        <v>#VALUE!</v>
      </c>
      <c r="E78" t="e">
        <f t="shared" si="9"/>
        <v>#VALUE!</v>
      </c>
      <c r="F78" t="str">
        <f t="shared" si="10"/>
        <v/>
      </c>
      <c r="G78" t="str">
        <f t="shared" si="11"/>
        <v/>
      </c>
    </row>
    <row r="79" spans="2:7" x14ac:dyDescent="0.25">
      <c r="B79" t="e">
        <f t="shared" si="6"/>
        <v>#VALUE!</v>
      </c>
      <c r="C79" t="e">
        <f t="shared" si="7"/>
        <v>#VALUE!</v>
      </c>
      <c r="D79" t="e">
        <f t="shared" si="8"/>
        <v>#VALUE!</v>
      </c>
      <c r="E79" t="e">
        <f t="shared" si="9"/>
        <v>#VALUE!</v>
      </c>
      <c r="F79" t="str">
        <f t="shared" si="10"/>
        <v/>
      </c>
      <c r="G79" t="str">
        <f t="shared" si="11"/>
        <v/>
      </c>
    </row>
    <row r="80" spans="2:7" x14ac:dyDescent="0.25">
      <c r="B80" t="e">
        <f t="shared" si="6"/>
        <v>#VALUE!</v>
      </c>
      <c r="C80" t="e">
        <f t="shared" si="7"/>
        <v>#VALUE!</v>
      </c>
      <c r="D80" t="e">
        <f t="shared" si="8"/>
        <v>#VALUE!</v>
      </c>
      <c r="E80" t="e">
        <f t="shared" si="9"/>
        <v>#VALUE!</v>
      </c>
      <c r="F80" t="str">
        <f t="shared" si="10"/>
        <v/>
      </c>
      <c r="G80" t="str">
        <f t="shared" si="11"/>
        <v/>
      </c>
    </row>
    <row r="81" spans="2:7" x14ac:dyDescent="0.25">
      <c r="B81" t="e">
        <f t="shared" si="6"/>
        <v>#VALUE!</v>
      </c>
      <c r="C81" t="e">
        <f t="shared" si="7"/>
        <v>#VALUE!</v>
      </c>
      <c r="D81" t="e">
        <f t="shared" si="8"/>
        <v>#VALUE!</v>
      </c>
      <c r="E81" t="e">
        <f t="shared" si="9"/>
        <v>#VALUE!</v>
      </c>
      <c r="F81" t="str">
        <f t="shared" si="10"/>
        <v/>
      </c>
      <c r="G81" t="str">
        <f t="shared" si="11"/>
        <v/>
      </c>
    </row>
    <row r="82" spans="2:7" x14ac:dyDescent="0.25">
      <c r="B82" t="e">
        <f t="shared" si="6"/>
        <v>#VALUE!</v>
      </c>
      <c r="C82" t="e">
        <f t="shared" si="7"/>
        <v>#VALUE!</v>
      </c>
      <c r="D82" t="e">
        <f t="shared" si="8"/>
        <v>#VALUE!</v>
      </c>
      <c r="E82" t="e">
        <f t="shared" si="9"/>
        <v>#VALUE!</v>
      </c>
      <c r="F82" t="str">
        <f t="shared" si="10"/>
        <v/>
      </c>
      <c r="G82" t="str">
        <f t="shared" si="11"/>
        <v/>
      </c>
    </row>
    <row r="83" spans="2:7" x14ac:dyDescent="0.25">
      <c r="B83" t="e">
        <f t="shared" si="6"/>
        <v>#VALUE!</v>
      </c>
      <c r="C83" t="e">
        <f t="shared" si="7"/>
        <v>#VALUE!</v>
      </c>
      <c r="D83" t="e">
        <f t="shared" si="8"/>
        <v>#VALUE!</v>
      </c>
      <c r="E83" t="e">
        <f t="shared" si="9"/>
        <v>#VALUE!</v>
      </c>
      <c r="F83" t="str">
        <f t="shared" si="10"/>
        <v/>
      </c>
      <c r="G83" t="str">
        <f t="shared" si="11"/>
        <v/>
      </c>
    </row>
    <row r="84" spans="2:7" x14ac:dyDescent="0.25">
      <c r="B84" t="e">
        <f t="shared" si="6"/>
        <v>#VALUE!</v>
      </c>
      <c r="C84" t="e">
        <f t="shared" si="7"/>
        <v>#VALUE!</v>
      </c>
      <c r="D84" t="e">
        <f t="shared" si="8"/>
        <v>#VALUE!</v>
      </c>
      <c r="E84" t="e">
        <f t="shared" si="9"/>
        <v>#VALUE!</v>
      </c>
      <c r="F84" t="str">
        <f t="shared" si="10"/>
        <v/>
      </c>
      <c r="G84" t="str">
        <f t="shared" si="11"/>
        <v/>
      </c>
    </row>
    <row r="85" spans="2:7" x14ac:dyDescent="0.25">
      <c r="B85" t="e">
        <f t="shared" si="6"/>
        <v>#VALUE!</v>
      </c>
      <c r="C85" t="e">
        <f t="shared" si="7"/>
        <v>#VALUE!</v>
      </c>
      <c r="D85" t="e">
        <f t="shared" si="8"/>
        <v>#VALUE!</v>
      </c>
      <c r="E85" t="e">
        <f t="shared" si="9"/>
        <v>#VALUE!</v>
      </c>
      <c r="F85" t="str">
        <f t="shared" si="10"/>
        <v/>
      </c>
      <c r="G85" t="str">
        <f t="shared" si="11"/>
        <v/>
      </c>
    </row>
    <row r="86" spans="2:7" x14ac:dyDescent="0.25">
      <c r="B86" t="e">
        <f t="shared" si="6"/>
        <v>#VALUE!</v>
      </c>
      <c r="C86" t="e">
        <f t="shared" si="7"/>
        <v>#VALUE!</v>
      </c>
      <c r="D86" t="e">
        <f t="shared" si="8"/>
        <v>#VALUE!</v>
      </c>
      <c r="E86" t="e">
        <f t="shared" si="9"/>
        <v>#VALUE!</v>
      </c>
      <c r="F86" t="str">
        <f t="shared" si="10"/>
        <v/>
      </c>
      <c r="G86" t="str">
        <f t="shared" si="11"/>
        <v/>
      </c>
    </row>
    <row r="87" spans="2:7" x14ac:dyDescent="0.25">
      <c r="B87" t="e">
        <f t="shared" si="6"/>
        <v>#VALUE!</v>
      </c>
      <c r="C87" t="e">
        <f t="shared" si="7"/>
        <v>#VALUE!</v>
      </c>
      <c r="D87" t="e">
        <f t="shared" si="8"/>
        <v>#VALUE!</v>
      </c>
      <c r="E87" t="e">
        <f t="shared" si="9"/>
        <v>#VALUE!</v>
      </c>
      <c r="F87" t="str">
        <f t="shared" si="10"/>
        <v/>
      </c>
      <c r="G87" t="str">
        <f t="shared" si="11"/>
        <v/>
      </c>
    </row>
    <row r="88" spans="2:7" x14ac:dyDescent="0.25">
      <c r="B88" t="e">
        <f t="shared" si="6"/>
        <v>#VALUE!</v>
      </c>
      <c r="C88" t="e">
        <f t="shared" si="7"/>
        <v>#VALUE!</v>
      </c>
      <c r="D88" t="e">
        <f t="shared" si="8"/>
        <v>#VALUE!</v>
      </c>
      <c r="E88" t="e">
        <f t="shared" si="9"/>
        <v>#VALUE!</v>
      </c>
      <c r="F88" t="str">
        <f t="shared" si="10"/>
        <v/>
      </c>
      <c r="G88" t="str">
        <f t="shared" si="11"/>
        <v/>
      </c>
    </row>
    <row r="89" spans="2:7" x14ac:dyDescent="0.25">
      <c r="B89" t="e">
        <f t="shared" si="6"/>
        <v>#VALUE!</v>
      </c>
      <c r="C89" t="e">
        <f t="shared" si="7"/>
        <v>#VALUE!</v>
      </c>
      <c r="D89" t="e">
        <f t="shared" si="8"/>
        <v>#VALUE!</v>
      </c>
      <c r="E89" t="e">
        <f t="shared" si="9"/>
        <v>#VALUE!</v>
      </c>
      <c r="F89" t="str">
        <f t="shared" si="10"/>
        <v/>
      </c>
      <c r="G89" t="str">
        <f t="shared" si="11"/>
        <v/>
      </c>
    </row>
    <row r="90" spans="2:7" x14ac:dyDescent="0.25">
      <c r="B90" t="e">
        <f t="shared" si="6"/>
        <v>#VALUE!</v>
      </c>
      <c r="C90" t="e">
        <f t="shared" si="7"/>
        <v>#VALUE!</v>
      </c>
      <c r="D90" t="e">
        <f t="shared" si="8"/>
        <v>#VALUE!</v>
      </c>
      <c r="E90" t="e">
        <f t="shared" si="9"/>
        <v>#VALUE!</v>
      </c>
      <c r="F90" t="str">
        <f t="shared" si="10"/>
        <v/>
      </c>
      <c r="G90" t="str">
        <f t="shared" si="11"/>
        <v/>
      </c>
    </row>
    <row r="91" spans="2:7" x14ac:dyDescent="0.25">
      <c r="B91" t="e">
        <f t="shared" si="6"/>
        <v>#VALUE!</v>
      </c>
      <c r="C91" t="e">
        <f t="shared" si="7"/>
        <v>#VALUE!</v>
      </c>
      <c r="D91" t="e">
        <f t="shared" si="8"/>
        <v>#VALUE!</v>
      </c>
      <c r="E91" t="e">
        <f t="shared" si="9"/>
        <v>#VALUE!</v>
      </c>
      <c r="F91" t="str">
        <f t="shared" si="10"/>
        <v/>
      </c>
      <c r="G91" t="str">
        <f t="shared" si="11"/>
        <v/>
      </c>
    </row>
    <row r="92" spans="2:7" x14ac:dyDescent="0.25">
      <c r="B92" t="e">
        <f t="shared" si="6"/>
        <v>#VALUE!</v>
      </c>
      <c r="C92" t="e">
        <f t="shared" si="7"/>
        <v>#VALUE!</v>
      </c>
      <c r="D92" t="e">
        <f t="shared" si="8"/>
        <v>#VALUE!</v>
      </c>
      <c r="E92" t="e">
        <f t="shared" si="9"/>
        <v>#VALUE!</v>
      </c>
      <c r="F92" t="str">
        <f t="shared" si="10"/>
        <v/>
      </c>
      <c r="G92" t="str">
        <f t="shared" si="11"/>
        <v/>
      </c>
    </row>
    <row r="93" spans="2:7" x14ac:dyDescent="0.25">
      <c r="B93" t="e">
        <f t="shared" si="6"/>
        <v>#VALUE!</v>
      </c>
      <c r="C93" t="e">
        <f t="shared" si="7"/>
        <v>#VALUE!</v>
      </c>
      <c r="D93" t="e">
        <f t="shared" si="8"/>
        <v>#VALUE!</v>
      </c>
      <c r="E93" t="e">
        <f t="shared" si="9"/>
        <v>#VALUE!</v>
      </c>
      <c r="F93" t="str">
        <f t="shared" si="10"/>
        <v/>
      </c>
      <c r="G93" t="str">
        <f t="shared" si="11"/>
        <v/>
      </c>
    </row>
    <row r="94" spans="2:7" x14ac:dyDescent="0.25">
      <c r="B94" t="e">
        <f t="shared" si="6"/>
        <v>#VALUE!</v>
      </c>
      <c r="C94" t="e">
        <f t="shared" si="7"/>
        <v>#VALUE!</v>
      </c>
      <c r="D94" t="e">
        <f t="shared" si="8"/>
        <v>#VALUE!</v>
      </c>
      <c r="E94" t="e">
        <f t="shared" si="9"/>
        <v>#VALUE!</v>
      </c>
      <c r="F94" t="str">
        <f t="shared" si="10"/>
        <v/>
      </c>
      <c r="G94" t="str">
        <f t="shared" si="11"/>
        <v/>
      </c>
    </row>
    <row r="95" spans="2:7" x14ac:dyDescent="0.25">
      <c r="B95" t="e">
        <f t="shared" si="6"/>
        <v>#VALUE!</v>
      </c>
      <c r="C95" t="e">
        <f t="shared" si="7"/>
        <v>#VALUE!</v>
      </c>
      <c r="D95" t="e">
        <f t="shared" si="8"/>
        <v>#VALUE!</v>
      </c>
      <c r="E95" t="e">
        <f t="shared" si="9"/>
        <v>#VALUE!</v>
      </c>
      <c r="F95" t="str">
        <f t="shared" si="10"/>
        <v/>
      </c>
      <c r="G95" t="str">
        <f t="shared" si="11"/>
        <v/>
      </c>
    </row>
    <row r="96" spans="2:7" x14ac:dyDescent="0.25">
      <c r="B96" t="e">
        <f t="shared" si="6"/>
        <v>#VALUE!</v>
      </c>
      <c r="C96" t="e">
        <f t="shared" si="7"/>
        <v>#VALUE!</v>
      </c>
      <c r="D96" t="e">
        <f t="shared" si="8"/>
        <v>#VALUE!</v>
      </c>
      <c r="E96" t="e">
        <f t="shared" si="9"/>
        <v>#VALUE!</v>
      </c>
      <c r="F96" t="str">
        <f t="shared" si="10"/>
        <v/>
      </c>
      <c r="G96" t="str">
        <f t="shared" si="11"/>
        <v/>
      </c>
    </row>
    <row r="97" spans="2:7" x14ac:dyDescent="0.25">
      <c r="B97" t="e">
        <f t="shared" si="6"/>
        <v>#VALUE!</v>
      </c>
      <c r="C97" t="e">
        <f t="shared" si="7"/>
        <v>#VALUE!</v>
      </c>
      <c r="D97" t="e">
        <f t="shared" si="8"/>
        <v>#VALUE!</v>
      </c>
      <c r="E97" t="e">
        <f t="shared" si="9"/>
        <v>#VALUE!</v>
      </c>
      <c r="F97" t="str">
        <f t="shared" si="10"/>
        <v/>
      </c>
      <c r="G97" t="str">
        <f t="shared" si="11"/>
        <v/>
      </c>
    </row>
    <row r="98" spans="2:7" x14ac:dyDescent="0.25">
      <c r="B98" t="e">
        <f t="shared" si="6"/>
        <v>#VALUE!</v>
      </c>
      <c r="C98" t="e">
        <f t="shared" si="7"/>
        <v>#VALUE!</v>
      </c>
      <c r="D98" t="e">
        <f t="shared" si="8"/>
        <v>#VALUE!</v>
      </c>
      <c r="E98" t="e">
        <f t="shared" si="9"/>
        <v>#VALUE!</v>
      </c>
      <c r="F98" t="str">
        <f t="shared" si="10"/>
        <v/>
      </c>
      <c r="G98" t="str">
        <f t="shared" si="11"/>
        <v/>
      </c>
    </row>
    <row r="99" spans="2:7" x14ac:dyDescent="0.25">
      <c r="B99" t="e">
        <f t="shared" si="6"/>
        <v>#VALUE!</v>
      </c>
      <c r="C99" t="e">
        <f t="shared" si="7"/>
        <v>#VALUE!</v>
      </c>
      <c r="D99" t="e">
        <f t="shared" si="8"/>
        <v>#VALUE!</v>
      </c>
      <c r="E99" t="e">
        <f t="shared" si="9"/>
        <v>#VALUE!</v>
      </c>
      <c r="F99" t="str">
        <f t="shared" si="10"/>
        <v/>
      </c>
      <c r="G99" t="str">
        <f t="shared" si="11"/>
        <v/>
      </c>
    </row>
    <row r="100" spans="2:7" x14ac:dyDescent="0.25">
      <c r="B100" t="e">
        <f t="shared" si="6"/>
        <v>#VALUE!</v>
      </c>
      <c r="C100" t="e">
        <f t="shared" si="7"/>
        <v>#VALUE!</v>
      </c>
      <c r="D100" t="e">
        <f t="shared" si="8"/>
        <v>#VALUE!</v>
      </c>
      <c r="E100" t="e">
        <f t="shared" si="9"/>
        <v>#VALUE!</v>
      </c>
      <c r="F100" t="str">
        <f t="shared" si="10"/>
        <v/>
      </c>
      <c r="G100" t="str">
        <f t="shared" si="11"/>
        <v/>
      </c>
    </row>
    <row r="101" spans="2:7" x14ac:dyDescent="0.25">
      <c r="B101" t="e">
        <f t="shared" si="6"/>
        <v>#VALUE!</v>
      </c>
      <c r="C101" t="e">
        <f t="shared" si="7"/>
        <v>#VALUE!</v>
      </c>
      <c r="D101" t="e">
        <f t="shared" si="8"/>
        <v>#VALUE!</v>
      </c>
      <c r="E101" t="e">
        <f t="shared" si="9"/>
        <v>#VALUE!</v>
      </c>
      <c r="F101" t="str">
        <f t="shared" si="10"/>
        <v/>
      </c>
      <c r="G101" t="str">
        <f t="shared" si="11"/>
        <v/>
      </c>
    </row>
    <row r="102" spans="2:7" x14ac:dyDescent="0.25">
      <c r="B102" t="e">
        <f t="shared" si="6"/>
        <v>#VALUE!</v>
      </c>
      <c r="C102" t="e">
        <f t="shared" si="7"/>
        <v>#VALUE!</v>
      </c>
      <c r="D102" t="e">
        <f t="shared" si="8"/>
        <v>#VALUE!</v>
      </c>
      <c r="E102" t="e">
        <f t="shared" si="9"/>
        <v>#VALUE!</v>
      </c>
      <c r="F102" t="str">
        <f t="shared" si="10"/>
        <v/>
      </c>
      <c r="G102" t="str">
        <f t="shared" si="11"/>
        <v/>
      </c>
    </row>
    <row r="103" spans="2:7" x14ac:dyDescent="0.25">
      <c r="B103" t="e">
        <f t="shared" si="6"/>
        <v>#VALUE!</v>
      </c>
      <c r="C103" t="e">
        <f t="shared" si="7"/>
        <v>#VALUE!</v>
      </c>
      <c r="D103" t="e">
        <f t="shared" si="8"/>
        <v>#VALUE!</v>
      </c>
      <c r="E103" t="e">
        <f t="shared" si="9"/>
        <v>#VALUE!</v>
      </c>
      <c r="F103" t="str">
        <f t="shared" si="10"/>
        <v/>
      </c>
      <c r="G103" t="str">
        <f t="shared" si="11"/>
        <v/>
      </c>
    </row>
    <row r="104" spans="2:7" x14ac:dyDescent="0.25">
      <c r="B104" t="e">
        <f t="shared" si="6"/>
        <v>#VALUE!</v>
      </c>
      <c r="C104" t="e">
        <f t="shared" si="7"/>
        <v>#VALUE!</v>
      </c>
      <c r="D104" t="e">
        <f t="shared" si="8"/>
        <v>#VALUE!</v>
      </c>
      <c r="E104" t="e">
        <f t="shared" si="9"/>
        <v>#VALUE!</v>
      </c>
      <c r="F104" t="str">
        <f t="shared" si="10"/>
        <v/>
      </c>
      <c r="G104" t="str">
        <f t="shared" si="11"/>
        <v/>
      </c>
    </row>
    <row r="105" spans="2:7" x14ac:dyDescent="0.25">
      <c r="B105" t="e">
        <f t="shared" si="6"/>
        <v>#VALUE!</v>
      </c>
      <c r="C105" t="e">
        <f t="shared" si="7"/>
        <v>#VALUE!</v>
      </c>
      <c r="D105" t="e">
        <f t="shared" si="8"/>
        <v>#VALUE!</v>
      </c>
      <c r="E105" t="e">
        <f t="shared" si="9"/>
        <v>#VALUE!</v>
      </c>
      <c r="F105" t="str">
        <f t="shared" si="10"/>
        <v/>
      </c>
      <c r="G105" t="str">
        <f t="shared" si="11"/>
        <v/>
      </c>
    </row>
    <row r="106" spans="2:7" x14ac:dyDescent="0.25">
      <c r="B106" t="e">
        <f t="shared" si="6"/>
        <v>#VALUE!</v>
      </c>
      <c r="C106" t="e">
        <f t="shared" si="7"/>
        <v>#VALUE!</v>
      </c>
      <c r="D106" t="e">
        <f t="shared" si="8"/>
        <v>#VALUE!</v>
      </c>
      <c r="E106" t="e">
        <f t="shared" si="9"/>
        <v>#VALUE!</v>
      </c>
      <c r="F106" t="str">
        <f t="shared" si="10"/>
        <v/>
      </c>
      <c r="G106" t="str">
        <f t="shared" si="11"/>
        <v/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2"/>
  <sheetViews>
    <sheetView workbookViewId="0">
      <selection activeCell="A3" sqref="A3"/>
    </sheetView>
  </sheetViews>
  <sheetFormatPr defaultRowHeight="15" x14ac:dyDescent="0.25"/>
  <sheetData>
    <row r="2" spans="1:2" x14ac:dyDescent="0.25">
      <c r="A2">
        <v>2019</v>
      </c>
      <c r="B2">
        <v>2018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BvP</vt:lpstr>
      <vt:lpstr>Bat</vt:lpstr>
      <vt:lpstr>Pit</vt:lpstr>
      <vt:lpstr>Draft List</vt:lpstr>
      <vt:lpstr>Results37</vt:lpstr>
      <vt:lpstr>Con</vt:lpstr>
      <vt:lpstr>Salary Pivot</vt:lpstr>
      <vt:lpstr>COND</vt:lpstr>
      <vt:lpstr>Bonuses</vt:lpstr>
      <vt:lpstr>Sheet1</vt:lpstr>
    </vt:vector>
  </TitlesOfParts>
  <Company>Providence Health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Esselink, Frank</cp:lastModifiedBy>
  <dcterms:created xsi:type="dcterms:W3CDTF">2012-09-14T15:39:02Z</dcterms:created>
  <dcterms:modified xsi:type="dcterms:W3CDTF">2021-04-27T23:26:27Z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a905b5-8388-4a05-b89a-55e43f7b4d00_Enabled">
    <vt:lpwstr>true</vt:lpwstr>
  </property>
  <property fmtid="{D5CDD505-2E9C-101B-9397-08002B2CF9AE}" pid="3" name="MSIP_Label_11a905b5-8388-4a05-b89a-55e43f7b4d00_SetDate">
    <vt:lpwstr>2021-04-27T21:38:38Z</vt:lpwstr>
  </property>
  <property fmtid="{D5CDD505-2E9C-101B-9397-08002B2CF9AE}" pid="4" name="MSIP_Label_11a905b5-8388-4a05-b89a-55e43f7b4d00_Method">
    <vt:lpwstr>Standard</vt:lpwstr>
  </property>
  <property fmtid="{D5CDD505-2E9C-101B-9397-08002B2CF9AE}" pid="5" name="MSIP_Label_11a905b5-8388-4a05-b89a-55e43f7b4d00_Name">
    <vt:lpwstr>General</vt:lpwstr>
  </property>
  <property fmtid="{D5CDD505-2E9C-101B-9397-08002B2CF9AE}" pid="6" name="MSIP_Label_11a905b5-8388-4a05-b89a-55e43f7b4d00_SiteId">
    <vt:lpwstr>2e319086-9a26-46a3-865f-615bed576786</vt:lpwstr>
  </property>
  <property fmtid="{D5CDD505-2E9C-101B-9397-08002B2CF9AE}" pid="7" name="MSIP_Label_11a905b5-8388-4a05-b89a-55e43f7b4d00_ActionId">
    <vt:lpwstr>e6d0a575-a758-42dc-9475-5a90ec970333</vt:lpwstr>
  </property>
  <property fmtid="{D5CDD505-2E9C-101B-9397-08002B2CF9AE}" pid="8" name="MSIP_Label_11a905b5-8388-4a05-b89a-55e43f7b4d00_ContentBits">
    <vt:lpwstr>0</vt:lpwstr>
  </property>
</Properties>
</file>